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27735" windowHeight="12015"/>
  </bookViews>
  <sheets>
    <sheet name="41B71729-2238-C27D-A404-0439F48" sheetId="1" r:id="rId1"/>
  </sheets>
  <definedNames>
    <definedName name="_xlnm._FilterDatabase" localSheetId="0" hidden="1">'41B71729-2238-C27D-A404-0439F48'!$A$2:$BA$8815</definedName>
  </definedNames>
  <calcPr calcId="125725"/>
</workbook>
</file>

<file path=xl/calcChain.xml><?xml version="1.0" encoding="utf-8"?>
<calcChain xmlns="http://schemas.openxmlformats.org/spreadsheetml/2006/main">
  <c r="L8818" i="1"/>
  <c r="L8816"/>
  <c r="N8816"/>
  <c r="C3"/>
  <c r="D3"/>
  <c r="AX3"/>
  <c r="C4"/>
  <c r="D4"/>
  <c r="AX4"/>
  <c r="C5"/>
  <c r="D5"/>
  <c r="AX5"/>
  <c r="C6"/>
  <c r="D6"/>
  <c r="AX6"/>
  <c r="C7"/>
  <c r="D7"/>
  <c r="AX7"/>
  <c r="C8"/>
  <c r="D8"/>
  <c r="AX8"/>
  <c r="C9"/>
  <c r="D9"/>
  <c r="AX9"/>
  <c r="C10"/>
  <c r="D10"/>
  <c r="AX10"/>
  <c r="C11"/>
  <c r="D11"/>
  <c r="AX11"/>
  <c r="C12"/>
  <c r="D12"/>
  <c r="AX12"/>
  <c r="C13"/>
  <c r="D13"/>
  <c r="AX13"/>
  <c r="C14"/>
  <c r="D14"/>
  <c r="AX14"/>
  <c r="C15"/>
  <c r="D15"/>
  <c r="AX15"/>
  <c r="C16"/>
  <c r="D16"/>
  <c r="AX16"/>
  <c r="C17"/>
  <c r="D17"/>
  <c r="AX17"/>
  <c r="C18"/>
  <c r="D18"/>
  <c r="AX18"/>
  <c r="C19"/>
  <c r="D19"/>
  <c r="AX19"/>
  <c r="C20"/>
  <c r="D20"/>
  <c r="AX20"/>
  <c r="C21"/>
  <c r="D21"/>
  <c r="AX21"/>
  <c r="C22"/>
  <c r="D22"/>
  <c r="AX22"/>
  <c r="C23"/>
  <c r="D23"/>
  <c r="AX23"/>
  <c r="C24"/>
  <c r="D24"/>
  <c r="AX24"/>
  <c r="C25"/>
  <c r="D25"/>
  <c r="AX25"/>
  <c r="C26"/>
  <c r="D26"/>
  <c r="AX26"/>
  <c r="C27"/>
  <c r="D27"/>
  <c r="AX27"/>
  <c r="C28"/>
  <c r="D28"/>
  <c r="AX28"/>
  <c r="C29"/>
  <c r="D29"/>
  <c r="AX29"/>
  <c r="C30"/>
  <c r="D30"/>
  <c r="AX30"/>
  <c r="C31"/>
  <c r="D31"/>
  <c r="AX31"/>
  <c r="C32"/>
  <c r="D32"/>
  <c r="AX32"/>
  <c r="C33"/>
  <c r="D33"/>
  <c r="AX33"/>
  <c r="C34"/>
  <c r="D34"/>
  <c r="AX34"/>
  <c r="C35"/>
  <c r="D35"/>
  <c r="AX35"/>
  <c r="C36"/>
  <c r="D36"/>
  <c r="AX36"/>
  <c r="C37"/>
  <c r="D37"/>
  <c r="AX37"/>
  <c r="C38"/>
  <c r="D38"/>
  <c r="AX38"/>
  <c r="C39"/>
  <c r="D39"/>
  <c r="AX39"/>
  <c r="C40"/>
  <c r="D40"/>
  <c r="AX40"/>
  <c r="C41"/>
  <c r="D41"/>
  <c r="AX41"/>
  <c r="C42"/>
  <c r="D42"/>
  <c r="AX42"/>
  <c r="C43"/>
  <c r="D43"/>
  <c r="AX43"/>
  <c r="C44"/>
  <c r="D44"/>
  <c r="AX44"/>
  <c r="C45"/>
  <c r="D45"/>
  <c r="AX45"/>
  <c r="C46"/>
  <c r="D46"/>
  <c r="AX46"/>
  <c r="C47"/>
  <c r="D47"/>
  <c r="AX47"/>
  <c r="C48"/>
  <c r="D48"/>
  <c r="AX48"/>
  <c r="C49"/>
  <c r="D49"/>
  <c r="AX49"/>
  <c r="C50"/>
  <c r="D50"/>
  <c r="AX50"/>
  <c r="C51"/>
  <c r="D51"/>
  <c r="AX51"/>
  <c r="C52"/>
  <c r="D52"/>
  <c r="AX52"/>
  <c r="C53"/>
  <c r="D53"/>
  <c r="AX53"/>
  <c r="C54"/>
  <c r="D54"/>
  <c r="AX54"/>
  <c r="C55"/>
  <c r="D55"/>
  <c r="AX55"/>
  <c r="C56"/>
  <c r="D56"/>
  <c r="AX56"/>
  <c r="C57"/>
  <c r="D57"/>
  <c r="AX57"/>
  <c r="C58"/>
  <c r="D58"/>
  <c r="AX58"/>
  <c r="C59"/>
  <c r="D59"/>
  <c r="AX59"/>
  <c r="C60"/>
  <c r="D60"/>
  <c r="AX60"/>
  <c r="C61"/>
  <c r="D61"/>
  <c r="AX61"/>
  <c r="C62"/>
  <c r="D62"/>
  <c r="AX62"/>
  <c r="C63"/>
  <c r="D63"/>
  <c r="AX63"/>
  <c r="C64"/>
  <c r="D64"/>
  <c r="AX64"/>
  <c r="C65"/>
  <c r="D65"/>
  <c r="AX65"/>
  <c r="C66"/>
  <c r="D66"/>
  <c r="AX66"/>
  <c r="C67"/>
  <c r="D67"/>
  <c r="AX67"/>
  <c r="C68"/>
  <c r="D68"/>
  <c r="AX68"/>
  <c r="C69"/>
  <c r="D69"/>
  <c r="AX69"/>
  <c r="C70"/>
  <c r="D70"/>
  <c r="AX70"/>
  <c r="C71"/>
  <c r="D71"/>
  <c r="AX71"/>
  <c r="C72"/>
  <c r="D72"/>
  <c r="AX72"/>
  <c r="C73"/>
  <c r="D73"/>
  <c r="AX73"/>
  <c r="C74"/>
  <c r="D74"/>
  <c r="AX74"/>
  <c r="C75"/>
  <c r="D75"/>
  <c r="AX75"/>
  <c r="C76"/>
  <c r="D76"/>
  <c r="AX76"/>
  <c r="C77"/>
  <c r="D77"/>
  <c r="AX77"/>
  <c r="C78"/>
  <c r="D78"/>
  <c r="AX78"/>
  <c r="C79"/>
  <c r="D79"/>
  <c r="AX79"/>
  <c r="C80"/>
  <c r="D80"/>
  <c r="AX80"/>
  <c r="C81"/>
  <c r="D81"/>
  <c r="AX81"/>
  <c r="C82"/>
  <c r="D82"/>
  <c r="AX82"/>
  <c r="C83"/>
  <c r="D83"/>
  <c r="AX83"/>
  <c r="C84"/>
  <c r="D84"/>
  <c r="AX84"/>
  <c r="C85"/>
  <c r="D85"/>
  <c r="AX85"/>
  <c r="C86"/>
  <c r="D86"/>
  <c r="AX86"/>
  <c r="C87"/>
  <c r="D87"/>
  <c r="AX87"/>
  <c r="C88"/>
  <c r="D88"/>
  <c r="AX88"/>
  <c r="C89"/>
  <c r="D89"/>
  <c r="AX89"/>
  <c r="C90"/>
  <c r="D90"/>
  <c r="AX90"/>
  <c r="C91"/>
  <c r="D91"/>
  <c r="AX91"/>
  <c r="C92"/>
  <c r="D92"/>
  <c r="AX92"/>
  <c r="C93"/>
  <c r="D93"/>
  <c r="AX93"/>
  <c r="C94"/>
  <c r="D94"/>
  <c r="AX94"/>
  <c r="C95"/>
  <c r="D95"/>
  <c r="AX95"/>
  <c r="C96"/>
  <c r="D96"/>
  <c r="AX96"/>
  <c r="C97"/>
  <c r="D97"/>
  <c r="AX97"/>
  <c r="C98"/>
  <c r="D98"/>
  <c r="AX98"/>
  <c r="C99"/>
  <c r="D99"/>
  <c r="AX99"/>
  <c r="C100"/>
  <c r="D100"/>
  <c r="AX100"/>
  <c r="C101"/>
  <c r="D101"/>
  <c r="AX101"/>
  <c r="C102"/>
  <c r="D102"/>
  <c r="AX102"/>
  <c r="C103"/>
  <c r="D103"/>
  <c r="AX103"/>
  <c r="C104"/>
  <c r="D104"/>
  <c r="AX104"/>
  <c r="C105"/>
  <c r="D105"/>
  <c r="AX105"/>
  <c r="C106"/>
  <c r="D106"/>
  <c r="AX106"/>
  <c r="C107"/>
  <c r="D107"/>
  <c r="AX107"/>
  <c r="C108"/>
  <c r="D108"/>
  <c r="AX108"/>
  <c r="C109"/>
  <c r="D109"/>
  <c r="AX109"/>
  <c r="C110"/>
  <c r="D110"/>
  <c r="AX110"/>
  <c r="C111"/>
  <c r="D111"/>
  <c r="AX111"/>
  <c r="C112"/>
  <c r="D112"/>
  <c r="AX112"/>
  <c r="C113"/>
  <c r="D113"/>
  <c r="AX113"/>
  <c r="C114"/>
  <c r="D114"/>
  <c r="AX114"/>
  <c r="C115"/>
  <c r="D115"/>
  <c r="AX115"/>
  <c r="C116"/>
  <c r="D116"/>
  <c r="AX116"/>
  <c r="C117"/>
  <c r="D117"/>
  <c r="AX117"/>
  <c r="C118"/>
  <c r="D118"/>
  <c r="AX118"/>
  <c r="C119"/>
  <c r="D119"/>
  <c r="AX119"/>
  <c r="C120"/>
  <c r="D120"/>
  <c r="AX120"/>
  <c r="C121"/>
  <c r="D121"/>
  <c r="AX121"/>
  <c r="C122"/>
  <c r="D122"/>
  <c r="AX122"/>
  <c r="C123"/>
  <c r="D123"/>
  <c r="AX123"/>
  <c r="C124"/>
  <c r="D124"/>
  <c r="AX124"/>
  <c r="C125"/>
  <c r="D125"/>
  <c r="AX125"/>
  <c r="C126"/>
  <c r="D126"/>
  <c r="AX126"/>
  <c r="C127"/>
  <c r="D127"/>
  <c r="AX127"/>
  <c r="C128"/>
  <c r="D128"/>
  <c r="AX128"/>
  <c r="C129"/>
  <c r="D129"/>
  <c r="AX129"/>
  <c r="C130"/>
  <c r="D130"/>
  <c r="AX130"/>
  <c r="C131"/>
  <c r="D131"/>
  <c r="AX131"/>
  <c r="C132"/>
  <c r="D132"/>
  <c r="AX132"/>
  <c r="C133"/>
  <c r="D133"/>
  <c r="AX133"/>
  <c r="C134"/>
  <c r="D134"/>
  <c r="AX134"/>
  <c r="C135"/>
  <c r="D135"/>
  <c r="AX135"/>
  <c r="C136"/>
  <c r="D136"/>
  <c r="AX136"/>
  <c r="C137"/>
  <c r="D137"/>
  <c r="AX137"/>
  <c r="C138"/>
  <c r="D138"/>
  <c r="AX138"/>
  <c r="C139"/>
  <c r="D139"/>
  <c r="AX139"/>
  <c r="C140"/>
  <c r="D140"/>
  <c r="AX140"/>
  <c r="C141"/>
  <c r="D141"/>
  <c r="AX141"/>
  <c r="C142"/>
  <c r="D142"/>
  <c r="AX142"/>
  <c r="C143"/>
  <c r="D143"/>
  <c r="AX143"/>
  <c r="C144"/>
  <c r="D144"/>
  <c r="AX144"/>
  <c r="C145"/>
  <c r="D145"/>
  <c r="AX145"/>
  <c r="C146"/>
  <c r="D146"/>
  <c r="AX146"/>
  <c r="C147"/>
  <c r="D147"/>
  <c r="AX147"/>
  <c r="C148"/>
  <c r="D148"/>
  <c r="AX148"/>
  <c r="C149"/>
  <c r="D149"/>
  <c r="AX149"/>
  <c r="C150"/>
  <c r="D150"/>
  <c r="AX150"/>
  <c r="C151"/>
  <c r="D151"/>
  <c r="AX151"/>
  <c r="C152"/>
  <c r="D152"/>
  <c r="AX152"/>
  <c r="C153"/>
  <c r="D153"/>
  <c r="AX153"/>
  <c r="C154"/>
  <c r="D154"/>
  <c r="AX154"/>
  <c r="C155"/>
  <c r="D155"/>
  <c r="AX155"/>
  <c r="C156"/>
  <c r="D156"/>
  <c r="AX156"/>
  <c r="C157"/>
  <c r="D157"/>
  <c r="AX157"/>
  <c r="C158"/>
  <c r="D158"/>
  <c r="AX158"/>
  <c r="C159"/>
  <c r="D159"/>
  <c r="AX159"/>
  <c r="C160"/>
  <c r="D160"/>
  <c r="AX160"/>
  <c r="C161"/>
  <c r="D161"/>
  <c r="AX161"/>
  <c r="C162"/>
  <c r="D162"/>
  <c r="AX162"/>
  <c r="C163"/>
  <c r="D163"/>
  <c r="AX163"/>
  <c r="C164"/>
  <c r="D164"/>
  <c r="AX164"/>
  <c r="C165"/>
  <c r="D165"/>
  <c r="AX165"/>
  <c r="C166"/>
  <c r="D166"/>
  <c r="AX166"/>
  <c r="C167"/>
  <c r="D167"/>
  <c r="AX167"/>
  <c r="C168"/>
  <c r="D168"/>
  <c r="AX168"/>
  <c r="C169"/>
  <c r="D169"/>
  <c r="AX169"/>
  <c r="C170"/>
  <c r="D170"/>
  <c r="AX170"/>
  <c r="C171"/>
  <c r="D171"/>
  <c r="AX171"/>
  <c r="C172"/>
  <c r="D172"/>
  <c r="AX172"/>
  <c r="C173"/>
  <c r="D173"/>
  <c r="AX173"/>
  <c r="C174"/>
  <c r="D174"/>
  <c r="AX174"/>
  <c r="C175"/>
  <c r="D175"/>
  <c r="AX175"/>
  <c r="C176"/>
  <c r="D176"/>
  <c r="AX176"/>
  <c r="C177"/>
  <c r="D177"/>
  <c r="AX177"/>
  <c r="C178"/>
  <c r="D178"/>
  <c r="AX178"/>
  <c r="C179"/>
  <c r="D179"/>
  <c r="AX179"/>
  <c r="C180"/>
  <c r="D180"/>
  <c r="AX180"/>
  <c r="C181"/>
  <c r="D181"/>
  <c r="AX181"/>
  <c r="C182"/>
  <c r="D182"/>
  <c r="AX182"/>
  <c r="C183"/>
  <c r="D183"/>
  <c r="AX183"/>
  <c r="C184"/>
  <c r="D184"/>
  <c r="AX184"/>
  <c r="C185"/>
  <c r="D185"/>
  <c r="AX185"/>
  <c r="C186"/>
  <c r="D186"/>
  <c r="AX186"/>
  <c r="C187"/>
  <c r="D187"/>
  <c r="AX187"/>
  <c r="C188"/>
  <c r="D188"/>
  <c r="AX188"/>
  <c r="C189"/>
  <c r="D189"/>
  <c r="AX189"/>
  <c r="C190"/>
  <c r="D190"/>
  <c r="AX190"/>
  <c r="C191"/>
  <c r="D191"/>
  <c r="AX191"/>
  <c r="C192"/>
  <c r="D192"/>
  <c r="AX192"/>
  <c r="C193"/>
  <c r="D193"/>
  <c r="AX193"/>
  <c r="C194"/>
  <c r="D194"/>
  <c r="AX194"/>
  <c r="C195"/>
  <c r="D195"/>
  <c r="AX195"/>
  <c r="C196"/>
  <c r="D196"/>
  <c r="AX196"/>
  <c r="C197"/>
  <c r="D197"/>
  <c r="AX197"/>
  <c r="C198"/>
  <c r="D198"/>
  <c r="AX198"/>
  <c r="C199"/>
  <c r="D199"/>
  <c r="AX199"/>
  <c r="C200"/>
  <c r="D200"/>
  <c r="AX200"/>
  <c r="C201"/>
  <c r="D201"/>
  <c r="AX201"/>
  <c r="C202"/>
  <c r="D202"/>
  <c r="AX202"/>
  <c r="C203"/>
  <c r="D203"/>
  <c r="AX203"/>
  <c r="C204"/>
  <c r="D204"/>
  <c r="AX204"/>
  <c r="C205"/>
  <c r="D205"/>
  <c r="AX205"/>
  <c r="C206"/>
  <c r="D206"/>
  <c r="AX206"/>
  <c r="C207"/>
  <c r="D207"/>
  <c r="AX207"/>
  <c r="C208"/>
  <c r="D208"/>
  <c r="AX208"/>
  <c r="C209"/>
  <c r="D209"/>
  <c r="AX209"/>
  <c r="C210"/>
  <c r="D210"/>
  <c r="AX210"/>
  <c r="C211"/>
  <c r="D211"/>
  <c r="AX211"/>
  <c r="C212"/>
  <c r="D212"/>
  <c r="AX212"/>
  <c r="C213"/>
  <c r="D213"/>
  <c r="AX213"/>
  <c r="C214"/>
  <c r="D214"/>
  <c r="AX214"/>
  <c r="C215"/>
  <c r="D215"/>
  <c r="AX215"/>
  <c r="C216"/>
  <c r="D216"/>
  <c r="AX216"/>
  <c r="C217"/>
  <c r="D217"/>
  <c r="AX217"/>
  <c r="C218"/>
  <c r="D218"/>
  <c r="AX218"/>
  <c r="C219"/>
  <c r="D219"/>
  <c r="AX219"/>
  <c r="C220"/>
  <c r="D220"/>
  <c r="AX220"/>
  <c r="C221"/>
  <c r="D221"/>
  <c r="AX221"/>
  <c r="C222"/>
  <c r="D222"/>
  <c r="AX222"/>
  <c r="C223"/>
  <c r="D223"/>
  <c r="AX223"/>
  <c r="C224"/>
  <c r="D224"/>
  <c r="AX224"/>
  <c r="C225"/>
  <c r="D225"/>
  <c r="AX225"/>
  <c r="C226"/>
  <c r="D226"/>
  <c r="AX226"/>
  <c r="C227"/>
  <c r="D227"/>
  <c r="AX227"/>
  <c r="C228"/>
  <c r="D228"/>
  <c r="AX228"/>
  <c r="C229"/>
  <c r="D229"/>
  <c r="AX229"/>
  <c r="C230"/>
  <c r="D230"/>
  <c r="AX230"/>
  <c r="C231"/>
  <c r="D231"/>
  <c r="AX231"/>
  <c r="C232"/>
  <c r="D232"/>
  <c r="AX232"/>
  <c r="C233"/>
  <c r="D233"/>
  <c r="AX233"/>
  <c r="C234"/>
  <c r="D234"/>
  <c r="AX234"/>
  <c r="C235"/>
  <c r="D235"/>
  <c r="AX235"/>
  <c r="C236"/>
  <c r="D236"/>
  <c r="AX236"/>
  <c r="C237"/>
  <c r="D237"/>
  <c r="AX237"/>
  <c r="C238"/>
  <c r="D238"/>
  <c r="AX238"/>
  <c r="C239"/>
  <c r="D239"/>
  <c r="AX239"/>
  <c r="C240"/>
  <c r="D240"/>
  <c r="AX240"/>
  <c r="C241"/>
  <c r="D241"/>
  <c r="AX241"/>
  <c r="C242"/>
  <c r="D242"/>
  <c r="AX242"/>
  <c r="C243"/>
  <c r="D243"/>
  <c r="AX243"/>
  <c r="C244"/>
  <c r="D244"/>
  <c r="AX244"/>
  <c r="C245"/>
  <c r="D245"/>
  <c r="AX245"/>
  <c r="C246"/>
  <c r="D246"/>
  <c r="AX246"/>
  <c r="C247"/>
  <c r="D247"/>
  <c r="AX247"/>
  <c r="C248"/>
  <c r="D248"/>
  <c r="AX248"/>
  <c r="C249"/>
  <c r="D249"/>
  <c r="AX249"/>
  <c r="C250"/>
  <c r="D250"/>
  <c r="AX250"/>
  <c r="C251"/>
  <c r="D251"/>
  <c r="AX251"/>
  <c r="C252"/>
  <c r="D252"/>
  <c r="AX252"/>
  <c r="C253"/>
  <c r="D253"/>
  <c r="AX253"/>
  <c r="C254"/>
  <c r="D254"/>
  <c r="AX254"/>
  <c r="C255"/>
  <c r="D255"/>
  <c r="AX255"/>
  <c r="C256"/>
  <c r="D256"/>
  <c r="AX256"/>
  <c r="C257"/>
  <c r="D257"/>
  <c r="AX257"/>
  <c r="C258"/>
  <c r="D258"/>
  <c r="AX258"/>
  <c r="C259"/>
  <c r="D259"/>
  <c r="AX259"/>
  <c r="C260"/>
  <c r="D260"/>
  <c r="AX260"/>
  <c r="C261"/>
  <c r="D261"/>
  <c r="AX261"/>
  <c r="C262"/>
  <c r="D262"/>
  <c r="AX262"/>
  <c r="C263"/>
  <c r="D263"/>
  <c r="AX263"/>
  <c r="C264"/>
  <c r="D264"/>
  <c r="AX264"/>
  <c r="C265"/>
  <c r="D265"/>
  <c r="AX265"/>
  <c r="C266"/>
  <c r="D266"/>
  <c r="AX266"/>
  <c r="C267"/>
  <c r="D267"/>
  <c r="AX267"/>
  <c r="C268"/>
  <c r="D268"/>
  <c r="AX268"/>
  <c r="C269"/>
  <c r="D269"/>
  <c r="AX269"/>
  <c r="C270"/>
  <c r="D270"/>
  <c r="AX270"/>
  <c r="C271"/>
  <c r="D271"/>
  <c r="AX271"/>
  <c r="C272"/>
  <c r="D272"/>
  <c r="AX272"/>
  <c r="C273"/>
  <c r="D273"/>
  <c r="AX273"/>
  <c r="C274"/>
  <c r="D274"/>
  <c r="AX274"/>
  <c r="C275"/>
  <c r="D275"/>
  <c r="AX275"/>
  <c r="C276"/>
  <c r="D276"/>
  <c r="AX276"/>
  <c r="C277"/>
  <c r="D277"/>
  <c r="AX277"/>
  <c r="C278"/>
  <c r="D278"/>
  <c r="AX278"/>
  <c r="C279"/>
  <c r="D279"/>
  <c r="AX279"/>
  <c r="C280"/>
  <c r="D280"/>
  <c r="AX280"/>
  <c r="C281"/>
  <c r="D281"/>
  <c r="AX281"/>
  <c r="C282"/>
  <c r="D282"/>
  <c r="AX282"/>
  <c r="C283"/>
  <c r="D283"/>
  <c r="AX283"/>
  <c r="C284"/>
  <c r="D284"/>
  <c r="AX284"/>
  <c r="C285"/>
  <c r="D285"/>
  <c r="AX285"/>
  <c r="C286"/>
  <c r="D286"/>
  <c r="AX286"/>
  <c r="C287"/>
  <c r="D287"/>
  <c r="AX287"/>
  <c r="C288"/>
  <c r="D288"/>
  <c r="AX288"/>
  <c r="C289"/>
  <c r="D289"/>
  <c r="AX289"/>
  <c r="C290"/>
  <c r="D290"/>
  <c r="AX290"/>
  <c r="C291"/>
  <c r="D291"/>
  <c r="AX291"/>
  <c r="C292"/>
  <c r="D292"/>
  <c r="AX292"/>
  <c r="C293"/>
  <c r="D293"/>
  <c r="AX293"/>
  <c r="C294"/>
  <c r="D294"/>
  <c r="AX294"/>
  <c r="C295"/>
  <c r="D295"/>
  <c r="AX295"/>
  <c r="C296"/>
  <c r="D296"/>
  <c r="AX296"/>
  <c r="C297"/>
  <c r="D297"/>
  <c r="AX297"/>
  <c r="C298"/>
  <c r="D298"/>
  <c r="AX298"/>
  <c r="C299"/>
  <c r="D299"/>
  <c r="AX299"/>
  <c r="C300"/>
  <c r="D300"/>
  <c r="AX300"/>
  <c r="C301"/>
  <c r="D301"/>
  <c r="AX301"/>
  <c r="C302"/>
  <c r="D302"/>
  <c r="AX302"/>
  <c r="C303"/>
  <c r="D303"/>
  <c r="AX303"/>
  <c r="C304"/>
  <c r="D304"/>
  <c r="AX304"/>
  <c r="C305"/>
  <c r="D305"/>
  <c r="AX305"/>
  <c r="C306"/>
  <c r="D306"/>
  <c r="AX306"/>
  <c r="C307"/>
  <c r="D307"/>
  <c r="AX307"/>
  <c r="C308"/>
  <c r="D308"/>
  <c r="AX308"/>
  <c r="C309"/>
  <c r="D309"/>
  <c r="AX309"/>
  <c r="C310"/>
  <c r="D310"/>
  <c r="AX310"/>
  <c r="C311"/>
  <c r="D311"/>
  <c r="AX311"/>
  <c r="C312"/>
  <c r="D312"/>
  <c r="AX312"/>
  <c r="C313"/>
  <c r="D313"/>
  <c r="AX313"/>
  <c r="C314"/>
  <c r="D314"/>
  <c r="AX314"/>
  <c r="C315"/>
  <c r="D315"/>
  <c r="AX315"/>
  <c r="C316"/>
  <c r="D316"/>
  <c r="AX316"/>
  <c r="C317"/>
  <c r="D317"/>
  <c r="AX317"/>
  <c r="C318"/>
  <c r="D318"/>
  <c r="AX318"/>
  <c r="C319"/>
  <c r="D319"/>
  <c r="AX319"/>
  <c r="C320"/>
  <c r="D320"/>
  <c r="AX320"/>
  <c r="C321"/>
  <c r="D321"/>
  <c r="AX321"/>
  <c r="C322"/>
  <c r="D322"/>
  <c r="AX322"/>
  <c r="C323"/>
  <c r="D323"/>
  <c r="AX323"/>
  <c r="C324"/>
  <c r="D324"/>
  <c r="AX324"/>
  <c r="C325"/>
  <c r="D325"/>
  <c r="AX325"/>
  <c r="C326"/>
  <c r="D326"/>
  <c r="AX326"/>
  <c r="C327"/>
  <c r="D327"/>
  <c r="AX327"/>
  <c r="C328"/>
  <c r="D328"/>
  <c r="AX328"/>
  <c r="C329"/>
  <c r="D329"/>
  <c r="AX329"/>
  <c r="C330"/>
  <c r="D330"/>
  <c r="AX330"/>
  <c r="C331"/>
  <c r="D331"/>
  <c r="AX331"/>
  <c r="C332"/>
  <c r="D332"/>
  <c r="AX332"/>
  <c r="C333"/>
  <c r="D333"/>
  <c r="AX333"/>
  <c r="C334"/>
  <c r="D334"/>
  <c r="AX334"/>
  <c r="C335"/>
  <c r="D335"/>
  <c r="AX335"/>
  <c r="C336"/>
  <c r="D336"/>
  <c r="AX336"/>
  <c r="C337"/>
  <c r="D337"/>
  <c r="AX337"/>
  <c r="C338"/>
  <c r="D338"/>
  <c r="AX338"/>
  <c r="C339"/>
  <c r="D339"/>
  <c r="AX339"/>
  <c r="C340"/>
  <c r="D340"/>
  <c r="AX340"/>
  <c r="C341"/>
  <c r="D341"/>
  <c r="AX341"/>
  <c r="C342"/>
  <c r="D342"/>
  <c r="AX342"/>
  <c r="C343"/>
  <c r="D343"/>
  <c r="AX343"/>
  <c r="C344"/>
  <c r="D344"/>
  <c r="AX344"/>
  <c r="C345"/>
  <c r="D345"/>
  <c r="AX345"/>
  <c r="C346"/>
  <c r="D346"/>
  <c r="AX346"/>
  <c r="C347"/>
  <c r="D347"/>
  <c r="AX347"/>
  <c r="C348"/>
  <c r="D348"/>
  <c r="AX348"/>
  <c r="C349"/>
  <c r="D349"/>
  <c r="AX349"/>
  <c r="C350"/>
  <c r="D350"/>
  <c r="AX350"/>
  <c r="C351"/>
  <c r="D351"/>
  <c r="AX351"/>
  <c r="C352"/>
  <c r="D352"/>
  <c r="AX352"/>
  <c r="C353"/>
  <c r="D353"/>
  <c r="AX353"/>
  <c r="C354"/>
  <c r="D354"/>
  <c r="AX354"/>
  <c r="C355"/>
  <c r="D355"/>
  <c r="AX355"/>
  <c r="C356"/>
  <c r="D356"/>
  <c r="AX356"/>
  <c r="C357"/>
  <c r="D357"/>
  <c r="AX357"/>
  <c r="C358"/>
  <c r="D358"/>
  <c r="AX358"/>
  <c r="C359"/>
  <c r="D359"/>
  <c r="AX359"/>
  <c r="C360"/>
  <c r="D360"/>
  <c r="AX360"/>
  <c r="C361"/>
  <c r="D361"/>
  <c r="AX361"/>
  <c r="C362"/>
  <c r="D362"/>
  <c r="AX362"/>
  <c r="C363"/>
  <c r="D363"/>
  <c r="AX363"/>
  <c r="C364"/>
  <c r="D364"/>
  <c r="AX364"/>
  <c r="C365"/>
  <c r="D365"/>
  <c r="AX365"/>
  <c r="C366"/>
  <c r="D366"/>
  <c r="AX366"/>
  <c r="C367"/>
  <c r="D367"/>
  <c r="AX367"/>
  <c r="C368"/>
  <c r="D368"/>
  <c r="AX368"/>
  <c r="C369"/>
  <c r="D369"/>
  <c r="AX369"/>
  <c r="C370"/>
  <c r="D370"/>
  <c r="AX370"/>
  <c r="C371"/>
  <c r="D371"/>
  <c r="AX371"/>
  <c r="C372"/>
  <c r="D372"/>
  <c r="AX372"/>
  <c r="C373"/>
  <c r="D373"/>
  <c r="AX373"/>
  <c r="C374"/>
  <c r="D374"/>
  <c r="AX374"/>
  <c r="C375"/>
  <c r="D375"/>
  <c r="AX375"/>
  <c r="C376"/>
  <c r="D376"/>
  <c r="AX376"/>
  <c r="C377"/>
  <c r="D377"/>
  <c r="AX377"/>
  <c r="C378"/>
  <c r="D378"/>
  <c r="AX378"/>
  <c r="C379"/>
  <c r="D379"/>
  <c r="AX379"/>
  <c r="C380"/>
  <c r="D380"/>
  <c r="AX380"/>
  <c r="C381"/>
  <c r="D381"/>
  <c r="AX381"/>
  <c r="C382"/>
  <c r="D382"/>
  <c r="AX382"/>
  <c r="C383"/>
  <c r="D383"/>
  <c r="AX383"/>
  <c r="C384"/>
  <c r="D384"/>
  <c r="AX384"/>
  <c r="C385"/>
  <c r="D385"/>
  <c r="AX385"/>
  <c r="C386"/>
  <c r="D386"/>
  <c r="AX386"/>
  <c r="C387"/>
  <c r="D387"/>
  <c r="AX387"/>
  <c r="C388"/>
  <c r="D388"/>
  <c r="AX388"/>
  <c r="C389"/>
  <c r="D389"/>
  <c r="AX389"/>
  <c r="C390"/>
  <c r="D390"/>
  <c r="AX390"/>
  <c r="C391"/>
  <c r="D391"/>
  <c r="AX391"/>
  <c r="C392"/>
  <c r="D392"/>
  <c r="AX392"/>
  <c r="C393"/>
  <c r="D393"/>
  <c r="AX393"/>
  <c r="C394"/>
  <c r="D394"/>
  <c r="AX394"/>
  <c r="C395"/>
  <c r="D395"/>
  <c r="AX395"/>
  <c r="C396"/>
  <c r="D396"/>
  <c r="AX396"/>
  <c r="C397"/>
  <c r="D397"/>
  <c r="AX397"/>
  <c r="C398"/>
  <c r="D398"/>
  <c r="AX398"/>
  <c r="C399"/>
  <c r="D399"/>
  <c r="AX399"/>
  <c r="C400"/>
  <c r="D400"/>
  <c r="AX400"/>
  <c r="C401"/>
  <c r="D401"/>
  <c r="AX401"/>
  <c r="C402"/>
  <c r="D402"/>
  <c r="AX402"/>
  <c r="C403"/>
  <c r="D403"/>
  <c r="AX403"/>
  <c r="C404"/>
  <c r="D404"/>
  <c r="AX404"/>
  <c r="C405"/>
  <c r="D405"/>
  <c r="AX405"/>
  <c r="C406"/>
  <c r="D406"/>
  <c r="AX406"/>
  <c r="C407"/>
  <c r="D407"/>
  <c r="AX407"/>
  <c r="C408"/>
  <c r="D408"/>
  <c r="AX408"/>
  <c r="C409"/>
  <c r="D409"/>
  <c r="AX409"/>
  <c r="C410"/>
  <c r="D410"/>
  <c r="AX410"/>
  <c r="C411"/>
  <c r="D411"/>
  <c r="AX411"/>
  <c r="C412"/>
  <c r="D412"/>
  <c r="AX412"/>
  <c r="C413"/>
  <c r="D413"/>
  <c r="AX413"/>
  <c r="C414"/>
  <c r="D414"/>
  <c r="AX414"/>
  <c r="C415"/>
  <c r="D415"/>
  <c r="AX415"/>
  <c r="C416"/>
  <c r="D416"/>
  <c r="AX416"/>
  <c r="C417"/>
  <c r="D417"/>
  <c r="AX417"/>
  <c r="C418"/>
  <c r="D418"/>
  <c r="AX418"/>
  <c r="C419"/>
  <c r="D419"/>
  <c r="AX419"/>
  <c r="C420"/>
  <c r="D420"/>
  <c r="AX420"/>
  <c r="C421"/>
  <c r="D421"/>
  <c r="AX421"/>
  <c r="C422"/>
  <c r="D422"/>
  <c r="AX422"/>
  <c r="C423"/>
  <c r="D423"/>
  <c r="AX423"/>
  <c r="C424"/>
  <c r="D424"/>
  <c r="AX424"/>
  <c r="C425"/>
  <c r="D425"/>
  <c r="AX425"/>
  <c r="C426"/>
  <c r="D426"/>
  <c r="AX426"/>
  <c r="C427"/>
  <c r="D427"/>
  <c r="AX427"/>
  <c r="C428"/>
  <c r="D428"/>
  <c r="AX428"/>
  <c r="C429"/>
  <c r="D429"/>
  <c r="AX429"/>
  <c r="C430"/>
  <c r="D430"/>
  <c r="AX430"/>
  <c r="C431"/>
  <c r="D431"/>
  <c r="AX431"/>
  <c r="C432"/>
  <c r="D432"/>
  <c r="AX432"/>
  <c r="C433"/>
  <c r="D433"/>
  <c r="AX433"/>
  <c r="C434"/>
  <c r="D434"/>
  <c r="AX434"/>
  <c r="C435"/>
  <c r="D435"/>
  <c r="AX435"/>
  <c r="C436"/>
  <c r="D436"/>
  <c r="AX436"/>
  <c r="C437"/>
  <c r="D437"/>
  <c r="AX437"/>
  <c r="C438"/>
  <c r="D438"/>
  <c r="AX438"/>
  <c r="C439"/>
  <c r="D439"/>
  <c r="AX439"/>
  <c r="C440"/>
  <c r="D440"/>
  <c r="AX440"/>
  <c r="C441"/>
  <c r="D441"/>
  <c r="AX441"/>
  <c r="C442"/>
  <c r="D442"/>
  <c r="AX442"/>
  <c r="C443"/>
  <c r="D443"/>
  <c r="AX443"/>
  <c r="C444"/>
  <c r="D444"/>
  <c r="AX444"/>
  <c r="C445"/>
  <c r="D445"/>
  <c r="AX445"/>
  <c r="C446"/>
  <c r="D446"/>
  <c r="AX446"/>
  <c r="C447"/>
  <c r="D447"/>
  <c r="AX447"/>
  <c r="C448"/>
  <c r="D448"/>
  <c r="AX448"/>
  <c r="C449"/>
  <c r="D449"/>
  <c r="AX449"/>
  <c r="C450"/>
  <c r="D450"/>
  <c r="AX450"/>
  <c r="C451"/>
  <c r="D451"/>
  <c r="AX451"/>
  <c r="C452"/>
  <c r="D452"/>
  <c r="AX452"/>
  <c r="C453"/>
  <c r="D453"/>
  <c r="AX453"/>
  <c r="C454"/>
  <c r="D454"/>
  <c r="AX454"/>
  <c r="C455"/>
  <c r="D455"/>
  <c r="AX455"/>
  <c r="C456"/>
  <c r="D456"/>
  <c r="AX456"/>
  <c r="C457"/>
  <c r="D457"/>
  <c r="AX457"/>
  <c r="C458"/>
  <c r="D458"/>
  <c r="AX458"/>
  <c r="C459"/>
  <c r="D459"/>
  <c r="AX459"/>
  <c r="C460"/>
  <c r="D460"/>
  <c r="AX460"/>
  <c r="C461"/>
  <c r="D461"/>
  <c r="AX461"/>
  <c r="C462"/>
  <c r="D462"/>
  <c r="AX462"/>
  <c r="C463"/>
  <c r="D463"/>
  <c r="AX463"/>
  <c r="C464"/>
  <c r="D464"/>
  <c r="AX464"/>
  <c r="C465"/>
  <c r="D465"/>
  <c r="AX465"/>
  <c r="C466"/>
  <c r="D466"/>
  <c r="AX466"/>
  <c r="C467"/>
  <c r="D467"/>
  <c r="AX467"/>
  <c r="C468"/>
  <c r="D468"/>
  <c r="AX468"/>
  <c r="C469"/>
  <c r="D469"/>
  <c r="AX469"/>
  <c r="C470"/>
  <c r="D470"/>
  <c r="AX470"/>
  <c r="C471"/>
  <c r="D471"/>
  <c r="AX471"/>
  <c r="C472"/>
  <c r="D472"/>
  <c r="AX472"/>
  <c r="C473"/>
  <c r="D473"/>
  <c r="AX473"/>
  <c r="C474"/>
  <c r="D474"/>
  <c r="AX474"/>
  <c r="C475"/>
  <c r="D475"/>
  <c r="AX475"/>
  <c r="C476"/>
  <c r="D476"/>
  <c r="AX476"/>
  <c r="C477"/>
  <c r="D477"/>
  <c r="AX477"/>
  <c r="C478"/>
  <c r="D478"/>
  <c r="AX478"/>
  <c r="C479"/>
  <c r="D479"/>
  <c r="AX479"/>
  <c r="C480"/>
  <c r="D480"/>
  <c r="AX480"/>
  <c r="C481"/>
  <c r="D481"/>
  <c r="AX481"/>
  <c r="C482"/>
  <c r="D482"/>
  <c r="AX482"/>
  <c r="C483"/>
  <c r="D483"/>
  <c r="AX483"/>
  <c r="C484"/>
  <c r="D484"/>
  <c r="AX484"/>
  <c r="C485"/>
  <c r="D485"/>
  <c r="AX485"/>
  <c r="C486"/>
  <c r="D486"/>
  <c r="AX486"/>
  <c r="C487"/>
  <c r="D487"/>
  <c r="AX487"/>
  <c r="C488"/>
  <c r="D488"/>
  <c r="AX488"/>
  <c r="C489"/>
  <c r="D489"/>
  <c r="AX489"/>
  <c r="C490"/>
  <c r="D490"/>
  <c r="AX490"/>
  <c r="C491"/>
  <c r="D491"/>
  <c r="AX491"/>
  <c r="C492"/>
  <c r="D492"/>
  <c r="AX492"/>
  <c r="C493"/>
  <c r="D493"/>
  <c r="AX493"/>
  <c r="C494"/>
  <c r="D494"/>
  <c r="AX494"/>
  <c r="C495"/>
  <c r="D495"/>
  <c r="AX495"/>
  <c r="C496"/>
  <c r="D496"/>
  <c r="AX496"/>
  <c r="C497"/>
  <c r="D497"/>
  <c r="AX497"/>
  <c r="C498"/>
  <c r="D498"/>
  <c r="AX498"/>
  <c r="C499"/>
  <c r="D499"/>
  <c r="AX499"/>
  <c r="C500"/>
  <c r="D500"/>
  <c r="AX500"/>
  <c r="C501"/>
  <c r="D501"/>
  <c r="AX501"/>
  <c r="C502"/>
  <c r="D502"/>
  <c r="AX502"/>
  <c r="C503"/>
  <c r="D503"/>
  <c r="AX503"/>
  <c r="C504"/>
  <c r="D504"/>
  <c r="AX504"/>
  <c r="C505"/>
  <c r="D505"/>
  <c r="AX505"/>
  <c r="C506"/>
  <c r="D506"/>
  <c r="AX506"/>
  <c r="C507"/>
  <c r="D507"/>
  <c r="AX507"/>
  <c r="C508"/>
  <c r="D508"/>
  <c r="AX508"/>
  <c r="C509"/>
  <c r="D509"/>
  <c r="AX509"/>
  <c r="C510"/>
  <c r="D510"/>
  <c r="AX510"/>
  <c r="C511"/>
  <c r="D511"/>
  <c r="AX511"/>
  <c r="C512"/>
  <c r="D512"/>
  <c r="AX512"/>
  <c r="C513"/>
  <c r="D513"/>
  <c r="AX513"/>
  <c r="C514"/>
  <c r="D514"/>
  <c r="AX514"/>
  <c r="C515"/>
  <c r="D515"/>
  <c r="AX515"/>
  <c r="C516"/>
  <c r="D516"/>
  <c r="AX516"/>
  <c r="C517"/>
  <c r="D517"/>
  <c r="AX517"/>
  <c r="C518"/>
  <c r="D518"/>
  <c r="AX518"/>
  <c r="C519"/>
  <c r="D519"/>
  <c r="AX519"/>
  <c r="C520"/>
  <c r="D520"/>
  <c r="AX520"/>
  <c r="C521"/>
  <c r="D521"/>
  <c r="AX521"/>
  <c r="C522"/>
  <c r="D522"/>
  <c r="AX522"/>
  <c r="C523"/>
  <c r="D523"/>
  <c r="AX523"/>
  <c r="C524"/>
  <c r="D524"/>
  <c r="AX524"/>
  <c r="C525"/>
  <c r="D525"/>
  <c r="AX525"/>
  <c r="C526"/>
  <c r="D526"/>
  <c r="AX526"/>
  <c r="C527"/>
  <c r="D527"/>
  <c r="AX527"/>
  <c r="C528"/>
  <c r="D528"/>
  <c r="AX528"/>
  <c r="C529"/>
  <c r="D529"/>
  <c r="AX529"/>
  <c r="C530"/>
  <c r="D530"/>
  <c r="AX530"/>
  <c r="C531"/>
  <c r="D531"/>
  <c r="AX531"/>
  <c r="C532"/>
  <c r="D532"/>
  <c r="AX532"/>
  <c r="C533"/>
  <c r="D533"/>
  <c r="AX533"/>
  <c r="C534"/>
  <c r="D534"/>
  <c r="AX534"/>
  <c r="C535"/>
  <c r="D535"/>
  <c r="AX535"/>
  <c r="C536"/>
  <c r="D536"/>
  <c r="AX536"/>
  <c r="C537"/>
  <c r="D537"/>
  <c r="AX537"/>
  <c r="C538"/>
  <c r="D538"/>
  <c r="AX538"/>
  <c r="C539"/>
  <c r="D539"/>
  <c r="AX539"/>
  <c r="C540"/>
  <c r="D540"/>
  <c r="AX540"/>
  <c r="C541"/>
  <c r="D541"/>
  <c r="AX541"/>
  <c r="C542"/>
  <c r="D542"/>
  <c r="AX542"/>
  <c r="C543"/>
  <c r="D543"/>
  <c r="AX543"/>
  <c r="C544"/>
  <c r="D544"/>
  <c r="AX544"/>
  <c r="C545"/>
  <c r="D545"/>
  <c r="AX545"/>
  <c r="C546"/>
  <c r="D546"/>
  <c r="AX546"/>
  <c r="C547"/>
  <c r="D547"/>
  <c r="AX547"/>
  <c r="C548"/>
  <c r="D548"/>
  <c r="AX548"/>
  <c r="C549"/>
  <c r="D549"/>
  <c r="AX549"/>
  <c r="C550"/>
  <c r="D550"/>
  <c r="AX550"/>
  <c r="C551"/>
  <c r="D551"/>
  <c r="AX551"/>
  <c r="C552"/>
  <c r="D552"/>
  <c r="AX552"/>
  <c r="C553"/>
  <c r="D553"/>
  <c r="AX553"/>
  <c r="C554"/>
  <c r="D554"/>
  <c r="AX554"/>
  <c r="C555"/>
  <c r="D555"/>
  <c r="AX555"/>
  <c r="C556"/>
  <c r="D556"/>
  <c r="AX556"/>
  <c r="C557"/>
  <c r="D557"/>
  <c r="AX557"/>
  <c r="C558"/>
  <c r="D558"/>
  <c r="AX558"/>
  <c r="C559"/>
  <c r="D559"/>
  <c r="AX559"/>
  <c r="C560"/>
  <c r="D560"/>
  <c r="AX560"/>
  <c r="C561"/>
  <c r="D561"/>
  <c r="AX561"/>
  <c r="C562"/>
  <c r="D562"/>
  <c r="AX562"/>
  <c r="C563"/>
  <c r="D563"/>
  <c r="AX563"/>
  <c r="C564"/>
  <c r="D564"/>
  <c r="AX564"/>
  <c r="C565"/>
  <c r="D565"/>
  <c r="AX565"/>
  <c r="C566"/>
  <c r="D566"/>
  <c r="AX566"/>
  <c r="C567"/>
  <c r="D567"/>
  <c r="AX567"/>
  <c r="C568"/>
  <c r="D568"/>
  <c r="AX568"/>
  <c r="C569"/>
  <c r="D569"/>
  <c r="AX569"/>
  <c r="C570"/>
  <c r="D570"/>
  <c r="AX570"/>
  <c r="C571"/>
  <c r="D571"/>
  <c r="AX571"/>
  <c r="C572"/>
  <c r="D572"/>
  <c r="AX572"/>
  <c r="C573"/>
  <c r="D573"/>
  <c r="AX573"/>
  <c r="C574"/>
  <c r="D574"/>
  <c r="AX574"/>
  <c r="C575"/>
  <c r="D575"/>
  <c r="AX575"/>
  <c r="C576"/>
  <c r="D576"/>
  <c r="AX576"/>
  <c r="C577"/>
  <c r="D577"/>
  <c r="AX577"/>
  <c r="C578"/>
  <c r="D578"/>
  <c r="AX578"/>
  <c r="C579"/>
  <c r="D579"/>
  <c r="AX579"/>
  <c r="C580"/>
  <c r="D580"/>
  <c r="AX580"/>
  <c r="C581"/>
  <c r="D581"/>
  <c r="AX581"/>
  <c r="C582"/>
  <c r="D582"/>
  <c r="AX582"/>
  <c r="C583"/>
  <c r="D583"/>
  <c r="AX583"/>
  <c r="C584"/>
  <c r="D584"/>
  <c r="AX584"/>
  <c r="C585"/>
  <c r="D585"/>
  <c r="AX585"/>
  <c r="C586"/>
  <c r="D586"/>
  <c r="AX586"/>
  <c r="C587"/>
  <c r="D587"/>
  <c r="AX587"/>
  <c r="C588"/>
  <c r="D588"/>
  <c r="AX588"/>
  <c r="C589"/>
  <c r="D589"/>
  <c r="AX589"/>
  <c r="C590"/>
  <c r="D590"/>
  <c r="AX590"/>
  <c r="C591"/>
  <c r="D591"/>
  <c r="AX591"/>
  <c r="C592"/>
  <c r="D592"/>
  <c r="AX592"/>
  <c r="C593"/>
  <c r="D593"/>
  <c r="AX593"/>
  <c r="C594"/>
  <c r="D594"/>
  <c r="AX594"/>
  <c r="C595"/>
  <c r="D595"/>
  <c r="AX595"/>
  <c r="C596"/>
  <c r="D596"/>
  <c r="AX596"/>
  <c r="C597"/>
  <c r="D597"/>
  <c r="AX597"/>
  <c r="C598"/>
  <c r="D598"/>
  <c r="AX598"/>
  <c r="C599"/>
  <c r="D599"/>
  <c r="AX599"/>
  <c r="C600"/>
  <c r="D600"/>
  <c r="AX600"/>
  <c r="C601"/>
  <c r="D601"/>
  <c r="AX601"/>
  <c r="C602"/>
  <c r="D602"/>
  <c r="AX602"/>
  <c r="C603"/>
  <c r="D603"/>
  <c r="AX603"/>
  <c r="C604"/>
  <c r="D604"/>
  <c r="AX604"/>
  <c r="C605"/>
  <c r="D605"/>
  <c r="AX605"/>
  <c r="C606"/>
  <c r="D606"/>
  <c r="AX606"/>
  <c r="C607"/>
  <c r="D607"/>
  <c r="AX607"/>
  <c r="C608"/>
  <c r="D608"/>
  <c r="AX608"/>
  <c r="C609"/>
  <c r="D609"/>
  <c r="AX609"/>
  <c r="C610"/>
  <c r="D610"/>
  <c r="AX610"/>
  <c r="C611"/>
  <c r="D611"/>
  <c r="AX611"/>
  <c r="C612"/>
  <c r="D612"/>
  <c r="AX612"/>
  <c r="C613"/>
  <c r="D613"/>
  <c r="AX613"/>
  <c r="C614"/>
  <c r="D614"/>
  <c r="AX614"/>
  <c r="C615"/>
  <c r="D615"/>
  <c r="AX615"/>
  <c r="C616"/>
  <c r="D616"/>
  <c r="AX616"/>
  <c r="C617"/>
  <c r="D617"/>
  <c r="AX617"/>
  <c r="C618"/>
  <c r="D618"/>
  <c r="AX618"/>
  <c r="C619"/>
  <c r="D619"/>
  <c r="AX619"/>
  <c r="C620"/>
  <c r="D620"/>
  <c r="AX620"/>
  <c r="C621"/>
  <c r="D621"/>
  <c r="AX621"/>
  <c r="C622"/>
  <c r="D622"/>
  <c r="AX622"/>
  <c r="C623"/>
  <c r="D623"/>
  <c r="AX623"/>
  <c r="C624"/>
  <c r="D624"/>
  <c r="AX624"/>
  <c r="C625"/>
  <c r="D625"/>
  <c r="AX625"/>
  <c r="C626"/>
  <c r="D626"/>
  <c r="AX626"/>
  <c r="C627"/>
  <c r="D627"/>
  <c r="AX627"/>
  <c r="C628"/>
  <c r="D628"/>
  <c r="AX628"/>
  <c r="C629"/>
  <c r="D629"/>
  <c r="AX629"/>
  <c r="C630"/>
  <c r="D630"/>
  <c r="AX630"/>
  <c r="C631"/>
  <c r="D631"/>
  <c r="AX631"/>
  <c r="C632"/>
  <c r="D632"/>
  <c r="AX632"/>
  <c r="C633"/>
  <c r="D633"/>
  <c r="AX633"/>
  <c r="C634"/>
  <c r="D634"/>
  <c r="AX634"/>
  <c r="C635"/>
  <c r="D635"/>
  <c r="AX635"/>
  <c r="C636"/>
  <c r="D636"/>
  <c r="AX636"/>
  <c r="C637"/>
  <c r="D637"/>
  <c r="AX637"/>
  <c r="C638"/>
  <c r="D638"/>
  <c r="AX638"/>
  <c r="C639"/>
  <c r="D639"/>
  <c r="AX639"/>
  <c r="C640"/>
  <c r="D640"/>
  <c r="AX640"/>
  <c r="C641"/>
  <c r="D641"/>
  <c r="AX641"/>
  <c r="C642"/>
  <c r="D642"/>
  <c r="AX642"/>
  <c r="C643"/>
  <c r="D643"/>
  <c r="AX643"/>
  <c r="C644"/>
  <c r="D644"/>
  <c r="AX644"/>
  <c r="C645"/>
  <c r="D645"/>
  <c r="AX645"/>
  <c r="C646"/>
  <c r="D646"/>
  <c r="AX646"/>
  <c r="C647"/>
  <c r="D647"/>
  <c r="AX647"/>
  <c r="C648"/>
  <c r="D648"/>
  <c r="AX648"/>
  <c r="C649"/>
  <c r="D649"/>
  <c r="AX649"/>
  <c r="C650"/>
  <c r="D650"/>
  <c r="AX650"/>
  <c r="C651"/>
  <c r="D651"/>
  <c r="AX651"/>
  <c r="C652"/>
  <c r="D652"/>
  <c r="AX652"/>
  <c r="C653"/>
  <c r="D653"/>
  <c r="AX653"/>
  <c r="C654"/>
  <c r="D654"/>
  <c r="AX654"/>
  <c r="C655"/>
  <c r="D655"/>
  <c r="AX655"/>
  <c r="C656"/>
  <c r="D656"/>
  <c r="AX656"/>
  <c r="C657"/>
  <c r="D657"/>
  <c r="AX657"/>
  <c r="C658"/>
  <c r="D658"/>
  <c r="AX658"/>
  <c r="C659"/>
  <c r="D659"/>
  <c r="AX659"/>
  <c r="C660"/>
  <c r="D660"/>
  <c r="AX660"/>
  <c r="C661"/>
  <c r="D661"/>
  <c r="AX661"/>
  <c r="C662"/>
  <c r="D662"/>
  <c r="AX662"/>
  <c r="C663"/>
  <c r="D663"/>
  <c r="AX663"/>
  <c r="C664"/>
  <c r="D664"/>
  <c r="AX664"/>
  <c r="C665"/>
  <c r="D665"/>
  <c r="AX665"/>
  <c r="C666"/>
  <c r="D666"/>
  <c r="AX666"/>
  <c r="C667"/>
  <c r="D667"/>
  <c r="AX667"/>
  <c r="C668"/>
  <c r="D668"/>
  <c r="AX668"/>
  <c r="C669"/>
  <c r="D669"/>
  <c r="AX669"/>
  <c r="C670"/>
  <c r="D670"/>
  <c r="AX670"/>
  <c r="C671"/>
  <c r="D671"/>
  <c r="AX671"/>
  <c r="C672"/>
  <c r="D672"/>
  <c r="AX672"/>
  <c r="C673"/>
  <c r="D673"/>
  <c r="AX673"/>
  <c r="C674"/>
  <c r="D674"/>
  <c r="AX674"/>
  <c r="C675"/>
  <c r="D675"/>
  <c r="AX675"/>
  <c r="C676"/>
  <c r="D676"/>
  <c r="AX676"/>
  <c r="C677"/>
  <c r="D677"/>
  <c r="AX677"/>
  <c r="C678"/>
  <c r="D678"/>
  <c r="AX678"/>
  <c r="C679"/>
  <c r="D679"/>
  <c r="AX679"/>
  <c r="C680"/>
  <c r="D680"/>
  <c r="AX680"/>
  <c r="C681"/>
  <c r="D681"/>
  <c r="AX681"/>
  <c r="C682"/>
  <c r="D682"/>
  <c r="AX682"/>
  <c r="C683"/>
  <c r="D683"/>
  <c r="AX683"/>
  <c r="C684"/>
  <c r="D684"/>
  <c r="AX684"/>
  <c r="C685"/>
  <c r="D685"/>
  <c r="AX685"/>
  <c r="C686"/>
  <c r="D686"/>
  <c r="AX686"/>
  <c r="C687"/>
  <c r="D687"/>
  <c r="AX687"/>
  <c r="C688"/>
  <c r="D688"/>
  <c r="AX688"/>
  <c r="C689"/>
  <c r="D689"/>
  <c r="AX689"/>
  <c r="C690"/>
  <c r="D690"/>
  <c r="AX690"/>
  <c r="C691"/>
  <c r="D691"/>
  <c r="AX691"/>
  <c r="C692"/>
  <c r="D692"/>
  <c r="AX692"/>
  <c r="C693"/>
  <c r="D693"/>
  <c r="AX693"/>
  <c r="C694"/>
  <c r="D694"/>
  <c r="AX694"/>
  <c r="C695"/>
  <c r="D695"/>
  <c r="AX695"/>
  <c r="C696"/>
  <c r="D696"/>
  <c r="AX696"/>
  <c r="C697"/>
  <c r="D697"/>
  <c r="AX697"/>
  <c r="C698"/>
  <c r="D698"/>
  <c r="AX698"/>
  <c r="C699"/>
  <c r="D699"/>
  <c r="AX699"/>
  <c r="C700"/>
  <c r="D700"/>
  <c r="AX700"/>
  <c r="C701"/>
  <c r="D701"/>
  <c r="AX701"/>
  <c r="C702"/>
  <c r="D702"/>
  <c r="AX702"/>
  <c r="C703"/>
  <c r="D703"/>
  <c r="AX703"/>
  <c r="C704"/>
  <c r="D704"/>
  <c r="AX704"/>
  <c r="C705"/>
  <c r="D705"/>
  <c r="AX705"/>
  <c r="C706"/>
  <c r="D706"/>
  <c r="AX706"/>
  <c r="C707"/>
  <c r="D707"/>
  <c r="AX707"/>
  <c r="C708"/>
  <c r="D708"/>
  <c r="AX708"/>
  <c r="C709"/>
  <c r="D709"/>
  <c r="AX709"/>
  <c r="C710"/>
  <c r="D710"/>
  <c r="AX710"/>
  <c r="C711"/>
  <c r="D711"/>
  <c r="AX711"/>
  <c r="C712"/>
  <c r="D712"/>
  <c r="AX712"/>
  <c r="C713"/>
  <c r="D713"/>
  <c r="AX713"/>
  <c r="C714"/>
  <c r="D714"/>
  <c r="AX714"/>
  <c r="C715"/>
  <c r="D715"/>
  <c r="AX715"/>
  <c r="C716"/>
  <c r="D716"/>
  <c r="AX716"/>
  <c r="C717"/>
  <c r="D717"/>
  <c r="AX717"/>
  <c r="C718"/>
  <c r="D718"/>
  <c r="AX718"/>
  <c r="C719"/>
  <c r="D719"/>
  <c r="AX719"/>
  <c r="C720"/>
  <c r="D720"/>
  <c r="AX720"/>
  <c r="C721"/>
  <c r="D721"/>
  <c r="AX721"/>
  <c r="C722"/>
  <c r="D722"/>
  <c r="AX722"/>
  <c r="C723"/>
  <c r="D723"/>
  <c r="AX723"/>
  <c r="C724"/>
  <c r="D724"/>
  <c r="AX724"/>
  <c r="C725"/>
  <c r="D725"/>
  <c r="AX725"/>
  <c r="C726"/>
  <c r="D726"/>
  <c r="AX726"/>
  <c r="C727"/>
  <c r="D727"/>
  <c r="AX727"/>
  <c r="C728"/>
  <c r="D728"/>
  <c r="AX728"/>
  <c r="C729"/>
  <c r="D729"/>
  <c r="AX729"/>
  <c r="C730"/>
  <c r="D730"/>
  <c r="AX730"/>
  <c r="C731"/>
  <c r="D731"/>
  <c r="AX731"/>
  <c r="C732"/>
  <c r="D732"/>
  <c r="AX732"/>
  <c r="C733"/>
  <c r="D733"/>
  <c r="AX733"/>
  <c r="C734"/>
  <c r="D734"/>
  <c r="AX734"/>
  <c r="C735"/>
  <c r="D735"/>
  <c r="AX735"/>
  <c r="C736"/>
  <c r="D736"/>
  <c r="AX736"/>
  <c r="C737"/>
  <c r="D737"/>
  <c r="AX737"/>
  <c r="C738"/>
  <c r="D738"/>
  <c r="AX738"/>
  <c r="C739"/>
  <c r="D739"/>
  <c r="AX739"/>
  <c r="C740"/>
  <c r="D740"/>
  <c r="AX740"/>
  <c r="C741"/>
  <c r="D741"/>
  <c r="AX741"/>
  <c r="C742"/>
  <c r="D742"/>
  <c r="AX742"/>
  <c r="C743"/>
  <c r="D743"/>
  <c r="AX743"/>
  <c r="C744"/>
  <c r="D744"/>
  <c r="AX744"/>
  <c r="C745"/>
  <c r="D745"/>
  <c r="AX745"/>
  <c r="C746"/>
  <c r="D746"/>
  <c r="AX746"/>
  <c r="C747"/>
  <c r="D747"/>
  <c r="AX747"/>
  <c r="C748"/>
  <c r="D748"/>
  <c r="AX748"/>
  <c r="C749"/>
  <c r="D749"/>
  <c r="AX749"/>
  <c r="C750"/>
  <c r="D750"/>
  <c r="AX750"/>
  <c r="C751"/>
  <c r="D751"/>
  <c r="AX751"/>
  <c r="C752"/>
  <c r="D752"/>
  <c r="AX752"/>
  <c r="C753"/>
  <c r="D753"/>
  <c r="AX753"/>
  <c r="C754"/>
  <c r="D754"/>
  <c r="AX754"/>
  <c r="C755"/>
  <c r="D755"/>
  <c r="AX755"/>
  <c r="C756"/>
  <c r="D756"/>
  <c r="AX756"/>
  <c r="C757"/>
  <c r="D757"/>
  <c r="AX757"/>
  <c r="C758"/>
  <c r="D758"/>
  <c r="AX758"/>
  <c r="C759"/>
  <c r="D759"/>
  <c r="AX759"/>
  <c r="C760"/>
  <c r="D760"/>
  <c r="AX760"/>
  <c r="C761"/>
  <c r="D761"/>
  <c r="AX761"/>
  <c r="C762"/>
  <c r="D762"/>
  <c r="AX762"/>
  <c r="C763"/>
  <c r="D763"/>
  <c r="AX763"/>
  <c r="C764"/>
  <c r="D764"/>
  <c r="AX764"/>
  <c r="C765"/>
  <c r="D765"/>
  <c r="AX765"/>
  <c r="C766"/>
  <c r="D766"/>
  <c r="AX766"/>
  <c r="C767"/>
  <c r="D767"/>
  <c r="AX767"/>
  <c r="C768"/>
  <c r="D768"/>
  <c r="AX768"/>
  <c r="C769"/>
  <c r="D769"/>
  <c r="AX769"/>
  <c r="C770"/>
  <c r="D770"/>
  <c r="AX770"/>
  <c r="C771"/>
  <c r="D771"/>
  <c r="AX771"/>
  <c r="C772"/>
  <c r="D772"/>
  <c r="AX772"/>
  <c r="C773"/>
  <c r="D773"/>
  <c r="AX773"/>
  <c r="C774"/>
  <c r="D774"/>
  <c r="AX774"/>
  <c r="C775"/>
  <c r="D775"/>
  <c r="AX775"/>
  <c r="C776"/>
  <c r="D776"/>
  <c r="AX776"/>
  <c r="C777"/>
  <c r="D777"/>
  <c r="AX777"/>
  <c r="C778"/>
  <c r="D778"/>
  <c r="AX778"/>
  <c r="C779"/>
  <c r="D779"/>
  <c r="AX779"/>
  <c r="C780"/>
  <c r="D780"/>
  <c r="AX780"/>
  <c r="C781"/>
  <c r="D781"/>
  <c r="AX781"/>
  <c r="C782"/>
  <c r="D782"/>
  <c r="AX782"/>
  <c r="C783"/>
  <c r="D783"/>
  <c r="AX783"/>
  <c r="C784"/>
  <c r="D784"/>
  <c r="AX784"/>
  <c r="C785"/>
  <c r="D785"/>
  <c r="AX785"/>
  <c r="C786"/>
  <c r="D786"/>
  <c r="AX786"/>
  <c r="C787"/>
  <c r="D787"/>
  <c r="AX787"/>
  <c r="C788"/>
  <c r="D788"/>
  <c r="AX788"/>
  <c r="C789"/>
  <c r="D789"/>
  <c r="AX789"/>
  <c r="C790"/>
  <c r="D790"/>
  <c r="AX790"/>
  <c r="C791"/>
  <c r="D791"/>
  <c r="AX791"/>
  <c r="C792"/>
  <c r="D792"/>
  <c r="AX792"/>
  <c r="C793"/>
  <c r="D793"/>
  <c r="AX793"/>
  <c r="C794"/>
  <c r="D794"/>
  <c r="AX794"/>
  <c r="C795"/>
  <c r="D795"/>
  <c r="AX795"/>
  <c r="C796"/>
  <c r="D796"/>
  <c r="AX796"/>
  <c r="C797"/>
  <c r="D797"/>
  <c r="AX797"/>
  <c r="C798"/>
  <c r="D798"/>
  <c r="AX798"/>
  <c r="C799"/>
  <c r="D799"/>
  <c r="AX799"/>
  <c r="C800"/>
  <c r="D800"/>
  <c r="AX800"/>
  <c r="C801"/>
  <c r="D801"/>
  <c r="AX801"/>
  <c r="C802"/>
  <c r="D802"/>
  <c r="AX802"/>
  <c r="C803"/>
  <c r="D803"/>
  <c r="AX803"/>
  <c r="C804"/>
  <c r="D804"/>
  <c r="AX804"/>
  <c r="C805"/>
  <c r="D805"/>
  <c r="AX805"/>
  <c r="C806"/>
  <c r="D806"/>
  <c r="AX806"/>
  <c r="C807"/>
  <c r="D807"/>
  <c r="AX807"/>
  <c r="C808"/>
  <c r="D808"/>
  <c r="AX808"/>
  <c r="C809"/>
  <c r="D809"/>
  <c r="AX809"/>
  <c r="C810"/>
  <c r="D810"/>
  <c r="AX810"/>
  <c r="C811"/>
  <c r="D811"/>
  <c r="AX811"/>
  <c r="C812"/>
  <c r="D812"/>
  <c r="AX812"/>
  <c r="C813"/>
  <c r="D813"/>
  <c r="AX813"/>
  <c r="C814"/>
  <c r="D814"/>
  <c r="AX814"/>
  <c r="C815"/>
  <c r="D815"/>
  <c r="AX815"/>
  <c r="C816"/>
  <c r="D816"/>
  <c r="AX816"/>
  <c r="C817"/>
  <c r="D817"/>
  <c r="AX817"/>
  <c r="C818"/>
  <c r="D818"/>
  <c r="AX818"/>
  <c r="C819"/>
  <c r="D819"/>
  <c r="AX819"/>
  <c r="C820"/>
  <c r="D820"/>
  <c r="AX820"/>
  <c r="C821"/>
  <c r="D821"/>
  <c r="AX821"/>
  <c r="C822"/>
  <c r="D822"/>
  <c r="AX822"/>
  <c r="C823"/>
  <c r="D823"/>
  <c r="AX823"/>
  <c r="C824"/>
  <c r="D824"/>
  <c r="AX824"/>
  <c r="C825"/>
  <c r="D825"/>
  <c r="AX825"/>
  <c r="C826"/>
  <c r="D826"/>
  <c r="AX826"/>
  <c r="C827"/>
  <c r="D827"/>
  <c r="AX827"/>
  <c r="C828"/>
  <c r="D828"/>
  <c r="AX828"/>
  <c r="C829"/>
  <c r="D829"/>
  <c r="AX829"/>
  <c r="C830"/>
  <c r="D830"/>
  <c r="AX830"/>
  <c r="C831"/>
  <c r="D831"/>
  <c r="AX831"/>
  <c r="C832"/>
  <c r="D832"/>
  <c r="AX832"/>
  <c r="C833"/>
  <c r="D833"/>
  <c r="AX833"/>
  <c r="C834"/>
  <c r="D834"/>
  <c r="AX834"/>
  <c r="C835"/>
  <c r="D835"/>
  <c r="AX835"/>
  <c r="C836"/>
  <c r="D836"/>
  <c r="AX836"/>
  <c r="C837"/>
  <c r="D837"/>
  <c r="AX837"/>
  <c r="C838"/>
  <c r="D838"/>
  <c r="AX838"/>
  <c r="C839"/>
  <c r="D839"/>
  <c r="AX839"/>
  <c r="C840"/>
  <c r="D840"/>
  <c r="AX840"/>
  <c r="C841"/>
  <c r="D841"/>
  <c r="AX841"/>
  <c r="C842"/>
  <c r="D842"/>
  <c r="AX842"/>
  <c r="C843"/>
  <c r="D843"/>
  <c r="AX843"/>
  <c r="C844"/>
  <c r="D844"/>
  <c r="AX844"/>
  <c r="C845"/>
  <c r="D845"/>
  <c r="AX845"/>
  <c r="C846"/>
  <c r="D846"/>
  <c r="AX846"/>
  <c r="C847"/>
  <c r="D847"/>
  <c r="AX847"/>
  <c r="C848"/>
  <c r="D848"/>
  <c r="AX848"/>
  <c r="C849"/>
  <c r="D849"/>
  <c r="AX849"/>
  <c r="C850"/>
  <c r="D850"/>
  <c r="AX850"/>
  <c r="C851"/>
  <c r="D851"/>
  <c r="AX851"/>
  <c r="C852"/>
  <c r="D852"/>
  <c r="AX852"/>
  <c r="C853"/>
  <c r="D853"/>
  <c r="AX853"/>
  <c r="C854"/>
  <c r="D854"/>
  <c r="AX854"/>
  <c r="C855"/>
  <c r="D855"/>
  <c r="AX855"/>
  <c r="C856"/>
  <c r="D856"/>
  <c r="AX856"/>
  <c r="C857"/>
  <c r="D857"/>
  <c r="AX857"/>
  <c r="C858"/>
  <c r="D858"/>
  <c r="AX858"/>
  <c r="C859"/>
  <c r="D859"/>
  <c r="AX859"/>
  <c r="C860"/>
  <c r="D860"/>
  <c r="AX860"/>
  <c r="C861"/>
  <c r="D861"/>
  <c r="AX861"/>
  <c r="C862"/>
  <c r="D862"/>
  <c r="AX862"/>
  <c r="C863"/>
  <c r="D863"/>
  <c r="AX863"/>
  <c r="C864"/>
  <c r="D864"/>
  <c r="AX864"/>
  <c r="C865"/>
  <c r="D865"/>
  <c r="AX865"/>
  <c r="C866"/>
  <c r="D866"/>
  <c r="AX866"/>
  <c r="C867"/>
  <c r="D867"/>
  <c r="AX867"/>
  <c r="C868"/>
  <c r="D868"/>
  <c r="AX868"/>
  <c r="C869"/>
  <c r="D869"/>
  <c r="AX869"/>
  <c r="C870"/>
  <c r="D870"/>
  <c r="AX870"/>
  <c r="C871"/>
  <c r="D871"/>
  <c r="AX871"/>
  <c r="C872"/>
  <c r="D872"/>
  <c r="AX872"/>
  <c r="C873"/>
  <c r="D873"/>
  <c r="AX873"/>
  <c r="C874"/>
  <c r="D874"/>
  <c r="AX874"/>
  <c r="C875"/>
  <c r="D875"/>
  <c r="AX875"/>
  <c r="C876"/>
  <c r="D876"/>
  <c r="AX876"/>
  <c r="C877"/>
  <c r="D877"/>
  <c r="AX877"/>
  <c r="C878"/>
  <c r="D878"/>
  <c r="AX878"/>
  <c r="C879"/>
  <c r="D879"/>
  <c r="AX879"/>
  <c r="C880"/>
  <c r="D880"/>
  <c r="AX880"/>
  <c r="C881"/>
  <c r="D881"/>
  <c r="AX881"/>
  <c r="C882"/>
  <c r="D882"/>
  <c r="AX882"/>
  <c r="C883"/>
  <c r="D883"/>
  <c r="AX883"/>
  <c r="C884"/>
  <c r="D884"/>
  <c r="AX884"/>
  <c r="C885"/>
  <c r="D885"/>
  <c r="AX885"/>
  <c r="C886"/>
  <c r="D886"/>
  <c r="AX886"/>
  <c r="C887"/>
  <c r="D887"/>
  <c r="AX887"/>
  <c r="C888"/>
  <c r="D888"/>
  <c r="AX888"/>
  <c r="C889"/>
  <c r="D889"/>
  <c r="AX889"/>
  <c r="C890"/>
  <c r="D890"/>
  <c r="AX890"/>
  <c r="C891"/>
  <c r="D891"/>
  <c r="AX891"/>
  <c r="C892"/>
  <c r="D892"/>
  <c r="AX892"/>
  <c r="C893"/>
  <c r="D893"/>
  <c r="AX893"/>
  <c r="C894"/>
  <c r="D894"/>
  <c r="AX894"/>
  <c r="C895"/>
  <c r="D895"/>
  <c r="AX895"/>
  <c r="C896"/>
  <c r="D896"/>
  <c r="AX896"/>
  <c r="C897"/>
  <c r="D897"/>
  <c r="AX897"/>
  <c r="C898"/>
  <c r="D898"/>
  <c r="AX898"/>
  <c r="C899"/>
  <c r="D899"/>
  <c r="AX899"/>
  <c r="C900"/>
  <c r="D900"/>
  <c r="AX900"/>
  <c r="C901"/>
  <c r="D901"/>
  <c r="AX901"/>
  <c r="C902"/>
  <c r="D902"/>
  <c r="AX902"/>
  <c r="C903"/>
  <c r="D903"/>
  <c r="AX903"/>
  <c r="C904"/>
  <c r="D904"/>
  <c r="AX904"/>
  <c r="C905"/>
  <c r="D905"/>
  <c r="AX905"/>
  <c r="C906"/>
  <c r="D906"/>
  <c r="AX906"/>
  <c r="C907"/>
  <c r="D907"/>
  <c r="AX907"/>
  <c r="C908"/>
  <c r="D908"/>
  <c r="AX908"/>
  <c r="C909"/>
  <c r="D909"/>
  <c r="AX909"/>
  <c r="C910"/>
  <c r="D910"/>
  <c r="AX910"/>
  <c r="C911"/>
  <c r="D911"/>
  <c r="AX911"/>
  <c r="C912"/>
  <c r="D912"/>
  <c r="AX912"/>
  <c r="C913"/>
  <c r="D913"/>
  <c r="AX913"/>
  <c r="C914"/>
  <c r="D914"/>
  <c r="AX914"/>
  <c r="C915"/>
  <c r="D915"/>
  <c r="AX915"/>
  <c r="C916"/>
  <c r="D916"/>
  <c r="AX916"/>
  <c r="C917"/>
  <c r="D917"/>
  <c r="AX917"/>
  <c r="C918"/>
  <c r="D918"/>
  <c r="AX918"/>
  <c r="C919"/>
  <c r="D919"/>
  <c r="AX919"/>
  <c r="C920"/>
  <c r="D920"/>
  <c r="AX920"/>
  <c r="C921"/>
  <c r="D921"/>
  <c r="AX921"/>
  <c r="C922"/>
  <c r="D922"/>
  <c r="AX922"/>
  <c r="C923"/>
  <c r="D923"/>
  <c r="AX923"/>
  <c r="C924"/>
  <c r="D924"/>
  <c r="AX924"/>
  <c r="C925"/>
  <c r="D925"/>
  <c r="AX925"/>
  <c r="C926"/>
  <c r="D926"/>
  <c r="AX926"/>
  <c r="C927"/>
  <c r="D927"/>
  <c r="AX927"/>
  <c r="C928"/>
  <c r="D928"/>
  <c r="AX928"/>
  <c r="C929"/>
  <c r="D929"/>
  <c r="AX929"/>
  <c r="C930"/>
  <c r="D930"/>
  <c r="AX930"/>
  <c r="C931"/>
  <c r="D931"/>
  <c r="AX931"/>
  <c r="C932"/>
  <c r="D932"/>
  <c r="AX932"/>
  <c r="C933"/>
  <c r="D933"/>
  <c r="AX933"/>
  <c r="C934"/>
  <c r="D934"/>
  <c r="AX934"/>
  <c r="C935"/>
  <c r="D935"/>
  <c r="AX935"/>
  <c r="C936"/>
  <c r="D936"/>
  <c r="AX936"/>
  <c r="C937"/>
  <c r="D937"/>
  <c r="AX937"/>
  <c r="C938"/>
  <c r="D938"/>
  <c r="AX938"/>
  <c r="C939"/>
  <c r="D939"/>
  <c r="AX939"/>
  <c r="C940"/>
  <c r="D940"/>
  <c r="AX940"/>
  <c r="C941"/>
  <c r="D941"/>
  <c r="AX941"/>
  <c r="C942"/>
  <c r="D942"/>
  <c r="AX942"/>
  <c r="C943"/>
  <c r="D943"/>
  <c r="AX943"/>
  <c r="C944"/>
  <c r="D944"/>
  <c r="AX944"/>
  <c r="C945"/>
  <c r="D945"/>
  <c r="AX945"/>
  <c r="C946"/>
  <c r="D946"/>
  <c r="AX946"/>
  <c r="C947"/>
  <c r="D947"/>
  <c r="AX947"/>
  <c r="C948"/>
  <c r="D948"/>
  <c r="AX948"/>
  <c r="C949"/>
  <c r="D949"/>
  <c r="AX949"/>
  <c r="C950"/>
  <c r="D950"/>
  <c r="AX950"/>
  <c r="C951"/>
  <c r="D951"/>
  <c r="AX951"/>
  <c r="C952"/>
  <c r="D952"/>
  <c r="AX952"/>
  <c r="C953"/>
  <c r="D953"/>
  <c r="AX953"/>
  <c r="C954"/>
  <c r="D954"/>
  <c r="AX954"/>
  <c r="C955"/>
  <c r="D955"/>
  <c r="AX955"/>
  <c r="C956"/>
  <c r="D956"/>
  <c r="AX956"/>
  <c r="C957"/>
  <c r="D957"/>
  <c r="AX957"/>
  <c r="C958"/>
  <c r="D958"/>
  <c r="AX958"/>
  <c r="C959"/>
  <c r="D959"/>
  <c r="AX959"/>
  <c r="C960"/>
  <c r="D960"/>
  <c r="AX960"/>
  <c r="C961"/>
  <c r="D961"/>
  <c r="AX961"/>
  <c r="C962"/>
  <c r="D962"/>
  <c r="AX962"/>
  <c r="C963"/>
  <c r="D963"/>
  <c r="AX963"/>
  <c r="C964"/>
  <c r="D964"/>
  <c r="AX964"/>
  <c r="C965"/>
  <c r="D965"/>
  <c r="AX965"/>
  <c r="C966"/>
  <c r="D966"/>
  <c r="AX966"/>
  <c r="C967"/>
  <c r="D967"/>
  <c r="AX967"/>
  <c r="C968"/>
  <c r="D968"/>
  <c r="AX968"/>
  <c r="C969"/>
  <c r="D969"/>
  <c r="AX969"/>
  <c r="C970"/>
  <c r="D970"/>
  <c r="AX970"/>
  <c r="C971"/>
  <c r="D971"/>
  <c r="AX971"/>
  <c r="C972"/>
  <c r="D972"/>
  <c r="AX972"/>
  <c r="C973"/>
  <c r="D973"/>
  <c r="AX973"/>
  <c r="C974"/>
  <c r="D974"/>
  <c r="AX974"/>
  <c r="C975"/>
  <c r="D975"/>
  <c r="AX975"/>
  <c r="C976"/>
  <c r="D976"/>
  <c r="AX976"/>
  <c r="C977"/>
  <c r="D977"/>
  <c r="AX977"/>
  <c r="C978"/>
  <c r="D978"/>
  <c r="AX978"/>
  <c r="C979"/>
  <c r="D979"/>
  <c r="AX979"/>
  <c r="C980"/>
  <c r="D980"/>
  <c r="AX980"/>
  <c r="C981"/>
  <c r="D981"/>
  <c r="AX981"/>
  <c r="C982"/>
  <c r="D982"/>
  <c r="AX982"/>
  <c r="C983"/>
  <c r="D983"/>
  <c r="AX983"/>
  <c r="C984"/>
  <c r="D984"/>
  <c r="AX984"/>
  <c r="C985"/>
  <c r="D985"/>
  <c r="AX985"/>
  <c r="C986"/>
  <c r="D986"/>
  <c r="AX986"/>
  <c r="C987"/>
  <c r="D987"/>
  <c r="AX987"/>
  <c r="C988"/>
  <c r="D988"/>
  <c r="AX988"/>
  <c r="C989"/>
  <c r="D989"/>
  <c r="AX989"/>
  <c r="C990"/>
  <c r="D990"/>
  <c r="AX990"/>
  <c r="C991"/>
  <c r="D991"/>
  <c r="AX991"/>
  <c r="C992"/>
  <c r="D992"/>
  <c r="AX992"/>
  <c r="C993"/>
  <c r="D993"/>
  <c r="AX993"/>
  <c r="C994"/>
  <c r="D994"/>
  <c r="AX994"/>
  <c r="C995"/>
  <c r="D995"/>
  <c r="AX995"/>
  <c r="C996"/>
  <c r="D996"/>
  <c r="AX996"/>
  <c r="C997"/>
  <c r="D997"/>
  <c r="AX997"/>
  <c r="C998"/>
  <c r="D998"/>
  <c r="AX998"/>
  <c r="C999"/>
  <c r="D999"/>
  <c r="AX999"/>
  <c r="C1000"/>
  <c r="D1000"/>
  <c r="AX1000"/>
  <c r="C1001"/>
  <c r="D1001"/>
  <c r="AX1001"/>
  <c r="C1002"/>
  <c r="D1002"/>
  <c r="AX1002"/>
  <c r="C1003"/>
  <c r="D1003"/>
  <c r="AX1003"/>
  <c r="C1004"/>
  <c r="D1004"/>
  <c r="AX1004"/>
  <c r="C1005"/>
  <c r="D1005"/>
  <c r="AX1005"/>
  <c r="C1006"/>
  <c r="D1006"/>
  <c r="AX1006"/>
  <c r="C1007"/>
  <c r="D1007"/>
  <c r="AX1007"/>
  <c r="C1008"/>
  <c r="D1008"/>
  <c r="AX1008"/>
  <c r="C1009"/>
  <c r="D1009"/>
  <c r="AX1009"/>
  <c r="C1010"/>
  <c r="D1010"/>
  <c r="AX1010"/>
  <c r="C1011"/>
  <c r="D1011"/>
  <c r="AX1011"/>
  <c r="C1012"/>
  <c r="D1012"/>
  <c r="AX1012"/>
  <c r="C1013"/>
  <c r="D1013"/>
  <c r="AX1013"/>
  <c r="C1014"/>
  <c r="D1014"/>
  <c r="AX1014"/>
  <c r="C1015"/>
  <c r="D1015"/>
  <c r="AX1015"/>
  <c r="C1016"/>
  <c r="D1016"/>
  <c r="AX1016"/>
  <c r="C1017"/>
  <c r="D1017"/>
  <c r="AX1017"/>
  <c r="C1018"/>
  <c r="D1018"/>
  <c r="AX1018"/>
  <c r="C1019"/>
  <c r="D1019"/>
  <c r="AX1019"/>
  <c r="C1020"/>
  <c r="D1020"/>
  <c r="AX1020"/>
  <c r="C1021"/>
  <c r="D1021"/>
  <c r="AX1021"/>
  <c r="C1022"/>
  <c r="D1022"/>
  <c r="AX1022"/>
  <c r="C1023"/>
  <c r="D1023"/>
  <c r="AX1023"/>
  <c r="C1024"/>
  <c r="D1024"/>
  <c r="AX1024"/>
  <c r="C1025"/>
  <c r="D1025"/>
  <c r="AX1025"/>
  <c r="C1026"/>
  <c r="D1026"/>
  <c r="AX1026"/>
  <c r="C1027"/>
  <c r="D1027"/>
  <c r="AX1027"/>
  <c r="C1028"/>
  <c r="D1028"/>
  <c r="AX1028"/>
  <c r="C1029"/>
  <c r="D1029"/>
  <c r="AX1029"/>
  <c r="C1030"/>
  <c r="D1030"/>
  <c r="AX1030"/>
  <c r="C1031"/>
  <c r="D1031"/>
  <c r="AX1031"/>
  <c r="C1032"/>
  <c r="D1032"/>
  <c r="AX1032"/>
  <c r="C1033"/>
  <c r="D1033"/>
  <c r="AX1033"/>
  <c r="C1034"/>
  <c r="D1034"/>
  <c r="AX1034"/>
  <c r="C1035"/>
  <c r="D1035"/>
  <c r="AX1035"/>
  <c r="C1036"/>
  <c r="D1036"/>
  <c r="AX1036"/>
  <c r="C1037"/>
  <c r="D1037"/>
  <c r="AX1037"/>
  <c r="C1038"/>
  <c r="D1038"/>
  <c r="AX1038"/>
  <c r="C1039"/>
  <c r="D1039"/>
  <c r="AX1039"/>
  <c r="C1040"/>
  <c r="D1040"/>
  <c r="AX1040"/>
  <c r="C1041"/>
  <c r="D1041"/>
  <c r="AX1041"/>
  <c r="C1042"/>
  <c r="D1042"/>
  <c r="AX1042"/>
  <c r="C1043"/>
  <c r="D1043"/>
  <c r="AX1043"/>
  <c r="C1044"/>
  <c r="D1044"/>
  <c r="AX1044"/>
  <c r="C1045"/>
  <c r="D1045"/>
  <c r="AX1045"/>
  <c r="C1046"/>
  <c r="D1046"/>
  <c r="AX1046"/>
  <c r="C1047"/>
  <c r="D1047"/>
  <c r="AX1047"/>
  <c r="C1048"/>
  <c r="D1048"/>
  <c r="AX1048"/>
  <c r="C1049"/>
  <c r="D1049"/>
  <c r="AX1049"/>
  <c r="C1050"/>
  <c r="D1050"/>
  <c r="AX1050"/>
  <c r="C1051"/>
  <c r="D1051"/>
  <c r="AX1051"/>
  <c r="C1052"/>
  <c r="D1052"/>
  <c r="AX1052"/>
  <c r="C1053"/>
  <c r="D1053"/>
  <c r="AX1053"/>
  <c r="C1054"/>
  <c r="D1054"/>
  <c r="AX1054"/>
  <c r="C1055"/>
  <c r="D1055"/>
  <c r="AX1055"/>
  <c r="C1056"/>
  <c r="D1056"/>
  <c r="AX1056"/>
  <c r="C1057"/>
  <c r="D1057"/>
  <c r="AX1057"/>
  <c r="C1058"/>
  <c r="D1058"/>
  <c r="AX1058"/>
  <c r="C1059"/>
  <c r="D1059"/>
  <c r="AX1059"/>
  <c r="C1060"/>
  <c r="D1060"/>
  <c r="AX1060"/>
  <c r="C1061"/>
  <c r="D1061"/>
  <c r="AX1061"/>
  <c r="C1062"/>
  <c r="D1062"/>
  <c r="AX1062"/>
  <c r="C1063"/>
  <c r="D1063"/>
  <c r="AX1063"/>
  <c r="C1064"/>
  <c r="D1064"/>
  <c r="AX1064"/>
  <c r="C1065"/>
  <c r="D1065"/>
  <c r="AX1065"/>
  <c r="C1066"/>
  <c r="D1066"/>
  <c r="AX1066"/>
  <c r="C1067"/>
  <c r="D1067"/>
  <c r="AX1067"/>
  <c r="C1068"/>
  <c r="D1068"/>
  <c r="AX1068"/>
  <c r="C1069"/>
  <c r="D1069"/>
  <c r="AX1069"/>
  <c r="C1070"/>
  <c r="D1070"/>
  <c r="AX1070"/>
  <c r="C1071"/>
  <c r="D1071"/>
  <c r="AX1071"/>
  <c r="C1072"/>
  <c r="D1072"/>
  <c r="AX1072"/>
  <c r="C1073"/>
  <c r="D1073"/>
  <c r="AX1073"/>
  <c r="C1074"/>
  <c r="D1074"/>
  <c r="AX1074"/>
  <c r="C1075"/>
  <c r="D1075"/>
  <c r="AX1075"/>
  <c r="C1076"/>
  <c r="D1076"/>
  <c r="AX1076"/>
  <c r="C1077"/>
  <c r="D1077"/>
  <c r="AX1077"/>
  <c r="C1078"/>
  <c r="D1078"/>
  <c r="AX1078"/>
  <c r="C1079"/>
  <c r="D1079"/>
  <c r="AX1079"/>
  <c r="C1080"/>
  <c r="D1080"/>
  <c r="AX1080"/>
  <c r="C1081"/>
  <c r="D1081"/>
  <c r="AX1081"/>
  <c r="C1082"/>
  <c r="D1082"/>
  <c r="AX1082"/>
  <c r="C1083"/>
  <c r="D1083"/>
  <c r="AX1083"/>
  <c r="C1084"/>
  <c r="D1084"/>
  <c r="AX1084"/>
  <c r="C1085"/>
  <c r="D1085"/>
  <c r="AX1085"/>
  <c r="C1086"/>
  <c r="D1086"/>
  <c r="AX1086"/>
  <c r="C1087"/>
  <c r="D1087"/>
  <c r="AX1087"/>
  <c r="C1088"/>
  <c r="D1088"/>
  <c r="AX1088"/>
  <c r="C1089"/>
  <c r="D1089"/>
  <c r="AX1089"/>
  <c r="C1090"/>
  <c r="D1090"/>
  <c r="AX1090"/>
  <c r="C1091"/>
  <c r="D1091"/>
  <c r="AX1091"/>
  <c r="C1092"/>
  <c r="D1092"/>
  <c r="AX1092"/>
  <c r="C1093"/>
  <c r="D1093"/>
  <c r="AX1093"/>
  <c r="C1094"/>
  <c r="D1094"/>
  <c r="AX1094"/>
  <c r="C1095"/>
  <c r="D1095"/>
  <c r="AX1095"/>
  <c r="C1096"/>
  <c r="D1096"/>
  <c r="AX1096"/>
  <c r="C1097"/>
  <c r="D1097"/>
  <c r="AX1097"/>
  <c r="C1098"/>
  <c r="D1098"/>
  <c r="AX1098"/>
  <c r="C1099"/>
  <c r="D1099"/>
  <c r="AX1099"/>
  <c r="C1100"/>
  <c r="D1100"/>
  <c r="AX1100"/>
  <c r="C1101"/>
  <c r="D1101"/>
  <c r="AX1101"/>
  <c r="C1102"/>
  <c r="D1102"/>
  <c r="AX1102"/>
  <c r="C1103"/>
  <c r="D1103"/>
  <c r="AX1103"/>
  <c r="C1104"/>
  <c r="D1104"/>
  <c r="AX1104"/>
  <c r="C1105"/>
  <c r="D1105"/>
  <c r="AX1105"/>
  <c r="C1106"/>
  <c r="D1106"/>
  <c r="AX1106"/>
  <c r="C1107"/>
  <c r="D1107"/>
  <c r="AX1107"/>
  <c r="C1108"/>
  <c r="D1108"/>
  <c r="AX1108"/>
  <c r="C1109"/>
  <c r="D1109"/>
  <c r="AX1109"/>
  <c r="C1110"/>
  <c r="D1110"/>
  <c r="AX1110"/>
  <c r="C1111"/>
  <c r="D1111"/>
  <c r="AX1111"/>
  <c r="C1112"/>
  <c r="D1112"/>
  <c r="AX1112"/>
  <c r="C1113"/>
  <c r="D1113"/>
  <c r="AX1113"/>
  <c r="C1114"/>
  <c r="D1114"/>
  <c r="AX1114"/>
  <c r="C1115"/>
  <c r="D1115"/>
  <c r="AX1115"/>
  <c r="C1116"/>
  <c r="D1116"/>
  <c r="AX1116"/>
  <c r="C1117"/>
  <c r="D1117"/>
  <c r="AX1117"/>
  <c r="C1118"/>
  <c r="D1118"/>
  <c r="AX1118"/>
  <c r="C1119"/>
  <c r="D1119"/>
  <c r="AX1119"/>
  <c r="C1120"/>
  <c r="D1120"/>
  <c r="AX1120"/>
  <c r="C1121"/>
  <c r="D1121"/>
  <c r="AX1121"/>
  <c r="C1122"/>
  <c r="D1122"/>
  <c r="AX1122"/>
  <c r="C1123"/>
  <c r="D1123"/>
  <c r="AX1123"/>
  <c r="C1124"/>
  <c r="D1124"/>
  <c r="AX1124"/>
  <c r="C1125"/>
  <c r="D1125"/>
  <c r="AX1125"/>
  <c r="C1126"/>
  <c r="D1126"/>
  <c r="AX1126"/>
  <c r="C1127"/>
  <c r="D1127"/>
  <c r="AX1127"/>
  <c r="C1128"/>
  <c r="D1128"/>
  <c r="AX1128"/>
  <c r="C1129"/>
  <c r="D1129"/>
  <c r="AX1129"/>
  <c r="C1130"/>
  <c r="D1130"/>
  <c r="AX1130"/>
  <c r="C1131"/>
  <c r="D1131"/>
  <c r="AX1131"/>
  <c r="C1132"/>
  <c r="D1132"/>
  <c r="AX1132"/>
  <c r="C1133"/>
  <c r="D1133"/>
  <c r="AX1133"/>
  <c r="C1134"/>
  <c r="D1134"/>
  <c r="AX1134"/>
  <c r="C1135"/>
  <c r="D1135"/>
  <c r="AX1135"/>
  <c r="C1136"/>
  <c r="D1136"/>
  <c r="AX1136"/>
  <c r="C1137"/>
  <c r="D1137"/>
  <c r="AX1137"/>
  <c r="C1138"/>
  <c r="D1138"/>
  <c r="AX1138"/>
  <c r="C1139"/>
  <c r="D1139"/>
  <c r="AX1139"/>
  <c r="C1140"/>
  <c r="D1140"/>
  <c r="AX1140"/>
  <c r="C1141"/>
  <c r="D1141"/>
  <c r="AX1141"/>
  <c r="C1142"/>
  <c r="D1142"/>
  <c r="AX1142"/>
  <c r="C1143"/>
  <c r="D1143"/>
  <c r="AX1143"/>
  <c r="C1144"/>
  <c r="D1144"/>
  <c r="AX1144"/>
  <c r="C1145"/>
  <c r="D1145"/>
  <c r="AX1145"/>
  <c r="C1146"/>
  <c r="D1146"/>
  <c r="AX1146"/>
  <c r="C1147"/>
  <c r="D1147"/>
  <c r="AX1147"/>
  <c r="C1148"/>
  <c r="D1148"/>
  <c r="AX1148"/>
  <c r="C1149"/>
  <c r="D1149"/>
  <c r="AX1149"/>
  <c r="C1150"/>
  <c r="D1150"/>
  <c r="AX1150"/>
  <c r="C1151"/>
  <c r="D1151"/>
  <c r="AX1151"/>
  <c r="C1152"/>
  <c r="D1152"/>
  <c r="AX1152"/>
  <c r="C1153"/>
  <c r="D1153"/>
  <c r="AX1153"/>
  <c r="C1154"/>
  <c r="D1154"/>
  <c r="AX1154"/>
  <c r="C1155"/>
  <c r="D1155"/>
  <c r="AX1155"/>
  <c r="C1156"/>
  <c r="D1156"/>
  <c r="AX1156"/>
  <c r="C1157"/>
  <c r="D1157"/>
  <c r="AX1157"/>
  <c r="C1158"/>
  <c r="D1158"/>
  <c r="AX1158"/>
  <c r="C1159"/>
  <c r="D1159"/>
  <c r="AX1159"/>
  <c r="C1160"/>
  <c r="D1160"/>
  <c r="AX1160"/>
  <c r="C1161"/>
  <c r="D1161"/>
  <c r="AX1161"/>
  <c r="C1162"/>
  <c r="D1162"/>
  <c r="AX1162"/>
  <c r="C1163"/>
  <c r="D1163"/>
  <c r="AX1163"/>
  <c r="C1164"/>
  <c r="D1164"/>
  <c r="AX1164"/>
  <c r="C1165"/>
  <c r="D1165"/>
  <c r="AX1165"/>
  <c r="C1166"/>
  <c r="D1166"/>
  <c r="AX1166"/>
  <c r="C1167"/>
  <c r="D1167"/>
  <c r="AX1167"/>
  <c r="C1168"/>
  <c r="D1168"/>
  <c r="AX1168"/>
  <c r="C1169"/>
  <c r="D1169"/>
  <c r="AX1169"/>
  <c r="C1170"/>
  <c r="D1170"/>
  <c r="AX1170"/>
  <c r="C1171"/>
  <c r="D1171"/>
  <c r="AX1171"/>
  <c r="C1172"/>
  <c r="D1172"/>
  <c r="AX1172"/>
  <c r="C1173"/>
  <c r="D1173"/>
  <c r="AX1173"/>
  <c r="C1174"/>
  <c r="D1174"/>
  <c r="AX1174"/>
  <c r="C1175"/>
  <c r="D1175"/>
  <c r="AX1175"/>
  <c r="C1176"/>
  <c r="D1176"/>
  <c r="AX1176"/>
  <c r="C1177"/>
  <c r="D1177"/>
  <c r="AX1177"/>
  <c r="C1178"/>
  <c r="D1178"/>
  <c r="AX1178"/>
  <c r="C1179"/>
  <c r="D1179"/>
  <c r="AX1179"/>
  <c r="C1180"/>
  <c r="D1180"/>
  <c r="AX1180"/>
  <c r="C1181"/>
  <c r="D1181"/>
  <c r="AX1181"/>
  <c r="C1182"/>
  <c r="D1182"/>
  <c r="AX1182"/>
  <c r="C1183"/>
  <c r="D1183"/>
  <c r="AX1183"/>
  <c r="C1184"/>
  <c r="D1184"/>
  <c r="AX1184"/>
  <c r="C1185"/>
  <c r="D1185"/>
  <c r="AX1185"/>
  <c r="C1186"/>
  <c r="D1186"/>
  <c r="AX1186"/>
  <c r="C1187"/>
  <c r="D1187"/>
  <c r="AX1187"/>
  <c r="C1188"/>
  <c r="D1188"/>
  <c r="AX1188"/>
  <c r="C1189"/>
  <c r="D1189"/>
  <c r="AX1189"/>
  <c r="C1190"/>
  <c r="D1190"/>
  <c r="AX1190"/>
  <c r="C1191"/>
  <c r="D1191"/>
  <c r="AX1191"/>
  <c r="C1192"/>
  <c r="D1192"/>
  <c r="AX1192"/>
  <c r="C1193"/>
  <c r="D1193"/>
  <c r="AX1193"/>
  <c r="C1194"/>
  <c r="D1194"/>
  <c r="AX1194"/>
  <c r="C1195"/>
  <c r="D1195"/>
  <c r="AX1195"/>
  <c r="C1196"/>
  <c r="D1196"/>
  <c r="AX1196"/>
  <c r="C1197"/>
  <c r="D1197"/>
  <c r="AX1197"/>
  <c r="C1198"/>
  <c r="D1198"/>
  <c r="AX1198"/>
  <c r="C1199"/>
  <c r="D1199"/>
  <c r="AX1199"/>
  <c r="C1200"/>
  <c r="D1200"/>
  <c r="AX1200"/>
  <c r="C1201"/>
  <c r="D1201"/>
  <c r="AX1201"/>
  <c r="C1202"/>
  <c r="D1202"/>
  <c r="AX1202"/>
  <c r="C1203"/>
  <c r="D1203"/>
  <c r="AX1203"/>
  <c r="C1204"/>
  <c r="D1204"/>
  <c r="AX1204"/>
  <c r="C1205"/>
  <c r="D1205"/>
  <c r="AX1205"/>
  <c r="C1206"/>
  <c r="D1206"/>
  <c r="AX1206"/>
  <c r="C1207"/>
  <c r="D1207"/>
  <c r="AX1207"/>
  <c r="C1208"/>
  <c r="D1208"/>
  <c r="AX1208"/>
  <c r="C1209"/>
  <c r="D1209"/>
  <c r="AX1209"/>
  <c r="C1210"/>
  <c r="D1210"/>
  <c r="AX1210"/>
  <c r="C1211"/>
  <c r="D1211"/>
  <c r="AX1211"/>
  <c r="C1212"/>
  <c r="D1212"/>
  <c r="AX1212"/>
  <c r="C1213"/>
  <c r="D1213"/>
  <c r="AX1213"/>
  <c r="C1214"/>
  <c r="D1214"/>
  <c r="AX1214"/>
  <c r="C1215"/>
  <c r="D1215"/>
  <c r="AX1215"/>
  <c r="C1216"/>
  <c r="D1216"/>
  <c r="AX1216"/>
  <c r="C1217"/>
  <c r="D1217"/>
  <c r="AX1217"/>
  <c r="C1218"/>
  <c r="D1218"/>
  <c r="AX1218"/>
  <c r="C1219"/>
  <c r="D1219"/>
  <c r="AX1219"/>
  <c r="C1220"/>
  <c r="D1220"/>
  <c r="AX1220"/>
  <c r="C1221"/>
  <c r="D1221"/>
  <c r="AX1221"/>
  <c r="C1222"/>
  <c r="D1222"/>
  <c r="AX1222"/>
  <c r="C1223"/>
  <c r="D1223"/>
  <c r="AX1223"/>
  <c r="C1224"/>
  <c r="D1224"/>
  <c r="AX1224"/>
  <c r="C1225"/>
  <c r="D1225"/>
  <c r="AX1225"/>
  <c r="C1226"/>
  <c r="D1226"/>
  <c r="AX1226"/>
  <c r="C1227"/>
  <c r="D1227"/>
  <c r="AX1227"/>
  <c r="C1228"/>
  <c r="D1228"/>
  <c r="AX1228"/>
  <c r="C1229"/>
  <c r="D1229"/>
  <c r="AX1229"/>
  <c r="C1230"/>
  <c r="D1230"/>
  <c r="AX1230"/>
  <c r="C1231"/>
  <c r="D1231"/>
  <c r="AX1231"/>
  <c r="C1232"/>
  <c r="D1232"/>
  <c r="AX1232"/>
  <c r="C1233"/>
  <c r="D1233"/>
  <c r="AX1233"/>
  <c r="C1234"/>
  <c r="D1234"/>
  <c r="AX1234"/>
  <c r="C1235"/>
  <c r="D1235"/>
  <c r="AX1235"/>
  <c r="C1236"/>
  <c r="D1236"/>
  <c r="AX1236"/>
  <c r="C1237"/>
  <c r="D1237"/>
  <c r="AX1237"/>
  <c r="C1238"/>
  <c r="D1238"/>
  <c r="AX1238"/>
  <c r="C1239"/>
  <c r="D1239"/>
  <c r="AX1239"/>
  <c r="C1240"/>
  <c r="D1240"/>
  <c r="AX1240"/>
  <c r="C1241"/>
  <c r="D1241"/>
  <c r="AX1241"/>
  <c r="C1242"/>
  <c r="D1242"/>
  <c r="AX1242"/>
  <c r="C1243"/>
  <c r="D1243"/>
  <c r="AX1243"/>
  <c r="C1244"/>
  <c r="D1244"/>
  <c r="AX1244"/>
  <c r="C1245"/>
  <c r="D1245"/>
  <c r="AX1245"/>
  <c r="C1246"/>
  <c r="D1246"/>
  <c r="AX1246"/>
  <c r="C1247"/>
  <c r="D1247"/>
  <c r="AX1247"/>
  <c r="C1248"/>
  <c r="D1248"/>
  <c r="AX1248"/>
  <c r="C1249"/>
  <c r="D1249"/>
  <c r="AX1249"/>
  <c r="C1250"/>
  <c r="D1250"/>
  <c r="AX1250"/>
  <c r="C1251"/>
  <c r="D1251"/>
  <c r="AX1251"/>
  <c r="C1252"/>
  <c r="D1252"/>
  <c r="AX1252"/>
  <c r="C1253"/>
  <c r="D1253"/>
  <c r="AX1253"/>
  <c r="C1254"/>
  <c r="D1254"/>
  <c r="AX1254"/>
  <c r="C1255"/>
  <c r="D1255"/>
  <c r="AX1255"/>
  <c r="C1256"/>
  <c r="D1256"/>
  <c r="AX1256"/>
  <c r="C1257"/>
  <c r="D1257"/>
  <c r="AX1257"/>
  <c r="C1258"/>
  <c r="D1258"/>
  <c r="AX1258"/>
  <c r="C1259"/>
  <c r="D1259"/>
  <c r="AX1259"/>
  <c r="C1260"/>
  <c r="D1260"/>
  <c r="AX1260"/>
  <c r="C1261"/>
  <c r="D1261"/>
  <c r="AX1261"/>
  <c r="C1262"/>
  <c r="D1262"/>
  <c r="AX1262"/>
  <c r="C1263"/>
  <c r="D1263"/>
  <c r="AX1263"/>
  <c r="C1264"/>
  <c r="D1264"/>
  <c r="AX1264"/>
  <c r="C1265"/>
  <c r="D1265"/>
  <c r="AX1265"/>
  <c r="C1266"/>
  <c r="D1266"/>
  <c r="AX1266"/>
  <c r="C1267"/>
  <c r="D1267"/>
  <c r="AX1267"/>
  <c r="C1268"/>
  <c r="D1268"/>
  <c r="AX1268"/>
  <c r="C1269"/>
  <c r="D1269"/>
  <c r="AX1269"/>
  <c r="C1270"/>
  <c r="D1270"/>
  <c r="AX1270"/>
  <c r="C1271"/>
  <c r="D1271"/>
  <c r="AX1271"/>
  <c r="C1272"/>
  <c r="D1272"/>
  <c r="AX1272"/>
  <c r="C1273"/>
  <c r="D1273"/>
  <c r="AX1273"/>
  <c r="C1274"/>
  <c r="D1274"/>
  <c r="AX1274"/>
  <c r="C1275"/>
  <c r="D1275"/>
  <c r="AX1275"/>
  <c r="C1276"/>
  <c r="D1276"/>
  <c r="AX1276"/>
  <c r="C1277"/>
  <c r="D1277"/>
  <c r="AX1277"/>
  <c r="C1278"/>
  <c r="D1278"/>
  <c r="AX1278"/>
  <c r="C1279"/>
  <c r="D1279"/>
  <c r="AX1279"/>
  <c r="C1280"/>
  <c r="D1280"/>
  <c r="AX1280"/>
  <c r="C1281"/>
  <c r="D1281"/>
  <c r="AX1281"/>
  <c r="C1282"/>
  <c r="D1282"/>
  <c r="AX1282"/>
  <c r="C1283"/>
  <c r="D1283"/>
  <c r="AX1283"/>
  <c r="C1284"/>
  <c r="D1284"/>
  <c r="AX1284"/>
  <c r="C1285"/>
  <c r="D1285"/>
  <c r="AX1285"/>
  <c r="C1286"/>
  <c r="D1286"/>
  <c r="AX1286"/>
  <c r="C1287"/>
  <c r="D1287"/>
  <c r="AX1287"/>
  <c r="C1288"/>
  <c r="D1288"/>
  <c r="AX1288"/>
  <c r="C1289"/>
  <c r="D1289"/>
  <c r="AX1289"/>
  <c r="C1290"/>
  <c r="D1290"/>
  <c r="AX1290"/>
  <c r="C1291"/>
  <c r="D1291"/>
  <c r="AX1291"/>
  <c r="C1292"/>
  <c r="D1292"/>
  <c r="AX1292"/>
  <c r="C1293"/>
  <c r="D1293"/>
  <c r="AX1293"/>
  <c r="C1294"/>
  <c r="D1294"/>
  <c r="AX1294"/>
  <c r="C1295"/>
  <c r="D1295"/>
  <c r="AX1295"/>
  <c r="C1296"/>
  <c r="D1296"/>
  <c r="AX1296"/>
  <c r="C1297"/>
  <c r="D1297"/>
  <c r="AX1297"/>
  <c r="C1298"/>
  <c r="D1298"/>
  <c r="AX1298"/>
  <c r="C1299"/>
  <c r="D1299"/>
  <c r="AX1299"/>
  <c r="C1300"/>
  <c r="D1300"/>
  <c r="AX1300"/>
  <c r="C1301"/>
  <c r="D1301"/>
  <c r="AX1301"/>
  <c r="C1302"/>
  <c r="D1302"/>
  <c r="AX1302"/>
  <c r="C1303"/>
  <c r="D1303"/>
  <c r="AX1303"/>
  <c r="C1304"/>
  <c r="D1304"/>
  <c r="AX1304"/>
  <c r="C1305"/>
  <c r="D1305"/>
  <c r="AX1305"/>
  <c r="C1306"/>
  <c r="D1306"/>
  <c r="AX1306"/>
  <c r="C1307"/>
  <c r="D1307"/>
  <c r="AX1307"/>
  <c r="C1308"/>
  <c r="D1308"/>
  <c r="AX1308"/>
  <c r="C1309"/>
  <c r="D1309"/>
  <c r="AX1309"/>
  <c r="C1310"/>
  <c r="D1310"/>
  <c r="AX1310"/>
  <c r="C1311"/>
  <c r="D1311"/>
  <c r="AX1311"/>
  <c r="C1312"/>
  <c r="D1312"/>
  <c r="AX1312"/>
  <c r="C1313"/>
  <c r="D1313"/>
  <c r="AX1313"/>
  <c r="C1314"/>
  <c r="D1314"/>
  <c r="AX1314"/>
  <c r="C1315"/>
  <c r="D1315"/>
  <c r="AX1315"/>
  <c r="C1316"/>
  <c r="D1316"/>
  <c r="AX1316"/>
  <c r="C1317"/>
  <c r="D1317"/>
  <c r="AX1317"/>
  <c r="C1318"/>
  <c r="D1318"/>
  <c r="AX1318"/>
  <c r="C1319"/>
  <c r="D1319"/>
  <c r="AX1319"/>
  <c r="C1320"/>
  <c r="D1320"/>
  <c r="AX1320"/>
  <c r="C1321"/>
  <c r="D1321"/>
  <c r="AX1321"/>
  <c r="C1322"/>
  <c r="D1322"/>
  <c r="AX1322"/>
  <c r="C1323"/>
  <c r="D1323"/>
  <c r="AX1323"/>
  <c r="C1324"/>
  <c r="D1324"/>
  <c r="AX1324"/>
  <c r="C1325"/>
  <c r="D1325"/>
  <c r="AX1325"/>
  <c r="C1326"/>
  <c r="D1326"/>
  <c r="AX1326"/>
  <c r="C1327"/>
  <c r="D1327"/>
  <c r="AX1327"/>
  <c r="C1328"/>
  <c r="D1328"/>
  <c r="AX1328"/>
  <c r="C1329"/>
  <c r="D1329"/>
  <c r="AX1329"/>
  <c r="C1330"/>
  <c r="D1330"/>
  <c r="AX1330"/>
  <c r="C1331"/>
  <c r="D1331"/>
  <c r="AX1331"/>
  <c r="C1332"/>
  <c r="D1332"/>
  <c r="AX1332"/>
  <c r="C1333"/>
  <c r="D1333"/>
  <c r="AX1333"/>
  <c r="C1334"/>
  <c r="D1334"/>
  <c r="AX1334"/>
  <c r="C1335"/>
  <c r="D1335"/>
  <c r="AX1335"/>
  <c r="C1336"/>
  <c r="D1336"/>
  <c r="AX1336"/>
  <c r="C1337"/>
  <c r="D1337"/>
  <c r="AX1337"/>
  <c r="C1338"/>
  <c r="D1338"/>
  <c r="AX1338"/>
  <c r="C1339"/>
  <c r="D1339"/>
  <c r="AX1339"/>
  <c r="C1340"/>
  <c r="D1340"/>
  <c r="AX1340"/>
  <c r="C1341"/>
  <c r="D1341"/>
  <c r="AX1341"/>
  <c r="C1342"/>
  <c r="D1342"/>
  <c r="AX1342"/>
  <c r="C1343"/>
  <c r="D1343"/>
  <c r="AX1343"/>
  <c r="C1344"/>
  <c r="D1344"/>
  <c r="AX1344"/>
  <c r="C1345"/>
  <c r="D1345"/>
  <c r="AX1345"/>
  <c r="C1346"/>
  <c r="D1346"/>
  <c r="AX1346"/>
  <c r="C1347"/>
  <c r="D1347"/>
  <c r="AX1347"/>
  <c r="C1348"/>
  <c r="D1348"/>
  <c r="AX1348"/>
  <c r="C1349"/>
  <c r="D1349"/>
  <c r="AX1349"/>
  <c r="C1350"/>
  <c r="D1350"/>
  <c r="AX1350"/>
  <c r="C1351"/>
  <c r="D1351"/>
  <c r="AX1351"/>
  <c r="C1352"/>
  <c r="D1352"/>
  <c r="AX1352"/>
  <c r="C1353"/>
  <c r="D1353"/>
  <c r="AX1353"/>
  <c r="C1354"/>
  <c r="D1354"/>
  <c r="AX1354"/>
  <c r="C1355"/>
  <c r="D1355"/>
  <c r="AX1355"/>
  <c r="C1356"/>
  <c r="D1356"/>
  <c r="AX1356"/>
  <c r="C1357"/>
  <c r="D1357"/>
  <c r="AX1357"/>
  <c r="C1358"/>
  <c r="D1358"/>
  <c r="AX1358"/>
  <c r="C1359"/>
  <c r="D1359"/>
  <c r="AX1359"/>
  <c r="C1360"/>
  <c r="D1360"/>
  <c r="AX1360"/>
  <c r="C1361"/>
  <c r="D1361"/>
  <c r="AX1361"/>
  <c r="C1362"/>
  <c r="D1362"/>
  <c r="AX1362"/>
  <c r="C1363"/>
  <c r="D1363"/>
  <c r="AX1363"/>
  <c r="C1364"/>
  <c r="D1364"/>
  <c r="AX1364"/>
  <c r="C1365"/>
  <c r="D1365"/>
  <c r="AX1365"/>
  <c r="C1366"/>
  <c r="D1366"/>
  <c r="AX1366"/>
  <c r="C1367"/>
  <c r="D1367"/>
  <c r="AX1367"/>
  <c r="C1368"/>
  <c r="D1368"/>
  <c r="AX1368"/>
  <c r="C1369"/>
  <c r="D1369"/>
  <c r="AX1369"/>
  <c r="C1370"/>
  <c r="D1370"/>
  <c r="AX1370"/>
  <c r="C1371"/>
  <c r="D1371"/>
  <c r="AX1371"/>
  <c r="C1372"/>
  <c r="D1372"/>
  <c r="AX1372"/>
  <c r="C1373"/>
  <c r="D1373"/>
  <c r="AX1373"/>
  <c r="C1374"/>
  <c r="D1374"/>
  <c r="AX1374"/>
  <c r="C1375"/>
  <c r="D1375"/>
  <c r="AX1375"/>
  <c r="C1376"/>
  <c r="D1376"/>
  <c r="AX1376"/>
  <c r="C1377"/>
  <c r="D1377"/>
  <c r="AX1377"/>
  <c r="C1378"/>
  <c r="D1378"/>
  <c r="AX1378"/>
  <c r="C1379"/>
  <c r="D1379"/>
  <c r="AX1379"/>
  <c r="C1380"/>
  <c r="D1380"/>
  <c r="AX1380"/>
  <c r="C1381"/>
  <c r="D1381"/>
  <c r="AX1381"/>
  <c r="C1382"/>
  <c r="D1382"/>
  <c r="AX1382"/>
  <c r="C1383"/>
  <c r="D1383"/>
  <c r="AX1383"/>
  <c r="C1384"/>
  <c r="D1384"/>
  <c r="AX1384"/>
  <c r="C1385"/>
  <c r="D1385"/>
  <c r="AX1385"/>
  <c r="C1386"/>
  <c r="D1386"/>
  <c r="AX1386"/>
  <c r="C1387"/>
  <c r="D1387"/>
  <c r="AX1387"/>
  <c r="C1388"/>
  <c r="D1388"/>
  <c r="AX1388"/>
  <c r="C1389"/>
  <c r="D1389"/>
  <c r="AX1389"/>
  <c r="C1390"/>
  <c r="D1390"/>
  <c r="AX1390"/>
  <c r="C1391"/>
  <c r="D1391"/>
  <c r="AX1391"/>
  <c r="C1392"/>
  <c r="D1392"/>
  <c r="AX1392"/>
  <c r="C1393"/>
  <c r="D1393"/>
  <c r="AX1393"/>
  <c r="C1394"/>
  <c r="D1394"/>
  <c r="AX1394"/>
  <c r="C1395"/>
  <c r="D1395"/>
  <c r="AX1395"/>
  <c r="C1396"/>
  <c r="D1396"/>
  <c r="AX1396"/>
  <c r="C1397"/>
  <c r="D1397"/>
  <c r="AX1397"/>
  <c r="C1398"/>
  <c r="D1398"/>
  <c r="AX1398"/>
  <c r="C1399"/>
  <c r="D1399"/>
  <c r="AX1399"/>
  <c r="C1400"/>
  <c r="D1400"/>
  <c r="AX1400"/>
  <c r="C1401"/>
  <c r="D1401"/>
  <c r="AX1401"/>
  <c r="C1402"/>
  <c r="D1402"/>
  <c r="AX1402"/>
  <c r="C1403"/>
  <c r="D1403"/>
  <c r="AX1403"/>
  <c r="C1404"/>
  <c r="D1404"/>
  <c r="AX1404"/>
  <c r="C1405"/>
  <c r="D1405"/>
  <c r="AX1405"/>
  <c r="C1406"/>
  <c r="D1406"/>
  <c r="AX1406"/>
  <c r="C1407"/>
  <c r="D1407"/>
  <c r="AX1407"/>
  <c r="C1408"/>
  <c r="D1408"/>
  <c r="AX1408"/>
  <c r="C1409"/>
  <c r="D1409"/>
  <c r="AX1409"/>
  <c r="C1410"/>
  <c r="D1410"/>
  <c r="AX1410"/>
  <c r="C1411"/>
  <c r="D1411"/>
  <c r="AX1411"/>
  <c r="C1412"/>
  <c r="D1412"/>
  <c r="AX1412"/>
  <c r="C1413"/>
  <c r="D1413"/>
  <c r="AX1413"/>
  <c r="C1414"/>
  <c r="D1414"/>
  <c r="AX1414"/>
  <c r="C1415"/>
  <c r="D1415"/>
  <c r="AX1415"/>
  <c r="C1416"/>
  <c r="D1416"/>
  <c r="AX1416"/>
  <c r="C1417"/>
  <c r="D1417"/>
  <c r="AX1417"/>
  <c r="C1418"/>
  <c r="D1418"/>
  <c r="AX1418"/>
  <c r="C1419"/>
  <c r="D1419"/>
  <c r="AX1419"/>
  <c r="C1420"/>
  <c r="D1420"/>
  <c r="AX1420"/>
  <c r="C1421"/>
  <c r="D1421"/>
  <c r="AX1421"/>
  <c r="C1422"/>
  <c r="D1422"/>
  <c r="AX1422"/>
  <c r="C1423"/>
  <c r="D1423"/>
  <c r="AX1423"/>
  <c r="C1424"/>
  <c r="D1424"/>
  <c r="AX1424"/>
  <c r="C1425"/>
  <c r="D1425"/>
  <c r="AX1425"/>
  <c r="C1426"/>
  <c r="D1426"/>
  <c r="AX1426"/>
  <c r="C1427"/>
  <c r="D1427"/>
  <c r="AX1427"/>
  <c r="C1428"/>
  <c r="D1428"/>
  <c r="AX1428"/>
  <c r="C1429"/>
  <c r="D1429"/>
  <c r="AX1429"/>
  <c r="C1430"/>
  <c r="D1430"/>
  <c r="AX1430"/>
  <c r="C1431"/>
  <c r="D1431"/>
  <c r="AX1431"/>
  <c r="C1432"/>
  <c r="D1432"/>
  <c r="AX1432"/>
  <c r="C1433"/>
  <c r="D1433"/>
  <c r="AX1433"/>
  <c r="C1434"/>
  <c r="D1434"/>
  <c r="AX1434"/>
  <c r="C1435"/>
  <c r="D1435"/>
  <c r="AX1435"/>
  <c r="C1436"/>
  <c r="D1436"/>
  <c r="AX1436"/>
  <c r="C1437"/>
  <c r="D1437"/>
  <c r="AX1437"/>
  <c r="C1438"/>
  <c r="D1438"/>
  <c r="AX1438"/>
  <c r="C1439"/>
  <c r="D1439"/>
  <c r="AX1439"/>
  <c r="C1440"/>
  <c r="D1440"/>
  <c r="AX1440"/>
  <c r="C1441"/>
  <c r="D1441"/>
  <c r="AX1441"/>
  <c r="C1442"/>
  <c r="D1442"/>
  <c r="AX1442"/>
  <c r="C1443"/>
  <c r="D1443"/>
  <c r="AX1443"/>
  <c r="C1444"/>
  <c r="D1444"/>
  <c r="AX1444"/>
  <c r="C1445"/>
  <c r="D1445"/>
  <c r="AX1445"/>
  <c r="C1446"/>
  <c r="D1446"/>
  <c r="AX1446"/>
  <c r="C1447"/>
  <c r="D1447"/>
  <c r="AX1447"/>
  <c r="C1448"/>
  <c r="D1448"/>
  <c r="AX1448"/>
  <c r="C1449"/>
  <c r="D1449"/>
  <c r="AX1449"/>
  <c r="C1450"/>
  <c r="D1450"/>
  <c r="AX1450"/>
  <c r="C1451"/>
  <c r="D1451"/>
  <c r="AX1451"/>
  <c r="C1452"/>
  <c r="D1452"/>
  <c r="AX1452"/>
  <c r="C1453"/>
  <c r="D1453"/>
  <c r="AX1453"/>
  <c r="C1454"/>
  <c r="D1454"/>
  <c r="AX1454"/>
  <c r="C1455"/>
  <c r="D1455"/>
  <c r="AX1455"/>
  <c r="C1456"/>
  <c r="D1456"/>
  <c r="AX1456"/>
  <c r="C1457"/>
  <c r="D1457"/>
  <c r="AX1457"/>
  <c r="C1458"/>
  <c r="D1458"/>
  <c r="AX1458"/>
  <c r="C1459"/>
  <c r="D1459"/>
  <c r="AX1459"/>
  <c r="C1460"/>
  <c r="D1460"/>
  <c r="AX1460"/>
  <c r="C1461"/>
  <c r="D1461"/>
  <c r="AX1461"/>
  <c r="C1462"/>
  <c r="D1462"/>
  <c r="AX1462"/>
  <c r="C1463"/>
  <c r="D1463"/>
  <c r="AX1463"/>
  <c r="C1464"/>
  <c r="D1464"/>
  <c r="AX1464"/>
  <c r="C1465"/>
  <c r="D1465"/>
  <c r="AX1465"/>
  <c r="C1466"/>
  <c r="D1466"/>
  <c r="AX1466"/>
  <c r="C1467"/>
  <c r="D1467"/>
  <c r="AX1467"/>
  <c r="C1468"/>
  <c r="D1468"/>
  <c r="AX1468"/>
  <c r="C1469"/>
  <c r="D1469"/>
  <c r="AX1469"/>
  <c r="C1470"/>
  <c r="D1470"/>
  <c r="AX1470"/>
  <c r="C1471"/>
  <c r="D1471"/>
  <c r="AX1471"/>
  <c r="C1472"/>
  <c r="D1472"/>
  <c r="AX1472"/>
  <c r="C1473"/>
  <c r="D1473"/>
  <c r="AX1473"/>
  <c r="C1474"/>
  <c r="D1474"/>
  <c r="AX1474"/>
  <c r="C1475"/>
  <c r="D1475"/>
  <c r="AX1475"/>
  <c r="C1476"/>
  <c r="D1476"/>
  <c r="AX1476"/>
  <c r="C1477"/>
  <c r="D1477"/>
  <c r="AX1477"/>
  <c r="C1478"/>
  <c r="D1478"/>
  <c r="AX1478"/>
  <c r="C1479"/>
  <c r="D1479"/>
  <c r="AX1479"/>
  <c r="C1480"/>
  <c r="D1480"/>
  <c r="AX1480"/>
  <c r="C1481"/>
  <c r="D1481"/>
  <c r="AX1481"/>
  <c r="C1482"/>
  <c r="D1482"/>
  <c r="AX1482"/>
  <c r="C1483"/>
  <c r="D1483"/>
  <c r="AX1483"/>
  <c r="C1484"/>
  <c r="D1484"/>
  <c r="AX1484"/>
  <c r="C1485"/>
  <c r="D1485"/>
  <c r="AX1485"/>
  <c r="C1486"/>
  <c r="D1486"/>
  <c r="AX1486"/>
  <c r="C1487"/>
  <c r="D1487"/>
  <c r="AX1487"/>
  <c r="C1488"/>
  <c r="D1488"/>
  <c r="AX1488"/>
  <c r="C1489"/>
  <c r="D1489"/>
  <c r="AX1489"/>
  <c r="C1490"/>
  <c r="D1490"/>
  <c r="AX1490"/>
  <c r="C1491"/>
  <c r="D1491"/>
  <c r="AX1491"/>
  <c r="C1492"/>
  <c r="D1492"/>
  <c r="AX1492"/>
  <c r="C1493"/>
  <c r="D1493"/>
  <c r="AX1493"/>
  <c r="C1494"/>
  <c r="D1494"/>
  <c r="AX1494"/>
  <c r="C1495"/>
  <c r="D1495"/>
  <c r="AX1495"/>
  <c r="C1496"/>
  <c r="D1496"/>
  <c r="AX1496"/>
  <c r="C1497"/>
  <c r="D1497"/>
  <c r="AX1497"/>
  <c r="C1498"/>
  <c r="D1498"/>
  <c r="AX1498"/>
  <c r="C1499"/>
  <c r="D1499"/>
  <c r="AX1499"/>
  <c r="C1500"/>
  <c r="D1500"/>
  <c r="AX1500"/>
  <c r="C1501"/>
  <c r="D1501"/>
  <c r="AX1501"/>
  <c r="C1502"/>
  <c r="D1502"/>
  <c r="AX1502"/>
  <c r="C1503"/>
  <c r="D1503"/>
  <c r="AX1503"/>
  <c r="C1504"/>
  <c r="D1504"/>
  <c r="AX1504"/>
  <c r="C1505"/>
  <c r="D1505"/>
  <c r="AX1505"/>
  <c r="C1506"/>
  <c r="D1506"/>
  <c r="AX1506"/>
  <c r="C1507"/>
  <c r="D1507"/>
  <c r="AX1507"/>
  <c r="C1508"/>
  <c r="D1508"/>
  <c r="AX1508"/>
  <c r="C1509"/>
  <c r="D1509"/>
  <c r="AX1509"/>
  <c r="C1510"/>
  <c r="D1510"/>
  <c r="AX1510"/>
  <c r="C1511"/>
  <c r="D1511"/>
  <c r="AX1511"/>
  <c r="C1512"/>
  <c r="D1512"/>
  <c r="AX1512"/>
  <c r="C1513"/>
  <c r="D1513"/>
  <c r="AX1513"/>
  <c r="C1514"/>
  <c r="D1514"/>
  <c r="AX1514"/>
  <c r="C1515"/>
  <c r="D1515"/>
  <c r="AX1515"/>
  <c r="C1516"/>
  <c r="D1516"/>
  <c r="AX1516"/>
  <c r="C1517"/>
  <c r="D1517"/>
  <c r="AX1517"/>
  <c r="C1518"/>
  <c r="D1518"/>
  <c r="AX1518"/>
  <c r="C1519"/>
  <c r="D1519"/>
  <c r="AX1519"/>
  <c r="C1520"/>
  <c r="D1520"/>
  <c r="AX1520"/>
  <c r="C1521"/>
  <c r="D1521"/>
  <c r="AX1521"/>
  <c r="C1522"/>
  <c r="D1522"/>
  <c r="AX1522"/>
  <c r="C1523"/>
  <c r="D1523"/>
  <c r="AX1523"/>
  <c r="C1524"/>
  <c r="D1524"/>
  <c r="AX1524"/>
  <c r="C1525"/>
  <c r="D1525"/>
  <c r="AX1525"/>
  <c r="C1526"/>
  <c r="D1526"/>
  <c r="AX1526"/>
  <c r="C1527"/>
  <c r="D1527"/>
  <c r="AX1527"/>
  <c r="C1528"/>
  <c r="D1528"/>
  <c r="AX1528"/>
  <c r="C1529"/>
  <c r="D1529"/>
  <c r="AX1529"/>
  <c r="C1530"/>
  <c r="D1530"/>
  <c r="AX1530"/>
  <c r="C1531"/>
  <c r="D1531"/>
  <c r="AX1531"/>
  <c r="C1532"/>
  <c r="D1532"/>
  <c r="AX1532"/>
  <c r="C1533"/>
  <c r="D1533"/>
  <c r="AX1533"/>
  <c r="C1534"/>
  <c r="D1534"/>
  <c r="AX1534"/>
  <c r="C1535"/>
  <c r="D1535"/>
  <c r="AX1535"/>
  <c r="C1536"/>
  <c r="D1536"/>
  <c r="AX1536"/>
  <c r="C1537"/>
  <c r="D1537"/>
  <c r="AX1537"/>
  <c r="C1538"/>
  <c r="D1538"/>
  <c r="AX1538"/>
  <c r="C1539"/>
  <c r="D1539"/>
  <c r="AX1539"/>
  <c r="C1540"/>
  <c r="D1540"/>
  <c r="AX1540"/>
  <c r="C1541"/>
  <c r="D1541"/>
  <c r="AX1541"/>
  <c r="C1542"/>
  <c r="D1542"/>
  <c r="AX1542"/>
  <c r="C1543"/>
  <c r="D1543"/>
  <c r="AX1543"/>
  <c r="C1544"/>
  <c r="D1544"/>
  <c r="AX1544"/>
  <c r="C1545"/>
  <c r="D1545"/>
  <c r="AX1545"/>
  <c r="C1546"/>
  <c r="D1546"/>
  <c r="AX1546"/>
  <c r="C1547"/>
  <c r="D1547"/>
  <c r="AX1547"/>
  <c r="C1548"/>
  <c r="D1548"/>
  <c r="AX1548"/>
  <c r="C1549"/>
  <c r="D1549"/>
  <c r="AX1549"/>
  <c r="C1550"/>
  <c r="D1550"/>
  <c r="AX1550"/>
  <c r="C1551"/>
  <c r="D1551"/>
  <c r="AX1551"/>
  <c r="C1552"/>
  <c r="D1552"/>
  <c r="AX1552"/>
  <c r="C1553"/>
  <c r="D1553"/>
  <c r="AX1553"/>
  <c r="C1554"/>
  <c r="D1554"/>
  <c r="AX1554"/>
  <c r="C1555"/>
  <c r="D1555"/>
  <c r="AX1555"/>
  <c r="C1556"/>
  <c r="D1556"/>
  <c r="AX1556"/>
  <c r="C1557"/>
  <c r="D1557"/>
  <c r="AX1557"/>
  <c r="C1558"/>
  <c r="D1558"/>
  <c r="AX1558"/>
  <c r="C1559"/>
  <c r="D1559"/>
  <c r="AX1559"/>
  <c r="C1560"/>
  <c r="D1560"/>
  <c r="AX1560"/>
  <c r="C1561"/>
  <c r="D1561"/>
  <c r="AX1561"/>
  <c r="C1562"/>
  <c r="D1562"/>
  <c r="AX1562"/>
  <c r="C1563"/>
  <c r="D1563"/>
  <c r="AX1563"/>
  <c r="C1564"/>
  <c r="D1564"/>
  <c r="AX1564"/>
  <c r="C1565"/>
  <c r="D1565"/>
  <c r="AX1565"/>
  <c r="C1566"/>
  <c r="D1566"/>
  <c r="AX1566"/>
  <c r="C1567"/>
  <c r="D1567"/>
  <c r="AX1567"/>
  <c r="C1568"/>
  <c r="D1568"/>
  <c r="AX1568"/>
  <c r="C1569"/>
  <c r="D1569"/>
  <c r="AX1569"/>
  <c r="C1570"/>
  <c r="D1570"/>
  <c r="AX1570"/>
  <c r="C1571"/>
  <c r="D1571"/>
  <c r="AX1571"/>
  <c r="C1572"/>
  <c r="D1572"/>
  <c r="AX1572"/>
  <c r="C1573"/>
  <c r="D1573"/>
  <c r="AX1573"/>
  <c r="C1574"/>
  <c r="D1574"/>
  <c r="AX1574"/>
  <c r="C1575"/>
  <c r="D1575"/>
  <c r="AX1575"/>
  <c r="C1576"/>
  <c r="D1576"/>
  <c r="AX1576"/>
  <c r="C1577"/>
  <c r="D1577"/>
  <c r="AX1577"/>
  <c r="C1578"/>
  <c r="D1578"/>
  <c r="AX1578"/>
  <c r="C1579"/>
  <c r="D1579"/>
  <c r="AX1579"/>
  <c r="C1580"/>
  <c r="D1580"/>
  <c r="AX1580"/>
  <c r="C1581"/>
  <c r="D1581"/>
  <c r="AX1581"/>
  <c r="C1582"/>
  <c r="D1582"/>
  <c r="AX1582"/>
  <c r="C1583"/>
  <c r="D1583"/>
  <c r="AX1583"/>
  <c r="C1584"/>
  <c r="D1584"/>
  <c r="AX1584"/>
  <c r="C1585"/>
  <c r="D1585"/>
  <c r="AX1585"/>
  <c r="C1586"/>
  <c r="D1586"/>
  <c r="AX1586"/>
  <c r="C1587"/>
  <c r="D1587"/>
  <c r="AX1587"/>
  <c r="C1588"/>
  <c r="D1588"/>
  <c r="AX1588"/>
  <c r="C1589"/>
  <c r="D1589"/>
  <c r="AX1589"/>
  <c r="C1590"/>
  <c r="D1590"/>
  <c r="AX1590"/>
  <c r="C1591"/>
  <c r="D1591"/>
  <c r="AX1591"/>
  <c r="C1592"/>
  <c r="D1592"/>
  <c r="AX1592"/>
  <c r="C1593"/>
  <c r="D1593"/>
  <c r="AX1593"/>
  <c r="C1594"/>
  <c r="D1594"/>
  <c r="AX1594"/>
  <c r="C1595"/>
  <c r="D1595"/>
  <c r="AX1595"/>
  <c r="C1596"/>
  <c r="D1596"/>
  <c r="AX1596"/>
  <c r="C1597"/>
  <c r="D1597"/>
  <c r="AX1597"/>
  <c r="C1598"/>
  <c r="D1598"/>
  <c r="AX1598"/>
  <c r="C1599"/>
  <c r="D1599"/>
  <c r="AX1599"/>
  <c r="C1600"/>
  <c r="D1600"/>
  <c r="AX1600"/>
  <c r="C1601"/>
  <c r="D1601"/>
  <c r="AX1601"/>
  <c r="C1602"/>
  <c r="D1602"/>
  <c r="AX1602"/>
  <c r="C1603"/>
  <c r="D1603"/>
  <c r="AX1603"/>
  <c r="C1604"/>
  <c r="D1604"/>
  <c r="AX1604"/>
  <c r="C1605"/>
  <c r="D1605"/>
  <c r="AX1605"/>
  <c r="C1606"/>
  <c r="D1606"/>
  <c r="AX1606"/>
  <c r="C1607"/>
  <c r="D1607"/>
  <c r="AX1607"/>
  <c r="C1608"/>
  <c r="D1608"/>
  <c r="AX1608"/>
  <c r="C1609"/>
  <c r="D1609"/>
  <c r="AX1609"/>
  <c r="C1610"/>
  <c r="D1610"/>
  <c r="AX1610"/>
  <c r="C1611"/>
  <c r="D1611"/>
  <c r="AX1611"/>
  <c r="C1612"/>
  <c r="D1612"/>
  <c r="AX1612"/>
  <c r="C1613"/>
  <c r="D1613"/>
  <c r="AX1613"/>
  <c r="C1614"/>
  <c r="D1614"/>
  <c r="AX1614"/>
  <c r="C1615"/>
  <c r="D1615"/>
  <c r="AX1615"/>
  <c r="C1616"/>
  <c r="D1616"/>
  <c r="AX1616"/>
  <c r="C1617"/>
  <c r="D1617"/>
  <c r="AX1617"/>
  <c r="C1618"/>
  <c r="D1618"/>
  <c r="AX1618"/>
  <c r="C1619"/>
  <c r="D1619"/>
  <c r="AX1619"/>
  <c r="C1620"/>
  <c r="D1620"/>
  <c r="AX1620"/>
  <c r="C1621"/>
  <c r="D1621"/>
  <c r="AX1621"/>
  <c r="C1622"/>
  <c r="D1622"/>
  <c r="AX1622"/>
  <c r="C1623"/>
  <c r="D1623"/>
  <c r="AX1623"/>
  <c r="C1624"/>
  <c r="D1624"/>
  <c r="AX1624"/>
  <c r="C1625"/>
  <c r="D1625"/>
  <c r="AX1625"/>
  <c r="C1626"/>
  <c r="D1626"/>
  <c r="AX1626"/>
  <c r="C1627"/>
  <c r="D1627"/>
  <c r="AX1627"/>
  <c r="C1628"/>
  <c r="D1628"/>
  <c r="AX1628"/>
  <c r="C1629"/>
  <c r="D1629"/>
  <c r="AX1629"/>
  <c r="C1630"/>
  <c r="D1630"/>
  <c r="AX1630"/>
  <c r="C1631"/>
  <c r="D1631"/>
  <c r="AX1631"/>
  <c r="C1632"/>
  <c r="D1632"/>
  <c r="AX1632"/>
  <c r="C1633"/>
  <c r="D1633"/>
  <c r="AX1633"/>
  <c r="C1634"/>
  <c r="D1634"/>
  <c r="AX1634"/>
  <c r="C1635"/>
  <c r="D1635"/>
  <c r="AX1635"/>
  <c r="C1636"/>
  <c r="D1636"/>
  <c r="AX1636"/>
  <c r="C1637"/>
  <c r="D1637"/>
  <c r="AX1637"/>
  <c r="C1638"/>
  <c r="D1638"/>
  <c r="AX1638"/>
  <c r="C1639"/>
  <c r="D1639"/>
  <c r="AX1639"/>
  <c r="C1640"/>
  <c r="D1640"/>
  <c r="AX1640"/>
  <c r="C1641"/>
  <c r="D1641"/>
  <c r="AX1641"/>
  <c r="C1642"/>
  <c r="D1642"/>
  <c r="AX1642"/>
  <c r="C1643"/>
  <c r="D1643"/>
  <c r="AX1643"/>
  <c r="C1644"/>
  <c r="D1644"/>
  <c r="AX1644"/>
  <c r="C1645"/>
  <c r="D1645"/>
  <c r="AX1645"/>
  <c r="C1646"/>
  <c r="D1646"/>
  <c r="AX1646"/>
  <c r="C1647"/>
  <c r="D1647"/>
  <c r="AX1647"/>
  <c r="C1648"/>
  <c r="D1648"/>
  <c r="AX1648"/>
  <c r="C1649"/>
  <c r="D1649"/>
  <c r="AX1649"/>
  <c r="C1650"/>
  <c r="D1650"/>
  <c r="AX1650"/>
  <c r="C1651"/>
  <c r="D1651"/>
  <c r="AX1651"/>
  <c r="C1652"/>
  <c r="D1652"/>
  <c r="AX1652"/>
  <c r="C1653"/>
  <c r="D1653"/>
  <c r="AX1653"/>
  <c r="C1654"/>
  <c r="D1654"/>
  <c r="AX1654"/>
  <c r="C1655"/>
  <c r="D1655"/>
  <c r="AX1655"/>
  <c r="C1656"/>
  <c r="D1656"/>
  <c r="AX1656"/>
  <c r="C1657"/>
  <c r="D1657"/>
  <c r="AX1657"/>
  <c r="C1658"/>
  <c r="D1658"/>
  <c r="AX1658"/>
  <c r="C1659"/>
  <c r="D1659"/>
  <c r="AX1659"/>
  <c r="C1660"/>
  <c r="D1660"/>
  <c r="AX1660"/>
  <c r="C1661"/>
  <c r="D1661"/>
  <c r="AX1661"/>
  <c r="C1662"/>
  <c r="D1662"/>
  <c r="AX1662"/>
  <c r="C1663"/>
  <c r="D1663"/>
  <c r="AX1663"/>
  <c r="C1664"/>
  <c r="D1664"/>
  <c r="AX1664"/>
  <c r="C1665"/>
  <c r="D1665"/>
  <c r="AX1665"/>
  <c r="C1666"/>
  <c r="D1666"/>
  <c r="AX1666"/>
  <c r="C1667"/>
  <c r="D1667"/>
  <c r="AX1667"/>
  <c r="C1668"/>
  <c r="D1668"/>
  <c r="AX1668"/>
  <c r="C1669"/>
  <c r="D1669"/>
  <c r="AX1669"/>
  <c r="C1670"/>
  <c r="D1670"/>
  <c r="AX1670"/>
  <c r="C1671"/>
  <c r="D1671"/>
  <c r="AX1671"/>
  <c r="C1672"/>
  <c r="D1672"/>
  <c r="AX1672"/>
  <c r="C1673"/>
  <c r="D1673"/>
  <c r="AX1673"/>
  <c r="C1674"/>
  <c r="D1674"/>
  <c r="AX1674"/>
  <c r="C1675"/>
  <c r="D1675"/>
  <c r="AX1675"/>
  <c r="C1676"/>
  <c r="D1676"/>
  <c r="AX1676"/>
  <c r="C1677"/>
  <c r="D1677"/>
  <c r="AX1677"/>
  <c r="C1678"/>
  <c r="D1678"/>
  <c r="AX1678"/>
  <c r="C1679"/>
  <c r="D1679"/>
  <c r="AX1679"/>
  <c r="C1680"/>
  <c r="D1680"/>
  <c r="AX1680"/>
  <c r="C1681"/>
  <c r="D1681"/>
  <c r="AX1681"/>
  <c r="C1682"/>
  <c r="D1682"/>
  <c r="AX1682"/>
  <c r="C1683"/>
  <c r="D1683"/>
  <c r="AX1683"/>
  <c r="C1684"/>
  <c r="D1684"/>
  <c r="AX1684"/>
  <c r="C1685"/>
  <c r="D1685"/>
  <c r="AX1685"/>
  <c r="C1686"/>
  <c r="D1686"/>
  <c r="AX1686"/>
  <c r="C1687"/>
  <c r="D1687"/>
  <c r="AX1687"/>
  <c r="C1688"/>
  <c r="D1688"/>
  <c r="AX1688"/>
  <c r="C1689"/>
  <c r="D1689"/>
  <c r="AX1689"/>
  <c r="C1690"/>
  <c r="D1690"/>
  <c r="AX1690"/>
  <c r="C1691"/>
  <c r="D1691"/>
  <c r="AX1691"/>
  <c r="C1692"/>
  <c r="D1692"/>
  <c r="AX1692"/>
  <c r="C1693"/>
  <c r="D1693"/>
  <c r="AX1693"/>
  <c r="C1694"/>
  <c r="D1694"/>
  <c r="AX1694"/>
  <c r="C1695"/>
  <c r="D1695"/>
  <c r="AX1695"/>
  <c r="C1696"/>
  <c r="D1696"/>
  <c r="AX1696"/>
  <c r="C1697"/>
  <c r="D1697"/>
  <c r="AX1697"/>
  <c r="C1698"/>
  <c r="D1698"/>
  <c r="AX1698"/>
  <c r="C1699"/>
  <c r="D1699"/>
  <c r="AX1699"/>
  <c r="C1700"/>
  <c r="D1700"/>
  <c r="AX1700"/>
  <c r="C1701"/>
  <c r="D1701"/>
  <c r="AX1701"/>
  <c r="C1702"/>
  <c r="D1702"/>
  <c r="AX1702"/>
  <c r="C1703"/>
  <c r="D1703"/>
  <c r="AX1703"/>
  <c r="C1704"/>
  <c r="D1704"/>
  <c r="AX1704"/>
  <c r="C1705"/>
  <c r="D1705"/>
  <c r="AX1705"/>
  <c r="C1706"/>
  <c r="D1706"/>
  <c r="AX1706"/>
  <c r="C1707"/>
  <c r="D1707"/>
  <c r="AX1707"/>
  <c r="C1708"/>
  <c r="D1708"/>
  <c r="AX1708"/>
  <c r="C1709"/>
  <c r="D1709"/>
  <c r="AX1709"/>
  <c r="C1710"/>
  <c r="D1710"/>
  <c r="AX1710"/>
  <c r="C1711"/>
  <c r="D1711"/>
  <c r="AX1711"/>
  <c r="C1712"/>
  <c r="D1712"/>
  <c r="AX1712"/>
  <c r="C1713"/>
  <c r="D1713"/>
  <c r="AX1713"/>
  <c r="C1714"/>
  <c r="D1714"/>
  <c r="AX1714"/>
  <c r="C1715"/>
  <c r="D1715"/>
  <c r="AX1715"/>
  <c r="C1716"/>
  <c r="D1716"/>
  <c r="AX1716"/>
  <c r="C1717"/>
  <c r="D1717"/>
  <c r="AX1717"/>
  <c r="C1718"/>
  <c r="D1718"/>
  <c r="AX1718"/>
  <c r="C1719"/>
  <c r="D1719"/>
  <c r="AX1719"/>
  <c r="C1720"/>
  <c r="D1720"/>
  <c r="AX1720"/>
  <c r="C1721"/>
  <c r="D1721"/>
  <c r="AX1721"/>
  <c r="C1722"/>
  <c r="D1722"/>
  <c r="AX1722"/>
  <c r="C1723"/>
  <c r="D1723"/>
  <c r="AX1723"/>
  <c r="C1724"/>
  <c r="D1724"/>
  <c r="AX1724"/>
  <c r="C1725"/>
  <c r="D1725"/>
  <c r="AX1725"/>
  <c r="C1726"/>
  <c r="D1726"/>
  <c r="AX1726"/>
  <c r="C1727"/>
  <c r="D1727"/>
  <c r="AX1727"/>
  <c r="C1728"/>
  <c r="D1728"/>
  <c r="AX1728"/>
  <c r="C1729"/>
  <c r="D1729"/>
  <c r="AX1729"/>
  <c r="C1730"/>
  <c r="D1730"/>
  <c r="AX1730"/>
  <c r="C1731"/>
  <c r="D1731"/>
  <c r="AX1731"/>
  <c r="C1732"/>
  <c r="D1732"/>
  <c r="AX1732"/>
  <c r="C1733"/>
  <c r="D1733"/>
  <c r="AX1733"/>
  <c r="C1734"/>
  <c r="D1734"/>
  <c r="AX1734"/>
  <c r="C1735"/>
  <c r="D1735"/>
  <c r="AX1735"/>
  <c r="C1736"/>
  <c r="D1736"/>
  <c r="AX1736"/>
  <c r="C1737"/>
  <c r="D1737"/>
  <c r="AX1737"/>
  <c r="C1738"/>
  <c r="D1738"/>
  <c r="AX1738"/>
  <c r="C1739"/>
  <c r="D1739"/>
  <c r="AX1739"/>
  <c r="C1740"/>
  <c r="D1740"/>
  <c r="AX1740"/>
  <c r="C1741"/>
  <c r="D1741"/>
  <c r="AX1741"/>
  <c r="C1742"/>
  <c r="D1742"/>
  <c r="AX1742"/>
  <c r="C1743"/>
  <c r="D1743"/>
  <c r="AX1743"/>
  <c r="C1744"/>
  <c r="D1744"/>
  <c r="AX1744"/>
  <c r="C1745"/>
  <c r="D1745"/>
  <c r="AX1745"/>
  <c r="C1746"/>
  <c r="D1746"/>
  <c r="AX1746"/>
  <c r="C1747"/>
  <c r="D1747"/>
  <c r="AX1747"/>
  <c r="C1748"/>
  <c r="D1748"/>
  <c r="AX1748"/>
  <c r="C1749"/>
  <c r="D1749"/>
  <c r="AX1749"/>
  <c r="C1750"/>
  <c r="D1750"/>
  <c r="AX1750"/>
  <c r="C1751"/>
  <c r="D1751"/>
  <c r="AX1751"/>
  <c r="C1752"/>
  <c r="D1752"/>
  <c r="AX1752"/>
  <c r="C1753"/>
  <c r="D1753"/>
  <c r="AX1753"/>
  <c r="C1754"/>
  <c r="D1754"/>
  <c r="AX1754"/>
  <c r="C1755"/>
  <c r="D1755"/>
  <c r="AX1755"/>
  <c r="C1756"/>
  <c r="D1756"/>
  <c r="AX1756"/>
  <c r="C1757"/>
  <c r="D1757"/>
  <c r="AX1757"/>
  <c r="C1758"/>
  <c r="D1758"/>
  <c r="AX1758"/>
  <c r="C1759"/>
  <c r="D1759"/>
  <c r="AX1759"/>
  <c r="C1760"/>
  <c r="D1760"/>
  <c r="AX1760"/>
  <c r="C1761"/>
  <c r="D1761"/>
  <c r="AX1761"/>
  <c r="C1762"/>
  <c r="D1762"/>
  <c r="AX1762"/>
  <c r="C1763"/>
  <c r="D1763"/>
  <c r="AX1763"/>
  <c r="C1764"/>
  <c r="D1764"/>
  <c r="AX1764"/>
  <c r="C1765"/>
  <c r="D1765"/>
  <c r="AX1765"/>
  <c r="C1766"/>
  <c r="D1766"/>
  <c r="AX1766"/>
  <c r="C1767"/>
  <c r="D1767"/>
  <c r="AX1767"/>
  <c r="C1768"/>
  <c r="D1768"/>
  <c r="AX1768"/>
  <c r="C1769"/>
  <c r="D1769"/>
  <c r="AX1769"/>
  <c r="C1770"/>
  <c r="D1770"/>
  <c r="AX1770"/>
  <c r="C1771"/>
  <c r="D1771"/>
  <c r="AX1771"/>
  <c r="C1772"/>
  <c r="D1772"/>
  <c r="AX1772"/>
  <c r="C1773"/>
  <c r="D1773"/>
  <c r="AX1773"/>
  <c r="C1774"/>
  <c r="D1774"/>
  <c r="AX1774"/>
  <c r="C1775"/>
  <c r="D1775"/>
  <c r="AX1775"/>
  <c r="C1776"/>
  <c r="D1776"/>
  <c r="AX1776"/>
  <c r="C1777"/>
  <c r="D1777"/>
  <c r="AX1777"/>
  <c r="C1778"/>
  <c r="D1778"/>
  <c r="AX1778"/>
  <c r="C1779"/>
  <c r="D1779"/>
  <c r="AX1779"/>
  <c r="C1780"/>
  <c r="D1780"/>
  <c r="AX1780"/>
  <c r="C1781"/>
  <c r="D1781"/>
  <c r="AX1781"/>
  <c r="C1782"/>
  <c r="D1782"/>
  <c r="AX1782"/>
  <c r="C1783"/>
  <c r="D1783"/>
  <c r="AX1783"/>
  <c r="C1784"/>
  <c r="D1784"/>
  <c r="AX1784"/>
  <c r="C1785"/>
  <c r="D1785"/>
  <c r="AX1785"/>
  <c r="C1786"/>
  <c r="D1786"/>
  <c r="AX1786"/>
  <c r="C1787"/>
  <c r="D1787"/>
  <c r="AX1787"/>
  <c r="C1788"/>
  <c r="D1788"/>
  <c r="AX1788"/>
  <c r="C1789"/>
  <c r="D1789"/>
  <c r="AX1789"/>
  <c r="C1790"/>
  <c r="D1790"/>
  <c r="AX1790"/>
  <c r="C1791"/>
  <c r="D1791"/>
  <c r="AX1791"/>
  <c r="C1792"/>
  <c r="D1792"/>
  <c r="AX1792"/>
  <c r="C1793"/>
  <c r="D1793"/>
  <c r="AX1793"/>
  <c r="C1794"/>
  <c r="D1794"/>
  <c r="AX1794"/>
  <c r="C1795"/>
  <c r="D1795"/>
  <c r="AX1795"/>
  <c r="C1796"/>
  <c r="D1796"/>
  <c r="AX1796"/>
  <c r="C1797"/>
  <c r="D1797"/>
  <c r="AX1797"/>
  <c r="C1798"/>
  <c r="D1798"/>
  <c r="AX1798"/>
  <c r="C1799"/>
  <c r="D1799"/>
  <c r="AX1799"/>
  <c r="C1800"/>
  <c r="D1800"/>
  <c r="AX1800"/>
  <c r="C1801"/>
  <c r="D1801"/>
  <c r="AX1801"/>
  <c r="C1802"/>
  <c r="D1802"/>
  <c r="AX1802"/>
  <c r="C1803"/>
  <c r="D1803"/>
  <c r="AX1803"/>
  <c r="C1804"/>
  <c r="D1804"/>
  <c r="AX1804"/>
  <c r="C1805"/>
  <c r="D1805"/>
  <c r="AX1805"/>
  <c r="C1806"/>
  <c r="D1806"/>
  <c r="AX1806"/>
  <c r="C1807"/>
  <c r="D1807"/>
  <c r="AX1807"/>
  <c r="C1808"/>
  <c r="D1808"/>
  <c r="AX1808"/>
  <c r="C1809"/>
  <c r="D1809"/>
  <c r="AX1809"/>
  <c r="C1810"/>
  <c r="D1810"/>
  <c r="AX1810"/>
  <c r="C1811"/>
  <c r="D1811"/>
  <c r="AX1811"/>
  <c r="C1812"/>
  <c r="D1812"/>
  <c r="AX1812"/>
  <c r="C1813"/>
  <c r="D1813"/>
  <c r="AX1813"/>
  <c r="C1814"/>
  <c r="D1814"/>
  <c r="AX1814"/>
  <c r="C1815"/>
  <c r="D1815"/>
  <c r="AX1815"/>
  <c r="C1816"/>
  <c r="D1816"/>
  <c r="AX1816"/>
  <c r="C1817"/>
  <c r="D1817"/>
  <c r="AX1817"/>
  <c r="C1818"/>
  <c r="D1818"/>
  <c r="AX1818"/>
  <c r="C1819"/>
  <c r="D1819"/>
  <c r="AX1819"/>
  <c r="C1820"/>
  <c r="D1820"/>
  <c r="AX1820"/>
  <c r="C1821"/>
  <c r="D1821"/>
  <c r="AX1821"/>
  <c r="C1822"/>
  <c r="D1822"/>
  <c r="AX1822"/>
  <c r="C1823"/>
  <c r="D1823"/>
  <c r="AX1823"/>
  <c r="C1824"/>
  <c r="D1824"/>
  <c r="AX1824"/>
  <c r="C1825"/>
  <c r="D1825"/>
  <c r="AX1825"/>
  <c r="C1826"/>
  <c r="D1826"/>
  <c r="AX1826"/>
  <c r="C1827"/>
  <c r="D1827"/>
  <c r="AX1827"/>
  <c r="C1828"/>
  <c r="D1828"/>
  <c r="AX1828"/>
  <c r="C1829"/>
  <c r="D1829"/>
  <c r="AX1829"/>
  <c r="C1830"/>
  <c r="D1830"/>
  <c r="AX1830"/>
  <c r="C1831"/>
  <c r="D1831"/>
  <c r="AX1831"/>
  <c r="C1832"/>
  <c r="D1832"/>
  <c r="AX1832"/>
  <c r="C1833"/>
  <c r="D1833"/>
  <c r="AX1833"/>
  <c r="C1834"/>
  <c r="D1834"/>
  <c r="AX1834"/>
  <c r="C1835"/>
  <c r="D1835"/>
  <c r="AX1835"/>
  <c r="C1836"/>
  <c r="D1836"/>
  <c r="AX1836"/>
  <c r="C1837"/>
  <c r="D1837"/>
  <c r="AX1837"/>
  <c r="C1838"/>
  <c r="D1838"/>
  <c r="AX1838"/>
  <c r="C1839"/>
  <c r="D1839"/>
  <c r="AX1839"/>
  <c r="C1840"/>
  <c r="D1840"/>
  <c r="AX1840"/>
  <c r="C1841"/>
  <c r="D1841"/>
  <c r="AX1841"/>
  <c r="C1842"/>
  <c r="D1842"/>
  <c r="AX1842"/>
  <c r="C1843"/>
  <c r="D1843"/>
  <c r="AX1843"/>
  <c r="C1844"/>
  <c r="D1844"/>
  <c r="AX1844"/>
  <c r="C1845"/>
  <c r="D1845"/>
  <c r="AX1845"/>
  <c r="C1846"/>
  <c r="D1846"/>
  <c r="AX1846"/>
  <c r="C1847"/>
  <c r="D1847"/>
  <c r="AX1847"/>
  <c r="C1848"/>
  <c r="D1848"/>
  <c r="AX1848"/>
  <c r="C1849"/>
  <c r="D1849"/>
  <c r="AX1849"/>
  <c r="C1850"/>
  <c r="D1850"/>
  <c r="AX1850"/>
  <c r="C1851"/>
  <c r="D1851"/>
  <c r="AX1851"/>
  <c r="C1852"/>
  <c r="D1852"/>
  <c r="AX1852"/>
  <c r="C1853"/>
  <c r="D1853"/>
  <c r="AX1853"/>
  <c r="C1854"/>
  <c r="D1854"/>
  <c r="AX1854"/>
  <c r="C1855"/>
  <c r="D1855"/>
  <c r="AX1855"/>
  <c r="C1856"/>
  <c r="D1856"/>
  <c r="AX1856"/>
  <c r="C1857"/>
  <c r="D1857"/>
  <c r="AX1857"/>
  <c r="C1858"/>
  <c r="D1858"/>
  <c r="AX1858"/>
  <c r="C1859"/>
  <c r="D1859"/>
  <c r="AX1859"/>
  <c r="C1860"/>
  <c r="D1860"/>
  <c r="AX1860"/>
  <c r="C1861"/>
  <c r="D1861"/>
  <c r="AX1861"/>
  <c r="C1862"/>
  <c r="D1862"/>
  <c r="AX1862"/>
  <c r="C1863"/>
  <c r="D1863"/>
  <c r="AX1863"/>
  <c r="C1864"/>
  <c r="D1864"/>
  <c r="AX1864"/>
  <c r="C1865"/>
  <c r="D1865"/>
  <c r="AX1865"/>
  <c r="C1866"/>
  <c r="D1866"/>
  <c r="AX1866"/>
  <c r="C1867"/>
  <c r="D1867"/>
  <c r="AX1867"/>
  <c r="C1868"/>
  <c r="D1868"/>
  <c r="AX1868"/>
  <c r="C1869"/>
  <c r="D1869"/>
  <c r="AX1869"/>
  <c r="C1870"/>
  <c r="D1870"/>
  <c r="AX1870"/>
  <c r="C1871"/>
  <c r="D1871"/>
  <c r="AX1871"/>
  <c r="C1872"/>
  <c r="D1872"/>
  <c r="AX1872"/>
  <c r="C1873"/>
  <c r="D1873"/>
  <c r="AX1873"/>
  <c r="C1874"/>
  <c r="D1874"/>
  <c r="AX1874"/>
  <c r="C1875"/>
  <c r="D1875"/>
  <c r="AX1875"/>
  <c r="C1876"/>
  <c r="D1876"/>
  <c r="AX1876"/>
  <c r="C1877"/>
  <c r="D1877"/>
  <c r="AX1877"/>
  <c r="C1878"/>
  <c r="D1878"/>
  <c r="AX1878"/>
  <c r="C1879"/>
  <c r="D1879"/>
  <c r="AX1879"/>
  <c r="C1880"/>
  <c r="D1880"/>
  <c r="AX1880"/>
  <c r="C1881"/>
  <c r="D1881"/>
  <c r="AX1881"/>
  <c r="C1882"/>
  <c r="D1882"/>
  <c r="AX1882"/>
  <c r="C1883"/>
  <c r="D1883"/>
  <c r="AX1883"/>
  <c r="C1884"/>
  <c r="D1884"/>
  <c r="AX1884"/>
  <c r="C1885"/>
  <c r="D1885"/>
  <c r="AX1885"/>
  <c r="C1886"/>
  <c r="D1886"/>
  <c r="AX1886"/>
  <c r="C1887"/>
  <c r="D1887"/>
  <c r="AX1887"/>
  <c r="C1888"/>
  <c r="D1888"/>
  <c r="AX1888"/>
  <c r="C1889"/>
  <c r="D1889"/>
  <c r="AX1889"/>
  <c r="C1890"/>
  <c r="D1890"/>
  <c r="AX1890"/>
  <c r="C1891"/>
  <c r="D1891"/>
  <c r="AX1891"/>
  <c r="C1892"/>
  <c r="D1892"/>
  <c r="AX1892"/>
  <c r="C1893"/>
  <c r="D1893"/>
  <c r="AX1893"/>
  <c r="C1894"/>
  <c r="D1894"/>
  <c r="AX1894"/>
  <c r="C1895"/>
  <c r="D1895"/>
  <c r="AX1895"/>
  <c r="C1896"/>
  <c r="D1896"/>
  <c r="AX1896"/>
  <c r="C1897"/>
  <c r="D1897"/>
  <c r="AX1897"/>
  <c r="C1898"/>
  <c r="D1898"/>
  <c r="AX1898"/>
  <c r="C1899"/>
  <c r="D1899"/>
  <c r="AX1899"/>
  <c r="C1900"/>
  <c r="D1900"/>
  <c r="AX1900"/>
  <c r="C1901"/>
  <c r="D1901"/>
  <c r="AX1901"/>
  <c r="C1902"/>
  <c r="D1902"/>
  <c r="AX1902"/>
  <c r="C1903"/>
  <c r="D1903"/>
  <c r="AX1903"/>
  <c r="C1904"/>
  <c r="D1904"/>
  <c r="AX1904"/>
  <c r="C1905"/>
  <c r="D1905"/>
  <c r="AX1905"/>
  <c r="C1906"/>
  <c r="D1906"/>
  <c r="AX1906"/>
  <c r="C1907"/>
  <c r="D1907"/>
  <c r="AX1907"/>
  <c r="C1908"/>
  <c r="D1908"/>
  <c r="AX1908"/>
  <c r="C1909"/>
  <c r="D1909"/>
  <c r="AX1909"/>
  <c r="C1910"/>
  <c r="D1910"/>
  <c r="AX1910"/>
  <c r="C1911"/>
  <c r="D1911"/>
  <c r="AX1911"/>
  <c r="C1912"/>
  <c r="D1912"/>
  <c r="AX1912"/>
  <c r="C1913"/>
  <c r="D1913"/>
  <c r="AX1913"/>
  <c r="C1914"/>
  <c r="D1914"/>
  <c r="AX1914"/>
  <c r="C1915"/>
  <c r="D1915"/>
  <c r="AX1915"/>
  <c r="C1916"/>
  <c r="D1916"/>
  <c r="AX1916"/>
  <c r="C1917"/>
  <c r="D1917"/>
  <c r="AX1917"/>
  <c r="C1918"/>
  <c r="D1918"/>
  <c r="AX1918"/>
  <c r="C1919"/>
  <c r="D1919"/>
  <c r="AX1919"/>
  <c r="C1920"/>
  <c r="D1920"/>
  <c r="AX1920"/>
  <c r="C1921"/>
  <c r="D1921"/>
  <c r="AX1921"/>
  <c r="C1922"/>
  <c r="D1922"/>
  <c r="AX1922"/>
  <c r="C1923"/>
  <c r="D1923"/>
  <c r="AX1923"/>
  <c r="C1924"/>
  <c r="D1924"/>
  <c r="AX1924"/>
  <c r="C1925"/>
  <c r="D1925"/>
  <c r="AX1925"/>
  <c r="C1926"/>
  <c r="D1926"/>
  <c r="AX1926"/>
  <c r="C1927"/>
  <c r="D1927"/>
  <c r="AX1927"/>
  <c r="C1928"/>
  <c r="D1928"/>
  <c r="AX1928"/>
  <c r="C1929"/>
  <c r="D1929"/>
  <c r="AX1929"/>
  <c r="C1930"/>
  <c r="D1930"/>
  <c r="AX1930"/>
  <c r="C1931"/>
  <c r="D1931"/>
  <c r="AX1931"/>
  <c r="C1932"/>
  <c r="D1932"/>
  <c r="AX1932"/>
  <c r="C1933"/>
  <c r="D1933"/>
  <c r="AX1933"/>
  <c r="C1934"/>
  <c r="D1934"/>
  <c r="AX1934"/>
  <c r="C1935"/>
  <c r="D1935"/>
  <c r="AX1935"/>
  <c r="C1936"/>
  <c r="D1936"/>
  <c r="AX1936"/>
  <c r="C1937"/>
  <c r="D1937"/>
  <c r="AX1937"/>
  <c r="C1938"/>
  <c r="D1938"/>
  <c r="AX1938"/>
  <c r="C1939"/>
  <c r="D1939"/>
  <c r="AX1939"/>
  <c r="C1940"/>
  <c r="D1940"/>
  <c r="AX1940"/>
  <c r="C1941"/>
  <c r="D1941"/>
  <c r="AX1941"/>
  <c r="C1942"/>
  <c r="D1942"/>
  <c r="AX1942"/>
  <c r="C1943"/>
  <c r="D1943"/>
  <c r="AX1943"/>
  <c r="C1944"/>
  <c r="D1944"/>
  <c r="AX1944"/>
  <c r="C1945"/>
  <c r="D1945"/>
  <c r="AX1945"/>
  <c r="C1946"/>
  <c r="D1946"/>
  <c r="AX1946"/>
  <c r="C1947"/>
  <c r="D1947"/>
  <c r="AX1947"/>
  <c r="C1948"/>
  <c r="D1948"/>
  <c r="AX1948"/>
  <c r="C1949"/>
  <c r="D1949"/>
  <c r="AX1949"/>
  <c r="C1950"/>
  <c r="D1950"/>
  <c r="AX1950"/>
  <c r="C1951"/>
  <c r="D1951"/>
  <c r="AX1951"/>
  <c r="C1952"/>
  <c r="D1952"/>
  <c r="AX1952"/>
  <c r="C1953"/>
  <c r="D1953"/>
  <c r="AX1953"/>
  <c r="C1954"/>
  <c r="D1954"/>
  <c r="AX1954"/>
  <c r="C1955"/>
  <c r="D1955"/>
  <c r="AX1955"/>
  <c r="C1956"/>
  <c r="D1956"/>
  <c r="AX1956"/>
  <c r="C1957"/>
  <c r="D1957"/>
  <c r="AX1957"/>
  <c r="C1958"/>
  <c r="D1958"/>
  <c r="AX1958"/>
  <c r="C1959"/>
  <c r="D1959"/>
  <c r="AX1959"/>
  <c r="C1960"/>
  <c r="D1960"/>
  <c r="AX1960"/>
  <c r="C1961"/>
  <c r="D1961"/>
  <c r="AX1961"/>
  <c r="C1962"/>
  <c r="D1962"/>
  <c r="AX1962"/>
  <c r="C1963"/>
  <c r="D1963"/>
  <c r="AX1963"/>
  <c r="C1964"/>
  <c r="D1964"/>
  <c r="AX1964"/>
  <c r="C1965"/>
  <c r="D1965"/>
  <c r="AX1965"/>
  <c r="C1966"/>
  <c r="D1966"/>
  <c r="AX1966"/>
  <c r="C1967"/>
  <c r="D1967"/>
  <c r="AX1967"/>
  <c r="C1968"/>
  <c r="D1968"/>
  <c r="AX1968"/>
  <c r="C1969"/>
  <c r="D1969"/>
  <c r="AX1969"/>
  <c r="C1970"/>
  <c r="D1970"/>
  <c r="AX1970"/>
  <c r="C1971"/>
  <c r="D1971"/>
  <c r="AX1971"/>
  <c r="C1972"/>
  <c r="D1972"/>
  <c r="AX1972"/>
  <c r="C1973"/>
  <c r="D1973"/>
  <c r="AX1973"/>
  <c r="C1974"/>
  <c r="D1974"/>
  <c r="AX1974"/>
  <c r="C1975"/>
  <c r="D1975"/>
  <c r="AX1975"/>
  <c r="C1976"/>
  <c r="D1976"/>
  <c r="AX1976"/>
  <c r="C1977"/>
  <c r="D1977"/>
  <c r="AX1977"/>
  <c r="C1978"/>
  <c r="D1978"/>
  <c r="AX1978"/>
  <c r="C1979"/>
  <c r="D1979"/>
  <c r="AX1979"/>
  <c r="C1980"/>
  <c r="D1980"/>
  <c r="AX1980"/>
  <c r="C1981"/>
  <c r="D1981"/>
  <c r="AX1981"/>
  <c r="C1982"/>
  <c r="D1982"/>
  <c r="AX1982"/>
  <c r="C1983"/>
  <c r="D1983"/>
  <c r="AX1983"/>
  <c r="C1984"/>
  <c r="D1984"/>
  <c r="AX1984"/>
  <c r="C1985"/>
  <c r="D1985"/>
  <c r="AX1985"/>
  <c r="C1986"/>
  <c r="D1986"/>
  <c r="AX1986"/>
  <c r="C1987"/>
  <c r="D1987"/>
  <c r="AX1987"/>
  <c r="C1988"/>
  <c r="D1988"/>
  <c r="AX1988"/>
  <c r="C1989"/>
  <c r="D1989"/>
  <c r="AX1989"/>
  <c r="C1990"/>
  <c r="D1990"/>
  <c r="AX1990"/>
  <c r="C1991"/>
  <c r="D1991"/>
  <c r="AX1991"/>
  <c r="C1992"/>
  <c r="D1992"/>
  <c r="AX1992"/>
  <c r="C1993"/>
  <c r="D1993"/>
  <c r="AX1993"/>
  <c r="C1994"/>
  <c r="D1994"/>
  <c r="AX1994"/>
  <c r="C1995"/>
  <c r="D1995"/>
  <c r="AX1995"/>
  <c r="C1996"/>
  <c r="D1996"/>
  <c r="AX1996"/>
  <c r="C1997"/>
  <c r="D1997"/>
  <c r="AX1997"/>
  <c r="C1998"/>
  <c r="D1998"/>
  <c r="AX1998"/>
  <c r="C1999"/>
  <c r="D1999"/>
  <c r="AX1999"/>
  <c r="C2000"/>
  <c r="D2000"/>
  <c r="AX2000"/>
  <c r="C2001"/>
  <c r="D2001"/>
  <c r="AX2001"/>
  <c r="C2002"/>
  <c r="D2002"/>
  <c r="AX2002"/>
  <c r="C2003"/>
  <c r="D2003"/>
  <c r="AX2003"/>
  <c r="C2004"/>
  <c r="D2004"/>
  <c r="AX2004"/>
  <c r="C2005"/>
  <c r="D2005"/>
  <c r="AX2005"/>
  <c r="C2006"/>
  <c r="D2006"/>
  <c r="AX2006"/>
  <c r="C2007"/>
  <c r="D2007"/>
  <c r="AX2007"/>
  <c r="C2008"/>
  <c r="D2008"/>
  <c r="AX2008"/>
  <c r="C2009"/>
  <c r="D2009"/>
  <c r="AX2009"/>
  <c r="C2010"/>
  <c r="D2010"/>
  <c r="AX2010"/>
  <c r="C2011"/>
  <c r="D2011"/>
  <c r="AX2011"/>
  <c r="C2012"/>
  <c r="D2012"/>
  <c r="AX2012"/>
  <c r="C2013"/>
  <c r="D2013"/>
  <c r="AX2013"/>
  <c r="C2014"/>
  <c r="D2014"/>
  <c r="AX2014"/>
  <c r="C2015"/>
  <c r="D2015"/>
  <c r="AX2015"/>
  <c r="C2016"/>
  <c r="D2016"/>
  <c r="AX2016"/>
  <c r="C2017"/>
  <c r="D2017"/>
  <c r="AX2017"/>
  <c r="C2018"/>
  <c r="D2018"/>
  <c r="AX2018"/>
  <c r="C2019"/>
  <c r="D2019"/>
  <c r="AX2019"/>
  <c r="C2020"/>
  <c r="D2020"/>
  <c r="AX2020"/>
  <c r="C2021"/>
  <c r="D2021"/>
  <c r="AX2021"/>
  <c r="C2022"/>
  <c r="D2022"/>
  <c r="AX2022"/>
  <c r="C2023"/>
  <c r="D2023"/>
  <c r="AX2023"/>
  <c r="C2024"/>
  <c r="D2024"/>
  <c r="AX2024"/>
  <c r="C2025"/>
  <c r="D2025"/>
  <c r="AX2025"/>
  <c r="C2026"/>
  <c r="D2026"/>
  <c r="AX2026"/>
  <c r="C2027"/>
  <c r="D2027"/>
  <c r="AX2027"/>
  <c r="C2028"/>
  <c r="D2028"/>
  <c r="AX2028"/>
  <c r="C2029"/>
  <c r="D2029"/>
  <c r="AX2029"/>
  <c r="C2030"/>
  <c r="D2030"/>
  <c r="AX2030"/>
  <c r="C2031"/>
  <c r="D2031"/>
  <c r="AX2031"/>
  <c r="C2032"/>
  <c r="D2032"/>
  <c r="AX2032"/>
  <c r="C2033"/>
  <c r="D2033"/>
  <c r="AX2033"/>
  <c r="C2034"/>
  <c r="D2034"/>
  <c r="AX2034"/>
  <c r="C2035"/>
  <c r="D2035"/>
  <c r="AX2035"/>
  <c r="C2036"/>
  <c r="D2036"/>
  <c r="AX2036"/>
  <c r="C2037"/>
  <c r="D2037"/>
  <c r="AX2037"/>
  <c r="C2038"/>
  <c r="D2038"/>
  <c r="AX2038"/>
  <c r="C2039"/>
  <c r="D2039"/>
  <c r="AX2039"/>
  <c r="C2040"/>
  <c r="D2040"/>
  <c r="AX2040"/>
  <c r="C2041"/>
  <c r="D2041"/>
  <c r="AX2041"/>
  <c r="C2042"/>
  <c r="D2042"/>
  <c r="AX2042"/>
  <c r="C2043"/>
  <c r="D2043"/>
  <c r="AX2043"/>
  <c r="C2044"/>
  <c r="D2044"/>
  <c r="AX2044"/>
  <c r="C2045"/>
  <c r="D2045"/>
  <c r="AX2045"/>
  <c r="C2046"/>
  <c r="D2046"/>
  <c r="AX2046"/>
  <c r="C2047"/>
  <c r="D2047"/>
  <c r="AX2047"/>
  <c r="C2048"/>
  <c r="D2048"/>
  <c r="AX2048"/>
  <c r="C2049"/>
  <c r="D2049"/>
  <c r="AX2049"/>
  <c r="C2050"/>
  <c r="D2050"/>
  <c r="AX2050"/>
  <c r="C2051"/>
  <c r="D2051"/>
  <c r="AX2051"/>
  <c r="C2052"/>
  <c r="D2052"/>
  <c r="AX2052"/>
  <c r="C2053"/>
  <c r="D2053"/>
  <c r="AX2053"/>
  <c r="C2054"/>
  <c r="D2054"/>
  <c r="AX2054"/>
  <c r="C2055"/>
  <c r="D2055"/>
  <c r="AX2055"/>
  <c r="C2056"/>
  <c r="D2056"/>
  <c r="AX2056"/>
  <c r="C2057"/>
  <c r="D2057"/>
  <c r="AX2057"/>
  <c r="C2058"/>
  <c r="D2058"/>
  <c r="AX2058"/>
  <c r="C2059"/>
  <c r="D2059"/>
  <c r="AX2059"/>
  <c r="C2060"/>
  <c r="D2060"/>
  <c r="AX2060"/>
  <c r="C2061"/>
  <c r="D2061"/>
  <c r="AX2061"/>
  <c r="C2062"/>
  <c r="D2062"/>
  <c r="AX2062"/>
  <c r="C2063"/>
  <c r="D2063"/>
  <c r="AX2063"/>
  <c r="C2064"/>
  <c r="D2064"/>
  <c r="AX2064"/>
  <c r="C2065"/>
  <c r="D2065"/>
  <c r="AX2065"/>
  <c r="C2066"/>
  <c r="D2066"/>
  <c r="AX2066"/>
  <c r="C2067"/>
  <c r="D2067"/>
  <c r="AX2067"/>
  <c r="C2068"/>
  <c r="D2068"/>
  <c r="AX2068"/>
  <c r="C2069"/>
  <c r="D2069"/>
  <c r="AX2069"/>
  <c r="C2070"/>
  <c r="D2070"/>
  <c r="AX2070"/>
  <c r="C2071"/>
  <c r="D2071"/>
  <c r="AX2071"/>
  <c r="C2072"/>
  <c r="D2072"/>
  <c r="AX2072"/>
  <c r="C2073"/>
  <c r="D2073"/>
  <c r="AX2073"/>
  <c r="C2074"/>
  <c r="D2074"/>
  <c r="AX2074"/>
  <c r="C2075"/>
  <c r="D2075"/>
  <c r="AX2075"/>
  <c r="C2076"/>
  <c r="D2076"/>
  <c r="AX2076"/>
  <c r="C2077"/>
  <c r="D2077"/>
  <c r="AX2077"/>
  <c r="C2078"/>
  <c r="D2078"/>
  <c r="AX2078"/>
  <c r="C2079"/>
  <c r="D2079"/>
  <c r="AX2079"/>
  <c r="C2080"/>
  <c r="D2080"/>
  <c r="AX2080"/>
  <c r="C2081"/>
  <c r="D2081"/>
  <c r="AX2081"/>
  <c r="C2082"/>
  <c r="D2082"/>
  <c r="AX2082"/>
  <c r="C2083"/>
  <c r="D2083"/>
  <c r="AX2083"/>
  <c r="C2084"/>
  <c r="D2084"/>
  <c r="AX2084"/>
  <c r="C2085"/>
  <c r="D2085"/>
  <c r="AX2085"/>
  <c r="C2086"/>
  <c r="D2086"/>
  <c r="AX2086"/>
  <c r="C2087"/>
  <c r="D2087"/>
  <c r="AX2087"/>
  <c r="C2088"/>
  <c r="D2088"/>
  <c r="AX2088"/>
  <c r="C2089"/>
  <c r="D2089"/>
  <c r="AX2089"/>
  <c r="C2090"/>
  <c r="D2090"/>
  <c r="AX2090"/>
  <c r="C2091"/>
  <c r="D2091"/>
  <c r="AX2091"/>
  <c r="C2092"/>
  <c r="D2092"/>
  <c r="AX2092"/>
  <c r="C2093"/>
  <c r="D2093"/>
  <c r="AX2093"/>
  <c r="C2094"/>
  <c r="D2094"/>
  <c r="AX2094"/>
  <c r="C2095"/>
  <c r="D2095"/>
  <c r="AX2095"/>
  <c r="C2096"/>
  <c r="D2096"/>
  <c r="AX2096"/>
  <c r="C2097"/>
  <c r="D2097"/>
  <c r="AX2097"/>
  <c r="C2098"/>
  <c r="D2098"/>
  <c r="AX2098"/>
  <c r="C2099"/>
  <c r="D2099"/>
  <c r="AX2099"/>
  <c r="C2100"/>
  <c r="D2100"/>
  <c r="AX2100"/>
  <c r="C2101"/>
  <c r="D2101"/>
  <c r="AX2101"/>
  <c r="C2102"/>
  <c r="D2102"/>
  <c r="AX2102"/>
  <c r="C2103"/>
  <c r="D2103"/>
  <c r="AX2103"/>
  <c r="C2104"/>
  <c r="D2104"/>
  <c r="AX2104"/>
  <c r="C2105"/>
  <c r="D2105"/>
  <c r="AX2105"/>
  <c r="C2106"/>
  <c r="D2106"/>
  <c r="AX2106"/>
  <c r="C2107"/>
  <c r="D2107"/>
  <c r="AX2107"/>
  <c r="C2108"/>
  <c r="D2108"/>
  <c r="AX2108"/>
  <c r="C2109"/>
  <c r="D2109"/>
  <c r="AX2109"/>
  <c r="C2110"/>
  <c r="D2110"/>
  <c r="AX2110"/>
  <c r="C2111"/>
  <c r="D2111"/>
  <c r="AX2111"/>
  <c r="C2112"/>
  <c r="D2112"/>
  <c r="AX2112"/>
  <c r="C2113"/>
  <c r="D2113"/>
  <c r="AX2113"/>
  <c r="C2114"/>
  <c r="D2114"/>
  <c r="AX2114"/>
  <c r="C2115"/>
  <c r="D2115"/>
  <c r="AX2115"/>
  <c r="C2116"/>
  <c r="D2116"/>
  <c r="AX2116"/>
  <c r="C2117"/>
  <c r="D2117"/>
  <c r="AX2117"/>
  <c r="C2118"/>
  <c r="D2118"/>
  <c r="AX2118"/>
  <c r="C2119"/>
  <c r="D2119"/>
  <c r="AX2119"/>
  <c r="C2120"/>
  <c r="D2120"/>
  <c r="AX2120"/>
  <c r="C2121"/>
  <c r="D2121"/>
  <c r="AX2121"/>
  <c r="C2122"/>
  <c r="D2122"/>
  <c r="AX2122"/>
  <c r="C2123"/>
  <c r="D2123"/>
  <c r="AX2123"/>
  <c r="C2124"/>
  <c r="D2124"/>
  <c r="AX2124"/>
  <c r="C2125"/>
  <c r="D2125"/>
  <c r="AX2125"/>
  <c r="C2126"/>
  <c r="D2126"/>
  <c r="AX2126"/>
  <c r="C2127"/>
  <c r="D2127"/>
  <c r="AX2127"/>
  <c r="C2128"/>
  <c r="D2128"/>
  <c r="AX2128"/>
  <c r="C2129"/>
  <c r="D2129"/>
  <c r="AX2129"/>
  <c r="C2130"/>
  <c r="D2130"/>
  <c r="AX2130"/>
  <c r="C2131"/>
  <c r="D2131"/>
  <c r="AX2131"/>
  <c r="C2132"/>
  <c r="D2132"/>
  <c r="AX2132"/>
  <c r="C2133"/>
  <c r="D2133"/>
  <c r="AX2133"/>
  <c r="C2134"/>
  <c r="D2134"/>
  <c r="AX2134"/>
  <c r="C2135"/>
  <c r="D2135"/>
  <c r="AX2135"/>
  <c r="C2136"/>
  <c r="D2136"/>
  <c r="AX2136"/>
  <c r="C2137"/>
  <c r="D2137"/>
  <c r="AX2137"/>
  <c r="C2138"/>
  <c r="D2138"/>
  <c r="AX2138"/>
  <c r="C2139"/>
  <c r="D2139"/>
  <c r="AX2139"/>
  <c r="C2140"/>
  <c r="D2140"/>
  <c r="AX2140"/>
  <c r="C2141"/>
  <c r="D2141"/>
  <c r="AX2141"/>
  <c r="C2142"/>
  <c r="D2142"/>
  <c r="AX2142"/>
  <c r="C2143"/>
  <c r="D2143"/>
  <c r="AX2143"/>
  <c r="C2144"/>
  <c r="D2144"/>
  <c r="AX2144"/>
  <c r="C2145"/>
  <c r="D2145"/>
  <c r="AX2145"/>
  <c r="C2146"/>
  <c r="D2146"/>
  <c r="AX2146"/>
  <c r="C2147"/>
  <c r="D2147"/>
  <c r="AX2147"/>
  <c r="C2148"/>
  <c r="D2148"/>
  <c r="AX2148"/>
  <c r="C2149"/>
  <c r="D2149"/>
  <c r="AX2149"/>
  <c r="C2150"/>
  <c r="D2150"/>
  <c r="AX2150"/>
  <c r="C2151"/>
  <c r="D2151"/>
  <c r="AX2151"/>
  <c r="C2152"/>
  <c r="D2152"/>
  <c r="AX2152"/>
  <c r="C2153"/>
  <c r="D2153"/>
  <c r="AX2153"/>
  <c r="C2154"/>
  <c r="D2154"/>
  <c r="AX2154"/>
  <c r="C2155"/>
  <c r="D2155"/>
  <c r="AX2155"/>
  <c r="C2156"/>
  <c r="D2156"/>
  <c r="AX2156"/>
  <c r="C2157"/>
  <c r="D2157"/>
  <c r="AX2157"/>
  <c r="C2158"/>
  <c r="D2158"/>
  <c r="AX2158"/>
  <c r="C2159"/>
  <c r="D2159"/>
  <c r="AX2159"/>
  <c r="C2160"/>
  <c r="D2160"/>
  <c r="AX2160"/>
  <c r="C2161"/>
  <c r="D2161"/>
  <c r="AX2161"/>
  <c r="C2162"/>
  <c r="D2162"/>
  <c r="AX2162"/>
  <c r="C2163"/>
  <c r="D2163"/>
  <c r="AX2163"/>
  <c r="C2164"/>
  <c r="D2164"/>
  <c r="AX2164"/>
  <c r="C2165"/>
  <c r="D2165"/>
  <c r="AX2165"/>
  <c r="C2166"/>
  <c r="D2166"/>
  <c r="AX2166"/>
  <c r="C2167"/>
  <c r="D2167"/>
  <c r="AX2167"/>
  <c r="C2168"/>
  <c r="D2168"/>
  <c r="AX2168"/>
  <c r="C2169"/>
  <c r="D2169"/>
  <c r="AX2169"/>
  <c r="C2170"/>
  <c r="D2170"/>
  <c r="AX2170"/>
  <c r="C2171"/>
  <c r="D2171"/>
  <c r="AX2171"/>
  <c r="C2172"/>
  <c r="D2172"/>
  <c r="AX2172"/>
  <c r="C2173"/>
  <c r="D2173"/>
  <c r="AX2173"/>
  <c r="C2174"/>
  <c r="D2174"/>
  <c r="AX2174"/>
  <c r="C2175"/>
  <c r="D2175"/>
  <c r="AX2175"/>
  <c r="C2176"/>
  <c r="D2176"/>
  <c r="AX2176"/>
  <c r="C2177"/>
  <c r="D2177"/>
  <c r="AX2177"/>
  <c r="C2178"/>
  <c r="D2178"/>
  <c r="AX2178"/>
  <c r="C2179"/>
  <c r="D2179"/>
  <c r="AX2179"/>
  <c r="C2180"/>
  <c r="D2180"/>
  <c r="AX2180"/>
  <c r="C2181"/>
  <c r="D2181"/>
  <c r="AX2181"/>
  <c r="C2182"/>
  <c r="D2182"/>
  <c r="AX2182"/>
  <c r="C2183"/>
  <c r="D2183"/>
  <c r="AX2183"/>
  <c r="C2184"/>
  <c r="D2184"/>
  <c r="AX2184"/>
  <c r="C2185"/>
  <c r="D2185"/>
  <c r="AX2185"/>
  <c r="C2186"/>
  <c r="D2186"/>
  <c r="AX2186"/>
  <c r="C2187"/>
  <c r="D2187"/>
  <c r="AX2187"/>
  <c r="C2188"/>
  <c r="D2188"/>
  <c r="AX2188"/>
  <c r="C2189"/>
  <c r="D2189"/>
  <c r="AX2189"/>
  <c r="C2190"/>
  <c r="D2190"/>
  <c r="AX2190"/>
  <c r="C2191"/>
  <c r="D2191"/>
  <c r="AX2191"/>
  <c r="C2192"/>
  <c r="D2192"/>
  <c r="AX2192"/>
  <c r="C2193"/>
  <c r="D2193"/>
  <c r="AX2193"/>
  <c r="C2194"/>
  <c r="D2194"/>
  <c r="AX2194"/>
  <c r="C2195"/>
  <c r="D2195"/>
  <c r="AX2195"/>
  <c r="C2196"/>
  <c r="D2196"/>
  <c r="AX2196"/>
  <c r="C2197"/>
  <c r="D2197"/>
  <c r="AX2197"/>
  <c r="C2198"/>
  <c r="D2198"/>
  <c r="AX2198"/>
  <c r="C2199"/>
  <c r="D2199"/>
  <c r="AX2199"/>
  <c r="C2200"/>
  <c r="D2200"/>
  <c r="AX2200"/>
  <c r="C2201"/>
  <c r="D2201"/>
  <c r="AX2201"/>
  <c r="C2202"/>
  <c r="D2202"/>
  <c r="AX2202"/>
  <c r="C2203"/>
  <c r="D2203"/>
  <c r="AX2203"/>
  <c r="C2204"/>
  <c r="D2204"/>
  <c r="AX2204"/>
  <c r="C2205"/>
  <c r="D2205"/>
  <c r="AX2205"/>
  <c r="C2206"/>
  <c r="D2206"/>
  <c r="AX2206"/>
  <c r="C2207"/>
  <c r="D2207"/>
  <c r="AX2207"/>
  <c r="C2208"/>
  <c r="D2208"/>
  <c r="AX2208"/>
  <c r="C2209"/>
  <c r="D2209"/>
  <c r="AX2209"/>
  <c r="C2210"/>
  <c r="D2210"/>
  <c r="AX2210"/>
  <c r="C2211"/>
  <c r="D2211"/>
  <c r="AX2211"/>
  <c r="C2212"/>
  <c r="D2212"/>
  <c r="AX2212"/>
  <c r="C2213"/>
  <c r="D2213"/>
  <c r="AX2213"/>
  <c r="C2214"/>
  <c r="D2214"/>
  <c r="AX2214"/>
  <c r="C2215"/>
  <c r="D2215"/>
  <c r="AX2215"/>
  <c r="C2216"/>
  <c r="D2216"/>
  <c r="AX2216"/>
  <c r="C2217"/>
  <c r="D2217"/>
  <c r="AX2217"/>
  <c r="C2218"/>
  <c r="D2218"/>
  <c r="AX2218"/>
  <c r="C2219"/>
  <c r="D2219"/>
  <c r="AX2219"/>
  <c r="C2220"/>
  <c r="D2220"/>
  <c r="AX2220"/>
  <c r="C2221"/>
  <c r="D2221"/>
  <c r="AX2221"/>
  <c r="C2222"/>
  <c r="D2222"/>
  <c r="AX2222"/>
  <c r="C2223"/>
  <c r="D2223"/>
  <c r="AX2223"/>
  <c r="C2224"/>
  <c r="D2224"/>
  <c r="AX2224"/>
  <c r="C2225"/>
  <c r="D2225"/>
  <c r="AX2225"/>
  <c r="C2226"/>
  <c r="D2226"/>
  <c r="AX2226"/>
  <c r="C2227"/>
  <c r="D2227"/>
  <c r="AX2227"/>
  <c r="C2228"/>
  <c r="D2228"/>
  <c r="AX2228"/>
  <c r="C2229"/>
  <c r="D2229"/>
  <c r="AX2229"/>
  <c r="C2230"/>
  <c r="D2230"/>
  <c r="AX2230"/>
  <c r="C2231"/>
  <c r="D2231"/>
  <c r="AX2231"/>
  <c r="C2232"/>
  <c r="D2232"/>
  <c r="AX2232"/>
  <c r="C2233"/>
  <c r="D2233"/>
  <c r="AX2233"/>
  <c r="C2234"/>
  <c r="D2234"/>
  <c r="AX2234"/>
  <c r="C2235"/>
  <c r="D2235"/>
  <c r="AX2235"/>
  <c r="C2236"/>
  <c r="D2236"/>
  <c r="AX2236"/>
  <c r="C2237"/>
  <c r="D2237"/>
  <c r="AX2237"/>
  <c r="C2238"/>
  <c r="D2238"/>
  <c r="AX2238"/>
  <c r="C2239"/>
  <c r="D2239"/>
  <c r="AX2239"/>
  <c r="C2240"/>
  <c r="D2240"/>
  <c r="AX2240"/>
  <c r="C2241"/>
  <c r="D2241"/>
  <c r="AX2241"/>
  <c r="C2242"/>
  <c r="D2242"/>
  <c r="AX2242"/>
  <c r="C2243"/>
  <c r="D2243"/>
  <c r="AX2243"/>
  <c r="C2244"/>
  <c r="D2244"/>
  <c r="AX2244"/>
  <c r="C2245"/>
  <c r="D2245"/>
  <c r="AX2245"/>
  <c r="C2246"/>
  <c r="D2246"/>
  <c r="AX2246"/>
  <c r="C2247"/>
  <c r="D2247"/>
  <c r="AX2247"/>
  <c r="C2248"/>
  <c r="D2248"/>
  <c r="AX2248"/>
  <c r="C2249"/>
  <c r="D2249"/>
  <c r="AX2249"/>
  <c r="C2250"/>
  <c r="D2250"/>
  <c r="AX2250"/>
  <c r="C2251"/>
  <c r="D2251"/>
  <c r="AX2251"/>
  <c r="C2252"/>
  <c r="D2252"/>
  <c r="AX2252"/>
  <c r="C2253"/>
  <c r="D2253"/>
  <c r="AX2253"/>
  <c r="C2254"/>
  <c r="D2254"/>
  <c r="AX2254"/>
  <c r="C2255"/>
  <c r="D2255"/>
  <c r="AX2255"/>
  <c r="C2256"/>
  <c r="D2256"/>
  <c r="AX2256"/>
  <c r="C2257"/>
  <c r="D2257"/>
  <c r="AX2257"/>
  <c r="C2258"/>
  <c r="D2258"/>
  <c r="AX2258"/>
  <c r="C2259"/>
  <c r="D2259"/>
  <c r="AX2259"/>
  <c r="C2260"/>
  <c r="D2260"/>
  <c r="AX2260"/>
  <c r="C2261"/>
  <c r="D2261"/>
  <c r="AX2261"/>
  <c r="C2262"/>
  <c r="D2262"/>
  <c r="AX2262"/>
  <c r="C2263"/>
  <c r="D2263"/>
  <c r="AX2263"/>
  <c r="C2264"/>
  <c r="D2264"/>
  <c r="AX2264"/>
  <c r="C2265"/>
  <c r="D2265"/>
  <c r="AX2265"/>
  <c r="C2266"/>
  <c r="D2266"/>
  <c r="AX2266"/>
  <c r="C2267"/>
  <c r="D2267"/>
  <c r="AX2267"/>
  <c r="C2268"/>
  <c r="D2268"/>
  <c r="AX2268"/>
  <c r="C2269"/>
  <c r="D2269"/>
  <c r="AX2269"/>
  <c r="C2270"/>
  <c r="D2270"/>
  <c r="AX2270"/>
  <c r="C2271"/>
  <c r="D2271"/>
  <c r="AX2271"/>
  <c r="C2272"/>
  <c r="D2272"/>
  <c r="AX2272"/>
  <c r="C2273"/>
  <c r="D2273"/>
  <c r="AX2273"/>
  <c r="C2274"/>
  <c r="D2274"/>
  <c r="AX2274"/>
  <c r="C2275"/>
  <c r="D2275"/>
  <c r="AX2275"/>
  <c r="C2276"/>
  <c r="D2276"/>
  <c r="AX2276"/>
  <c r="C2277"/>
  <c r="D2277"/>
  <c r="AX2277"/>
  <c r="C2278"/>
  <c r="D2278"/>
  <c r="AX2278"/>
  <c r="C2279"/>
  <c r="D2279"/>
  <c r="AX2279"/>
  <c r="C2280"/>
  <c r="D2280"/>
  <c r="AX2280"/>
  <c r="C2281"/>
  <c r="D2281"/>
  <c r="AX2281"/>
  <c r="C2282"/>
  <c r="D2282"/>
  <c r="AX2282"/>
  <c r="C2283"/>
  <c r="D2283"/>
  <c r="AX2283"/>
  <c r="C2284"/>
  <c r="D2284"/>
  <c r="AX2284"/>
  <c r="C2285"/>
  <c r="D2285"/>
  <c r="AX2285"/>
  <c r="C2286"/>
  <c r="D2286"/>
  <c r="AX2286"/>
  <c r="C2287"/>
  <c r="D2287"/>
  <c r="AX2287"/>
  <c r="C2288"/>
  <c r="D2288"/>
  <c r="AX2288"/>
  <c r="C2289"/>
  <c r="D2289"/>
  <c r="AX2289"/>
  <c r="C2290"/>
  <c r="D2290"/>
  <c r="AX2290"/>
  <c r="C2291"/>
  <c r="D2291"/>
  <c r="AX2291"/>
  <c r="C2292"/>
  <c r="D2292"/>
  <c r="AX2292"/>
  <c r="C2293"/>
  <c r="D2293"/>
  <c r="AX2293"/>
  <c r="C2294"/>
  <c r="D2294"/>
  <c r="AX2294"/>
  <c r="C2295"/>
  <c r="D2295"/>
  <c r="AX2295"/>
  <c r="C2296"/>
  <c r="D2296"/>
  <c r="AX2296"/>
  <c r="C2297"/>
  <c r="D2297"/>
  <c r="AX2297"/>
  <c r="C2298"/>
  <c r="D2298"/>
  <c r="AX2298"/>
  <c r="C2299"/>
  <c r="D2299"/>
  <c r="AX2299"/>
  <c r="C2300"/>
  <c r="D2300"/>
  <c r="AX2300"/>
  <c r="C2301"/>
  <c r="D2301"/>
  <c r="AX2301"/>
  <c r="C2302"/>
  <c r="D2302"/>
  <c r="AX2302"/>
  <c r="C2303"/>
  <c r="D2303"/>
  <c r="AX2303"/>
  <c r="C2304"/>
  <c r="D2304"/>
  <c r="AX2304"/>
  <c r="C2305"/>
  <c r="D2305"/>
  <c r="AX2305"/>
  <c r="C2306"/>
  <c r="D2306"/>
  <c r="AX2306"/>
  <c r="C2307"/>
  <c r="D2307"/>
  <c r="AX2307"/>
  <c r="C2308"/>
  <c r="D2308"/>
  <c r="AX2308"/>
  <c r="C2309"/>
  <c r="D2309"/>
  <c r="AX2309"/>
  <c r="C2310"/>
  <c r="D2310"/>
  <c r="AX2310"/>
  <c r="C2311"/>
  <c r="D2311"/>
  <c r="AX2311"/>
  <c r="C2312"/>
  <c r="D2312"/>
  <c r="AX2312"/>
  <c r="C2313"/>
  <c r="D2313"/>
  <c r="AX2313"/>
  <c r="C2314"/>
  <c r="D2314"/>
  <c r="AX2314"/>
  <c r="C2315"/>
  <c r="D2315"/>
  <c r="AX2315"/>
  <c r="C2316"/>
  <c r="D2316"/>
  <c r="AX2316"/>
  <c r="C2317"/>
  <c r="D2317"/>
  <c r="AX2317"/>
  <c r="C2318"/>
  <c r="D2318"/>
  <c r="AX2318"/>
  <c r="C2319"/>
  <c r="D2319"/>
  <c r="AX2319"/>
  <c r="C2320"/>
  <c r="D2320"/>
  <c r="AX2320"/>
  <c r="C2321"/>
  <c r="D2321"/>
  <c r="AX2321"/>
  <c r="C2322"/>
  <c r="D2322"/>
  <c r="AX2322"/>
  <c r="C2323"/>
  <c r="D2323"/>
  <c r="AX2323"/>
  <c r="C2324"/>
  <c r="D2324"/>
  <c r="AX2324"/>
  <c r="C2325"/>
  <c r="D2325"/>
  <c r="AX2325"/>
  <c r="C2326"/>
  <c r="D2326"/>
  <c r="AX2326"/>
  <c r="C2327"/>
  <c r="D2327"/>
  <c r="AX2327"/>
  <c r="C2328"/>
  <c r="D2328"/>
  <c r="AX2328"/>
  <c r="C2329"/>
  <c r="D2329"/>
  <c r="AX2329"/>
  <c r="C2330"/>
  <c r="D2330"/>
  <c r="AX2330"/>
  <c r="C2331"/>
  <c r="D2331"/>
  <c r="AX2331"/>
  <c r="C2332"/>
  <c r="D2332"/>
  <c r="AX2332"/>
  <c r="C2333"/>
  <c r="D2333"/>
  <c r="AX2333"/>
  <c r="C2334"/>
  <c r="D2334"/>
  <c r="AX2334"/>
  <c r="C2335"/>
  <c r="D2335"/>
  <c r="AX2335"/>
  <c r="C2336"/>
  <c r="D2336"/>
  <c r="AX2336"/>
  <c r="C2337"/>
  <c r="D2337"/>
  <c r="AX2337"/>
  <c r="C2338"/>
  <c r="D2338"/>
  <c r="AX2338"/>
  <c r="C2339"/>
  <c r="D2339"/>
  <c r="AX2339"/>
  <c r="C2340"/>
  <c r="D2340"/>
  <c r="AX2340"/>
  <c r="C2341"/>
  <c r="D2341"/>
  <c r="AX2341"/>
  <c r="C2342"/>
  <c r="D2342"/>
  <c r="AX2342"/>
  <c r="C2343"/>
  <c r="D2343"/>
  <c r="AX2343"/>
  <c r="C2344"/>
  <c r="D2344"/>
  <c r="AX2344"/>
  <c r="C2345"/>
  <c r="D2345"/>
  <c r="AX2345"/>
  <c r="C2346"/>
  <c r="D2346"/>
  <c r="AX2346"/>
  <c r="C2347"/>
  <c r="D2347"/>
  <c r="AX2347"/>
  <c r="C2348"/>
  <c r="D2348"/>
  <c r="AX2348"/>
  <c r="C2349"/>
  <c r="D2349"/>
  <c r="AX2349"/>
  <c r="C2350"/>
  <c r="D2350"/>
  <c r="AX2350"/>
  <c r="C2351"/>
  <c r="D2351"/>
  <c r="AX2351"/>
  <c r="C2352"/>
  <c r="D2352"/>
  <c r="AX2352"/>
  <c r="C2353"/>
  <c r="D2353"/>
  <c r="AX2353"/>
  <c r="C2354"/>
  <c r="D2354"/>
  <c r="AX2354"/>
  <c r="C2355"/>
  <c r="D2355"/>
  <c r="AX2355"/>
  <c r="C2356"/>
  <c r="D2356"/>
  <c r="AX2356"/>
  <c r="C2357"/>
  <c r="D2357"/>
  <c r="AX2357"/>
  <c r="C2358"/>
  <c r="D2358"/>
  <c r="AX2358"/>
  <c r="C2359"/>
  <c r="D2359"/>
  <c r="AX2359"/>
  <c r="C2360"/>
  <c r="D2360"/>
  <c r="AX2360"/>
  <c r="C2361"/>
  <c r="D2361"/>
  <c r="AX2361"/>
  <c r="C2362"/>
  <c r="D2362"/>
  <c r="AX2362"/>
  <c r="C2363"/>
  <c r="D2363"/>
  <c r="AX2363"/>
  <c r="C2364"/>
  <c r="D2364"/>
  <c r="AX2364"/>
  <c r="C2365"/>
  <c r="D2365"/>
  <c r="AX2365"/>
  <c r="C2366"/>
  <c r="D2366"/>
  <c r="AX2366"/>
  <c r="C2367"/>
  <c r="D2367"/>
  <c r="AX2367"/>
  <c r="C2368"/>
  <c r="D2368"/>
  <c r="AX2368"/>
  <c r="C2369"/>
  <c r="D2369"/>
  <c r="AX2369"/>
  <c r="C2370"/>
  <c r="D2370"/>
  <c r="AX2370"/>
  <c r="C2371"/>
  <c r="D2371"/>
  <c r="AX2371"/>
  <c r="C2372"/>
  <c r="D2372"/>
  <c r="AX2372"/>
  <c r="C2373"/>
  <c r="D2373"/>
  <c r="AX2373"/>
  <c r="C2374"/>
  <c r="D2374"/>
  <c r="AX2374"/>
  <c r="C2375"/>
  <c r="D2375"/>
  <c r="AX2375"/>
  <c r="C2376"/>
  <c r="D2376"/>
  <c r="AX2376"/>
  <c r="C2377"/>
  <c r="D2377"/>
  <c r="AX2377"/>
  <c r="C2378"/>
  <c r="D2378"/>
  <c r="AX2378"/>
  <c r="C2379"/>
  <c r="D2379"/>
  <c r="AX2379"/>
  <c r="C2380"/>
  <c r="D2380"/>
  <c r="AX2380"/>
  <c r="C2381"/>
  <c r="D2381"/>
  <c r="AX2381"/>
  <c r="C2382"/>
  <c r="D2382"/>
  <c r="AX2382"/>
  <c r="C2383"/>
  <c r="D2383"/>
  <c r="AX2383"/>
  <c r="C2384"/>
  <c r="D2384"/>
  <c r="AX2384"/>
  <c r="C2385"/>
  <c r="D2385"/>
  <c r="AX2385"/>
  <c r="C2386"/>
  <c r="D2386"/>
  <c r="AX2386"/>
  <c r="C2387"/>
  <c r="D2387"/>
  <c r="AX2387"/>
  <c r="C2388"/>
  <c r="D2388"/>
  <c r="AX2388"/>
  <c r="C2389"/>
  <c r="D2389"/>
  <c r="AX2389"/>
  <c r="C2390"/>
  <c r="D2390"/>
  <c r="AX2390"/>
  <c r="C2391"/>
  <c r="D2391"/>
  <c r="AX2391"/>
  <c r="C2392"/>
  <c r="D2392"/>
  <c r="AX2392"/>
  <c r="C2393"/>
  <c r="D2393"/>
  <c r="AX2393"/>
  <c r="C2394"/>
  <c r="D2394"/>
  <c r="AX2394"/>
  <c r="C2395"/>
  <c r="D2395"/>
  <c r="AX2395"/>
  <c r="C2396"/>
  <c r="D2396"/>
  <c r="AX2396"/>
  <c r="C2397"/>
  <c r="D2397"/>
  <c r="AX2397"/>
  <c r="C2398"/>
  <c r="D2398"/>
  <c r="AX2398"/>
  <c r="C2399"/>
  <c r="D2399"/>
  <c r="AX2399"/>
  <c r="C2400"/>
  <c r="D2400"/>
  <c r="AX2400"/>
  <c r="C2401"/>
  <c r="D2401"/>
  <c r="AX2401"/>
  <c r="C2402"/>
  <c r="D2402"/>
  <c r="AX2402"/>
  <c r="C2403"/>
  <c r="D2403"/>
  <c r="AX2403"/>
  <c r="C2404"/>
  <c r="D2404"/>
  <c r="AX2404"/>
  <c r="C2405"/>
  <c r="D2405"/>
  <c r="AX2405"/>
  <c r="C2406"/>
  <c r="D2406"/>
  <c r="AX2406"/>
  <c r="C2407"/>
  <c r="D2407"/>
  <c r="AX2407"/>
  <c r="C2408"/>
  <c r="D2408"/>
  <c r="AX2408"/>
  <c r="C2409"/>
  <c r="D2409"/>
  <c r="AX2409"/>
  <c r="C2410"/>
  <c r="D2410"/>
  <c r="AX2410"/>
  <c r="C2411"/>
  <c r="D2411"/>
  <c r="AX2411"/>
  <c r="C2412"/>
  <c r="D2412"/>
  <c r="AX2412"/>
  <c r="C2413"/>
  <c r="D2413"/>
  <c r="AX2413"/>
  <c r="C2414"/>
  <c r="D2414"/>
  <c r="AX2414"/>
  <c r="C2415"/>
  <c r="D2415"/>
  <c r="AX2415"/>
  <c r="C2416"/>
  <c r="D2416"/>
  <c r="AX2416"/>
  <c r="C2417"/>
  <c r="D2417"/>
  <c r="AX2417"/>
  <c r="C2418"/>
  <c r="D2418"/>
  <c r="AX2418"/>
  <c r="C2419"/>
  <c r="D2419"/>
  <c r="AX2419"/>
  <c r="C2420"/>
  <c r="D2420"/>
  <c r="AX2420"/>
  <c r="C2421"/>
  <c r="D2421"/>
  <c r="AX2421"/>
  <c r="C2422"/>
  <c r="D2422"/>
  <c r="AX2422"/>
  <c r="C2423"/>
  <c r="D2423"/>
  <c r="AX2423"/>
  <c r="C2424"/>
  <c r="D2424"/>
  <c r="AX2424"/>
  <c r="C2425"/>
  <c r="D2425"/>
  <c r="AX2425"/>
  <c r="C2426"/>
  <c r="D2426"/>
  <c r="AX2426"/>
  <c r="C2427"/>
  <c r="D2427"/>
  <c r="AX2427"/>
  <c r="C2428"/>
  <c r="D2428"/>
  <c r="AX2428"/>
  <c r="C2429"/>
  <c r="D2429"/>
  <c r="AX2429"/>
  <c r="C2430"/>
  <c r="D2430"/>
  <c r="AX2430"/>
  <c r="C2431"/>
  <c r="D2431"/>
  <c r="AX2431"/>
  <c r="C2432"/>
  <c r="D2432"/>
  <c r="AX2432"/>
  <c r="C2433"/>
  <c r="D2433"/>
  <c r="AX2433"/>
  <c r="C2434"/>
  <c r="D2434"/>
  <c r="AX2434"/>
  <c r="C2435"/>
  <c r="D2435"/>
  <c r="AX2435"/>
  <c r="C2436"/>
  <c r="D2436"/>
  <c r="AX2436"/>
  <c r="C2437"/>
  <c r="D2437"/>
  <c r="AX2437"/>
  <c r="C2438"/>
  <c r="D2438"/>
  <c r="AX2438"/>
  <c r="C2439"/>
  <c r="D2439"/>
  <c r="AX2439"/>
  <c r="C2440"/>
  <c r="D2440"/>
  <c r="AX2440"/>
  <c r="C2441"/>
  <c r="D2441"/>
  <c r="AX2441"/>
  <c r="C2442"/>
  <c r="D2442"/>
  <c r="AX2442"/>
  <c r="C2443"/>
  <c r="D2443"/>
  <c r="AX2443"/>
  <c r="C2444"/>
  <c r="D2444"/>
  <c r="AX2444"/>
  <c r="C2445"/>
  <c r="D2445"/>
  <c r="AX2445"/>
  <c r="C2446"/>
  <c r="D2446"/>
  <c r="AX2446"/>
  <c r="C2447"/>
  <c r="D2447"/>
  <c r="AX2447"/>
  <c r="C2448"/>
  <c r="D2448"/>
  <c r="AX2448"/>
  <c r="C2449"/>
  <c r="D2449"/>
  <c r="AX2449"/>
  <c r="C2450"/>
  <c r="D2450"/>
  <c r="AX2450"/>
  <c r="C2451"/>
  <c r="D2451"/>
  <c r="AX2451"/>
  <c r="C2452"/>
  <c r="D2452"/>
  <c r="AX2452"/>
  <c r="C2453"/>
  <c r="D2453"/>
  <c r="AX2453"/>
  <c r="C2454"/>
  <c r="D2454"/>
  <c r="AX2454"/>
  <c r="C2455"/>
  <c r="D2455"/>
  <c r="AX2455"/>
  <c r="C2456"/>
  <c r="D2456"/>
  <c r="AX2456"/>
  <c r="C2457"/>
  <c r="D2457"/>
  <c r="AX2457"/>
  <c r="C2458"/>
  <c r="D2458"/>
  <c r="AX2458"/>
  <c r="C2459"/>
  <c r="D2459"/>
  <c r="AX2459"/>
  <c r="C2460"/>
  <c r="D2460"/>
  <c r="AX2460"/>
  <c r="C2461"/>
  <c r="D2461"/>
  <c r="AX2461"/>
  <c r="C2462"/>
  <c r="D2462"/>
  <c r="AX2462"/>
  <c r="C2463"/>
  <c r="D2463"/>
  <c r="AX2463"/>
  <c r="C2464"/>
  <c r="D2464"/>
  <c r="AX2464"/>
  <c r="C2465"/>
  <c r="D2465"/>
  <c r="AX2465"/>
  <c r="C2466"/>
  <c r="D2466"/>
  <c r="AX2466"/>
  <c r="C2467"/>
  <c r="D2467"/>
  <c r="AX2467"/>
  <c r="C2468"/>
  <c r="D2468"/>
  <c r="AX2468"/>
  <c r="C2469"/>
  <c r="D2469"/>
  <c r="AX2469"/>
  <c r="C2470"/>
  <c r="D2470"/>
  <c r="AX2470"/>
  <c r="C2471"/>
  <c r="D2471"/>
  <c r="AX2471"/>
  <c r="C2472"/>
  <c r="D2472"/>
  <c r="AX2472"/>
  <c r="C2473"/>
  <c r="D2473"/>
  <c r="AX2473"/>
  <c r="C2474"/>
  <c r="D2474"/>
  <c r="AX2474"/>
  <c r="C2475"/>
  <c r="D2475"/>
  <c r="AX2475"/>
  <c r="C2476"/>
  <c r="D2476"/>
  <c r="AX2476"/>
  <c r="C2477"/>
  <c r="D2477"/>
  <c r="AX2477"/>
  <c r="C2478"/>
  <c r="D2478"/>
  <c r="AX2478"/>
  <c r="C2479"/>
  <c r="D2479"/>
  <c r="AX2479"/>
  <c r="C2480"/>
  <c r="D2480"/>
  <c r="AX2480"/>
  <c r="C2481"/>
  <c r="D2481"/>
  <c r="AX2481"/>
  <c r="C2482"/>
  <c r="D2482"/>
  <c r="AX2482"/>
  <c r="C2483"/>
  <c r="D2483"/>
  <c r="AX2483"/>
  <c r="C2484"/>
  <c r="D2484"/>
  <c r="AX2484"/>
  <c r="C2485"/>
  <c r="D2485"/>
  <c r="AX2485"/>
  <c r="C2486"/>
  <c r="D2486"/>
  <c r="AX2486"/>
  <c r="C2487"/>
  <c r="D2487"/>
  <c r="AX2487"/>
  <c r="C2488"/>
  <c r="D2488"/>
  <c r="AX2488"/>
  <c r="C2489"/>
  <c r="D2489"/>
  <c r="AX2489"/>
  <c r="C2490"/>
  <c r="D2490"/>
  <c r="AX2490"/>
  <c r="C2491"/>
  <c r="D2491"/>
  <c r="AX2491"/>
  <c r="C2492"/>
  <c r="D2492"/>
  <c r="AX2492"/>
  <c r="C2493"/>
  <c r="D2493"/>
  <c r="AX2493"/>
  <c r="C2494"/>
  <c r="D2494"/>
  <c r="AX2494"/>
  <c r="C2495"/>
  <c r="D2495"/>
  <c r="AX2495"/>
  <c r="C2496"/>
  <c r="D2496"/>
  <c r="AX2496"/>
  <c r="C2497"/>
  <c r="D2497"/>
  <c r="AX2497"/>
  <c r="C2498"/>
  <c r="D2498"/>
  <c r="AX2498"/>
  <c r="C2499"/>
  <c r="D2499"/>
  <c r="AX2499"/>
  <c r="C2500"/>
  <c r="D2500"/>
  <c r="AX2500"/>
  <c r="C2501"/>
  <c r="D2501"/>
  <c r="AX2501"/>
  <c r="C2502"/>
  <c r="D2502"/>
  <c r="AX2502"/>
  <c r="C2503"/>
  <c r="D2503"/>
  <c r="AX2503"/>
  <c r="C2504"/>
  <c r="D2504"/>
  <c r="AX2504"/>
  <c r="C2505"/>
  <c r="D2505"/>
  <c r="AX2505"/>
  <c r="C2506"/>
  <c r="D2506"/>
  <c r="AX2506"/>
  <c r="C2507"/>
  <c r="D2507"/>
  <c r="AX2507"/>
  <c r="C2508"/>
  <c r="D2508"/>
  <c r="AX2508"/>
  <c r="C2509"/>
  <c r="D2509"/>
  <c r="AX2509"/>
  <c r="C2510"/>
  <c r="D2510"/>
  <c r="AX2510"/>
  <c r="C2511"/>
  <c r="D2511"/>
  <c r="AX2511"/>
  <c r="C2512"/>
  <c r="D2512"/>
  <c r="AX2512"/>
  <c r="C2513"/>
  <c r="D2513"/>
  <c r="AX2513"/>
  <c r="C2514"/>
  <c r="D2514"/>
  <c r="AX2514"/>
  <c r="C2515"/>
  <c r="D2515"/>
  <c r="AX2515"/>
  <c r="C2516"/>
  <c r="D2516"/>
  <c r="AX2516"/>
  <c r="C2517"/>
  <c r="D2517"/>
  <c r="AX2517"/>
  <c r="C2518"/>
  <c r="D2518"/>
  <c r="AX2518"/>
  <c r="C2519"/>
  <c r="D2519"/>
  <c r="AX2519"/>
  <c r="C2520"/>
  <c r="D2520"/>
  <c r="AX2520"/>
  <c r="C2521"/>
  <c r="D2521"/>
  <c r="AX2521"/>
  <c r="C2522"/>
  <c r="D2522"/>
  <c r="AX2522"/>
  <c r="C2523"/>
  <c r="D2523"/>
  <c r="AX2523"/>
  <c r="C2524"/>
  <c r="D2524"/>
  <c r="AX2524"/>
  <c r="C2525"/>
  <c r="D2525"/>
  <c r="AX2525"/>
  <c r="C2526"/>
  <c r="D2526"/>
  <c r="AX2526"/>
  <c r="C2527"/>
  <c r="D2527"/>
  <c r="AX2527"/>
  <c r="C2528"/>
  <c r="D2528"/>
  <c r="AX2528"/>
  <c r="C2529"/>
  <c r="D2529"/>
  <c r="AX2529"/>
  <c r="C2530"/>
  <c r="D2530"/>
  <c r="AX2530"/>
  <c r="C2531"/>
  <c r="D2531"/>
  <c r="AX2531"/>
  <c r="C2532"/>
  <c r="D2532"/>
  <c r="AX2532"/>
  <c r="C2533"/>
  <c r="D2533"/>
  <c r="AX2533"/>
  <c r="C2534"/>
  <c r="D2534"/>
  <c r="AX2534"/>
  <c r="C2535"/>
  <c r="D2535"/>
  <c r="AX2535"/>
  <c r="C2536"/>
  <c r="D2536"/>
  <c r="AX2536"/>
  <c r="C2537"/>
  <c r="D2537"/>
  <c r="AX2537"/>
  <c r="C2538"/>
  <c r="D2538"/>
  <c r="AX2538"/>
  <c r="C2539"/>
  <c r="D2539"/>
  <c r="AX2539"/>
  <c r="C2540"/>
  <c r="D2540"/>
  <c r="AX2540"/>
  <c r="C2541"/>
  <c r="D2541"/>
  <c r="AX2541"/>
  <c r="C2542"/>
  <c r="D2542"/>
  <c r="AX2542"/>
  <c r="C2543"/>
  <c r="D2543"/>
  <c r="AX2543"/>
  <c r="C2544"/>
  <c r="D2544"/>
  <c r="AX2544"/>
  <c r="C2545"/>
  <c r="D2545"/>
  <c r="AX2545"/>
  <c r="C2546"/>
  <c r="D2546"/>
  <c r="AX2546"/>
  <c r="C2547"/>
  <c r="D2547"/>
  <c r="AX2547"/>
  <c r="C2548"/>
  <c r="D2548"/>
  <c r="AX2548"/>
  <c r="C2549"/>
  <c r="D2549"/>
  <c r="AX2549"/>
  <c r="C2550"/>
  <c r="D2550"/>
  <c r="AX2550"/>
  <c r="C2551"/>
  <c r="D2551"/>
  <c r="AX2551"/>
  <c r="C2552"/>
  <c r="D2552"/>
  <c r="AX2552"/>
  <c r="C2553"/>
  <c r="D2553"/>
  <c r="AX2553"/>
  <c r="C2554"/>
  <c r="D2554"/>
  <c r="AX2554"/>
  <c r="C2555"/>
  <c r="D2555"/>
  <c r="AX2555"/>
  <c r="C2556"/>
  <c r="D2556"/>
  <c r="AX2556"/>
  <c r="C2557"/>
  <c r="D2557"/>
  <c r="AX2557"/>
  <c r="C2558"/>
  <c r="D2558"/>
  <c r="AX2558"/>
  <c r="C2559"/>
  <c r="D2559"/>
  <c r="AX2559"/>
  <c r="C2560"/>
  <c r="D2560"/>
  <c r="AX2560"/>
  <c r="C2561"/>
  <c r="D2561"/>
  <c r="AX2561"/>
  <c r="C2562"/>
  <c r="D2562"/>
  <c r="AX2562"/>
  <c r="C2563"/>
  <c r="D2563"/>
  <c r="AX2563"/>
  <c r="C2564"/>
  <c r="D2564"/>
  <c r="AX2564"/>
  <c r="C2565"/>
  <c r="D2565"/>
  <c r="AX2565"/>
  <c r="C2566"/>
  <c r="D2566"/>
  <c r="AX2566"/>
  <c r="C2567"/>
  <c r="D2567"/>
  <c r="AX2567"/>
  <c r="C2568"/>
  <c r="D2568"/>
  <c r="AX2568"/>
  <c r="C2569"/>
  <c r="D2569"/>
  <c r="AX2569"/>
  <c r="C2570"/>
  <c r="D2570"/>
  <c r="AX2570"/>
  <c r="C2571"/>
  <c r="D2571"/>
  <c r="AX2571"/>
  <c r="C2572"/>
  <c r="D2572"/>
  <c r="AX2572"/>
  <c r="C2573"/>
  <c r="D2573"/>
  <c r="AX2573"/>
  <c r="C2574"/>
  <c r="D2574"/>
  <c r="AX2574"/>
  <c r="C2575"/>
  <c r="D2575"/>
  <c r="AX2575"/>
  <c r="C2576"/>
  <c r="D2576"/>
  <c r="AX2576"/>
  <c r="C2577"/>
  <c r="D2577"/>
  <c r="AX2577"/>
  <c r="C2578"/>
  <c r="D2578"/>
  <c r="AX2578"/>
  <c r="C2579"/>
  <c r="D2579"/>
  <c r="AX2579"/>
  <c r="C2580"/>
  <c r="D2580"/>
  <c r="AX2580"/>
  <c r="C2581"/>
  <c r="D2581"/>
  <c r="AX2581"/>
  <c r="C2582"/>
  <c r="D2582"/>
  <c r="AX2582"/>
  <c r="C2583"/>
  <c r="D2583"/>
  <c r="AX2583"/>
  <c r="C2584"/>
  <c r="D2584"/>
  <c r="AX2584"/>
  <c r="C2585"/>
  <c r="D2585"/>
  <c r="AX2585"/>
  <c r="C2586"/>
  <c r="D2586"/>
  <c r="AX2586"/>
  <c r="C2587"/>
  <c r="D2587"/>
  <c r="AX2587"/>
  <c r="C2588"/>
  <c r="D2588"/>
  <c r="AX2588"/>
  <c r="C2589"/>
  <c r="D2589"/>
  <c r="AX2589"/>
  <c r="C2590"/>
  <c r="D2590"/>
  <c r="AX2590"/>
  <c r="C2591"/>
  <c r="D2591"/>
  <c r="AX2591"/>
  <c r="C2592"/>
  <c r="D2592"/>
  <c r="AX2592"/>
  <c r="C2593"/>
  <c r="D2593"/>
  <c r="AX2593"/>
  <c r="C2594"/>
  <c r="D2594"/>
  <c r="AX2594"/>
  <c r="C2595"/>
  <c r="D2595"/>
  <c r="AX2595"/>
  <c r="C2596"/>
  <c r="D2596"/>
  <c r="AX2596"/>
  <c r="C2597"/>
  <c r="D2597"/>
  <c r="AX2597"/>
  <c r="C2598"/>
  <c r="D2598"/>
  <c r="AX2598"/>
  <c r="C2599"/>
  <c r="D2599"/>
  <c r="AX2599"/>
  <c r="C2600"/>
  <c r="D2600"/>
  <c r="AX2600"/>
  <c r="C2601"/>
  <c r="D2601"/>
  <c r="AX2601"/>
  <c r="C2602"/>
  <c r="D2602"/>
  <c r="AX2602"/>
  <c r="C2603"/>
  <c r="D2603"/>
  <c r="AX2603"/>
  <c r="C2604"/>
  <c r="D2604"/>
  <c r="AX2604"/>
  <c r="C2605"/>
  <c r="D2605"/>
  <c r="AX2605"/>
  <c r="C2606"/>
  <c r="D2606"/>
  <c r="AX2606"/>
  <c r="C2607"/>
  <c r="D2607"/>
  <c r="AX2607"/>
  <c r="C2608"/>
  <c r="D2608"/>
  <c r="AX2608"/>
  <c r="C2609"/>
  <c r="D2609"/>
  <c r="AX2609"/>
  <c r="C2610"/>
  <c r="D2610"/>
  <c r="AX2610"/>
  <c r="C2611"/>
  <c r="D2611"/>
  <c r="AX2611"/>
  <c r="C2612"/>
  <c r="D2612"/>
  <c r="AX2612"/>
  <c r="C2613"/>
  <c r="D2613"/>
  <c r="AX2613"/>
  <c r="C2614"/>
  <c r="D2614"/>
  <c r="AX2614"/>
  <c r="C2615"/>
  <c r="D2615"/>
  <c r="AX2615"/>
  <c r="C2616"/>
  <c r="D2616"/>
  <c r="AX2616"/>
  <c r="C2617"/>
  <c r="D2617"/>
  <c r="AX2617"/>
  <c r="C2618"/>
  <c r="D2618"/>
  <c r="AX2618"/>
  <c r="C2619"/>
  <c r="D2619"/>
  <c r="AX2619"/>
  <c r="C2620"/>
  <c r="D2620"/>
  <c r="AX2620"/>
  <c r="C2621"/>
  <c r="D2621"/>
  <c r="AX2621"/>
  <c r="C2622"/>
  <c r="D2622"/>
  <c r="AX2622"/>
  <c r="C2623"/>
  <c r="D2623"/>
  <c r="AX2623"/>
  <c r="C2624"/>
  <c r="D2624"/>
  <c r="AX2624"/>
  <c r="C2625"/>
  <c r="D2625"/>
  <c r="AX2625"/>
  <c r="C2626"/>
  <c r="D2626"/>
  <c r="AX2626"/>
  <c r="C2627"/>
  <c r="D2627"/>
  <c r="AX2627"/>
  <c r="C2628"/>
  <c r="D2628"/>
  <c r="AX2628"/>
  <c r="C2629"/>
  <c r="D2629"/>
  <c r="AX2629"/>
  <c r="C2630"/>
  <c r="D2630"/>
  <c r="AX2630"/>
  <c r="C2631"/>
  <c r="D2631"/>
  <c r="AX2631"/>
  <c r="C2632"/>
  <c r="D2632"/>
  <c r="AX2632"/>
  <c r="C2633"/>
  <c r="D2633"/>
  <c r="AX2633"/>
  <c r="C2634"/>
  <c r="D2634"/>
  <c r="AX2634"/>
  <c r="C2635"/>
  <c r="D2635"/>
  <c r="AX2635"/>
  <c r="C2636"/>
  <c r="D2636"/>
  <c r="AX2636"/>
  <c r="C2637"/>
  <c r="D2637"/>
  <c r="AX2637"/>
  <c r="C2638"/>
  <c r="D2638"/>
  <c r="AX2638"/>
  <c r="C2639"/>
  <c r="D2639"/>
  <c r="AX2639"/>
  <c r="C2640"/>
  <c r="D2640"/>
  <c r="AX2640"/>
  <c r="C2641"/>
  <c r="D2641"/>
  <c r="AX2641"/>
  <c r="C2642"/>
  <c r="D2642"/>
  <c r="AX2642"/>
  <c r="C2643"/>
  <c r="D2643"/>
  <c r="AX2643"/>
  <c r="C2644"/>
  <c r="D2644"/>
  <c r="AX2644"/>
  <c r="C2645"/>
  <c r="D2645"/>
  <c r="AX2645"/>
  <c r="C2646"/>
  <c r="D2646"/>
  <c r="AX2646"/>
  <c r="C2647"/>
  <c r="D2647"/>
  <c r="AX2647"/>
  <c r="C2648"/>
  <c r="D2648"/>
  <c r="AX2648"/>
  <c r="C2649"/>
  <c r="D2649"/>
  <c r="AX2649"/>
  <c r="C2650"/>
  <c r="D2650"/>
  <c r="AX2650"/>
  <c r="C2651"/>
  <c r="D2651"/>
  <c r="AX2651"/>
  <c r="C2652"/>
  <c r="D2652"/>
  <c r="AX2652"/>
  <c r="C2653"/>
  <c r="D2653"/>
  <c r="AX2653"/>
  <c r="C2654"/>
  <c r="D2654"/>
  <c r="AX2654"/>
  <c r="C2655"/>
  <c r="D2655"/>
  <c r="AX2655"/>
  <c r="C2656"/>
  <c r="D2656"/>
  <c r="AX2656"/>
  <c r="C2657"/>
  <c r="D2657"/>
  <c r="AX2657"/>
  <c r="C2658"/>
  <c r="D2658"/>
  <c r="AX2658"/>
  <c r="C2659"/>
  <c r="D2659"/>
  <c r="AX2659"/>
  <c r="C2660"/>
  <c r="D2660"/>
  <c r="AX2660"/>
  <c r="C2661"/>
  <c r="D2661"/>
  <c r="AX2661"/>
  <c r="C2662"/>
  <c r="D2662"/>
  <c r="AX2662"/>
  <c r="C2663"/>
  <c r="D2663"/>
  <c r="AX2663"/>
  <c r="C2664"/>
  <c r="D2664"/>
  <c r="AX2664"/>
  <c r="C2665"/>
  <c r="D2665"/>
  <c r="AX2665"/>
  <c r="C2666"/>
  <c r="D2666"/>
  <c r="AX2666"/>
  <c r="C2667"/>
  <c r="D2667"/>
  <c r="AX2667"/>
  <c r="C2668"/>
  <c r="D2668"/>
  <c r="AX2668"/>
  <c r="C2669"/>
  <c r="D2669"/>
  <c r="AX2669"/>
  <c r="C2670"/>
  <c r="D2670"/>
  <c r="AX2670"/>
  <c r="C2671"/>
  <c r="D2671"/>
  <c r="AX2671"/>
  <c r="C2672"/>
  <c r="D2672"/>
  <c r="AX2672"/>
  <c r="C2673"/>
  <c r="D2673"/>
  <c r="AX2673"/>
  <c r="C2674"/>
  <c r="D2674"/>
  <c r="AX2674"/>
  <c r="C2675"/>
  <c r="D2675"/>
  <c r="AX2675"/>
  <c r="C2676"/>
  <c r="D2676"/>
  <c r="AX2676"/>
  <c r="C2677"/>
  <c r="D2677"/>
  <c r="AX2677"/>
  <c r="C2678"/>
  <c r="D2678"/>
  <c r="AX2678"/>
  <c r="C2679"/>
  <c r="D2679"/>
  <c r="AX2679"/>
  <c r="C2680"/>
  <c r="D2680"/>
  <c r="AX2680"/>
  <c r="C2681"/>
  <c r="D2681"/>
  <c r="AX2681"/>
  <c r="C2682"/>
  <c r="D2682"/>
  <c r="AX2682"/>
  <c r="C2683"/>
  <c r="D2683"/>
  <c r="AX2683"/>
  <c r="C2684"/>
  <c r="D2684"/>
  <c r="AX2684"/>
  <c r="C2685"/>
  <c r="D2685"/>
  <c r="AX2685"/>
  <c r="C2686"/>
  <c r="D2686"/>
  <c r="AX2686"/>
  <c r="C2687"/>
  <c r="D2687"/>
  <c r="AX2687"/>
  <c r="C2688"/>
  <c r="D2688"/>
  <c r="AX2688"/>
  <c r="C2689"/>
  <c r="D2689"/>
  <c r="AX2689"/>
  <c r="C2690"/>
  <c r="D2690"/>
  <c r="AX2690"/>
  <c r="C2691"/>
  <c r="D2691"/>
  <c r="AX2691"/>
  <c r="C2692"/>
  <c r="D2692"/>
  <c r="AX2692"/>
  <c r="C2693"/>
  <c r="D2693"/>
  <c r="AX2693"/>
  <c r="C2694"/>
  <c r="D2694"/>
  <c r="AX2694"/>
  <c r="C2695"/>
  <c r="D2695"/>
  <c r="AX2695"/>
  <c r="C2696"/>
  <c r="D2696"/>
  <c r="AX2696"/>
  <c r="C2697"/>
  <c r="D2697"/>
  <c r="AX2697"/>
  <c r="C2698"/>
  <c r="D2698"/>
  <c r="AX2698"/>
  <c r="C2699"/>
  <c r="D2699"/>
  <c r="AX2699"/>
  <c r="C2700"/>
  <c r="D2700"/>
  <c r="AX2700"/>
  <c r="C2701"/>
  <c r="D2701"/>
  <c r="AX2701"/>
  <c r="C2702"/>
  <c r="D2702"/>
  <c r="AX2702"/>
  <c r="C2703"/>
  <c r="D2703"/>
  <c r="AX2703"/>
  <c r="C2704"/>
  <c r="D2704"/>
  <c r="AX2704"/>
  <c r="C2705"/>
  <c r="D2705"/>
  <c r="AX2705"/>
  <c r="C2706"/>
  <c r="D2706"/>
  <c r="AX2706"/>
  <c r="C2707"/>
  <c r="D2707"/>
  <c r="AX2707"/>
  <c r="C2708"/>
  <c r="D2708"/>
  <c r="AX2708"/>
  <c r="C2709"/>
  <c r="D2709"/>
  <c r="AX2709"/>
  <c r="C2710"/>
  <c r="D2710"/>
  <c r="AX2710"/>
  <c r="C2711"/>
  <c r="D2711"/>
  <c r="AX2711"/>
  <c r="C2712"/>
  <c r="D2712"/>
  <c r="AX2712"/>
  <c r="C2713"/>
  <c r="D2713"/>
  <c r="AX2713"/>
  <c r="C2714"/>
  <c r="D2714"/>
  <c r="AX2714"/>
  <c r="C2715"/>
  <c r="D2715"/>
  <c r="AX2715"/>
  <c r="C2716"/>
  <c r="D2716"/>
  <c r="AX2716"/>
  <c r="C2717"/>
  <c r="D2717"/>
  <c r="AX2717"/>
  <c r="C2718"/>
  <c r="D2718"/>
  <c r="AX2718"/>
  <c r="C2719"/>
  <c r="D2719"/>
  <c r="AX2719"/>
  <c r="C2720"/>
  <c r="D2720"/>
  <c r="AX2720"/>
  <c r="C2721"/>
  <c r="D2721"/>
  <c r="AX2721"/>
  <c r="C2722"/>
  <c r="D2722"/>
  <c r="AX2722"/>
  <c r="C2723"/>
  <c r="D2723"/>
  <c r="AX2723"/>
  <c r="C2724"/>
  <c r="D2724"/>
  <c r="AX2724"/>
  <c r="C2725"/>
  <c r="D2725"/>
  <c r="AX2725"/>
  <c r="C2726"/>
  <c r="D2726"/>
  <c r="AX2726"/>
  <c r="C2727"/>
  <c r="D2727"/>
  <c r="AX2727"/>
  <c r="C2728"/>
  <c r="D2728"/>
  <c r="AX2728"/>
  <c r="C2729"/>
  <c r="D2729"/>
  <c r="AX2729"/>
  <c r="C2730"/>
  <c r="D2730"/>
  <c r="AX2730"/>
  <c r="C2731"/>
  <c r="D2731"/>
  <c r="AX2731"/>
  <c r="C2732"/>
  <c r="D2732"/>
  <c r="AX2732"/>
  <c r="C2733"/>
  <c r="D2733"/>
  <c r="AX2733"/>
  <c r="C2734"/>
  <c r="D2734"/>
  <c r="AX2734"/>
  <c r="C2735"/>
  <c r="D2735"/>
  <c r="AX2735"/>
  <c r="C2736"/>
  <c r="D2736"/>
  <c r="AX2736"/>
  <c r="C2737"/>
  <c r="D2737"/>
  <c r="AX2737"/>
  <c r="C2738"/>
  <c r="D2738"/>
  <c r="AX2738"/>
  <c r="C2739"/>
  <c r="D2739"/>
  <c r="AX2739"/>
  <c r="C2740"/>
  <c r="D2740"/>
  <c r="AX2740"/>
  <c r="C2741"/>
  <c r="D2741"/>
  <c r="AX2741"/>
  <c r="C2742"/>
  <c r="D2742"/>
  <c r="AX2742"/>
  <c r="C2743"/>
  <c r="D2743"/>
  <c r="AX2743"/>
  <c r="C2744"/>
  <c r="D2744"/>
  <c r="AX2744"/>
  <c r="C2745"/>
  <c r="D2745"/>
  <c r="AX2745"/>
  <c r="C2746"/>
  <c r="D2746"/>
  <c r="AX2746"/>
  <c r="C2747"/>
  <c r="D2747"/>
  <c r="AX2747"/>
  <c r="C2748"/>
  <c r="D2748"/>
  <c r="AX2748"/>
  <c r="C2749"/>
  <c r="D2749"/>
  <c r="AX2749"/>
  <c r="C2750"/>
  <c r="D2750"/>
  <c r="AX2750"/>
  <c r="C2751"/>
  <c r="D2751"/>
  <c r="AX2751"/>
  <c r="C2752"/>
  <c r="D2752"/>
  <c r="AX2752"/>
  <c r="C2753"/>
  <c r="D2753"/>
  <c r="AX2753"/>
  <c r="C2754"/>
  <c r="D2754"/>
  <c r="AX2754"/>
  <c r="C2755"/>
  <c r="D2755"/>
  <c r="AX2755"/>
  <c r="C2756"/>
  <c r="D2756"/>
  <c r="AX2756"/>
  <c r="C2757"/>
  <c r="D2757"/>
  <c r="AX2757"/>
  <c r="C2758"/>
  <c r="D2758"/>
  <c r="AX2758"/>
  <c r="C2759"/>
  <c r="D2759"/>
  <c r="AX2759"/>
  <c r="C2760"/>
  <c r="D2760"/>
  <c r="AX2760"/>
  <c r="C2761"/>
  <c r="D2761"/>
  <c r="AX2761"/>
  <c r="C2762"/>
  <c r="D2762"/>
  <c r="AX2762"/>
  <c r="C2763"/>
  <c r="D2763"/>
  <c r="AX2763"/>
  <c r="C2764"/>
  <c r="D2764"/>
  <c r="AX2764"/>
  <c r="C2765"/>
  <c r="D2765"/>
  <c r="AX2765"/>
  <c r="C2766"/>
  <c r="D2766"/>
  <c r="AX2766"/>
  <c r="C2767"/>
  <c r="D2767"/>
  <c r="AX2767"/>
  <c r="C2768"/>
  <c r="D2768"/>
  <c r="AX2768"/>
  <c r="C2769"/>
  <c r="D2769"/>
  <c r="AX2769"/>
  <c r="C2770"/>
  <c r="D2770"/>
  <c r="AX2770"/>
  <c r="C2771"/>
  <c r="D2771"/>
  <c r="AX2771"/>
  <c r="C2772"/>
  <c r="D2772"/>
  <c r="AX2772"/>
  <c r="C2773"/>
  <c r="D2773"/>
  <c r="AX2773"/>
  <c r="C2774"/>
  <c r="D2774"/>
  <c r="AX2774"/>
  <c r="C2775"/>
  <c r="D2775"/>
  <c r="AX2775"/>
  <c r="C2776"/>
  <c r="D2776"/>
  <c r="AX2776"/>
  <c r="C2777"/>
  <c r="D2777"/>
  <c r="AX2777"/>
  <c r="C2778"/>
  <c r="D2778"/>
  <c r="AX2778"/>
  <c r="C2779"/>
  <c r="D2779"/>
  <c r="AX2779"/>
  <c r="C2780"/>
  <c r="D2780"/>
  <c r="AX2780"/>
  <c r="C2781"/>
  <c r="D2781"/>
  <c r="AX2781"/>
  <c r="C2782"/>
  <c r="D2782"/>
  <c r="AX2782"/>
  <c r="C2783"/>
  <c r="D2783"/>
  <c r="AX2783"/>
  <c r="C2784"/>
  <c r="D2784"/>
  <c r="AX2784"/>
  <c r="C2785"/>
  <c r="D2785"/>
  <c r="AX2785"/>
  <c r="C2786"/>
  <c r="D2786"/>
  <c r="AX2786"/>
  <c r="C2787"/>
  <c r="D2787"/>
  <c r="AX2787"/>
  <c r="C2788"/>
  <c r="D2788"/>
  <c r="AX2788"/>
  <c r="C2789"/>
  <c r="D2789"/>
  <c r="AX2789"/>
  <c r="C2790"/>
  <c r="D2790"/>
  <c r="AX2790"/>
  <c r="C2791"/>
  <c r="D2791"/>
  <c r="AX2791"/>
  <c r="C2792"/>
  <c r="D2792"/>
  <c r="AX2792"/>
  <c r="C2793"/>
  <c r="D2793"/>
  <c r="AX2793"/>
  <c r="C2794"/>
  <c r="D2794"/>
  <c r="AX2794"/>
  <c r="C2795"/>
  <c r="D2795"/>
  <c r="AX2795"/>
  <c r="C2796"/>
  <c r="D2796"/>
  <c r="AX2796"/>
  <c r="C2797"/>
  <c r="D2797"/>
  <c r="AX2797"/>
  <c r="C2798"/>
  <c r="D2798"/>
  <c r="AX2798"/>
  <c r="C2799"/>
  <c r="D2799"/>
  <c r="AX2799"/>
  <c r="C2800"/>
  <c r="D2800"/>
  <c r="AX2800"/>
  <c r="C2801"/>
  <c r="D2801"/>
  <c r="AX2801"/>
  <c r="C2802"/>
  <c r="D2802"/>
  <c r="AX2802"/>
  <c r="C2803"/>
  <c r="D2803"/>
  <c r="AX2803"/>
  <c r="C2804"/>
  <c r="D2804"/>
  <c r="AX2804"/>
  <c r="C2805"/>
  <c r="D2805"/>
  <c r="AX2805"/>
  <c r="C2806"/>
  <c r="D2806"/>
  <c r="AX2806"/>
  <c r="C2807"/>
  <c r="D2807"/>
  <c r="AX2807"/>
  <c r="C2808"/>
  <c r="D2808"/>
  <c r="AX2808"/>
  <c r="C2809"/>
  <c r="D2809"/>
  <c r="AX2809"/>
  <c r="C2810"/>
  <c r="D2810"/>
  <c r="AX2810"/>
  <c r="C2811"/>
  <c r="D2811"/>
  <c r="AX2811"/>
  <c r="C2812"/>
  <c r="D2812"/>
  <c r="AX2812"/>
  <c r="C2813"/>
  <c r="D2813"/>
  <c r="AX2813"/>
  <c r="C2814"/>
  <c r="D2814"/>
  <c r="AX2814"/>
  <c r="C2815"/>
  <c r="D2815"/>
  <c r="AX2815"/>
  <c r="C2816"/>
  <c r="D2816"/>
  <c r="AX2816"/>
  <c r="C2817"/>
  <c r="D2817"/>
  <c r="AX2817"/>
  <c r="C2818"/>
  <c r="D2818"/>
  <c r="AX2818"/>
  <c r="C2819"/>
  <c r="D2819"/>
  <c r="AX2819"/>
  <c r="C2820"/>
  <c r="D2820"/>
  <c r="AX2820"/>
  <c r="C2821"/>
  <c r="D2821"/>
  <c r="AX2821"/>
  <c r="C2822"/>
  <c r="D2822"/>
  <c r="AX2822"/>
  <c r="C2823"/>
  <c r="D2823"/>
  <c r="AX2823"/>
  <c r="C2824"/>
  <c r="D2824"/>
  <c r="AX2824"/>
  <c r="C2825"/>
  <c r="D2825"/>
  <c r="AX2825"/>
  <c r="C2826"/>
  <c r="D2826"/>
  <c r="AX2826"/>
  <c r="C2827"/>
  <c r="D2827"/>
  <c r="AX2827"/>
  <c r="C2828"/>
  <c r="D2828"/>
  <c r="AX2828"/>
  <c r="C2829"/>
  <c r="D2829"/>
  <c r="AX2829"/>
  <c r="C2830"/>
  <c r="D2830"/>
  <c r="AX2830"/>
  <c r="C2831"/>
  <c r="D2831"/>
  <c r="AX2831"/>
  <c r="C2832"/>
  <c r="D2832"/>
  <c r="AX2832"/>
  <c r="C2833"/>
  <c r="D2833"/>
  <c r="AX2833"/>
  <c r="C2834"/>
  <c r="D2834"/>
  <c r="AX2834"/>
  <c r="C2835"/>
  <c r="D2835"/>
  <c r="AX2835"/>
  <c r="C2836"/>
  <c r="D2836"/>
  <c r="AX2836"/>
  <c r="C2837"/>
  <c r="D2837"/>
  <c r="AX2837"/>
  <c r="C2838"/>
  <c r="D2838"/>
  <c r="AX2838"/>
  <c r="C2839"/>
  <c r="D2839"/>
  <c r="AX2839"/>
  <c r="C2840"/>
  <c r="D2840"/>
  <c r="AX2840"/>
  <c r="C2841"/>
  <c r="D2841"/>
  <c r="AX2841"/>
  <c r="C2842"/>
  <c r="D2842"/>
  <c r="AX2842"/>
  <c r="C2843"/>
  <c r="D2843"/>
  <c r="AX2843"/>
  <c r="C2844"/>
  <c r="D2844"/>
  <c r="AX2844"/>
  <c r="C2845"/>
  <c r="D2845"/>
  <c r="AX2845"/>
  <c r="C2846"/>
  <c r="D2846"/>
  <c r="AX2846"/>
  <c r="C2847"/>
  <c r="D2847"/>
  <c r="AX2847"/>
  <c r="C2848"/>
  <c r="D2848"/>
  <c r="AX2848"/>
  <c r="C2849"/>
  <c r="D2849"/>
  <c r="AX2849"/>
  <c r="C2850"/>
  <c r="D2850"/>
  <c r="AX2850"/>
  <c r="C2851"/>
  <c r="D2851"/>
  <c r="AX2851"/>
  <c r="C2852"/>
  <c r="D2852"/>
  <c r="AX2852"/>
  <c r="C2853"/>
  <c r="D2853"/>
  <c r="AX2853"/>
  <c r="C2854"/>
  <c r="D2854"/>
  <c r="AX2854"/>
  <c r="C2855"/>
  <c r="D2855"/>
  <c r="AX2855"/>
  <c r="C2856"/>
  <c r="D2856"/>
  <c r="AX2856"/>
  <c r="C2857"/>
  <c r="D2857"/>
  <c r="AX2857"/>
  <c r="C2858"/>
  <c r="D2858"/>
  <c r="AX2858"/>
  <c r="C2859"/>
  <c r="D2859"/>
  <c r="AX2859"/>
  <c r="C2860"/>
  <c r="D2860"/>
  <c r="AX2860"/>
  <c r="C2861"/>
  <c r="D2861"/>
  <c r="AX2861"/>
  <c r="C2862"/>
  <c r="D2862"/>
  <c r="AX2862"/>
  <c r="C2863"/>
  <c r="D2863"/>
  <c r="AX2863"/>
  <c r="C2864"/>
  <c r="D2864"/>
  <c r="AX2864"/>
  <c r="C2865"/>
  <c r="D2865"/>
  <c r="AX2865"/>
  <c r="C2866"/>
  <c r="D2866"/>
  <c r="AX2866"/>
  <c r="C2867"/>
  <c r="D2867"/>
  <c r="AX2867"/>
  <c r="C2868"/>
  <c r="D2868"/>
  <c r="AX2868"/>
  <c r="C2869"/>
  <c r="D2869"/>
  <c r="AX2869"/>
  <c r="C2870"/>
  <c r="D2870"/>
  <c r="AX2870"/>
  <c r="C2871"/>
  <c r="D2871"/>
  <c r="AX2871"/>
  <c r="C2872"/>
  <c r="D2872"/>
  <c r="AX2872"/>
  <c r="C2873"/>
  <c r="D2873"/>
  <c r="AX2873"/>
  <c r="C2874"/>
  <c r="D2874"/>
  <c r="AX2874"/>
  <c r="C2875"/>
  <c r="D2875"/>
  <c r="AX2875"/>
  <c r="C2876"/>
  <c r="D2876"/>
  <c r="AX2876"/>
  <c r="C2877"/>
  <c r="D2877"/>
  <c r="AX2877"/>
  <c r="C2878"/>
  <c r="D2878"/>
  <c r="AX2878"/>
  <c r="C2879"/>
  <c r="D2879"/>
  <c r="AX2879"/>
  <c r="C2880"/>
  <c r="D2880"/>
  <c r="AX2880"/>
  <c r="C2881"/>
  <c r="D2881"/>
  <c r="AX2881"/>
  <c r="C2882"/>
  <c r="D2882"/>
  <c r="AX2882"/>
  <c r="C2883"/>
  <c r="D2883"/>
  <c r="AX2883"/>
  <c r="C2884"/>
  <c r="D2884"/>
  <c r="AX2884"/>
  <c r="C2885"/>
  <c r="D2885"/>
  <c r="AX2885"/>
  <c r="C2886"/>
  <c r="D2886"/>
  <c r="AX2886"/>
  <c r="C2887"/>
  <c r="D2887"/>
  <c r="AX2887"/>
  <c r="C2888"/>
  <c r="D2888"/>
  <c r="AX2888"/>
  <c r="C2889"/>
  <c r="D2889"/>
  <c r="AX2889"/>
  <c r="C2890"/>
  <c r="D2890"/>
  <c r="AX2890"/>
  <c r="C2891"/>
  <c r="D2891"/>
  <c r="AX2891"/>
  <c r="C2892"/>
  <c r="D2892"/>
  <c r="AX2892"/>
  <c r="C2893"/>
  <c r="D2893"/>
  <c r="AX2893"/>
  <c r="C2894"/>
  <c r="D2894"/>
  <c r="AX2894"/>
  <c r="C2895"/>
  <c r="D2895"/>
  <c r="AX2895"/>
  <c r="C2896"/>
  <c r="D2896"/>
  <c r="AX2896"/>
  <c r="C2897"/>
  <c r="D2897"/>
  <c r="AX2897"/>
  <c r="C2898"/>
  <c r="D2898"/>
  <c r="AX2898"/>
  <c r="C2899"/>
  <c r="D2899"/>
  <c r="AX2899"/>
  <c r="C2900"/>
  <c r="D2900"/>
  <c r="AX2900"/>
  <c r="C2901"/>
  <c r="D2901"/>
  <c r="AX2901"/>
  <c r="C2902"/>
  <c r="D2902"/>
  <c r="AX2902"/>
  <c r="C2903"/>
  <c r="D2903"/>
  <c r="AX2903"/>
  <c r="C2904"/>
  <c r="D2904"/>
  <c r="AX2904"/>
  <c r="C2905"/>
  <c r="D2905"/>
  <c r="AX2905"/>
  <c r="C2906"/>
  <c r="D2906"/>
  <c r="AX2906"/>
  <c r="C2907"/>
  <c r="D2907"/>
  <c r="AX2907"/>
  <c r="C2908"/>
  <c r="D2908"/>
  <c r="AX2908"/>
  <c r="C2909"/>
  <c r="D2909"/>
  <c r="AX2909"/>
  <c r="C2910"/>
  <c r="D2910"/>
  <c r="AX2910"/>
  <c r="C2911"/>
  <c r="D2911"/>
  <c r="AX2911"/>
  <c r="C2912"/>
  <c r="D2912"/>
  <c r="AX2912"/>
  <c r="C2913"/>
  <c r="D2913"/>
  <c r="AX2913"/>
  <c r="C2914"/>
  <c r="D2914"/>
  <c r="AX2914"/>
  <c r="C2915"/>
  <c r="D2915"/>
  <c r="AX2915"/>
  <c r="C2916"/>
  <c r="D2916"/>
  <c r="AX2916"/>
  <c r="C2917"/>
  <c r="D2917"/>
  <c r="AX2917"/>
  <c r="C2918"/>
  <c r="D2918"/>
  <c r="AX2918"/>
  <c r="C2919"/>
  <c r="D2919"/>
  <c r="AX2919"/>
  <c r="C2920"/>
  <c r="D2920"/>
  <c r="AX2920"/>
  <c r="C2921"/>
  <c r="D2921"/>
  <c r="AX2921"/>
  <c r="C2922"/>
  <c r="D2922"/>
  <c r="AX2922"/>
  <c r="C2923"/>
  <c r="D2923"/>
  <c r="AX2923"/>
  <c r="C2924"/>
  <c r="D2924"/>
  <c r="AX2924"/>
  <c r="C2925"/>
  <c r="D2925"/>
  <c r="AX2925"/>
  <c r="C2926"/>
  <c r="D2926"/>
  <c r="AX2926"/>
  <c r="C2927"/>
  <c r="D2927"/>
  <c r="AX2927"/>
  <c r="C2928"/>
  <c r="D2928"/>
  <c r="AX2928"/>
  <c r="C2929"/>
  <c r="D2929"/>
  <c r="AX2929"/>
  <c r="C2930"/>
  <c r="D2930"/>
  <c r="AX2930"/>
  <c r="C2931"/>
  <c r="D2931"/>
  <c r="AX2931"/>
  <c r="C2932"/>
  <c r="D2932"/>
  <c r="AX2932"/>
  <c r="C2933"/>
  <c r="D2933"/>
  <c r="AX2933"/>
  <c r="C2934"/>
  <c r="D2934"/>
  <c r="AX2934"/>
  <c r="C2935"/>
  <c r="D2935"/>
  <c r="AX2935"/>
  <c r="C2936"/>
  <c r="D2936"/>
  <c r="AX2936"/>
  <c r="C2937"/>
  <c r="D2937"/>
  <c r="AX2937"/>
  <c r="C2938"/>
  <c r="D2938"/>
  <c r="AX2938"/>
  <c r="C2939"/>
  <c r="D2939"/>
  <c r="AX2939"/>
  <c r="C2940"/>
  <c r="D2940"/>
  <c r="AX2940"/>
  <c r="C2941"/>
  <c r="D2941"/>
  <c r="AX2941"/>
  <c r="C2942"/>
  <c r="D2942"/>
  <c r="AX2942"/>
  <c r="C2943"/>
  <c r="D2943"/>
  <c r="AX2943"/>
  <c r="C2944"/>
  <c r="D2944"/>
  <c r="AX2944"/>
  <c r="C2945"/>
  <c r="D2945"/>
  <c r="AX2945"/>
  <c r="C2946"/>
  <c r="D2946"/>
  <c r="AX2946"/>
  <c r="C2947"/>
  <c r="D2947"/>
  <c r="AX2947"/>
  <c r="C2948"/>
  <c r="D2948"/>
  <c r="AX2948"/>
  <c r="C2949"/>
  <c r="D2949"/>
  <c r="AX2949"/>
  <c r="C2950"/>
  <c r="D2950"/>
  <c r="AX2950"/>
  <c r="C2951"/>
  <c r="D2951"/>
  <c r="AX2951"/>
  <c r="C2952"/>
  <c r="D2952"/>
  <c r="AX2952"/>
  <c r="C2953"/>
  <c r="D2953"/>
  <c r="AX2953"/>
  <c r="C2954"/>
  <c r="D2954"/>
  <c r="AX2954"/>
  <c r="C2955"/>
  <c r="D2955"/>
  <c r="AX2955"/>
  <c r="C2956"/>
  <c r="D2956"/>
  <c r="AX2956"/>
  <c r="C2957"/>
  <c r="D2957"/>
  <c r="AX2957"/>
  <c r="C2958"/>
  <c r="D2958"/>
  <c r="AX2958"/>
  <c r="C2959"/>
  <c r="D2959"/>
  <c r="AX2959"/>
  <c r="C2960"/>
  <c r="D2960"/>
  <c r="AX2960"/>
  <c r="C2961"/>
  <c r="D2961"/>
  <c r="AX2961"/>
  <c r="C2962"/>
  <c r="D2962"/>
  <c r="AX2962"/>
  <c r="C2963"/>
  <c r="D2963"/>
  <c r="AX2963"/>
  <c r="C2964"/>
  <c r="D2964"/>
  <c r="AX2964"/>
  <c r="C2965"/>
  <c r="D2965"/>
  <c r="AX2965"/>
  <c r="C2966"/>
  <c r="D2966"/>
  <c r="AX2966"/>
  <c r="C2967"/>
  <c r="D2967"/>
  <c r="AX2967"/>
  <c r="C2968"/>
  <c r="D2968"/>
  <c r="AX2968"/>
  <c r="C2969"/>
  <c r="D2969"/>
  <c r="AX2969"/>
  <c r="C2970"/>
  <c r="D2970"/>
  <c r="AX2970"/>
  <c r="C2971"/>
  <c r="D2971"/>
  <c r="AX2971"/>
  <c r="C2972"/>
  <c r="D2972"/>
  <c r="AX2972"/>
  <c r="C2973"/>
  <c r="D2973"/>
  <c r="AX2973"/>
  <c r="C2974"/>
  <c r="D2974"/>
  <c r="AX2974"/>
  <c r="C2975"/>
  <c r="D2975"/>
  <c r="AX2975"/>
  <c r="C2976"/>
  <c r="D2976"/>
  <c r="AX2976"/>
  <c r="C2977"/>
  <c r="D2977"/>
  <c r="AX2977"/>
  <c r="C2978"/>
  <c r="D2978"/>
  <c r="AX2978"/>
  <c r="C2979"/>
  <c r="D2979"/>
  <c r="AX2979"/>
  <c r="C2980"/>
  <c r="D2980"/>
  <c r="AX2980"/>
  <c r="C2981"/>
  <c r="D2981"/>
  <c r="AX2981"/>
  <c r="C2982"/>
  <c r="D2982"/>
  <c r="AX2982"/>
  <c r="C2983"/>
  <c r="D2983"/>
  <c r="AX2983"/>
  <c r="C2984"/>
  <c r="D2984"/>
  <c r="AX2984"/>
  <c r="C2985"/>
  <c r="D2985"/>
  <c r="AX2985"/>
  <c r="C2986"/>
  <c r="D2986"/>
  <c r="AX2986"/>
  <c r="C2987"/>
  <c r="D2987"/>
  <c r="AX2987"/>
  <c r="C2988"/>
  <c r="D2988"/>
  <c r="AX2988"/>
  <c r="C2989"/>
  <c r="D2989"/>
  <c r="AX2989"/>
  <c r="C2990"/>
  <c r="D2990"/>
  <c r="AX2990"/>
  <c r="C2991"/>
  <c r="D2991"/>
  <c r="AX2991"/>
  <c r="C2992"/>
  <c r="D2992"/>
  <c r="AX2992"/>
  <c r="C2993"/>
  <c r="D2993"/>
  <c r="AX2993"/>
  <c r="C2994"/>
  <c r="D2994"/>
  <c r="AX2994"/>
  <c r="C2995"/>
  <c r="D2995"/>
  <c r="AX2995"/>
  <c r="C2996"/>
  <c r="D2996"/>
  <c r="AX2996"/>
  <c r="C2997"/>
  <c r="D2997"/>
  <c r="AX2997"/>
  <c r="C2998"/>
  <c r="D2998"/>
  <c r="AX2998"/>
  <c r="C2999"/>
  <c r="D2999"/>
  <c r="AX2999"/>
  <c r="C3000"/>
  <c r="D3000"/>
  <c r="AX3000"/>
  <c r="C3001"/>
  <c r="D3001"/>
  <c r="AX3001"/>
  <c r="C3002"/>
  <c r="D3002"/>
  <c r="AX3002"/>
  <c r="C3003"/>
  <c r="D3003"/>
  <c r="AX3003"/>
  <c r="C3004"/>
  <c r="D3004"/>
  <c r="AX3004"/>
  <c r="C3005"/>
  <c r="D3005"/>
  <c r="AX3005"/>
  <c r="C3006"/>
  <c r="D3006"/>
  <c r="AX3006"/>
  <c r="C3007"/>
  <c r="D3007"/>
  <c r="AX3007"/>
  <c r="C3008"/>
  <c r="D3008"/>
  <c r="AX3008"/>
  <c r="C3009"/>
  <c r="D3009"/>
  <c r="AX3009"/>
  <c r="C3010"/>
  <c r="D3010"/>
  <c r="AX3010"/>
  <c r="C3011"/>
  <c r="D3011"/>
  <c r="AX3011"/>
  <c r="C3012"/>
  <c r="D3012"/>
  <c r="AX3012"/>
  <c r="C3013"/>
  <c r="D3013"/>
  <c r="AX3013"/>
  <c r="C3014"/>
  <c r="D3014"/>
  <c r="AX3014"/>
  <c r="C3015"/>
  <c r="D3015"/>
  <c r="AX3015"/>
  <c r="C3016"/>
  <c r="D3016"/>
  <c r="AX3016"/>
  <c r="C3017"/>
  <c r="D3017"/>
  <c r="AX3017"/>
  <c r="C3018"/>
  <c r="D3018"/>
  <c r="AX3018"/>
  <c r="C3019"/>
  <c r="D3019"/>
  <c r="AX3019"/>
  <c r="C3020"/>
  <c r="D3020"/>
  <c r="AX3020"/>
  <c r="C3021"/>
  <c r="D3021"/>
  <c r="AX3021"/>
  <c r="C3022"/>
  <c r="D3022"/>
  <c r="AX3022"/>
  <c r="C3023"/>
  <c r="D3023"/>
  <c r="AX3023"/>
  <c r="C3024"/>
  <c r="D3024"/>
  <c r="AX3024"/>
  <c r="C3025"/>
  <c r="D3025"/>
  <c r="AX3025"/>
  <c r="C3026"/>
  <c r="D3026"/>
  <c r="AX3026"/>
  <c r="C3027"/>
  <c r="D3027"/>
  <c r="AX3027"/>
  <c r="C3028"/>
  <c r="D3028"/>
  <c r="AX3028"/>
  <c r="C3029"/>
  <c r="D3029"/>
  <c r="AX3029"/>
  <c r="C3030"/>
  <c r="D3030"/>
  <c r="AX3030"/>
  <c r="C3031"/>
  <c r="D3031"/>
  <c r="AX3031"/>
  <c r="C3032"/>
  <c r="D3032"/>
  <c r="AX3032"/>
  <c r="C3033"/>
  <c r="D3033"/>
  <c r="AX3033"/>
  <c r="C3034"/>
  <c r="D3034"/>
  <c r="AX3034"/>
  <c r="C3035"/>
  <c r="D3035"/>
  <c r="AX3035"/>
  <c r="C3036"/>
  <c r="D3036"/>
  <c r="AX3036"/>
  <c r="C3037"/>
  <c r="D3037"/>
  <c r="AX3037"/>
  <c r="C3038"/>
  <c r="D3038"/>
  <c r="AX3038"/>
  <c r="C3039"/>
  <c r="D3039"/>
  <c r="AX3039"/>
  <c r="C3040"/>
  <c r="D3040"/>
  <c r="AX3040"/>
  <c r="C3041"/>
  <c r="D3041"/>
  <c r="AX3041"/>
  <c r="C3042"/>
  <c r="D3042"/>
  <c r="AX3042"/>
  <c r="C3043"/>
  <c r="D3043"/>
  <c r="AX3043"/>
  <c r="C3044"/>
  <c r="D3044"/>
  <c r="AX3044"/>
  <c r="C3045"/>
  <c r="D3045"/>
  <c r="AX3045"/>
  <c r="C3046"/>
  <c r="D3046"/>
  <c r="AX3046"/>
  <c r="C3047"/>
  <c r="D3047"/>
  <c r="AX3047"/>
  <c r="C3048"/>
  <c r="D3048"/>
  <c r="AX3048"/>
  <c r="C3049"/>
  <c r="D3049"/>
  <c r="AX3049"/>
  <c r="C3050"/>
  <c r="D3050"/>
  <c r="AX3050"/>
  <c r="C3051"/>
  <c r="D3051"/>
  <c r="AX3051"/>
  <c r="C3052"/>
  <c r="D3052"/>
  <c r="AX3052"/>
  <c r="C3053"/>
  <c r="D3053"/>
  <c r="AX3053"/>
  <c r="C3054"/>
  <c r="D3054"/>
  <c r="AX3054"/>
  <c r="C3055"/>
  <c r="D3055"/>
  <c r="AX3055"/>
  <c r="C3056"/>
  <c r="D3056"/>
  <c r="AX3056"/>
  <c r="C3057"/>
  <c r="D3057"/>
  <c r="AX3057"/>
  <c r="C3058"/>
  <c r="D3058"/>
  <c r="AX3058"/>
  <c r="C3059"/>
  <c r="D3059"/>
  <c r="AX3059"/>
  <c r="C3060"/>
  <c r="D3060"/>
  <c r="AX3060"/>
  <c r="C3061"/>
  <c r="D3061"/>
  <c r="AX3061"/>
  <c r="C3062"/>
  <c r="D3062"/>
  <c r="AX3062"/>
  <c r="C3063"/>
  <c r="D3063"/>
  <c r="AX3063"/>
  <c r="C3064"/>
  <c r="D3064"/>
  <c r="AX3064"/>
  <c r="C3065"/>
  <c r="D3065"/>
  <c r="AX3065"/>
  <c r="C3066"/>
  <c r="D3066"/>
  <c r="AX3066"/>
  <c r="C3067"/>
  <c r="D3067"/>
  <c r="AX3067"/>
  <c r="C3068"/>
  <c r="D3068"/>
  <c r="AX3068"/>
  <c r="C3069"/>
  <c r="D3069"/>
  <c r="AX3069"/>
  <c r="C3070"/>
  <c r="D3070"/>
  <c r="AX3070"/>
  <c r="C3071"/>
  <c r="D3071"/>
  <c r="AX3071"/>
  <c r="C3072"/>
  <c r="D3072"/>
  <c r="AX3072"/>
  <c r="C3073"/>
  <c r="D3073"/>
  <c r="AX3073"/>
  <c r="C3074"/>
  <c r="D3074"/>
  <c r="AX3074"/>
  <c r="C3075"/>
  <c r="D3075"/>
  <c r="AX3075"/>
  <c r="C3076"/>
  <c r="D3076"/>
  <c r="AX3076"/>
  <c r="C3077"/>
  <c r="D3077"/>
  <c r="AX3077"/>
  <c r="C3078"/>
  <c r="D3078"/>
  <c r="AX3078"/>
  <c r="C3079"/>
  <c r="D3079"/>
  <c r="AX3079"/>
  <c r="C3080"/>
  <c r="D3080"/>
  <c r="AX3080"/>
  <c r="C3081"/>
  <c r="D3081"/>
  <c r="AX3081"/>
  <c r="C3082"/>
  <c r="D3082"/>
  <c r="AX3082"/>
  <c r="C3083"/>
  <c r="D3083"/>
  <c r="AX3083"/>
  <c r="C3084"/>
  <c r="D3084"/>
  <c r="AX3084"/>
  <c r="C3085"/>
  <c r="D3085"/>
  <c r="AX3085"/>
  <c r="C3086"/>
  <c r="D3086"/>
  <c r="AX3086"/>
  <c r="C3087"/>
  <c r="D3087"/>
  <c r="AX3087"/>
  <c r="C3088"/>
  <c r="D3088"/>
  <c r="AX3088"/>
  <c r="C3089"/>
  <c r="D3089"/>
  <c r="AX3089"/>
  <c r="C3090"/>
  <c r="D3090"/>
  <c r="AX3090"/>
  <c r="C3091"/>
  <c r="D3091"/>
  <c r="AX3091"/>
  <c r="C3092"/>
  <c r="D3092"/>
  <c r="AX3092"/>
  <c r="C3093"/>
  <c r="D3093"/>
  <c r="AX3093"/>
  <c r="C3094"/>
  <c r="D3094"/>
  <c r="AX3094"/>
  <c r="C3095"/>
  <c r="D3095"/>
  <c r="AX3095"/>
  <c r="C3096"/>
  <c r="D3096"/>
  <c r="AX3096"/>
  <c r="C3097"/>
  <c r="D3097"/>
  <c r="AX3097"/>
  <c r="C3098"/>
  <c r="D3098"/>
  <c r="AX3098"/>
  <c r="C3099"/>
  <c r="D3099"/>
  <c r="AX3099"/>
  <c r="C3100"/>
  <c r="D3100"/>
  <c r="AX3100"/>
  <c r="C3101"/>
  <c r="D3101"/>
  <c r="AX3101"/>
  <c r="C3102"/>
  <c r="D3102"/>
  <c r="AX3102"/>
  <c r="C3103"/>
  <c r="D3103"/>
  <c r="AX3103"/>
  <c r="C3104"/>
  <c r="D3104"/>
  <c r="AX3104"/>
  <c r="C3105"/>
  <c r="D3105"/>
  <c r="AX3105"/>
  <c r="C3106"/>
  <c r="D3106"/>
  <c r="AX3106"/>
  <c r="C3107"/>
  <c r="D3107"/>
  <c r="AX3107"/>
  <c r="C3108"/>
  <c r="D3108"/>
  <c r="AX3108"/>
  <c r="C3109"/>
  <c r="D3109"/>
  <c r="AX3109"/>
  <c r="C3110"/>
  <c r="D3110"/>
  <c r="AX3110"/>
  <c r="C3111"/>
  <c r="D3111"/>
  <c r="AX3111"/>
  <c r="C3112"/>
  <c r="D3112"/>
  <c r="AX3112"/>
  <c r="C3113"/>
  <c r="D3113"/>
  <c r="AX3113"/>
  <c r="C3114"/>
  <c r="D3114"/>
  <c r="AX3114"/>
  <c r="C3115"/>
  <c r="D3115"/>
  <c r="AX3115"/>
  <c r="C3116"/>
  <c r="D3116"/>
  <c r="AX3116"/>
  <c r="C3117"/>
  <c r="D3117"/>
  <c r="AX3117"/>
  <c r="C3118"/>
  <c r="D3118"/>
  <c r="AX3118"/>
  <c r="C3119"/>
  <c r="D3119"/>
  <c r="AX3119"/>
  <c r="C3120"/>
  <c r="D3120"/>
  <c r="AX3120"/>
  <c r="C3121"/>
  <c r="D3121"/>
  <c r="AX3121"/>
  <c r="C3122"/>
  <c r="D3122"/>
  <c r="AX3122"/>
  <c r="C3123"/>
  <c r="D3123"/>
  <c r="AX3123"/>
  <c r="C3124"/>
  <c r="D3124"/>
  <c r="AX3124"/>
  <c r="C3125"/>
  <c r="D3125"/>
  <c r="AX3125"/>
  <c r="C3126"/>
  <c r="D3126"/>
  <c r="AX3126"/>
  <c r="C3127"/>
  <c r="D3127"/>
  <c r="AX3127"/>
  <c r="C3128"/>
  <c r="D3128"/>
  <c r="AX3128"/>
  <c r="C3129"/>
  <c r="D3129"/>
  <c r="AX3129"/>
  <c r="C3130"/>
  <c r="D3130"/>
  <c r="AX3130"/>
  <c r="C3131"/>
  <c r="D3131"/>
  <c r="AX3131"/>
  <c r="C3132"/>
  <c r="D3132"/>
  <c r="AX3132"/>
  <c r="C3133"/>
  <c r="D3133"/>
  <c r="AX3133"/>
  <c r="C3134"/>
  <c r="D3134"/>
  <c r="AX3134"/>
  <c r="C3135"/>
  <c r="D3135"/>
  <c r="AX3135"/>
  <c r="C3136"/>
  <c r="D3136"/>
  <c r="AX3136"/>
  <c r="C3137"/>
  <c r="D3137"/>
  <c r="AX3137"/>
  <c r="C3138"/>
  <c r="D3138"/>
  <c r="AX3138"/>
  <c r="C3139"/>
  <c r="D3139"/>
  <c r="AX3139"/>
  <c r="C3140"/>
  <c r="D3140"/>
  <c r="AX3140"/>
  <c r="C3141"/>
  <c r="D3141"/>
  <c r="AX3141"/>
  <c r="C3142"/>
  <c r="D3142"/>
  <c r="AX3142"/>
  <c r="C3143"/>
  <c r="D3143"/>
  <c r="AX3143"/>
  <c r="C3144"/>
  <c r="D3144"/>
  <c r="AX3144"/>
  <c r="C3145"/>
  <c r="D3145"/>
  <c r="AX3145"/>
  <c r="C3146"/>
  <c r="D3146"/>
  <c r="AX3146"/>
  <c r="C3147"/>
  <c r="D3147"/>
  <c r="AX3147"/>
  <c r="C3148"/>
  <c r="D3148"/>
  <c r="AX3148"/>
  <c r="C3149"/>
  <c r="D3149"/>
  <c r="AX3149"/>
  <c r="C3150"/>
  <c r="D3150"/>
  <c r="AX3150"/>
  <c r="C3151"/>
  <c r="D3151"/>
  <c r="AX3151"/>
  <c r="C3152"/>
  <c r="D3152"/>
  <c r="AX3152"/>
  <c r="C3153"/>
  <c r="D3153"/>
  <c r="AX3153"/>
  <c r="C3154"/>
  <c r="D3154"/>
  <c r="AX3154"/>
  <c r="C3155"/>
  <c r="D3155"/>
  <c r="AX3155"/>
  <c r="C3156"/>
  <c r="D3156"/>
  <c r="AX3156"/>
  <c r="C3157"/>
  <c r="D3157"/>
  <c r="AX3157"/>
  <c r="C3158"/>
  <c r="D3158"/>
  <c r="AX3158"/>
  <c r="C3159"/>
  <c r="D3159"/>
  <c r="AX3159"/>
  <c r="C3160"/>
  <c r="D3160"/>
  <c r="AX3160"/>
  <c r="C3161"/>
  <c r="D3161"/>
  <c r="AX3161"/>
  <c r="C3162"/>
  <c r="D3162"/>
  <c r="AX3162"/>
  <c r="C3163"/>
  <c r="D3163"/>
  <c r="AX3163"/>
  <c r="C3164"/>
  <c r="D3164"/>
  <c r="AX3164"/>
  <c r="C3165"/>
  <c r="D3165"/>
  <c r="AX3165"/>
  <c r="C3166"/>
  <c r="D3166"/>
  <c r="AX3166"/>
  <c r="C3167"/>
  <c r="D3167"/>
  <c r="AX3167"/>
  <c r="C3168"/>
  <c r="D3168"/>
  <c r="AX3168"/>
  <c r="C3169"/>
  <c r="D3169"/>
  <c r="AX3169"/>
  <c r="C3170"/>
  <c r="D3170"/>
  <c r="AX3170"/>
  <c r="C3171"/>
  <c r="D3171"/>
  <c r="AX3171"/>
  <c r="C3172"/>
  <c r="D3172"/>
  <c r="AX3172"/>
  <c r="C3173"/>
  <c r="D3173"/>
  <c r="AX3173"/>
  <c r="C3174"/>
  <c r="D3174"/>
  <c r="AX3174"/>
  <c r="C3175"/>
  <c r="D3175"/>
  <c r="AX3175"/>
  <c r="C3176"/>
  <c r="D3176"/>
  <c r="AX3176"/>
  <c r="C3177"/>
  <c r="D3177"/>
  <c r="AX3177"/>
  <c r="C3178"/>
  <c r="D3178"/>
  <c r="AX3178"/>
  <c r="C3179"/>
  <c r="D3179"/>
  <c r="AX3179"/>
  <c r="C3180"/>
  <c r="D3180"/>
  <c r="AX3180"/>
  <c r="C3181"/>
  <c r="D3181"/>
  <c r="AX3181"/>
  <c r="C3182"/>
  <c r="D3182"/>
  <c r="AX3182"/>
  <c r="C3183"/>
  <c r="D3183"/>
  <c r="AX3183"/>
  <c r="C3184"/>
  <c r="D3184"/>
  <c r="AX3184"/>
  <c r="C3185"/>
  <c r="D3185"/>
  <c r="AX3185"/>
  <c r="C3186"/>
  <c r="D3186"/>
  <c r="AX3186"/>
  <c r="C3187"/>
  <c r="D3187"/>
  <c r="AX3187"/>
  <c r="C3188"/>
  <c r="D3188"/>
  <c r="AX3188"/>
  <c r="C3189"/>
  <c r="D3189"/>
  <c r="AX3189"/>
  <c r="C3190"/>
  <c r="D3190"/>
  <c r="AX3190"/>
  <c r="C3191"/>
  <c r="D3191"/>
  <c r="AX3191"/>
  <c r="C3192"/>
  <c r="D3192"/>
  <c r="AX3192"/>
  <c r="C3193"/>
  <c r="D3193"/>
  <c r="AX3193"/>
  <c r="C3194"/>
  <c r="D3194"/>
  <c r="AX3194"/>
  <c r="C3195"/>
  <c r="D3195"/>
  <c r="AX3195"/>
  <c r="C3196"/>
  <c r="D3196"/>
  <c r="AX3196"/>
  <c r="C3197"/>
  <c r="D3197"/>
  <c r="AX3197"/>
  <c r="C3198"/>
  <c r="D3198"/>
  <c r="AX3198"/>
  <c r="C3199"/>
  <c r="D3199"/>
  <c r="AX3199"/>
  <c r="C3200"/>
  <c r="D3200"/>
  <c r="AX3200"/>
  <c r="C3201"/>
  <c r="D3201"/>
  <c r="AX3201"/>
  <c r="C3202"/>
  <c r="D3202"/>
  <c r="AX3202"/>
  <c r="C3203"/>
  <c r="D3203"/>
  <c r="AX3203"/>
  <c r="C3204"/>
  <c r="D3204"/>
  <c r="AX3204"/>
  <c r="C3205"/>
  <c r="D3205"/>
  <c r="AX3205"/>
  <c r="C3206"/>
  <c r="D3206"/>
  <c r="AX3206"/>
  <c r="C3207"/>
  <c r="D3207"/>
  <c r="AX3207"/>
  <c r="C3208"/>
  <c r="D3208"/>
  <c r="AX3208"/>
  <c r="C3209"/>
  <c r="D3209"/>
  <c r="AX3209"/>
  <c r="C3210"/>
  <c r="D3210"/>
  <c r="AX3210"/>
  <c r="C3211"/>
  <c r="D3211"/>
  <c r="AX3211"/>
  <c r="C3212"/>
  <c r="D3212"/>
  <c r="AX3212"/>
  <c r="C3213"/>
  <c r="D3213"/>
  <c r="AX3213"/>
  <c r="C3214"/>
  <c r="D3214"/>
  <c r="AX3214"/>
  <c r="C3215"/>
  <c r="D3215"/>
  <c r="AX3215"/>
  <c r="C3216"/>
  <c r="D3216"/>
  <c r="AX3216"/>
  <c r="C3217"/>
  <c r="D3217"/>
  <c r="AX3217"/>
  <c r="C3218"/>
  <c r="D3218"/>
  <c r="AX3218"/>
  <c r="C3219"/>
  <c r="D3219"/>
  <c r="AX3219"/>
  <c r="C3220"/>
  <c r="D3220"/>
  <c r="AX3220"/>
  <c r="C3221"/>
  <c r="D3221"/>
  <c r="AX3221"/>
  <c r="C3222"/>
  <c r="D3222"/>
  <c r="AX3222"/>
  <c r="C3223"/>
  <c r="D3223"/>
  <c r="AX3223"/>
  <c r="C3224"/>
  <c r="D3224"/>
  <c r="AX3224"/>
  <c r="C3225"/>
  <c r="D3225"/>
  <c r="AX3225"/>
  <c r="C3226"/>
  <c r="D3226"/>
  <c r="AX3226"/>
  <c r="C3227"/>
  <c r="D3227"/>
  <c r="AX3227"/>
  <c r="C3228"/>
  <c r="D3228"/>
  <c r="AX3228"/>
  <c r="C3229"/>
  <c r="D3229"/>
  <c r="AX3229"/>
  <c r="C3230"/>
  <c r="D3230"/>
  <c r="AX3230"/>
  <c r="C3231"/>
  <c r="D3231"/>
  <c r="AX3231"/>
  <c r="C3232"/>
  <c r="D3232"/>
  <c r="AX3232"/>
  <c r="C3233"/>
  <c r="D3233"/>
  <c r="AX3233"/>
  <c r="C3234"/>
  <c r="D3234"/>
  <c r="AX3234"/>
  <c r="C3235"/>
  <c r="D3235"/>
  <c r="AX3235"/>
  <c r="C3236"/>
  <c r="D3236"/>
  <c r="AX3236"/>
  <c r="C3237"/>
  <c r="D3237"/>
  <c r="AX3237"/>
  <c r="C3238"/>
  <c r="D3238"/>
  <c r="AX3238"/>
  <c r="C3239"/>
  <c r="D3239"/>
  <c r="AX3239"/>
  <c r="C3240"/>
  <c r="D3240"/>
  <c r="AX3240"/>
  <c r="C3241"/>
  <c r="D3241"/>
  <c r="AX3241"/>
  <c r="C3242"/>
  <c r="D3242"/>
  <c r="AX3242"/>
  <c r="C3243"/>
  <c r="D3243"/>
  <c r="AX3243"/>
  <c r="C3244"/>
  <c r="D3244"/>
  <c r="AX3244"/>
  <c r="C3245"/>
  <c r="D3245"/>
  <c r="AX3245"/>
  <c r="C3246"/>
  <c r="D3246"/>
  <c r="AX3246"/>
  <c r="C3247"/>
  <c r="D3247"/>
  <c r="AX3247"/>
  <c r="C3248"/>
  <c r="D3248"/>
  <c r="AX3248"/>
  <c r="C3249"/>
  <c r="D3249"/>
  <c r="AX3249"/>
  <c r="C3250"/>
  <c r="D3250"/>
  <c r="AX3250"/>
  <c r="C3251"/>
  <c r="D3251"/>
  <c r="AX3251"/>
  <c r="C3252"/>
  <c r="D3252"/>
  <c r="AX3252"/>
  <c r="C3253"/>
  <c r="D3253"/>
  <c r="AX3253"/>
  <c r="C3254"/>
  <c r="D3254"/>
  <c r="AX3254"/>
  <c r="C3255"/>
  <c r="D3255"/>
  <c r="AX3255"/>
  <c r="C3256"/>
  <c r="D3256"/>
  <c r="AX3256"/>
  <c r="C3257"/>
  <c r="D3257"/>
  <c r="AX3257"/>
  <c r="C3258"/>
  <c r="D3258"/>
  <c r="AX3258"/>
  <c r="C3259"/>
  <c r="D3259"/>
  <c r="AX3259"/>
  <c r="C3260"/>
  <c r="D3260"/>
  <c r="AX3260"/>
  <c r="C3261"/>
  <c r="D3261"/>
  <c r="AX3261"/>
  <c r="C3262"/>
  <c r="D3262"/>
  <c r="AX3262"/>
  <c r="C3263"/>
  <c r="D3263"/>
  <c r="AX3263"/>
  <c r="C3264"/>
  <c r="D3264"/>
  <c r="AX3264"/>
  <c r="C3265"/>
  <c r="D3265"/>
  <c r="AX3265"/>
  <c r="C3266"/>
  <c r="D3266"/>
  <c r="AX3266"/>
  <c r="C3267"/>
  <c r="D3267"/>
  <c r="AX3267"/>
  <c r="C3268"/>
  <c r="D3268"/>
  <c r="AX3268"/>
  <c r="C3269"/>
  <c r="D3269"/>
  <c r="AX3269"/>
  <c r="C3270"/>
  <c r="D3270"/>
  <c r="AX3270"/>
  <c r="C3271"/>
  <c r="D3271"/>
  <c r="AX3271"/>
  <c r="C3272"/>
  <c r="D3272"/>
  <c r="AX3272"/>
  <c r="C3273"/>
  <c r="D3273"/>
  <c r="AX3273"/>
  <c r="C3274"/>
  <c r="D3274"/>
  <c r="AX3274"/>
  <c r="C3275"/>
  <c r="D3275"/>
  <c r="AX3275"/>
  <c r="C3276"/>
  <c r="D3276"/>
  <c r="AX3276"/>
  <c r="C3277"/>
  <c r="D3277"/>
  <c r="AX3277"/>
  <c r="C3278"/>
  <c r="D3278"/>
  <c r="AX3278"/>
  <c r="C3279"/>
  <c r="D3279"/>
  <c r="AX3279"/>
  <c r="C3280"/>
  <c r="D3280"/>
  <c r="AX3280"/>
  <c r="C3281"/>
  <c r="D3281"/>
  <c r="AX3281"/>
  <c r="C3282"/>
  <c r="D3282"/>
  <c r="AX3282"/>
  <c r="C3283"/>
  <c r="D3283"/>
  <c r="AX3283"/>
  <c r="C3284"/>
  <c r="D3284"/>
  <c r="AX3284"/>
  <c r="C3285"/>
  <c r="D3285"/>
  <c r="AX3285"/>
  <c r="C3286"/>
  <c r="D3286"/>
  <c r="AX3286"/>
  <c r="C3287"/>
  <c r="D3287"/>
  <c r="AX3287"/>
  <c r="C3288"/>
  <c r="D3288"/>
  <c r="AX3288"/>
  <c r="C3289"/>
  <c r="D3289"/>
  <c r="AX3289"/>
  <c r="C3290"/>
  <c r="D3290"/>
  <c r="AX3290"/>
  <c r="C3291"/>
  <c r="D3291"/>
  <c r="AX3291"/>
  <c r="C3292"/>
  <c r="D3292"/>
  <c r="AX3292"/>
  <c r="C3293"/>
  <c r="D3293"/>
  <c r="AX3293"/>
  <c r="C3294"/>
  <c r="D3294"/>
  <c r="AX3294"/>
  <c r="C3295"/>
  <c r="D3295"/>
  <c r="AX3295"/>
  <c r="C3296"/>
  <c r="D3296"/>
  <c r="AX3296"/>
  <c r="C3297"/>
  <c r="D3297"/>
  <c r="AX3297"/>
  <c r="C3298"/>
  <c r="D3298"/>
  <c r="AX3298"/>
  <c r="C3299"/>
  <c r="D3299"/>
  <c r="AX3299"/>
  <c r="C3300"/>
  <c r="D3300"/>
  <c r="AX3300"/>
  <c r="C3301"/>
  <c r="D3301"/>
  <c r="AX3301"/>
  <c r="C3302"/>
  <c r="D3302"/>
  <c r="AX3302"/>
  <c r="C3303"/>
  <c r="D3303"/>
  <c r="AX3303"/>
  <c r="C3304"/>
  <c r="D3304"/>
  <c r="AX3304"/>
  <c r="C3305"/>
  <c r="D3305"/>
  <c r="AX3305"/>
  <c r="C3306"/>
  <c r="D3306"/>
  <c r="AX3306"/>
  <c r="C3307"/>
  <c r="D3307"/>
  <c r="AX3307"/>
  <c r="C3308"/>
  <c r="D3308"/>
  <c r="AX3308"/>
  <c r="C3309"/>
  <c r="D3309"/>
  <c r="AX3309"/>
  <c r="C3310"/>
  <c r="D3310"/>
  <c r="AX3310"/>
  <c r="C3311"/>
  <c r="D3311"/>
  <c r="AX3311"/>
  <c r="C3312"/>
  <c r="D3312"/>
  <c r="AX3312"/>
  <c r="C3313"/>
  <c r="D3313"/>
  <c r="AX3313"/>
  <c r="C3314"/>
  <c r="D3314"/>
  <c r="AX3314"/>
  <c r="C3315"/>
  <c r="D3315"/>
  <c r="AX3315"/>
  <c r="C3316"/>
  <c r="D3316"/>
  <c r="AX3316"/>
  <c r="C3317"/>
  <c r="D3317"/>
  <c r="AX3317"/>
  <c r="C3318"/>
  <c r="D3318"/>
  <c r="AX3318"/>
  <c r="C3319"/>
  <c r="D3319"/>
  <c r="AX3319"/>
  <c r="C3320"/>
  <c r="D3320"/>
  <c r="AX3320"/>
  <c r="C3321"/>
  <c r="D3321"/>
  <c r="AX3321"/>
  <c r="C3322"/>
  <c r="D3322"/>
  <c r="AX3322"/>
  <c r="C3323"/>
  <c r="D3323"/>
  <c r="AX3323"/>
  <c r="C3324"/>
  <c r="D3324"/>
  <c r="AX3324"/>
  <c r="C3325"/>
  <c r="D3325"/>
  <c r="AX3325"/>
  <c r="C3326"/>
  <c r="D3326"/>
  <c r="AX3326"/>
  <c r="C3327"/>
  <c r="D3327"/>
  <c r="AX3327"/>
  <c r="C3328"/>
  <c r="D3328"/>
  <c r="AX3328"/>
  <c r="C3329"/>
  <c r="D3329"/>
  <c r="AX3329"/>
  <c r="C3330"/>
  <c r="D3330"/>
  <c r="AX3330"/>
  <c r="C3331"/>
  <c r="D3331"/>
  <c r="AX3331"/>
  <c r="C3332"/>
  <c r="D3332"/>
  <c r="AX3332"/>
  <c r="C3333"/>
  <c r="D3333"/>
  <c r="AX3333"/>
  <c r="C3334"/>
  <c r="D3334"/>
  <c r="AX3334"/>
  <c r="C3335"/>
  <c r="D3335"/>
  <c r="AX3335"/>
  <c r="C3336"/>
  <c r="D3336"/>
  <c r="AX3336"/>
  <c r="C3337"/>
  <c r="D3337"/>
  <c r="AX3337"/>
  <c r="C3338"/>
  <c r="D3338"/>
  <c r="AX3338"/>
  <c r="C3339"/>
  <c r="D3339"/>
  <c r="AX3339"/>
  <c r="C3340"/>
  <c r="D3340"/>
  <c r="AX3340"/>
  <c r="C3341"/>
  <c r="D3341"/>
  <c r="AX3341"/>
  <c r="C3342"/>
  <c r="D3342"/>
  <c r="AX3342"/>
  <c r="C3343"/>
  <c r="D3343"/>
  <c r="AX3343"/>
  <c r="C3344"/>
  <c r="D3344"/>
  <c r="AX3344"/>
  <c r="C3345"/>
  <c r="D3345"/>
  <c r="AX3345"/>
  <c r="C3346"/>
  <c r="D3346"/>
  <c r="AX3346"/>
  <c r="C3347"/>
  <c r="D3347"/>
  <c r="AX3347"/>
  <c r="C3348"/>
  <c r="D3348"/>
  <c r="AX3348"/>
  <c r="C3349"/>
  <c r="D3349"/>
  <c r="AX3349"/>
  <c r="C3350"/>
  <c r="D3350"/>
  <c r="AX3350"/>
  <c r="C3351"/>
  <c r="D3351"/>
  <c r="AX3351"/>
  <c r="C3352"/>
  <c r="D3352"/>
  <c r="AX3352"/>
  <c r="C3353"/>
  <c r="D3353"/>
  <c r="AX3353"/>
  <c r="C3354"/>
  <c r="D3354"/>
  <c r="AX3354"/>
  <c r="C3355"/>
  <c r="D3355"/>
  <c r="AX3355"/>
  <c r="C3356"/>
  <c r="D3356"/>
  <c r="AX3356"/>
  <c r="C3357"/>
  <c r="D3357"/>
  <c r="AX3357"/>
  <c r="C3358"/>
  <c r="D3358"/>
  <c r="AX3358"/>
  <c r="C3359"/>
  <c r="D3359"/>
  <c r="AX3359"/>
  <c r="C3360"/>
  <c r="D3360"/>
  <c r="AX3360"/>
  <c r="C3361"/>
  <c r="D3361"/>
  <c r="AX3361"/>
  <c r="C3362"/>
  <c r="D3362"/>
  <c r="AX3362"/>
  <c r="C3363"/>
  <c r="D3363"/>
  <c r="AX3363"/>
  <c r="C3364"/>
  <c r="D3364"/>
  <c r="AX3364"/>
  <c r="C3365"/>
  <c r="D3365"/>
  <c r="AX3365"/>
  <c r="C3366"/>
  <c r="D3366"/>
  <c r="AX3366"/>
  <c r="C3367"/>
  <c r="D3367"/>
  <c r="AX3367"/>
  <c r="C3368"/>
  <c r="D3368"/>
  <c r="AX3368"/>
  <c r="C3369"/>
  <c r="D3369"/>
  <c r="AX3369"/>
  <c r="C3370"/>
  <c r="D3370"/>
  <c r="AX3370"/>
  <c r="C3371"/>
  <c r="D3371"/>
  <c r="AX3371"/>
  <c r="C3372"/>
  <c r="D3372"/>
  <c r="AX3372"/>
  <c r="C3373"/>
  <c r="D3373"/>
  <c r="AX3373"/>
  <c r="C3374"/>
  <c r="D3374"/>
  <c r="AX3374"/>
  <c r="C3375"/>
  <c r="D3375"/>
  <c r="AX3375"/>
  <c r="C3376"/>
  <c r="D3376"/>
  <c r="AX3376"/>
  <c r="C3377"/>
  <c r="D3377"/>
  <c r="AX3377"/>
  <c r="C3378"/>
  <c r="D3378"/>
  <c r="AX3378"/>
  <c r="C3379"/>
  <c r="D3379"/>
  <c r="AX3379"/>
  <c r="C3380"/>
  <c r="D3380"/>
  <c r="AX3380"/>
  <c r="C3381"/>
  <c r="D3381"/>
  <c r="AX3381"/>
  <c r="C3382"/>
  <c r="D3382"/>
  <c r="AX3382"/>
  <c r="C3383"/>
  <c r="D3383"/>
  <c r="AX3383"/>
  <c r="C3384"/>
  <c r="D3384"/>
  <c r="AX3384"/>
  <c r="C3385"/>
  <c r="D3385"/>
  <c r="AX3385"/>
  <c r="C3386"/>
  <c r="D3386"/>
  <c r="AX3386"/>
  <c r="C3387"/>
  <c r="D3387"/>
  <c r="AX3387"/>
  <c r="C3388"/>
  <c r="D3388"/>
  <c r="AX3388"/>
  <c r="C3389"/>
  <c r="D3389"/>
  <c r="AX3389"/>
  <c r="C3390"/>
  <c r="D3390"/>
  <c r="AX3390"/>
  <c r="C3391"/>
  <c r="D3391"/>
  <c r="AX3391"/>
  <c r="C3392"/>
  <c r="D3392"/>
  <c r="AX3392"/>
  <c r="C3393"/>
  <c r="D3393"/>
  <c r="AX3393"/>
  <c r="C3394"/>
  <c r="D3394"/>
  <c r="AX3394"/>
  <c r="C3395"/>
  <c r="D3395"/>
  <c r="AX3395"/>
  <c r="C3396"/>
  <c r="D3396"/>
  <c r="AX3396"/>
  <c r="C3397"/>
  <c r="D3397"/>
  <c r="AX3397"/>
  <c r="C3398"/>
  <c r="D3398"/>
  <c r="AX3398"/>
  <c r="C3399"/>
  <c r="D3399"/>
  <c r="AX3399"/>
  <c r="C3400"/>
  <c r="D3400"/>
  <c r="AX3400"/>
  <c r="C3401"/>
  <c r="D3401"/>
  <c r="AX3401"/>
  <c r="C3402"/>
  <c r="D3402"/>
  <c r="AX3402"/>
  <c r="C3403"/>
  <c r="D3403"/>
  <c r="AX3403"/>
  <c r="C3404"/>
  <c r="D3404"/>
  <c r="AX3404"/>
  <c r="C3405"/>
  <c r="D3405"/>
  <c r="AX3405"/>
  <c r="C3406"/>
  <c r="D3406"/>
  <c r="AX3406"/>
  <c r="C3407"/>
  <c r="D3407"/>
  <c r="AX3407"/>
  <c r="C3408"/>
  <c r="D3408"/>
  <c r="AX3408"/>
  <c r="C3409"/>
  <c r="D3409"/>
  <c r="AX3409"/>
  <c r="C3410"/>
  <c r="D3410"/>
  <c r="AX3410"/>
  <c r="C3411"/>
  <c r="D3411"/>
  <c r="AX3411"/>
  <c r="C3412"/>
  <c r="D3412"/>
  <c r="AX3412"/>
  <c r="C3413"/>
  <c r="D3413"/>
  <c r="AX3413"/>
  <c r="C3414"/>
  <c r="D3414"/>
  <c r="AX3414"/>
  <c r="C3415"/>
  <c r="D3415"/>
  <c r="AX3415"/>
  <c r="C3416"/>
  <c r="D3416"/>
  <c r="AX3416"/>
  <c r="C3417"/>
  <c r="D3417"/>
  <c r="AX3417"/>
  <c r="C3418"/>
  <c r="D3418"/>
  <c r="AX3418"/>
  <c r="C3419"/>
  <c r="D3419"/>
  <c r="AX3419"/>
  <c r="C3420"/>
  <c r="D3420"/>
  <c r="AX3420"/>
  <c r="C3421"/>
  <c r="D3421"/>
  <c r="AX3421"/>
  <c r="C3422"/>
  <c r="D3422"/>
  <c r="AX3422"/>
  <c r="C3423"/>
  <c r="D3423"/>
  <c r="AX3423"/>
  <c r="C3424"/>
  <c r="D3424"/>
  <c r="AX3424"/>
  <c r="C3425"/>
  <c r="D3425"/>
  <c r="AX3425"/>
  <c r="C3426"/>
  <c r="D3426"/>
  <c r="AX3426"/>
  <c r="C3427"/>
  <c r="D3427"/>
  <c r="AX3427"/>
  <c r="C3428"/>
  <c r="D3428"/>
  <c r="AX3428"/>
  <c r="C3429"/>
  <c r="D3429"/>
  <c r="AX3429"/>
  <c r="C3430"/>
  <c r="D3430"/>
  <c r="AX3430"/>
  <c r="C3431"/>
  <c r="D3431"/>
  <c r="AX3431"/>
  <c r="C3432"/>
  <c r="D3432"/>
  <c r="AX3432"/>
  <c r="C3433"/>
  <c r="D3433"/>
  <c r="AX3433"/>
  <c r="C3434"/>
  <c r="D3434"/>
  <c r="AX3434"/>
  <c r="C3435"/>
  <c r="D3435"/>
  <c r="AX3435"/>
  <c r="C3436"/>
  <c r="D3436"/>
  <c r="AX3436"/>
  <c r="C3437"/>
  <c r="D3437"/>
  <c r="AX3437"/>
  <c r="C3438"/>
  <c r="D3438"/>
  <c r="AX3438"/>
  <c r="C3439"/>
  <c r="D3439"/>
  <c r="AX3439"/>
  <c r="C3440"/>
  <c r="D3440"/>
  <c r="AX3440"/>
  <c r="C3441"/>
  <c r="D3441"/>
  <c r="AX3441"/>
  <c r="C3442"/>
  <c r="D3442"/>
  <c r="AX3442"/>
  <c r="C3443"/>
  <c r="D3443"/>
  <c r="AX3443"/>
  <c r="C3444"/>
  <c r="D3444"/>
  <c r="AX3444"/>
  <c r="C3445"/>
  <c r="D3445"/>
  <c r="AX3445"/>
  <c r="C3446"/>
  <c r="D3446"/>
  <c r="AX3446"/>
  <c r="C3447"/>
  <c r="D3447"/>
  <c r="AX3447"/>
  <c r="C3448"/>
  <c r="D3448"/>
  <c r="AX3448"/>
  <c r="C3449"/>
  <c r="D3449"/>
  <c r="AX3449"/>
  <c r="C3450"/>
  <c r="D3450"/>
  <c r="AX3450"/>
  <c r="C3451"/>
  <c r="D3451"/>
  <c r="AX3451"/>
  <c r="C3452"/>
  <c r="D3452"/>
  <c r="AX3452"/>
  <c r="C3453"/>
  <c r="D3453"/>
  <c r="AX3453"/>
  <c r="C3454"/>
  <c r="D3454"/>
  <c r="AX3454"/>
  <c r="C3455"/>
  <c r="D3455"/>
  <c r="AX3455"/>
  <c r="C3456"/>
  <c r="D3456"/>
  <c r="AX3456"/>
  <c r="C3457"/>
  <c r="D3457"/>
  <c r="AX3457"/>
  <c r="C3458"/>
  <c r="D3458"/>
  <c r="AX3458"/>
  <c r="C3459"/>
  <c r="D3459"/>
  <c r="AX3459"/>
  <c r="C3460"/>
  <c r="D3460"/>
  <c r="AX3460"/>
  <c r="C3461"/>
  <c r="D3461"/>
  <c r="AX3461"/>
  <c r="C3462"/>
  <c r="D3462"/>
  <c r="AX3462"/>
  <c r="C3463"/>
  <c r="D3463"/>
  <c r="AX3463"/>
  <c r="C3464"/>
  <c r="D3464"/>
  <c r="AX3464"/>
  <c r="C3465"/>
  <c r="D3465"/>
  <c r="AX3465"/>
  <c r="C3466"/>
  <c r="D3466"/>
  <c r="AX3466"/>
  <c r="C3467"/>
  <c r="D3467"/>
  <c r="AX3467"/>
  <c r="C3468"/>
  <c r="D3468"/>
  <c r="AX3468"/>
  <c r="C3469"/>
  <c r="D3469"/>
  <c r="AX3469"/>
  <c r="C3470"/>
  <c r="D3470"/>
  <c r="AX3470"/>
  <c r="C3471"/>
  <c r="D3471"/>
  <c r="AX3471"/>
  <c r="C3472"/>
  <c r="D3472"/>
  <c r="AX3472"/>
  <c r="C3473"/>
  <c r="D3473"/>
  <c r="AX3473"/>
  <c r="C3474"/>
  <c r="D3474"/>
  <c r="AX3474"/>
  <c r="C3475"/>
  <c r="D3475"/>
  <c r="AX3475"/>
  <c r="C3476"/>
  <c r="D3476"/>
  <c r="AX3476"/>
  <c r="C3477"/>
  <c r="D3477"/>
  <c r="AX3477"/>
  <c r="C3478"/>
  <c r="D3478"/>
  <c r="AX3478"/>
  <c r="C3479"/>
  <c r="D3479"/>
  <c r="AX3479"/>
  <c r="C3480"/>
  <c r="D3480"/>
  <c r="AX3480"/>
  <c r="C3481"/>
  <c r="D3481"/>
  <c r="AX3481"/>
  <c r="C3482"/>
  <c r="D3482"/>
  <c r="AX3482"/>
  <c r="C3483"/>
  <c r="D3483"/>
  <c r="AX3483"/>
  <c r="C3484"/>
  <c r="D3484"/>
  <c r="AX3484"/>
  <c r="C3485"/>
  <c r="D3485"/>
  <c r="AX3485"/>
  <c r="C3486"/>
  <c r="D3486"/>
  <c r="AX3486"/>
  <c r="C3487"/>
  <c r="D3487"/>
  <c r="AX3487"/>
  <c r="C3488"/>
  <c r="D3488"/>
  <c r="AX3488"/>
  <c r="C3489"/>
  <c r="D3489"/>
  <c r="AX3489"/>
  <c r="C3490"/>
  <c r="D3490"/>
  <c r="AX3490"/>
  <c r="C3491"/>
  <c r="D3491"/>
  <c r="AX3491"/>
  <c r="C3492"/>
  <c r="D3492"/>
  <c r="AX3492"/>
  <c r="C3493"/>
  <c r="D3493"/>
  <c r="AX3493"/>
  <c r="C3494"/>
  <c r="D3494"/>
  <c r="AX3494"/>
  <c r="C3495"/>
  <c r="D3495"/>
  <c r="AX3495"/>
  <c r="C3496"/>
  <c r="D3496"/>
  <c r="AX3496"/>
  <c r="C3497"/>
  <c r="D3497"/>
  <c r="AX3497"/>
  <c r="C3498"/>
  <c r="D3498"/>
  <c r="AX3498"/>
  <c r="C3499"/>
  <c r="D3499"/>
  <c r="AX3499"/>
  <c r="C3500"/>
  <c r="D3500"/>
  <c r="AX3500"/>
  <c r="C3501"/>
  <c r="D3501"/>
  <c r="AX3501"/>
  <c r="C3502"/>
  <c r="D3502"/>
  <c r="AX3502"/>
  <c r="C3503"/>
  <c r="D3503"/>
  <c r="AX3503"/>
  <c r="C3504"/>
  <c r="D3504"/>
  <c r="AX3504"/>
  <c r="C3505"/>
  <c r="D3505"/>
  <c r="AX3505"/>
  <c r="C3506"/>
  <c r="D3506"/>
  <c r="AX3506"/>
  <c r="C3507"/>
  <c r="D3507"/>
  <c r="AX3507"/>
  <c r="C3508"/>
  <c r="D3508"/>
  <c r="AX3508"/>
  <c r="C3509"/>
  <c r="D3509"/>
  <c r="AX3509"/>
  <c r="C3510"/>
  <c r="D3510"/>
  <c r="AX3510"/>
  <c r="C3511"/>
  <c r="D3511"/>
  <c r="AX3511"/>
  <c r="C3512"/>
  <c r="D3512"/>
  <c r="AX3512"/>
  <c r="C3513"/>
  <c r="D3513"/>
  <c r="AX3513"/>
  <c r="C3514"/>
  <c r="D3514"/>
  <c r="AX3514"/>
  <c r="C3515"/>
  <c r="D3515"/>
  <c r="AX3515"/>
  <c r="C3516"/>
  <c r="D3516"/>
  <c r="AX3516"/>
  <c r="C3517"/>
  <c r="D3517"/>
  <c r="AX3517"/>
  <c r="C3518"/>
  <c r="D3518"/>
  <c r="AX3518"/>
  <c r="C3519"/>
  <c r="D3519"/>
  <c r="AX3519"/>
  <c r="C3520"/>
  <c r="D3520"/>
  <c r="AX3520"/>
  <c r="C3521"/>
  <c r="D3521"/>
  <c r="AX3521"/>
  <c r="C3522"/>
  <c r="D3522"/>
  <c r="AX3522"/>
  <c r="C3523"/>
  <c r="D3523"/>
  <c r="AX3523"/>
  <c r="C3524"/>
  <c r="D3524"/>
  <c r="AX3524"/>
  <c r="C3525"/>
  <c r="D3525"/>
  <c r="AX3525"/>
  <c r="C3526"/>
  <c r="D3526"/>
  <c r="AX3526"/>
  <c r="C3527"/>
  <c r="D3527"/>
  <c r="AX3527"/>
  <c r="C3528"/>
  <c r="D3528"/>
  <c r="AX3528"/>
  <c r="C3529"/>
  <c r="D3529"/>
  <c r="AX3529"/>
  <c r="C3530"/>
  <c r="D3530"/>
  <c r="AX3530"/>
  <c r="C3531"/>
  <c r="D3531"/>
  <c r="AX3531"/>
  <c r="C3532"/>
  <c r="D3532"/>
  <c r="AX3532"/>
  <c r="C3533"/>
  <c r="D3533"/>
  <c r="AX3533"/>
  <c r="C3534"/>
  <c r="D3534"/>
  <c r="AX3534"/>
  <c r="C3535"/>
  <c r="D3535"/>
  <c r="AX3535"/>
  <c r="C3536"/>
  <c r="D3536"/>
  <c r="AX3536"/>
  <c r="C3537"/>
  <c r="D3537"/>
  <c r="AX3537"/>
  <c r="C3538"/>
  <c r="D3538"/>
  <c r="AX3538"/>
  <c r="C3539"/>
  <c r="D3539"/>
  <c r="AX3539"/>
  <c r="C3540"/>
  <c r="D3540"/>
  <c r="AX3540"/>
  <c r="C3541"/>
  <c r="D3541"/>
  <c r="AX3541"/>
  <c r="C3542"/>
  <c r="D3542"/>
  <c r="AX3542"/>
  <c r="C3543"/>
  <c r="D3543"/>
  <c r="AX3543"/>
  <c r="C3544"/>
  <c r="D3544"/>
  <c r="AX3544"/>
  <c r="C3545"/>
  <c r="D3545"/>
  <c r="AX3545"/>
  <c r="C3546"/>
  <c r="D3546"/>
  <c r="AX3546"/>
  <c r="C3547"/>
  <c r="D3547"/>
  <c r="AX3547"/>
  <c r="C3548"/>
  <c r="D3548"/>
  <c r="AX3548"/>
  <c r="C3549"/>
  <c r="D3549"/>
  <c r="AX3549"/>
  <c r="C3550"/>
  <c r="D3550"/>
  <c r="AX3550"/>
  <c r="C3551"/>
  <c r="D3551"/>
  <c r="AX3551"/>
  <c r="C3552"/>
  <c r="D3552"/>
  <c r="AX3552"/>
  <c r="C3553"/>
  <c r="D3553"/>
  <c r="AX3553"/>
  <c r="C3554"/>
  <c r="D3554"/>
  <c r="AX3554"/>
  <c r="C3555"/>
  <c r="D3555"/>
  <c r="AX3555"/>
  <c r="C3556"/>
  <c r="D3556"/>
  <c r="AX3556"/>
  <c r="C3557"/>
  <c r="D3557"/>
  <c r="AX3557"/>
  <c r="C3558"/>
  <c r="D3558"/>
  <c r="AX3558"/>
  <c r="C3559"/>
  <c r="D3559"/>
  <c r="AX3559"/>
  <c r="C3560"/>
  <c r="D3560"/>
  <c r="AX3560"/>
  <c r="C3561"/>
  <c r="D3561"/>
  <c r="AX3561"/>
  <c r="C3562"/>
  <c r="D3562"/>
  <c r="AX3562"/>
  <c r="C3563"/>
  <c r="D3563"/>
  <c r="AX3563"/>
  <c r="C3564"/>
  <c r="D3564"/>
  <c r="AX3564"/>
  <c r="C3565"/>
  <c r="D3565"/>
  <c r="AX3565"/>
  <c r="C3566"/>
  <c r="D3566"/>
  <c r="AX3566"/>
  <c r="C3567"/>
  <c r="D3567"/>
  <c r="AX3567"/>
  <c r="C3568"/>
  <c r="D3568"/>
  <c r="AX3568"/>
  <c r="C3569"/>
  <c r="D3569"/>
  <c r="AX3569"/>
  <c r="C3570"/>
  <c r="D3570"/>
  <c r="AX3570"/>
  <c r="C3571"/>
  <c r="D3571"/>
  <c r="AX3571"/>
  <c r="C3572"/>
  <c r="D3572"/>
  <c r="AX3572"/>
  <c r="C3573"/>
  <c r="D3573"/>
  <c r="AX3573"/>
  <c r="C3574"/>
  <c r="D3574"/>
  <c r="AX3574"/>
  <c r="C3575"/>
  <c r="D3575"/>
  <c r="AX3575"/>
  <c r="C3576"/>
  <c r="D3576"/>
  <c r="AX3576"/>
  <c r="C3577"/>
  <c r="D3577"/>
  <c r="AX3577"/>
  <c r="C3578"/>
  <c r="D3578"/>
  <c r="AX3578"/>
  <c r="C3579"/>
  <c r="D3579"/>
  <c r="AX3579"/>
  <c r="C3580"/>
  <c r="D3580"/>
  <c r="AX3580"/>
  <c r="C3581"/>
  <c r="D3581"/>
  <c r="AX3581"/>
  <c r="C3582"/>
  <c r="D3582"/>
  <c r="AX3582"/>
  <c r="C3583"/>
  <c r="D3583"/>
  <c r="AX3583"/>
  <c r="C3584"/>
  <c r="D3584"/>
  <c r="AX3584"/>
  <c r="C3585"/>
  <c r="D3585"/>
  <c r="AX3585"/>
  <c r="C3586"/>
  <c r="D3586"/>
  <c r="AX3586"/>
  <c r="C3587"/>
  <c r="D3587"/>
  <c r="AX3587"/>
  <c r="C3588"/>
  <c r="D3588"/>
  <c r="AX3588"/>
  <c r="C3589"/>
  <c r="D3589"/>
  <c r="AX3589"/>
  <c r="C3590"/>
  <c r="D3590"/>
  <c r="AX3590"/>
  <c r="C3591"/>
  <c r="D3591"/>
  <c r="AX3591"/>
  <c r="C3592"/>
  <c r="D3592"/>
  <c r="AX3592"/>
  <c r="C3593"/>
  <c r="D3593"/>
  <c r="AX3593"/>
  <c r="C3594"/>
  <c r="D3594"/>
  <c r="AX3594"/>
  <c r="C3595"/>
  <c r="D3595"/>
  <c r="AX3595"/>
  <c r="C3596"/>
  <c r="D3596"/>
  <c r="AX3596"/>
  <c r="C3597"/>
  <c r="D3597"/>
  <c r="AX3597"/>
  <c r="C3598"/>
  <c r="D3598"/>
  <c r="AX3598"/>
  <c r="C3599"/>
  <c r="D3599"/>
  <c r="AX3599"/>
  <c r="C3600"/>
  <c r="D3600"/>
  <c r="AX3600"/>
  <c r="C3601"/>
  <c r="D3601"/>
  <c r="AX3601"/>
  <c r="C3602"/>
  <c r="D3602"/>
  <c r="AX3602"/>
  <c r="C3603"/>
  <c r="D3603"/>
  <c r="AX3603"/>
  <c r="C3604"/>
  <c r="D3604"/>
  <c r="AX3604"/>
  <c r="C3605"/>
  <c r="D3605"/>
  <c r="AX3605"/>
  <c r="C3606"/>
  <c r="D3606"/>
  <c r="AX3606"/>
  <c r="C3607"/>
  <c r="D3607"/>
  <c r="AX3607"/>
  <c r="C3608"/>
  <c r="D3608"/>
  <c r="AX3608"/>
  <c r="C3609"/>
  <c r="D3609"/>
  <c r="AX3609"/>
  <c r="C3610"/>
  <c r="D3610"/>
  <c r="AX3610"/>
  <c r="C3611"/>
  <c r="D3611"/>
  <c r="AX3611"/>
  <c r="C3612"/>
  <c r="D3612"/>
  <c r="AX3612"/>
  <c r="C3613"/>
  <c r="D3613"/>
  <c r="AX3613"/>
  <c r="C3614"/>
  <c r="D3614"/>
  <c r="AX3614"/>
  <c r="C3615"/>
  <c r="D3615"/>
  <c r="AX3615"/>
  <c r="C3616"/>
  <c r="D3616"/>
  <c r="AX3616"/>
  <c r="C3617"/>
  <c r="D3617"/>
  <c r="AX3617"/>
  <c r="C3618"/>
  <c r="D3618"/>
  <c r="AX3618"/>
  <c r="C3619"/>
  <c r="D3619"/>
  <c r="AX3619"/>
  <c r="C3620"/>
  <c r="D3620"/>
  <c r="AX3620"/>
  <c r="C3621"/>
  <c r="D3621"/>
  <c r="AX3621"/>
  <c r="C3622"/>
  <c r="D3622"/>
  <c r="AX3622"/>
  <c r="C3623"/>
  <c r="D3623"/>
  <c r="AX3623"/>
  <c r="C3624"/>
  <c r="D3624"/>
  <c r="AX3624"/>
  <c r="C3625"/>
  <c r="D3625"/>
  <c r="AX3625"/>
  <c r="C3626"/>
  <c r="D3626"/>
  <c r="AX3626"/>
  <c r="C3627"/>
  <c r="D3627"/>
  <c r="AX3627"/>
  <c r="C3628"/>
  <c r="D3628"/>
  <c r="AX3628"/>
  <c r="C3629"/>
  <c r="D3629"/>
  <c r="AX3629"/>
  <c r="C3630"/>
  <c r="D3630"/>
  <c r="AX3630"/>
  <c r="C3631"/>
  <c r="D3631"/>
  <c r="AX3631"/>
  <c r="C3632"/>
  <c r="D3632"/>
  <c r="AX3632"/>
  <c r="C3633"/>
  <c r="D3633"/>
  <c r="AX3633"/>
  <c r="C3634"/>
  <c r="D3634"/>
  <c r="AX3634"/>
  <c r="C3635"/>
  <c r="D3635"/>
  <c r="AX3635"/>
  <c r="C3636"/>
  <c r="D3636"/>
  <c r="AX3636"/>
  <c r="C3637"/>
  <c r="D3637"/>
  <c r="AX3637"/>
  <c r="C3638"/>
  <c r="D3638"/>
  <c r="AX3638"/>
  <c r="C3639"/>
  <c r="D3639"/>
  <c r="AX3639"/>
  <c r="C3640"/>
  <c r="D3640"/>
  <c r="AX3640"/>
  <c r="C3641"/>
  <c r="D3641"/>
  <c r="AX3641"/>
  <c r="C3642"/>
  <c r="D3642"/>
  <c r="AX3642"/>
  <c r="C3643"/>
  <c r="D3643"/>
  <c r="AX3643"/>
  <c r="C3644"/>
  <c r="D3644"/>
  <c r="AX3644"/>
  <c r="C3645"/>
  <c r="D3645"/>
  <c r="AX3645"/>
  <c r="C3646"/>
  <c r="D3646"/>
  <c r="AX3646"/>
  <c r="C3647"/>
  <c r="D3647"/>
  <c r="AX3647"/>
  <c r="C3648"/>
  <c r="D3648"/>
  <c r="AX3648"/>
  <c r="C3649"/>
  <c r="D3649"/>
  <c r="AX3649"/>
  <c r="C3650"/>
  <c r="D3650"/>
  <c r="AX3650"/>
  <c r="C3651"/>
  <c r="D3651"/>
  <c r="AX3651"/>
  <c r="C3652"/>
  <c r="D3652"/>
  <c r="AX3652"/>
  <c r="C3653"/>
  <c r="D3653"/>
  <c r="AX3653"/>
  <c r="C3654"/>
  <c r="D3654"/>
  <c r="AX3654"/>
  <c r="C3655"/>
  <c r="D3655"/>
  <c r="AX3655"/>
  <c r="C3656"/>
  <c r="D3656"/>
  <c r="AX3656"/>
  <c r="C3657"/>
  <c r="D3657"/>
  <c r="AX3657"/>
  <c r="C3658"/>
  <c r="D3658"/>
  <c r="AX3658"/>
  <c r="C3659"/>
  <c r="D3659"/>
  <c r="AX3659"/>
  <c r="C3660"/>
  <c r="D3660"/>
  <c r="AX3660"/>
  <c r="C3661"/>
  <c r="D3661"/>
  <c r="AX3661"/>
  <c r="C3662"/>
  <c r="D3662"/>
  <c r="AX3662"/>
  <c r="C3663"/>
  <c r="D3663"/>
  <c r="AX3663"/>
  <c r="C3664"/>
  <c r="D3664"/>
  <c r="AX3664"/>
  <c r="C3665"/>
  <c r="D3665"/>
  <c r="AX3665"/>
  <c r="C3666"/>
  <c r="D3666"/>
  <c r="AX3666"/>
  <c r="C3667"/>
  <c r="D3667"/>
  <c r="AX3667"/>
  <c r="C3668"/>
  <c r="D3668"/>
  <c r="AX3668"/>
  <c r="C3669"/>
  <c r="D3669"/>
  <c r="AX3669"/>
  <c r="C3670"/>
  <c r="D3670"/>
  <c r="AX3670"/>
  <c r="C3671"/>
  <c r="D3671"/>
  <c r="AX3671"/>
  <c r="C3672"/>
  <c r="D3672"/>
  <c r="AX3672"/>
  <c r="C3673"/>
  <c r="D3673"/>
  <c r="AX3673"/>
  <c r="C3674"/>
  <c r="D3674"/>
  <c r="AX3674"/>
  <c r="C3675"/>
  <c r="D3675"/>
  <c r="AX3675"/>
  <c r="C3676"/>
  <c r="D3676"/>
  <c r="AX3676"/>
  <c r="C3677"/>
  <c r="D3677"/>
  <c r="AX3677"/>
  <c r="C3678"/>
  <c r="D3678"/>
  <c r="AX3678"/>
  <c r="C3679"/>
  <c r="D3679"/>
  <c r="AX3679"/>
  <c r="C3680"/>
  <c r="D3680"/>
  <c r="AX3680"/>
  <c r="C3681"/>
  <c r="D3681"/>
  <c r="AX3681"/>
  <c r="C3682"/>
  <c r="D3682"/>
  <c r="AX3682"/>
  <c r="C3683"/>
  <c r="D3683"/>
  <c r="AX3683"/>
  <c r="C3684"/>
  <c r="D3684"/>
  <c r="AX3684"/>
  <c r="C3685"/>
  <c r="D3685"/>
  <c r="AX3685"/>
  <c r="C3686"/>
  <c r="D3686"/>
  <c r="AX3686"/>
  <c r="C3687"/>
  <c r="D3687"/>
  <c r="AX3687"/>
  <c r="C3688"/>
  <c r="D3688"/>
  <c r="AX3688"/>
  <c r="C3689"/>
  <c r="D3689"/>
  <c r="AX3689"/>
  <c r="C3690"/>
  <c r="D3690"/>
  <c r="AX3690"/>
  <c r="C3691"/>
  <c r="D3691"/>
  <c r="AX3691"/>
  <c r="C3692"/>
  <c r="D3692"/>
  <c r="AX3692"/>
  <c r="C3693"/>
  <c r="D3693"/>
  <c r="AX3693"/>
  <c r="C3694"/>
  <c r="D3694"/>
  <c r="AX3694"/>
  <c r="C3695"/>
  <c r="D3695"/>
  <c r="AX3695"/>
  <c r="C3696"/>
  <c r="D3696"/>
  <c r="AX3696"/>
  <c r="C3697"/>
  <c r="D3697"/>
  <c r="AX3697"/>
  <c r="C3698"/>
  <c r="D3698"/>
  <c r="AX3698"/>
  <c r="C3699"/>
  <c r="D3699"/>
  <c r="AX3699"/>
  <c r="C3700"/>
  <c r="D3700"/>
  <c r="AX3700"/>
  <c r="C3701"/>
  <c r="D3701"/>
  <c r="AX3701"/>
  <c r="C3702"/>
  <c r="D3702"/>
  <c r="AX3702"/>
  <c r="C3703"/>
  <c r="D3703"/>
  <c r="AX3703"/>
  <c r="C3704"/>
  <c r="D3704"/>
  <c r="AX3704"/>
  <c r="C3705"/>
  <c r="D3705"/>
  <c r="AX3705"/>
  <c r="C3706"/>
  <c r="D3706"/>
  <c r="AX3706"/>
  <c r="C3707"/>
  <c r="D3707"/>
  <c r="AX3707"/>
  <c r="C3708"/>
  <c r="D3708"/>
  <c r="AX3708"/>
  <c r="C3709"/>
  <c r="D3709"/>
  <c r="AX3709"/>
  <c r="C3710"/>
  <c r="D3710"/>
  <c r="AX3710"/>
  <c r="C3711"/>
  <c r="D3711"/>
  <c r="AX3711"/>
  <c r="C3712"/>
  <c r="D3712"/>
  <c r="AX3712"/>
  <c r="C3713"/>
  <c r="D3713"/>
  <c r="AX3713"/>
  <c r="C3714"/>
  <c r="D3714"/>
  <c r="AX3714"/>
  <c r="C3715"/>
  <c r="D3715"/>
  <c r="AX3715"/>
  <c r="C3716"/>
  <c r="D3716"/>
  <c r="AX3716"/>
  <c r="C3717"/>
  <c r="D3717"/>
  <c r="AX3717"/>
  <c r="C3718"/>
  <c r="D3718"/>
  <c r="AX3718"/>
  <c r="C3719"/>
  <c r="D3719"/>
  <c r="AX3719"/>
  <c r="C3720"/>
  <c r="D3720"/>
  <c r="AX3720"/>
  <c r="C3721"/>
  <c r="D3721"/>
  <c r="AX3721"/>
  <c r="C3722"/>
  <c r="D3722"/>
  <c r="AX3722"/>
  <c r="C3723"/>
  <c r="D3723"/>
  <c r="AX3723"/>
  <c r="C3724"/>
  <c r="D3724"/>
  <c r="AX3724"/>
  <c r="C3725"/>
  <c r="D3725"/>
  <c r="AX3725"/>
  <c r="C3726"/>
  <c r="D3726"/>
  <c r="AX3726"/>
  <c r="C3727"/>
  <c r="D3727"/>
  <c r="AX3727"/>
  <c r="C3728"/>
  <c r="D3728"/>
  <c r="AX3728"/>
  <c r="C3729"/>
  <c r="D3729"/>
  <c r="AX3729"/>
  <c r="C3730"/>
  <c r="D3730"/>
  <c r="AX3730"/>
  <c r="C3731"/>
  <c r="D3731"/>
  <c r="AX3731"/>
  <c r="C3732"/>
  <c r="D3732"/>
  <c r="AX3732"/>
  <c r="C3733"/>
  <c r="D3733"/>
  <c r="AX3733"/>
  <c r="C3734"/>
  <c r="D3734"/>
  <c r="AX3734"/>
  <c r="C3735"/>
  <c r="D3735"/>
  <c r="AX3735"/>
  <c r="C3736"/>
  <c r="D3736"/>
  <c r="AX3736"/>
  <c r="C3737"/>
  <c r="D3737"/>
  <c r="AX3737"/>
  <c r="C3738"/>
  <c r="D3738"/>
  <c r="AX3738"/>
  <c r="C3739"/>
  <c r="D3739"/>
  <c r="AX3739"/>
  <c r="C3740"/>
  <c r="D3740"/>
  <c r="AX3740"/>
  <c r="C3741"/>
  <c r="D3741"/>
  <c r="AX3741"/>
  <c r="C3742"/>
  <c r="D3742"/>
  <c r="AX3742"/>
  <c r="C3743"/>
  <c r="D3743"/>
  <c r="AX3743"/>
  <c r="C3744"/>
  <c r="D3744"/>
  <c r="AX3744"/>
  <c r="C3745"/>
  <c r="D3745"/>
  <c r="AX3745"/>
  <c r="C3746"/>
  <c r="D3746"/>
  <c r="AX3746"/>
  <c r="C3747"/>
  <c r="D3747"/>
  <c r="AX3747"/>
  <c r="C3748"/>
  <c r="D3748"/>
  <c r="AX3748"/>
  <c r="C3749"/>
  <c r="D3749"/>
  <c r="AX3749"/>
  <c r="C3750"/>
  <c r="D3750"/>
  <c r="AX3750"/>
  <c r="C3751"/>
  <c r="D3751"/>
  <c r="AX3751"/>
  <c r="C3752"/>
  <c r="D3752"/>
  <c r="AX3752"/>
  <c r="C3753"/>
  <c r="D3753"/>
  <c r="AX3753"/>
  <c r="C3754"/>
  <c r="D3754"/>
  <c r="AX3754"/>
  <c r="C3755"/>
  <c r="D3755"/>
  <c r="AX3755"/>
  <c r="C3756"/>
  <c r="D3756"/>
  <c r="AX3756"/>
  <c r="C3757"/>
  <c r="D3757"/>
  <c r="AX3757"/>
  <c r="C3758"/>
  <c r="D3758"/>
  <c r="AX3758"/>
  <c r="C3759"/>
  <c r="D3759"/>
  <c r="AX3759"/>
  <c r="C3760"/>
  <c r="D3760"/>
  <c r="AX3760"/>
  <c r="C3761"/>
  <c r="D3761"/>
  <c r="AX3761"/>
  <c r="C3762"/>
  <c r="D3762"/>
  <c r="AX3762"/>
  <c r="C3763"/>
  <c r="D3763"/>
  <c r="AX3763"/>
  <c r="C3764"/>
  <c r="D3764"/>
  <c r="AX3764"/>
  <c r="C3765"/>
  <c r="D3765"/>
  <c r="AX3765"/>
  <c r="C3766"/>
  <c r="D3766"/>
  <c r="AX3766"/>
  <c r="C3767"/>
  <c r="D3767"/>
  <c r="AX3767"/>
  <c r="C3768"/>
  <c r="D3768"/>
  <c r="AX3768"/>
  <c r="C3769"/>
  <c r="D3769"/>
  <c r="AX3769"/>
  <c r="C3770"/>
  <c r="D3770"/>
  <c r="AX3770"/>
  <c r="C3771"/>
  <c r="D3771"/>
  <c r="AX3771"/>
  <c r="C3772"/>
  <c r="D3772"/>
  <c r="AX3772"/>
  <c r="C3773"/>
  <c r="D3773"/>
  <c r="AX3773"/>
  <c r="C3774"/>
  <c r="D3774"/>
  <c r="AX3774"/>
  <c r="C3775"/>
  <c r="D3775"/>
  <c r="AX3775"/>
  <c r="C3776"/>
  <c r="D3776"/>
  <c r="AX3776"/>
  <c r="C3777"/>
  <c r="D3777"/>
  <c r="AX3777"/>
  <c r="C3778"/>
  <c r="D3778"/>
  <c r="AX3778"/>
  <c r="C3779"/>
  <c r="D3779"/>
  <c r="AX3779"/>
  <c r="C3780"/>
  <c r="D3780"/>
  <c r="AX3780"/>
  <c r="C3781"/>
  <c r="D3781"/>
  <c r="AX3781"/>
  <c r="C3782"/>
  <c r="D3782"/>
  <c r="AX3782"/>
  <c r="C3783"/>
  <c r="D3783"/>
  <c r="AX3783"/>
  <c r="C3784"/>
  <c r="D3784"/>
  <c r="AX3784"/>
  <c r="C3785"/>
  <c r="D3785"/>
  <c r="AX3785"/>
  <c r="C3786"/>
  <c r="D3786"/>
  <c r="AX3786"/>
  <c r="C3787"/>
  <c r="D3787"/>
  <c r="AX3787"/>
  <c r="C3788"/>
  <c r="D3788"/>
  <c r="AX3788"/>
  <c r="C3789"/>
  <c r="D3789"/>
  <c r="AX3789"/>
  <c r="C3790"/>
  <c r="D3790"/>
  <c r="AX3790"/>
  <c r="C3791"/>
  <c r="D3791"/>
  <c r="AX3791"/>
  <c r="C3792"/>
  <c r="D3792"/>
  <c r="AX3792"/>
  <c r="C3793"/>
  <c r="D3793"/>
  <c r="AX3793"/>
  <c r="C3794"/>
  <c r="D3794"/>
  <c r="AX3794"/>
  <c r="C3795"/>
  <c r="D3795"/>
  <c r="AX3795"/>
  <c r="C3796"/>
  <c r="D3796"/>
  <c r="AX3796"/>
  <c r="C3797"/>
  <c r="D3797"/>
  <c r="AX3797"/>
  <c r="C3798"/>
  <c r="D3798"/>
  <c r="AX3798"/>
  <c r="C3799"/>
  <c r="D3799"/>
  <c r="AX3799"/>
  <c r="C3800"/>
  <c r="D3800"/>
  <c r="AX3800"/>
  <c r="C3801"/>
  <c r="D3801"/>
  <c r="AX3801"/>
  <c r="C3802"/>
  <c r="D3802"/>
  <c r="AX3802"/>
  <c r="C3803"/>
  <c r="D3803"/>
  <c r="AX3803"/>
  <c r="C3804"/>
  <c r="D3804"/>
  <c r="AX3804"/>
  <c r="C3805"/>
  <c r="D3805"/>
  <c r="AX3805"/>
  <c r="C3806"/>
  <c r="D3806"/>
  <c r="AX3806"/>
  <c r="C3807"/>
  <c r="D3807"/>
  <c r="AX3807"/>
  <c r="C3808"/>
  <c r="D3808"/>
  <c r="AX3808"/>
  <c r="C3809"/>
  <c r="D3809"/>
  <c r="AX3809"/>
  <c r="C3810"/>
  <c r="D3810"/>
  <c r="AX3810"/>
  <c r="C3811"/>
  <c r="D3811"/>
  <c r="AX3811"/>
  <c r="C3812"/>
  <c r="D3812"/>
  <c r="AX3812"/>
  <c r="C3813"/>
  <c r="D3813"/>
  <c r="AX3813"/>
  <c r="C3814"/>
  <c r="D3814"/>
  <c r="AX3814"/>
  <c r="C3815"/>
  <c r="D3815"/>
  <c r="AX3815"/>
  <c r="C3816"/>
  <c r="D3816"/>
  <c r="AX3816"/>
  <c r="C3817"/>
  <c r="D3817"/>
  <c r="AX3817"/>
  <c r="C3818"/>
  <c r="D3818"/>
  <c r="AX3818"/>
  <c r="C3819"/>
  <c r="D3819"/>
  <c r="AX3819"/>
  <c r="C3820"/>
  <c r="D3820"/>
  <c r="AX3820"/>
  <c r="C3821"/>
  <c r="D3821"/>
  <c r="AX3821"/>
  <c r="C3822"/>
  <c r="D3822"/>
  <c r="AX3822"/>
  <c r="C3823"/>
  <c r="D3823"/>
  <c r="AX3823"/>
  <c r="C3824"/>
  <c r="D3824"/>
  <c r="AX3824"/>
  <c r="C3825"/>
  <c r="D3825"/>
  <c r="AX3825"/>
  <c r="C3826"/>
  <c r="D3826"/>
  <c r="AX3826"/>
  <c r="C3827"/>
  <c r="D3827"/>
  <c r="AX3827"/>
  <c r="C3828"/>
  <c r="D3828"/>
  <c r="AX3828"/>
  <c r="C3829"/>
  <c r="D3829"/>
  <c r="AX3829"/>
  <c r="C3830"/>
  <c r="D3830"/>
  <c r="AX3830"/>
  <c r="C3831"/>
  <c r="D3831"/>
  <c r="AX3831"/>
  <c r="C3832"/>
  <c r="D3832"/>
  <c r="AX3832"/>
  <c r="C3833"/>
  <c r="D3833"/>
  <c r="AX3833"/>
  <c r="C3834"/>
  <c r="D3834"/>
  <c r="AX3834"/>
  <c r="C3835"/>
  <c r="D3835"/>
  <c r="AX3835"/>
  <c r="C3836"/>
  <c r="D3836"/>
  <c r="AX3836"/>
  <c r="C3837"/>
  <c r="D3837"/>
  <c r="AX3837"/>
  <c r="C3838"/>
  <c r="D3838"/>
  <c r="AX3838"/>
  <c r="C3839"/>
  <c r="D3839"/>
  <c r="AX3839"/>
  <c r="C3840"/>
  <c r="D3840"/>
  <c r="AX3840"/>
  <c r="C3841"/>
  <c r="D3841"/>
  <c r="AX3841"/>
  <c r="C3842"/>
  <c r="D3842"/>
  <c r="AX3842"/>
  <c r="C3843"/>
  <c r="D3843"/>
  <c r="AX3843"/>
  <c r="C3844"/>
  <c r="D3844"/>
  <c r="AX3844"/>
  <c r="C3845"/>
  <c r="D3845"/>
  <c r="AX3845"/>
  <c r="C3846"/>
  <c r="D3846"/>
  <c r="AX3846"/>
  <c r="C3847"/>
  <c r="D3847"/>
  <c r="AX3847"/>
  <c r="C3848"/>
  <c r="D3848"/>
  <c r="AX3848"/>
  <c r="C3849"/>
  <c r="D3849"/>
  <c r="AX3849"/>
  <c r="C3850"/>
  <c r="D3850"/>
  <c r="AX3850"/>
  <c r="C3851"/>
  <c r="D3851"/>
  <c r="AX3851"/>
  <c r="C3852"/>
  <c r="D3852"/>
  <c r="AX3852"/>
  <c r="C3853"/>
  <c r="D3853"/>
  <c r="AX3853"/>
  <c r="C3854"/>
  <c r="D3854"/>
  <c r="AX3854"/>
  <c r="C3855"/>
  <c r="D3855"/>
  <c r="AX3855"/>
  <c r="C3856"/>
  <c r="D3856"/>
  <c r="AX3856"/>
  <c r="C3857"/>
  <c r="D3857"/>
  <c r="AX3857"/>
  <c r="C3858"/>
  <c r="D3858"/>
  <c r="AX3858"/>
  <c r="C3859"/>
  <c r="D3859"/>
  <c r="AX3859"/>
  <c r="C3860"/>
  <c r="D3860"/>
  <c r="AX3860"/>
  <c r="C3861"/>
  <c r="D3861"/>
  <c r="AX3861"/>
  <c r="C3862"/>
  <c r="D3862"/>
  <c r="AX3862"/>
  <c r="C3863"/>
  <c r="D3863"/>
  <c r="AX3863"/>
  <c r="C3864"/>
  <c r="D3864"/>
  <c r="AX3864"/>
  <c r="C3865"/>
  <c r="D3865"/>
  <c r="AX3865"/>
  <c r="C3866"/>
  <c r="D3866"/>
  <c r="AX3866"/>
  <c r="C3867"/>
  <c r="D3867"/>
  <c r="AX3867"/>
  <c r="C3868"/>
  <c r="D3868"/>
  <c r="AX3868"/>
  <c r="C3869"/>
  <c r="D3869"/>
  <c r="AX3869"/>
  <c r="C3870"/>
  <c r="D3870"/>
  <c r="AX3870"/>
  <c r="C3871"/>
  <c r="D3871"/>
  <c r="AX3871"/>
  <c r="C3872"/>
  <c r="D3872"/>
  <c r="AX3872"/>
  <c r="C3873"/>
  <c r="D3873"/>
  <c r="AX3873"/>
  <c r="C3874"/>
  <c r="D3874"/>
  <c r="AX3874"/>
  <c r="C3875"/>
  <c r="D3875"/>
  <c r="AX3875"/>
  <c r="C3876"/>
  <c r="D3876"/>
  <c r="AX3876"/>
  <c r="C3877"/>
  <c r="D3877"/>
  <c r="AX3877"/>
  <c r="C3878"/>
  <c r="D3878"/>
  <c r="AX3878"/>
  <c r="C3879"/>
  <c r="D3879"/>
  <c r="AX3879"/>
  <c r="C3880"/>
  <c r="D3880"/>
  <c r="AX3880"/>
  <c r="C3881"/>
  <c r="D3881"/>
  <c r="AX3881"/>
  <c r="C3882"/>
  <c r="D3882"/>
  <c r="AX3882"/>
  <c r="C3883"/>
  <c r="D3883"/>
  <c r="AX3883"/>
  <c r="C3884"/>
  <c r="D3884"/>
  <c r="AX3884"/>
  <c r="C3885"/>
  <c r="D3885"/>
  <c r="AX3885"/>
  <c r="C3886"/>
  <c r="D3886"/>
  <c r="AX3886"/>
  <c r="C3887"/>
  <c r="D3887"/>
  <c r="AX3887"/>
  <c r="C3888"/>
  <c r="D3888"/>
  <c r="AX3888"/>
  <c r="C3889"/>
  <c r="D3889"/>
  <c r="AX3889"/>
  <c r="C3890"/>
  <c r="D3890"/>
  <c r="AX3890"/>
  <c r="C3891"/>
  <c r="D3891"/>
  <c r="AX3891"/>
  <c r="C3892"/>
  <c r="D3892"/>
  <c r="AX3892"/>
  <c r="C3893"/>
  <c r="D3893"/>
  <c r="AX3893"/>
  <c r="C3894"/>
  <c r="D3894"/>
  <c r="AX3894"/>
  <c r="C3895"/>
  <c r="D3895"/>
  <c r="AX3895"/>
  <c r="C3896"/>
  <c r="D3896"/>
  <c r="AX3896"/>
  <c r="C3897"/>
  <c r="D3897"/>
  <c r="AX3897"/>
  <c r="C3898"/>
  <c r="D3898"/>
  <c r="AX3898"/>
  <c r="C3899"/>
  <c r="D3899"/>
  <c r="AX3899"/>
  <c r="C3900"/>
  <c r="D3900"/>
  <c r="AX3900"/>
  <c r="C3901"/>
  <c r="D3901"/>
  <c r="AX3901"/>
  <c r="C3902"/>
  <c r="D3902"/>
  <c r="AX3902"/>
  <c r="C3903"/>
  <c r="D3903"/>
  <c r="AX3903"/>
  <c r="C3904"/>
  <c r="D3904"/>
  <c r="AX3904"/>
  <c r="C3905"/>
  <c r="D3905"/>
  <c r="AX3905"/>
  <c r="C3906"/>
  <c r="D3906"/>
  <c r="AX3906"/>
  <c r="C3907"/>
  <c r="D3907"/>
  <c r="AX3907"/>
  <c r="C3908"/>
  <c r="D3908"/>
  <c r="AX3908"/>
  <c r="C3909"/>
  <c r="D3909"/>
  <c r="AX3909"/>
  <c r="C3910"/>
  <c r="D3910"/>
  <c r="AX3910"/>
  <c r="C3911"/>
  <c r="D3911"/>
  <c r="AX3911"/>
  <c r="C3912"/>
  <c r="D3912"/>
  <c r="AX3912"/>
  <c r="C3913"/>
  <c r="D3913"/>
  <c r="AX3913"/>
  <c r="C3914"/>
  <c r="D3914"/>
  <c r="AX3914"/>
  <c r="C3915"/>
  <c r="D3915"/>
  <c r="AX3915"/>
  <c r="C3916"/>
  <c r="D3916"/>
  <c r="AX3916"/>
  <c r="C3917"/>
  <c r="D3917"/>
  <c r="AX3917"/>
  <c r="C3918"/>
  <c r="D3918"/>
  <c r="AX3918"/>
  <c r="C3919"/>
  <c r="D3919"/>
  <c r="AX3919"/>
  <c r="C3920"/>
  <c r="D3920"/>
  <c r="AX3920"/>
  <c r="C3921"/>
  <c r="D3921"/>
  <c r="AX3921"/>
  <c r="C3922"/>
  <c r="D3922"/>
  <c r="AX3922"/>
  <c r="C3923"/>
  <c r="D3923"/>
  <c r="AX3923"/>
  <c r="C3924"/>
  <c r="D3924"/>
  <c r="AX3924"/>
  <c r="C3925"/>
  <c r="D3925"/>
  <c r="AX3925"/>
  <c r="C3926"/>
  <c r="D3926"/>
  <c r="AX3926"/>
  <c r="C3927"/>
  <c r="D3927"/>
  <c r="AX3927"/>
  <c r="C3928"/>
  <c r="D3928"/>
  <c r="AX3928"/>
  <c r="C3929"/>
  <c r="D3929"/>
  <c r="AX3929"/>
  <c r="C3930"/>
  <c r="D3930"/>
  <c r="AX3930"/>
  <c r="C3931"/>
  <c r="D3931"/>
  <c r="AX3931"/>
  <c r="C3932"/>
  <c r="D3932"/>
  <c r="AX3932"/>
  <c r="C3933"/>
  <c r="D3933"/>
  <c r="AX3933"/>
  <c r="C3934"/>
  <c r="D3934"/>
  <c r="AX3934"/>
  <c r="C3935"/>
  <c r="D3935"/>
  <c r="AX3935"/>
  <c r="C3936"/>
  <c r="D3936"/>
  <c r="AX3936"/>
  <c r="C3937"/>
  <c r="D3937"/>
  <c r="AX3937"/>
  <c r="C3938"/>
  <c r="D3938"/>
  <c r="AX3938"/>
  <c r="C3939"/>
  <c r="D3939"/>
  <c r="AX3939"/>
  <c r="C3940"/>
  <c r="D3940"/>
  <c r="AX3940"/>
  <c r="C3941"/>
  <c r="D3941"/>
  <c r="AX3941"/>
  <c r="C3942"/>
  <c r="D3942"/>
  <c r="AX3942"/>
  <c r="C3943"/>
  <c r="D3943"/>
  <c r="AX3943"/>
  <c r="C3944"/>
  <c r="D3944"/>
  <c r="AX3944"/>
  <c r="C3945"/>
  <c r="D3945"/>
  <c r="AX3945"/>
  <c r="C3946"/>
  <c r="D3946"/>
  <c r="AX3946"/>
  <c r="C3947"/>
  <c r="D3947"/>
  <c r="AX3947"/>
  <c r="C3948"/>
  <c r="D3948"/>
  <c r="AX3948"/>
  <c r="C3949"/>
  <c r="D3949"/>
  <c r="AX3949"/>
  <c r="C3950"/>
  <c r="D3950"/>
  <c r="AX3950"/>
  <c r="C3951"/>
  <c r="D3951"/>
  <c r="AX3951"/>
  <c r="C3952"/>
  <c r="D3952"/>
  <c r="AX3952"/>
  <c r="C3953"/>
  <c r="D3953"/>
  <c r="AX3953"/>
  <c r="C3954"/>
  <c r="D3954"/>
  <c r="AX3954"/>
  <c r="C3955"/>
  <c r="D3955"/>
  <c r="AX3955"/>
  <c r="C3956"/>
  <c r="D3956"/>
  <c r="AX3956"/>
  <c r="C3957"/>
  <c r="D3957"/>
  <c r="AX3957"/>
  <c r="C3958"/>
  <c r="D3958"/>
  <c r="AX3958"/>
  <c r="C3959"/>
  <c r="D3959"/>
  <c r="AX3959"/>
  <c r="C3960"/>
  <c r="D3960"/>
  <c r="AX3960"/>
  <c r="C3961"/>
  <c r="D3961"/>
  <c r="AX3961"/>
  <c r="C3962"/>
  <c r="D3962"/>
  <c r="AX3962"/>
  <c r="C3963"/>
  <c r="D3963"/>
  <c r="AX3963"/>
  <c r="C3964"/>
  <c r="D3964"/>
  <c r="AX3964"/>
  <c r="C3965"/>
  <c r="D3965"/>
  <c r="AX3965"/>
  <c r="C3966"/>
  <c r="D3966"/>
  <c r="AX3966"/>
  <c r="C3967"/>
  <c r="D3967"/>
  <c r="AX3967"/>
  <c r="C3968"/>
  <c r="D3968"/>
  <c r="AX3968"/>
  <c r="C3969"/>
  <c r="D3969"/>
  <c r="AX3969"/>
  <c r="C3970"/>
  <c r="D3970"/>
  <c r="AX3970"/>
  <c r="C3971"/>
  <c r="D3971"/>
  <c r="AX3971"/>
  <c r="C3972"/>
  <c r="D3972"/>
  <c r="AX3972"/>
  <c r="C3973"/>
  <c r="D3973"/>
  <c r="AX3973"/>
  <c r="C3974"/>
  <c r="D3974"/>
  <c r="AX3974"/>
  <c r="C3975"/>
  <c r="D3975"/>
  <c r="AX3975"/>
  <c r="C3976"/>
  <c r="D3976"/>
  <c r="AX3976"/>
  <c r="C3977"/>
  <c r="D3977"/>
  <c r="AX3977"/>
  <c r="C3978"/>
  <c r="D3978"/>
  <c r="AX3978"/>
  <c r="C3979"/>
  <c r="D3979"/>
  <c r="AX3979"/>
  <c r="C3980"/>
  <c r="D3980"/>
  <c r="AX3980"/>
  <c r="C3981"/>
  <c r="D3981"/>
  <c r="AX3981"/>
  <c r="C3982"/>
  <c r="D3982"/>
  <c r="AX3982"/>
  <c r="C3983"/>
  <c r="D3983"/>
  <c r="AX3983"/>
  <c r="C3984"/>
  <c r="D3984"/>
  <c r="AX3984"/>
  <c r="C3985"/>
  <c r="D3985"/>
  <c r="AX3985"/>
  <c r="C3986"/>
  <c r="D3986"/>
  <c r="AX3986"/>
  <c r="C3987"/>
  <c r="D3987"/>
  <c r="AX3987"/>
  <c r="C3988"/>
  <c r="D3988"/>
  <c r="AX3988"/>
  <c r="C3989"/>
  <c r="D3989"/>
  <c r="AX3989"/>
  <c r="C3990"/>
  <c r="D3990"/>
  <c r="AX3990"/>
  <c r="C3991"/>
  <c r="D3991"/>
  <c r="AX3991"/>
  <c r="C3992"/>
  <c r="D3992"/>
  <c r="AX3992"/>
  <c r="C3993"/>
  <c r="D3993"/>
  <c r="AX3993"/>
  <c r="C3994"/>
  <c r="D3994"/>
  <c r="AX3994"/>
  <c r="C3995"/>
  <c r="D3995"/>
  <c r="AX3995"/>
  <c r="C3996"/>
  <c r="D3996"/>
  <c r="AX3996"/>
  <c r="C3997"/>
  <c r="D3997"/>
  <c r="AX3997"/>
  <c r="C3998"/>
  <c r="D3998"/>
  <c r="AX3998"/>
  <c r="C3999"/>
  <c r="D3999"/>
  <c r="AX3999"/>
  <c r="C4000"/>
  <c r="D4000"/>
  <c r="AX4000"/>
  <c r="C4001"/>
  <c r="D4001"/>
  <c r="AX4001"/>
  <c r="C4002"/>
  <c r="D4002"/>
  <c r="AX4002"/>
  <c r="C4003"/>
  <c r="D4003"/>
  <c r="AX4003"/>
  <c r="C4004"/>
  <c r="D4004"/>
  <c r="AX4004"/>
  <c r="C4005"/>
  <c r="D4005"/>
  <c r="AX4005"/>
  <c r="C4006"/>
  <c r="D4006"/>
  <c r="AX4006"/>
  <c r="C4007"/>
  <c r="D4007"/>
  <c r="AX4007"/>
  <c r="C4008"/>
  <c r="D4008"/>
  <c r="AX4008"/>
  <c r="C4009"/>
  <c r="D4009"/>
  <c r="AX4009"/>
  <c r="C4010"/>
  <c r="D4010"/>
  <c r="AX4010"/>
  <c r="C4011"/>
  <c r="D4011"/>
  <c r="AX4011"/>
  <c r="C4012"/>
  <c r="D4012"/>
  <c r="AX4012"/>
  <c r="C4013"/>
  <c r="D4013"/>
  <c r="AX4013"/>
  <c r="C4014"/>
  <c r="D4014"/>
  <c r="AX4014"/>
  <c r="C4015"/>
  <c r="D4015"/>
  <c r="AX4015"/>
  <c r="C4016"/>
  <c r="D4016"/>
  <c r="AX4016"/>
  <c r="C4017"/>
  <c r="D4017"/>
  <c r="AX4017"/>
  <c r="C4018"/>
  <c r="D4018"/>
  <c r="AX4018"/>
  <c r="C4019"/>
  <c r="D4019"/>
  <c r="AX4019"/>
  <c r="C4020"/>
  <c r="D4020"/>
  <c r="AX4020"/>
  <c r="C4021"/>
  <c r="D4021"/>
  <c r="AX4021"/>
  <c r="C4022"/>
  <c r="D4022"/>
  <c r="AX4022"/>
  <c r="C4023"/>
  <c r="D4023"/>
  <c r="AX4023"/>
  <c r="C4024"/>
  <c r="D4024"/>
  <c r="AX4024"/>
  <c r="C4025"/>
  <c r="D4025"/>
  <c r="AX4025"/>
  <c r="C4026"/>
  <c r="D4026"/>
  <c r="AX4026"/>
  <c r="C4027"/>
  <c r="D4027"/>
  <c r="AX4027"/>
  <c r="C4028"/>
  <c r="D4028"/>
  <c r="AX4028"/>
  <c r="C4029"/>
  <c r="D4029"/>
  <c r="AX4029"/>
  <c r="C4030"/>
  <c r="D4030"/>
  <c r="AX4030"/>
  <c r="C4031"/>
  <c r="D4031"/>
  <c r="AX4031"/>
  <c r="C4032"/>
  <c r="D4032"/>
  <c r="AX4032"/>
  <c r="C4033"/>
  <c r="D4033"/>
  <c r="AX4033"/>
  <c r="C4034"/>
  <c r="D4034"/>
  <c r="AX4034"/>
  <c r="C4035"/>
  <c r="D4035"/>
  <c r="AX4035"/>
  <c r="C4036"/>
  <c r="D4036"/>
  <c r="AX4036"/>
  <c r="C4037"/>
  <c r="D4037"/>
  <c r="AX4037"/>
  <c r="C4038"/>
  <c r="D4038"/>
  <c r="AX4038"/>
  <c r="C4039"/>
  <c r="D4039"/>
  <c r="AX4039"/>
  <c r="C4040"/>
  <c r="D4040"/>
  <c r="AX4040"/>
  <c r="C4041"/>
  <c r="D4041"/>
  <c r="AX4041"/>
  <c r="C4042"/>
  <c r="D4042"/>
  <c r="AX4042"/>
  <c r="C4043"/>
  <c r="D4043"/>
  <c r="AX4043"/>
  <c r="C4044"/>
  <c r="D4044"/>
  <c r="AX4044"/>
  <c r="C4045"/>
  <c r="D4045"/>
  <c r="AX4045"/>
  <c r="C4046"/>
  <c r="D4046"/>
  <c r="AX4046"/>
  <c r="C4047"/>
  <c r="D4047"/>
  <c r="AX4047"/>
  <c r="C4048"/>
  <c r="D4048"/>
  <c r="AX4048"/>
  <c r="C4049"/>
  <c r="D4049"/>
  <c r="AX4049"/>
  <c r="C4050"/>
  <c r="D4050"/>
  <c r="AX4050"/>
  <c r="C4051"/>
  <c r="D4051"/>
  <c r="AX4051"/>
  <c r="C4052"/>
  <c r="D4052"/>
  <c r="AX4052"/>
  <c r="C4053"/>
  <c r="D4053"/>
  <c r="AX4053"/>
  <c r="C4054"/>
  <c r="D4054"/>
  <c r="AX4054"/>
  <c r="C4055"/>
  <c r="D4055"/>
  <c r="AX4055"/>
  <c r="C4056"/>
  <c r="D4056"/>
  <c r="AX4056"/>
  <c r="C4057"/>
  <c r="D4057"/>
  <c r="AX4057"/>
  <c r="C4058"/>
  <c r="D4058"/>
  <c r="AX4058"/>
  <c r="C4059"/>
  <c r="D4059"/>
  <c r="AX4059"/>
  <c r="C4060"/>
  <c r="D4060"/>
  <c r="AX4060"/>
  <c r="C4061"/>
  <c r="D4061"/>
  <c r="AX4061"/>
  <c r="C4062"/>
  <c r="D4062"/>
  <c r="AX4062"/>
  <c r="C4063"/>
  <c r="D4063"/>
  <c r="AX4063"/>
  <c r="C4064"/>
  <c r="D4064"/>
  <c r="AX4064"/>
  <c r="C4065"/>
  <c r="D4065"/>
  <c r="AX4065"/>
  <c r="C4066"/>
  <c r="D4066"/>
  <c r="AX4066"/>
  <c r="C4067"/>
  <c r="D4067"/>
  <c r="AX4067"/>
  <c r="C4068"/>
  <c r="D4068"/>
  <c r="AX4068"/>
  <c r="C4069"/>
  <c r="D4069"/>
  <c r="AX4069"/>
  <c r="C4070"/>
  <c r="D4070"/>
  <c r="AX4070"/>
  <c r="C4071"/>
  <c r="D4071"/>
  <c r="AX4071"/>
  <c r="C4072"/>
  <c r="D4072"/>
  <c r="AX4072"/>
  <c r="C4073"/>
  <c r="D4073"/>
  <c r="AX4073"/>
  <c r="C4074"/>
  <c r="D4074"/>
  <c r="AX4074"/>
  <c r="C4075"/>
  <c r="D4075"/>
  <c r="AX4075"/>
  <c r="C4076"/>
  <c r="D4076"/>
  <c r="AX4076"/>
  <c r="C4077"/>
  <c r="D4077"/>
  <c r="AX4077"/>
  <c r="C4078"/>
  <c r="D4078"/>
  <c r="AX4078"/>
  <c r="C4079"/>
  <c r="D4079"/>
  <c r="AX4079"/>
  <c r="C4080"/>
  <c r="D4080"/>
  <c r="AX4080"/>
  <c r="C4081"/>
  <c r="D4081"/>
  <c r="AX4081"/>
  <c r="C4082"/>
  <c r="D4082"/>
  <c r="AX4082"/>
  <c r="C4083"/>
  <c r="D4083"/>
  <c r="AX4083"/>
  <c r="C4084"/>
  <c r="D4084"/>
  <c r="AX4084"/>
  <c r="C4085"/>
  <c r="D4085"/>
  <c r="AX4085"/>
  <c r="C4086"/>
  <c r="D4086"/>
  <c r="AX4086"/>
  <c r="C4087"/>
  <c r="D4087"/>
  <c r="AX4087"/>
  <c r="C4088"/>
  <c r="D4088"/>
  <c r="AX4088"/>
  <c r="C4089"/>
  <c r="D4089"/>
  <c r="AX4089"/>
  <c r="C4090"/>
  <c r="D4090"/>
  <c r="AX4090"/>
  <c r="C4091"/>
  <c r="D4091"/>
  <c r="AX4091"/>
  <c r="C4092"/>
  <c r="D4092"/>
  <c r="AX4092"/>
  <c r="C4093"/>
  <c r="D4093"/>
  <c r="AX4093"/>
  <c r="C4094"/>
  <c r="D4094"/>
  <c r="AX4094"/>
  <c r="C4095"/>
  <c r="D4095"/>
  <c r="AX4095"/>
  <c r="C4096"/>
  <c r="D4096"/>
  <c r="AX4096"/>
  <c r="C4097"/>
  <c r="D4097"/>
  <c r="AX4097"/>
  <c r="C4098"/>
  <c r="D4098"/>
  <c r="AX4098"/>
  <c r="C4099"/>
  <c r="D4099"/>
  <c r="AX4099"/>
  <c r="C4100"/>
  <c r="D4100"/>
  <c r="AX4100"/>
  <c r="C4101"/>
  <c r="D4101"/>
  <c r="AX4101"/>
  <c r="C4102"/>
  <c r="D4102"/>
  <c r="AX4102"/>
  <c r="C4103"/>
  <c r="D4103"/>
  <c r="AX4103"/>
  <c r="C4104"/>
  <c r="D4104"/>
  <c r="AX4104"/>
  <c r="C4105"/>
  <c r="D4105"/>
  <c r="AX4105"/>
  <c r="C4106"/>
  <c r="D4106"/>
  <c r="AX4106"/>
  <c r="C4107"/>
  <c r="D4107"/>
  <c r="AX4107"/>
  <c r="C4108"/>
  <c r="D4108"/>
  <c r="AX4108"/>
  <c r="C4109"/>
  <c r="D4109"/>
  <c r="AX4109"/>
  <c r="C4110"/>
  <c r="D4110"/>
  <c r="AX4110"/>
  <c r="C4111"/>
  <c r="D4111"/>
  <c r="AX4111"/>
  <c r="C4112"/>
  <c r="D4112"/>
  <c r="AX4112"/>
  <c r="C4113"/>
  <c r="D4113"/>
  <c r="AX4113"/>
  <c r="C4114"/>
  <c r="D4114"/>
  <c r="AX4114"/>
  <c r="C4115"/>
  <c r="D4115"/>
  <c r="AX4115"/>
  <c r="C4116"/>
  <c r="D4116"/>
  <c r="AX4116"/>
  <c r="C4117"/>
  <c r="D4117"/>
  <c r="AX4117"/>
  <c r="C4118"/>
  <c r="D4118"/>
  <c r="AX4118"/>
  <c r="C4119"/>
  <c r="D4119"/>
  <c r="AX4119"/>
  <c r="C4120"/>
  <c r="D4120"/>
  <c r="AX4120"/>
  <c r="C4121"/>
  <c r="D4121"/>
  <c r="AX4121"/>
  <c r="C4122"/>
  <c r="D4122"/>
  <c r="AX4122"/>
  <c r="C4123"/>
  <c r="D4123"/>
  <c r="AX4123"/>
  <c r="C4124"/>
  <c r="D4124"/>
  <c r="AX4124"/>
  <c r="C4125"/>
  <c r="D4125"/>
  <c r="AX4125"/>
  <c r="C4126"/>
  <c r="D4126"/>
  <c r="AX4126"/>
  <c r="C4127"/>
  <c r="D4127"/>
  <c r="AX4127"/>
  <c r="C4128"/>
  <c r="D4128"/>
  <c r="AX4128"/>
  <c r="C4129"/>
  <c r="D4129"/>
  <c r="AX4129"/>
  <c r="C4130"/>
  <c r="D4130"/>
  <c r="AX4130"/>
  <c r="C4131"/>
  <c r="D4131"/>
  <c r="AX4131"/>
  <c r="C4132"/>
  <c r="D4132"/>
  <c r="AX4132"/>
  <c r="C4133"/>
  <c r="D4133"/>
  <c r="AX4133"/>
  <c r="C4134"/>
  <c r="D4134"/>
  <c r="AX4134"/>
  <c r="C4135"/>
  <c r="D4135"/>
  <c r="AX4135"/>
  <c r="C4136"/>
  <c r="D4136"/>
  <c r="AX4136"/>
  <c r="C4137"/>
  <c r="D4137"/>
  <c r="AX4137"/>
  <c r="C4138"/>
  <c r="D4138"/>
  <c r="AX4138"/>
  <c r="C4139"/>
  <c r="D4139"/>
  <c r="AX4139"/>
  <c r="C4140"/>
  <c r="D4140"/>
  <c r="AX4140"/>
  <c r="C4141"/>
  <c r="D4141"/>
  <c r="AX4141"/>
  <c r="C4142"/>
  <c r="D4142"/>
  <c r="AX4142"/>
  <c r="C4143"/>
  <c r="D4143"/>
  <c r="AX4143"/>
  <c r="C4144"/>
  <c r="D4144"/>
  <c r="AX4144"/>
  <c r="C4145"/>
  <c r="D4145"/>
  <c r="AX4145"/>
  <c r="C4146"/>
  <c r="D4146"/>
  <c r="AX4146"/>
  <c r="C4147"/>
  <c r="D4147"/>
  <c r="AX4147"/>
  <c r="C4148"/>
  <c r="D4148"/>
  <c r="AX4148"/>
  <c r="C4149"/>
  <c r="D4149"/>
  <c r="AX4149"/>
  <c r="C4150"/>
  <c r="D4150"/>
  <c r="AX4150"/>
  <c r="C4151"/>
  <c r="D4151"/>
  <c r="AX4151"/>
  <c r="C4152"/>
  <c r="D4152"/>
  <c r="AX4152"/>
  <c r="C4153"/>
  <c r="D4153"/>
  <c r="AX4153"/>
  <c r="C4154"/>
  <c r="D4154"/>
  <c r="AX4154"/>
  <c r="C4155"/>
  <c r="D4155"/>
  <c r="AX4155"/>
  <c r="C4156"/>
  <c r="D4156"/>
  <c r="AX4156"/>
  <c r="C4157"/>
  <c r="D4157"/>
  <c r="AX4157"/>
  <c r="C4158"/>
  <c r="D4158"/>
  <c r="AX4158"/>
  <c r="C4159"/>
  <c r="D4159"/>
  <c r="AX4159"/>
  <c r="C4160"/>
  <c r="D4160"/>
  <c r="AX4160"/>
  <c r="C4161"/>
  <c r="D4161"/>
  <c r="AX4161"/>
  <c r="C4162"/>
  <c r="D4162"/>
  <c r="AX4162"/>
  <c r="C4163"/>
  <c r="D4163"/>
  <c r="AX4163"/>
  <c r="C4164"/>
  <c r="D4164"/>
  <c r="AX4164"/>
  <c r="C4165"/>
  <c r="D4165"/>
  <c r="AX4165"/>
  <c r="C4166"/>
  <c r="D4166"/>
  <c r="AX4166"/>
  <c r="C4167"/>
  <c r="D4167"/>
  <c r="AX4167"/>
  <c r="C4168"/>
  <c r="D4168"/>
  <c r="AX4168"/>
  <c r="C4169"/>
  <c r="D4169"/>
  <c r="AX4169"/>
  <c r="C4170"/>
  <c r="D4170"/>
  <c r="AX4170"/>
  <c r="C4171"/>
  <c r="D4171"/>
  <c r="AX4171"/>
  <c r="C4172"/>
  <c r="D4172"/>
  <c r="AX4172"/>
  <c r="C4173"/>
  <c r="D4173"/>
  <c r="AX4173"/>
  <c r="C4174"/>
  <c r="D4174"/>
  <c r="AX4174"/>
  <c r="C4175"/>
  <c r="D4175"/>
  <c r="AX4175"/>
  <c r="C4176"/>
  <c r="D4176"/>
  <c r="AX4176"/>
  <c r="C4177"/>
  <c r="D4177"/>
  <c r="AX4177"/>
  <c r="C4178"/>
  <c r="D4178"/>
  <c r="AX4178"/>
  <c r="C4179"/>
  <c r="D4179"/>
  <c r="AX4179"/>
  <c r="C4180"/>
  <c r="D4180"/>
  <c r="AX4180"/>
  <c r="C4181"/>
  <c r="D4181"/>
  <c r="AX4181"/>
  <c r="C4182"/>
  <c r="D4182"/>
  <c r="AX4182"/>
  <c r="C4183"/>
  <c r="D4183"/>
  <c r="AX4183"/>
  <c r="C4184"/>
  <c r="D4184"/>
  <c r="AX4184"/>
  <c r="C4185"/>
  <c r="D4185"/>
  <c r="AX4185"/>
  <c r="C4186"/>
  <c r="D4186"/>
  <c r="AX4186"/>
  <c r="C4187"/>
  <c r="D4187"/>
  <c r="AX4187"/>
  <c r="C4188"/>
  <c r="D4188"/>
  <c r="AX4188"/>
  <c r="C4189"/>
  <c r="D4189"/>
  <c r="AX4189"/>
  <c r="C4190"/>
  <c r="D4190"/>
  <c r="AX4190"/>
  <c r="C4191"/>
  <c r="D4191"/>
  <c r="AX4191"/>
  <c r="C4192"/>
  <c r="D4192"/>
  <c r="AX4192"/>
  <c r="C4193"/>
  <c r="D4193"/>
  <c r="AX4193"/>
  <c r="C4194"/>
  <c r="D4194"/>
  <c r="AX4194"/>
  <c r="C4195"/>
  <c r="D4195"/>
  <c r="AX4195"/>
  <c r="C4196"/>
  <c r="D4196"/>
  <c r="AX4196"/>
  <c r="C4197"/>
  <c r="D4197"/>
  <c r="AX4197"/>
  <c r="C4198"/>
  <c r="D4198"/>
  <c r="AX4198"/>
  <c r="C4199"/>
  <c r="D4199"/>
  <c r="AX4199"/>
  <c r="C4200"/>
  <c r="D4200"/>
  <c r="AX4200"/>
  <c r="C4201"/>
  <c r="D4201"/>
  <c r="AX4201"/>
  <c r="C4202"/>
  <c r="D4202"/>
  <c r="AX4202"/>
  <c r="C4203"/>
  <c r="D4203"/>
  <c r="AX4203"/>
  <c r="C4204"/>
  <c r="D4204"/>
  <c r="AX4204"/>
  <c r="C4205"/>
  <c r="D4205"/>
  <c r="AX4205"/>
  <c r="C4206"/>
  <c r="D4206"/>
  <c r="AX4206"/>
  <c r="C4207"/>
  <c r="D4207"/>
  <c r="AX4207"/>
  <c r="C4208"/>
  <c r="D4208"/>
  <c r="AX4208"/>
  <c r="C4209"/>
  <c r="D4209"/>
  <c r="AX4209"/>
  <c r="C4210"/>
  <c r="D4210"/>
  <c r="AX4210"/>
  <c r="C4211"/>
  <c r="D4211"/>
  <c r="AX4211"/>
  <c r="C4212"/>
  <c r="D4212"/>
  <c r="AX4212"/>
  <c r="C4213"/>
  <c r="D4213"/>
  <c r="AX4213"/>
  <c r="C4214"/>
  <c r="D4214"/>
  <c r="AX4214"/>
  <c r="C4215"/>
  <c r="D4215"/>
  <c r="AX4215"/>
  <c r="C4216"/>
  <c r="D4216"/>
  <c r="AX4216"/>
  <c r="C4217"/>
  <c r="D4217"/>
  <c r="AX4217"/>
  <c r="C4218"/>
  <c r="D4218"/>
  <c r="AX4218"/>
  <c r="C4219"/>
  <c r="D4219"/>
  <c r="AX4219"/>
  <c r="C4220"/>
  <c r="D4220"/>
  <c r="AX4220"/>
  <c r="C4221"/>
  <c r="D4221"/>
  <c r="AX4221"/>
  <c r="C4222"/>
  <c r="D4222"/>
  <c r="AX4222"/>
  <c r="C4223"/>
  <c r="D4223"/>
  <c r="AX4223"/>
  <c r="C4224"/>
  <c r="D4224"/>
  <c r="AX4224"/>
  <c r="C4225"/>
  <c r="D4225"/>
  <c r="AX4225"/>
  <c r="C4226"/>
  <c r="D4226"/>
  <c r="AX4226"/>
  <c r="C4227"/>
  <c r="D4227"/>
  <c r="AX4227"/>
  <c r="C4228"/>
  <c r="D4228"/>
  <c r="AX4228"/>
  <c r="C4229"/>
  <c r="D4229"/>
  <c r="AX4229"/>
  <c r="C4230"/>
  <c r="D4230"/>
  <c r="AX4230"/>
  <c r="C4231"/>
  <c r="D4231"/>
  <c r="AX4231"/>
  <c r="C4232"/>
  <c r="D4232"/>
  <c r="AX4232"/>
  <c r="C4233"/>
  <c r="D4233"/>
  <c r="AX4233"/>
  <c r="C4234"/>
  <c r="D4234"/>
  <c r="AX4234"/>
  <c r="C4235"/>
  <c r="D4235"/>
  <c r="AX4235"/>
  <c r="C4236"/>
  <c r="D4236"/>
  <c r="AX4236"/>
  <c r="C4237"/>
  <c r="D4237"/>
  <c r="AX4237"/>
  <c r="C4238"/>
  <c r="D4238"/>
  <c r="AX4238"/>
  <c r="C4239"/>
  <c r="D4239"/>
  <c r="AX4239"/>
  <c r="C4240"/>
  <c r="D4240"/>
  <c r="AX4240"/>
  <c r="C4241"/>
  <c r="D4241"/>
  <c r="AX4241"/>
  <c r="C4242"/>
  <c r="D4242"/>
  <c r="AX4242"/>
  <c r="C4243"/>
  <c r="D4243"/>
  <c r="AX4243"/>
  <c r="C4244"/>
  <c r="D4244"/>
  <c r="AX4244"/>
  <c r="C4245"/>
  <c r="D4245"/>
  <c r="AX4245"/>
  <c r="C4246"/>
  <c r="D4246"/>
  <c r="AX4246"/>
  <c r="C4247"/>
  <c r="D4247"/>
  <c r="AX4247"/>
  <c r="C4248"/>
  <c r="D4248"/>
  <c r="AX4248"/>
  <c r="C4249"/>
  <c r="D4249"/>
  <c r="AX4249"/>
  <c r="C4250"/>
  <c r="D4250"/>
  <c r="AX4250"/>
  <c r="C4251"/>
  <c r="D4251"/>
  <c r="AX4251"/>
  <c r="C4252"/>
  <c r="D4252"/>
  <c r="AX4252"/>
  <c r="C4253"/>
  <c r="D4253"/>
  <c r="AX4253"/>
  <c r="C4254"/>
  <c r="D4254"/>
  <c r="AX4254"/>
  <c r="C4255"/>
  <c r="D4255"/>
  <c r="AX4255"/>
  <c r="C4256"/>
  <c r="D4256"/>
  <c r="AX4256"/>
  <c r="C4257"/>
  <c r="D4257"/>
  <c r="AX4257"/>
  <c r="C4258"/>
  <c r="D4258"/>
  <c r="AX4258"/>
  <c r="C4259"/>
  <c r="D4259"/>
  <c r="AX4259"/>
  <c r="C4260"/>
  <c r="D4260"/>
  <c r="AX4260"/>
  <c r="C4261"/>
  <c r="D4261"/>
  <c r="AX4261"/>
  <c r="C4262"/>
  <c r="D4262"/>
  <c r="AX4262"/>
  <c r="C4263"/>
  <c r="D4263"/>
  <c r="AX4263"/>
  <c r="C4264"/>
  <c r="D4264"/>
  <c r="AX4264"/>
  <c r="C4265"/>
  <c r="D4265"/>
  <c r="AX4265"/>
  <c r="C4266"/>
  <c r="D4266"/>
  <c r="AX4266"/>
  <c r="C4267"/>
  <c r="D4267"/>
  <c r="AX4267"/>
  <c r="C4268"/>
  <c r="D4268"/>
  <c r="AX4268"/>
  <c r="C4269"/>
  <c r="D4269"/>
  <c r="AX4269"/>
  <c r="C4270"/>
  <c r="D4270"/>
  <c r="AX4270"/>
  <c r="C4271"/>
  <c r="D4271"/>
  <c r="AX4271"/>
  <c r="C4272"/>
  <c r="D4272"/>
  <c r="AX4272"/>
  <c r="C4273"/>
  <c r="D4273"/>
  <c r="AX4273"/>
  <c r="C4274"/>
  <c r="D4274"/>
  <c r="AX4274"/>
  <c r="C4275"/>
  <c r="D4275"/>
  <c r="AX4275"/>
  <c r="C4276"/>
  <c r="D4276"/>
  <c r="AX4276"/>
  <c r="C4277"/>
  <c r="D4277"/>
  <c r="AX4277"/>
  <c r="C4278"/>
  <c r="D4278"/>
  <c r="AX4278"/>
  <c r="C4279"/>
  <c r="D4279"/>
  <c r="AX4279"/>
  <c r="C4280"/>
  <c r="D4280"/>
  <c r="AX4280"/>
  <c r="C4281"/>
  <c r="D4281"/>
  <c r="AX4281"/>
  <c r="C4282"/>
  <c r="D4282"/>
  <c r="AX4282"/>
  <c r="C4283"/>
  <c r="D4283"/>
  <c r="AX4283"/>
  <c r="C4284"/>
  <c r="D4284"/>
  <c r="AX4284"/>
  <c r="C4285"/>
  <c r="D4285"/>
  <c r="AX4285"/>
  <c r="C4286"/>
  <c r="D4286"/>
  <c r="AX4286"/>
  <c r="C4287"/>
  <c r="D4287"/>
  <c r="AX4287"/>
  <c r="C4288"/>
  <c r="D4288"/>
  <c r="AX4288"/>
  <c r="C4289"/>
  <c r="D4289"/>
  <c r="AX4289"/>
  <c r="C4290"/>
  <c r="D4290"/>
  <c r="AX4290"/>
  <c r="C4291"/>
  <c r="D4291"/>
  <c r="AX4291"/>
  <c r="C4292"/>
  <c r="D4292"/>
  <c r="AX4292"/>
  <c r="C4293"/>
  <c r="D4293"/>
  <c r="AX4293"/>
  <c r="C4294"/>
  <c r="D4294"/>
  <c r="AX4294"/>
  <c r="C4295"/>
  <c r="D4295"/>
  <c r="AX4295"/>
  <c r="C4296"/>
  <c r="D4296"/>
  <c r="AX4296"/>
  <c r="C4297"/>
  <c r="D4297"/>
  <c r="AX4297"/>
  <c r="C4298"/>
  <c r="D4298"/>
  <c r="AX4298"/>
  <c r="C4299"/>
  <c r="D4299"/>
  <c r="AX4299"/>
  <c r="C4300"/>
  <c r="D4300"/>
  <c r="AX4300"/>
  <c r="C4301"/>
  <c r="D4301"/>
  <c r="AX4301"/>
  <c r="C4302"/>
  <c r="D4302"/>
  <c r="AX4302"/>
  <c r="C4303"/>
  <c r="D4303"/>
  <c r="AX4303"/>
  <c r="C4304"/>
  <c r="D4304"/>
  <c r="AX4304"/>
  <c r="C4305"/>
  <c r="D4305"/>
  <c r="AX4305"/>
  <c r="C4306"/>
  <c r="D4306"/>
  <c r="AX4306"/>
  <c r="C4307"/>
  <c r="D4307"/>
  <c r="AX4307"/>
  <c r="C4308"/>
  <c r="D4308"/>
  <c r="AX4308"/>
  <c r="C4309"/>
  <c r="D4309"/>
  <c r="AX4309"/>
  <c r="C4310"/>
  <c r="D4310"/>
  <c r="AX4310"/>
  <c r="C4311"/>
  <c r="D4311"/>
  <c r="AX4311"/>
  <c r="C4312"/>
  <c r="D4312"/>
  <c r="AX4312"/>
  <c r="C4313"/>
  <c r="D4313"/>
  <c r="AX4313"/>
  <c r="C4314"/>
  <c r="D4314"/>
  <c r="AX4314"/>
  <c r="C4315"/>
  <c r="D4315"/>
  <c r="AX4315"/>
  <c r="C4316"/>
  <c r="D4316"/>
  <c r="AX4316"/>
  <c r="C4317"/>
  <c r="D4317"/>
  <c r="AX4317"/>
  <c r="C4318"/>
  <c r="D4318"/>
  <c r="AX4318"/>
  <c r="C4319"/>
  <c r="D4319"/>
  <c r="AX4319"/>
  <c r="C4320"/>
  <c r="D4320"/>
  <c r="AX4320"/>
  <c r="C4321"/>
  <c r="D4321"/>
  <c r="AX4321"/>
  <c r="C4322"/>
  <c r="D4322"/>
  <c r="AX4322"/>
  <c r="C4323"/>
  <c r="D4323"/>
  <c r="AX4323"/>
  <c r="C4324"/>
  <c r="D4324"/>
  <c r="AX4324"/>
  <c r="C4325"/>
  <c r="D4325"/>
  <c r="AX4325"/>
  <c r="C4326"/>
  <c r="D4326"/>
  <c r="AX4326"/>
  <c r="C4327"/>
  <c r="D4327"/>
  <c r="AX4327"/>
  <c r="C4328"/>
  <c r="D4328"/>
  <c r="AX4328"/>
  <c r="C4329"/>
  <c r="D4329"/>
  <c r="AX4329"/>
  <c r="C4330"/>
  <c r="D4330"/>
  <c r="AX4330"/>
  <c r="C4331"/>
  <c r="D4331"/>
  <c r="AX4331"/>
  <c r="C4332"/>
  <c r="D4332"/>
  <c r="AX4332"/>
  <c r="C4333"/>
  <c r="D4333"/>
  <c r="AX4333"/>
  <c r="C4334"/>
  <c r="D4334"/>
  <c r="AX4334"/>
  <c r="C4335"/>
  <c r="D4335"/>
  <c r="AX4335"/>
  <c r="C4336"/>
  <c r="D4336"/>
  <c r="AX4336"/>
  <c r="C4337"/>
  <c r="D4337"/>
  <c r="AX4337"/>
  <c r="C4338"/>
  <c r="D4338"/>
  <c r="AX4338"/>
  <c r="C4339"/>
  <c r="D4339"/>
  <c r="AX4339"/>
  <c r="C4340"/>
  <c r="D4340"/>
  <c r="AX4340"/>
  <c r="C4341"/>
  <c r="D4341"/>
  <c r="AX4341"/>
  <c r="C4342"/>
  <c r="D4342"/>
  <c r="AX4342"/>
  <c r="C4343"/>
  <c r="D4343"/>
  <c r="AX4343"/>
  <c r="C4344"/>
  <c r="D4344"/>
  <c r="AX4344"/>
  <c r="C4345"/>
  <c r="D4345"/>
  <c r="AX4345"/>
  <c r="C4346"/>
  <c r="D4346"/>
  <c r="AX4346"/>
  <c r="C4347"/>
  <c r="D4347"/>
  <c r="AX4347"/>
  <c r="C4348"/>
  <c r="D4348"/>
  <c r="AX4348"/>
  <c r="C4349"/>
  <c r="D4349"/>
  <c r="AX4349"/>
  <c r="C4350"/>
  <c r="D4350"/>
  <c r="AX4350"/>
  <c r="C4351"/>
  <c r="D4351"/>
  <c r="AX4351"/>
  <c r="C4352"/>
  <c r="D4352"/>
  <c r="AX4352"/>
  <c r="C4353"/>
  <c r="D4353"/>
  <c r="AX4353"/>
  <c r="C4354"/>
  <c r="D4354"/>
  <c r="AX4354"/>
  <c r="C4355"/>
  <c r="D4355"/>
  <c r="AX4355"/>
  <c r="C4356"/>
  <c r="D4356"/>
  <c r="AX4356"/>
  <c r="C4357"/>
  <c r="D4357"/>
  <c r="AX4357"/>
  <c r="C4358"/>
  <c r="D4358"/>
  <c r="AX4358"/>
  <c r="C4359"/>
  <c r="D4359"/>
  <c r="AX4359"/>
  <c r="C4360"/>
  <c r="D4360"/>
  <c r="AX4360"/>
  <c r="C4361"/>
  <c r="D4361"/>
  <c r="AX4361"/>
  <c r="C4362"/>
  <c r="D4362"/>
  <c r="AX4362"/>
  <c r="C4363"/>
  <c r="D4363"/>
  <c r="AX4363"/>
  <c r="C4364"/>
  <c r="D4364"/>
  <c r="AX4364"/>
  <c r="C4365"/>
  <c r="D4365"/>
  <c r="AX4365"/>
  <c r="C4366"/>
  <c r="D4366"/>
  <c r="AX4366"/>
  <c r="C4367"/>
  <c r="D4367"/>
  <c r="AX4367"/>
  <c r="C4368"/>
  <c r="D4368"/>
  <c r="AX4368"/>
  <c r="C4369"/>
  <c r="D4369"/>
  <c r="AX4369"/>
  <c r="C4370"/>
  <c r="D4370"/>
  <c r="AX4370"/>
  <c r="C4371"/>
  <c r="D4371"/>
  <c r="AX4371"/>
  <c r="C4372"/>
  <c r="D4372"/>
  <c r="AX4372"/>
  <c r="C4373"/>
  <c r="D4373"/>
  <c r="AX4373"/>
  <c r="C4374"/>
  <c r="D4374"/>
  <c r="AX4374"/>
  <c r="C4375"/>
  <c r="D4375"/>
  <c r="AX4375"/>
  <c r="C4376"/>
  <c r="D4376"/>
  <c r="AX4376"/>
  <c r="C4377"/>
  <c r="D4377"/>
  <c r="AX4377"/>
  <c r="C4378"/>
  <c r="D4378"/>
  <c r="AX4378"/>
  <c r="C4379"/>
  <c r="D4379"/>
  <c r="AX4379"/>
  <c r="C4380"/>
  <c r="D4380"/>
  <c r="AX4380"/>
  <c r="C4381"/>
  <c r="D4381"/>
  <c r="AX4381"/>
  <c r="C4382"/>
  <c r="D4382"/>
  <c r="AX4382"/>
  <c r="C4383"/>
  <c r="D4383"/>
  <c r="AX4383"/>
  <c r="C4384"/>
  <c r="D4384"/>
  <c r="AX4384"/>
  <c r="C4385"/>
  <c r="D4385"/>
  <c r="AX4385"/>
  <c r="C4386"/>
  <c r="D4386"/>
  <c r="AX4386"/>
  <c r="C4387"/>
  <c r="D4387"/>
  <c r="AX4387"/>
  <c r="C4388"/>
  <c r="D4388"/>
  <c r="AX4388"/>
  <c r="C4389"/>
  <c r="D4389"/>
  <c r="AX4389"/>
  <c r="C4390"/>
  <c r="D4390"/>
  <c r="AX4390"/>
  <c r="C4391"/>
  <c r="D4391"/>
  <c r="AX4391"/>
  <c r="C4392"/>
  <c r="D4392"/>
  <c r="AX4392"/>
  <c r="C4393"/>
  <c r="D4393"/>
  <c r="AX4393"/>
  <c r="C4394"/>
  <c r="D4394"/>
  <c r="AX4394"/>
  <c r="C4395"/>
  <c r="D4395"/>
  <c r="AX4395"/>
  <c r="C4396"/>
  <c r="D4396"/>
  <c r="AX4396"/>
  <c r="C4397"/>
  <c r="D4397"/>
  <c r="AX4397"/>
  <c r="C4398"/>
  <c r="D4398"/>
  <c r="AX4398"/>
  <c r="C4399"/>
  <c r="D4399"/>
  <c r="AX4399"/>
  <c r="C4400"/>
  <c r="D4400"/>
  <c r="AX4400"/>
  <c r="C4401"/>
  <c r="D4401"/>
  <c r="AX4401"/>
  <c r="C4402"/>
  <c r="D4402"/>
  <c r="AX4402"/>
  <c r="C4403"/>
  <c r="D4403"/>
  <c r="AX4403"/>
  <c r="C4404"/>
  <c r="D4404"/>
  <c r="AX4404"/>
  <c r="C4405"/>
  <c r="D4405"/>
  <c r="AX4405"/>
  <c r="C4406"/>
  <c r="D4406"/>
  <c r="AX4406"/>
  <c r="C4407"/>
  <c r="D4407"/>
  <c r="AX4407"/>
  <c r="C4408"/>
  <c r="D4408"/>
  <c r="AX4408"/>
  <c r="C4409"/>
  <c r="D4409"/>
  <c r="AX4409"/>
  <c r="C4410"/>
  <c r="D4410"/>
  <c r="AX4410"/>
  <c r="C4411"/>
  <c r="D4411"/>
  <c r="AX4411"/>
  <c r="C4412"/>
  <c r="D4412"/>
  <c r="AX4412"/>
  <c r="C4413"/>
  <c r="D4413"/>
  <c r="AX4413"/>
  <c r="C4414"/>
  <c r="D4414"/>
  <c r="AX4414"/>
  <c r="C4415"/>
  <c r="D4415"/>
  <c r="AX4415"/>
  <c r="C4416"/>
  <c r="D4416"/>
  <c r="AX4416"/>
  <c r="C4417"/>
  <c r="D4417"/>
  <c r="AX4417"/>
  <c r="C4418"/>
  <c r="D4418"/>
  <c r="AX4418"/>
  <c r="C4419"/>
  <c r="D4419"/>
  <c r="AX4419"/>
  <c r="C4420"/>
  <c r="D4420"/>
  <c r="AX4420"/>
  <c r="C4421"/>
  <c r="D4421"/>
  <c r="AX4421"/>
  <c r="C4422"/>
  <c r="D4422"/>
  <c r="AX4422"/>
  <c r="C4423"/>
  <c r="D4423"/>
  <c r="AX4423"/>
  <c r="C4424"/>
  <c r="D4424"/>
  <c r="AX4424"/>
  <c r="C4425"/>
  <c r="D4425"/>
  <c r="AX4425"/>
  <c r="C4426"/>
  <c r="D4426"/>
  <c r="AX4426"/>
  <c r="C4427"/>
  <c r="D4427"/>
  <c r="AX4427"/>
  <c r="C4428"/>
  <c r="D4428"/>
  <c r="AX4428"/>
  <c r="C4429"/>
  <c r="D4429"/>
  <c r="AX4429"/>
  <c r="C4430"/>
  <c r="D4430"/>
  <c r="AX4430"/>
  <c r="C4431"/>
  <c r="D4431"/>
  <c r="AX4431"/>
  <c r="C4432"/>
  <c r="D4432"/>
  <c r="AX4432"/>
  <c r="C4433"/>
  <c r="D4433"/>
  <c r="AX4433"/>
  <c r="C4434"/>
  <c r="D4434"/>
  <c r="AX4434"/>
  <c r="C4435"/>
  <c r="D4435"/>
  <c r="AX4435"/>
  <c r="C4436"/>
  <c r="D4436"/>
  <c r="AX4436"/>
  <c r="C4437"/>
  <c r="D4437"/>
  <c r="AX4437"/>
  <c r="C4438"/>
  <c r="D4438"/>
  <c r="AX4438"/>
  <c r="C4439"/>
  <c r="D4439"/>
  <c r="AX4439"/>
  <c r="C4440"/>
  <c r="D4440"/>
  <c r="AX4440"/>
  <c r="C4441"/>
  <c r="D4441"/>
  <c r="AX4441"/>
  <c r="C4442"/>
  <c r="D4442"/>
  <c r="AX4442"/>
  <c r="C4443"/>
  <c r="D4443"/>
  <c r="AX4443"/>
  <c r="C4444"/>
  <c r="D4444"/>
  <c r="AX4444"/>
  <c r="C4445"/>
  <c r="D4445"/>
  <c r="AX4445"/>
  <c r="C4446"/>
  <c r="D4446"/>
  <c r="AX4446"/>
  <c r="C4447"/>
  <c r="D4447"/>
  <c r="AX4447"/>
  <c r="C4448"/>
  <c r="D4448"/>
  <c r="AX4448"/>
  <c r="C4449"/>
  <c r="D4449"/>
  <c r="AX4449"/>
  <c r="C4450"/>
  <c r="D4450"/>
  <c r="AX4450"/>
  <c r="C4451"/>
  <c r="D4451"/>
  <c r="AX4451"/>
  <c r="C4452"/>
  <c r="D4452"/>
  <c r="AX4452"/>
  <c r="C4453"/>
  <c r="D4453"/>
  <c r="AX4453"/>
  <c r="C4454"/>
  <c r="D4454"/>
  <c r="AX4454"/>
  <c r="C4455"/>
  <c r="D4455"/>
  <c r="AX4455"/>
  <c r="C4456"/>
  <c r="D4456"/>
  <c r="AX4456"/>
  <c r="C4457"/>
  <c r="D4457"/>
  <c r="AX4457"/>
  <c r="C4458"/>
  <c r="D4458"/>
  <c r="AX4458"/>
  <c r="C4459"/>
  <c r="D4459"/>
  <c r="AX4459"/>
  <c r="C4460"/>
  <c r="D4460"/>
  <c r="AX4460"/>
  <c r="C4461"/>
  <c r="D4461"/>
  <c r="AX4461"/>
  <c r="C4462"/>
  <c r="D4462"/>
  <c r="AX4462"/>
  <c r="C4463"/>
  <c r="D4463"/>
  <c r="AX4463"/>
  <c r="C4464"/>
  <c r="D4464"/>
  <c r="AX4464"/>
  <c r="C4465"/>
  <c r="D4465"/>
  <c r="AX4465"/>
  <c r="C4466"/>
  <c r="D4466"/>
  <c r="AX4466"/>
  <c r="C4467"/>
  <c r="D4467"/>
  <c r="AX4467"/>
  <c r="C4468"/>
  <c r="D4468"/>
  <c r="AX4468"/>
  <c r="C4469"/>
  <c r="D4469"/>
  <c r="AX4469"/>
  <c r="C4470"/>
  <c r="D4470"/>
  <c r="AX4470"/>
  <c r="C4471"/>
  <c r="D4471"/>
  <c r="AX4471"/>
  <c r="C4472"/>
  <c r="D4472"/>
  <c r="AX4472"/>
  <c r="C4473"/>
  <c r="D4473"/>
  <c r="AX4473"/>
  <c r="C4474"/>
  <c r="D4474"/>
  <c r="AX4474"/>
  <c r="C4475"/>
  <c r="D4475"/>
  <c r="AX4475"/>
  <c r="C4476"/>
  <c r="D4476"/>
  <c r="AX4476"/>
  <c r="C4477"/>
  <c r="D4477"/>
  <c r="AX4477"/>
  <c r="C4478"/>
  <c r="D4478"/>
  <c r="AX4478"/>
  <c r="C4479"/>
  <c r="D4479"/>
  <c r="AX4479"/>
  <c r="C4480"/>
  <c r="D4480"/>
  <c r="AX4480"/>
  <c r="C4481"/>
  <c r="D4481"/>
  <c r="AX4481"/>
  <c r="C4482"/>
  <c r="D4482"/>
  <c r="AX4482"/>
  <c r="C4483"/>
  <c r="D4483"/>
  <c r="AX4483"/>
  <c r="C4484"/>
  <c r="D4484"/>
  <c r="AX4484"/>
  <c r="C4485"/>
  <c r="D4485"/>
  <c r="AX4485"/>
  <c r="C4486"/>
  <c r="D4486"/>
  <c r="AX4486"/>
  <c r="C4487"/>
  <c r="D4487"/>
  <c r="AX4487"/>
  <c r="C4488"/>
  <c r="D4488"/>
  <c r="AX4488"/>
  <c r="C4489"/>
  <c r="D4489"/>
  <c r="AX4489"/>
  <c r="C4490"/>
  <c r="D4490"/>
  <c r="AX4490"/>
  <c r="C4491"/>
  <c r="D4491"/>
  <c r="AX4491"/>
  <c r="C4492"/>
  <c r="D4492"/>
  <c r="AX4492"/>
  <c r="C4493"/>
  <c r="D4493"/>
  <c r="AX4493"/>
  <c r="C4494"/>
  <c r="D4494"/>
  <c r="AX4494"/>
  <c r="C4495"/>
  <c r="D4495"/>
  <c r="AX4495"/>
  <c r="C4496"/>
  <c r="D4496"/>
  <c r="AX4496"/>
  <c r="C4497"/>
  <c r="D4497"/>
  <c r="AX4497"/>
  <c r="C4498"/>
  <c r="D4498"/>
  <c r="AX4498"/>
  <c r="C4499"/>
  <c r="D4499"/>
  <c r="AX4499"/>
  <c r="C4500"/>
  <c r="D4500"/>
  <c r="AX4500"/>
  <c r="C4501"/>
  <c r="D4501"/>
  <c r="AX4501"/>
  <c r="C4502"/>
  <c r="D4502"/>
  <c r="AX4502"/>
  <c r="C4503"/>
  <c r="D4503"/>
  <c r="AX4503"/>
  <c r="C4504"/>
  <c r="D4504"/>
  <c r="AX4504"/>
  <c r="C4505"/>
  <c r="D4505"/>
  <c r="AX4505"/>
  <c r="C4506"/>
  <c r="D4506"/>
  <c r="AX4506"/>
  <c r="C4507"/>
  <c r="D4507"/>
  <c r="AX4507"/>
  <c r="C4508"/>
  <c r="D4508"/>
  <c r="AX4508"/>
  <c r="C4509"/>
  <c r="D4509"/>
  <c r="AX4509"/>
  <c r="C4510"/>
  <c r="D4510"/>
  <c r="AX4510"/>
  <c r="C4511"/>
  <c r="D4511"/>
  <c r="AX4511"/>
  <c r="C4512"/>
  <c r="D4512"/>
  <c r="AX4512"/>
  <c r="C4513"/>
  <c r="D4513"/>
  <c r="AX4513"/>
  <c r="C4514"/>
  <c r="D4514"/>
  <c r="AX4514"/>
  <c r="C4515"/>
  <c r="D4515"/>
  <c r="AX4515"/>
  <c r="C4516"/>
  <c r="D4516"/>
  <c r="AX4516"/>
  <c r="C4517"/>
  <c r="D4517"/>
  <c r="AX4517"/>
  <c r="C4518"/>
  <c r="D4518"/>
  <c r="AX4518"/>
  <c r="C4519"/>
  <c r="D4519"/>
  <c r="AX4519"/>
  <c r="C4520"/>
  <c r="D4520"/>
  <c r="AX4520"/>
  <c r="C4521"/>
  <c r="D4521"/>
  <c r="AX4521"/>
  <c r="C4522"/>
  <c r="D4522"/>
  <c r="AX4522"/>
  <c r="C4523"/>
  <c r="D4523"/>
  <c r="AX4523"/>
  <c r="C4524"/>
  <c r="D4524"/>
  <c r="AX4524"/>
  <c r="C4525"/>
  <c r="D4525"/>
  <c r="AX4525"/>
  <c r="C4526"/>
  <c r="D4526"/>
  <c r="AX4526"/>
  <c r="C4527"/>
  <c r="D4527"/>
  <c r="AX4527"/>
  <c r="C4528"/>
  <c r="D4528"/>
  <c r="AX4528"/>
  <c r="C4529"/>
  <c r="D4529"/>
  <c r="AX4529"/>
  <c r="C4530"/>
  <c r="D4530"/>
  <c r="AX4530"/>
  <c r="C4531"/>
  <c r="D4531"/>
  <c r="AX4531"/>
  <c r="C4532"/>
  <c r="D4532"/>
  <c r="AX4532"/>
  <c r="C4533"/>
  <c r="D4533"/>
  <c r="AX4533"/>
  <c r="C4534"/>
  <c r="D4534"/>
  <c r="AX4534"/>
  <c r="C4535"/>
  <c r="D4535"/>
  <c r="AX4535"/>
  <c r="C4536"/>
  <c r="D4536"/>
  <c r="AX4536"/>
  <c r="C4537"/>
  <c r="D4537"/>
  <c r="AX4537"/>
  <c r="C4538"/>
  <c r="D4538"/>
  <c r="AX4538"/>
  <c r="C4539"/>
  <c r="D4539"/>
  <c r="AX4539"/>
  <c r="C4540"/>
  <c r="D4540"/>
  <c r="AX4540"/>
  <c r="C4541"/>
  <c r="D4541"/>
  <c r="AX4541"/>
  <c r="C4542"/>
  <c r="D4542"/>
  <c r="AX4542"/>
  <c r="C4543"/>
  <c r="D4543"/>
  <c r="AX4543"/>
  <c r="C4544"/>
  <c r="D4544"/>
  <c r="AX4544"/>
  <c r="C4545"/>
  <c r="D4545"/>
  <c r="AX4545"/>
  <c r="C4546"/>
  <c r="D4546"/>
  <c r="AX4546"/>
  <c r="C4547"/>
  <c r="D4547"/>
  <c r="AX4547"/>
  <c r="C4548"/>
  <c r="D4548"/>
  <c r="AX4548"/>
  <c r="C4549"/>
  <c r="D4549"/>
  <c r="AX4549"/>
  <c r="C4550"/>
  <c r="D4550"/>
  <c r="AX4550"/>
  <c r="C4551"/>
  <c r="D4551"/>
  <c r="AX4551"/>
  <c r="C4552"/>
  <c r="D4552"/>
  <c r="AX4552"/>
  <c r="C4553"/>
  <c r="D4553"/>
  <c r="AX4553"/>
  <c r="C4554"/>
  <c r="D4554"/>
  <c r="AX4554"/>
  <c r="C4555"/>
  <c r="D4555"/>
  <c r="AX4555"/>
  <c r="C4556"/>
  <c r="D4556"/>
  <c r="AX4556"/>
  <c r="C4557"/>
  <c r="D4557"/>
  <c r="AX4557"/>
  <c r="C4558"/>
  <c r="D4558"/>
  <c r="AX4558"/>
  <c r="C4559"/>
  <c r="D4559"/>
  <c r="AX4559"/>
  <c r="C4560"/>
  <c r="D4560"/>
  <c r="AX4560"/>
  <c r="C4561"/>
  <c r="D4561"/>
  <c r="AX4561"/>
  <c r="C4562"/>
  <c r="D4562"/>
  <c r="AX4562"/>
  <c r="C4563"/>
  <c r="D4563"/>
  <c r="AX4563"/>
  <c r="C4564"/>
  <c r="D4564"/>
  <c r="AX4564"/>
  <c r="C4565"/>
  <c r="D4565"/>
  <c r="AX4565"/>
  <c r="C4566"/>
  <c r="D4566"/>
  <c r="AX4566"/>
  <c r="C4567"/>
  <c r="D4567"/>
  <c r="AX4567"/>
  <c r="C4568"/>
  <c r="D4568"/>
  <c r="AX4568"/>
  <c r="C4569"/>
  <c r="D4569"/>
  <c r="AX4569"/>
  <c r="C4570"/>
  <c r="D4570"/>
  <c r="AX4570"/>
  <c r="C4571"/>
  <c r="D4571"/>
  <c r="AX4571"/>
  <c r="C4572"/>
  <c r="D4572"/>
  <c r="AX4572"/>
  <c r="C4573"/>
  <c r="D4573"/>
  <c r="AX4573"/>
  <c r="C4574"/>
  <c r="D4574"/>
  <c r="AX4574"/>
  <c r="C4575"/>
  <c r="D4575"/>
  <c r="AX4575"/>
  <c r="C4576"/>
  <c r="D4576"/>
  <c r="AX4576"/>
  <c r="C4577"/>
  <c r="D4577"/>
  <c r="AX4577"/>
  <c r="C4578"/>
  <c r="D4578"/>
  <c r="AX4578"/>
  <c r="C4579"/>
  <c r="D4579"/>
  <c r="AX4579"/>
  <c r="C4580"/>
  <c r="D4580"/>
  <c r="AX4580"/>
  <c r="C4581"/>
  <c r="D4581"/>
  <c r="AX4581"/>
  <c r="C4582"/>
  <c r="D4582"/>
  <c r="AX4582"/>
  <c r="C4583"/>
  <c r="D4583"/>
  <c r="AX4583"/>
  <c r="C4584"/>
  <c r="D4584"/>
  <c r="AX4584"/>
  <c r="C4585"/>
  <c r="D4585"/>
  <c r="AX4585"/>
  <c r="C4586"/>
  <c r="D4586"/>
  <c r="AX4586"/>
  <c r="C4587"/>
  <c r="D4587"/>
  <c r="AX4587"/>
  <c r="C4588"/>
  <c r="D4588"/>
  <c r="AX4588"/>
  <c r="C4589"/>
  <c r="D4589"/>
  <c r="AX4589"/>
  <c r="C4590"/>
  <c r="D4590"/>
  <c r="AX4590"/>
  <c r="C4591"/>
  <c r="D4591"/>
  <c r="AX4591"/>
  <c r="C4592"/>
  <c r="D4592"/>
  <c r="AX4592"/>
  <c r="C4593"/>
  <c r="D4593"/>
  <c r="AX4593"/>
  <c r="C4594"/>
  <c r="D4594"/>
  <c r="AX4594"/>
  <c r="C4595"/>
  <c r="D4595"/>
  <c r="AX4595"/>
  <c r="C4596"/>
  <c r="D4596"/>
  <c r="AX4596"/>
  <c r="C4597"/>
  <c r="D4597"/>
  <c r="AX4597"/>
  <c r="C4598"/>
  <c r="D4598"/>
  <c r="AX4598"/>
  <c r="C4599"/>
  <c r="D4599"/>
  <c r="AX4599"/>
  <c r="C4600"/>
  <c r="D4600"/>
  <c r="AX4600"/>
  <c r="C4601"/>
  <c r="D4601"/>
  <c r="AX4601"/>
  <c r="C4602"/>
  <c r="D4602"/>
  <c r="AX4602"/>
  <c r="C4603"/>
  <c r="D4603"/>
  <c r="AX4603"/>
  <c r="C4604"/>
  <c r="D4604"/>
  <c r="AX4604"/>
  <c r="C4605"/>
  <c r="D4605"/>
  <c r="AX4605"/>
  <c r="C4606"/>
  <c r="D4606"/>
  <c r="AX4606"/>
  <c r="C4607"/>
  <c r="D4607"/>
  <c r="AX4607"/>
  <c r="C4608"/>
  <c r="D4608"/>
  <c r="AX4608"/>
  <c r="C4609"/>
  <c r="D4609"/>
  <c r="AX4609"/>
  <c r="C4610"/>
  <c r="D4610"/>
  <c r="AX4610"/>
  <c r="C4611"/>
  <c r="D4611"/>
  <c r="AX4611"/>
  <c r="C4612"/>
  <c r="D4612"/>
  <c r="AX4612"/>
  <c r="C4613"/>
  <c r="D4613"/>
  <c r="AX4613"/>
  <c r="C4614"/>
  <c r="D4614"/>
  <c r="AX4614"/>
  <c r="C4615"/>
  <c r="D4615"/>
  <c r="AX4615"/>
  <c r="C4616"/>
  <c r="D4616"/>
  <c r="AX4616"/>
  <c r="C4617"/>
  <c r="D4617"/>
  <c r="AX4617"/>
  <c r="C4618"/>
  <c r="D4618"/>
  <c r="AX4618"/>
  <c r="C4619"/>
  <c r="D4619"/>
  <c r="AX4619"/>
  <c r="C4620"/>
  <c r="D4620"/>
  <c r="AX4620"/>
  <c r="C4621"/>
  <c r="D4621"/>
  <c r="AX4621"/>
  <c r="C4622"/>
  <c r="D4622"/>
  <c r="AX4622"/>
  <c r="C4623"/>
  <c r="D4623"/>
  <c r="AX4623"/>
  <c r="C4624"/>
  <c r="D4624"/>
  <c r="AX4624"/>
  <c r="C4625"/>
  <c r="D4625"/>
  <c r="AX4625"/>
  <c r="C4626"/>
  <c r="D4626"/>
  <c r="AX4626"/>
  <c r="C4627"/>
  <c r="D4627"/>
  <c r="AX4627"/>
  <c r="C4628"/>
  <c r="D4628"/>
  <c r="AX4628"/>
  <c r="C4629"/>
  <c r="D4629"/>
  <c r="AX4629"/>
  <c r="C4630"/>
  <c r="D4630"/>
  <c r="AX4630"/>
  <c r="C4631"/>
  <c r="D4631"/>
  <c r="AX4631"/>
  <c r="C4632"/>
  <c r="D4632"/>
  <c r="AX4632"/>
  <c r="C4633"/>
  <c r="D4633"/>
  <c r="AX4633"/>
  <c r="C4634"/>
  <c r="D4634"/>
  <c r="AX4634"/>
  <c r="C4635"/>
  <c r="D4635"/>
  <c r="AX4635"/>
  <c r="C4636"/>
  <c r="D4636"/>
  <c r="AX4636"/>
  <c r="C4637"/>
  <c r="D4637"/>
  <c r="AX4637"/>
  <c r="C4638"/>
  <c r="D4638"/>
  <c r="AX4638"/>
  <c r="C4639"/>
  <c r="D4639"/>
  <c r="AX4639"/>
  <c r="C4640"/>
  <c r="D4640"/>
  <c r="AX4640"/>
  <c r="C4641"/>
  <c r="D4641"/>
  <c r="AX4641"/>
  <c r="C4642"/>
  <c r="D4642"/>
  <c r="AX4642"/>
  <c r="C4643"/>
  <c r="D4643"/>
  <c r="AX4643"/>
  <c r="C4644"/>
  <c r="D4644"/>
  <c r="AX4644"/>
  <c r="C4645"/>
  <c r="D4645"/>
  <c r="AX4645"/>
  <c r="C4646"/>
  <c r="D4646"/>
  <c r="AX4646"/>
  <c r="C4647"/>
  <c r="D4647"/>
  <c r="AX4647"/>
  <c r="C4648"/>
  <c r="D4648"/>
  <c r="AX4648"/>
  <c r="C4649"/>
  <c r="D4649"/>
  <c r="AX4649"/>
  <c r="C4650"/>
  <c r="D4650"/>
  <c r="AX4650"/>
  <c r="C4651"/>
  <c r="D4651"/>
  <c r="AX4651"/>
  <c r="C4652"/>
  <c r="D4652"/>
  <c r="AX4652"/>
  <c r="C4653"/>
  <c r="D4653"/>
  <c r="AX4653"/>
  <c r="C4654"/>
  <c r="D4654"/>
  <c r="AX4654"/>
  <c r="C4655"/>
  <c r="D4655"/>
  <c r="AX4655"/>
  <c r="C4656"/>
  <c r="D4656"/>
  <c r="AX4656"/>
  <c r="C4657"/>
  <c r="D4657"/>
  <c r="AX4657"/>
  <c r="C4658"/>
  <c r="D4658"/>
  <c r="AX4658"/>
  <c r="C4659"/>
  <c r="D4659"/>
  <c r="AX4659"/>
  <c r="C4660"/>
  <c r="D4660"/>
  <c r="AX4660"/>
  <c r="C4661"/>
  <c r="D4661"/>
  <c r="AX4661"/>
  <c r="C4662"/>
  <c r="D4662"/>
  <c r="AX4662"/>
  <c r="C4663"/>
  <c r="D4663"/>
  <c r="AX4663"/>
  <c r="C4664"/>
  <c r="D4664"/>
  <c r="AX4664"/>
  <c r="C4665"/>
  <c r="D4665"/>
  <c r="AX4665"/>
  <c r="C4666"/>
  <c r="D4666"/>
  <c r="AX4666"/>
  <c r="C4667"/>
  <c r="D4667"/>
  <c r="AX4667"/>
  <c r="C4668"/>
  <c r="D4668"/>
  <c r="AX4668"/>
  <c r="C4669"/>
  <c r="D4669"/>
  <c r="AX4669"/>
  <c r="C4670"/>
  <c r="D4670"/>
  <c r="AX4670"/>
  <c r="C4671"/>
  <c r="D4671"/>
  <c r="AX4671"/>
  <c r="C4672"/>
  <c r="D4672"/>
  <c r="AX4672"/>
  <c r="C4673"/>
  <c r="D4673"/>
  <c r="AX4673"/>
  <c r="C4674"/>
  <c r="D4674"/>
  <c r="AX4674"/>
  <c r="C4675"/>
  <c r="D4675"/>
  <c r="AX4675"/>
  <c r="C4676"/>
  <c r="D4676"/>
  <c r="AX4676"/>
  <c r="C4677"/>
  <c r="D4677"/>
  <c r="AX4677"/>
  <c r="C4678"/>
  <c r="D4678"/>
  <c r="AX4678"/>
  <c r="C4679"/>
  <c r="D4679"/>
  <c r="AX4679"/>
  <c r="C4680"/>
  <c r="D4680"/>
  <c r="AX4680"/>
  <c r="C4681"/>
  <c r="D4681"/>
  <c r="AX4681"/>
  <c r="C4682"/>
  <c r="D4682"/>
  <c r="AX4682"/>
  <c r="C4683"/>
  <c r="D4683"/>
  <c r="AX4683"/>
  <c r="C4684"/>
  <c r="D4684"/>
  <c r="AX4684"/>
  <c r="C4685"/>
  <c r="D4685"/>
  <c r="AX4685"/>
  <c r="C4686"/>
  <c r="D4686"/>
  <c r="AX4686"/>
  <c r="C4687"/>
  <c r="D4687"/>
  <c r="AX4687"/>
  <c r="C4688"/>
  <c r="D4688"/>
  <c r="AX4688"/>
  <c r="C4689"/>
  <c r="D4689"/>
  <c r="AX4689"/>
  <c r="C4690"/>
  <c r="D4690"/>
  <c r="AX4690"/>
  <c r="C4691"/>
  <c r="D4691"/>
  <c r="AX4691"/>
  <c r="C4692"/>
  <c r="D4692"/>
  <c r="AX4692"/>
  <c r="C4693"/>
  <c r="D4693"/>
  <c r="AX4693"/>
  <c r="C4694"/>
  <c r="D4694"/>
  <c r="AX4694"/>
  <c r="C4695"/>
  <c r="D4695"/>
  <c r="AX4695"/>
  <c r="C4696"/>
  <c r="D4696"/>
  <c r="AX4696"/>
  <c r="C4697"/>
  <c r="D4697"/>
  <c r="AX4697"/>
  <c r="C4698"/>
  <c r="D4698"/>
  <c r="AX4698"/>
  <c r="C4699"/>
  <c r="D4699"/>
  <c r="AX4699"/>
  <c r="C4700"/>
  <c r="D4700"/>
  <c r="AX4700"/>
  <c r="C4701"/>
  <c r="D4701"/>
  <c r="AX4701"/>
  <c r="C4702"/>
  <c r="D4702"/>
  <c r="AX4702"/>
  <c r="C4703"/>
  <c r="D4703"/>
  <c r="AX4703"/>
  <c r="C4704"/>
  <c r="D4704"/>
  <c r="AX4704"/>
  <c r="C4705"/>
  <c r="D4705"/>
  <c r="AX4705"/>
  <c r="C4706"/>
  <c r="D4706"/>
  <c r="AX4706"/>
  <c r="C4707"/>
  <c r="D4707"/>
  <c r="AX4707"/>
  <c r="C4708"/>
  <c r="D4708"/>
  <c r="AX4708"/>
  <c r="C4709"/>
  <c r="D4709"/>
  <c r="AX4709"/>
  <c r="C4710"/>
  <c r="D4710"/>
  <c r="AX4710"/>
  <c r="C4711"/>
  <c r="D4711"/>
  <c r="AX4711"/>
  <c r="C4712"/>
  <c r="D4712"/>
  <c r="AX4712"/>
  <c r="C4713"/>
  <c r="D4713"/>
  <c r="AX4713"/>
  <c r="C4714"/>
  <c r="D4714"/>
  <c r="AX4714"/>
  <c r="C4715"/>
  <c r="D4715"/>
  <c r="AX4715"/>
  <c r="C4716"/>
  <c r="D4716"/>
  <c r="AX4716"/>
  <c r="C4717"/>
  <c r="D4717"/>
  <c r="AX4717"/>
  <c r="C4718"/>
  <c r="D4718"/>
  <c r="AX4718"/>
  <c r="C4719"/>
  <c r="D4719"/>
  <c r="AX4719"/>
  <c r="C4720"/>
  <c r="D4720"/>
  <c r="AX4720"/>
  <c r="C4721"/>
  <c r="D4721"/>
  <c r="AX4721"/>
  <c r="C4722"/>
  <c r="D4722"/>
  <c r="AX4722"/>
  <c r="C4723"/>
  <c r="D4723"/>
  <c r="AX4723"/>
  <c r="C4724"/>
  <c r="D4724"/>
  <c r="AX4724"/>
  <c r="C4725"/>
  <c r="D4725"/>
  <c r="AX4725"/>
  <c r="C4726"/>
  <c r="D4726"/>
  <c r="AX4726"/>
  <c r="C4727"/>
  <c r="D4727"/>
  <c r="AX4727"/>
  <c r="C4728"/>
  <c r="D4728"/>
  <c r="AX4728"/>
  <c r="C4729"/>
  <c r="D4729"/>
  <c r="AX4729"/>
  <c r="C4730"/>
  <c r="D4730"/>
  <c r="AX4730"/>
  <c r="C4731"/>
  <c r="D4731"/>
  <c r="AX4731"/>
  <c r="C4732"/>
  <c r="D4732"/>
  <c r="AX4732"/>
  <c r="C4733"/>
  <c r="D4733"/>
  <c r="AX4733"/>
  <c r="C4734"/>
  <c r="D4734"/>
  <c r="AX4734"/>
  <c r="C4735"/>
  <c r="D4735"/>
  <c r="AX4735"/>
  <c r="C4736"/>
  <c r="D4736"/>
  <c r="AX4736"/>
  <c r="C4737"/>
  <c r="D4737"/>
  <c r="AX4737"/>
  <c r="C4738"/>
  <c r="D4738"/>
  <c r="AX4738"/>
  <c r="C4739"/>
  <c r="D4739"/>
  <c r="AX4739"/>
  <c r="C4740"/>
  <c r="D4740"/>
  <c r="AX4740"/>
  <c r="C4741"/>
  <c r="D4741"/>
  <c r="AX4741"/>
  <c r="C4742"/>
  <c r="D4742"/>
  <c r="AX4742"/>
  <c r="C4743"/>
  <c r="D4743"/>
  <c r="AX4743"/>
  <c r="C4744"/>
  <c r="D4744"/>
  <c r="AX4744"/>
  <c r="C4745"/>
  <c r="D4745"/>
  <c r="AX4745"/>
  <c r="C4746"/>
  <c r="D4746"/>
  <c r="AX4746"/>
  <c r="C4747"/>
  <c r="D4747"/>
  <c r="AX4747"/>
  <c r="C4748"/>
  <c r="D4748"/>
  <c r="AX4748"/>
  <c r="C4749"/>
  <c r="D4749"/>
  <c r="AX4749"/>
  <c r="C4750"/>
  <c r="D4750"/>
  <c r="AX4750"/>
  <c r="C4751"/>
  <c r="D4751"/>
  <c r="AX4751"/>
  <c r="C4752"/>
  <c r="D4752"/>
  <c r="AX4752"/>
  <c r="C4753"/>
  <c r="D4753"/>
  <c r="AX4753"/>
  <c r="C4754"/>
  <c r="D4754"/>
  <c r="AX4754"/>
  <c r="C4755"/>
  <c r="D4755"/>
  <c r="AX4755"/>
  <c r="C4756"/>
  <c r="D4756"/>
  <c r="AX4756"/>
  <c r="C4757"/>
  <c r="D4757"/>
  <c r="AX4757"/>
  <c r="C4758"/>
  <c r="D4758"/>
  <c r="AX4758"/>
  <c r="C4759"/>
  <c r="D4759"/>
  <c r="AX4759"/>
  <c r="C4760"/>
  <c r="D4760"/>
  <c r="AX4760"/>
  <c r="C4761"/>
  <c r="D4761"/>
  <c r="AX4761"/>
  <c r="C4762"/>
  <c r="D4762"/>
  <c r="AX4762"/>
  <c r="C4763"/>
  <c r="D4763"/>
  <c r="AX4763"/>
  <c r="C4764"/>
  <c r="D4764"/>
  <c r="AX4764"/>
  <c r="C4765"/>
  <c r="D4765"/>
  <c r="AX4765"/>
  <c r="C4766"/>
  <c r="D4766"/>
  <c r="AX4766"/>
  <c r="C4767"/>
  <c r="D4767"/>
  <c r="AX4767"/>
  <c r="C4768"/>
  <c r="D4768"/>
  <c r="AX4768"/>
  <c r="C4769"/>
  <c r="D4769"/>
  <c r="AX4769"/>
  <c r="C4770"/>
  <c r="D4770"/>
  <c r="AX4770"/>
  <c r="C4771"/>
  <c r="D4771"/>
  <c r="AX4771"/>
  <c r="C4772"/>
  <c r="D4772"/>
  <c r="AX4772"/>
  <c r="C4773"/>
  <c r="D4773"/>
  <c r="AX4773"/>
  <c r="C4774"/>
  <c r="D4774"/>
  <c r="AX4774"/>
  <c r="C4775"/>
  <c r="D4775"/>
  <c r="AX4775"/>
  <c r="C4776"/>
  <c r="D4776"/>
  <c r="AX4776"/>
  <c r="C4777"/>
  <c r="D4777"/>
  <c r="AX4777"/>
  <c r="C4778"/>
  <c r="D4778"/>
  <c r="AX4778"/>
  <c r="C4779"/>
  <c r="D4779"/>
  <c r="AX4779"/>
  <c r="C4780"/>
  <c r="D4780"/>
  <c r="AX4780"/>
  <c r="C4781"/>
  <c r="D4781"/>
  <c r="AX4781"/>
  <c r="C4782"/>
  <c r="D4782"/>
  <c r="AX4782"/>
  <c r="C4783"/>
  <c r="D4783"/>
  <c r="AX4783"/>
  <c r="C4784"/>
  <c r="D4784"/>
  <c r="AX4784"/>
  <c r="C4785"/>
  <c r="D4785"/>
  <c r="AX4785"/>
  <c r="C4786"/>
  <c r="D4786"/>
  <c r="AX4786"/>
  <c r="C4787"/>
  <c r="D4787"/>
  <c r="AX4787"/>
  <c r="C4788"/>
  <c r="D4788"/>
  <c r="AX4788"/>
  <c r="C4789"/>
  <c r="D4789"/>
  <c r="AX4789"/>
  <c r="C4790"/>
  <c r="D4790"/>
  <c r="AX4790"/>
  <c r="C4791"/>
  <c r="D4791"/>
  <c r="AX4791"/>
  <c r="C4792"/>
  <c r="D4792"/>
  <c r="AX4792"/>
  <c r="C4793"/>
  <c r="D4793"/>
  <c r="AX4793"/>
  <c r="C4794"/>
  <c r="D4794"/>
  <c r="AX4794"/>
  <c r="C4795"/>
  <c r="D4795"/>
  <c r="AX4795"/>
  <c r="C4796"/>
  <c r="D4796"/>
  <c r="AX4796"/>
  <c r="C4797"/>
  <c r="D4797"/>
  <c r="AX4797"/>
  <c r="C4798"/>
  <c r="D4798"/>
  <c r="AX4798"/>
  <c r="C4799"/>
  <c r="D4799"/>
  <c r="AX4799"/>
  <c r="C4800"/>
  <c r="D4800"/>
  <c r="AX4800"/>
  <c r="C4801"/>
  <c r="D4801"/>
  <c r="AX4801"/>
  <c r="C4802"/>
  <c r="D4802"/>
  <c r="AX4802"/>
  <c r="C4803"/>
  <c r="D4803"/>
  <c r="AX4803"/>
  <c r="C4804"/>
  <c r="D4804"/>
  <c r="AX4804"/>
  <c r="C4805"/>
  <c r="D4805"/>
  <c r="AX4805"/>
  <c r="C4806"/>
  <c r="D4806"/>
  <c r="AX4806"/>
  <c r="C4807"/>
  <c r="D4807"/>
  <c r="AX4807"/>
  <c r="C4808"/>
  <c r="D4808"/>
  <c r="AX4808"/>
  <c r="C4809"/>
  <c r="D4809"/>
  <c r="AX4809"/>
  <c r="C4810"/>
  <c r="D4810"/>
  <c r="AX4810"/>
  <c r="C4811"/>
  <c r="D4811"/>
  <c r="AX4811"/>
  <c r="C4812"/>
  <c r="D4812"/>
  <c r="AX4812"/>
  <c r="C4813"/>
  <c r="D4813"/>
  <c r="AX4813"/>
  <c r="C4814"/>
  <c r="D4814"/>
  <c r="AX4814"/>
  <c r="C4815"/>
  <c r="D4815"/>
  <c r="AX4815"/>
  <c r="C4816"/>
  <c r="D4816"/>
  <c r="AX4816"/>
  <c r="C4817"/>
  <c r="D4817"/>
  <c r="AX4817"/>
  <c r="C4818"/>
  <c r="D4818"/>
  <c r="AX4818"/>
  <c r="C4819"/>
  <c r="D4819"/>
  <c r="AX4819"/>
  <c r="C4820"/>
  <c r="D4820"/>
  <c r="AX4820"/>
  <c r="C4821"/>
  <c r="D4821"/>
  <c r="AX4821"/>
  <c r="C4822"/>
  <c r="D4822"/>
  <c r="AX4822"/>
  <c r="C4823"/>
  <c r="D4823"/>
  <c r="AX4823"/>
  <c r="C4824"/>
  <c r="D4824"/>
  <c r="AX4824"/>
  <c r="C4825"/>
  <c r="D4825"/>
  <c r="AX4825"/>
  <c r="C4826"/>
  <c r="D4826"/>
  <c r="AX4826"/>
  <c r="C4827"/>
  <c r="D4827"/>
  <c r="AX4827"/>
  <c r="C4828"/>
  <c r="D4828"/>
  <c r="AX4828"/>
  <c r="C4829"/>
  <c r="D4829"/>
  <c r="AX4829"/>
  <c r="C4830"/>
  <c r="D4830"/>
  <c r="AX4830"/>
  <c r="C4831"/>
  <c r="D4831"/>
  <c r="AX4831"/>
  <c r="C4832"/>
  <c r="D4832"/>
  <c r="AX4832"/>
  <c r="C4833"/>
  <c r="D4833"/>
  <c r="AX4833"/>
  <c r="C4834"/>
  <c r="D4834"/>
  <c r="AX4834"/>
  <c r="C4835"/>
  <c r="D4835"/>
  <c r="AX4835"/>
  <c r="C4836"/>
  <c r="D4836"/>
  <c r="AX4836"/>
  <c r="C4837"/>
  <c r="D4837"/>
  <c r="AX4837"/>
  <c r="C4838"/>
  <c r="D4838"/>
  <c r="AX4838"/>
  <c r="C4839"/>
  <c r="D4839"/>
  <c r="AX4839"/>
  <c r="C4840"/>
  <c r="D4840"/>
  <c r="AX4840"/>
  <c r="C4841"/>
  <c r="D4841"/>
  <c r="AX4841"/>
  <c r="C4842"/>
  <c r="D4842"/>
  <c r="AX4842"/>
  <c r="C4843"/>
  <c r="D4843"/>
  <c r="AX4843"/>
  <c r="C4844"/>
  <c r="D4844"/>
  <c r="AX4844"/>
  <c r="C4845"/>
  <c r="D4845"/>
  <c r="AX4845"/>
  <c r="C4846"/>
  <c r="D4846"/>
  <c r="AX4846"/>
  <c r="C4847"/>
  <c r="D4847"/>
  <c r="AX4847"/>
  <c r="C4848"/>
  <c r="D4848"/>
  <c r="AX4848"/>
  <c r="C4849"/>
  <c r="D4849"/>
  <c r="AX4849"/>
  <c r="C4850"/>
  <c r="D4850"/>
  <c r="AX4850"/>
  <c r="C4851"/>
  <c r="D4851"/>
  <c r="AX4851"/>
  <c r="C4852"/>
  <c r="D4852"/>
  <c r="AX4852"/>
  <c r="C4853"/>
  <c r="D4853"/>
  <c r="AX4853"/>
  <c r="C4854"/>
  <c r="D4854"/>
  <c r="AX4854"/>
  <c r="C4855"/>
  <c r="D4855"/>
  <c r="AX4855"/>
  <c r="C4856"/>
  <c r="D4856"/>
  <c r="AX4856"/>
  <c r="C4857"/>
  <c r="D4857"/>
  <c r="AX4857"/>
  <c r="C4858"/>
  <c r="D4858"/>
  <c r="AX4858"/>
  <c r="C4859"/>
  <c r="D4859"/>
  <c r="AX4859"/>
  <c r="C4860"/>
  <c r="D4860"/>
  <c r="AX4860"/>
  <c r="C4861"/>
  <c r="D4861"/>
  <c r="AX4861"/>
  <c r="C4862"/>
  <c r="D4862"/>
  <c r="AX4862"/>
  <c r="C4863"/>
  <c r="D4863"/>
  <c r="AX4863"/>
  <c r="C4864"/>
  <c r="D4864"/>
  <c r="AX4864"/>
  <c r="C4865"/>
  <c r="D4865"/>
  <c r="AX4865"/>
  <c r="C4866"/>
  <c r="D4866"/>
  <c r="AX4866"/>
  <c r="C4867"/>
  <c r="D4867"/>
  <c r="AX4867"/>
  <c r="C4868"/>
  <c r="D4868"/>
  <c r="AX4868"/>
  <c r="C4869"/>
  <c r="D4869"/>
  <c r="AX4869"/>
  <c r="C4870"/>
  <c r="D4870"/>
  <c r="AX4870"/>
  <c r="C4871"/>
  <c r="D4871"/>
  <c r="AX4871"/>
  <c r="C4872"/>
  <c r="D4872"/>
  <c r="AX4872"/>
  <c r="C4873"/>
  <c r="D4873"/>
  <c r="AX4873"/>
  <c r="C4874"/>
  <c r="D4874"/>
  <c r="AX4874"/>
  <c r="C4875"/>
  <c r="D4875"/>
  <c r="AX4875"/>
  <c r="C4876"/>
  <c r="D4876"/>
  <c r="AX4876"/>
  <c r="C4877"/>
  <c r="D4877"/>
  <c r="AX4877"/>
  <c r="C4878"/>
  <c r="D4878"/>
  <c r="AX4878"/>
  <c r="C4879"/>
  <c r="D4879"/>
  <c r="AX4879"/>
  <c r="C4880"/>
  <c r="D4880"/>
  <c r="AX4880"/>
  <c r="C4881"/>
  <c r="D4881"/>
  <c r="AX4881"/>
  <c r="C4882"/>
  <c r="D4882"/>
  <c r="AX4882"/>
  <c r="C4883"/>
  <c r="D4883"/>
  <c r="AX4883"/>
  <c r="C4884"/>
  <c r="D4884"/>
  <c r="AX4884"/>
  <c r="C4885"/>
  <c r="D4885"/>
  <c r="AX4885"/>
  <c r="C4886"/>
  <c r="D4886"/>
  <c r="AX4886"/>
  <c r="C4887"/>
  <c r="D4887"/>
  <c r="AX4887"/>
  <c r="C4888"/>
  <c r="D4888"/>
  <c r="AX4888"/>
  <c r="C4889"/>
  <c r="D4889"/>
  <c r="AX4889"/>
  <c r="C4890"/>
  <c r="D4890"/>
  <c r="AX4890"/>
  <c r="C4891"/>
  <c r="D4891"/>
  <c r="AX4891"/>
  <c r="C4892"/>
  <c r="D4892"/>
  <c r="AX4892"/>
  <c r="C4893"/>
  <c r="D4893"/>
  <c r="AX4893"/>
  <c r="C4894"/>
  <c r="D4894"/>
  <c r="AX4894"/>
  <c r="C4895"/>
  <c r="D4895"/>
  <c r="AX4895"/>
  <c r="C4896"/>
  <c r="D4896"/>
  <c r="AX4896"/>
  <c r="C4897"/>
  <c r="D4897"/>
  <c r="AX4897"/>
  <c r="C4898"/>
  <c r="D4898"/>
  <c r="AX4898"/>
  <c r="C4899"/>
  <c r="D4899"/>
  <c r="AX4899"/>
  <c r="C4900"/>
  <c r="D4900"/>
  <c r="AX4900"/>
  <c r="C4901"/>
  <c r="D4901"/>
  <c r="AX4901"/>
  <c r="C4902"/>
  <c r="D4902"/>
  <c r="AX4902"/>
  <c r="C4903"/>
  <c r="D4903"/>
  <c r="AX4903"/>
  <c r="C4904"/>
  <c r="D4904"/>
  <c r="AX4904"/>
  <c r="C4905"/>
  <c r="D4905"/>
  <c r="AX4905"/>
  <c r="C4906"/>
  <c r="D4906"/>
  <c r="AX4906"/>
  <c r="C4907"/>
  <c r="D4907"/>
  <c r="AX4907"/>
  <c r="C4908"/>
  <c r="D4908"/>
  <c r="AX4908"/>
  <c r="C4909"/>
  <c r="D4909"/>
  <c r="AX4909"/>
  <c r="C4910"/>
  <c r="D4910"/>
  <c r="AX4910"/>
  <c r="C4911"/>
  <c r="D4911"/>
  <c r="AX4911"/>
  <c r="C4912"/>
  <c r="D4912"/>
  <c r="AX4912"/>
  <c r="C4913"/>
  <c r="D4913"/>
  <c r="AX4913"/>
  <c r="C4914"/>
  <c r="D4914"/>
  <c r="AX4914"/>
  <c r="C4915"/>
  <c r="D4915"/>
  <c r="AX4915"/>
  <c r="C4916"/>
  <c r="D4916"/>
  <c r="AX4916"/>
  <c r="C4917"/>
  <c r="D4917"/>
  <c r="AX4917"/>
  <c r="C4918"/>
  <c r="D4918"/>
  <c r="AX4918"/>
  <c r="C4919"/>
  <c r="D4919"/>
  <c r="AX4919"/>
  <c r="C4920"/>
  <c r="D4920"/>
  <c r="AX4920"/>
  <c r="C4921"/>
  <c r="D4921"/>
  <c r="AX4921"/>
  <c r="C4922"/>
  <c r="D4922"/>
  <c r="AX4922"/>
  <c r="C4923"/>
  <c r="D4923"/>
  <c r="AX4923"/>
  <c r="C4924"/>
  <c r="D4924"/>
  <c r="AX4924"/>
  <c r="C4925"/>
  <c r="D4925"/>
  <c r="AX4925"/>
  <c r="C4926"/>
  <c r="D4926"/>
  <c r="AX4926"/>
  <c r="C4927"/>
  <c r="D4927"/>
  <c r="AX4927"/>
  <c r="C4928"/>
  <c r="D4928"/>
  <c r="AX4928"/>
  <c r="C4929"/>
  <c r="D4929"/>
  <c r="AX4929"/>
  <c r="C4930"/>
  <c r="D4930"/>
  <c r="AX4930"/>
  <c r="C4931"/>
  <c r="D4931"/>
  <c r="AX4931"/>
  <c r="C4932"/>
  <c r="D4932"/>
  <c r="AX4932"/>
  <c r="C4933"/>
  <c r="D4933"/>
  <c r="AX4933"/>
  <c r="C4934"/>
  <c r="D4934"/>
  <c r="AX4934"/>
  <c r="C4935"/>
  <c r="D4935"/>
  <c r="AX4935"/>
  <c r="C4936"/>
  <c r="D4936"/>
  <c r="AX4936"/>
  <c r="C4937"/>
  <c r="D4937"/>
  <c r="AX4937"/>
  <c r="C4938"/>
  <c r="D4938"/>
  <c r="AX4938"/>
  <c r="C4939"/>
  <c r="D4939"/>
  <c r="AX4939"/>
  <c r="C4940"/>
  <c r="D4940"/>
  <c r="AX4940"/>
  <c r="C4941"/>
  <c r="D4941"/>
  <c r="AX4941"/>
  <c r="C4942"/>
  <c r="D4942"/>
  <c r="AX4942"/>
  <c r="C4943"/>
  <c r="D4943"/>
  <c r="AX4943"/>
  <c r="C4944"/>
  <c r="D4944"/>
  <c r="AX4944"/>
  <c r="C4945"/>
  <c r="D4945"/>
  <c r="AX4945"/>
  <c r="C4946"/>
  <c r="D4946"/>
  <c r="AX4946"/>
  <c r="C4947"/>
  <c r="D4947"/>
  <c r="AX4947"/>
  <c r="C4948"/>
  <c r="D4948"/>
  <c r="AX4948"/>
  <c r="C4949"/>
  <c r="D4949"/>
  <c r="AX4949"/>
  <c r="C4950"/>
  <c r="D4950"/>
  <c r="AX4950"/>
  <c r="C4951"/>
  <c r="D4951"/>
  <c r="AX4951"/>
  <c r="C4952"/>
  <c r="D4952"/>
  <c r="AX4952"/>
  <c r="C4953"/>
  <c r="D4953"/>
  <c r="AX4953"/>
  <c r="C4954"/>
  <c r="D4954"/>
  <c r="AX4954"/>
  <c r="C4955"/>
  <c r="D4955"/>
  <c r="AX4955"/>
  <c r="C4956"/>
  <c r="D4956"/>
  <c r="AX4956"/>
  <c r="C4957"/>
  <c r="D4957"/>
  <c r="AX4957"/>
  <c r="C4958"/>
  <c r="D4958"/>
  <c r="AX4958"/>
  <c r="C4959"/>
  <c r="D4959"/>
  <c r="AX4959"/>
  <c r="C4960"/>
  <c r="D4960"/>
  <c r="AX4960"/>
  <c r="C4961"/>
  <c r="D4961"/>
  <c r="AX4961"/>
  <c r="C4962"/>
  <c r="D4962"/>
  <c r="AX4962"/>
  <c r="C4963"/>
  <c r="D4963"/>
  <c r="AX4963"/>
  <c r="C4964"/>
  <c r="D4964"/>
  <c r="AX4964"/>
  <c r="C4965"/>
  <c r="D4965"/>
  <c r="AX4965"/>
  <c r="C4966"/>
  <c r="D4966"/>
  <c r="AX4966"/>
  <c r="C4967"/>
  <c r="D4967"/>
  <c r="AX4967"/>
  <c r="C4968"/>
  <c r="D4968"/>
  <c r="AX4968"/>
  <c r="C4969"/>
  <c r="D4969"/>
  <c r="AX4969"/>
  <c r="C4970"/>
  <c r="D4970"/>
  <c r="AX4970"/>
  <c r="C4971"/>
  <c r="D4971"/>
  <c r="AX4971"/>
  <c r="C4972"/>
  <c r="D4972"/>
  <c r="AX4972"/>
  <c r="C4973"/>
  <c r="D4973"/>
  <c r="AX4973"/>
  <c r="C4974"/>
  <c r="D4974"/>
  <c r="AX4974"/>
  <c r="C4975"/>
  <c r="D4975"/>
  <c r="AX4975"/>
  <c r="C4976"/>
  <c r="D4976"/>
  <c r="AX4976"/>
  <c r="C4977"/>
  <c r="D4977"/>
  <c r="AX4977"/>
  <c r="C4978"/>
  <c r="D4978"/>
  <c r="AX4978"/>
  <c r="C4979"/>
  <c r="D4979"/>
  <c r="AX4979"/>
  <c r="C4980"/>
  <c r="D4980"/>
  <c r="AX4980"/>
  <c r="C4981"/>
  <c r="D4981"/>
  <c r="AX4981"/>
  <c r="C4982"/>
  <c r="D4982"/>
  <c r="AX4982"/>
  <c r="C4983"/>
  <c r="D4983"/>
  <c r="AX4983"/>
  <c r="C4984"/>
  <c r="D4984"/>
  <c r="AX4984"/>
  <c r="C4985"/>
  <c r="D4985"/>
  <c r="AX4985"/>
  <c r="C4986"/>
  <c r="D4986"/>
  <c r="AX4986"/>
  <c r="C4987"/>
  <c r="D4987"/>
  <c r="AX4987"/>
  <c r="C4988"/>
  <c r="D4988"/>
  <c r="AX4988"/>
  <c r="C4989"/>
  <c r="D4989"/>
  <c r="AX4989"/>
  <c r="C4990"/>
  <c r="D4990"/>
  <c r="AX4990"/>
  <c r="C4991"/>
  <c r="D4991"/>
  <c r="AX4991"/>
  <c r="C4992"/>
  <c r="D4992"/>
  <c r="AX4992"/>
  <c r="C4993"/>
  <c r="D4993"/>
  <c r="AX4993"/>
  <c r="C4994"/>
  <c r="D4994"/>
  <c r="AX4994"/>
  <c r="C4995"/>
  <c r="D4995"/>
  <c r="AX4995"/>
  <c r="C4996"/>
  <c r="D4996"/>
  <c r="AX4996"/>
  <c r="C4997"/>
  <c r="D4997"/>
  <c r="AX4997"/>
  <c r="C4998"/>
  <c r="D4998"/>
  <c r="AX4998"/>
  <c r="C4999"/>
  <c r="D4999"/>
  <c r="AX4999"/>
  <c r="C5000"/>
  <c r="D5000"/>
  <c r="AX5000"/>
  <c r="C5001"/>
  <c r="D5001"/>
  <c r="AX5001"/>
  <c r="C5002"/>
  <c r="D5002"/>
  <c r="AX5002"/>
  <c r="C5003"/>
  <c r="D5003"/>
  <c r="AX5003"/>
  <c r="C5004"/>
  <c r="D5004"/>
  <c r="AX5004"/>
  <c r="C5005"/>
  <c r="D5005"/>
  <c r="AX5005"/>
  <c r="C5006"/>
  <c r="D5006"/>
  <c r="AX5006"/>
  <c r="C5007"/>
  <c r="D5007"/>
  <c r="AX5007"/>
  <c r="C5008"/>
  <c r="D5008"/>
  <c r="AX5008"/>
  <c r="C5009"/>
  <c r="D5009"/>
  <c r="AX5009"/>
  <c r="C5010"/>
  <c r="D5010"/>
  <c r="AX5010"/>
  <c r="C5011"/>
  <c r="D5011"/>
  <c r="AX5011"/>
  <c r="C5012"/>
  <c r="D5012"/>
  <c r="AX5012"/>
  <c r="C5013"/>
  <c r="D5013"/>
  <c r="AX5013"/>
  <c r="C5014"/>
  <c r="D5014"/>
  <c r="AX5014"/>
  <c r="C5015"/>
  <c r="D5015"/>
  <c r="AX5015"/>
  <c r="C5016"/>
  <c r="D5016"/>
  <c r="AX5016"/>
  <c r="C5017"/>
  <c r="D5017"/>
  <c r="AX5017"/>
  <c r="C5018"/>
  <c r="D5018"/>
  <c r="AX5018"/>
  <c r="C5019"/>
  <c r="D5019"/>
  <c r="AX5019"/>
  <c r="C5020"/>
  <c r="D5020"/>
  <c r="AX5020"/>
  <c r="C5021"/>
  <c r="D5021"/>
  <c r="AX5021"/>
  <c r="C5022"/>
  <c r="D5022"/>
  <c r="AX5022"/>
  <c r="C5023"/>
  <c r="D5023"/>
  <c r="AX5023"/>
  <c r="C5024"/>
  <c r="D5024"/>
  <c r="AX5024"/>
  <c r="C5025"/>
  <c r="D5025"/>
  <c r="AX5025"/>
  <c r="C5026"/>
  <c r="D5026"/>
  <c r="AX5026"/>
  <c r="C5027"/>
  <c r="D5027"/>
  <c r="AX5027"/>
  <c r="C5028"/>
  <c r="D5028"/>
  <c r="AX5028"/>
  <c r="C5029"/>
  <c r="D5029"/>
  <c r="AX5029"/>
  <c r="C5030"/>
  <c r="D5030"/>
  <c r="AX5030"/>
  <c r="C5031"/>
  <c r="D5031"/>
  <c r="AX5031"/>
  <c r="C5032"/>
  <c r="D5032"/>
  <c r="AX5032"/>
  <c r="C5033"/>
  <c r="D5033"/>
  <c r="AX5033"/>
  <c r="C5034"/>
  <c r="D5034"/>
  <c r="AX5034"/>
  <c r="C5035"/>
  <c r="D5035"/>
  <c r="AX5035"/>
  <c r="C5036"/>
  <c r="D5036"/>
  <c r="AX5036"/>
  <c r="C5037"/>
  <c r="D5037"/>
  <c r="AX5037"/>
  <c r="C5038"/>
  <c r="D5038"/>
  <c r="AX5038"/>
  <c r="C5039"/>
  <c r="D5039"/>
  <c r="AX5039"/>
  <c r="C5040"/>
  <c r="D5040"/>
  <c r="AX5040"/>
  <c r="C5041"/>
  <c r="D5041"/>
  <c r="AX5041"/>
  <c r="C5042"/>
  <c r="D5042"/>
  <c r="AX5042"/>
  <c r="C5043"/>
  <c r="D5043"/>
  <c r="AX5043"/>
  <c r="C5044"/>
  <c r="D5044"/>
  <c r="AX5044"/>
  <c r="C5045"/>
  <c r="D5045"/>
  <c r="AX5045"/>
  <c r="C5046"/>
  <c r="D5046"/>
  <c r="AX5046"/>
  <c r="C5047"/>
  <c r="D5047"/>
  <c r="AX5047"/>
  <c r="C5048"/>
  <c r="D5048"/>
  <c r="AX5048"/>
  <c r="C5049"/>
  <c r="D5049"/>
  <c r="AX5049"/>
  <c r="C5050"/>
  <c r="D5050"/>
  <c r="AX5050"/>
  <c r="C5051"/>
  <c r="D5051"/>
  <c r="AX5051"/>
  <c r="C5052"/>
  <c r="D5052"/>
  <c r="AX5052"/>
  <c r="C5053"/>
  <c r="D5053"/>
  <c r="AX5053"/>
  <c r="C5054"/>
  <c r="D5054"/>
  <c r="AX5054"/>
  <c r="C5055"/>
  <c r="D5055"/>
  <c r="AX5055"/>
  <c r="C5056"/>
  <c r="D5056"/>
  <c r="AX5056"/>
  <c r="C5057"/>
  <c r="D5057"/>
  <c r="AX5057"/>
  <c r="C5058"/>
  <c r="D5058"/>
  <c r="AX5058"/>
  <c r="C5059"/>
  <c r="D5059"/>
  <c r="AX5059"/>
  <c r="C5060"/>
  <c r="D5060"/>
  <c r="AX5060"/>
  <c r="C5061"/>
  <c r="D5061"/>
  <c r="AX5061"/>
  <c r="C5062"/>
  <c r="D5062"/>
  <c r="AX5062"/>
  <c r="C5063"/>
  <c r="D5063"/>
  <c r="AX5063"/>
  <c r="C5064"/>
  <c r="D5064"/>
  <c r="AX5064"/>
  <c r="C5065"/>
  <c r="D5065"/>
  <c r="AX5065"/>
  <c r="C5066"/>
  <c r="D5066"/>
  <c r="AX5066"/>
  <c r="C5067"/>
  <c r="D5067"/>
  <c r="AX5067"/>
  <c r="C5068"/>
  <c r="D5068"/>
  <c r="AX5068"/>
  <c r="C5069"/>
  <c r="D5069"/>
  <c r="AX5069"/>
  <c r="C5070"/>
  <c r="D5070"/>
  <c r="AX5070"/>
  <c r="C5071"/>
  <c r="D5071"/>
  <c r="AX5071"/>
  <c r="C5072"/>
  <c r="D5072"/>
  <c r="AX5072"/>
  <c r="C5073"/>
  <c r="D5073"/>
  <c r="AX5073"/>
  <c r="C5074"/>
  <c r="D5074"/>
  <c r="AX5074"/>
  <c r="C5075"/>
  <c r="D5075"/>
  <c r="AX5075"/>
  <c r="C5076"/>
  <c r="D5076"/>
  <c r="AX5076"/>
  <c r="C5077"/>
  <c r="D5077"/>
  <c r="AX5077"/>
  <c r="C5078"/>
  <c r="D5078"/>
  <c r="AX5078"/>
  <c r="C5079"/>
  <c r="D5079"/>
  <c r="AX5079"/>
  <c r="C5080"/>
  <c r="D5080"/>
  <c r="AX5080"/>
  <c r="C5081"/>
  <c r="D5081"/>
  <c r="AX5081"/>
  <c r="C5082"/>
  <c r="D5082"/>
  <c r="AX5082"/>
  <c r="C5083"/>
  <c r="D5083"/>
  <c r="AX5083"/>
  <c r="C5084"/>
  <c r="D5084"/>
  <c r="AX5084"/>
  <c r="C5085"/>
  <c r="D5085"/>
  <c r="AX5085"/>
  <c r="C5086"/>
  <c r="D5086"/>
  <c r="AX5086"/>
  <c r="C5087"/>
  <c r="D5087"/>
  <c r="AX5087"/>
  <c r="C5088"/>
  <c r="D5088"/>
  <c r="AX5088"/>
  <c r="C5089"/>
  <c r="D5089"/>
  <c r="AX5089"/>
  <c r="C5090"/>
  <c r="D5090"/>
  <c r="AX5090"/>
  <c r="C5091"/>
  <c r="D5091"/>
  <c r="AX5091"/>
  <c r="C5092"/>
  <c r="D5092"/>
  <c r="AX5092"/>
  <c r="C5093"/>
  <c r="D5093"/>
  <c r="AX5093"/>
  <c r="C5094"/>
  <c r="D5094"/>
  <c r="AX5094"/>
  <c r="C5095"/>
  <c r="D5095"/>
  <c r="AX5095"/>
  <c r="C5096"/>
  <c r="D5096"/>
  <c r="AX5096"/>
  <c r="C5097"/>
  <c r="D5097"/>
  <c r="AX5097"/>
  <c r="C5098"/>
  <c r="D5098"/>
  <c r="AX5098"/>
  <c r="C5099"/>
  <c r="D5099"/>
  <c r="AX5099"/>
  <c r="C5100"/>
  <c r="D5100"/>
  <c r="AX5100"/>
  <c r="C5101"/>
  <c r="D5101"/>
  <c r="AX5101"/>
  <c r="C5102"/>
  <c r="D5102"/>
  <c r="AX5102"/>
  <c r="C5103"/>
  <c r="D5103"/>
  <c r="AX5103"/>
  <c r="C5104"/>
  <c r="D5104"/>
  <c r="AX5104"/>
  <c r="C5105"/>
  <c r="D5105"/>
  <c r="AX5105"/>
  <c r="C5106"/>
  <c r="D5106"/>
  <c r="AX5106"/>
  <c r="C5107"/>
  <c r="D5107"/>
  <c r="AX5107"/>
  <c r="C5108"/>
  <c r="D5108"/>
  <c r="AX5108"/>
  <c r="C5109"/>
  <c r="D5109"/>
  <c r="AX5109"/>
  <c r="C5110"/>
  <c r="D5110"/>
  <c r="AX5110"/>
  <c r="C5111"/>
  <c r="D5111"/>
  <c r="AX5111"/>
  <c r="C5112"/>
  <c r="D5112"/>
  <c r="AX5112"/>
  <c r="C5113"/>
  <c r="D5113"/>
  <c r="AX5113"/>
  <c r="C5114"/>
  <c r="D5114"/>
  <c r="AX5114"/>
  <c r="C5115"/>
  <c r="D5115"/>
  <c r="AX5115"/>
  <c r="C5116"/>
  <c r="D5116"/>
  <c r="AX5116"/>
  <c r="C5117"/>
  <c r="D5117"/>
  <c r="AX5117"/>
  <c r="C5118"/>
  <c r="D5118"/>
  <c r="AX5118"/>
  <c r="C5119"/>
  <c r="D5119"/>
  <c r="AX5119"/>
  <c r="C5120"/>
  <c r="D5120"/>
  <c r="AX5120"/>
  <c r="C5121"/>
  <c r="D5121"/>
  <c r="AX5121"/>
  <c r="C5122"/>
  <c r="D5122"/>
  <c r="AX5122"/>
  <c r="C5123"/>
  <c r="D5123"/>
  <c r="AX5123"/>
  <c r="C5124"/>
  <c r="D5124"/>
  <c r="AX5124"/>
  <c r="C5125"/>
  <c r="D5125"/>
  <c r="AX5125"/>
  <c r="C5126"/>
  <c r="D5126"/>
  <c r="AX5126"/>
  <c r="C5127"/>
  <c r="D5127"/>
  <c r="AX5127"/>
  <c r="C5128"/>
  <c r="D5128"/>
  <c r="AX5128"/>
  <c r="C5129"/>
  <c r="D5129"/>
  <c r="AX5129"/>
  <c r="C5130"/>
  <c r="D5130"/>
  <c r="AX5130"/>
  <c r="C5131"/>
  <c r="D5131"/>
  <c r="AX5131"/>
  <c r="C5132"/>
  <c r="D5132"/>
  <c r="AX5132"/>
  <c r="C5133"/>
  <c r="D5133"/>
  <c r="AX5133"/>
  <c r="C5134"/>
  <c r="D5134"/>
  <c r="AX5134"/>
  <c r="C5135"/>
  <c r="D5135"/>
  <c r="AX5135"/>
  <c r="C5136"/>
  <c r="D5136"/>
  <c r="AX5136"/>
  <c r="C5137"/>
  <c r="D5137"/>
  <c r="AX5137"/>
  <c r="C5138"/>
  <c r="D5138"/>
  <c r="AX5138"/>
  <c r="C5139"/>
  <c r="D5139"/>
  <c r="AX5139"/>
  <c r="C5140"/>
  <c r="D5140"/>
  <c r="AX5140"/>
  <c r="C5141"/>
  <c r="D5141"/>
  <c r="AX5141"/>
  <c r="C5142"/>
  <c r="D5142"/>
  <c r="AX5142"/>
  <c r="C5143"/>
  <c r="D5143"/>
  <c r="AX5143"/>
  <c r="C5144"/>
  <c r="D5144"/>
  <c r="AX5144"/>
  <c r="C5145"/>
  <c r="D5145"/>
  <c r="AX5145"/>
  <c r="C5146"/>
  <c r="D5146"/>
  <c r="AX5146"/>
  <c r="C5147"/>
  <c r="D5147"/>
  <c r="AX5147"/>
  <c r="C5148"/>
  <c r="D5148"/>
  <c r="AX5148"/>
  <c r="C5149"/>
  <c r="D5149"/>
  <c r="AX5149"/>
  <c r="C5150"/>
  <c r="D5150"/>
  <c r="AX5150"/>
  <c r="C5151"/>
  <c r="D5151"/>
  <c r="AX5151"/>
  <c r="C5152"/>
  <c r="D5152"/>
  <c r="AX5152"/>
  <c r="C5153"/>
  <c r="D5153"/>
  <c r="AX5153"/>
  <c r="C5154"/>
  <c r="D5154"/>
  <c r="AX5154"/>
  <c r="C5155"/>
  <c r="D5155"/>
  <c r="AX5155"/>
  <c r="C5156"/>
  <c r="D5156"/>
  <c r="AX5156"/>
  <c r="C5157"/>
  <c r="D5157"/>
  <c r="AX5157"/>
  <c r="C5158"/>
  <c r="D5158"/>
  <c r="AX5158"/>
  <c r="C5159"/>
  <c r="D5159"/>
  <c r="AX5159"/>
  <c r="C5160"/>
  <c r="D5160"/>
  <c r="AX5160"/>
  <c r="C5161"/>
  <c r="D5161"/>
  <c r="AX5161"/>
  <c r="C5162"/>
  <c r="D5162"/>
  <c r="AX5162"/>
  <c r="C5163"/>
  <c r="D5163"/>
  <c r="AX5163"/>
  <c r="C5164"/>
  <c r="D5164"/>
  <c r="AX5164"/>
  <c r="C5165"/>
  <c r="D5165"/>
  <c r="AX5165"/>
  <c r="C5166"/>
  <c r="D5166"/>
  <c r="AX5166"/>
  <c r="C5167"/>
  <c r="D5167"/>
  <c r="AX5167"/>
  <c r="C5168"/>
  <c r="D5168"/>
  <c r="AX5168"/>
  <c r="C5169"/>
  <c r="D5169"/>
  <c r="AX5169"/>
  <c r="C5170"/>
  <c r="D5170"/>
  <c r="AX5170"/>
  <c r="C5171"/>
  <c r="D5171"/>
  <c r="AX5171"/>
  <c r="C5172"/>
  <c r="D5172"/>
  <c r="AX5172"/>
  <c r="C5173"/>
  <c r="D5173"/>
  <c r="AX5173"/>
  <c r="C5174"/>
  <c r="D5174"/>
  <c r="AX5174"/>
  <c r="C5175"/>
  <c r="D5175"/>
  <c r="AX5175"/>
  <c r="C5176"/>
  <c r="D5176"/>
  <c r="AX5176"/>
  <c r="C5177"/>
  <c r="D5177"/>
  <c r="AX5177"/>
  <c r="C5178"/>
  <c r="D5178"/>
  <c r="AX5178"/>
  <c r="C5179"/>
  <c r="D5179"/>
  <c r="AX5179"/>
  <c r="C5180"/>
  <c r="D5180"/>
  <c r="AX5180"/>
  <c r="C5181"/>
  <c r="D5181"/>
  <c r="AX5181"/>
  <c r="C5182"/>
  <c r="D5182"/>
  <c r="AX5182"/>
  <c r="C5183"/>
  <c r="D5183"/>
  <c r="AX5183"/>
  <c r="C5184"/>
  <c r="D5184"/>
  <c r="AX5184"/>
  <c r="C5185"/>
  <c r="D5185"/>
  <c r="AX5185"/>
  <c r="C5186"/>
  <c r="D5186"/>
  <c r="AX5186"/>
  <c r="C5187"/>
  <c r="D5187"/>
  <c r="AX5187"/>
  <c r="C5188"/>
  <c r="D5188"/>
  <c r="AX5188"/>
  <c r="C5189"/>
  <c r="D5189"/>
  <c r="AX5189"/>
  <c r="C5190"/>
  <c r="D5190"/>
  <c r="AX5190"/>
  <c r="C5191"/>
  <c r="D5191"/>
  <c r="AX5191"/>
  <c r="C5192"/>
  <c r="D5192"/>
  <c r="AX5192"/>
  <c r="C5193"/>
  <c r="D5193"/>
  <c r="AX5193"/>
  <c r="C5194"/>
  <c r="D5194"/>
  <c r="AX5194"/>
  <c r="C5195"/>
  <c r="D5195"/>
  <c r="AX5195"/>
  <c r="C5196"/>
  <c r="D5196"/>
  <c r="AX5196"/>
  <c r="C5197"/>
  <c r="D5197"/>
  <c r="AX5197"/>
  <c r="C5198"/>
  <c r="D5198"/>
  <c r="AX5198"/>
  <c r="C5199"/>
  <c r="D5199"/>
  <c r="AX5199"/>
  <c r="C5200"/>
  <c r="D5200"/>
  <c r="AX5200"/>
  <c r="C5201"/>
  <c r="D5201"/>
  <c r="AX5201"/>
  <c r="C5202"/>
  <c r="D5202"/>
  <c r="AX5202"/>
  <c r="C5203"/>
  <c r="D5203"/>
  <c r="AX5203"/>
  <c r="C5204"/>
  <c r="D5204"/>
  <c r="AX5204"/>
  <c r="C5205"/>
  <c r="D5205"/>
  <c r="AX5205"/>
  <c r="C5206"/>
  <c r="D5206"/>
  <c r="AX5206"/>
  <c r="C5207"/>
  <c r="D5207"/>
  <c r="AX5207"/>
  <c r="C5208"/>
  <c r="D5208"/>
  <c r="AX5208"/>
  <c r="C5209"/>
  <c r="D5209"/>
  <c r="AX5209"/>
  <c r="C5210"/>
  <c r="D5210"/>
  <c r="AX5210"/>
  <c r="C5211"/>
  <c r="D5211"/>
  <c r="AX5211"/>
  <c r="C5212"/>
  <c r="D5212"/>
  <c r="AX5212"/>
  <c r="C5213"/>
  <c r="D5213"/>
  <c r="AX5213"/>
  <c r="C5214"/>
  <c r="D5214"/>
  <c r="AX5214"/>
  <c r="C5215"/>
  <c r="D5215"/>
  <c r="AX5215"/>
  <c r="C5216"/>
  <c r="D5216"/>
  <c r="AX5216"/>
  <c r="C5217"/>
  <c r="D5217"/>
  <c r="AX5217"/>
  <c r="C5218"/>
  <c r="D5218"/>
  <c r="AX5218"/>
  <c r="C5219"/>
  <c r="D5219"/>
  <c r="AX5219"/>
  <c r="C5220"/>
  <c r="D5220"/>
  <c r="AX5220"/>
  <c r="C5221"/>
  <c r="D5221"/>
  <c r="AX5221"/>
  <c r="C5222"/>
  <c r="D5222"/>
  <c r="AX5222"/>
  <c r="C5223"/>
  <c r="D5223"/>
  <c r="AX5223"/>
  <c r="C5224"/>
  <c r="D5224"/>
  <c r="AX5224"/>
  <c r="C5225"/>
  <c r="D5225"/>
  <c r="AX5225"/>
  <c r="C5226"/>
  <c r="D5226"/>
  <c r="AX5226"/>
  <c r="C5227"/>
  <c r="D5227"/>
  <c r="AX5227"/>
  <c r="C5228"/>
  <c r="D5228"/>
  <c r="AX5228"/>
  <c r="C5229"/>
  <c r="D5229"/>
  <c r="AX5229"/>
  <c r="C5230"/>
  <c r="D5230"/>
  <c r="AX5230"/>
  <c r="C5231"/>
  <c r="D5231"/>
  <c r="AX5231"/>
  <c r="C5232"/>
  <c r="D5232"/>
  <c r="AX5232"/>
  <c r="C5233"/>
  <c r="D5233"/>
  <c r="AX5233"/>
  <c r="C5234"/>
  <c r="D5234"/>
  <c r="AX5234"/>
  <c r="C5235"/>
  <c r="D5235"/>
  <c r="AX5235"/>
  <c r="C5236"/>
  <c r="D5236"/>
  <c r="AX5236"/>
  <c r="C5237"/>
  <c r="D5237"/>
  <c r="AX5237"/>
  <c r="C5238"/>
  <c r="D5238"/>
  <c r="AX5238"/>
  <c r="C5239"/>
  <c r="D5239"/>
  <c r="AX5239"/>
  <c r="C5240"/>
  <c r="D5240"/>
  <c r="AX5240"/>
  <c r="C5241"/>
  <c r="D5241"/>
  <c r="AX5241"/>
  <c r="C5242"/>
  <c r="D5242"/>
  <c r="AX5242"/>
  <c r="C5243"/>
  <c r="D5243"/>
  <c r="AX5243"/>
  <c r="C5244"/>
  <c r="D5244"/>
  <c r="AX5244"/>
  <c r="C5245"/>
  <c r="D5245"/>
  <c r="AX5245"/>
  <c r="C5246"/>
  <c r="D5246"/>
  <c r="AX5246"/>
  <c r="C5247"/>
  <c r="D5247"/>
  <c r="AX5247"/>
  <c r="C5248"/>
  <c r="D5248"/>
  <c r="AX5248"/>
  <c r="C5249"/>
  <c r="D5249"/>
  <c r="AX5249"/>
  <c r="C5250"/>
  <c r="D5250"/>
  <c r="AX5250"/>
  <c r="C5251"/>
  <c r="D5251"/>
  <c r="AX5251"/>
  <c r="C5252"/>
  <c r="D5252"/>
  <c r="AX5252"/>
  <c r="C5253"/>
  <c r="D5253"/>
  <c r="AX5253"/>
  <c r="C5254"/>
  <c r="D5254"/>
  <c r="AX5254"/>
  <c r="C5255"/>
  <c r="D5255"/>
  <c r="AX5255"/>
  <c r="C5256"/>
  <c r="D5256"/>
  <c r="AX5256"/>
  <c r="C5257"/>
  <c r="D5257"/>
  <c r="AX5257"/>
  <c r="C5258"/>
  <c r="D5258"/>
  <c r="AX5258"/>
  <c r="C5259"/>
  <c r="D5259"/>
  <c r="AX5259"/>
  <c r="C5260"/>
  <c r="D5260"/>
  <c r="AX5260"/>
  <c r="C5261"/>
  <c r="D5261"/>
  <c r="AX5261"/>
  <c r="C5262"/>
  <c r="D5262"/>
  <c r="AX5262"/>
  <c r="C5263"/>
  <c r="D5263"/>
  <c r="AX5263"/>
  <c r="C5264"/>
  <c r="D5264"/>
  <c r="AX5264"/>
  <c r="C5265"/>
  <c r="D5265"/>
  <c r="AX5265"/>
  <c r="C5266"/>
  <c r="D5266"/>
  <c r="AX5266"/>
  <c r="C5267"/>
  <c r="D5267"/>
  <c r="AX5267"/>
  <c r="C5268"/>
  <c r="D5268"/>
  <c r="AX5268"/>
  <c r="C5269"/>
  <c r="D5269"/>
  <c r="AX5269"/>
  <c r="C5270"/>
  <c r="D5270"/>
  <c r="AX5270"/>
  <c r="C5271"/>
  <c r="D5271"/>
  <c r="AX5271"/>
  <c r="C5272"/>
  <c r="D5272"/>
  <c r="AX5272"/>
  <c r="C5273"/>
  <c r="D5273"/>
  <c r="AX5273"/>
  <c r="C5274"/>
  <c r="D5274"/>
  <c r="AX5274"/>
  <c r="C5275"/>
  <c r="D5275"/>
  <c r="AX5275"/>
  <c r="C5276"/>
  <c r="D5276"/>
  <c r="AX5276"/>
  <c r="C5277"/>
  <c r="D5277"/>
  <c r="AX5277"/>
  <c r="C5278"/>
  <c r="D5278"/>
  <c r="AX5278"/>
  <c r="C5279"/>
  <c r="D5279"/>
  <c r="AX5279"/>
  <c r="C5280"/>
  <c r="D5280"/>
  <c r="AX5280"/>
  <c r="C5281"/>
  <c r="D5281"/>
  <c r="AX5281"/>
  <c r="C5282"/>
  <c r="D5282"/>
  <c r="AX5282"/>
  <c r="C5283"/>
  <c r="D5283"/>
  <c r="AX5283"/>
  <c r="C5284"/>
  <c r="D5284"/>
  <c r="AX5284"/>
  <c r="C5285"/>
  <c r="D5285"/>
  <c r="AX5285"/>
  <c r="C5286"/>
  <c r="D5286"/>
  <c r="AX5286"/>
  <c r="C5287"/>
  <c r="D5287"/>
  <c r="AX5287"/>
  <c r="C5288"/>
  <c r="D5288"/>
  <c r="AX5288"/>
  <c r="C5289"/>
  <c r="D5289"/>
  <c r="AX5289"/>
  <c r="C5290"/>
  <c r="D5290"/>
  <c r="AX5290"/>
  <c r="C5291"/>
  <c r="D5291"/>
  <c r="AX5291"/>
  <c r="C5292"/>
  <c r="D5292"/>
  <c r="AX5292"/>
  <c r="C5293"/>
  <c r="D5293"/>
  <c r="AX5293"/>
  <c r="C5294"/>
  <c r="D5294"/>
  <c r="AX5294"/>
  <c r="C5295"/>
  <c r="D5295"/>
  <c r="AX5295"/>
  <c r="C5296"/>
  <c r="D5296"/>
  <c r="AX5296"/>
  <c r="C5297"/>
  <c r="D5297"/>
  <c r="AX5297"/>
  <c r="C5298"/>
  <c r="D5298"/>
  <c r="AX5298"/>
  <c r="C5299"/>
  <c r="D5299"/>
  <c r="AX5299"/>
  <c r="C5300"/>
  <c r="D5300"/>
  <c r="AX5300"/>
  <c r="C5301"/>
  <c r="D5301"/>
  <c r="AX5301"/>
  <c r="C5302"/>
  <c r="D5302"/>
  <c r="AX5302"/>
  <c r="C5303"/>
  <c r="D5303"/>
  <c r="AX5303"/>
  <c r="C5304"/>
  <c r="D5304"/>
  <c r="AX5304"/>
  <c r="C5305"/>
  <c r="D5305"/>
  <c r="AX5305"/>
  <c r="C5306"/>
  <c r="D5306"/>
  <c r="AX5306"/>
  <c r="C5307"/>
  <c r="D5307"/>
  <c r="AX5307"/>
  <c r="C5308"/>
  <c r="D5308"/>
  <c r="AX5308"/>
  <c r="C5309"/>
  <c r="D5309"/>
  <c r="AX5309"/>
  <c r="C5310"/>
  <c r="D5310"/>
  <c r="AX5310"/>
  <c r="C5311"/>
  <c r="D5311"/>
  <c r="AX5311"/>
  <c r="C5312"/>
  <c r="D5312"/>
  <c r="AX5312"/>
  <c r="C5313"/>
  <c r="D5313"/>
  <c r="AX5313"/>
  <c r="C5314"/>
  <c r="D5314"/>
  <c r="AX5314"/>
  <c r="C5315"/>
  <c r="D5315"/>
  <c r="AX5315"/>
  <c r="C5316"/>
  <c r="D5316"/>
  <c r="AX5316"/>
  <c r="C5317"/>
  <c r="D5317"/>
  <c r="AX5317"/>
  <c r="C5318"/>
  <c r="D5318"/>
  <c r="AX5318"/>
  <c r="C5319"/>
  <c r="D5319"/>
  <c r="AX5319"/>
  <c r="C5320"/>
  <c r="D5320"/>
  <c r="AX5320"/>
  <c r="C5321"/>
  <c r="D5321"/>
  <c r="AX5321"/>
  <c r="C5322"/>
  <c r="D5322"/>
  <c r="AX5322"/>
  <c r="C5323"/>
  <c r="D5323"/>
  <c r="AX5323"/>
  <c r="C5324"/>
  <c r="D5324"/>
  <c r="AX5324"/>
  <c r="C5325"/>
  <c r="D5325"/>
  <c r="AX5325"/>
  <c r="C5326"/>
  <c r="D5326"/>
  <c r="AX5326"/>
  <c r="C5327"/>
  <c r="D5327"/>
  <c r="AX5327"/>
  <c r="C5328"/>
  <c r="D5328"/>
  <c r="AX5328"/>
  <c r="C5329"/>
  <c r="D5329"/>
  <c r="AX5329"/>
  <c r="C5330"/>
  <c r="D5330"/>
  <c r="AX5330"/>
  <c r="C5331"/>
  <c r="D5331"/>
  <c r="AX5331"/>
  <c r="C5332"/>
  <c r="D5332"/>
  <c r="AX5332"/>
  <c r="C5333"/>
  <c r="D5333"/>
  <c r="AX5333"/>
  <c r="C5334"/>
  <c r="D5334"/>
  <c r="AX5334"/>
  <c r="C5335"/>
  <c r="D5335"/>
  <c r="AX5335"/>
  <c r="C5336"/>
  <c r="D5336"/>
  <c r="AX5336"/>
  <c r="C5337"/>
  <c r="D5337"/>
  <c r="AX5337"/>
  <c r="C5338"/>
  <c r="D5338"/>
  <c r="AX5338"/>
  <c r="C5339"/>
  <c r="D5339"/>
  <c r="AX5339"/>
  <c r="C5340"/>
  <c r="D5340"/>
  <c r="AX5340"/>
  <c r="C5341"/>
  <c r="D5341"/>
  <c r="AX5341"/>
  <c r="C5342"/>
  <c r="D5342"/>
  <c r="AX5342"/>
  <c r="C5343"/>
  <c r="D5343"/>
  <c r="AX5343"/>
  <c r="C5344"/>
  <c r="D5344"/>
  <c r="AX5344"/>
  <c r="C5345"/>
  <c r="D5345"/>
  <c r="AX5345"/>
  <c r="C5346"/>
  <c r="D5346"/>
  <c r="AX5346"/>
  <c r="C5347"/>
  <c r="D5347"/>
  <c r="AX5347"/>
  <c r="C5348"/>
  <c r="D5348"/>
  <c r="AX5348"/>
  <c r="C5349"/>
  <c r="D5349"/>
  <c r="AX5349"/>
  <c r="C5350"/>
  <c r="D5350"/>
  <c r="AX5350"/>
  <c r="C5351"/>
  <c r="D5351"/>
  <c r="AX5351"/>
  <c r="C5352"/>
  <c r="D5352"/>
  <c r="AX5352"/>
  <c r="C5353"/>
  <c r="D5353"/>
  <c r="AX5353"/>
  <c r="C5354"/>
  <c r="D5354"/>
  <c r="AX5354"/>
  <c r="C5355"/>
  <c r="D5355"/>
  <c r="AX5355"/>
  <c r="C5356"/>
  <c r="D5356"/>
  <c r="AX5356"/>
  <c r="C5357"/>
  <c r="D5357"/>
  <c r="AX5357"/>
  <c r="C5358"/>
  <c r="D5358"/>
  <c r="AX5358"/>
  <c r="C5359"/>
  <c r="D5359"/>
  <c r="AX5359"/>
  <c r="C5360"/>
  <c r="D5360"/>
  <c r="AX5360"/>
  <c r="C5361"/>
  <c r="D5361"/>
  <c r="AX5361"/>
  <c r="C5362"/>
  <c r="D5362"/>
  <c r="AX5362"/>
  <c r="C5363"/>
  <c r="D5363"/>
  <c r="AX5363"/>
  <c r="C5364"/>
  <c r="D5364"/>
  <c r="AX5364"/>
  <c r="C5365"/>
  <c r="D5365"/>
  <c r="AX5365"/>
  <c r="C5366"/>
  <c r="D5366"/>
  <c r="AX5366"/>
  <c r="C5367"/>
  <c r="D5367"/>
  <c r="AX5367"/>
  <c r="C5368"/>
  <c r="D5368"/>
  <c r="AX5368"/>
  <c r="C5369"/>
  <c r="D5369"/>
  <c r="AX5369"/>
  <c r="C5370"/>
  <c r="D5370"/>
  <c r="AX5370"/>
  <c r="C5371"/>
  <c r="D5371"/>
  <c r="AX5371"/>
  <c r="C5372"/>
  <c r="D5372"/>
  <c r="AX5372"/>
  <c r="C5373"/>
  <c r="D5373"/>
  <c r="AX5373"/>
  <c r="C5374"/>
  <c r="D5374"/>
  <c r="AX5374"/>
  <c r="C5375"/>
  <c r="D5375"/>
  <c r="AX5375"/>
  <c r="C5376"/>
  <c r="D5376"/>
  <c r="AX5376"/>
  <c r="C5377"/>
  <c r="D5377"/>
  <c r="AX5377"/>
  <c r="C5378"/>
  <c r="D5378"/>
  <c r="AX5378"/>
  <c r="C5379"/>
  <c r="D5379"/>
  <c r="AX5379"/>
  <c r="C5380"/>
  <c r="D5380"/>
  <c r="AX5380"/>
  <c r="C5381"/>
  <c r="D5381"/>
  <c r="AX5381"/>
  <c r="C5382"/>
  <c r="D5382"/>
  <c r="AX5382"/>
  <c r="C5383"/>
  <c r="D5383"/>
  <c r="AX5383"/>
  <c r="C5384"/>
  <c r="D5384"/>
  <c r="AX5384"/>
  <c r="C5385"/>
  <c r="D5385"/>
  <c r="AX5385"/>
  <c r="C5386"/>
  <c r="D5386"/>
  <c r="AX5386"/>
  <c r="C5387"/>
  <c r="D5387"/>
  <c r="AX5387"/>
  <c r="C5388"/>
  <c r="D5388"/>
  <c r="AX5388"/>
  <c r="C5389"/>
  <c r="D5389"/>
  <c r="AX5389"/>
  <c r="C5390"/>
  <c r="D5390"/>
  <c r="AX5390"/>
  <c r="C5391"/>
  <c r="D5391"/>
  <c r="AX5391"/>
  <c r="C5392"/>
  <c r="D5392"/>
  <c r="AX5392"/>
  <c r="C5393"/>
  <c r="D5393"/>
  <c r="AX5393"/>
  <c r="C5394"/>
  <c r="D5394"/>
  <c r="AX5394"/>
  <c r="C5395"/>
  <c r="D5395"/>
  <c r="AX5395"/>
  <c r="C5396"/>
  <c r="D5396"/>
  <c r="AX5396"/>
  <c r="C5397"/>
  <c r="D5397"/>
  <c r="AX5397"/>
  <c r="C5398"/>
  <c r="D5398"/>
  <c r="AX5398"/>
  <c r="C5399"/>
  <c r="D5399"/>
  <c r="AX5399"/>
  <c r="C5400"/>
  <c r="D5400"/>
  <c r="AX5400"/>
  <c r="C5401"/>
  <c r="D5401"/>
  <c r="AX5401"/>
  <c r="C5402"/>
  <c r="D5402"/>
  <c r="AX5402"/>
  <c r="C5403"/>
  <c r="D5403"/>
  <c r="AX5403"/>
  <c r="C5404"/>
  <c r="D5404"/>
  <c r="AX5404"/>
  <c r="C5405"/>
  <c r="D5405"/>
  <c r="AX5405"/>
  <c r="C5406"/>
  <c r="D5406"/>
  <c r="AX5406"/>
  <c r="C5407"/>
  <c r="D5407"/>
  <c r="AX5407"/>
  <c r="C5408"/>
  <c r="D5408"/>
  <c r="AX5408"/>
  <c r="C5409"/>
  <c r="D5409"/>
  <c r="AX5409"/>
  <c r="C5410"/>
  <c r="D5410"/>
  <c r="AX5410"/>
  <c r="C5411"/>
  <c r="D5411"/>
  <c r="AX5411"/>
  <c r="C5412"/>
  <c r="D5412"/>
  <c r="AX5412"/>
  <c r="C5413"/>
  <c r="D5413"/>
  <c r="AX5413"/>
  <c r="C5414"/>
  <c r="D5414"/>
  <c r="AX5414"/>
  <c r="C5415"/>
  <c r="D5415"/>
  <c r="AX5415"/>
  <c r="C5416"/>
  <c r="D5416"/>
  <c r="AX5416"/>
  <c r="C5417"/>
  <c r="D5417"/>
  <c r="AX5417"/>
  <c r="C5418"/>
  <c r="D5418"/>
  <c r="AX5418"/>
  <c r="C5419"/>
  <c r="D5419"/>
  <c r="AX5419"/>
  <c r="C5420"/>
  <c r="D5420"/>
  <c r="AX5420"/>
  <c r="C5421"/>
  <c r="D5421"/>
  <c r="AX5421"/>
  <c r="C5422"/>
  <c r="D5422"/>
  <c r="AX5422"/>
  <c r="C5423"/>
  <c r="D5423"/>
  <c r="AX5423"/>
  <c r="C5424"/>
  <c r="D5424"/>
  <c r="AX5424"/>
  <c r="C5425"/>
  <c r="D5425"/>
  <c r="AX5425"/>
  <c r="C5426"/>
  <c r="D5426"/>
  <c r="AX5426"/>
  <c r="C5427"/>
  <c r="D5427"/>
  <c r="AX5427"/>
  <c r="C5428"/>
  <c r="D5428"/>
  <c r="AX5428"/>
  <c r="C5429"/>
  <c r="D5429"/>
  <c r="AX5429"/>
  <c r="C5430"/>
  <c r="D5430"/>
  <c r="AX5430"/>
  <c r="C5431"/>
  <c r="D5431"/>
  <c r="AX5431"/>
  <c r="C5432"/>
  <c r="D5432"/>
  <c r="AX5432"/>
  <c r="C5433"/>
  <c r="D5433"/>
  <c r="AX5433"/>
  <c r="C5434"/>
  <c r="D5434"/>
  <c r="AX5434"/>
  <c r="C5435"/>
  <c r="D5435"/>
  <c r="AX5435"/>
  <c r="C5436"/>
  <c r="D5436"/>
  <c r="AX5436"/>
  <c r="C5437"/>
  <c r="D5437"/>
  <c r="AX5437"/>
  <c r="C5438"/>
  <c r="D5438"/>
  <c r="AX5438"/>
  <c r="C5439"/>
  <c r="D5439"/>
  <c r="AX5439"/>
  <c r="C5440"/>
  <c r="D5440"/>
  <c r="AX5440"/>
  <c r="C5441"/>
  <c r="D5441"/>
  <c r="AX5441"/>
  <c r="C5442"/>
  <c r="D5442"/>
  <c r="AX5442"/>
  <c r="C5443"/>
  <c r="D5443"/>
  <c r="AX5443"/>
  <c r="C5444"/>
  <c r="D5444"/>
  <c r="AX5444"/>
  <c r="C5445"/>
  <c r="D5445"/>
  <c r="AX5445"/>
  <c r="C5446"/>
  <c r="D5446"/>
  <c r="AX5446"/>
  <c r="C5447"/>
  <c r="D5447"/>
  <c r="AX5447"/>
  <c r="C5448"/>
  <c r="D5448"/>
  <c r="AX5448"/>
  <c r="C5449"/>
  <c r="D5449"/>
  <c r="AX5449"/>
  <c r="C5450"/>
  <c r="D5450"/>
  <c r="AX5450"/>
  <c r="C5451"/>
  <c r="D5451"/>
  <c r="AX5451"/>
  <c r="C5452"/>
  <c r="D5452"/>
  <c r="AX5452"/>
  <c r="C5453"/>
  <c r="D5453"/>
  <c r="AX5453"/>
  <c r="C5454"/>
  <c r="D5454"/>
  <c r="AX5454"/>
  <c r="C5455"/>
  <c r="D5455"/>
  <c r="AX5455"/>
  <c r="C5456"/>
  <c r="D5456"/>
  <c r="AX5456"/>
  <c r="C5457"/>
  <c r="D5457"/>
  <c r="AX5457"/>
  <c r="C5458"/>
  <c r="D5458"/>
  <c r="AX5458"/>
  <c r="C5459"/>
  <c r="D5459"/>
  <c r="AX5459"/>
  <c r="C5460"/>
  <c r="D5460"/>
  <c r="AX5460"/>
  <c r="C5461"/>
  <c r="D5461"/>
  <c r="AX5461"/>
  <c r="C5462"/>
  <c r="D5462"/>
  <c r="AX5462"/>
  <c r="C5463"/>
  <c r="D5463"/>
  <c r="AX5463"/>
  <c r="C5464"/>
  <c r="D5464"/>
  <c r="AX5464"/>
  <c r="C5465"/>
  <c r="D5465"/>
  <c r="AX5465"/>
  <c r="C5466"/>
  <c r="D5466"/>
  <c r="AX5466"/>
  <c r="C5467"/>
  <c r="D5467"/>
  <c r="AX5467"/>
  <c r="C5468"/>
  <c r="D5468"/>
  <c r="AX5468"/>
  <c r="C5469"/>
  <c r="D5469"/>
  <c r="AX5469"/>
  <c r="C5470"/>
  <c r="D5470"/>
  <c r="AX5470"/>
  <c r="C5471"/>
  <c r="D5471"/>
  <c r="AX5471"/>
  <c r="C5472"/>
  <c r="D5472"/>
  <c r="AX5472"/>
  <c r="C5473"/>
  <c r="D5473"/>
  <c r="AX5473"/>
  <c r="C5474"/>
  <c r="D5474"/>
  <c r="AX5474"/>
  <c r="C5475"/>
  <c r="D5475"/>
  <c r="AX5475"/>
  <c r="C5476"/>
  <c r="D5476"/>
  <c r="AX5476"/>
  <c r="C5477"/>
  <c r="D5477"/>
  <c r="AX5477"/>
  <c r="C5478"/>
  <c r="D5478"/>
  <c r="AX5478"/>
  <c r="C5479"/>
  <c r="D5479"/>
  <c r="AX5479"/>
  <c r="C5480"/>
  <c r="D5480"/>
  <c r="AX5480"/>
  <c r="C5481"/>
  <c r="D5481"/>
  <c r="AX5481"/>
  <c r="C5482"/>
  <c r="D5482"/>
  <c r="AX5482"/>
  <c r="C5483"/>
  <c r="D5483"/>
  <c r="AX5483"/>
  <c r="C5484"/>
  <c r="D5484"/>
  <c r="AX5484"/>
  <c r="C5485"/>
  <c r="D5485"/>
  <c r="AX5485"/>
  <c r="C5486"/>
  <c r="D5486"/>
  <c r="AX5486"/>
  <c r="C5487"/>
  <c r="D5487"/>
  <c r="AX5487"/>
  <c r="C5488"/>
  <c r="D5488"/>
  <c r="AX5488"/>
  <c r="C5489"/>
  <c r="D5489"/>
  <c r="AX5489"/>
  <c r="C5490"/>
  <c r="D5490"/>
  <c r="AX5490"/>
  <c r="C5491"/>
  <c r="D5491"/>
  <c r="AX5491"/>
  <c r="C5492"/>
  <c r="D5492"/>
  <c r="AX5492"/>
  <c r="C5493"/>
  <c r="D5493"/>
  <c r="AX5493"/>
  <c r="C5494"/>
  <c r="D5494"/>
  <c r="AX5494"/>
  <c r="C5495"/>
  <c r="D5495"/>
  <c r="AX5495"/>
  <c r="C5496"/>
  <c r="D5496"/>
  <c r="AX5496"/>
  <c r="C5497"/>
  <c r="D5497"/>
  <c r="AX5497"/>
  <c r="C5498"/>
  <c r="D5498"/>
  <c r="AX5498"/>
  <c r="C5499"/>
  <c r="D5499"/>
  <c r="AX5499"/>
  <c r="C5500"/>
  <c r="D5500"/>
  <c r="AX5500"/>
  <c r="C5501"/>
  <c r="D5501"/>
  <c r="AX5501"/>
  <c r="C5502"/>
  <c r="D5502"/>
  <c r="AX5502"/>
  <c r="C5503"/>
  <c r="D5503"/>
  <c r="AX5503"/>
  <c r="C5504"/>
  <c r="D5504"/>
  <c r="AX5504"/>
  <c r="C5505"/>
  <c r="D5505"/>
  <c r="AX5505"/>
  <c r="C5506"/>
  <c r="D5506"/>
  <c r="AX5506"/>
  <c r="C5507"/>
  <c r="D5507"/>
  <c r="AX5507"/>
  <c r="C5508"/>
  <c r="D5508"/>
  <c r="AX5508"/>
  <c r="C5509"/>
  <c r="D5509"/>
  <c r="AX5509"/>
  <c r="C5510"/>
  <c r="D5510"/>
  <c r="AX5510"/>
  <c r="C5511"/>
  <c r="D5511"/>
  <c r="AX5511"/>
  <c r="C5512"/>
  <c r="D5512"/>
  <c r="AX5512"/>
  <c r="C5513"/>
  <c r="D5513"/>
  <c r="AX5513"/>
  <c r="C5514"/>
  <c r="D5514"/>
  <c r="AX5514"/>
  <c r="C5515"/>
  <c r="D5515"/>
  <c r="AX5515"/>
  <c r="C5516"/>
  <c r="D5516"/>
  <c r="AX5516"/>
  <c r="C5517"/>
  <c r="D5517"/>
  <c r="AX5517"/>
  <c r="C5518"/>
  <c r="D5518"/>
  <c r="AX5518"/>
  <c r="C5519"/>
  <c r="D5519"/>
  <c r="AX5519"/>
  <c r="C5520"/>
  <c r="D5520"/>
  <c r="AX5520"/>
  <c r="C5521"/>
  <c r="D5521"/>
  <c r="AX5521"/>
  <c r="C5522"/>
  <c r="D5522"/>
  <c r="AX5522"/>
  <c r="C5523"/>
  <c r="D5523"/>
  <c r="AX5523"/>
  <c r="C5524"/>
  <c r="D5524"/>
  <c r="AX5524"/>
  <c r="C5525"/>
  <c r="D5525"/>
  <c r="AX5525"/>
  <c r="C5526"/>
  <c r="D5526"/>
  <c r="AX5526"/>
  <c r="C5527"/>
  <c r="D5527"/>
  <c r="AX5527"/>
  <c r="C5528"/>
  <c r="D5528"/>
  <c r="AX5528"/>
  <c r="C5529"/>
  <c r="D5529"/>
  <c r="AX5529"/>
  <c r="C5530"/>
  <c r="D5530"/>
  <c r="AX5530"/>
  <c r="C5531"/>
  <c r="D5531"/>
  <c r="AX5531"/>
  <c r="C5532"/>
  <c r="D5532"/>
  <c r="AX5532"/>
  <c r="C5533"/>
  <c r="D5533"/>
  <c r="AX5533"/>
  <c r="C5534"/>
  <c r="D5534"/>
  <c r="AX5534"/>
  <c r="C5535"/>
  <c r="D5535"/>
  <c r="AX5535"/>
  <c r="C5536"/>
  <c r="D5536"/>
  <c r="AX5536"/>
  <c r="C5537"/>
  <c r="D5537"/>
  <c r="AX5537"/>
  <c r="C5538"/>
  <c r="D5538"/>
  <c r="AX5538"/>
  <c r="C5539"/>
  <c r="D5539"/>
  <c r="AX5539"/>
  <c r="C5540"/>
  <c r="D5540"/>
  <c r="AX5540"/>
  <c r="C5541"/>
  <c r="D5541"/>
  <c r="AX5541"/>
  <c r="C5542"/>
  <c r="D5542"/>
  <c r="AX5542"/>
  <c r="C5543"/>
  <c r="D5543"/>
  <c r="AX5543"/>
  <c r="C5544"/>
  <c r="D5544"/>
  <c r="AX5544"/>
  <c r="C5545"/>
  <c r="D5545"/>
  <c r="AX5545"/>
  <c r="C5546"/>
  <c r="D5546"/>
  <c r="AX5546"/>
  <c r="C5547"/>
  <c r="D5547"/>
  <c r="AX5547"/>
  <c r="C5548"/>
  <c r="D5548"/>
  <c r="AX5548"/>
  <c r="C5549"/>
  <c r="D5549"/>
  <c r="AX5549"/>
  <c r="C5550"/>
  <c r="D5550"/>
  <c r="AX5550"/>
  <c r="C5551"/>
  <c r="D5551"/>
  <c r="AX5551"/>
  <c r="C5552"/>
  <c r="D5552"/>
  <c r="AX5552"/>
  <c r="C5553"/>
  <c r="D5553"/>
  <c r="AX5553"/>
  <c r="C5554"/>
  <c r="D5554"/>
  <c r="AX5554"/>
  <c r="C5555"/>
  <c r="D5555"/>
  <c r="AX5555"/>
  <c r="C5556"/>
  <c r="D5556"/>
  <c r="AX5556"/>
  <c r="C5557"/>
  <c r="D5557"/>
  <c r="AX5557"/>
  <c r="C5558"/>
  <c r="D5558"/>
  <c r="AX5558"/>
  <c r="C5559"/>
  <c r="D5559"/>
  <c r="AX5559"/>
  <c r="C5560"/>
  <c r="D5560"/>
  <c r="AX5560"/>
  <c r="C5561"/>
  <c r="D5561"/>
  <c r="AX5561"/>
  <c r="C5562"/>
  <c r="D5562"/>
  <c r="AX5562"/>
  <c r="C5563"/>
  <c r="D5563"/>
  <c r="AX5563"/>
  <c r="C5564"/>
  <c r="D5564"/>
  <c r="AX5564"/>
  <c r="C5565"/>
  <c r="D5565"/>
  <c r="AX5565"/>
  <c r="C5566"/>
  <c r="D5566"/>
  <c r="AX5566"/>
  <c r="C5567"/>
  <c r="D5567"/>
  <c r="AX5567"/>
  <c r="C5568"/>
  <c r="D5568"/>
  <c r="AX5568"/>
  <c r="C5569"/>
  <c r="D5569"/>
  <c r="AX5569"/>
  <c r="C5570"/>
  <c r="D5570"/>
  <c r="AX5570"/>
  <c r="C5571"/>
  <c r="D5571"/>
  <c r="AX5571"/>
  <c r="C5572"/>
  <c r="D5572"/>
  <c r="AX5572"/>
  <c r="C5573"/>
  <c r="D5573"/>
  <c r="AX5573"/>
  <c r="C5574"/>
  <c r="D5574"/>
  <c r="AX5574"/>
  <c r="C5575"/>
  <c r="D5575"/>
  <c r="AX5575"/>
  <c r="C5576"/>
  <c r="D5576"/>
  <c r="AX5576"/>
  <c r="C5577"/>
  <c r="D5577"/>
  <c r="AX5577"/>
  <c r="C5578"/>
  <c r="D5578"/>
  <c r="AX5578"/>
  <c r="C5579"/>
  <c r="D5579"/>
  <c r="AX5579"/>
  <c r="C5580"/>
  <c r="D5580"/>
  <c r="AX5580"/>
  <c r="C5581"/>
  <c r="D5581"/>
  <c r="AX5581"/>
  <c r="C5582"/>
  <c r="D5582"/>
  <c r="AX5582"/>
  <c r="C5583"/>
  <c r="D5583"/>
  <c r="AX5583"/>
  <c r="C5584"/>
  <c r="D5584"/>
  <c r="AX5584"/>
  <c r="C5585"/>
  <c r="D5585"/>
  <c r="AX5585"/>
  <c r="C5586"/>
  <c r="D5586"/>
  <c r="AX5586"/>
  <c r="C5587"/>
  <c r="D5587"/>
  <c r="AX5587"/>
  <c r="C5588"/>
  <c r="D5588"/>
  <c r="AX5588"/>
  <c r="C5589"/>
  <c r="D5589"/>
  <c r="AX5589"/>
  <c r="C5590"/>
  <c r="D5590"/>
  <c r="AX5590"/>
  <c r="C5591"/>
  <c r="D5591"/>
  <c r="AX5591"/>
  <c r="C5592"/>
  <c r="D5592"/>
  <c r="AX5592"/>
  <c r="C5593"/>
  <c r="D5593"/>
  <c r="AX5593"/>
  <c r="C5594"/>
  <c r="D5594"/>
  <c r="AX5594"/>
  <c r="C5595"/>
  <c r="D5595"/>
  <c r="AX5595"/>
  <c r="C5596"/>
  <c r="D5596"/>
  <c r="AX5596"/>
  <c r="C5597"/>
  <c r="D5597"/>
  <c r="AX5597"/>
  <c r="C5598"/>
  <c r="D5598"/>
  <c r="AX5598"/>
  <c r="C5599"/>
  <c r="D5599"/>
  <c r="AX5599"/>
  <c r="C5600"/>
  <c r="D5600"/>
  <c r="AX5600"/>
  <c r="C5601"/>
  <c r="D5601"/>
  <c r="AX5601"/>
  <c r="C5602"/>
  <c r="D5602"/>
  <c r="AX5602"/>
  <c r="C5603"/>
  <c r="D5603"/>
  <c r="AX5603"/>
  <c r="C5604"/>
  <c r="D5604"/>
  <c r="AX5604"/>
  <c r="C5605"/>
  <c r="D5605"/>
  <c r="AX5605"/>
  <c r="C5606"/>
  <c r="D5606"/>
  <c r="AX5606"/>
  <c r="C5607"/>
  <c r="D5607"/>
  <c r="AX5607"/>
  <c r="C5608"/>
  <c r="D5608"/>
  <c r="AX5608"/>
  <c r="C5609"/>
  <c r="D5609"/>
  <c r="AX5609"/>
  <c r="C5610"/>
  <c r="D5610"/>
  <c r="AX5610"/>
  <c r="C5611"/>
  <c r="D5611"/>
  <c r="AX5611"/>
  <c r="C5612"/>
  <c r="D5612"/>
  <c r="AX5612"/>
  <c r="C5613"/>
  <c r="D5613"/>
  <c r="AX5613"/>
  <c r="C5614"/>
  <c r="D5614"/>
  <c r="AX5614"/>
  <c r="C5615"/>
  <c r="D5615"/>
  <c r="AX5615"/>
  <c r="C5616"/>
  <c r="D5616"/>
  <c r="AX5616"/>
  <c r="C5617"/>
  <c r="D5617"/>
  <c r="AX5617"/>
  <c r="C5618"/>
  <c r="D5618"/>
  <c r="AX5618"/>
  <c r="C5619"/>
  <c r="D5619"/>
  <c r="AX5619"/>
  <c r="C5620"/>
  <c r="D5620"/>
  <c r="AX5620"/>
  <c r="C5621"/>
  <c r="D5621"/>
  <c r="AX5621"/>
  <c r="C5622"/>
  <c r="D5622"/>
  <c r="AX5622"/>
  <c r="C5623"/>
  <c r="D5623"/>
  <c r="AX5623"/>
  <c r="C5624"/>
  <c r="D5624"/>
  <c r="AX5624"/>
  <c r="C5625"/>
  <c r="D5625"/>
  <c r="AX5625"/>
  <c r="C5626"/>
  <c r="D5626"/>
  <c r="AX5626"/>
  <c r="C5627"/>
  <c r="D5627"/>
  <c r="AX5627"/>
  <c r="C5628"/>
  <c r="D5628"/>
  <c r="AX5628"/>
  <c r="C5629"/>
  <c r="D5629"/>
  <c r="AX5629"/>
  <c r="C5630"/>
  <c r="D5630"/>
  <c r="AX5630"/>
  <c r="C5631"/>
  <c r="D5631"/>
  <c r="AX5631"/>
  <c r="C5632"/>
  <c r="D5632"/>
  <c r="AX5632"/>
  <c r="C5633"/>
  <c r="D5633"/>
  <c r="AX5633"/>
  <c r="C5634"/>
  <c r="D5634"/>
  <c r="AX5634"/>
  <c r="C5635"/>
  <c r="D5635"/>
  <c r="AX5635"/>
  <c r="C5636"/>
  <c r="D5636"/>
  <c r="AX5636"/>
  <c r="C5637"/>
  <c r="D5637"/>
  <c r="AX5637"/>
  <c r="C5638"/>
  <c r="D5638"/>
  <c r="AX5638"/>
  <c r="C5639"/>
  <c r="D5639"/>
  <c r="AX5639"/>
  <c r="C5640"/>
  <c r="D5640"/>
  <c r="AX5640"/>
  <c r="C5641"/>
  <c r="D5641"/>
  <c r="AX5641"/>
  <c r="C5642"/>
  <c r="D5642"/>
  <c r="AX5642"/>
  <c r="C5643"/>
  <c r="D5643"/>
  <c r="AX5643"/>
  <c r="C5644"/>
  <c r="D5644"/>
  <c r="AX5644"/>
  <c r="C5645"/>
  <c r="D5645"/>
  <c r="AX5645"/>
  <c r="C5646"/>
  <c r="D5646"/>
  <c r="AX5646"/>
  <c r="C5647"/>
  <c r="D5647"/>
  <c r="AX5647"/>
  <c r="C5648"/>
  <c r="D5648"/>
  <c r="AX5648"/>
  <c r="C5649"/>
  <c r="D5649"/>
  <c r="AX5649"/>
  <c r="C5650"/>
  <c r="D5650"/>
  <c r="AX5650"/>
  <c r="C5651"/>
  <c r="D5651"/>
  <c r="AX5651"/>
  <c r="C5652"/>
  <c r="D5652"/>
  <c r="AX5652"/>
  <c r="C5653"/>
  <c r="D5653"/>
  <c r="AX5653"/>
  <c r="C5654"/>
  <c r="D5654"/>
  <c r="AX5654"/>
  <c r="C5655"/>
  <c r="D5655"/>
  <c r="AX5655"/>
  <c r="C5656"/>
  <c r="D5656"/>
  <c r="AX5656"/>
  <c r="C5657"/>
  <c r="D5657"/>
  <c r="AX5657"/>
  <c r="C5658"/>
  <c r="D5658"/>
  <c r="AX5658"/>
  <c r="C5659"/>
  <c r="D5659"/>
  <c r="AX5659"/>
  <c r="C5660"/>
  <c r="D5660"/>
  <c r="AX5660"/>
  <c r="C5661"/>
  <c r="D5661"/>
  <c r="AX5661"/>
  <c r="C5662"/>
  <c r="D5662"/>
  <c r="AX5662"/>
  <c r="C5663"/>
  <c r="D5663"/>
  <c r="AX5663"/>
  <c r="C5664"/>
  <c r="D5664"/>
  <c r="AX5664"/>
  <c r="C5665"/>
  <c r="D5665"/>
  <c r="AX5665"/>
  <c r="C5666"/>
  <c r="D5666"/>
  <c r="AX5666"/>
  <c r="C5667"/>
  <c r="D5667"/>
  <c r="AX5667"/>
  <c r="C5668"/>
  <c r="D5668"/>
  <c r="AX5668"/>
  <c r="C5669"/>
  <c r="D5669"/>
  <c r="AX5669"/>
  <c r="C5670"/>
  <c r="D5670"/>
  <c r="AX5670"/>
  <c r="C5671"/>
  <c r="D5671"/>
  <c r="AX5671"/>
  <c r="C5672"/>
  <c r="D5672"/>
  <c r="AX5672"/>
  <c r="C5673"/>
  <c r="D5673"/>
  <c r="AX5673"/>
  <c r="C5674"/>
  <c r="D5674"/>
  <c r="AX5674"/>
  <c r="C5675"/>
  <c r="D5675"/>
  <c r="AX5675"/>
  <c r="C5676"/>
  <c r="D5676"/>
  <c r="AX5676"/>
  <c r="C5677"/>
  <c r="D5677"/>
  <c r="AX5677"/>
  <c r="C5678"/>
  <c r="D5678"/>
  <c r="AX5678"/>
  <c r="C5679"/>
  <c r="D5679"/>
  <c r="AX5679"/>
  <c r="C5680"/>
  <c r="D5680"/>
  <c r="AX5680"/>
  <c r="C5681"/>
  <c r="D5681"/>
  <c r="AX5681"/>
  <c r="C5682"/>
  <c r="D5682"/>
  <c r="AX5682"/>
  <c r="C5683"/>
  <c r="D5683"/>
  <c r="AX5683"/>
  <c r="C5684"/>
  <c r="D5684"/>
  <c r="AX5684"/>
  <c r="C5685"/>
  <c r="D5685"/>
  <c r="AX5685"/>
  <c r="C5686"/>
  <c r="D5686"/>
  <c r="AX5686"/>
  <c r="C5687"/>
  <c r="D5687"/>
  <c r="AX5687"/>
  <c r="C5688"/>
  <c r="D5688"/>
  <c r="AX5688"/>
  <c r="C5689"/>
  <c r="D5689"/>
  <c r="AX5689"/>
  <c r="C5690"/>
  <c r="D5690"/>
  <c r="AX5690"/>
  <c r="C5691"/>
  <c r="D5691"/>
  <c r="AX5691"/>
  <c r="C5692"/>
  <c r="D5692"/>
  <c r="AX5692"/>
  <c r="C5693"/>
  <c r="D5693"/>
  <c r="AX5693"/>
  <c r="C5694"/>
  <c r="D5694"/>
  <c r="AX5694"/>
  <c r="C5695"/>
  <c r="D5695"/>
  <c r="AX5695"/>
  <c r="C5696"/>
  <c r="D5696"/>
  <c r="AX5696"/>
  <c r="C5697"/>
  <c r="D5697"/>
  <c r="AX5697"/>
  <c r="C5698"/>
  <c r="D5698"/>
  <c r="AX5698"/>
  <c r="C5699"/>
  <c r="D5699"/>
  <c r="AX5699"/>
  <c r="C5700"/>
  <c r="D5700"/>
  <c r="AX5700"/>
  <c r="C5701"/>
  <c r="D5701"/>
  <c r="AX5701"/>
  <c r="C5702"/>
  <c r="D5702"/>
  <c r="AX5702"/>
  <c r="C5703"/>
  <c r="D5703"/>
  <c r="AX5703"/>
  <c r="C5704"/>
  <c r="D5704"/>
  <c r="AX5704"/>
  <c r="C5705"/>
  <c r="D5705"/>
  <c r="AX5705"/>
  <c r="C5706"/>
  <c r="D5706"/>
  <c r="AX5706"/>
  <c r="C5707"/>
  <c r="D5707"/>
  <c r="AX5707"/>
  <c r="C5708"/>
  <c r="D5708"/>
  <c r="AX5708"/>
  <c r="C5709"/>
  <c r="D5709"/>
  <c r="AX5709"/>
  <c r="C5710"/>
  <c r="D5710"/>
  <c r="AX5710"/>
  <c r="C5711"/>
  <c r="D5711"/>
  <c r="AX5711"/>
  <c r="C5712"/>
  <c r="D5712"/>
  <c r="AX5712"/>
  <c r="C5713"/>
  <c r="D5713"/>
  <c r="AX5713"/>
  <c r="C5714"/>
  <c r="D5714"/>
  <c r="AX5714"/>
  <c r="C5715"/>
  <c r="D5715"/>
  <c r="AX5715"/>
  <c r="C5716"/>
  <c r="D5716"/>
  <c r="AX5716"/>
  <c r="C5717"/>
  <c r="D5717"/>
  <c r="AX5717"/>
  <c r="C5718"/>
  <c r="D5718"/>
  <c r="AX5718"/>
  <c r="C5719"/>
  <c r="D5719"/>
  <c r="AX5719"/>
  <c r="C5720"/>
  <c r="D5720"/>
  <c r="AX5720"/>
  <c r="C5721"/>
  <c r="D5721"/>
  <c r="AX5721"/>
  <c r="C5722"/>
  <c r="D5722"/>
  <c r="AX5722"/>
  <c r="C5723"/>
  <c r="D5723"/>
  <c r="AX5723"/>
  <c r="C5724"/>
  <c r="D5724"/>
  <c r="AX5724"/>
  <c r="C5725"/>
  <c r="D5725"/>
  <c r="AX5725"/>
  <c r="C5726"/>
  <c r="D5726"/>
  <c r="AX5726"/>
  <c r="C5727"/>
  <c r="D5727"/>
  <c r="AX5727"/>
  <c r="C5728"/>
  <c r="D5728"/>
  <c r="AX5728"/>
  <c r="C5729"/>
  <c r="D5729"/>
  <c r="AX5729"/>
  <c r="C5730"/>
  <c r="D5730"/>
  <c r="AX5730"/>
  <c r="C5731"/>
  <c r="D5731"/>
  <c r="AX5731"/>
  <c r="C5732"/>
  <c r="D5732"/>
  <c r="AX5732"/>
  <c r="C5733"/>
  <c r="D5733"/>
  <c r="AX5733"/>
  <c r="C5734"/>
  <c r="D5734"/>
  <c r="AX5734"/>
  <c r="C5735"/>
  <c r="D5735"/>
  <c r="AX5735"/>
  <c r="C5736"/>
  <c r="D5736"/>
  <c r="AX5736"/>
  <c r="C5737"/>
  <c r="D5737"/>
  <c r="AX5737"/>
  <c r="C5738"/>
  <c r="D5738"/>
  <c r="AX5738"/>
  <c r="C5739"/>
  <c r="D5739"/>
  <c r="AX5739"/>
  <c r="C5740"/>
  <c r="D5740"/>
  <c r="AX5740"/>
  <c r="C5741"/>
  <c r="D5741"/>
  <c r="AX5741"/>
  <c r="C5742"/>
  <c r="D5742"/>
  <c r="AX5742"/>
  <c r="C5743"/>
  <c r="D5743"/>
  <c r="AX5743"/>
  <c r="C5744"/>
  <c r="D5744"/>
  <c r="AX5744"/>
  <c r="C5745"/>
  <c r="D5745"/>
  <c r="AX5745"/>
  <c r="C5746"/>
  <c r="D5746"/>
  <c r="AX5746"/>
  <c r="C5747"/>
  <c r="D5747"/>
  <c r="AX5747"/>
  <c r="C5748"/>
  <c r="D5748"/>
  <c r="AX5748"/>
  <c r="C5749"/>
  <c r="D5749"/>
  <c r="AX5749"/>
  <c r="C5750"/>
  <c r="D5750"/>
  <c r="AX5750"/>
  <c r="C5751"/>
  <c r="D5751"/>
  <c r="AX5751"/>
  <c r="C5752"/>
  <c r="D5752"/>
  <c r="AX5752"/>
  <c r="C5753"/>
  <c r="D5753"/>
  <c r="AX5753"/>
  <c r="C5754"/>
  <c r="D5754"/>
  <c r="AX5754"/>
  <c r="C5755"/>
  <c r="D5755"/>
  <c r="AX5755"/>
  <c r="C5756"/>
  <c r="D5756"/>
  <c r="AX5756"/>
  <c r="C5757"/>
  <c r="D5757"/>
  <c r="AX5757"/>
  <c r="C5758"/>
  <c r="D5758"/>
  <c r="AX5758"/>
  <c r="C5759"/>
  <c r="D5759"/>
  <c r="AX5759"/>
  <c r="C5760"/>
  <c r="D5760"/>
  <c r="AX5760"/>
  <c r="C5761"/>
  <c r="D5761"/>
  <c r="AX5761"/>
  <c r="C5762"/>
  <c r="D5762"/>
  <c r="AX5762"/>
  <c r="C5763"/>
  <c r="D5763"/>
  <c r="AX5763"/>
  <c r="C5764"/>
  <c r="D5764"/>
  <c r="AX5764"/>
  <c r="C5765"/>
  <c r="D5765"/>
  <c r="AX5765"/>
  <c r="C5766"/>
  <c r="D5766"/>
  <c r="AX5766"/>
  <c r="C5767"/>
  <c r="D5767"/>
  <c r="AX5767"/>
  <c r="C5768"/>
  <c r="D5768"/>
  <c r="AX5768"/>
  <c r="C5769"/>
  <c r="D5769"/>
  <c r="AX5769"/>
  <c r="C5770"/>
  <c r="D5770"/>
  <c r="AX5770"/>
  <c r="C5771"/>
  <c r="D5771"/>
  <c r="AX5771"/>
  <c r="C5772"/>
  <c r="D5772"/>
  <c r="AX5772"/>
  <c r="C5773"/>
  <c r="D5773"/>
  <c r="AX5773"/>
  <c r="C5774"/>
  <c r="D5774"/>
  <c r="AX5774"/>
  <c r="C5775"/>
  <c r="D5775"/>
  <c r="AX5775"/>
  <c r="C5776"/>
  <c r="D5776"/>
  <c r="AX5776"/>
  <c r="C5777"/>
  <c r="D5777"/>
  <c r="AX5777"/>
  <c r="C5778"/>
  <c r="D5778"/>
  <c r="AX5778"/>
  <c r="C5779"/>
  <c r="D5779"/>
  <c r="AX5779"/>
  <c r="C5780"/>
  <c r="D5780"/>
  <c r="AX5780"/>
  <c r="C5781"/>
  <c r="D5781"/>
  <c r="AX5781"/>
  <c r="C5782"/>
  <c r="D5782"/>
  <c r="AX5782"/>
  <c r="C5783"/>
  <c r="D5783"/>
  <c r="AX5783"/>
  <c r="C5784"/>
  <c r="D5784"/>
  <c r="AX5784"/>
  <c r="C5785"/>
  <c r="D5785"/>
  <c r="AX5785"/>
  <c r="C5786"/>
  <c r="D5786"/>
  <c r="AX5786"/>
  <c r="C5787"/>
  <c r="D5787"/>
  <c r="AX5787"/>
  <c r="C5788"/>
  <c r="D5788"/>
  <c r="AX5788"/>
  <c r="C5789"/>
  <c r="D5789"/>
  <c r="AX5789"/>
  <c r="C5790"/>
  <c r="D5790"/>
  <c r="AX5790"/>
  <c r="C5791"/>
  <c r="D5791"/>
  <c r="AX5791"/>
  <c r="C5792"/>
  <c r="D5792"/>
  <c r="AX5792"/>
  <c r="C5793"/>
  <c r="D5793"/>
  <c r="AX5793"/>
  <c r="C5794"/>
  <c r="D5794"/>
  <c r="AX5794"/>
  <c r="C5795"/>
  <c r="D5795"/>
  <c r="AX5795"/>
  <c r="C5796"/>
  <c r="D5796"/>
  <c r="AX5796"/>
  <c r="C5797"/>
  <c r="D5797"/>
  <c r="AX5797"/>
  <c r="C5798"/>
  <c r="D5798"/>
  <c r="AX5798"/>
  <c r="C5799"/>
  <c r="D5799"/>
  <c r="AX5799"/>
  <c r="C5800"/>
  <c r="D5800"/>
  <c r="AX5800"/>
  <c r="C5801"/>
  <c r="D5801"/>
  <c r="AX5801"/>
  <c r="C5802"/>
  <c r="D5802"/>
  <c r="AX5802"/>
  <c r="C5803"/>
  <c r="D5803"/>
  <c r="AX5803"/>
  <c r="C5804"/>
  <c r="D5804"/>
  <c r="AX5804"/>
  <c r="C5805"/>
  <c r="D5805"/>
  <c r="AX5805"/>
  <c r="C5806"/>
  <c r="D5806"/>
  <c r="AX5806"/>
  <c r="C5807"/>
  <c r="D5807"/>
  <c r="AX5807"/>
  <c r="C5808"/>
  <c r="D5808"/>
  <c r="AX5808"/>
  <c r="C5809"/>
  <c r="D5809"/>
  <c r="AX5809"/>
  <c r="C5810"/>
  <c r="D5810"/>
  <c r="AX5810"/>
  <c r="C5811"/>
  <c r="D5811"/>
  <c r="AX5811"/>
  <c r="C5812"/>
  <c r="D5812"/>
  <c r="AX5812"/>
  <c r="C5813"/>
  <c r="D5813"/>
  <c r="AX5813"/>
  <c r="C5814"/>
  <c r="D5814"/>
  <c r="AX5814"/>
  <c r="C5815"/>
  <c r="D5815"/>
  <c r="AX5815"/>
  <c r="C5816"/>
  <c r="D5816"/>
  <c r="AX5816"/>
  <c r="C5817"/>
  <c r="D5817"/>
  <c r="AX5817"/>
  <c r="C5818"/>
  <c r="D5818"/>
  <c r="AX5818"/>
  <c r="C5819"/>
  <c r="D5819"/>
  <c r="AX5819"/>
  <c r="C5820"/>
  <c r="D5820"/>
  <c r="AX5820"/>
  <c r="C5821"/>
  <c r="D5821"/>
  <c r="AX5821"/>
  <c r="C5822"/>
  <c r="D5822"/>
  <c r="AX5822"/>
  <c r="C5823"/>
  <c r="D5823"/>
  <c r="AX5823"/>
  <c r="C5824"/>
  <c r="D5824"/>
  <c r="AX5824"/>
  <c r="C5825"/>
  <c r="D5825"/>
  <c r="AX5825"/>
  <c r="C5826"/>
  <c r="D5826"/>
  <c r="AX5826"/>
  <c r="C5827"/>
  <c r="D5827"/>
  <c r="AX5827"/>
  <c r="C5828"/>
  <c r="D5828"/>
  <c r="AX5828"/>
  <c r="C5829"/>
  <c r="D5829"/>
  <c r="AX5829"/>
  <c r="C5830"/>
  <c r="D5830"/>
  <c r="AX5830"/>
  <c r="C5831"/>
  <c r="D5831"/>
  <c r="AX5831"/>
  <c r="C5832"/>
  <c r="D5832"/>
  <c r="AX5832"/>
  <c r="C5833"/>
  <c r="D5833"/>
  <c r="AX5833"/>
  <c r="C5834"/>
  <c r="D5834"/>
  <c r="AX5834"/>
  <c r="C5835"/>
  <c r="D5835"/>
  <c r="AX5835"/>
  <c r="C5836"/>
  <c r="D5836"/>
  <c r="AX5836"/>
  <c r="C5837"/>
  <c r="D5837"/>
  <c r="AX5837"/>
  <c r="C5838"/>
  <c r="D5838"/>
  <c r="AX5838"/>
  <c r="C5839"/>
  <c r="D5839"/>
  <c r="AX5839"/>
  <c r="C5840"/>
  <c r="D5840"/>
  <c r="AX5840"/>
  <c r="C5841"/>
  <c r="D5841"/>
  <c r="AX5841"/>
  <c r="C5842"/>
  <c r="D5842"/>
  <c r="AX5842"/>
  <c r="C5843"/>
  <c r="D5843"/>
  <c r="AX5843"/>
  <c r="C5844"/>
  <c r="D5844"/>
  <c r="AX5844"/>
  <c r="C5845"/>
  <c r="D5845"/>
  <c r="AX5845"/>
  <c r="C5846"/>
  <c r="D5846"/>
  <c r="AX5846"/>
  <c r="C5847"/>
  <c r="D5847"/>
  <c r="AX5847"/>
  <c r="C5848"/>
  <c r="D5848"/>
  <c r="AX5848"/>
  <c r="C5849"/>
  <c r="D5849"/>
  <c r="AX5849"/>
  <c r="C5850"/>
  <c r="D5850"/>
  <c r="AX5850"/>
  <c r="C5851"/>
  <c r="D5851"/>
  <c r="AX5851"/>
  <c r="C5852"/>
  <c r="D5852"/>
  <c r="AX5852"/>
  <c r="C5853"/>
  <c r="D5853"/>
  <c r="AX5853"/>
  <c r="C5854"/>
  <c r="D5854"/>
  <c r="AX5854"/>
  <c r="C5855"/>
  <c r="D5855"/>
  <c r="AX5855"/>
  <c r="C5856"/>
  <c r="D5856"/>
  <c r="AX5856"/>
  <c r="C5857"/>
  <c r="D5857"/>
  <c r="AX5857"/>
  <c r="C5858"/>
  <c r="D5858"/>
  <c r="AX5858"/>
  <c r="C5859"/>
  <c r="D5859"/>
  <c r="AX5859"/>
  <c r="C5860"/>
  <c r="D5860"/>
  <c r="AX5860"/>
  <c r="C5861"/>
  <c r="D5861"/>
  <c r="AX5861"/>
  <c r="C5862"/>
  <c r="D5862"/>
  <c r="AX5862"/>
  <c r="C5863"/>
  <c r="D5863"/>
  <c r="AX5863"/>
  <c r="C5864"/>
  <c r="D5864"/>
  <c r="AX5864"/>
  <c r="C5865"/>
  <c r="D5865"/>
  <c r="AX5865"/>
  <c r="C5866"/>
  <c r="D5866"/>
  <c r="AX5866"/>
  <c r="C5867"/>
  <c r="D5867"/>
  <c r="AX5867"/>
  <c r="C5868"/>
  <c r="D5868"/>
  <c r="AX5868"/>
  <c r="C5869"/>
  <c r="D5869"/>
  <c r="AX5869"/>
  <c r="C5870"/>
  <c r="D5870"/>
  <c r="AX5870"/>
  <c r="C5871"/>
  <c r="D5871"/>
  <c r="AX5871"/>
  <c r="C5872"/>
  <c r="D5872"/>
  <c r="AX5872"/>
  <c r="C5873"/>
  <c r="D5873"/>
  <c r="AX5873"/>
  <c r="C5874"/>
  <c r="D5874"/>
  <c r="AX5874"/>
  <c r="C5875"/>
  <c r="D5875"/>
  <c r="AX5875"/>
  <c r="C5876"/>
  <c r="D5876"/>
  <c r="AX5876"/>
  <c r="C5877"/>
  <c r="D5877"/>
  <c r="AX5877"/>
  <c r="C5878"/>
  <c r="D5878"/>
  <c r="AX5878"/>
  <c r="C5879"/>
  <c r="D5879"/>
  <c r="AX5879"/>
  <c r="C5880"/>
  <c r="D5880"/>
  <c r="AX5880"/>
  <c r="C5881"/>
  <c r="D5881"/>
  <c r="AX5881"/>
  <c r="C5882"/>
  <c r="D5882"/>
  <c r="AX5882"/>
  <c r="C5883"/>
  <c r="D5883"/>
  <c r="AX5883"/>
  <c r="C5884"/>
  <c r="D5884"/>
  <c r="AX5884"/>
  <c r="C5885"/>
  <c r="D5885"/>
  <c r="AX5885"/>
  <c r="C5886"/>
  <c r="D5886"/>
  <c r="AX5886"/>
  <c r="C5887"/>
  <c r="D5887"/>
  <c r="AX5887"/>
  <c r="C5888"/>
  <c r="D5888"/>
  <c r="AX5888"/>
  <c r="C5889"/>
  <c r="D5889"/>
  <c r="AX5889"/>
  <c r="C5890"/>
  <c r="D5890"/>
  <c r="AX5890"/>
  <c r="C5891"/>
  <c r="D5891"/>
  <c r="AX5891"/>
  <c r="C5892"/>
  <c r="D5892"/>
  <c r="AX5892"/>
  <c r="C5893"/>
  <c r="D5893"/>
  <c r="AX5893"/>
  <c r="C5894"/>
  <c r="D5894"/>
  <c r="AX5894"/>
  <c r="C5895"/>
  <c r="D5895"/>
  <c r="AX5895"/>
  <c r="C5896"/>
  <c r="D5896"/>
  <c r="AX5896"/>
  <c r="C5897"/>
  <c r="D5897"/>
  <c r="AX5897"/>
  <c r="C5898"/>
  <c r="D5898"/>
  <c r="AX5898"/>
  <c r="C5899"/>
  <c r="D5899"/>
  <c r="AX5899"/>
  <c r="C5900"/>
  <c r="D5900"/>
  <c r="AX5900"/>
  <c r="C5901"/>
  <c r="D5901"/>
  <c r="AX5901"/>
  <c r="C5902"/>
  <c r="D5902"/>
  <c r="AX5902"/>
  <c r="C5903"/>
  <c r="D5903"/>
  <c r="AX5903"/>
  <c r="C5904"/>
  <c r="D5904"/>
  <c r="AX5904"/>
  <c r="C5905"/>
  <c r="D5905"/>
  <c r="AX5905"/>
  <c r="C5906"/>
  <c r="D5906"/>
  <c r="AX5906"/>
  <c r="C5907"/>
  <c r="D5907"/>
  <c r="AX5907"/>
  <c r="C5908"/>
  <c r="D5908"/>
  <c r="AX5908"/>
  <c r="C5909"/>
  <c r="D5909"/>
  <c r="AX5909"/>
  <c r="C5910"/>
  <c r="D5910"/>
  <c r="AX5910"/>
  <c r="C5911"/>
  <c r="D5911"/>
  <c r="AX5911"/>
  <c r="C5912"/>
  <c r="D5912"/>
  <c r="AX5912"/>
  <c r="C5913"/>
  <c r="D5913"/>
  <c r="AX5913"/>
  <c r="C5914"/>
  <c r="D5914"/>
  <c r="AX5914"/>
  <c r="C5915"/>
  <c r="D5915"/>
  <c r="AX5915"/>
  <c r="C5916"/>
  <c r="D5916"/>
  <c r="AX5916"/>
  <c r="C5917"/>
  <c r="D5917"/>
  <c r="AX5917"/>
  <c r="C5918"/>
  <c r="D5918"/>
  <c r="AX5918"/>
  <c r="C5919"/>
  <c r="D5919"/>
  <c r="AX5919"/>
  <c r="C5920"/>
  <c r="D5920"/>
  <c r="AX5920"/>
  <c r="C5921"/>
  <c r="D5921"/>
  <c r="AX5921"/>
  <c r="C5922"/>
  <c r="D5922"/>
  <c r="AX5922"/>
  <c r="C5923"/>
  <c r="D5923"/>
  <c r="AX5923"/>
  <c r="C5924"/>
  <c r="D5924"/>
  <c r="AX5924"/>
  <c r="C5925"/>
  <c r="D5925"/>
  <c r="AX5925"/>
  <c r="C5926"/>
  <c r="D5926"/>
  <c r="AX5926"/>
  <c r="C5927"/>
  <c r="D5927"/>
  <c r="AX5927"/>
  <c r="C5928"/>
  <c r="D5928"/>
  <c r="AX5928"/>
  <c r="C5929"/>
  <c r="D5929"/>
  <c r="AX5929"/>
  <c r="C5930"/>
  <c r="D5930"/>
  <c r="AX5930"/>
  <c r="C5931"/>
  <c r="D5931"/>
  <c r="AX5931"/>
  <c r="C5932"/>
  <c r="D5932"/>
  <c r="AX5932"/>
  <c r="C5933"/>
  <c r="D5933"/>
  <c r="AX5933"/>
  <c r="C5934"/>
  <c r="D5934"/>
  <c r="AX5934"/>
  <c r="C5935"/>
  <c r="D5935"/>
  <c r="AX5935"/>
  <c r="C5936"/>
  <c r="D5936"/>
  <c r="AX5936"/>
  <c r="C5937"/>
  <c r="D5937"/>
  <c r="AX5937"/>
  <c r="C5938"/>
  <c r="D5938"/>
  <c r="AX5938"/>
  <c r="C5939"/>
  <c r="D5939"/>
  <c r="AX5939"/>
  <c r="C5940"/>
  <c r="D5940"/>
  <c r="AX5940"/>
  <c r="C5941"/>
  <c r="D5941"/>
  <c r="AX5941"/>
  <c r="C5942"/>
  <c r="D5942"/>
  <c r="AX5942"/>
  <c r="C5943"/>
  <c r="D5943"/>
  <c r="AX5943"/>
  <c r="C5944"/>
  <c r="D5944"/>
  <c r="AX5944"/>
  <c r="C5945"/>
  <c r="D5945"/>
  <c r="AX5945"/>
  <c r="C5946"/>
  <c r="D5946"/>
  <c r="AX5946"/>
  <c r="C5947"/>
  <c r="D5947"/>
  <c r="AX5947"/>
  <c r="C5948"/>
  <c r="D5948"/>
  <c r="AX5948"/>
  <c r="C5949"/>
  <c r="D5949"/>
  <c r="AX5949"/>
  <c r="C5950"/>
  <c r="D5950"/>
  <c r="AX5950"/>
  <c r="C5951"/>
  <c r="D5951"/>
  <c r="AX5951"/>
  <c r="C5952"/>
  <c r="D5952"/>
  <c r="AX5952"/>
  <c r="C5953"/>
  <c r="D5953"/>
  <c r="AX5953"/>
  <c r="C5954"/>
  <c r="D5954"/>
  <c r="AX5954"/>
  <c r="C5955"/>
  <c r="D5955"/>
  <c r="AX5955"/>
  <c r="C5956"/>
  <c r="D5956"/>
  <c r="AX5956"/>
  <c r="C5957"/>
  <c r="D5957"/>
  <c r="AX5957"/>
  <c r="C5958"/>
  <c r="D5958"/>
  <c r="AX5958"/>
  <c r="C5959"/>
  <c r="D5959"/>
  <c r="AX5959"/>
  <c r="C5960"/>
  <c r="D5960"/>
  <c r="AX5960"/>
  <c r="C5961"/>
  <c r="D5961"/>
  <c r="AX5961"/>
  <c r="C5962"/>
  <c r="D5962"/>
  <c r="AX5962"/>
  <c r="C5963"/>
  <c r="D5963"/>
  <c r="AX5963"/>
  <c r="C5964"/>
  <c r="D5964"/>
  <c r="AX5964"/>
  <c r="C5965"/>
  <c r="D5965"/>
  <c r="AX5965"/>
  <c r="C5966"/>
  <c r="D5966"/>
  <c r="AX5966"/>
  <c r="C5967"/>
  <c r="D5967"/>
  <c r="AX5967"/>
  <c r="C5968"/>
  <c r="D5968"/>
  <c r="AX5968"/>
  <c r="C5969"/>
  <c r="D5969"/>
  <c r="AX5969"/>
  <c r="C5970"/>
  <c r="D5970"/>
  <c r="AX5970"/>
  <c r="C5971"/>
  <c r="D5971"/>
  <c r="AX5971"/>
  <c r="C5972"/>
  <c r="D5972"/>
  <c r="AX5972"/>
  <c r="C5973"/>
  <c r="D5973"/>
  <c r="AX5973"/>
  <c r="C5974"/>
  <c r="D5974"/>
  <c r="AX5974"/>
  <c r="C5975"/>
  <c r="D5975"/>
  <c r="AX5975"/>
  <c r="C5976"/>
  <c r="D5976"/>
  <c r="AX5976"/>
  <c r="C5977"/>
  <c r="D5977"/>
  <c r="AX5977"/>
  <c r="C5978"/>
  <c r="D5978"/>
  <c r="AX5978"/>
  <c r="C5979"/>
  <c r="D5979"/>
  <c r="AX5979"/>
  <c r="C5980"/>
  <c r="D5980"/>
  <c r="AX5980"/>
  <c r="C5981"/>
  <c r="D5981"/>
  <c r="AX5981"/>
  <c r="C5982"/>
  <c r="D5982"/>
  <c r="AX5982"/>
  <c r="C5983"/>
  <c r="D5983"/>
  <c r="AX5983"/>
  <c r="C5984"/>
  <c r="D5984"/>
  <c r="AX5984"/>
  <c r="C5985"/>
  <c r="D5985"/>
  <c r="AX5985"/>
  <c r="C5986"/>
  <c r="D5986"/>
  <c r="AX5986"/>
  <c r="C5987"/>
  <c r="D5987"/>
  <c r="AX5987"/>
  <c r="C5988"/>
  <c r="D5988"/>
  <c r="AX5988"/>
  <c r="C5989"/>
  <c r="D5989"/>
  <c r="AX5989"/>
  <c r="C5990"/>
  <c r="D5990"/>
  <c r="AX5990"/>
  <c r="C5991"/>
  <c r="D5991"/>
  <c r="AX5991"/>
  <c r="C5992"/>
  <c r="D5992"/>
  <c r="AX5992"/>
  <c r="C5993"/>
  <c r="D5993"/>
  <c r="AX5993"/>
  <c r="C5994"/>
  <c r="D5994"/>
  <c r="AX5994"/>
  <c r="C5995"/>
  <c r="D5995"/>
  <c r="AX5995"/>
  <c r="C5996"/>
  <c r="D5996"/>
  <c r="AX5996"/>
  <c r="C5997"/>
  <c r="D5997"/>
  <c r="AX5997"/>
  <c r="C5998"/>
  <c r="D5998"/>
  <c r="AX5998"/>
  <c r="C5999"/>
  <c r="D5999"/>
  <c r="AX5999"/>
  <c r="C6000"/>
  <c r="D6000"/>
  <c r="AX6000"/>
  <c r="C6001"/>
  <c r="D6001"/>
  <c r="AX6001"/>
  <c r="C6002"/>
  <c r="D6002"/>
  <c r="AX6002"/>
  <c r="C6003"/>
  <c r="D6003"/>
  <c r="AX6003"/>
  <c r="C6004"/>
  <c r="D6004"/>
  <c r="AX6004"/>
  <c r="C6005"/>
  <c r="D6005"/>
  <c r="AX6005"/>
  <c r="C6006"/>
  <c r="D6006"/>
  <c r="AX6006"/>
  <c r="C6007"/>
  <c r="D6007"/>
  <c r="AX6007"/>
  <c r="C6008"/>
  <c r="D6008"/>
  <c r="AX6008"/>
  <c r="C6009"/>
  <c r="D6009"/>
  <c r="AX6009"/>
  <c r="C6010"/>
  <c r="D6010"/>
  <c r="AX6010"/>
  <c r="C6011"/>
  <c r="D6011"/>
  <c r="AX6011"/>
  <c r="C6012"/>
  <c r="D6012"/>
  <c r="AX6012"/>
  <c r="C6013"/>
  <c r="D6013"/>
  <c r="AX6013"/>
  <c r="C6014"/>
  <c r="D6014"/>
  <c r="AX6014"/>
  <c r="C6015"/>
  <c r="D6015"/>
  <c r="AX6015"/>
  <c r="C6016"/>
  <c r="D6016"/>
  <c r="AX6016"/>
  <c r="C6017"/>
  <c r="D6017"/>
  <c r="AX6017"/>
  <c r="C6018"/>
  <c r="D6018"/>
  <c r="AX6018"/>
  <c r="C6019"/>
  <c r="D6019"/>
  <c r="AX6019"/>
  <c r="C6020"/>
  <c r="D6020"/>
  <c r="AX6020"/>
  <c r="C6021"/>
  <c r="D6021"/>
  <c r="AX6021"/>
  <c r="C6022"/>
  <c r="D6022"/>
  <c r="AX6022"/>
  <c r="C6023"/>
  <c r="D6023"/>
  <c r="AX6023"/>
  <c r="C6024"/>
  <c r="D6024"/>
  <c r="AX6024"/>
  <c r="C6025"/>
  <c r="D6025"/>
  <c r="AX6025"/>
  <c r="C6026"/>
  <c r="D6026"/>
  <c r="AX6026"/>
  <c r="C6027"/>
  <c r="D6027"/>
  <c r="AX6027"/>
  <c r="C6028"/>
  <c r="D6028"/>
  <c r="AX6028"/>
  <c r="C6029"/>
  <c r="D6029"/>
  <c r="AX6029"/>
  <c r="C6030"/>
  <c r="D6030"/>
  <c r="AX6030"/>
  <c r="C6031"/>
  <c r="D6031"/>
  <c r="AX6031"/>
  <c r="C6032"/>
  <c r="D6032"/>
  <c r="AX6032"/>
  <c r="C6033"/>
  <c r="D6033"/>
  <c r="AX6033"/>
  <c r="C6034"/>
  <c r="D6034"/>
  <c r="AX6034"/>
  <c r="C6035"/>
  <c r="D6035"/>
  <c r="AX6035"/>
  <c r="C6036"/>
  <c r="D6036"/>
  <c r="AX6036"/>
  <c r="C6037"/>
  <c r="D6037"/>
  <c r="AX6037"/>
  <c r="C6038"/>
  <c r="D6038"/>
  <c r="AX6038"/>
  <c r="C6039"/>
  <c r="D6039"/>
  <c r="AX6039"/>
  <c r="C6040"/>
  <c r="D6040"/>
  <c r="AX6040"/>
  <c r="C6041"/>
  <c r="D6041"/>
  <c r="AX6041"/>
  <c r="C6042"/>
  <c r="D6042"/>
  <c r="AX6042"/>
  <c r="C6043"/>
  <c r="D6043"/>
  <c r="AX6043"/>
  <c r="C6044"/>
  <c r="D6044"/>
  <c r="AX6044"/>
  <c r="C6045"/>
  <c r="D6045"/>
  <c r="AX6045"/>
  <c r="C6046"/>
  <c r="D6046"/>
  <c r="AX6046"/>
  <c r="C6047"/>
  <c r="D6047"/>
  <c r="AX6047"/>
  <c r="C6048"/>
  <c r="D6048"/>
  <c r="AX6048"/>
  <c r="C6049"/>
  <c r="D6049"/>
  <c r="AX6049"/>
  <c r="C6050"/>
  <c r="D6050"/>
  <c r="AX6050"/>
  <c r="C6051"/>
  <c r="D6051"/>
  <c r="AX6051"/>
  <c r="C6052"/>
  <c r="D6052"/>
  <c r="AX6052"/>
  <c r="C6053"/>
  <c r="D6053"/>
  <c r="AX6053"/>
  <c r="C6054"/>
  <c r="D6054"/>
  <c r="AX6054"/>
  <c r="C6055"/>
  <c r="D6055"/>
  <c r="AX6055"/>
  <c r="C6056"/>
  <c r="D6056"/>
  <c r="AX6056"/>
  <c r="C6057"/>
  <c r="D6057"/>
  <c r="AX6057"/>
  <c r="C6058"/>
  <c r="D6058"/>
  <c r="AX6058"/>
  <c r="C6059"/>
  <c r="D6059"/>
  <c r="AX6059"/>
  <c r="C6060"/>
  <c r="D6060"/>
  <c r="AX6060"/>
  <c r="C6061"/>
  <c r="D6061"/>
  <c r="AX6061"/>
  <c r="C6062"/>
  <c r="D6062"/>
  <c r="AX6062"/>
  <c r="C6063"/>
  <c r="D6063"/>
  <c r="AX6063"/>
  <c r="C6064"/>
  <c r="D6064"/>
  <c r="AX6064"/>
  <c r="C6065"/>
  <c r="D6065"/>
  <c r="AX6065"/>
  <c r="C6066"/>
  <c r="D6066"/>
  <c r="AX6066"/>
  <c r="C6067"/>
  <c r="D6067"/>
  <c r="AX6067"/>
  <c r="C6068"/>
  <c r="D6068"/>
  <c r="AX6068"/>
  <c r="C6069"/>
  <c r="D6069"/>
  <c r="AX6069"/>
  <c r="C6070"/>
  <c r="D6070"/>
  <c r="AX6070"/>
  <c r="C6071"/>
  <c r="D6071"/>
  <c r="AX6071"/>
  <c r="C6072"/>
  <c r="D6072"/>
  <c r="AX6072"/>
  <c r="C6073"/>
  <c r="D6073"/>
  <c r="AX6073"/>
  <c r="C6074"/>
  <c r="D6074"/>
  <c r="AX6074"/>
  <c r="C6075"/>
  <c r="D6075"/>
  <c r="AX6075"/>
  <c r="C6076"/>
  <c r="D6076"/>
  <c r="AX6076"/>
  <c r="C6077"/>
  <c r="D6077"/>
  <c r="AX6077"/>
  <c r="C6078"/>
  <c r="D6078"/>
  <c r="AX6078"/>
  <c r="C6079"/>
  <c r="D6079"/>
  <c r="AX6079"/>
  <c r="C6080"/>
  <c r="D6080"/>
  <c r="AX6080"/>
  <c r="C6081"/>
  <c r="D6081"/>
  <c r="AX6081"/>
  <c r="C6082"/>
  <c r="D6082"/>
  <c r="AX6082"/>
  <c r="C6083"/>
  <c r="D6083"/>
  <c r="AX6083"/>
  <c r="C6084"/>
  <c r="D6084"/>
  <c r="AX6084"/>
  <c r="C6085"/>
  <c r="D6085"/>
  <c r="AX6085"/>
  <c r="C6086"/>
  <c r="D6086"/>
  <c r="AX6086"/>
  <c r="C6087"/>
  <c r="D6087"/>
  <c r="AX6087"/>
  <c r="C6088"/>
  <c r="D6088"/>
  <c r="AX6088"/>
  <c r="C6089"/>
  <c r="D6089"/>
  <c r="AX6089"/>
  <c r="C6090"/>
  <c r="D6090"/>
  <c r="AX6090"/>
  <c r="C6091"/>
  <c r="D6091"/>
  <c r="AX6091"/>
  <c r="C6092"/>
  <c r="D6092"/>
  <c r="AX6092"/>
  <c r="C6093"/>
  <c r="D6093"/>
  <c r="AX6093"/>
  <c r="C6094"/>
  <c r="D6094"/>
  <c r="AX6094"/>
  <c r="C6095"/>
  <c r="D6095"/>
  <c r="AX6095"/>
  <c r="C6096"/>
  <c r="D6096"/>
  <c r="AX6096"/>
  <c r="C6097"/>
  <c r="D6097"/>
  <c r="AX6097"/>
  <c r="C6098"/>
  <c r="D6098"/>
  <c r="AX6098"/>
  <c r="C6099"/>
  <c r="D6099"/>
  <c r="AX6099"/>
  <c r="C6100"/>
  <c r="D6100"/>
  <c r="AX6100"/>
  <c r="C6101"/>
  <c r="D6101"/>
  <c r="AX6101"/>
  <c r="C6102"/>
  <c r="D6102"/>
  <c r="AX6102"/>
  <c r="C6103"/>
  <c r="D6103"/>
  <c r="AX6103"/>
  <c r="C6104"/>
  <c r="D6104"/>
  <c r="AX6104"/>
  <c r="C6105"/>
  <c r="D6105"/>
  <c r="AX6105"/>
  <c r="C6106"/>
  <c r="D6106"/>
  <c r="AX6106"/>
  <c r="C6107"/>
  <c r="D6107"/>
  <c r="AX6107"/>
  <c r="C6108"/>
  <c r="D6108"/>
  <c r="AX6108"/>
  <c r="C6109"/>
  <c r="D6109"/>
  <c r="AX6109"/>
  <c r="C6110"/>
  <c r="D6110"/>
  <c r="AX6110"/>
  <c r="C6111"/>
  <c r="D6111"/>
  <c r="AX6111"/>
  <c r="C6112"/>
  <c r="D6112"/>
  <c r="AX6112"/>
  <c r="C6113"/>
  <c r="D6113"/>
  <c r="AX6113"/>
  <c r="C6114"/>
  <c r="D6114"/>
  <c r="AX6114"/>
  <c r="C6115"/>
  <c r="D6115"/>
  <c r="AX6115"/>
  <c r="C6116"/>
  <c r="D6116"/>
  <c r="AX6116"/>
  <c r="C6117"/>
  <c r="D6117"/>
  <c r="AX6117"/>
  <c r="C6118"/>
  <c r="D6118"/>
  <c r="AX6118"/>
  <c r="C6119"/>
  <c r="D6119"/>
  <c r="AX6119"/>
  <c r="C6120"/>
  <c r="D6120"/>
  <c r="AX6120"/>
  <c r="C6121"/>
  <c r="D6121"/>
  <c r="AX6121"/>
  <c r="C6122"/>
  <c r="D6122"/>
  <c r="AX6122"/>
  <c r="C6123"/>
  <c r="D6123"/>
  <c r="AX6123"/>
  <c r="C6124"/>
  <c r="D6124"/>
  <c r="AX6124"/>
  <c r="C6125"/>
  <c r="D6125"/>
  <c r="AX6125"/>
  <c r="C6126"/>
  <c r="D6126"/>
  <c r="AX6126"/>
  <c r="C6127"/>
  <c r="D6127"/>
  <c r="AX6127"/>
  <c r="C6128"/>
  <c r="D6128"/>
  <c r="AX6128"/>
  <c r="C6129"/>
  <c r="D6129"/>
  <c r="AX6129"/>
  <c r="C6130"/>
  <c r="D6130"/>
  <c r="AX6130"/>
  <c r="C6131"/>
  <c r="D6131"/>
  <c r="AX6131"/>
  <c r="C6132"/>
  <c r="D6132"/>
  <c r="AX6132"/>
  <c r="C6133"/>
  <c r="D6133"/>
  <c r="AX6133"/>
  <c r="C6134"/>
  <c r="D6134"/>
  <c r="AX6134"/>
  <c r="C6135"/>
  <c r="D6135"/>
  <c r="AX6135"/>
  <c r="C6136"/>
  <c r="D6136"/>
  <c r="AX6136"/>
  <c r="C6137"/>
  <c r="D6137"/>
  <c r="AX6137"/>
  <c r="C6138"/>
  <c r="D6138"/>
  <c r="AX6138"/>
  <c r="C6139"/>
  <c r="D6139"/>
  <c r="AX6139"/>
  <c r="C6140"/>
  <c r="D6140"/>
  <c r="AX6140"/>
  <c r="C6141"/>
  <c r="D6141"/>
  <c r="AX6141"/>
  <c r="C6142"/>
  <c r="D6142"/>
  <c r="AX6142"/>
  <c r="C6143"/>
  <c r="D6143"/>
  <c r="AX6143"/>
  <c r="C6144"/>
  <c r="D6144"/>
  <c r="AX6144"/>
  <c r="C6145"/>
  <c r="D6145"/>
  <c r="AX6145"/>
  <c r="C6146"/>
  <c r="D6146"/>
  <c r="AX6146"/>
  <c r="C6147"/>
  <c r="D6147"/>
  <c r="AX6147"/>
  <c r="C6148"/>
  <c r="D6148"/>
  <c r="AX6148"/>
  <c r="C6149"/>
  <c r="D6149"/>
  <c r="AX6149"/>
  <c r="C6150"/>
  <c r="D6150"/>
  <c r="AX6150"/>
  <c r="C6151"/>
  <c r="D6151"/>
  <c r="AX6151"/>
  <c r="C6152"/>
  <c r="D6152"/>
  <c r="AX6152"/>
  <c r="C6153"/>
  <c r="D6153"/>
  <c r="AX6153"/>
  <c r="C6154"/>
  <c r="D6154"/>
  <c r="AX6154"/>
  <c r="C6155"/>
  <c r="D6155"/>
  <c r="AX6155"/>
  <c r="C6156"/>
  <c r="D6156"/>
  <c r="AX6156"/>
  <c r="C6157"/>
  <c r="D6157"/>
  <c r="AX6157"/>
  <c r="C6158"/>
  <c r="D6158"/>
  <c r="AX6158"/>
  <c r="C6159"/>
  <c r="D6159"/>
  <c r="AX6159"/>
  <c r="C6160"/>
  <c r="D6160"/>
  <c r="AX6160"/>
  <c r="C6161"/>
  <c r="D6161"/>
  <c r="AX6161"/>
  <c r="C6162"/>
  <c r="D6162"/>
  <c r="AX6162"/>
  <c r="C6163"/>
  <c r="D6163"/>
  <c r="AX6163"/>
  <c r="C6164"/>
  <c r="D6164"/>
  <c r="AX6164"/>
  <c r="C6165"/>
  <c r="D6165"/>
  <c r="AX6165"/>
  <c r="C6166"/>
  <c r="D6166"/>
  <c r="AX6166"/>
  <c r="C6167"/>
  <c r="D6167"/>
  <c r="AX6167"/>
  <c r="C6168"/>
  <c r="D6168"/>
  <c r="AX6168"/>
  <c r="C6169"/>
  <c r="D6169"/>
  <c r="AX6169"/>
  <c r="C6170"/>
  <c r="D6170"/>
  <c r="AX6170"/>
  <c r="C6171"/>
  <c r="D6171"/>
  <c r="AX6171"/>
  <c r="C6172"/>
  <c r="D6172"/>
  <c r="AX6172"/>
  <c r="C6173"/>
  <c r="D6173"/>
  <c r="AX6173"/>
  <c r="C6174"/>
  <c r="D6174"/>
  <c r="AX6174"/>
  <c r="C6175"/>
  <c r="D6175"/>
  <c r="AX6175"/>
  <c r="C6176"/>
  <c r="D6176"/>
  <c r="AX6176"/>
  <c r="C6177"/>
  <c r="D6177"/>
  <c r="AX6177"/>
  <c r="C6178"/>
  <c r="D6178"/>
  <c r="AX6178"/>
  <c r="C6179"/>
  <c r="D6179"/>
  <c r="AX6179"/>
  <c r="C6180"/>
  <c r="D6180"/>
  <c r="AX6180"/>
  <c r="C6181"/>
  <c r="D6181"/>
  <c r="AX6181"/>
  <c r="C6182"/>
  <c r="D6182"/>
  <c r="AX6182"/>
  <c r="C6183"/>
  <c r="D6183"/>
  <c r="AX6183"/>
  <c r="C6184"/>
  <c r="D6184"/>
  <c r="AX6184"/>
  <c r="C6185"/>
  <c r="D6185"/>
  <c r="AX6185"/>
  <c r="C6186"/>
  <c r="D6186"/>
  <c r="AX6186"/>
  <c r="C6187"/>
  <c r="D6187"/>
  <c r="AX6187"/>
  <c r="C6188"/>
  <c r="D6188"/>
  <c r="AX6188"/>
  <c r="C6189"/>
  <c r="D6189"/>
  <c r="AX6189"/>
  <c r="C6190"/>
  <c r="D6190"/>
  <c r="AX6190"/>
  <c r="C6191"/>
  <c r="D6191"/>
  <c r="AX6191"/>
  <c r="C6192"/>
  <c r="D6192"/>
  <c r="AX6192"/>
  <c r="C6193"/>
  <c r="D6193"/>
  <c r="AX6193"/>
  <c r="C6194"/>
  <c r="D6194"/>
  <c r="AX6194"/>
  <c r="C6195"/>
  <c r="D6195"/>
  <c r="AX6195"/>
  <c r="C6196"/>
  <c r="D6196"/>
  <c r="AX6196"/>
  <c r="C6197"/>
  <c r="D6197"/>
  <c r="AX6197"/>
  <c r="C6198"/>
  <c r="D6198"/>
  <c r="AX6198"/>
  <c r="C6199"/>
  <c r="D6199"/>
  <c r="AX6199"/>
  <c r="C6200"/>
  <c r="D6200"/>
  <c r="AX6200"/>
  <c r="C6201"/>
  <c r="D6201"/>
  <c r="AX6201"/>
  <c r="C6202"/>
  <c r="D6202"/>
  <c r="AX6202"/>
  <c r="C6203"/>
  <c r="D6203"/>
  <c r="AX6203"/>
  <c r="C6204"/>
  <c r="D6204"/>
  <c r="AX6204"/>
  <c r="C6205"/>
  <c r="D6205"/>
  <c r="AX6205"/>
  <c r="C6206"/>
  <c r="D6206"/>
  <c r="AX6206"/>
  <c r="C6207"/>
  <c r="D6207"/>
  <c r="AX6207"/>
  <c r="C6208"/>
  <c r="D6208"/>
  <c r="AX6208"/>
  <c r="C6209"/>
  <c r="D6209"/>
  <c r="AX6209"/>
  <c r="C6210"/>
  <c r="D6210"/>
  <c r="AX6210"/>
  <c r="C6211"/>
  <c r="D6211"/>
  <c r="AX6211"/>
  <c r="C6212"/>
  <c r="D6212"/>
  <c r="AX6212"/>
  <c r="C6213"/>
  <c r="D6213"/>
  <c r="AX6213"/>
  <c r="C6214"/>
  <c r="D6214"/>
  <c r="AX6214"/>
  <c r="C6215"/>
  <c r="D6215"/>
  <c r="AX6215"/>
  <c r="C6216"/>
  <c r="D6216"/>
  <c r="AX6216"/>
  <c r="C6217"/>
  <c r="D6217"/>
  <c r="AX6217"/>
  <c r="C6218"/>
  <c r="D6218"/>
  <c r="AX6218"/>
  <c r="C6219"/>
  <c r="D6219"/>
  <c r="AX6219"/>
  <c r="C6220"/>
  <c r="D6220"/>
  <c r="AX6220"/>
  <c r="C6221"/>
  <c r="D6221"/>
  <c r="AX6221"/>
  <c r="C6222"/>
  <c r="D6222"/>
  <c r="AX6222"/>
  <c r="C6223"/>
  <c r="D6223"/>
  <c r="AX6223"/>
  <c r="C6224"/>
  <c r="D6224"/>
  <c r="AX6224"/>
  <c r="C6225"/>
  <c r="D6225"/>
  <c r="AX6225"/>
  <c r="C6226"/>
  <c r="D6226"/>
  <c r="AX6226"/>
  <c r="C6227"/>
  <c r="D6227"/>
  <c r="AX6227"/>
  <c r="C6228"/>
  <c r="D6228"/>
  <c r="AX6228"/>
  <c r="C6229"/>
  <c r="D6229"/>
  <c r="AX6229"/>
  <c r="C6230"/>
  <c r="D6230"/>
  <c r="AX6230"/>
  <c r="C6231"/>
  <c r="D6231"/>
  <c r="AX6231"/>
  <c r="C6232"/>
  <c r="D6232"/>
  <c r="AX6232"/>
  <c r="C6233"/>
  <c r="D6233"/>
  <c r="AX6233"/>
  <c r="C6234"/>
  <c r="D6234"/>
  <c r="AX6234"/>
  <c r="C6235"/>
  <c r="D6235"/>
  <c r="AX6235"/>
  <c r="C6236"/>
  <c r="D6236"/>
  <c r="AX6236"/>
  <c r="C6237"/>
  <c r="D6237"/>
  <c r="AX6237"/>
  <c r="C6238"/>
  <c r="D6238"/>
  <c r="AX6238"/>
  <c r="C6239"/>
  <c r="D6239"/>
  <c r="AX6239"/>
  <c r="C6240"/>
  <c r="D6240"/>
  <c r="AX6240"/>
  <c r="C6241"/>
  <c r="D6241"/>
  <c r="AX6241"/>
  <c r="C6242"/>
  <c r="D6242"/>
  <c r="AX6242"/>
  <c r="C6243"/>
  <c r="D6243"/>
  <c r="AX6243"/>
  <c r="C6244"/>
  <c r="D6244"/>
  <c r="AX6244"/>
  <c r="C6245"/>
  <c r="D6245"/>
  <c r="AX6245"/>
  <c r="C6246"/>
  <c r="D6246"/>
  <c r="AX6246"/>
  <c r="C6247"/>
  <c r="D6247"/>
  <c r="AX6247"/>
  <c r="C6248"/>
  <c r="D6248"/>
  <c r="AX6248"/>
  <c r="C6249"/>
  <c r="D6249"/>
  <c r="AX6249"/>
  <c r="C6250"/>
  <c r="D6250"/>
  <c r="AX6250"/>
  <c r="C6251"/>
  <c r="D6251"/>
  <c r="AX6251"/>
  <c r="C6252"/>
  <c r="D6252"/>
  <c r="AX6252"/>
  <c r="C6253"/>
  <c r="D6253"/>
  <c r="AX6253"/>
  <c r="C6254"/>
  <c r="D6254"/>
  <c r="AX6254"/>
  <c r="C6255"/>
  <c r="D6255"/>
  <c r="AX6255"/>
  <c r="C6256"/>
  <c r="D6256"/>
  <c r="AX6256"/>
  <c r="C6257"/>
  <c r="D6257"/>
  <c r="AX6257"/>
  <c r="C6258"/>
  <c r="D6258"/>
  <c r="AX6258"/>
  <c r="C6259"/>
  <c r="D6259"/>
  <c r="AX6259"/>
  <c r="C6260"/>
  <c r="D6260"/>
  <c r="AX6260"/>
  <c r="C6261"/>
  <c r="D6261"/>
  <c r="AX6261"/>
  <c r="C6262"/>
  <c r="D6262"/>
  <c r="AX6262"/>
  <c r="C6263"/>
  <c r="D6263"/>
  <c r="AX6263"/>
  <c r="C6264"/>
  <c r="D6264"/>
  <c r="AX6264"/>
  <c r="C6265"/>
  <c r="D6265"/>
  <c r="AX6265"/>
  <c r="C6266"/>
  <c r="D6266"/>
  <c r="AX6266"/>
  <c r="C6267"/>
  <c r="D6267"/>
  <c r="AX6267"/>
  <c r="C6268"/>
  <c r="D6268"/>
  <c r="AX6268"/>
  <c r="C6269"/>
  <c r="D6269"/>
  <c r="AX6269"/>
  <c r="C6270"/>
  <c r="D6270"/>
  <c r="AX6270"/>
  <c r="C6271"/>
  <c r="D6271"/>
  <c r="AX6271"/>
  <c r="C6272"/>
  <c r="D6272"/>
  <c r="AX6272"/>
  <c r="C6273"/>
  <c r="D6273"/>
  <c r="AX6273"/>
  <c r="C6274"/>
  <c r="D6274"/>
  <c r="AX6274"/>
  <c r="C6275"/>
  <c r="D6275"/>
  <c r="AX6275"/>
  <c r="C6276"/>
  <c r="D6276"/>
  <c r="AX6276"/>
  <c r="C6277"/>
  <c r="D6277"/>
  <c r="AX6277"/>
  <c r="C6278"/>
  <c r="D6278"/>
  <c r="AX6278"/>
  <c r="C6279"/>
  <c r="D6279"/>
  <c r="AX6279"/>
  <c r="C6280"/>
  <c r="D6280"/>
  <c r="AX6280"/>
  <c r="C6281"/>
  <c r="D6281"/>
  <c r="AX6281"/>
  <c r="C6282"/>
  <c r="D6282"/>
  <c r="AX6282"/>
  <c r="C6283"/>
  <c r="D6283"/>
  <c r="AX6283"/>
  <c r="C6284"/>
  <c r="D6284"/>
  <c r="AX6284"/>
  <c r="C6285"/>
  <c r="D6285"/>
  <c r="AX6285"/>
  <c r="C6286"/>
  <c r="D6286"/>
  <c r="AX6286"/>
  <c r="C6287"/>
  <c r="D6287"/>
  <c r="AX6287"/>
  <c r="C6288"/>
  <c r="D6288"/>
  <c r="AX6288"/>
  <c r="C6289"/>
  <c r="D6289"/>
  <c r="AX6289"/>
  <c r="C6290"/>
  <c r="D6290"/>
  <c r="AX6290"/>
  <c r="C6291"/>
  <c r="D6291"/>
  <c r="AX6291"/>
  <c r="C6292"/>
  <c r="D6292"/>
  <c r="AX6292"/>
  <c r="C6293"/>
  <c r="D6293"/>
  <c r="AX6293"/>
  <c r="C6294"/>
  <c r="D6294"/>
  <c r="AX6294"/>
  <c r="C6295"/>
  <c r="D6295"/>
  <c r="AX6295"/>
  <c r="C6296"/>
  <c r="D6296"/>
  <c r="AX6296"/>
  <c r="C6297"/>
  <c r="D6297"/>
  <c r="AX6297"/>
  <c r="C6298"/>
  <c r="D6298"/>
  <c r="AX6298"/>
  <c r="C6299"/>
  <c r="D6299"/>
  <c r="AX6299"/>
  <c r="C6300"/>
  <c r="D6300"/>
  <c r="AX6300"/>
  <c r="C6301"/>
  <c r="D6301"/>
  <c r="AX6301"/>
  <c r="C6302"/>
  <c r="D6302"/>
  <c r="AX6302"/>
  <c r="C6303"/>
  <c r="D6303"/>
  <c r="AX6303"/>
  <c r="C6304"/>
  <c r="D6304"/>
  <c r="AX6304"/>
  <c r="C6305"/>
  <c r="D6305"/>
  <c r="AX6305"/>
  <c r="C6306"/>
  <c r="D6306"/>
  <c r="AX6306"/>
  <c r="C6307"/>
  <c r="D6307"/>
  <c r="AX6307"/>
  <c r="C6308"/>
  <c r="D6308"/>
  <c r="AX6308"/>
  <c r="C6309"/>
  <c r="D6309"/>
  <c r="AX6309"/>
  <c r="C6310"/>
  <c r="D6310"/>
  <c r="AX6310"/>
  <c r="C6311"/>
  <c r="D6311"/>
  <c r="AX6311"/>
  <c r="C6312"/>
  <c r="D6312"/>
  <c r="AX6312"/>
  <c r="C6313"/>
  <c r="D6313"/>
  <c r="AX6313"/>
  <c r="C6314"/>
  <c r="D6314"/>
  <c r="AX6314"/>
  <c r="C6315"/>
  <c r="D6315"/>
  <c r="AX6315"/>
  <c r="C6316"/>
  <c r="D6316"/>
  <c r="AX6316"/>
  <c r="C6317"/>
  <c r="D6317"/>
  <c r="AX6317"/>
  <c r="C6318"/>
  <c r="D6318"/>
  <c r="AX6318"/>
  <c r="C6319"/>
  <c r="D6319"/>
  <c r="AX6319"/>
  <c r="C6320"/>
  <c r="D6320"/>
  <c r="AX6320"/>
  <c r="C6321"/>
  <c r="D6321"/>
  <c r="AX6321"/>
  <c r="C6322"/>
  <c r="D6322"/>
  <c r="AX6322"/>
  <c r="C6323"/>
  <c r="D6323"/>
  <c r="AX6323"/>
  <c r="C6324"/>
  <c r="D6324"/>
  <c r="AX6324"/>
  <c r="C6325"/>
  <c r="D6325"/>
  <c r="AX6325"/>
  <c r="C6326"/>
  <c r="D6326"/>
  <c r="AX6326"/>
  <c r="C6327"/>
  <c r="D6327"/>
  <c r="AX6327"/>
  <c r="C6328"/>
  <c r="D6328"/>
  <c r="AX6328"/>
  <c r="C6329"/>
  <c r="D6329"/>
  <c r="AX6329"/>
  <c r="C6330"/>
  <c r="D6330"/>
  <c r="AX6330"/>
  <c r="C6331"/>
  <c r="D6331"/>
  <c r="AX6331"/>
  <c r="C6332"/>
  <c r="D6332"/>
  <c r="AX6332"/>
  <c r="C6333"/>
  <c r="D6333"/>
  <c r="AX6333"/>
  <c r="C6334"/>
  <c r="D6334"/>
  <c r="AX6334"/>
  <c r="C6335"/>
  <c r="D6335"/>
  <c r="AX6335"/>
  <c r="C6336"/>
  <c r="D6336"/>
  <c r="AX6336"/>
  <c r="C6337"/>
  <c r="D6337"/>
  <c r="AX6337"/>
  <c r="C6338"/>
  <c r="D6338"/>
  <c r="AX6338"/>
  <c r="C6339"/>
  <c r="D6339"/>
  <c r="AX6339"/>
  <c r="C6340"/>
  <c r="D6340"/>
  <c r="AX6340"/>
  <c r="C6341"/>
  <c r="D6341"/>
  <c r="AX6341"/>
  <c r="C6342"/>
  <c r="D6342"/>
  <c r="AX6342"/>
  <c r="C6343"/>
  <c r="D6343"/>
  <c r="AX6343"/>
  <c r="C6344"/>
  <c r="D6344"/>
  <c r="AX6344"/>
  <c r="C6345"/>
  <c r="D6345"/>
  <c r="AX6345"/>
  <c r="C6346"/>
  <c r="D6346"/>
  <c r="AX6346"/>
  <c r="C6347"/>
  <c r="D6347"/>
  <c r="AX6347"/>
  <c r="C6348"/>
  <c r="D6348"/>
  <c r="AX6348"/>
  <c r="C6349"/>
  <c r="D6349"/>
  <c r="AX6349"/>
  <c r="C6350"/>
  <c r="D6350"/>
  <c r="AX6350"/>
  <c r="C6351"/>
  <c r="D6351"/>
  <c r="AX6351"/>
  <c r="C6352"/>
  <c r="D6352"/>
  <c r="AX6352"/>
  <c r="C6353"/>
  <c r="D6353"/>
  <c r="AX6353"/>
  <c r="C6354"/>
  <c r="D6354"/>
  <c r="AX6354"/>
  <c r="C6355"/>
  <c r="D6355"/>
  <c r="AX6355"/>
  <c r="C6356"/>
  <c r="D6356"/>
  <c r="AX6356"/>
  <c r="C6357"/>
  <c r="D6357"/>
  <c r="AX6357"/>
  <c r="C6358"/>
  <c r="D6358"/>
  <c r="AX6358"/>
  <c r="C6359"/>
  <c r="D6359"/>
  <c r="AX6359"/>
  <c r="C6360"/>
  <c r="D6360"/>
  <c r="AX6360"/>
  <c r="C6361"/>
  <c r="D6361"/>
  <c r="AX6361"/>
  <c r="C6362"/>
  <c r="D6362"/>
  <c r="AX6362"/>
  <c r="C6363"/>
  <c r="D6363"/>
  <c r="AX6363"/>
  <c r="C6364"/>
  <c r="D6364"/>
  <c r="AX6364"/>
  <c r="C6365"/>
  <c r="D6365"/>
  <c r="AX6365"/>
  <c r="C6366"/>
  <c r="D6366"/>
  <c r="AX6366"/>
  <c r="C6367"/>
  <c r="D6367"/>
  <c r="AX6367"/>
  <c r="C6368"/>
  <c r="D6368"/>
  <c r="AX6368"/>
  <c r="C6369"/>
  <c r="D6369"/>
  <c r="AX6369"/>
  <c r="C6370"/>
  <c r="D6370"/>
  <c r="AX6370"/>
  <c r="C6371"/>
  <c r="D6371"/>
  <c r="AX6371"/>
  <c r="C6372"/>
  <c r="D6372"/>
  <c r="AX6372"/>
  <c r="C6373"/>
  <c r="D6373"/>
  <c r="AX6373"/>
  <c r="C6374"/>
  <c r="D6374"/>
  <c r="AX6374"/>
  <c r="C6375"/>
  <c r="D6375"/>
  <c r="AX6375"/>
  <c r="C6376"/>
  <c r="D6376"/>
  <c r="AX6376"/>
  <c r="C6377"/>
  <c r="D6377"/>
  <c r="AX6377"/>
  <c r="C6378"/>
  <c r="D6378"/>
  <c r="AX6378"/>
  <c r="C6379"/>
  <c r="D6379"/>
  <c r="AX6379"/>
  <c r="C6380"/>
  <c r="D6380"/>
  <c r="AX6380"/>
  <c r="C6381"/>
  <c r="D6381"/>
  <c r="AX6381"/>
  <c r="C6382"/>
  <c r="D6382"/>
  <c r="AX6382"/>
  <c r="C6383"/>
  <c r="D6383"/>
  <c r="AX6383"/>
  <c r="C6384"/>
  <c r="D6384"/>
  <c r="AX6384"/>
  <c r="C6385"/>
  <c r="D6385"/>
  <c r="AX6385"/>
  <c r="C6386"/>
  <c r="D6386"/>
  <c r="AX6386"/>
  <c r="C6387"/>
  <c r="D6387"/>
  <c r="AX6387"/>
  <c r="C6388"/>
  <c r="D6388"/>
  <c r="AX6388"/>
  <c r="C6389"/>
  <c r="D6389"/>
  <c r="AX6389"/>
  <c r="C6390"/>
  <c r="D6390"/>
  <c r="AX6390"/>
  <c r="C6391"/>
  <c r="D6391"/>
  <c r="AX6391"/>
  <c r="C6392"/>
  <c r="D6392"/>
  <c r="AX6392"/>
  <c r="C6393"/>
  <c r="D6393"/>
  <c r="AX6393"/>
  <c r="C6394"/>
  <c r="D6394"/>
  <c r="AX6394"/>
  <c r="C6395"/>
  <c r="D6395"/>
  <c r="AX6395"/>
  <c r="C6396"/>
  <c r="D6396"/>
  <c r="AX6396"/>
  <c r="C6397"/>
  <c r="D6397"/>
  <c r="AX6397"/>
  <c r="C6398"/>
  <c r="D6398"/>
  <c r="AX6398"/>
  <c r="C6399"/>
  <c r="D6399"/>
  <c r="AX6399"/>
  <c r="C6400"/>
  <c r="D6400"/>
  <c r="AX6400"/>
  <c r="C6401"/>
  <c r="D6401"/>
  <c r="AX6401"/>
  <c r="C6402"/>
  <c r="D6402"/>
  <c r="AX6402"/>
  <c r="C6403"/>
  <c r="D6403"/>
  <c r="AX6403"/>
  <c r="C6404"/>
  <c r="D6404"/>
  <c r="AX6404"/>
  <c r="C6405"/>
  <c r="D6405"/>
  <c r="AX6405"/>
  <c r="C6406"/>
  <c r="D6406"/>
  <c r="AX6406"/>
  <c r="C6407"/>
  <c r="D6407"/>
  <c r="AX6407"/>
  <c r="C6408"/>
  <c r="D6408"/>
  <c r="AX6408"/>
  <c r="C6409"/>
  <c r="D6409"/>
  <c r="AX6409"/>
  <c r="C6410"/>
  <c r="D6410"/>
  <c r="AX6410"/>
  <c r="C6411"/>
  <c r="D6411"/>
  <c r="AX6411"/>
  <c r="C6412"/>
  <c r="D6412"/>
  <c r="AX6412"/>
  <c r="C6413"/>
  <c r="D6413"/>
  <c r="AX6413"/>
  <c r="C6414"/>
  <c r="D6414"/>
  <c r="AX6414"/>
  <c r="C6415"/>
  <c r="D6415"/>
  <c r="AX6415"/>
  <c r="C6416"/>
  <c r="D6416"/>
  <c r="AX6416"/>
  <c r="C6417"/>
  <c r="D6417"/>
  <c r="AX6417"/>
  <c r="C6418"/>
  <c r="D6418"/>
  <c r="AX6418"/>
  <c r="C6419"/>
  <c r="D6419"/>
  <c r="AX6419"/>
  <c r="C6420"/>
  <c r="D6420"/>
  <c r="AX6420"/>
  <c r="C6421"/>
  <c r="D6421"/>
  <c r="AX6421"/>
  <c r="C6422"/>
  <c r="D6422"/>
  <c r="AX6422"/>
  <c r="C6423"/>
  <c r="D6423"/>
  <c r="AX6423"/>
  <c r="C6424"/>
  <c r="D6424"/>
  <c r="AX6424"/>
  <c r="C6425"/>
  <c r="D6425"/>
  <c r="AX6425"/>
  <c r="C6426"/>
  <c r="D6426"/>
  <c r="AX6426"/>
  <c r="C6427"/>
  <c r="D6427"/>
  <c r="AX6427"/>
  <c r="C6428"/>
  <c r="D6428"/>
  <c r="AX6428"/>
  <c r="C6429"/>
  <c r="D6429"/>
  <c r="AX6429"/>
  <c r="C6430"/>
  <c r="D6430"/>
  <c r="AX6430"/>
  <c r="C6431"/>
  <c r="D6431"/>
  <c r="AX6431"/>
  <c r="C6432"/>
  <c r="D6432"/>
  <c r="AX6432"/>
  <c r="C6433"/>
  <c r="D6433"/>
  <c r="AX6433"/>
  <c r="C6434"/>
  <c r="D6434"/>
  <c r="AX6434"/>
  <c r="C6435"/>
  <c r="D6435"/>
  <c r="AX6435"/>
  <c r="C6436"/>
  <c r="D6436"/>
  <c r="AX6436"/>
  <c r="C6437"/>
  <c r="D6437"/>
  <c r="AX6437"/>
  <c r="C6438"/>
  <c r="D6438"/>
  <c r="AX6438"/>
  <c r="C6439"/>
  <c r="D6439"/>
  <c r="AX6439"/>
  <c r="C6440"/>
  <c r="D6440"/>
  <c r="AX6440"/>
  <c r="C6441"/>
  <c r="D6441"/>
  <c r="AX6441"/>
  <c r="C6442"/>
  <c r="D6442"/>
  <c r="AX6442"/>
  <c r="C6443"/>
  <c r="D6443"/>
  <c r="AX6443"/>
  <c r="C6444"/>
  <c r="D6444"/>
  <c r="AX6444"/>
  <c r="C6445"/>
  <c r="D6445"/>
  <c r="AX6445"/>
  <c r="C6446"/>
  <c r="D6446"/>
  <c r="AX6446"/>
  <c r="C6447"/>
  <c r="D6447"/>
  <c r="AX6447"/>
  <c r="C6448"/>
  <c r="D6448"/>
  <c r="AX6448"/>
  <c r="C6449"/>
  <c r="D6449"/>
  <c r="AX6449"/>
  <c r="C6450"/>
  <c r="D6450"/>
  <c r="AX6450"/>
  <c r="C6451"/>
  <c r="D6451"/>
  <c r="AX6451"/>
  <c r="C6452"/>
  <c r="D6452"/>
  <c r="AX6452"/>
  <c r="C6453"/>
  <c r="D6453"/>
  <c r="AX6453"/>
  <c r="C6454"/>
  <c r="D6454"/>
  <c r="AX6454"/>
  <c r="C6455"/>
  <c r="D6455"/>
  <c r="AX6455"/>
  <c r="C6456"/>
  <c r="D6456"/>
  <c r="AX6456"/>
  <c r="C6457"/>
  <c r="D6457"/>
  <c r="AX6457"/>
  <c r="C6458"/>
  <c r="D6458"/>
  <c r="AX6458"/>
  <c r="C6459"/>
  <c r="D6459"/>
  <c r="AX6459"/>
  <c r="C6460"/>
  <c r="D6460"/>
  <c r="AX6460"/>
  <c r="C6461"/>
  <c r="D6461"/>
  <c r="AX6461"/>
  <c r="C6462"/>
  <c r="D6462"/>
  <c r="AX6462"/>
  <c r="C6463"/>
  <c r="D6463"/>
  <c r="AX6463"/>
  <c r="C6464"/>
  <c r="D6464"/>
  <c r="AX6464"/>
  <c r="C6465"/>
  <c r="D6465"/>
  <c r="AX6465"/>
  <c r="C6466"/>
  <c r="D6466"/>
  <c r="AX6466"/>
  <c r="C6467"/>
  <c r="D6467"/>
  <c r="AX6467"/>
  <c r="C6468"/>
  <c r="D6468"/>
  <c r="AX6468"/>
  <c r="C6469"/>
  <c r="D6469"/>
  <c r="AX6469"/>
  <c r="C6470"/>
  <c r="D6470"/>
  <c r="AX6470"/>
  <c r="C6471"/>
  <c r="D6471"/>
  <c r="AX6471"/>
  <c r="C6472"/>
  <c r="D6472"/>
  <c r="AX6472"/>
  <c r="C6473"/>
  <c r="D6473"/>
  <c r="AX6473"/>
  <c r="C6474"/>
  <c r="D6474"/>
  <c r="AX6474"/>
  <c r="C6475"/>
  <c r="D6475"/>
  <c r="AX6475"/>
  <c r="C6476"/>
  <c r="D6476"/>
  <c r="AX6476"/>
  <c r="C6477"/>
  <c r="D6477"/>
  <c r="AX6477"/>
  <c r="C6478"/>
  <c r="D6478"/>
  <c r="AX6478"/>
  <c r="C6479"/>
  <c r="D6479"/>
  <c r="AX6479"/>
  <c r="C6480"/>
  <c r="D6480"/>
  <c r="AX6480"/>
  <c r="C6481"/>
  <c r="D6481"/>
  <c r="AX6481"/>
  <c r="C6482"/>
  <c r="D6482"/>
  <c r="AX6482"/>
  <c r="C6483"/>
  <c r="D6483"/>
  <c r="AX6483"/>
  <c r="C6484"/>
  <c r="D6484"/>
  <c r="AX6484"/>
  <c r="C6485"/>
  <c r="D6485"/>
  <c r="AX6485"/>
  <c r="C6486"/>
  <c r="D6486"/>
  <c r="AX6486"/>
  <c r="C6487"/>
  <c r="D6487"/>
  <c r="AX6487"/>
  <c r="C6488"/>
  <c r="D6488"/>
  <c r="AX6488"/>
  <c r="C6489"/>
  <c r="D6489"/>
  <c r="AX6489"/>
  <c r="C6490"/>
  <c r="D6490"/>
  <c r="AX6490"/>
  <c r="C6491"/>
  <c r="D6491"/>
  <c r="AX6491"/>
  <c r="C6492"/>
  <c r="D6492"/>
  <c r="AX6492"/>
  <c r="C6493"/>
  <c r="D6493"/>
  <c r="AX6493"/>
  <c r="C6494"/>
  <c r="D6494"/>
  <c r="AX6494"/>
  <c r="C6495"/>
  <c r="D6495"/>
  <c r="AX6495"/>
  <c r="C6496"/>
  <c r="D6496"/>
  <c r="AX6496"/>
  <c r="C6497"/>
  <c r="D6497"/>
  <c r="AX6497"/>
  <c r="C6498"/>
  <c r="D6498"/>
  <c r="AX6498"/>
  <c r="C6499"/>
  <c r="D6499"/>
  <c r="AX6499"/>
  <c r="C6500"/>
  <c r="D6500"/>
  <c r="AX6500"/>
  <c r="C6501"/>
  <c r="D6501"/>
  <c r="AX6501"/>
  <c r="C6502"/>
  <c r="D6502"/>
  <c r="AX6502"/>
  <c r="C6503"/>
  <c r="D6503"/>
  <c r="AX6503"/>
  <c r="C6504"/>
  <c r="D6504"/>
  <c r="AX6504"/>
  <c r="C6505"/>
  <c r="D6505"/>
  <c r="AX6505"/>
  <c r="C6506"/>
  <c r="D6506"/>
  <c r="AX6506"/>
  <c r="C6507"/>
  <c r="D6507"/>
  <c r="AX6507"/>
  <c r="C6508"/>
  <c r="D6508"/>
  <c r="AX6508"/>
  <c r="C6509"/>
  <c r="D6509"/>
  <c r="AX6509"/>
  <c r="C6510"/>
  <c r="D6510"/>
  <c r="AX6510"/>
  <c r="C6511"/>
  <c r="D6511"/>
  <c r="AX6511"/>
  <c r="C6512"/>
  <c r="D6512"/>
  <c r="AX6512"/>
  <c r="C6513"/>
  <c r="D6513"/>
  <c r="AX6513"/>
  <c r="C6514"/>
  <c r="D6514"/>
  <c r="AX6514"/>
  <c r="C6515"/>
  <c r="D6515"/>
  <c r="AX6515"/>
  <c r="C6516"/>
  <c r="D6516"/>
  <c r="AX6516"/>
  <c r="C6517"/>
  <c r="D6517"/>
  <c r="AX6517"/>
  <c r="C6518"/>
  <c r="D6518"/>
  <c r="AX6518"/>
  <c r="C6519"/>
  <c r="D6519"/>
  <c r="AX6519"/>
  <c r="C6520"/>
  <c r="D6520"/>
  <c r="AX6520"/>
  <c r="C6521"/>
  <c r="D6521"/>
  <c r="AX6521"/>
  <c r="C6522"/>
  <c r="D6522"/>
  <c r="AX6522"/>
  <c r="C6523"/>
  <c r="D6523"/>
  <c r="AX6523"/>
  <c r="C6524"/>
  <c r="D6524"/>
  <c r="AX6524"/>
  <c r="C6525"/>
  <c r="D6525"/>
  <c r="AX6525"/>
  <c r="C6526"/>
  <c r="D6526"/>
  <c r="AX6526"/>
  <c r="C6527"/>
  <c r="D6527"/>
  <c r="AX6527"/>
  <c r="C6528"/>
  <c r="D6528"/>
  <c r="AX6528"/>
  <c r="C6529"/>
  <c r="D6529"/>
  <c r="AX6529"/>
  <c r="C6530"/>
  <c r="D6530"/>
  <c r="AX6530"/>
  <c r="C6531"/>
  <c r="D6531"/>
  <c r="AX6531"/>
  <c r="C6532"/>
  <c r="D6532"/>
  <c r="AX6532"/>
  <c r="C6533"/>
  <c r="D6533"/>
  <c r="AX6533"/>
  <c r="C6534"/>
  <c r="D6534"/>
  <c r="AX6534"/>
  <c r="C6535"/>
  <c r="D6535"/>
  <c r="AX6535"/>
  <c r="C6536"/>
  <c r="D6536"/>
  <c r="AX6536"/>
  <c r="C6537"/>
  <c r="D6537"/>
  <c r="AX6537"/>
  <c r="C6538"/>
  <c r="D6538"/>
  <c r="AX6538"/>
  <c r="C6539"/>
  <c r="D6539"/>
  <c r="AX6539"/>
  <c r="C6540"/>
  <c r="D6540"/>
  <c r="AX6540"/>
  <c r="C6541"/>
  <c r="D6541"/>
  <c r="AX6541"/>
  <c r="C6542"/>
  <c r="D6542"/>
  <c r="AX6542"/>
  <c r="C6543"/>
  <c r="D6543"/>
  <c r="AX6543"/>
  <c r="C6544"/>
  <c r="D6544"/>
  <c r="AX6544"/>
  <c r="C6545"/>
  <c r="D6545"/>
  <c r="AX6545"/>
  <c r="C6546"/>
  <c r="D6546"/>
  <c r="AX6546"/>
  <c r="C6547"/>
  <c r="D6547"/>
  <c r="AX6547"/>
  <c r="C6548"/>
  <c r="D6548"/>
  <c r="AX6548"/>
  <c r="C6549"/>
  <c r="D6549"/>
  <c r="AX6549"/>
  <c r="C6550"/>
  <c r="D6550"/>
  <c r="AX6550"/>
  <c r="C6551"/>
  <c r="D6551"/>
  <c r="AX6551"/>
  <c r="C6552"/>
  <c r="D6552"/>
  <c r="AX6552"/>
  <c r="C6553"/>
  <c r="D6553"/>
  <c r="AX6553"/>
  <c r="C6554"/>
  <c r="D6554"/>
  <c r="AX6554"/>
  <c r="C6555"/>
  <c r="D6555"/>
  <c r="AX6555"/>
  <c r="C6556"/>
  <c r="D6556"/>
  <c r="AX6556"/>
  <c r="C6557"/>
  <c r="D6557"/>
  <c r="AX6557"/>
  <c r="C6558"/>
  <c r="D6558"/>
  <c r="AX6558"/>
  <c r="C6559"/>
  <c r="D6559"/>
  <c r="AX6559"/>
  <c r="C6560"/>
  <c r="D6560"/>
  <c r="AX6560"/>
  <c r="C6561"/>
  <c r="D6561"/>
  <c r="AX6561"/>
  <c r="C6562"/>
  <c r="D6562"/>
  <c r="AX6562"/>
  <c r="C6563"/>
  <c r="D6563"/>
  <c r="AX6563"/>
  <c r="C6564"/>
  <c r="D6564"/>
  <c r="AX6564"/>
  <c r="C6565"/>
  <c r="D6565"/>
  <c r="AX6565"/>
  <c r="C6566"/>
  <c r="D6566"/>
  <c r="AX6566"/>
  <c r="C6567"/>
  <c r="D6567"/>
  <c r="AX6567"/>
  <c r="C6568"/>
  <c r="D6568"/>
  <c r="AX6568"/>
  <c r="C6569"/>
  <c r="D6569"/>
  <c r="AX6569"/>
  <c r="C6570"/>
  <c r="D6570"/>
  <c r="AX6570"/>
  <c r="C6571"/>
  <c r="D6571"/>
  <c r="AX6571"/>
  <c r="C6572"/>
  <c r="D6572"/>
  <c r="AX6572"/>
  <c r="C6573"/>
  <c r="D6573"/>
  <c r="AX6573"/>
  <c r="C6574"/>
  <c r="D6574"/>
  <c r="AX6574"/>
  <c r="C6575"/>
  <c r="D6575"/>
  <c r="AX6575"/>
  <c r="C6576"/>
  <c r="D6576"/>
  <c r="AX6576"/>
  <c r="C6577"/>
  <c r="D6577"/>
  <c r="AX6577"/>
  <c r="C6578"/>
  <c r="D6578"/>
  <c r="AX6578"/>
  <c r="C6579"/>
  <c r="D6579"/>
  <c r="AX6579"/>
  <c r="C6580"/>
  <c r="D6580"/>
  <c r="AX6580"/>
  <c r="C6581"/>
  <c r="D6581"/>
  <c r="AX6581"/>
  <c r="C6582"/>
  <c r="D6582"/>
  <c r="AX6582"/>
  <c r="C6583"/>
  <c r="D6583"/>
  <c r="AX6583"/>
  <c r="C6584"/>
  <c r="D6584"/>
  <c r="AX6584"/>
  <c r="C6585"/>
  <c r="D6585"/>
  <c r="AX6585"/>
  <c r="C6586"/>
  <c r="D6586"/>
  <c r="AX6586"/>
  <c r="C6587"/>
  <c r="D6587"/>
  <c r="AX6587"/>
  <c r="C6588"/>
  <c r="D6588"/>
  <c r="AX6588"/>
  <c r="C6589"/>
  <c r="D6589"/>
  <c r="AX6589"/>
  <c r="C6590"/>
  <c r="D6590"/>
  <c r="AX6590"/>
  <c r="C6591"/>
  <c r="D6591"/>
  <c r="AX6591"/>
  <c r="C6592"/>
  <c r="D6592"/>
  <c r="AX6592"/>
  <c r="C6593"/>
  <c r="D6593"/>
  <c r="AX6593"/>
  <c r="C6594"/>
  <c r="D6594"/>
  <c r="AX6594"/>
  <c r="C6595"/>
  <c r="D6595"/>
  <c r="AX6595"/>
  <c r="C6596"/>
  <c r="D6596"/>
  <c r="AX6596"/>
  <c r="C6597"/>
  <c r="D6597"/>
  <c r="AX6597"/>
  <c r="C6598"/>
  <c r="D6598"/>
  <c r="AX6598"/>
  <c r="C6599"/>
  <c r="D6599"/>
  <c r="AX6599"/>
  <c r="C6600"/>
  <c r="D6600"/>
  <c r="AX6600"/>
  <c r="C6601"/>
  <c r="D6601"/>
  <c r="AX6601"/>
  <c r="C6602"/>
  <c r="D6602"/>
  <c r="AX6602"/>
  <c r="C6603"/>
  <c r="D6603"/>
  <c r="AX6603"/>
  <c r="C6604"/>
  <c r="D6604"/>
  <c r="AX6604"/>
  <c r="C6605"/>
  <c r="D6605"/>
  <c r="AX6605"/>
  <c r="C6606"/>
  <c r="D6606"/>
  <c r="AX6606"/>
  <c r="C6607"/>
  <c r="D6607"/>
  <c r="AX6607"/>
  <c r="C6608"/>
  <c r="D6608"/>
  <c r="AX6608"/>
  <c r="C6609"/>
  <c r="D6609"/>
  <c r="AX6609"/>
  <c r="C6610"/>
  <c r="D6610"/>
  <c r="AX6610"/>
  <c r="C6611"/>
  <c r="D6611"/>
  <c r="AX6611"/>
  <c r="C6612"/>
  <c r="D6612"/>
  <c r="AX6612"/>
  <c r="C6613"/>
  <c r="D6613"/>
  <c r="AX6613"/>
  <c r="C6614"/>
  <c r="D6614"/>
  <c r="AX6614"/>
  <c r="C6615"/>
  <c r="D6615"/>
  <c r="AX6615"/>
  <c r="C6616"/>
  <c r="D6616"/>
  <c r="AX6616"/>
  <c r="C6617"/>
  <c r="D6617"/>
  <c r="AX6617"/>
  <c r="C6618"/>
  <c r="D6618"/>
  <c r="AX6618"/>
  <c r="C6619"/>
  <c r="D6619"/>
  <c r="AX6619"/>
  <c r="C6620"/>
  <c r="D6620"/>
  <c r="AX6620"/>
  <c r="C6621"/>
  <c r="D6621"/>
  <c r="AX6621"/>
  <c r="C6622"/>
  <c r="D6622"/>
  <c r="AX6622"/>
  <c r="C6623"/>
  <c r="D6623"/>
  <c r="AX6623"/>
  <c r="C6624"/>
  <c r="D6624"/>
  <c r="AX6624"/>
  <c r="C6625"/>
  <c r="D6625"/>
  <c r="AX6625"/>
  <c r="C6626"/>
  <c r="D6626"/>
  <c r="AX6626"/>
  <c r="C6627"/>
  <c r="D6627"/>
  <c r="AX6627"/>
  <c r="C6628"/>
  <c r="D6628"/>
  <c r="AX6628"/>
  <c r="C6629"/>
  <c r="D6629"/>
  <c r="AX6629"/>
  <c r="C6630"/>
  <c r="D6630"/>
  <c r="AX6630"/>
  <c r="C6631"/>
  <c r="D6631"/>
  <c r="AX6631"/>
  <c r="C6632"/>
  <c r="D6632"/>
  <c r="AX6632"/>
  <c r="C6633"/>
  <c r="D6633"/>
  <c r="AX6633"/>
  <c r="C6634"/>
  <c r="D6634"/>
  <c r="AX6634"/>
  <c r="C6635"/>
  <c r="D6635"/>
  <c r="AX6635"/>
  <c r="C6636"/>
  <c r="D6636"/>
  <c r="AX6636"/>
  <c r="C6637"/>
  <c r="D6637"/>
  <c r="AX6637"/>
  <c r="C6638"/>
  <c r="D6638"/>
  <c r="AX6638"/>
  <c r="C6639"/>
  <c r="D6639"/>
  <c r="AX6639"/>
  <c r="C6640"/>
  <c r="D6640"/>
  <c r="AX6640"/>
  <c r="C6641"/>
  <c r="D6641"/>
  <c r="AX6641"/>
  <c r="C6642"/>
  <c r="D6642"/>
  <c r="AX6642"/>
  <c r="C6643"/>
  <c r="D6643"/>
  <c r="AX6643"/>
  <c r="C6644"/>
  <c r="D6644"/>
  <c r="AX6644"/>
  <c r="C6645"/>
  <c r="D6645"/>
  <c r="AX6645"/>
  <c r="C6646"/>
  <c r="D6646"/>
  <c r="AX6646"/>
  <c r="C6647"/>
  <c r="D6647"/>
  <c r="AX6647"/>
  <c r="C6648"/>
  <c r="D6648"/>
  <c r="AX6648"/>
  <c r="C6649"/>
  <c r="D6649"/>
  <c r="AX6649"/>
  <c r="C6650"/>
  <c r="D6650"/>
  <c r="AX6650"/>
  <c r="C6651"/>
  <c r="D6651"/>
  <c r="AX6651"/>
  <c r="C6652"/>
  <c r="D6652"/>
  <c r="AX6652"/>
  <c r="C6653"/>
  <c r="D6653"/>
  <c r="AX6653"/>
  <c r="C6654"/>
  <c r="D6654"/>
  <c r="AX6654"/>
  <c r="C6655"/>
  <c r="D6655"/>
  <c r="AX6655"/>
  <c r="C6656"/>
  <c r="D6656"/>
  <c r="AX6656"/>
  <c r="C6657"/>
  <c r="D6657"/>
  <c r="AX6657"/>
  <c r="C6658"/>
  <c r="D6658"/>
  <c r="AX6658"/>
  <c r="C6659"/>
  <c r="D6659"/>
  <c r="AX6659"/>
  <c r="C6660"/>
  <c r="D6660"/>
  <c r="AX6660"/>
  <c r="C6661"/>
  <c r="D6661"/>
  <c r="AX6661"/>
  <c r="C6662"/>
  <c r="D6662"/>
  <c r="AX6662"/>
  <c r="C6663"/>
  <c r="D6663"/>
  <c r="AX6663"/>
  <c r="C6664"/>
  <c r="D6664"/>
  <c r="AX6664"/>
  <c r="C6665"/>
  <c r="D6665"/>
  <c r="AX6665"/>
  <c r="C6666"/>
  <c r="D6666"/>
  <c r="AX6666"/>
  <c r="C6667"/>
  <c r="D6667"/>
  <c r="AX6667"/>
  <c r="C6668"/>
  <c r="D6668"/>
  <c r="AX6668"/>
  <c r="C6669"/>
  <c r="D6669"/>
  <c r="AX6669"/>
  <c r="C6670"/>
  <c r="D6670"/>
  <c r="AX6670"/>
  <c r="C6671"/>
  <c r="D6671"/>
  <c r="AX6671"/>
  <c r="C6672"/>
  <c r="D6672"/>
  <c r="AX6672"/>
  <c r="C6673"/>
  <c r="D6673"/>
  <c r="AX6673"/>
  <c r="C6674"/>
  <c r="D6674"/>
  <c r="AX6674"/>
  <c r="C6675"/>
  <c r="D6675"/>
  <c r="AX6675"/>
  <c r="C6676"/>
  <c r="D6676"/>
  <c r="AX6676"/>
  <c r="C6677"/>
  <c r="D6677"/>
  <c r="AX6677"/>
  <c r="C6678"/>
  <c r="D6678"/>
  <c r="AX6678"/>
  <c r="C6679"/>
  <c r="D6679"/>
  <c r="AX6679"/>
  <c r="C6680"/>
  <c r="D6680"/>
  <c r="AX6680"/>
  <c r="C6681"/>
  <c r="D6681"/>
  <c r="AX6681"/>
  <c r="C6682"/>
  <c r="D6682"/>
  <c r="AX6682"/>
  <c r="C6683"/>
  <c r="D6683"/>
  <c r="AX6683"/>
  <c r="C6684"/>
  <c r="D6684"/>
  <c r="AX6684"/>
  <c r="C6685"/>
  <c r="D6685"/>
  <c r="AX6685"/>
  <c r="C6686"/>
  <c r="D6686"/>
  <c r="AX6686"/>
  <c r="C6687"/>
  <c r="D6687"/>
  <c r="AX6687"/>
  <c r="C6688"/>
  <c r="D6688"/>
  <c r="AX6688"/>
  <c r="C6689"/>
  <c r="D6689"/>
  <c r="AX6689"/>
  <c r="C6690"/>
  <c r="D6690"/>
  <c r="AX6690"/>
  <c r="C6691"/>
  <c r="D6691"/>
  <c r="AX6691"/>
  <c r="C6692"/>
  <c r="D6692"/>
  <c r="AX6692"/>
  <c r="C6693"/>
  <c r="D6693"/>
  <c r="AX6693"/>
  <c r="C6694"/>
  <c r="D6694"/>
  <c r="AX6694"/>
  <c r="C6695"/>
  <c r="D6695"/>
  <c r="AX6695"/>
  <c r="C6696"/>
  <c r="D6696"/>
  <c r="AX6696"/>
  <c r="C6697"/>
  <c r="D6697"/>
  <c r="AX6697"/>
  <c r="C6698"/>
  <c r="D6698"/>
  <c r="AX6698"/>
  <c r="C6699"/>
  <c r="D6699"/>
  <c r="AX6699"/>
  <c r="C6700"/>
  <c r="D6700"/>
  <c r="AX6700"/>
  <c r="C6701"/>
  <c r="D6701"/>
  <c r="AX6701"/>
  <c r="C6702"/>
  <c r="D6702"/>
  <c r="AX6702"/>
  <c r="C6703"/>
  <c r="D6703"/>
  <c r="AX6703"/>
  <c r="C6704"/>
  <c r="D6704"/>
  <c r="AX6704"/>
  <c r="C6705"/>
  <c r="D6705"/>
  <c r="AX6705"/>
  <c r="C6706"/>
  <c r="D6706"/>
  <c r="AX6706"/>
  <c r="C6707"/>
  <c r="D6707"/>
  <c r="AX6707"/>
  <c r="C6708"/>
  <c r="D6708"/>
  <c r="AX6708"/>
  <c r="C6709"/>
  <c r="D6709"/>
  <c r="AX6709"/>
  <c r="C6710"/>
  <c r="D6710"/>
  <c r="AX6710"/>
  <c r="C6711"/>
  <c r="D6711"/>
  <c r="AX6711"/>
  <c r="C6712"/>
  <c r="D6712"/>
  <c r="AX6712"/>
  <c r="C6713"/>
  <c r="D6713"/>
  <c r="AX6713"/>
  <c r="C6714"/>
  <c r="D6714"/>
  <c r="AX6714"/>
  <c r="C6715"/>
  <c r="D6715"/>
  <c r="AX6715"/>
  <c r="C6716"/>
  <c r="D6716"/>
  <c r="AX6716"/>
  <c r="C6717"/>
  <c r="D6717"/>
  <c r="AX6717"/>
  <c r="C6718"/>
  <c r="D6718"/>
  <c r="AX6718"/>
  <c r="C6719"/>
  <c r="D6719"/>
  <c r="AX6719"/>
  <c r="C6720"/>
  <c r="D6720"/>
  <c r="AX6720"/>
  <c r="C6721"/>
  <c r="D6721"/>
  <c r="AX6721"/>
  <c r="C6722"/>
  <c r="D6722"/>
  <c r="AX6722"/>
  <c r="C6723"/>
  <c r="D6723"/>
  <c r="AX6723"/>
  <c r="C6724"/>
  <c r="D6724"/>
  <c r="AX6724"/>
  <c r="C6725"/>
  <c r="D6725"/>
  <c r="AX6725"/>
  <c r="C6726"/>
  <c r="D6726"/>
  <c r="AX6726"/>
  <c r="C6727"/>
  <c r="D6727"/>
  <c r="AX6727"/>
  <c r="C6728"/>
  <c r="D6728"/>
  <c r="AX6728"/>
  <c r="C6729"/>
  <c r="D6729"/>
  <c r="AX6729"/>
  <c r="C6730"/>
  <c r="D6730"/>
  <c r="AX6730"/>
  <c r="C6731"/>
  <c r="D6731"/>
  <c r="AX6731"/>
  <c r="C6732"/>
  <c r="D6732"/>
  <c r="AX6732"/>
  <c r="C6733"/>
  <c r="D6733"/>
  <c r="AX6733"/>
  <c r="C6734"/>
  <c r="D6734"/>
  <c r="AX6734"/>
  <c r="C6735"/>
  <c r="D6735"/>
  <c r="AX6735"/>
  <c r="C6736"/>
  <c r="D6736"/>
  <c r="AX6736"/>
  <c r="C6737"/>
  <c r="D6737"/>
  <c r="AX6737"/>
  <c r="C6738"/>
  <c r="D6738"/>
  <c r="AX6738"/>
  <c r="C6739"/>
  <c r="D6739"/>
  <c r="AX6739"/>
  <c r="C6740"/>
  <c r="D6740"/>
  <c r="AX6740"/>
  <c r="C6741"/>
  <c r="D6741"/>
  <c r="AX6741"/>
  <c r="C6742"/>
  <c r="D6742"/>
  <c r="AX6742"/>
  <c r="C6743"/>
  <c r="D6743"/>
  <c r="AX6743"/>
  <c r="C6744"/>
  <c r="D6744"/>
  <c r="AX6744"/>
  <c r="C6745"/>
  <c r="D6745"/>
  <c r="AX6745"/>
  <c r="C6746"/>
  <c r="D6746"/>
  <c r="AX6746"/>
  <c r="C6747"/>
  <c r="D6747"/>
  <c r="AX6747"/>
  <c r="C6748"/>
  <c r="D6748"/>
  <c r="AX6748"/>
  <c r="C6749"/>
  <c r="D6749"/>
  <c r="AX6749"/>
  <c r="C6750"/>
  <c r="D6750"/>
  <c r="AX6750"/>
  <c r="C6751"/>
  <c r="D6751"/>
  <c r="AX6751"/>
  <c r="C6752"/>
  <c r="D6752"/>
  <c r="AX6752"/>
  <c r="C6753"/>
  <c r="D6753"/>
  <c r="AX6753"/>
  <c r="C6754"/>
  <c r="D6754"/>
  <c r="AX6754"/>
  <c r="C6755"/>
  <c r="D6755"/>
  <c r="AX6755"/>
  <c r="C6756"/>
  <c r="D6756"/>
  <c r="AX6756"/>
  <c r="C6757"/>
  <c r="D6757"/>
  <c r="AX6757"/>
  <c r="C6758"/>
  <c r="D6758"/>
  <c r="AX6758"/>
  <c r="C6759"/>
  <c r="D6759"/>
  <c r="AX6759"/>
  <c r="C6760"/>
  <c r="D6760"/>
  <c r="AX6760"/>
  <c r="C6761"/>
  <c r="D6761"/>
  <c r="AX6761"/>
  <c r="C6762"/>
  <c r="D6762"/>
  <c r="AX6762"/>
  <c r="C6763"/>
  <c r="D6763"/>
  <c r="AX6763"/>
  <c r="C6764"/>
  <c r="D6764"/>
  <c r="AX6764"/>
  <c r="C6765"/>
  <c r="D6765"/>
  <c r="AX6765"/>
  <c r="C6766"/>
  <c r="D6766"/>
  <c r="AX6766"/>
  <c r="C6767"/>
  <c r="D6767"/>
  <c r="AX6767"/>
  <c r="C6768"/>
  <c r="D6768"/>
  <c r="AX6768"/>
  <c r="C6769"/>
  <c r="D6769"/>
  <c r="AX6769"/>
  <c r="C6770"/>
  <c r="D6770"/>
  <c r="AX6770"/>
  <c r="C6771"/>
  <c r="D6771"/>
  <c r="AX6771"/>
  <c r="C6772"/>
  <c r="D6772"/>
  <c r="AX6772"/>
  <c r="C6773"/>
  <c r="D6773"/>
  <c r="AX6773"/>
  <c r="C6774"/>
  <c r="D6774"/>
  <c r="AX6774"/>
  <c r="C6775"/>
  <c r="D6775"/>
  <c r="AX6775"/>
  <c r="C6776"/>
  <c r="D6776"/>
  <c r="AX6776"/>
  <c r="C6777"/>
  <c r="D6777"/>
  <c r="AX6777"/>
  <c r="C6778"/>
  <c r="D6778"/>
  <c r="AX6778"/>
  <c r="C6779"/>
  <c r="D6779"/>
  <c r="AX6779"/>
  <c r="C6780"/>
  <c r="D6780"/>
  <c r="AX6780"/>
  <c r="C6781"/>
  <c r="D6781"/>
  <c r="AX6781"/>
  <c r="C6782"/>
  <c r="D6782"/>
  <c r="AX6782"/>
  <c r="C6783"/>
  <c r="D6783"/>
  <c r="AX6783"/>
  <c r="C6784"/>
  <c r="D6784"/>
  <c r="AX6784"/>
  <c r="C6785"/>
  <c r="D6785"/>
  <c r="AX6785"/>
  <c r="C6786"/>
  <c r="D6786"/>
  <c r="AX6786"/>
  <c r="C6787"/>
  <c r="D6787"/>
  <c r="AX6787"/>
  <c r="C6788"/>
  <c r="D6788"/>
  <c r="AX6788"/>
  <c r="C6789"/>
  <c r="D6789"/>
  <c r="AX6789"/>
  <c r="C6790"/>
  <c r="D6790"/>
  <c r="AX6790"/>
  <c r="C6791"/>
  <c r="D6791"/>
  <c r="AX6791"/>
  <c r="C6792"/>
  <c r="D6792"/>
  <c r="AX6792"/>
  <c r="C6793"/>
  <c r="D6793"/>
  <c r="AX6793"/>
  <c r="C6794"/>
  <c r="D6794"/>
  <c r="AX6794"/>
  <c r="C6795"/>
  <c r="D6795"/>
  <c r="AX6795"/>
  <c r="C6796"/>
  <c r="D6796"/>
  <c r="AX6796"/>
  <c r="C6797"/>
  <c r="D6797"/>
  <c r="AX6797"/>
  <c r="C6798"/>
  <c r="D6798"/>
  <c r="AX6798"/>
  <c r="C6799"/>
  <c r="D6799"/>
  <c r="AX6799"/>
  <c r="C6800"/>
  <c r="D6800"/>
  <c r="AX6800"/>
  <c r="C6801"/>
  <c r="D6801"/>
  <c r="AX6801"/>
  <c r="C6802"/>
  <c r="D6802"/>
  <c r="AX6802"/>
  <c r="C6803"/>
  <c r="D6803"/>
  <c r="AX6803"/>
  <c r="C6804"/>
  <c r="D6804"/>
  <c r="AX6804"/>
  <c r="C6805"/>
  <c r="D6805"/>
  <c r="AX6805"/>
  <c r="C6806"/>
  <c r="D6806"/>
  <c r="AX6806"/>
  <c r="C6807"/>
  <c r="D6807"/>
  <c r="AX6807"/>
  <c r="C6808"/>
  <c r="D6808"/>
  <c r="AX6808"/>
  <c r="C6809"/>
  <c r="D6809"/>
  <c r="AX6809"/>
  <c r="C6810"/>
  <c r="D6810"/>
  <c r="AX6810"/>
  <c r="C6811"/>
  <c r="D6811"/>
  <c r="AX6811"/>
  <c r="C6812"/>
  <c r="D6812"/>
  <c r="AX6812"/>
  <c r="C6813"/>
  <c r="D6813"/>
  <c r="AX6813"/>
  <c r="C6814"/>
  <c r="D6814"/>
  <c r="AX6814"/>
  <c r="C6815"/>
  <c r="D6815"/>
  <c r="AX6815"/>
  <c r="C6816"/>
  <c r="D6816"/>
  <c r="AX6816"/>
  <c r="C6817"/>
  <c r="D6817"/>
  <c r="AX6817"/>
  <c r="C6818"/>
  <c r="D6818"/>
  <c r="AX6818"/>
  <c r="C6819"/>
  <c r="D6819"/>
  <c r="AX6819"/>
  <c r="C6820"/>
  <c r="D6820"/>
  <c r="AX6820"/>
  <c r="C6821"/>
  <c r="D6821"/>
  <c r="AX6821"/>
  <c r="C6822"/>
  <c r="D6822"/>
  <c r="AX6822"/>
  <c r="C6823"/>
  <c r="D6823"/>
  <c r="AX6823"/>
  <c r="C6824"/>
  <c r="D6824"/>
  <c r="AX6824"/>
  <c r="C6825"/>
  <c r="D6825"/>
  <c r="AX6825"/>
  <c r="C6826"/>
  <c r="D6826"/>
  <c r="AX6826"/>
  <c r="C6827"/>
  <c r="D6827"/>
  <c r="AX6827"/>
  <c r="C6828"/>
  <c r="D6828"/>
  <c r="AX6828"/>
  <c r="C6829"/>
  <c r="D6829"/>
  <c r="AX6829"/>
  <c r="C6830"/>
  <c r="D6830"/>
  <c r="AX6830"/>
  <c r="C6831"/>
  <c r="D6831"/>
  <c r="AX6831"/>
  <c r="C6832"/>
  <c r="D6832"/>
  <c r="AX6832"/>
  <c r="C6833"/>
  <c r="D6833"/>
  <c r="AX6833"/>
  <c r="C6834"/>
  <c r="D6834"/>
  <c r="AX6834"/>
  <c r="C6835"/>
  <c r="D6835"/>
  <c r="AX6835"/>
  <c r="C6836"/>
  <c r="D6836"/>
  <c r="AX6836"/>
  <c r="C6837"/>
  <c r="D6837"/>
  <c r="AX6837"/>
  <c r="C6838"/>
  <c r="D6838"/>
  <c r="AX6838"/>
  <c r="C6839"/>
  <c r="D6839"/>
  <c r="AX6839"/>
  <c r="C6840"/>
  <c r="D6840"/>
  <c r="AX6840"/>
  <c r="C6841"/>
  <c r="D6841"/>
  <c r="AX6841"/>
  <c r="C6842"/>
  <c r="D6842"/>
  <c r="AX6842"/>
  <c r="C6843"/>
  <c r="D6843"/>
  <c r="AX6843"/>
  <c r="C6844"/>
  <c r="D6844"/>
  <c r="AX6844"/>
  <c r="C6845"/>
  <c r="D6845"/>
  <c r="AX6845"/>
  <c r="C6846"/>
  <c r="D6846"/>
  <c r="AX6846"/>
  <c r="C6847"/>
  <c r="D6847"/>
  <c r="AX6847"/>
  <c r="C6848"/>
  <c r="D6848"/>
  <c r="AX6848"/>
  <c r="C6849"/>
  <c r="D6849"/>
  <c r="AX6849"/>
  <c r="C6850"/>
  <c r="D6850"/>
  <c r="AX6850"/>
  <c r="C6851"/>
  <c r="D6851"/>
  <c r="AX6851"/>
  <c r="C6852"/>
  <c r="D6852"/>
  <c r="AX6852"/>
  <c r="C6853"/>
  <c r="D6853"/>
  <c r="AX6853"/>
  <c r="C6854"/>
  <c r="D6854"/>
  <c r="AX6854"/>
  <c r="C6855"/>
  <c r="D6855"/>
  <c r="AX6855"/>
  <c r="C6856"/>
  <c r="D6856"/>
  <c r="AX6856"/>
  <c r="C6857"/>
  <c r="D6857"/>
  <c r="AX6857"/>
  <c r="C6858"/>
  <c r="D6858"/>
  <c r="AX6858"/>
  <c r="C6859"/>
  <c r="D6859"/>
  <c r="AX6859"/>
  <c r="C6860"/>
  <c r="D6860"/>
  <c r="AX6860"/>
  <c r="C6861"/>
  <c r="D6861"/>
  <c r="AX6861"/>
  <c r="C6862"/>
  <c r="D6862"/>
  <c r="AX6862"/>
  <c r="C6863"/>
  <c r="D6863"/>
  <c r="AX6863"/>
  <c r="C6864"/>
  <c r="D6864"/>
  <c r="AX6864"/>
  <c r="C6865"/>
  <c r="D6865"/>
  <c r="AX6865"/>
  <c r="C6866"/>
  <c r="D6866"/>
  <c r="AX6866"/>
  <c r="C6867"/>
  <c r="D6867"/>
  <c r="AX6867"/>
  <c r="C6868"/>
  <c r="D6868"/>
  <c r="AX6868"/>
  <c r="C6869"/>
  <c r="D6869"/>
  <c r="AX6869"/>
  <c r="C6870"/>
  <c r="D6870"/>
  <c r="AX6870"/>
  <c r="C6871"/>
  <c r="D6871"/>
  <c r="AX6871"/>
  <c r="C6872"/>
  <c r="D6872"/>
  <c r="AX6872"/>
  <c r="C6873"/>
  <c r="D6873"/>
  <c r="AX6873"/>
  <c r="C6874"/>
  <c r="D6874"/>
  <c r="AX6874"/>
  <c r="C6875"/>
  <c r="D6875"/>
  <c r="AX6875"/>
  <c r="C6876"/>
  <c r="D6876"/>
  <c r="AX6876"/>
  <c r="C6877"/>
  <c r="D6877"/>
  <c r="AX6877"/>
  <c r="C6878"/>
  <c r="D6878"/>
  <c r="AX6878"/>
  <c r="C6879"/>
  <c r="D6879"/>
  <c r="AX6879"/>
  <c r="C6880"/>
  <c r="D6880"/>
  <c r="AX6880"/>
  <c r="C6881"/>
  <c r="D6881"/>
  <c r="AX6881"/>
  <c r="C6882"/>
  <c r="D6882"/>
  <c r="AX6882"/>
  <c r="C6883"/>
  <c r="D6883"/>
  <c r="AX6883"/>
  <c r="C6884"/>
  <c r="D6884"/>
  <c r="AX6884"/>
  <c r="C6885"/>
  <c r="D6885"/>
  <c r="AX6885"/>
  <c r="C6886"/>
  <c r="D6886"/>
  <c r="AX6886"/>
  <c r="C6887"/>
  <c r="D6887"/>
  <c r="AX6887"/>
  <c r="C6888"/>
  <c r="D6888"/>
  <c r="AX6888"/>
  <c r="C6889"/>
  <c r="D6889"/>
  <c r="AX6889"/>
  <c r="C6890"/>
  <c r="D6890"/>
  <c r="AX6890"/>
  <c r="C6891"/>
  <c r="D6891"/>
  <c r="AX6891"/>
  <c r="C6892"/>
  <c r="D6892"/>
  <c r="AX6892"/>
  <c r="C6893"/>
  <c r="D6893"/>
  <c r="AX6893"/>
  <c r="C6894"/>
  <c r="D6894"/>
  <c r="AX6894"/>
  <c r="C6895"/>
  <c r="D6895"/>
  <c r="AX6895"/>
  <c r="C6896"/>
  <c r="D6896"/>
  <c r="AX6896"/>
  <c r="C6897"/>
  <c r="D6897"/>
  <c r="AX6897"/>
  <c r="C6898"/>
  <c r="D6898"/>
  <c r="AX6898"/>
  <c r="C6899"/>
  <c r="D6899"/>
  <c r="AX6899"/>
  <c r="C6900"/>
  <c r="D6900"/>
  <c r="AX6900"/>
  <c r="C6901"/>
  <c r="D6901"/>
  <c r="AX6901"/>
  <c r="C6902"/>
  <c r="D6902"/>
  <c r="AX6902"/>
  <c r="C6903"/>
  <c r="D6903"/>
  <c r="AX6903"/>
  <c r="C6904"/>
  <c r="D6904"/>
  <c r="AX6904"/>
  <c r="C6905"/>
  <c r="D6905"/>
  <c r="AX6905"/>
  <c r="C6906"/>
  <c r="D6906"/>
  <c r="AX6906"/>
  <c r="C6907"/>
  <c r="D6907"/>
  <c r="AX6907"/>
  <c r="C6908"/>
  <c r="D6908"/>
  <c r="AX6908"/>
  <c r="C6909"/>
  <c r="D6909"/>
  <c r="AX6909"/>
  <c r="C6910"/>
  <c r="D6910"/>
  <c r="AX6910"/>
  <c r="C6911"/>
  <c r="D6911"/>
  <c r="AX6911"/>
  <c r="C6912"/>
  <c r="D6912"/>
  <c r="AX6912"/>
  <c r="C6913"/>
  <c r="D6913"/>
  <c r="AX6913"/>
  <c r="C6914"/>
  <c r="D6914"/>
  <c r="AX6914"/>
  <c r="C6915"/>
  <c r="D6915"/>
  <c r="AX6915"/>
  <c r="C6916"/>
  <c r="D6916"/>
  <c r="AX6916"/>
  <c r="C6917"/>
  <c r="D6917"/>
  <c r="AX6917"/>
  <c r="C6918"/>
  <c r="D6918"/>
  <c r="AX6918"/>
  <c r="C6919"/>
  <c r="D6919"/>
  <c r="AX6919"/>
  <c r="C6920"/>
  <c r="D6920"/>
  <c r="AX6920"/>
  <c r="C6921"/>
  <c r="D6921"/>
  <c r="AX6921"/>
  <c r="C6922"/>
  <c r="D6922"/>
  <c r="AX6922"/>
  <c r="C6923"/>
  <c r="D6923"/>
  <c r="AX6923"/>
  <c r="C6924"/>
  <c r="D6924"/>
  <c r="AX6924"/>
  <c r="C6925"/>
  <c r="D6925"/>
  <c r="AX6925"/>
  <c r="C6926"/>
  <c r="D6926"/>
  <c r="AX6926"/>
  <c r="C6927"/>
  <c r="D6927"/>
  <c r="AX6927"/>
  <c r="C6928"/>
  <c r="D6928"/>
  <c r="AX6928"/>
  <c r="C6929"/>
  <c r="D6929"/>
  <c r="AX6929"/>
  <c r="C6930"/>
  <c r="D6930"/>
  <c r="AX6930"/>
  <c r="C6931"/>
  <c r="D6931"/>
  <c r="AX6931"/>
  <c r="C6932"/>
  <c r="D6932"/>
  <c r="AX6932"/>
  <c r="C6933"/>
  <c r="D6933"/>
  <c r="AX6933"/>
  <c r="C6934"/>
  <c r="D6934"/>
  <c r="AX6934"/>
  <c r="C6935"/>
  <c r="D6935"/>
  <c r="AX6935"/>
  <c r="C6936"/>
  <c r="D6936"/>
  <c r="AX6936"/>
  <c r="C6937"/>
  <c r="D6937"/>
  <c r="AX6937"/>
  <c r="C6938"/>
  <c r="D6938"/>
  <c r="AX6938"/>
  <c r="C6939"/>
  <c r="D6939"/>
  <c r="AX6939"/>
  <c r="C6940"/>
  <c r="D6940"/>
  <c r="AX6940"/>
  <c r="C6941"/>
  <c r="D6941"/>
  <c r="AX6941"/>
  <c r="C6942"/>
  <c r="D6942"/>
  <c r="AX6942"/>
  <c r="C6943"/>
  <c r="D6943"/>
  <c r="AX6943"/>
  <c r="C6944"/>
  <c r="D6944"/>
  <c r="AX6944"/>
  <c r="C6945"/>
  <c r="D6945"/>
  <c r="AX6945"/>
  <c r="C6946"/>
  <c r="D6946"/>
  <c r="AX6946"/>
  <c r="C6947"/>
  <c r="D6947"/>
  <c r="AX6947"/>
  <c r="C6948"/>
  <c r="D6948"/>
  <c r="AX6948"/>
  <c r="C6949"/>
  <c r="D6949"/>
  <c r="AX6949"/>
  <c r="C6950"/>
  <c r="D6950"/>
  <c r="AX6950"/>
  <c r="C6951"/>
  <c r="D6951"/>
  <c r="AX6951"/>
  <c r="C6952"/>
  <c r="D6952"/>
  <c r="AX6952"/>
  <c r="C6953"/>
  <c r="D6953"/>
  <c r="AX6953"/>
  <c r="C6954"/>
  <c r="D6954"/>
  <c r="AX6954"/>
  <c r="C6955"/>
  <c r="D6955"/>
  <c r="AX6955"/>
  <c r="C6956"/>
  <c r="D6956"/>
  <c r="AX6956"/>
  <c r="C6957"/>
  <c r="D6957"/>
  <c r="AX6957"/>
  <c r="C6958"/>
  <c r="D6958"/>
  <c r="AX6958"/>
  <c r="C6959"/>
  <c r="D6959"/>
  <c r="AX6959"/>
  <c r="C6960"/>
  <c r="D6960"/>
  <c r="AX6960"/>
  <c r="C6961"/>
  <c r="D6961"/>
  <c r="AX6961"/>
  <c r="C6962"/>
  <c r="D6962"/>
  <c r="AX6962"/>
  <c r="C6963"/>
  <c r="D6963"/>
  <c r="AX6963"/>
  <c r="C6964"/>
  <c r="D6964"/>
  <c r="AX6964"/>
  <c r="C6965"/>
  <c r="D6965"/>
  <c r="AX6965"/>
  <c r="C6966"/>
  <c r="D6966"/>
  <c r="AX6966"/>
  <c r="C6967"/>
  <c r="D6967"/>
  <c r="AX6967"/>
  <c r="C6968"/>
  <c r="D6968"/>
  <c r="AX6968"/>
  <c r="C6969"/>
  <c r="D6969"/>
  <c r="AX6969"/>
  <c r="C6970"/>
  <c r="D6970"/>
  <c r="AX6970"/>
  <c r="C6971"/>
  <c r="D6971"/>
  <c r="AX6971"/>
  <c r="C6972"/>
  <c r="D6972"/>
  <c r="AX6972"/>
  <c r="C6973"/>
  <c r="D6973"/>
  <c r="AX6973"/>
  <c r="C6974"/>
  <c r="D6974"/>
  <c r="AX6974"/>
  <c r="C6975"/>
  <c r="D6975"/>
  <c r="AX6975"/>
  <c r="C6976"/>
  <c r="D6976"/>
  <c r="AX6976"/>
  <c r="C6977"/>
  <c r="D6977"/>
  <c r="AX6977"/>
  <c r="C6978"/>
  <c r="D6978"/>
  <c r="AX6978"/>
  <c r="C6979"/>
  <c r="D6979"/>
  <c r="AX6979"/>
  <c r="C6980"/>
  <c r="D6980"/>
  <c r="AX6980"/>
  <c r="C6981"/>
  <c r="D6981"/>
  <c r="AX6981"/>
  <c r="C6982"/>
  <c r="D6982"/>
  <c r="AX6982"/>
  <c r="C6983"/>
  <c r="D6983"/>
  <c r="AX6983"/>
  <c r="C6984"/>
  <c r="D6984"/>
  <c r="AX6984"/>
  <c r="C6985"/>
  <c r="D6985"/>
  <c r="AX6985"/>
  <c r="C6986"/>
  <c r="D6986"/>
  <c r="AX6986"/>
  <c r="C6987"/>
  <c r="D6987"/>
  <c r="AX6987"/>
  <c r="C6988"/>
  <c r="D6988"/>
  <c r="AX6988"/>
  <c r="C6989"/>
  <c r="D6989"/>
  <c r="AX6989"/>
  <c r="C6990"/>
  <c r="D6990"/>
  <c r="AX6990"/>
  <c r="C6991"/>
  <c r="D6991"/>
  <c r="AX6991"/>
  <c r="C6992"/>
  <c r="D6992"/>
  <c r="AX6992"/>
  <c r="C6993"/>
  <c r="D6993"/>
  <c r="AX6993"/>
  <c r="C6994"/>
  <c r="D6994"/>
  <c r="AX6994"/>
  <c r="C6995"/>
  <c r="D6995"/>
  <c r="AX6995"/>
  <c r="C6996"/>
  <c r="D6996"/>
  <c r="AX6996"/>
  <c r="C6997"/>
  <c r="D6997"/>
  <c r="AX6997"/>
  <c r="C6998"/>
  <c r="D6998"/>
  <c r="AX6998"/>
  <c r="C6999"/>
  <c r="D6999"/>
  <c r="AX6999"/>
  <c r="C7000"/>
  <c r="D7000"/>
  <c r="AX7000"/>
  <c r="C7001"/>
  <c r="D7001"/>
  <c r="AX7001"/>
  <c r="C7002"/>
  <c r="D7002"/>
  <c r="AX7002"/>
  <c r="C7003"/>
  <c r="D7003"/>
  <c r="AX7003"/>
  <c r="C7004"/>
  <c r="D7004"/>
  <c r="AX7004"/>
  <c r="C7005"/>
  <c r="D7005"/>
  <c r="AX7005"/>
  <c r="C7006"/>
  <c r="D7006"/>
  <c r="AX7006"/>
  <c r="C7007"/>
  <c r="D7007"/>
  <c r="AX7007"/>
  <c r="C7008"/>
  <c r="D7008"/>
  <c r="AX7008"/>
  <c r="C7009"/>
  <c r="D7009"/>
  <c r="AX7009"/>
  <c r="C7010"/>
  <c r="D7010"/>
  <c r="AX7010"/>
  <c r="C7011"/>
  <c r="D7011"/>
  <c r="AX7011"/>
  <c r="C7012"/>
  <c r="D7012"/>
  <c r="AX7012"/>
  <c r="C7013"/>
  <c r="D7013"/>
  <c r="AX7013"/>
  <c r="C7014"/>
  <c r="D7014"/>
  <c r="AX7014"/>
  <c r="C7015"/>
  <c r="D7015"/>
  <c r="AX7015"/>
  <c r="C7016"/>
  <c r="D7016"/>
  <c r="AX7016"/>
  <c r="C7017"/>
  <c r="D7017"/>
  <c r="AX7017"/>
  <c r="C7018"/>
  <c r="D7018"/>
  <c r="AX7018"/>
  <c r="C7019"/>
  <c r="D7019"/>
  <c r="AX7019"/>
  <c r="C7020"/>
  <c r="D7020"/>
  <c r="AX7020"/>
  <c r="C7021"/>
  <c r="D7021"/>
  <c r="AX7021"/>
  <c r="C7022"/>
  <c r="D7022"/>
  <c r="AX7022"/>
  <c r="C7023"/>
  <c r="D7023"/>
  <c r="AX7023"/>
  <c r="C7024"/>
  <c r="D7024"/>
  <c r="AX7024"/>
  <c r="C7025"/>
  <c r="D7025"/>
  <c r="AX7025"/>
  <c r="C7026"/>
  <c r="D7026"/>
  <c r="AX7026"/>
  <c r="C7027"/>
  <c r="D7027"/>
  <c r="AX7027"/>
  <c r="C7028"/>
  <c r="D7028"/>
  <c r="AX7028"/>
  <c r="C7029"/>
  <c r="D7029"/>
  <c r="AX7029"/>
  <c r="C7030"/>
  <c r="D7030"/>
  <c r="AX7030"/>
  <c r="C7031"/>
  <c r="D7031"/>
  <c r="AX7031"/>
  <c r="C7032"/>
  <c r="D7032"/>
  <c r="AX7032"/>
  <c r="C7033"/>
  <c r="D7033"/>
  <c r="AX7033"/>
  <c r="C7034"/>
  <c r="D7034"/>
  <c r="AX7034"/>
  <c r="C7035"/>
  <c r="D7035"/>
  <c r="AX7035"/>
  <c r="C7036"/>
  <c r="D7036"/>
  <c r="AX7036"/>
  <c r="C7037"/>
  <c r="D7037"/>
  <c r="AX7037"/>
  <c r="C7038"/>
  <c r="D7038"/>
  <c r="AX7038"/>
  <c r="C7039"/>
  <c r="D7039"/>
  <c r="AX7039"/>
  <c r="C7040"/>
  <c r="D7040"/>
  <c r="AX7040"/>
  <c r="C7041"/>
  <c r="D7041"/>
  <c r="AX7041"/>
  <c r="C7042"/>
  <c r="D7042"/>
  <c r="AX7042"/>
  <c r="C7043"/>
  <c r="D7043"/>
  <c r="AX7043"/>
  <c r="C7044"/>
  <c r="D7044"/>
  <c r="AX7044"/>
  <c r="C7045"/>
  <c r="D7045"/>
  <c r="AX7045"/>
  <c r="C7046"/>
  <c r="D7046"/>
  <c r="AX7046"/>
  <c r="C7047"/>
  <c r="D7047"/>
  <c r="AX7047"/>
  <c r="C7048"/>
  <c r="D7048"/>
  <c r="AX7048"/>
  <c r="C7049"/>
  <c r="D7049"/>
  <c r="AX7049"/>
  <c r="C7050"/>
  <c r="D7050"/>
  <c r="AX7050"/>
  <c r="C7051"/>
  <c r="D7051"/>
  <c r="AX7051"/>
  <c r="C7052"/>
  <c r="D7052"/>
  <c r="AX7052"/>
  <c r="C7053"/>
  <c r="D7053"/>
  <c r="AX7053"/>
  <c r="C7054"/>
  <c r="D7054"/>
  <c r="AX7054"/>
  <c r="C7055"/>
  <c r="D7055"/>
  <c r="AX7055"/>
  <c r="C7056"/>
  <c r="D7056"/>
  <c r="AX7056"/>
  <c r="C7057"/>
  <c r="D7057"/>
  <c r="AX7057"/>
  <c r="C7058"/>
  <c r="D7058"/>
  <c r="AX7058"/>
  <c r="C7059"/>
  <c r="D7059"/>
  <c r="AX7059"/>
  <c r="C7060"/>
  <c r="D7060"/>
  <c r="AX7060"/>
  <c r="C7061"/>
  <c r="D7061"/>
  <c r="AX7061"/>
  <c r="C7062"/>
  <c r="D7062"/>
  <c r="AX7062"/>
  <c r="C7063"/>
  <c r="D7063"/>
  <c r="AX7063"/>
  <c r="C7064"/>
  <c r="D7064"/>
  <c r="AX7064"/>
  <c r="C7065"/>
  <c r="D7065"/>
  <c r="AX7065"/>
  <c r="C7066"/>
  <c r="D7066"/>
  <c r="AX7066"/>
  <c r="C7067"/>
  <c r="D7067"/>
  <c r="AX7067"/>
  <c r="C7068"/>
  <c r="D7068"/>
  <c r="AX7068"/>
  <c r="C7069"/>
  <c r="D7069"/>
  <c r="AX7069"/>
  <c r="C7070"/>
  <c r="D7070"/>
  <c r="AX7070"/>
  <c r="C7071"/>
  <c r="D7071"/>
  <c r="AX7071"/>
  <c r="C7072"/>
  <c r="D7072"/>
  <c r="AX7072"/>
  <c r="C7073"/>
  <c r="D7073"/>
  <c r="AX7073"/>
  <c r="C7074"/>
  <c r="D7074"/>
  <c r="AX7074"/>
  <c r="C7075"/>
  <c r="D7075"/>
  <c r="AX7075"/>
  <c r="C7076"/>
  <c r="D7076"/>
  <c r="AX7076"/>
  <c r="C7077"/>
  <c r="D7077"/>
  <c r="AX7077"/>
  <c r="C7078"/>
  <c r="D7078"/>
  <c r="AX7078"/>
  <c r="C7079"/>
  <c r="D7079"/>
  <c r="AX7079"/>
  <c r="C7080"/>
  <c r="D7080"/>
  <c r="AX7080"/>
  <c r="C7081"/>
  <c r="D7081"/>
  <c r="AX7081"/>
  <c r="C7082"/>
  <c r="D7082"/>
  <c r="AX7082"/>
  <c r="C7083"/>
  <c r="D7083"/>
  <c r="AX7083"/>
  <c r="C7084"/>
  <c r="D7084"/>
  <c r="AX7084"/>
  <c r="C7085"/>
  <c r="D7085"/>
  <c r="AX7085"/>
  <c r="C7086"/>
  <c r="D7086"/>
  <c r="AX7086"/>
  <c r="C7087"/>
  <c r="D7087"/>
  <c r="AX7087"/>
  <c r="C7088"/>
  <c r="D7088"/>
  <c r="AX7088"/>
  <c r="C7089"/>
  <c r="D7089"/>
  <c r="AX7089"/>
  <c r="C7090"/>
  <c r="D7090"/>
  <c r="AX7090"/>
  <c r="C7091"/>
  <c r="D7091"/>
  <c r="AX7091"/>
  <c r="C7092"/>
  <c r="D7092"/>
  <c r="AX7092"/>
  <c r="C7093"/>
  <c r="D7093"/>
  <c r="AX7093"/>
  <c r="C7094"/>
  <c r="D7094"/>
  <c r="AX7094"/>
  <c r="C7095"/>
  <c r="D7095"/>
  <c r="AX7095"/>
  <c r="C7096"/>
  <c r="D7096"/>
  <c r="AX7096"/>
  <c r="C7097"/>
  <c r="D7097"/>
  <c r="AX7097"/>
  <c r="C7098"/>
  <c r="D7098"/>
  <c r="AX7098"/>
  <c r="C7099"/>
  <c r="D7099"/>
  <c r="AX7099"/>
  <c r="C7100"/>
  <c r="D7100"/>
  <c r="AX7100"/>
  <c r="C7101"/>
  <c r="D7101"/>
  <c r="AX7101"/>
  <c r="C7102"/>
  <c r="D7102"/>
  <c r="AX7102"/>
  <c r="C7103"/>
  <c r="D7103"/>
  <c r="AX7103"/>
  <c r="C7104"/>
  <c r="D7104"/>
  <c r="AX7104"/>
  <c r="C7105"/>
  <c r="D7105"/>
  <c r="AX7105"/>
  <c r="C7106"/>
  <c r="D7106"/>
  <c r="AX7106"/>
  <c r="C7107"/>
  <c r="D7107"/>
  <c r="AX7107"/>
  <c r="C7108"/>
  <c r="D7108"/>
  <c r="AX7108"/>
  <c r="C7109"/>
  <c r="D7109"/>
  <c r="AX7109"/>
  <c r="C7110"/>
  <c r="D7110"/>
  <c r="AX7110"/>
  <c r="C7111"/>
  <c r="D7111"/>
  <c r="AX7111"/>
  <c r="C7112"/>
  <c r="D7112"/>
  <c r="AX7112"/>
  <c r="C7113"/>
  <c r="D7113"/>
  <c r="AX7113"/>
  <c r="C7114"/>
  <c r="D7114"/>
  <c r="AX7114"/>
  <c r="C7115"/>
  <c r="D7115"/>
  <c r="AX7115"/>
  <c r="C7116"/>
  <c r="D7116"/>
  <c r="AX7116"/>
  <c r="C7117"/>
  <c r="D7117"/>
  <c r="AX7117"/>
  <c r="C7118"/>
  <c r="D7118"/>
  <c r="AX7118"/>
  <c r="C7119"/>
  <c r="D7119"/>
  <c r="AX7119"/>
  <c r="C7120"/>
  <c r="D7120"/>
  <c r="AX7120"/>
  <c r="C7121"/>
  <c r="D7121"/>
  <c r="AX7121"/>
  <c r="C7122"/>
  <c r="D7122"/>
  <c r="AX7122"/>
  <c r="C7123"/>
  <c r="D7123"/>
  <c r="AX7123"/>
  <c r="C7124"/>
  <c r="D7124"/>
  <c r="AX7124"/>
  <c r="C7125"/>
  <c r="D7125"/>
  <c r="AX7125"/>
  <c r="C7126"/>
  <c r="D7126"/>
  <c r="AX7126"/>
  <c r="C7127"/>
  <c r="D7127"/>
  <c r="AX7127"/>
  <c r="C7128"/>
  <c r="D7128"/>
  <c r="AX7128"/>
  <c r="C7129"/>
  <c r="D7129"/>
  <c r="AX7129"/>
  <c r="C7130"/>
  <c r="D7130"/>
  <c r="AX7130"/>
  <c r="C7131"/>
  <c r="D7131"/>
  <c r="AX7131"/>
  <c r="C7132"/>
  <c r="D7132"/>
  <c r="AX7132"/>
  <c r="C7133"/>
  <c r="D7133"/>
  <c r="AX7133"/>
  <c r="C7134"/>
  <c r="D7134"/>
  <c r="AX7134"/>
  <c r="C7135"/>
  <c r="D7135"/>
  <c r="AX7135"/>
  <c r="C7136"/>
  <c r="D7136"/>
  <c r="AX7136"/>
  <c r="C7137"/>
  <c r="D7137"/>
  <c r="AX7137"/>
  <c r="C7138"/>
  <c r="D7138"/>
  <c r="AX7138"/>
  <c r="C7139"/>
  <c r="D7139"/>
  <c r="AX7139"/>
  <c r="C7140"/>
  <c r="D7140"/>
  <c r="AX7140"/>
  <c r="C7141"/>
  <c r="D7141"/>
  <c r="AX7141"/>
  <c r="C7142"/>
  <c r="D7142"/>
  <c r="AX7142"/>
  <c r="C7143"/>
  <c r="D7143"/>
  <c r="AX7143"/>
  <c r="C7144"/>
  <c r="D7144"/>
  <c r="AX7144"/>
  <c r="C7145"/>
  <c r="D7145"/>
  <c r="AX7145"/>
  <c r="C7146"/>
  <c r="D7146"/>
  <c r="AX7146"/>
  <c r="C7147"/>
  <c r="D7147"/>
  <c r="AX7147"/>
  <c r="C7148"/>
  <c r="D7148"/>
  <c r="AX7148"/>
  <c r="C7149"/>
  <c r="D7149"/>
  <c r="AX7149"/>
  <c r="C7150"/>
  <c r="D7150"/>
  <c r="AX7150"/>
  <c r="C7151"/>
  <c r="D7151"/>
  <c r="AX7151"/>
  <c r="C7152"/>
  <c r="D7152"/>
  <c r="AX7152"/>
  <c r="C7153"/>
  <c r="D7153"/>
  <c r="AX7153"/>
  <c r="C7154"/>
  <c r="D7154"/>
  <c r="AX7154"/>
  <c r="C7155"/>
  <c r="D7155"/>
  <c r="AX7155"/>
  <c r="C7156"/>
  <c r="D7156"/>
  <c r="AX7156"/>
  <c r="C7157"/>
  <c r="D7157"/>
  <c r="AX7157"/>
  <c r="C7158"/>
  <c r="D7158"/>
  <c r="AX7158"/>
  <c r="C7159"/>
  <c r="D7159"/>
  <c r="AX7159"/>
  <c r="C7160"/>
  <c r="D7160"/>
  <c r="AX7160"/>
  <c r="C7161"/>
  <c r="D7161"/>
  <c r="AX7161"/>
  <c r="C7162"/>
  <c r="D7162"/>
  <c r="AX7162"/>
  <c r="C7163"/>
  <c r="D7163"/>
  <c r="AX7163"/>
  <c r="C7164"/>
  <c r="D7164"/>
  <c r="AX7164"/>
  <c r="C7165"/>
  <c r="D7165"/>
  <c r="AX7165"/>
  <c r="C7166"/>
  <c r="D7166"/>
  <c r="AX7166"/>
  <c r="C7167"/>
  <c r="D7167"/>
  <c r="AX7167"/>
  <c r="C7168"/>
  <c r="D7168"/>
  <c r="AX7168"/>
  <c r="C7169"/>
  <c r="D7169"/>
  <c r="AX7169"/>
  <c r="C7170"/>
  <c r="D7170"/>
  <c r="AX7170"/>
  <c r="C7171"/>
  <c r="D7171"/>
  <c r="AX7171"/>
  <c r="C7172"/>
  <c r="D7172"/>
  <c r="AX7172"/>
  <c r="C7173"/>
  <c r="D7173"/>
  <c r="AX7173"/>
  <c r="C7174"/>
  <c r="D7174"/>
  <c r="AX7174"/>
  <c r="C7175"/>
  <c r="D7175"/>
  <c r="AX7175"/>
  <c r="C7176"/>
  <c r="D7176"/>
  <c r="AX7176"/>
  <c r="C7177"/>
  <c r="D7177"/>
  <c r="AX7177"/>
  <c r="C7178"/>
  <c r="D7178"/>
  <c r="AX7178"/>
  <c r="C7179"/>
  <c r="D7179"/>
  <c r="AX7179"/>
  <c r="C7180"/>
  <c r="D7180"/>
  <c r="AX7180"/>
  <c r="C7181"/>
  <c r="D7181"/>
  <c r="AX7181"/>
  <c r="C7182"/>
  <c r="D7182"/>
  <c r="AX7182"/>
  <c r="C7183"/>
  <c r="D7183"/>
  <c r="AX7183"/>
  <c r="C7184"/>
  <c r="D7184"/>
  <c r="AX7184"/>
  <c r="C7185"/>
  <c r="D7185"/>
  <c r="AX7185"/>
  <c r="C7186"/>
  <c r="D7186"/>
  <c r="AX7186"/>
  <c r="C7187"/>
  <c r="D7187"/>
  <c r="AX7187"/>
  <c r="C7188"/>
  <c r="D7188"/>
  <c r="AX7188"/>
  <c r="C7189"/>
  <c r="D7189"/>
  <c r="AX7189"/>
  <c r="C7190"/>
  <c r="D7190"/>
  <c r="AX7190"/>
  <c r="C7191"/>
  <c r="D7191"/>
  <c r="AX7191"/>
  <c r="C7192"/>
  <c r="D7192"/>
  <c r="AX7192"/>
  <c r="C7193"/>
  <c r="D7193"/>
  <c r="AX7193"/>
  <c r="C7194"/>
  <c r="D7194"/>
  <c r="AX7194"/>
  <c r="C7195"/>
  <c r="D7195"/>
  <c r="AX7195"/>
  <c r="C7196"/>
  <c r="D7196"/>
  <c r="AX7196"/>
  <c r="C7197"/>
  <c r="D7197"/>
  <c r="AX7197"/>
  <c r="C7198"/>
  <c r="D7198"/>
  <c r="AX7198"/>
  <c r="C7199"/>
  <c r="D7199"/>
  <c r="AX7199"/>
  <c r="C7200"/>
  <c r="D7200"/>
  <c r="AX7200"/>
  <c r="C7201"/>
  <c r="D7201"/>
  <c r="AX7201"/>
  <c r="C7202"/>
  <c r="D7202"/>
  <c r="AX7202"/>
  <c r="C7203"/>
  <c r="D7203"/>
  <c r="AX7203"/>
  <c r="C7204"/>
  <c r="D7204"/>
  <c r="AX7204"/>
  <c r="C7205"/>
  <c r="D7205"/>
  <c r="AX7205"/>
  <c r="C7206"/>
  <c r="D7206"/>
  <c r="AX7206"/>
  <c r="C7207"/>
  <c r="D7207"/>
  <c r="AX7207"/>
  <c r="C7208"/>
  <c r="D7208"/>
  <c r="AX7208"/>
  <c r="C7209"/>
  <c r="D7209"/>
  <c r="AX7209"/>
  <c r="C7210"/>
  <c r="D7210"/>
  <c r="AX7210"/>
  <c r="C7211"/>
  <c r="D7211"/>
  <c r="AX7211"/>
  <c r="C7212"/>
  <c r="D7212"/>
  <c r="AX7212"/>
  <c r="C7213"/>
  <c r="D7213"/>
  <c r="AX7213"/>
  <c r="C7214"/>
  <c r="D7214"/>
  <c r="AX7214"/>
  <c r="C7215"/>
  <c r="D7215"/>
  <c r="AX7215"/>
  <c r="C7216"/>
  <c r="D7216"/>
  <c r="AX7216"/>
  <c r="C7217"/>
  <c r="D7217"/>
  <c r="AX7217"/>
  <c r="C7218"/>
  <c r="D7218"/>
  <c r="AX7218"/>
  <c r="C7219"/>
  <c r="D7219"/>
  <c r="AX7219"/>
  <c r="C7220"/>
  <c r="D7220"/>
  <c r="AX7220"/>
  <c r="C7221"/>
  <c r="D7221"/>
  <c r="AX7221"/>
  <c r="C7222"/>
  <c r="D7222"/>
  <c r="AX7222"/>
  <c r="C7223"/>
  <c r="D7223"/>
  <c r="AX7223"/>
  <c r="C7224"/>
  <c r="D7224"/>
  <c r="AX7224"/>
  <c r="C7225"/>
  <c r="D7225"/>
  <c r="AX7225"/>
  <c r="C7226"/>
  <c r="D7226"/>
  <c r="AX7226"/>
  <c r="C7227"/>
  <c r="D7227"/>
  <c r="AX7227"/>
  <c r="C7228"/>
  <c r="D7228"/>
  <c r="AX7228"/>
  <c r="C7229"/>
  <c r="D7229"/>
  <c r="AX7229"/>
  <c r="C7230"/>
  <c r="D7230"/>
  <c r="AX7230"/>
  <c r="C7231"/>
  <c r="D7231"/>
  <c r="AX7231"/>
  <c r="C7232"/>
  <c r="D7232"/>
  <c r="AX7232"/>
  <c r="C7233"/>
  <c r="D7233"/>
  <c r="AX7233"/>
  <c r="C7234"/>
  <c r="D7234"/>
  <c r="AX7234"/>
  <c r="C7235"/>
  <c r="D7235"/>
  <c r="AX7235"/>
  <c r="C7236"/>
  <c r="D7236"/>
  <c r="AX7236"/>
  <c r="C7237"/>
  <c r="D7237"/>
  <c r="AX7237"/>
  <c r="C7238"/>
  <c r="D7238"/>
  <c r="AX7238"/>
  <c r="C7239"/>
  <c r="D7239"/>
  <c r="AX7239"/>
  <c r="C7240"/>
  <c r="D7240"/>
  <c r="AX7240"/>
  <c r="C7241"/>
  <c r="D7241"/>
  <c r="AX7241"/>
  <c r="C7242"/>
  <c r="D7242"/>
  <c r="AX7242"/>
  <c r="C7243"/>
  <c r="D7243"/>
  <c r="AX7243"/>
  <c r="C7244"/>
  <c r="D7244"/>
  <c r="AX7244"/>
  <c r="C7245"/>
  <c r="D7245"/>
  <c r="AX7245"/>
  <c r="C7246"/>
  <c r="D7246"/>
  <c r="AX7246"/>
  <c r="C7247"/>
  <c r="D7247"/>
  <c r="AX7247"/>
  <c r="C7248"/>
  <c r="D7248"/>
  <c r="AX7248"/>
  <c r="C7249"/>
  <c r="D7249"/>
  <c r="AX7249"/>
  <c r="C7250"/>
  <c r="D7250"/>
  <c r="AX7250"/>
  <c r="C7251"/>
  <c r="D7251"/>
  <c r="AX7251"/>
  <c r="C7252"/>
  <c r="D7252"/>
  <c r="AX7252"/>
  <c r="C7253"/>
  <c r="D7253"/>
  <c r="AX7253"/>
  <c r="C7254"/>
  <c r="D7254"/>
  <c r="AX7254"/>
  <c r="C7255"/>
  <c r="D7255"/>
  <c r="AX7255"/>
  <c r="C7256"/>
  <c r="D7256"/>
  <c r="AX7256"/>
  <c r="C7257"/>
  <c r="D7257"/>
  <c r="AX7257"/>
  <c r="C7258"/>
  <c r="D7258"/>
  <c r="AX7258"/>
  <c r="C7259"/>
  <c r="D7259"/>
  <c r="AX7259"/>
  <c r="C7260"/>
  <c r="D7260"/>
  <c r="AX7260"/>
  <c r="C7261"/>
  <c r="D7261"/>
  <c r="AX7261"/>
  <c r="C7262"/>
  <c r="D7262"/>
  <c r="AX7262"/>
  <c r="C7263"/>
  <c r="D7263"/>
  <c r="AX7263"/>
  <c r="C7264"/>
  <c r="D7264"/>
  <c r="AX7264"/>
  <c r="C7265"/>
  <c r="D7265"/>
  <c r="AX7265"/>
  <c r="C7266"/>
  <c r="D7266"/>
  <c r="AX7266"/>
  <c r="C7267"/>
  <c r="D7267"/>
  <c r="AX7267"/>
  <c r="C7268"/>
  <c r="D7268"/>
  <c r="AX7268"/>
  <c r="C7269"/>
  <c r="D7269"/>
  <c r="AX7269"/>
  <c r="C7270"/>
  <c r="D7270"/>
  <c r="AX7270"/>
  <c r="C7271"/>
  <c r="D7271"/>
  <c r="AX7271"/>
  <c r="C7272"/>
  <c r="D7272"/>
  <c r="AX7272"/>
  <c r="C7273"/>
  <c r="D7273"/>
  <c r="AX7273"/>
  <c r="C7274"/>
  <c r="D7274"/>
  <c r="AX7274"/>
  <c r="C7275"/>
  <c r="D7275"/>
  <c r="AX7275"/>
  <c r="C7276"/>
  <c r="D7276"/>
  <c r="AX7276"/>
  <c r="C7277"/>
  <c r="D7277"/>
  <c r="AX7277"/>
  <c r="C7278"/>
  <c r="D7278"/>
  <c r="AX7278"/>
  <c r="C7279"/>
  <c r="D7279"/>
  <c r="AX7279"/>
  <c r="C7280"/>
  <c r="D7280"/>
  <c r="AX7280"/>
  <c r="C7281"/>
  <c r="D7281"/>
  <c r="AX7281"/>
  <c r="C7282"/>
  <c r="D7282"/>
  <c r="AX7282"/>
  <c r="C7283"/>
  <c r="D7283"/>
  <c r="AX7283"/>
  <c r="C7284"/>
  <c r="D7284"/>
  <c r="AX7284"/>
  <c r="C7285"/>
  <c r="D7285"/>
  <c r="AX7285"/>
  <c r="C7286"/>
  <c r="D7286"/>
  <c r="AX7286"/>
  <c r="C7287"/>
  <c r="D7287"/>
  <c r="AX7287"/>
  <c r="C7288"/>
  <c r="D7288"/>
  <c r="AX7288"/>
  <c r="C7289"/>
  <c r="D7289"/>
  <c r="AX7289"/>
  <c r="C7290"/>
  <c r="D7290"/>
  <c r="AX7290"/>
  <c r="C7291"/>
  <c r="D7291"/>
  <c r="AX7291"/>
  <c r="C7292"/>
  <c r="D7292"/>
  <c r="AX7292"/>
  <c r="C7293"/>
  <c r="D7293"/>
  <c r="AX7293"/>
  <c r="C7294"/>
  <c r="D7294"/>
  <c r="AX7294"/>
  <c r="C7295"/>
  <c r="D7295"/>
  <c r="AX7295"/>
  <c r="C7296"/>
  <c r="D7296"/>
  <c r="AX7296"/>
  <c r="C7297"/>
  <c r="D7297"/>
  <c r="AX7297"/>
  <c r="C7298"/>
  <c r="D7298"/>
  <c r="AX7298"/>
  <c r="C7299"/>
  <c r="D7299"/>
  <c r="AX7299"/>
  <c r="C7300"/>
  <c r="D7300"/>
  <c r="AX7300"/>
  <c r="C7301"/>
  <c r="D7301"/>
  <c r="AX7301"/>
  <c r="C7302"/>
  <c r="D7302"/>
  <c r="AX7302"/>
  <c r="C7303"/>
  <c r="D7303"/>
  <c r="AX7303"/>
  <c r="C7304"/>
  <c r="D7304"/>
  <c r="AX7304"/>
  <c r="C7305"/>
  <c r="D7305"/>
  <c r="AX7305"/>
  <c r="C7306"/>
  <c r="D7306"/>
  <c r="AX7306"/>
  <c r="C7307"/>
  <c r="D7307"/>
  <c r="AX7307"/>
  <c r="C7308"/>
  <c r="D7308"/>
  <c r="AX7308"/>
  <c r="C7309"/>
  <c r="D7309"/>
  <c r="AX7309"/>
  <c r="C7310"/>
  <c r="D7310"/>
  <c r="AX7310"/>
  <c r="C7311"/>
  <c r="D7311"/>
  <c r="AX7311"/>
  <c r="C7312"/>
  <c r="D7312"/>
  <c r="AX7312"/>
  <c r="C7313"/>
  <c r="D7313"/>
  <c r="AX7313"/>
  <c r="C7314"/>
  <c r="D7314"/>
  <c r="AX7314"/>
  <c r="C7315"/>
  <c r="D7315"/>
  <c r="AX7315"/>
  <c r="C7316"/>
  <c r="D7316"/>
  <c r="AX7316"/>
  <c r="C7317"/>
  <c r="D7317"/>
  <c r="AX7317"/>
  <c r="C7318"/>
  <c r="D7318"/>
  <c r="AX7318"/>
  <c r="C7319"/>
  <c r="D7319"/>
  <c r="AX7319"/>
  <c r="C7320"/>
  <c r="D7320"/>
  <c r="AX7320"/>
  <c r="C7321"/>
  <c r="D7321"/>
  <c r="AX7321"/>
  <c r="C7322"/>
  <c r="D7322"/>
  <c r="AX7322"/>
  <c r="C7323"/>
  <c r="D7323"/>
  <c r="AX7323"/>
  <c r="C7324"/>
  <c r="D7324"/>
  <c r="AX7324"/>
  <c r="C7325"/>
  <c r="D7325"/>
  <c r="AX7325"/>
  <c r="C7326"/>
  <c r="D7326"/>
  <c r="AX7326"/>
  <c r="C7327"/>
  <c r="D7327"/>
  <c r="AX7327"/>
  <c r="C7328"/>
  <c r="D7328"/>
  <c r="AX7328"/>
  <c r="C7329"/>
  <c r="D7329"/>
  <c r="AX7329"/>
  <c r="C7330"/>
  <c r="D7330"/>
  <c r="AX7330"/>
  <c r="C7331"/>
  <c r="D7331"/>
  <c r="AX7331"/>
  <c r="C7332"/>
  <c r="D7332"/>
  <c r="AX7332"/>
  <c r="C7333"/>
  <c r="D7333"/>
  <c r="AX7333"/>
  <c r="C7334"/>
  <c r="D7334"/>
  <c r="AX7334"/>
  <c r="C7335"/>
  <c r="D7335"/>
  <c r="AX7335"/>
  <c r="C7336"/>
  <c r="D7336"/>
  <c r="AX7336"/>
  <c r="C7337"/>
  <c r="D7337"/>
  <c r="AX7337"/>
  <c r="C7338"/>
  <c r="D7338"/>
  <c r="AX7338"/>
  <c r="C7339"/>
  <c r="D7339"/>
  <c r="AX7339"/>
  <c r="C7340"/>
  <c r="D7340"/>
  <c r="AX7340"/>
  <c r="C7341"/>
  <c r="D7341"/>
  <c r="AX7341"/>
  <c r="C7342"/>
  <c r="D7342"/>
  <c r="AX7342"/>
  <c r="C7343"/>
  <c r="D7343"/>
  <c r="AX7343"/>
  <c r="C7344"/>
  <c r="D7344"/>
  <c r="AX7344"/>
  <c r="C7345"/>
  <c r="D7345"/>
  <c r="AX7345"/>
  <c r="C7346"/>
  <c r="D7346"/>
  <c r="AX7346"/>
  <c r="C7347"/>
  <c r="D7347"/>
  <c r="AX7347"/>
  <c r="C7348"/>
  <c r="D7348"/>
  <c r="AX7348"/>
  <c r="C7349"/>
  <c r="D7349"/>
  <c r="AX7349"/>
  <c r="C7350"/>
  <c r="D7350"/>
  <c r="AX7350"/>
  <c r="C7351"/>
  <c r="D7351"/>
  <c r="AX7351"/>
  <c r="C7352"/>
  <c r="D7352"/>
  <c r="AX7352"/>
  <c r="C7353"/>
  <c r="D7353"/>
  <c r="AX7353"/>
  <c r="C7354"/>
  <c r="D7354"/>
  <c r="AX7354"/>
  <c r="C7355"/>
  <c r="D7355"/>
  <c r="AX7355"/>
  <c r="C7356"/>
  <c r="D7356"/>
  <c r="AX7356"/>
  <c r="C7357"/>
  <c r="D7357"/>
  <c r="AX7357"/>
  <c r="C7358"/>
  <c r="D7358"/>
  <c r="AX7358"/>
  <c r="C7359"/>
  <c r="D7359"/>
  <c r="AX7359"/>
  <c r="C7360"/>
  <c r="D7360"/>
  <c r="AX7360"/>
  <c r="C7361"/>
  <c r="D7361"/>
  <c r="AX7361"/>
  <c r="C7362"/>
  <c r="D7362"/>
  <c r="AX7362"/>
  <c r="C7363"/>
  <c r="D7363"/>
  <c r="AX7363"/>
  <c r="C7364"/>
  <c r="D7364"/>
  <c r="AX7364"/>
  <c r="C7365"/>
  <c r="D7365"/>
  <c r="AX7365"/>
  <c r="C7366"/>
  <c r="D7366"/>
  <c r="AX7366"/>
  <c r="C7367"/>
  <c r="D7367"/>
  <c r="AX7367"/>
  <c r="C7368"/>
  <c r="D7368"/>
  <c r="AX7368"/>
  <c r="C7369"/>
  <c r="D7369"/>
  <c r="AX7369"/>
  <c r="C7370"/>
  <c r="D7370"/>
  <c r="AX7370"/>
  <c r="C7371"/>
  <c r="D7371"/>
  <c r="AX7371"/>
  <c r="C7372"/>
  <c r="D7372"/>
  <c r="AX7372"/>
  <c r="C7373"/>
  <c r="D7373"/>
  <c r="AX7373"/>
  <c r="C7374"/>
  <c r="D7374"/>
  <c r="AX7374"/>
  <c r="C7375"/>
  <c r="D7375"/>
  <c r="AX7375"/>
  <c r="C7376"/>
  <c r="D7376"/>
  <c r="AX7376"/>
  <c r="C7377"/>
  <c r="D7377"/>
  <c r="AX7377"/>
  <c r="C7378"/>
  <c r="D7378"/>
  <c r="AX7378"/>
  <c r="C7379"/>
  <c r="D7379"/>
  <c r="AX7379"/>
  <c r="C7380"/>
  <c r="D7380"/>
  <c r="AX7380"/>
  <c r="C7381"/>
  <c r="D7381"/>
  <c r="AX7381"/>
  <c r="C7382"/>
  <c r="D7382"/>
  <c r="AX7382"/>
  <c r="C7383"/>
  <c r="D7383"/>
  <c r="AX7383"/>
  <c r="C7384"/>
  <c r="D7384"/>
  <c r="AX7384"/>
  <c r="C7385"/>
  <c r="D7385"/>
  <c r="AX7385"/>
  <c r="C7386"/>
  <c r="D7386"/>
  <c r="AX7386"/>
  <c r="C7387"/>
  <c r="D7387"/>
  <c r="AX7387"/>
  <c r="C7388"/>
  <c r="D7388"/>
  <c r="AX7388"/>
  <c r="C7389"/>
  <c r="D7389"/>
  <c r="AX7389"/>
  <c r="C7390"/>
  <c r="D7390"/>
  <c r="AX7390"/>
  <c r="C7391"/>
  <c r="D7391"/>
  <c r="AX7391"/>
  <c r="C7392"/>
  <c r="D7392"/>
  <c r="AX7392"/>
  <c r="C7393"/>
  <c r="D7393"/>
  <c r="AX7393"/>
  <c r="C7394"/>
  <c r="D7394"/>
  <c r="AX7394"/>
  <c r="C7395"/>
  <c r="D7395"/>
  <c r="AX7395"/>
  <c r="C7396"/>
  <c r="D7396"/>
  <c r="AX7396"/>
  <c r="C7397"/>
  <c r="D7397"/>
  <c r="AX7397"/>
  <c r="C7398"/>
  <c r="D7398"/>
  <c r="AX7398"/>
  <c r="C7399"/>
  <c r="D7399"/>
  <c r="AX7399"/>
  <c r="C7400"/>
  <c r="D7400"/>
  <c r="AX7400"/>
  <c r="C7401"/>
  <c r="D7401"/>
  <c r="AX7401"/>
  <c r="C7402"/>
  <c r="D7402"/>
  <c r="AX7402"/>
  <c r="C7403"/>
  <c r="D7403"/>
  <c r="AX7403"/>
  <c r="C7404"/>
  <c r="D7404"/>
  <c r="AX7404"/>
  <c r="C7405"/>
  <c r="D7405"/>
  <c r="AX7405"/>
  <c r="C7406"/>
  <c r="D7406"/>
  <c r="AX7406"/>
  <c r="C7407"/>
  <c r="D7407"/>
  <c r="AX7407"/>
  <c r="C7408"/>
  <c r="D7408"/>
  <c r="AX7408"/>
  <c r="C7409"/>
  <c r="D7409"/>
  <c r="AX7409"/>
  <c r="C7410"/>
  <c r="D7410"/>
  <c r="AX7410"/>
  <c r="C7411"/>
  <c r="D7411"/>
  <c r="AX7411"/>
  <c r="C7412"/>
  <c r="D7412"/>
  <c r="AX7412"/>
  <c r="C7413"/>
  <c r="D7413"/>
  <c r="AX7413"/>
  <c r="C7414"/>
  <c r="D7414"/>
  <c r="AX7414"/>
  <c r="C7415"/>
  <c r="D7415"/>
  <c r="AX7415"/>
  <c r="C7416"/>
  <c r="D7416"/>
  <c r="AX7416"/>
  <c r="C7417"/>
  <c r="D7417"/>
  <c r="AX7417"/>
  <c r="C7418"/>
  <c r="D7418"/>
  <c r="AX7418"/>
  <c r="C7419"/>
  <c r="D7419"/>
  <c r="AX7419"/>
  <c r="C7420"/>
  <c r="D7420"/>
  <c r="AX7420"/>
  <c r="C7421"/>
  <c r="D7421"/>
  <c r="AX7421"/>
  <c r="C7422"/>
  <c r="D7422"/>
  <c r="AX7422"/>
  <c r="C7423"/>
  <c r="D7423"/>
  <c r="AX7423"/>
  <c r="C7424"/>
  <c r="D7424"/>
  <c r="AX7424"/>
  <c r="C7425"/>
  <c r="D7425"/>
  <c r="AX7425"/>
  <c r="C7426"/>
  <c r="D7426"/>
  <c r="AX7426"/>
  <c r="C7427"/>
  <c r="D7427"/>
  <c r="AX7427"/>
  <c r="C7428"/>
  <c r="D7428"/>
  <c r="AX7428"/>
  <c r="C7429"/>
  <c r="D7429"/>
  <c r="AX7429"/>
  <c r="C7430"/>
  <c r="D7430"/>
  <c r="AX7430"/>
  <c r="C7431"/>
  <c r="D7431"/>
  <c r="AX7431"/>
  <c r="C7432"/>
  <c r="D7432"/>
  <c r="AX7432"/>
  <c r="C7433"/>
  <c r="D7433"/>
  <c r="AX7433"/>
  <c r="C7434"/>
  <c r="D7434"/>
  <c r="AX7434"/>
  <c r="C7435"/>
  <c r="D7435"/>
  <c r="AX7435"/>
  <c r="C7436"/>
  <c r="D7436"/>
  <c r="AX7436"/>
  <c r="C7437"/>
  <c r="D7437"/>
  <c r="AX7437"/>
  <c r="C7438"/>
  <c r="D7438"/>
  <c r="AX7438"/>
  <c r="C7439"/>
  <c r="D7439"/>
  <c r="AX7439"/>
  <c r="C7440"/>
  <c r="D7440"/>
  <c r="AX7440"/>
  <c r="C7441"/>
  <c r="D7441"/>
  <c r="AX7441"/>
  <c r="C7442"/>
  <c r="D7442"/>
  <c r="AX7442"/>
  <c r="C7443"/>
  <c r="D7443"/>
  <c r="AX7443"/>
  <c r="C7444"/>
  <c r="D7444"/>
  <c r="AX7444"/>
  <c r="C7445"/>
  <c r="D7445"/>
  <c r="AX7445"/>
  <c r="C7446"/>
  <c r="D7446"/>
  <c r="AX7446"/>
  <c r="C7447"/>
  <c r="D7447"/>
  <c r="AX7447"/>
  <c r="C7448"/>
  <c r="D7448"/>
  <c r="AX7448"/>
  <c r="C7449"/>
  <c r="D7449"/>
  <c r="AX7449"/>
  <c r="C7450"/>
  <c r="D7450"/>
  <c r="AX7450"/>
  <c r="C7451"/>
  <c r="D7451"/>
  <c r="AX7451"/>
  <c r="C7452"/>
  <c r="D7452"/>
  <c r="AX7452"/>
  <c r="C7453"/>
  <c r="D7453"/>
  <c r="AX7453"/>
  <c r="C7454"/>
  <c r="D7454"/>
  <c r="AX7454"/>
  <c r="C7455"/>
  <c r="D7455"/>
  <c r="AX7455"/>
  <c r="C7456"/>
  <c r="D7456"/>
  <c r="AX7456"/>
  <c r="C7457"/>
  <c r="D7457"/>
  <c r="AX7457"/>
  <c r="C7458"/>
  <c r="D7458"/>
  <c r="AX7458"/>
  <c r="C7459"/>
  <c r="D7459"/>
  <c r="AX7459"/>
  <c r="C7460"/>
  <c r="D7460"/>
  <c r="AX7460"/>
  <c r="C7461"/>
  <c r="D7461"/>
  <c r="AX7461"/>
  <c r="C7462"/>
  <c r="D7462"/>
  <c r="AX7462"/>
  <c r="C7463"/>
  <c r="D7463"/>
  <c r="AX7463"/>
  <c r="C7464"/>
  <c r="D7464"/>
  <c r="AX7464"/>
  <c r="C7465"/>
  <c r="D7465"/>
  <c r="AX7465"/>
  <c r="C7466"/>
  <c r="D7466"/>
  <c r="AX7466"/>
  <c r="C7467"/>
  <c r="D7467"/>
  <c r="AX7467"/>
  <c r="C7468"/>
  <c r="D7468"/>
  <c r="AX7468"/>
  <c r="C7469"/>
  <c r="D7469"/>
  <c r="AX7469"/>
  <c r="C7470"/>
  <c r="D7470"/>
  <c r="AX7470"/>
  <c r="C7471"/>
  <c r="D7471"/>
  <c r="AX7471"/>
  <c r="C7472"/>
  <c r="D7472"/>
  <c r="AX7472"/>
  <c r="C7473"/>
  <c r="D7473"/>
  <c r="AX7473"/>
  <c r="C7474"/>
  <c r="D7474"/>
  <c r="AX7474"/>
  <c r="C7475"/>
  <c r="D7475"/>
  <c r="AX7475"/>
  <c r="C7476"/>
  <c r="D7476"/>
  <c r="AX7476"/>
  <c r="C7477"/>
  <c r="D7477"/>
  <c r="AX7477"/>
  <c r="C7478"/>
  <c r="D7478"/>
  <c r="AX7478"/>
  <c r="C7479"/>
  <c r="D7479"/>
  <c r="AX7479"/>
  <c r="C7480"/>
  <c r="D7480"/>
  <c r="AX7480"/>
  <c r="C7481"/>
  <c r="D7481"/>
  <c r="AX7481"/>
  <c r="C7482"/>
  <c r="D7482"/>
  <c r="AX7482"/>
  <c r="C7483"/>
  <c r="D7483"/>
  <c r="AX7483"/>
  <c r="C7484"/>
  <c r="D7484"/>
  <c r="AX7484"/>
  <c r="C7485"/>
  <c r="D7485"/>
  <c r="AX7485"/>
  <c r="C7486"/>
  <c r="D7486"/>
  <c r="AX7486"/>
  <c r="C7487"/>
  <c r="D7487"/>
  <c r="AX7487"/>
  <c r="C7488"/>
  <c r="D7488"/>
  <c r="AX7488"/>
  <c r="C7489"/>
  <c r="D7489"/>
  <c r="AX7489"/>
  <c r="C7490"/>
  <c r="D7490"/>
  <c r="AX7490"/>
  <c r="C7491"/>
  <c r="D7491"/>
  <c r="AX7491"/>
  <c r="C7492"/>
  <c r="D7492"/>
  <c r="AX7492"/>
  <c r="C7493"/>
  <c r="D7493"/>
  <c r="AX7493"/>
  <c r="C7494"/>
  <c r="D7494"/>
  <c r="AX7494"/>
  <c r="C7495"/>
  <c r="D7495"/>
  <c r="AX7495"/>
  <c r="C7496"/>
  <c r="D7496"/>
  <c r="AX7496"/>
  <c r="C7497"/>
  <c r="D7497"/>
  <c r="AX7497"/>
  <c r="C7498"/>
  <c r="D7498"/>
  <c r="AX7498"/>
  <c r="C7499"/>
  <c r="D7499"/>
  <c r="AX7499"/>
  <c r="C7500"/>
  <c r="D7500"/>
  <c r="AX7500"/>
  <c r="C7501"/>
  <c r="D7501"/>
  <c r="AX7501"/>
  <c r="C7502"/>
  <c r="D7502"/>
  <c r="AX7502"/>
  <c r="C7503"/>
  <c r="D7503"/>
  <c r="AX7503"/>
  <c r="C7504"/>
  <c r="D7504"/>
  <c r="AX7504"/>
  <c r="C7505"/>
  <c r="D7505"/>
  <c r="AX7505"/>
  <c r="C7506"/>
  <c r="D7506"/>
  <c r="AX7506"/>
  <c r="C7507"/>
  <c r="D7507"/>
  <c r="AX7507"/>
  <c r="C7508"/>
  <c r="D7508"/>
  <c r="AX7508"/>
  <c r="C7509"/>
  <c r="D7509"/>
  <c r="AX7509"/>
  <c r="C7510"/>
  <c r="D7510"/>
  <c r="AX7510"/>
  <c r="C7511"/>
  <c r="D7511"/>
  <c r="AX7511"/>
  <c r="C7512"/>
  <c r="D7512"/>
  <c r="AX7512"/>
  <c r="C7513"/>
  <c r="D7513"/>
  <c r="AX7513"/>
  <c r="C7514"/>
  <c r="D7514"/>
  <c r="AX7514"/>
  <c r="C7515"/>
  <c r="D7515"/>
  <c r="AX7515"/>
  <c r="C7516"/>
  <c r="D7516"/>
  <c r="AX7516"/>
  <c r="C7517"/>
  <c r="D7517"/>
  <c r="AX7517"/>
  <c r="C7518"/>
  <c r="D7518"/>
  <c r="AX7518"/>
  <c r="C7519"/>
  <c r="D7519"/>
  <c r="AX7519"/>
  <c r="C7520"/>
  <c r="D7520"/>
  <c r="AX7520"/>
  <c r="C7521"/>
  <c r="D7521"/>
  <c r="AX7521"/>
  <c r="C7522"/>
  <c r="D7522"/>
  <c r="AX7522"/>
  <c r="C7523"/>
  <c r="D7523"/>
  <c r="AX7523"/>
  <c r="C7524"/>
  <c r="D7524"/>
  <c r="AX7524"/>
  <c r="C7525"/>
  <c r="D7525"/>
  <c r="AX7525"/>
  <c r="C7526"/>
  <c r="D7526"/>
  <c r="AX7526"/>
  <c r="C7527"/>
  <c r="D7527"/>
  <c r="AX7527"/>
  <c r="C7528"/>
  <c r="D7528"/>
  <c r="AX7528"/>
  <c r="C7529"/>
  <c r="D7529"/>
  <c r="AX7529"/>
  <c r="C7530"/>
  <c r="D7530"/>
  <c r="AX7530"/>
  <c r="C7531"/>
  <c r="D7531"/>
  <c r="AX7531"/>
  <c r="C7532"/>
  <c r="D7532"/>
  <c r="AX7532"/>
  <c r="C7533"/>
  <c r="D7533"/>
  <c r="AX7533"/>
  <c r="C7534"/>
  <c r="D7534"/>
  <c r="AX7534"/>
  <c r="C7535"/>
  <c r="D7535"/>
  <c r="AX7535"/>
  <c r="C7536"/>
  <c r="D7536"/>
  <c r="AX7536"/>
  <c r="C7537"/>
  <c r="D7537"/>
  <c r="AX7537"/>
  <c r="C7538"/>
  <c r="D7538"/>
  <c r="AX7538"/>
  <c r="C7539"/>
  <c r="D7539"/>
  <c r="AX7539"/>
  <c r="C7540"/>
  <c r="D7540"/>
  <c r="AX7540"/>
  <c r="C7541"/>
  <c r="D7541"/>
  <c r="AX7541"/>
  <c r="C7542"/>
  <c r="D7542"/>
  <c r="AX7542"/>
  <c r="C7543"/>
  <c r="D7543"/>
  <c r="AX7543"/>
  <c r="C7544"/>
  <c r="D7544"/>
  <c r="AX7544"/>
  <c r="C7545"/>
  <c r="D7545"/>
  <c r="AX7545"/>
  <c r="C7546"/>
  <c r="D7546"/>
  <c r="AX7546"/>
  <c r="C7547"/>
  <c r="D7547"/>
  <c r="AX7547"/>
  <c r="C7548"/>
  <c r="D7548"/>
  <c r="AX7548"/>
  <c r="C7549"/>
  <c r="D7549"/>
  <c r="AX7549"/>
  <c r="C7550"/>
  <c r="D7550"/>
  <c r="AX7550"/>
  <c r="C7551"/>
  <c r="D7551"/>
  <c r="AX7551"/>
  <c r="C7552"/>
  <c r="D7552"/>
  <c r="AX7552"/>
  <c r="C7553"/>
  <c r="D7553"/>
  <c r="AX7553"/>
  <c r="C7554"/>
  <c r="D7554"/>
  <c r="AX7554"/>
  <c r="C7555"/>
  <c r="D7555"/>
  <c r="AX7555"/>
  <c r="C7556"/>
  <c r="D7556"/>
  <c r="AX7556"/>
  <c r="C7557"/>
  <c r="D7557"/>
  <c r="AX7557"/>
  <c r="C7558"/>
  <c r="D7558"/>
  <c r="AX7558"/>
  <c r="C7559"/>
  <c r="D7559"/>
  <c r="AX7559"/>
  <c r="C7560"/>
  <c r="D7560"/>
  <c r="AX7560"/>
  <c r="C7561"/>
  <c r="D7561"/>
  <c r="AX7561"/>
  <c r="C7562"/>
  <c r="D7562"/>
  <c r="AX7562"/>
  <c r="C7563"/>
  <c r="D7563"/>
  <c r="AX7563"/>
  <c r="C7564"/>
  <c r="D7564"/>
  <c r="AX7564"/>
  <c r="C7565"/>
  <c r="D7565"/>
  <c r="AX7565"/>
  <c r="C7566"/>
  <c r="D7566"/>
  <c r="AX7566"/>
  <c r="C7567"/>
  <c r="D7567"/>
  <c r="AX7567"/>
  <c r="C7568"/>
  <c r="D7568"/>
  <c r="AX7568"/>
  <c r="C7569"/>
  <c r="D7569"/>
  <c r="AX7569"/>
  <c r="C7570"/>
  <c r="D7570"/>
  <c r="AX7570"/>
  <c r="C7571"/>
  <c r="D7571"/>
  <c r="AX7571"/>
  <c r="C7572"/>
  <c r="D7572"/>
  <c r="AX7572"/>
  <c r="C7573"/>
  <c r="D7573"/>
  <c r="AX7573"/>
  <c r="C7574"/>
  <c r="D7574"/>
  <c r="AX7574"/>
  <c r="C7575"/>
  <c r="D7575"/>
  <c r="AX7575"/>
  <c r="C7576"/>
  <c r="D7576"/>
  <c r="AX7576"/>
  <c r="C7577"/>
  <c r="D7577"/>
  <c r="AX7577"/>
  <c r="C7578"/>
  <c r="D7578"/>
  <c r="AX7578"/>
  <c r="C7579"/>
  <c r="D7579"/>
  <c r="AX7579"/>
  <c r="C7580"/>
  <c r="D7580"/>
  <c r="AX7580"/>
  <c r="C7581"/>
  <c r="D7581"/>
  <c r="AX7581"/>
  <c r="C7582"/>
  <c r="D7582"/>
  <c r="AX7582"/>
  <c r="C7583"/>
  <c r="D7583"/>
  <c r="AX7583"/>
  <c r="C7584"/>
  <c r="D7584"/>
  <c r="AX7584"/>
  <c r="C7585"/>
  <c r="D7585"/>
  <c r="AX7585"/>
  <c r="C7586"/>
  <c r="D7586"/>
  <c r="AX7586"/>
  <c r="C7587"/>
  <c r="D7587"/>
  <c r="AX7587"/>
  <c r="C7588"/>
  <c r="D7588"/>
  <c r="AX7588"/>
  <c r="C7589"/>
  <c r="D7589"/>
  <c r="AX7589"/>
  <c r="C7590"/>
  <c r="D7590"/>
  <c r="AX7590"/>
  <c r="C7591"/>
  <c r="D7591"/>
  <c r="AX7591"/>
  <c r="C7592"/>
  <c r="D7592"/>
  <c r="AX7592"/>
  <c r="C7593"/>
  <c r="D7593"/>
  <c r="AX7593"/>
  <c r="C7594"/>
  <c r="D7594"/>
  <c r="AX7594"/>
  <c r="C7595"/>
  <c r="D7595"/>
  <c r="AX7595"/>
  <c r="C7596"/>
  <c r="D7596"/>
  <c r="AX7596"/>
  <c r="C7597"/>
  <c r="D7597"/>
  <c r="AX7597"/>
  <c r="C7598"/>
  <c r="D7598"/>
  <c r="AX7598"/>
  <c r="C7599"/>
  <c r="D7599"/>
  <c r="AX7599"/>
  <c r="C7600"/>
  <c r="D7600"/>
  <c r="AX7600"/>
  <c r="C7601"/>
  <c r="D7601"/>
  <c r="AX7601"/>
  <c r="C7602"/>
  <c r="D7602"/>
  <c r="AX7602"/>
  <c r="C7603"/>
  <c r="D7603"/>
  <c r="AX7603"/>
  <c r="C7604"/>
  <c r="D7604"/>
  <c r="AX7604"/>
  <c r="C7605"/>
  <c r="D7605"/>
  <c r="AX7605"/>
  <c r="C7606"/>
  <c r="D7606"/>
  <c r="AX7606"/>
  <c r="C7607"/>
  <c r="D7607"/>
  <c r="AX7607"/>
  <c r="C7608"/>
  <c r="D7608"/>
  <c r="AX7608"/>
  <c r="C7609"/>
  <c r="D7609"/>
  <c r="AX7609"/>
  <c r="C7610"/>
  <c r="D7610"/>
  <c r="AX7610"/>
  <c r="C7611"/>
  <c r="D7611"/>
  <c r="AX7611"/>
  <c r="C7612"/>
  <c r="D7612"/>
  <c r="AX7612"/>
  <c r="C7613"/>
  <c r="D7613"/>
  <c r="AX7613"/>
  <c r="C7614"/>
  <c r="D7614"/>
  <c r="AX7614"/>
  <c r="C7615"/>
  <c r="D7615"/>
  <c r="AX7615"/>
  <c r="C7616"/>
  <c r="D7616"/>
  <c r="AX7616"/>
  <c r="C7617"/>
  <c r="D7617"/>
  <c r="AX7617"/>
  <c r="C7618"/>
  <c r="D7618"/>
  <c r="AX7618"/>
  <c r="C7619"/>
  <c r="D7619"/>
  <c r="AX7619"/>
  <c r="C7620"/>
  <c r="D7620"/>
  <c r="AX7620"/>
  <c r="C7621"/>
  <c r="D7621"/>
  <c r="AX7621"/>
  <c r="C7622"/>
  <c r="D7622"/>
  <c r="AX7622"/>
  <c r="C7623"/>
  <c r="D7623"/>
  <c r="AX7623"/>
  <c r="C7624"/>
  <c r="D7624"/>
  <c r="AX7624"/>
  <c r="C7625"/>
  <c r="D7625"/>
  <c r="AX7625"/>
  <c r="C7626"/>
  <c r="D7626"/>
  <c r="AX7626"/>
  <c r="C7627"/>
  <c r="D7627"/>
  <c r="AX7627"/>
  <c r="C7628"/>
  <c r="D7628"/>
  <c r="AX7628"/>
  <c r="C7629"/>
  <c r="D7629"/>
  <c r="AX7629"/>
  <c r="C7630"/>
  <c r="D7630"/>
  <c r="AX7630"/>
  <c r="C7631"/>
  <c r="D7631"/>
  <c r="AX7631"/>
  <c r="C7632"/>
  <c r="D7632"/>
  <c r="AX7632"/>
  <c r="C7633"/>
  <c r="D7633"/>
  <c r="AX7633"/>
  <c r="C7634"/>
  <c r="D7634"/>
  <c r="AX7634"/>
  <c r="C7635"/>
  <c r="D7635"/>
  <c r="AX7635"/>
  <c r="C7636"/>
  <c r="D7636"/>
  <c r="AX7636"/>
  <c r="C7637"/>
  <c r="D7637"/>
  <c r="AX7637"/>
  <c r="C7638"/>
  <c r="D7638"/>
  <c r="AX7638"/>
  <c r="C7639"/>
  <c r="D7639"/>
  <c r="AX7639"/>
  <c r="C7640"/>
  <c r="D7640"/>
  <c r="AX7640"/>
  <c r="C7641"/>
  <c r="D7641"/>
  <c r="AX7641"/>
  <c r="C7642"/>
  <c r="D7642"/>
  <c r="AX7642"/>
  <c r="C7643"/>
  <c r="D7643"/>
  <c r="AX7643"/>
  <c r="C7644"/>
  <c r="D7644"/>
  <c r="AX7644"/>
  <c r="C7645"/>
  <c r="D7645"/>
  <c r="AX7645"/>
  <c r="C7646"/>
  <c r="D7646"/>
  <c r="AX7646"/>
  <c r="C7647"/>
  <c r="D7647"/>
  <c r="AX7647"/>
  <c r="C7648"/>
  <c r="D7648"/>
  <c r="AX7648"/>
  <c r="C7649"/>
  <c r="D7649"/>
  <c r="AX7649"/>
  <c r="C7650"/>
  <c r="D7650"/>
  <c r="AX7650"/>
  <c r="C7651"/>
  <c r="D7651"/>
  <c r="AX7651"/>
  <c r="C7652"/>
  <c r="D7652"/>
  <c r="AX7652"/>
  <c r="C7653"/>
  <c r="D7653"/>
  <c r="AX7653"/>
  <c r="C7654"/>
  <c r="D7654"/>
  <c r="AX7654"/>
  <c r="C7655"/>
  <c r="D7655"/>
  <c r="AX7655"/>
  <c r="C7656"/>
  <c r="D7656"/>
  <c r="AX7656"/>
  <c r="C7657"/>
  <c r="D7657"/>
  <c r="AX7657"/>
  <c r="C7658"/>
  <c r="D7658"/>
  <c r="AX7658"/>
  <c r="C7659"/>
  <c r="D7659"/>
  <c r="AX7659"/>
  <c r="C7660"/>
  <c r="D7660"/>
  <c r="AX7660"/>
  <c r="C7661"/>
  <c r="D7661"/>
  <c r="AX7661"/>
  <c r="C7662"/>
  <c r="D7662"/>
  <c r="AX7662"/>
  <c r="C7663"/>
  <c r="D7663"/>
  <c r="AX7663"/>
  <c r="C7664"/>
  <c r="D7664"/>
  <c r="AX7664"/>
  <c r="C7665"/>
  <c r="D7665"/>
  <c r="AX7665"/>
  <c r="C7666"/>
  <c r="D7666"/>
  <c r="AX7666"/>
  <c r="C7667"/>
  <c r="D7667"/>
  <c r="AX7667"/>
  <c r="C7668"/>
  <c r="D7668"/>
  <c r="AX7668"/>
  <c r="C7669"/>
  <c r="D7669"/>
  <c r="AX7669"/>
  <c r="C7670"/>
  <c r="D7670"/>
  <c r="AX7670"/>
  <c r="C7671"/>
  <c r="D7671"/>
  <c r="AX7671"/>
  <c r="C7672"/>
  <c r="D7672"/>
  <c r="AX7672"/>
  <c r="C7673"/>
  <c r="D7673"/>
  <c r="AX7673"/>
  <c r="C7674"/>
  <c r="D7674"/>
  <c r="AX7674"/>
  <c r="C7675"/>
  <c r="D7675"/>
  <c r="AX7675"/>
  <c r="C7676"/>
  <c r="D7676"/>
  <c r="AX7676"/>
  <c r="C7677"/>
  <c r="D7677"/>
  <c r="AX7677"/>
  <c r="C7678"/>
  <c r="D7678"/>
  <c r="AX7678"/>
  <c r="C7679"/>
  <c r="D7679"/>
  <c r="AX7679"/>
  <c r="C7680"/>
  <c r="D7680"/>
  <c r="AX7680"/>
  <c r="C7681"/>
  <c r="D7681"/>
  <c r="AX7681"/>
  <c r="C7682"/>
  <c r="D7682"/>
  <c r="AX7682"/>
  <c r="C7683"/>
  <c r="D7683"/>
  <c r="AX7683"/>
  <c r="C7684"/>
  <c r="D7684"/>
  <c r="AX7684"/>
  <c r="C7685"/>
  <c r="D7685"/>
  <c r="AX7685"/>
  <c r="C7686"/>
  <c r="D7686"/>
  <c r="AX7686"/>
  <c r="C7687"/>
  <c r="D7687"/>
  <c r="AX7687"/>
  <c r="C7688"/>
  <c r="D7688"/>
  <c r="AX7688"/>
  <c r="C7689"/>
  <c r="D7689"/>
  <c r="AX7689"/>
  <c r="C7690"/>
  <c r="D7690"/>
  <c r="AX7690"/>
  <c r="C7691"/>
  <c r="D7691"/>
  <c r="AX7691"/>
  <c r="C7692"/>
  <c r="D7692"/>
  <c r="AX7692"/>
  <c r="C7693"/>
  <c r="D7693"/>
  <c r="AX7693"/>
  <c r="C7694"/>
  <c r="D7694"/>
  <c r="AX7694"/>
  <c r="C7695"/>
  <c r="D7695"/>
  <c r="AX7695"/>
  <c r="C7696"/>
  <c r="D7696"/>
  <c r="AX7696"/>
  <c r="C7697"/>
  <c r="D7697"/>
  <c r="AX7697"/>
  <c r="C7698"/>
  <c r="D7698"/>
  <c r="AX7698"/>
  <c r="C7699"/>
  <c r="D7699"/>
  <c r="AX7699"/>
  <c r="C7700"/>
  <c r="D7700"/>
  <c r="AX7700"/>
  <c r="C7701"/>
  <c r="D7701"/>
  <c r="AX7701"/>
  <c r="C7702"/>
  <c r="D7702"/>
  <c r="AX7702"/>
  <c r="C7703"/>
  <c r="D7703"/>
  <c r="AX7703"/>
  <c r="C7704"/>
  <c r="D7704"/>
  <c r="AX7704"/>
  <c r="C7705"/>
  <c r="D7705"/>
  <c r="AX7705"/>
  <c r="C7706"/>
  <c r="D7706"/>
  <c r="AX7706"/>
  <c r="C7707"/>
  <c r="D7707"/>
  <c r="AX7707"/>
  <c r="C7708"/>
  <c r="D7708"/>
  <c r="AX7708"/>
  <c r="C7709"/>
  <c r="D7709"/>
  <c r="AX7709"/>
  <c r="C7710"/>
  <c r="D7710"/>
  <c r="AX7710"/>
  <c r="C7711"/>
  <c r="D7711"/>
  <c r="AX7711"/>
  <c r="C7712"/>
  <c r="D7712"/>
  <c r="AX7712"/>
  <c r="C7713"/>
  <c r="D7713"/>
  <c r="AX7713"/>
  <c r="C7714"/>
  <c r="D7714"/>
  <c r="AX7714"/>
  <c r="C7715"/>
  <c r="D7715"/>
  <c r="AX7715"/>
  <c r="C7716"/>
  <c r="D7716"/>
  <c r="AX7716"/>
  <c r="C7717"/>
  <c r="D7717"/>
  <c r="AX7717"/>
  <c r="C7718"/>
  <c r="D7718"/>
  <c r="AX7718"/>
  <c r="C7719"/>
  <c r="D7719"/>
  <c r="AX7719"/>
  <c r="C7720"/>
  <c r="D7720"/>
  <c r="AX7720"/>
  <c r="C7721"/>
  <c r="D7721"/>
  <c r="AX7721"/>
  <c r="C7722"/>
  <c r="D7722"/>
  <c r="AX7722"/>
  <c r="C7723"/>
  <c r="D7723"/>
  <c r="AX7723"/>
  <c r="C7724"/>
  <c r="D7724"/>
  <c r="AX7724"/>
  <c r="C7725"/>
  <c r="D7725"/>
  <c r="AX7725"/>
  <c r="C7726"/>
  <c r="D7726"/>
  <c r="AX7726"/>
  <c r="C7727"/>
  <c r="D7727"/>
  <c r="AX7727"/>
  <c r="C7728"/>
  <c r="D7728"/>
  <c r="AX7728"/>
  <c r="C7729"/>
  <c r="D7729"/>
  <c r="AX7729"/>
  <c r="C7730"/>
  <c r="D7730"/>
  <c r="AX7730"/>
  <c r="C7731"/>
  <c r="D7731"/>
  <c r="AX7731"/>
  <c r="C7732"/>
  <c r="D7732"/>
  <c r="AX7732"/>
  <c r="C7733"/>
  <c r="D7733"/>
  <c r="AX7733"/>
  <c r="C7734"/>
  <c r="D7734"/>
  <c r="AX7734"/>
  <c r="C7735"/>
  <c r="D7735"/>
  <c r="AX7735"/>
  <c r="C7736"/>
  <c r="D7736"/>
  <c r="AX7736"/>
  <c r="C7737"/>
  <c r="D7737"/>
  <c r="AX7737"/>
  <c r="C7738"/>
  <c r="D7738"/>
  <c r="AX7738"/>
  <c r="C7739"/>
  <c r="D7739"/>
  <c r="AX7739"/>
  <c r="C7740"/>
  <c r="D7740"/>
  <c r="AX7740"/>
  <c r="C7741"/>
  <c r="D7741"/>
  <c r="AX7741"/>
  <c r="C7742"/>
  <c r="D7742"/>
  <c r="AX7742"/>
  <c r="C7743"/>
  <c r="D7743"/>
  <c r="AX7743"/>
  <c r="C7744"/>
  <c r="D7744"/>
  <c r="AX7744"/>
  <c r="C7745"/>
  <c r="D7745"/>
  <c r="AX7745"/>
  <c r="C7746"/>
  <c r="D7746"/>
  <c r="AX7746"/>
  <c r="C7747"/>
  <c r="D7747"/>
  <c r="AX7747"/>
  <c r="C7748"/>
  <c r="D7748"/>
  <c r="AX7748"/>
  <c r="C7749"/>
  <c r="D7749"/>
  <c r="AX7749"/>
  <c r="C7750"/>
  <c r="D7750"/>
  <c r="AX7750"/>
  <c r="C7751"/>
  <c r="D7751"/>
  <c r="AX7751"/>
  <c r="C7752"/>
  <c r="D7752"/>
  <c r="AX7752"/>
  <c r="C7753"/>
  <c r="D7753"/>
  <c r="AX7753"/>
  <c r="C7754"/>
  <c r="D7754"/>
  <c r="AX7754"/>
  <c r="C7755"/>
  <c r="D7755"/>
  <c r="AX7755"/>
  <c r="C7756"/>
  <c r="D7756"/>
  <c r="AX7756"/>
  <c r="C7757"/>
  <c r="D7757"/>
  <c r="AX7757"/>
  <c r="C7758"/>
  <c r="D7758"/>
  <c r="AX7758"/>
  <c r="C7759"/>
  <c r="D7759"/>
  <c r="AX7759"/>
  <c r="C7760"/>
  <c r="D7760"/>
  <c r="AX7760"/>
  <c r="C7761"/>
  <c r="D7761"/>
  <c r="AX7761"/>
  <c r="C7762"/>
  <c r="D7762"/>
  <c r="AX7762"/>
  <c r="C7763"/>
  <c r="D7763"/>
  <c r="AX7763"/>
  <c r="C7764"/>
  <c r="D7764"/>
  <c r="AX7764"/>
  <c r="C7765"/>
  <c r="D7765"/>
  <c r="AX7765"/>
  <c r="C7766"/>
  <c r="D7766"/>
  <c r="AX7766"/>
  <c r="C7767"/>
  <c r="D7767"/>
  <c r="AX7767"/>
  <c r="C7768"/>
  <c r="D7768"/>
  <c r="AX7768"/>
  <c r="C7769"/>
  <c r="D7769"/>
  <c r="AX7769"/>
  <c r="C7770"/>
  <c r="D7770"/>
  <c r="AX7770"/>
  <c r="C7771"/>
  <c r="D7771"/>
  <c r="AX7771"/>
  <c r="C7772"/>
  <c r="D7772"/>
  <c r="AX7772"/>
  <c r="C7773"/>
  <c r="D7773"/>
  <c r="AX7773"/>
  <c r="C7774"/>
  <c r="D7774"/>
  <c r="AX7774"/>
  <c r="C7775"/>
  <c r="D7775"/>
  <c r="AX7775"/>
  <c r="C7776"/>
  <c r="D7776"/>
  <c r="AX7776"/>
  <c r="C7777"/>
  <c r="D7777"/>
  <c r="AX7777"/>
  <c r="C7778"/>
  <c r="D7778"/>
  <c r="AX7778"/>
  <c r="C7779"/>
  <c r="D7779"/>
  <c r="AX7779"/>
  <c r="C7780"/>
  <c r="D7780"/>
  <c r="AX7780"/>
  <c r="C7781"/>
  <c r="D7781"/>
  <c r="AX7781"/>
  <c r="C7782"/>
  <c r="D7782"/>
  <c r="AX7782"/>
  <c r="C7783"/>
  <c r="D7783"/>
  <c r="AX7783"/>
  <c r="C7784"/>
  <c r="D7784"/>
  <c r="AX7784"/>
  <c r="C7785"/>
  <c r="D7785"/>
  <c r="AX7785"/>
  <c r="C7786"/>
  <c r="D7786"/>
  <c r="AX7786"/>
  <c r="C7787"/>
  <c r="D7787"/>
  <c r="AX7787"/>
  <c r="C7788"/>
  <c r="D7788"/>
  <c r="AX7788"/>
  <c r="C7789"/>
  <c r="D7789"/>
  <c r="AX7789"/>
  <c r="C7790"/>
  <c r="D7790"/>
  <c r="AX7790"/>
  <c r="C7791"/>
  <c r="D7791"/>
  <c r="AX7791"/>
  <c r="C7792"/>
  <c r="D7792"/>
  <c r="AX7792"/>
  <c r="C7793"/>
  <c r="D7793"/>
  <c r="AX7793"/>
  <c r="C7794"/>
  <c r="D7794"/>
  <c r="AX7794"/>
  <c r="C7795"/>
  <c r="D7795"/>
  <c r="AX7795"/>
  <c r="C7796"/>
  <c r="D7796"/>
  <c r="AX7796"/>
  <c r="C7797"/>
  <c r="D7797"/>
  <c r="AX7797"/>
  <c r="C7798"/>
  <c r="D7798"/>
  <c r="AX7798"/>
  <c r="C7799"/>
  <c r="D7799"/>
  <c r="AX7799"/>
  <c r="C7800"/>
  <c r="D7800"/>
  <c r="AX7800"/>
  <c r="C7801"/>
  <c r="D7801"/>
  <c r="AX7801"/>
  <c r="C7802"/>
  <c r="D7802"/>
  <c r="AX7802"/>
  <c r="C7803"/>
  <c r="D7803"/>
  <c r="AX7803"/>
  <c r="C7804"/>
  <c r="D7804"/>
  <c r="AX7804"/>
  <c r="C7805"/>
  <c r="D7805"/>
  <c r="AX7805"/>
  <c r="C7806"/>
  <c r="D7806"/>
  <c r="AX7806"/>
  <c r="C7807"/>
  <c r="D7807"/>
  <c r="AX7807"/>
  <c r="C7808"/>
  <c r="D7808"/>
  <c r="AX7808"/>
  <c r="C7809"/>
  <c r="D7809"/>
  <c r="AX7809"/>
  <c r="C7810"/>
  <c r="D7810"/>
  <c r="AX7810"/>
  <c r="C7811"/>
  <c r="D7811"/>
  <c r="AX7811"/>
  <c r="C7812"/>
  <c r="D7812"/>
  <c r="AX7812"/>
  <c r="C7813"/>
  <c r="D7813"/>
  <c r="AX7813"/>
  <c r="C7814"/>
  <c r="D7814"/>
  <c r="AX7814"/>
  <c r="C7815"/>
  <c r="D7815"/>
  <c r="AX7815"/>
  <c r="C7816"/>
  <c r="D7816"/>
  <c r="AX7816"/>
  <c r="C7817"/>
  <c r="D7817"/>
  <c r="AX7817"/>
  <c r="C7818"/>
  <c r="D7818"/>
  <c r="AX7818"/>
  <c r="C7819"/>
  <c r="D7819"/>
  <c r="AX7819"/>
  <c r="C7820"/>
  <c r="D7820"/>
  <c r="AX7820"/>
  <c r="C7821"/>
  <c r="D7821"/>
  <c r="AX7821"/>
  <c r="C7822"/>
  <c r="D7822"/>
  <c r="AX7822"/>
  <c r="C7823"/>
  <c r="D7823"/>
  <c r="AX7823"/>
  <c r="C7824"/>
  <c r="D7824"/>
  <c r="AX7824"/>
  <c r="C7825"/>
  <c r="D7825"/>
  <c r="AX7825"/>
  <c r="C7826"/>
  <c r="D7826"/>
  <c r="AX7826"/>
  <c r="C7827"/>
  <c r="D7827"/>
  <c r="AX7827"/>
  <c r="C7828"/>
  <c r="D7828"/>
  <c r="AX7828"/>
  <c r="C7829"/>
  <c r="D7829"/>
  <c r="AX7829"/>
  <c r="C7830"/>
  <c r="D7830"/>
  <c r="AX7830"/>
  <c r="C7831"/>
  <c r="D7831"/>
  <c r="AX7831"/>
  <c r="C7832"/>
  <c r="D7832"/>
  <c r="AX7832"/>
  <c r="C7833"/>
  <c r="D7833"/>
  <c r="AX7833"/>
  <c r="C7834"/>
  <c r="D7834"/>
  <c r="AX7834"/>
  <c r="C7835"/>
  <c r="D7835"/>
  <c r="AX7835"/>
  <c r="C7836"/>
  <c r="D7836"/>
  <c r="AX7836"/>
  <c r="C7837"/>
  <c r="D7837"/>
  <c r="AX7837"/>
  <c r="C7838"/>
  <c r="D7838"/>
  <c r="AX7838"/>
  <c r="C7839"/>
  <c r="D7839"/>
  <c r="AX7839"/>
  <c r="C7840"/>
  <c r="D7840"/>
  <c r="AX7840"/>
  <c r="C7841"/>
  <c r="D7841"/>
  <c r="AX7841"/>
  <c r="C7842"/>
  <c r="D7842"/>
  <c r="AX7842"/>
  <c r="C7843"/>
  <c r="D7843"/>
  <c r="AX7843"/>
  <c r="C7844"/>
  <c r="D7844"/>
  <c r="AX7844"/>
  <c r="C7845"/>
  <c r="D7845"/>
  <c r="AX7845"/>
  <c r="C7846"/>
  <c r="D7846"/>
  <c r="AX7846"/>
  <c r="C7847"/>
  <c r="D7847"/>
  <c r="AX7847"/>
  <c r="C7848"/>
  <c r="D7848"/>
  <c r="AX7848"/>
  <c r="C7849"/>
  <c r="D7849"/>
  <c r="AX7849"/>
  <c r="C7850"/>
  <c r="D7850"/>
  <c r="AX7850"/>
  <c r="C7851"/>
  <c r="D7851"/>
  <c r="AX7851"/>
  <c r="C7852"/>
  <c r="D7852"/>
  <c r="AX7852"/>
  <c r="C7853"/>
  <c r="D7853"/>
  <c r="AX7853"/>
  <c r="C7854"/>
  <c r="D7854"/>
  <c r="AX7854"/>
  <c r="C7855"/>
  <c r="D7855"/>
  <c r="AX7855"/>
  <c r="C7856"/>
  <c r="D7856"/>
  <c r="AX7856"/>
  <c r="C7857"/>
  <c r="D7857"/>
  <c r="AX7857"/>
  <c r="C7858"/>
  <c r="D7858"/>
  <c r="AX7858"/>
  <c r="C7859"/>
  <c r="D7859"/>
  <c r="AX7859"/>
  <c r="C7860"/>
  <c r="D7860"/>
  <c r="AX7860"/>
  <c r="C7861"/>
  <c r="D7861"/>
  <c r="AX7861"/>
  <c r="C7862"/>
  <c r="D7862"/>
  <c r="AX7862"/>
  <c r="C7863"/>
  <c r="D7863"/>
  <c r="AX7863"/>
  <c r="C7864"/>
  <c r="D7864"/>
  <c r="AX7864"/>
  <c r="C7865"/>
  <c r="D7865"/>
  <c r="AX7865"/>
  <c r="C7866"/>
  <c r="D7866"/>
  <c r="AX7866"/>
  <c r="C7867"/>
  <c r="D7867"/>
  <c r="AX7867"/>
  <c r="C7868"/>
  <c r="D7868"/>
  <c r="AX7868"/>
  <c r="C7869"/>
  <c r="D7869"/>
  <c r="AX7869"/>
  <c r="C7870"/>
  <c r="D7870"/>
  <c r="AX7870"/>
  <c r="C7871"/>
  <c r="D7871"/>
  <c r="AX7871"/>
  <c r="C7872"/>
  <c r="D7872"/>
  <c r="AX7872"/>
  <c r="C7873"/>
  <c r="D7873"/>
  <c r="AX7873"/>
  <c r="C7874"/>
  <c r="D7874"/>
  <c r="AX7874"/>
  <c r="C7875"/>
  <c r="D7875"/>
  <c r="AX7875"/>
  <c r="C7876"/>
  <c r="D7876"/>
  <c r="AX7876"/>
  <c r="C7877"/>
  <c r="D7877"/>
  <c r="AX7877"/>
  <c r="C7878"/>
  <c r="D7878"/>
  <c r="AX7878"/>
  <c r="C7879"/>
  <c r="D7879"/>
  <c r="AX7879"/>
  <c r="C7880"/>
  <c r="D7880"/>
  <c r="AX7880"/>
  <c r="C7881"/>
  <c r="D7881"/>
  <c r="AX7881"/>
  <c r="C7882"/>
  <c r="D7882"/>
  <c r="AX7882"/>
  <c r="C7883"/>
  <c r="D7883"/>
  <c r="AX7883"/>
  <c r="C7884"/>
  <c r="D7884"/>
  <c r="AX7884"/>
  <c r="C7885"/>
  <c r="D7885"/>
  <c r="AX7885"/>
  <c r="C7886"/>
  <c r="D7886"/>
  <c r="AX7886"/>
  <c r="C7887"/>
  <c r="D7887"/>
  <c r="AX7887"/>
  <c r="C7888"/>
  <c r="D7888"/>
  <c r="AX7888"/>
  <c r="C7889"/>
  <c r="D7889"/>
  <c r="AX7889"/>
  <c r="C7890"/>
  <c r="D7890"/>
  <c r="AX7890"/>
  <c r="C7891"/>
  <c r="D7891"/>
  <c r="AX7891"/>
  <c r="C7892"/>
  <c r="D7892"/>
  <c r="AX7892"/>
  <c r="C7893"/>
  <c r="D7893"/>
  <c r="AX7893"/>
  <c r="C7894"/>
  <c r="D7894"/>
  <c r="AX7894"/>
  <c r="C7895"/>
  <c r="D7895"/>
  <c r="AX7895"/>
  <c r="C7896"/>
  <c r="D7896"/>
  <c r="AX7896"/>
  <c r="C7897"/>
  <c r="D7897"/>
  <c r="AX7897"/>
  <c r="C7898"/>
  <c r="D7898"/>
  <c r="AX7898"/>
  <c r="C7899"/>
  <c r="D7899"/>
  <c r="AX7899"/>
  <c r="C7900"/>
  <c r="D7900"/>
  <c r="AX7900"/>
  <c r="C7901"/>
  <c r="D7901"/>
  <c r="AX7901"/>
  <c r="C7902"/>
  <c r="D7902"/>
  <c r="AX7902"/>
  <c r="C7903"/>
  <c r="D7903"/>
  <c r="AX7903"/>
  <c r="C7904"/>
  <c r="D7904"/>
  <c r="AX7904"/>
  <c r="C7905"/>
  <c r="D7905"/>
  <c r="AX7905"/>
  <c r="C7906"/>
  <c r="D7906"/>
  <c r="AX7906"/>
  <c r="C7907"/>
  <c r="D7907"/>
  <c r="AX7907"/>
  <c r="C7908"/>
  <c r="D7908"/>
  <c r="AX7908"/>
  <c r="C7909"/>
  <c r="D7909"/>
  <c r="AX7909"/>
  <c r="C7910"/>
  <c r="D7910"/>
  <c r="AX7910"/>
  <c r="C7911"/>
  <c r="D7911"/>
  <c r="AX7911"/>
  <c r="C7912"/>
  <c r="D7912"/>
  <c r="AX7912"/>
  <c r="C7913"/>
  <c r="D7913"/>
  <c r="AX7913"/>
  <c r="C7914"/>
  <c r="D7914"/>
  <c r="AX7914"/>
  <c r="C7915"/>
  <c r="D7915"/>
  <c r="AX7915"/>
  <c r="C7916"/>
  <c r="D7916"/>
  <c r="AX7916"/>
  <c r="C7917"/>
  <c r="D7917"/>
  <c r="AX7917"/>
  <c r="C7918"/>
  <c r="D7918"/>
  <c r="AX7918"/>
  <c r="C7919"/>
  <c r="D7919"/>
  <c r="AX7919"/>
  <c r="C7920"/>
  <c r="D7920"/>
  <c r="AX7920"/>
  <c r="C7921"/>
  <c r="D7921"/>
  <c r="AX7921"/>
  <c r="C7922"/>
  <c r="D7922"/>
  <c r="AX7922"/>
  <c r="C7923"/>
  <c r="D7923"/>
  <c r="AX7923"/>
  <c r="C7924"/>
  <c r="D7924"/>
  <c r="AX7924"/>
  <c r="C7925"/>
  <c r="D7925"/>
  <c r="AX7925"/>
  <c r="C7926"/>
  <c r="D7926"/>
  <c r="AX7926"/>
  <c r="C7927"/>
  <c r="D7927"/>
  <c r="AX7927"/>
  <c r="C7928"/>
  <c r="D7928"/>
  <c r="AX7928"/>
  <c r="C7929"/>
  <c r="D7929"/>
  <c r="AX7929"/>
  <c r="C7930"/>
  <c r="D7930"/>
  <c r="AX7930"/>
  <c r="C7931"/>
  <c r="D7931"/>
  <c r="AX7931"/>
  <c r="C7932"/>
  <c r="D7932"/>
  <c r="AX7932"/>
  <c r="C7933"/>
  <c r="D7933"/>
  <c r="AX7933"/>
  <c r="C7934"/>
  <c r="D7934"/>
  <c r="AX7934"/>
  <c r="C7935"/>
  <c r="D7935"/>
  <c r="AX7935"/>
  <c r="C7936"/>
  <c r="D7936"/>
  <c r="AX7936"/>
  <c r="C7937"/>
  <c r="D7937"/>
  <c r="AX7937"/>
  <c r="C7938"/>
  <c r="D7938"/>
  <c r="AX7938"/>
  <c r="C7939"/>
  <c r="D7939"/>
  <c r="AX7939"/>
  <c r="C7940"/>
  <c r="D7940"/>
  <c r="AX7940"/>
  <c r="C7941"/>
  <c r="D7941"/>
  <c r="AX7941"/>
  <c r="C7942"/>
  <c r="D7942"/>
  <c r="AX7942"/>
  <c r="C7943"/>
  <c r="D7943"/>
  <c r="AX7943"/>
  <c r="C7944"/>
  <c r="D7944"/>
  <c r="AX7944"/>
  <c r="C7945"/>
  <c r="D7945"/>
  <c r="AX7945"/>
  <c r="C7946"/>
  <c r="D7946"/>
  <c r="AX7946"/>
  <c r="C7947"/>
  <c r="D7947"/>
  <c r="AX7947"/>
  <c r="C7948"/>
  <c r="D7948"/>
  <c r="AX7948"/>
  <c r="C7949"/>
  <c r="D7949"/>
  <c r="AX7949"/>
  <c r="C7950"/>
  <c r="D7950"/>
  <c r="AX7950"/>
  <c r="C7951"/>
  <c r="D7951"/>
  <c r="AX7951"/>
  <c r="C7952"/>
  <c r="D7952"/>
  <c r="AX7952"/>
  <c r="C7953"/>
  <c r="D7953"/>
  <c r="AX7953"/>
  <c r="C7954"/>
  <c r="D7954"/>
  <c r="AX7954"/>
  <c r="C7955"/>
  <c r="D7955"/>
  <c r="AX7955"/>
  <c r="C7956"/>
  <c r="D7956"/>
  <c r="AX7956"/>
  <c r="C7957"/>
  <c r="D7957"/>
  <c r="AX7957"/>
  <c r="C7958"/>
  <c r="D7958"/>
  <c r="AX7958"/>
  <c r="C7959"/>
  <c r="D7959"/>
  <c r="AX7959"/>
  <c r="C7960"/>
  <c r="D7960"/>
  <c r="AX7960"/>
  <c r="C7961"/>
  <c r="D7961"/>
  <c r="AX7961"/>
  <c r="C7962"/>
  <c r="D7962"/>
  <c r="AX7962"/>
  <c r="C7963"/>
  <c r="D7963"/>
  <c r="AX7963"/>
  <c r="C7964"/>
  <c r="D7964"/>
  <c r="AX7964"/>
  <c r="C7965"/>
  <c r="D7965"/>
  <c r="AX7965"/>
  <c r="C7966"/>
  <c r="D7966"/>
  <c r="AX7966"/>
  <c r="C7967"/>
  <c r="D7967"/>
  <c r="AX7967"/>
  <c r="C7968"/>
  <c r="D7968"/>
  <c r="AX7968"/>
  <c r="C7969"/>
  <c r="D7969"/>
  <c r="AX7969"/>
  <c r="C7970"/>
  <c r="D7970"/>
  <c r="AX7970"/>
  <c r="C7971"/>
  <c r="D7971"/>
  <c r="AX7971"/>
  <c r="C7972"/>
  <c r="D7972"/>
  <c r="AX7972"/>
  <c r="C7973"/>
  <c r="D7973"/>
  <c r="AX7973"/>
  <c r="C7974"/>
  <c r="D7974"/>
  <c r="AX7974"/>
  <c r="C7975"/>
  <c r="D7975"/>
  <c r="AX7975"/>
  <c r="C7976"/>
  <c r="D7976"/>
  <c r="AX7976"/>
  <c r="C7977"/>
  <c r="D7977"/>
  <c r="AX7977"/>
  <c r="C7978"/>
  <c r="D7978"/>
  <c r="AX7978"/>
  <c r="C7979"/>
  <c r="D7979"/>
  <c r="AX7979"/>
  <c r="C7980"/>
  <c r="D7980"/>
  <c r="AX7980"/>
  <c r="C7981"/>
  <c r="D7981"/>
  <c r="AX7981"/>
  <c r="C7982"/>
  <c r="D7982"/>
  <c r="AX7982"/>
  <c r="C7983"/>
  <c r="D7983"/>
  <c r="AX7983"/>
  <c r="C7984"/>
  <c r="D7984"/>
  <c r="AX7984"/>
  <c r="C7985"/>
  <c r="D7985"/>
  <c r="AX7985"/>
  <c r="C7986"/>
  <c r="D7986"/>
  <c r="AX7986"/>
  <c r="C7987"/>
  <c r="D7987"/>
  <c r="AX7987"/>
  <c r="C7988"/>
  <c r="D7988"/>
  <c r="AX7988"/>
  <c r="C7989"/>
  <c r="D7989"/>
  <c r="AX7989"/>
  <c r="C7990"/>
  <c r="D7990"/>
  <c r="AX7990"/>
  <c r="C7991"/>
  <c r="D7991"/>
  <c r="AX7991"/>
  <c r="C7992"/>
  <c r="D7992"/>
  <c r="AX7992"/>
  <c r="C7993"/>
  <c r="D7993"/>
  <c r="AX7993"/>
  <c r="C7994"/>
  <c r="D7994"/>
  <c r="AX7994"/>
  <c r="C7995"/>
  <c r="D7995"/>
  <c r="AX7995"/>
  <c r="C7996"/>
  <c r="D7996"/>
  <c r="AX7996"/>
  <c r="C7997"/>
  <c r="D7997"/>
  <c r="AX7997"/>
  <c r="C7998"/>
  <c r="D7998"/>
  <c r="AX7998"/>
  <c r="C7999"/>
  <c r="D7999"/>
  <c r="AX7999"/>
  <c r="C8000"/>
  <c r="D8000"/>
  <c r="AX8000"/>
  <c r="C8001"/>
  <c r="D8001"/>
  <c r="AX8001"/>
  <c r="C8002"/>
  <c r="D8002"/>
  <c r="AX8002"/>
  <c r="C8003"/>
  <c r="D8003"/>
  <c r="AX8003"/>
  <c r="C8004"/>
  <c r="D8004"/>
  <c r="AX8004"/>
  <c r="C8005"/>
  <c r="D8005"/>
  <c r="AX8005"/>
  <c r="C8006"/>
  <c r="D8006"/>
  <c r="AX8006"/>
  <c r="C8007"/>
  <c r="D8007"/>
  <c r="AX8007"/>
  <c r="C8008"/>
  <c r="D8008"/>
  <c r="AX8008"/>
  <c r="C8009"/>
  <c r="D8009"/>
  <c r="AX8009"/>
  <c r="C8010"/>
  <c r="D8010"/>
  <c r="AX8010"/>
  <c r="C8011"/>
  <c r="D8011"/>
  <c r="AX8011"/>
  <c r="C8012"/>
  <c r="D8012"/>
  <c r="AX8012"/>
  <c r="C8013"/>
  <c r="D8013"/>
  <c r="AX8013"/>
  <c r="C8014"/>
  <c r="D8014"/>
  <c r="AX8014"/>
  <c r="C8015"/>
  <c r="D8015"/>
  <c r="AX8015"/>
  <c r="C8016"/>
  <c r="D8016"/>
  <c r="AX8016"/>
  <c r="C8017"/>
  <c r="D8017"/>
  <c r="AX8017"/>
  <c r="C8018"/>
  <c r="D8018"/>
  <c r="AX8018"/>
  <c r="C8019"/>
  <c r="D8019"/>
  <c r="AX8019"/>
  <c r="C8020"/>
  <c r="D8020"/>
  <c r="AX8020"/>
  <c r="C8021"/>
  <c r="D8021"/>
  <c r="AX8021"/>
  <c r="C8022"/>
  <c r="D8022"/>
  <c r="AX8022"/>
  <c r="C8023"/>
  <c r="D8023"/>
  <c r="AX8023"/>
  <c r="C8024"/>
  <c r="D8024"/>
  <c r="AX8024"/>
  <c r="C8025"/>
  <c r="D8025"/>
  <c r="AX8025"/>
  <c r="C8026"/>
  <c r="D8026"/>
  <c r="AX8026"/>
  <c r="C8027"/>
  <c r="D8027"/>
  <c r="AX8027"/>
  <c r="C8028"/>
  <c r="D8028"/>
  <c r="AX8028"/>
  <c r="C8029"/>
  <c r="D8029"/>
  <c r="AX8029"/>
  <c r="C8030"/>
  <c r="D8030"/>
  <c r="AX8030"/>
  <c r="C8031"/>
  <c r="D8031"/>
  <c r="AX8031"/>
  <c r="C8032"/>
  <c r="D8032"/>
  <c r="AX8032"/>
  <c r="C8033"/>
  <c r="D8033"/>
  <c r="AX8033"/>
  <c r="C8034"/>
  <c r="D8034"/>
  <c r="AX8034"/>
  <c r="C8035"/>
  <c r="D8035"/>
  <c r="AX8035"/>
  <c r="C8036"/>
  <c r="D8036"/>
  <c r="AX8036"/>
  <c r="C8037"/>
  <c r="D8037"/>
  <c r="AX8037"/>
  <c r="C8038"/>
  <c r="D8038"/>
  <c r="AX8038"/>
  <c r="C8039"/>
  <c r="D8039"/>
  <c r="AX8039"/>
  <c r="C8040"/>
  <c r="D8040"/>
  <c r="AX8040"/>
  <c r="C8041"/>
  <c r="D8041"/>
  <c r="AX8041"/>
  <c r="C8042"/>
  <c r="D8042"/>
  <c r="AX8042"/>
  <c r="C8043"/>
  <c r="D8043"/>
  <c r="AX8043"/>
  <c r="C8044"/>
  <c r="D8044"/>
  <c r="AX8044"/>
  <c r="C8045"/>
  <c r="D8045"/>
  <c r="AX8045"/>
  <c r="C8046"/>
  <c r="D8046"/>
  <c r="AX8046"/>
  <c r="C8047"/>
  <c r="D8047"/>
  <c r="AX8047"/>
  <c r="C8048"/>
  <c r="D8048"/>
  <c r="AX8048"/>
  <c r="C8049"/>
  <c r="D8049"/>
  <c r="AX8049"/>
  <c r="C8050"/>
  <c r="D8050"/>
  <c r="AX8050"/>
  <c r="C8051"/>
  <c r="D8051"/>
  <c r="AX8051"/>
  <c r="C8052"/>
  <c r="D8052"/>
  <c r="AX8052"/>
  <c r="C8053"/>
  <c r="D8053"/>
  <c r="AX8053"/>
  <c r="C8054"/>
  <c r="D8054"/>
  <c r="AX8054"/>
  <c r="C8055"/>
  <c r="D8055"/>
  <c r="AX8055"/>
  <c r="C8056"/>
  <c r="D8056"/>
  <c r="AX8056"/>
  <c r="C8057"/>
  <c r="D8057"/>
  <c r="AX8057"/>
  <c r="C8058"/>
  <c r="D8058"/>
  <c r="AX8058"/>
  <c r="C8059"/>
  <c r="D8059"/>
  <c r="AX8059"/>
  <c r="C8060"/>
  <c r="D8060"/>
  <c r="AX8060"/>
  <c r="C8061"/>
  <c r="D8061"/>
  <c r="AX8061"/>
  <c r="C8062"/>
  <c r="D8062"/>
  <c r="AX8062"/>
  <c r="C8063"/>
  <c r="D8063"/>
  <c r="AX8063"/>
  <c r="C8064"/>
  <c r="D8064"/>
  <c r="AX8064"/>
  <c r="C8065"/>
  <c r="D8065"/>
  <c r="AX8065"/>
  <c r="C8066"/>
  <c r="D8066"/>
  <c r="AX8066"/>
  <c r="C8067"/>
  <c r="D8067"/>
  <c r="AX8067"/>
  <c r="C8068"/>
  <c r="D8068"/>
  <c r="AX8068"/>
  <c r="C8069"/>
  <c r="D8069"/>
  <c r="AX8069"/>
  <c r="C8070"/>
  <c r="D8070"/>
  <c r="AX8070"/>
  <c r="C8071"/>
  <c r="D8071"/>
  <c r="AX8071"/>
  <c r="C8072"/>
  <c r="D8072"/>
  <c r="AX8072"/>
  <c r="C8073"/>
  <c r="D8073"/>
  <c r="AX8073"/>
  <c r="C8074"/>
  <c r="D8074"/>
  <c r="AX8074"/>
  <c r="C8075"/>
  <c r="D8075"/>
  <c r="AX8075"/>
  <c r="C8076"/>
  <c r="D8076"/>
  <c r="AX8076"/>
  <c r="C8077"/>
  <c r="D8077"/>
  <c r="AX8077"/>
  <c r="C8078"/>
  <c r="D8078"/>
  <c r="AX8078"/>
  <c r="C8079"/>
  <c r="D8079"/>
  <c r="AX8079"/>
  <c r="C8080"/>
  <c r="D8080"/>
  <c r="AX8080"/>
  <c r="C8081"/>
  <c r="D8081"/>
  <c r="AX8081"/>
  <c r="C8082"/>
  <c r="D8082"/>
  <c r="AX8082"/>
  <c r="C8083"/>
  <c r="D8083"/>
  <c r="AX8083"/>
  <c r="C8084"/>
  <c r="D8084"/>
  <c r="AX8084"/>
  <c r="C8085"/>
  <c r="D8085"/>
  <c r="AX8085"/>
  <c r="C8086"/>
  <c r="D8086"/>
  <c r="AX8086"/>
  <c r="C8087"/>
  <c r="D8087"/>
  <c r="AX8087"/>
  <c r="C8088"/>
  <c r="D8088"/>
  <c r="AX8088"/>
  <c r="C8089"/>
  <c r="D8089"/>
  <c r="AX8089"/>
  <c r="C8090"/>
  <c r="D8090"/>
  <c r="AX8090"/>
  <c r="C8091"/>
  <c r="D8091"/>
  <c r="AX8091"/>
  <c r="C8092"/>
  <c r="D8092"/>
  <c r="AX8092"/>
  <c r="C8093"/>
  <c r="D8093"/>
  <c r="AX8093"/>
  <c r="C8094"/>
  <c r="D8094"/>
  <c r="AX8094"/>
  <c r="C8095"/>
  <c r="D8095"/>
  <c r="AX8095"/>
  <c r="C8096"/>
  <c r="D8096"/>
  <c r="AX8096"/>
  <c r="C8097"/>
  <c r="D8097"/>
  <c r="AX8097"/>
  <c r="C8098"/>
  <c r="D8098"/>
  <c r="AX8098"/>
  <c r="C8099"/>
  <c r="D8099"/>
  <c r="AX8099"/>
  <c r="C8100"/>
  <c r="D8100"/>
  <c r="AX8100"/>
  <c r="C8101"/>
  <c r="D8101"/>
  <c r="AX8101"/>
  <c r="C8102"/>
  <c r="D8102"/>
  <c r="AX8102"/>
  <c r="C8103"/>
  <c r="D8103"/>
  <c r="AX8103"/>
  <c r="C8104"/>
  <c r="D8104"/>
  <c r="AX8104"/>
  <c r="C8105"/>
  <c r="D8105"/>
  <c r="AX8105"/>
  <c r="C8106"/>
  <c r="D8106"/>
  <c r="AX8106"/>
  <c r="C8107"/>
  <c r="D8107"/>
  <c r="AX8107"/>
  <c r="C8108"/>
  <c r="D8108"/>
  <c r="AX8108"/>
  <c r="C8109"/>
  <c r="D8109"/>
  <c r="AX8109"/>
  <c r="C8110"/>
  <c r="D8110"/>
  <c r="AX8110"/>
  <c r="C8111"/>
  <c r="D8111"/>
  <c r="AX8111"/>
  <c r="C8112"/>
  <c r="D8112"/>
  <c r="AX8112"/>
  <c r="C8113"/>
  <c r="D8113"/>
  <c r="AX8113"/>
  <c r="C8114"/>
  <c r="D8114"/>
  <c r="AX8114"/>
  <c r="C8115"/>
  <c r="D8115"/>
  <c r="AX8115"/>
  <c r="C8116"/>
  <c r="D8116"/>
  <c r="AX8116"/>
  <c r="C8117"/>
  <c r="D8117"/>
  <c r="AX8117"/>
  <c r="C8118"/>
  <c r="D8118"/>
  <c r="AX8118"/>
  <c r="C8119"/>
  <c r="D8119"/>
  <c r="AX8119"/>
  <c r="C8120"/>
  <c r="D8120"/>
  <c r="AX8120"/>
  <c r="C8121"/>
  <c r="D8121"/>
  <c r="AX8121"/>
  <c r="C8122"/>
  <c r="D8122"/>
  <c r="AX8122"/>
  <c r="C8123"/>
  <c r="D8123"/>
  <c r="AX8123"/>
  <c r="C8124"/>
  <c r="D8124"/>
  <c r="AX8124"/>
  <c r="C8125"/>
  <c r="D8125"/>
  <c r="AX8125"/>
  <c r="C8126"/>
  <c r="D8126"/>
  <c r="AX8126"/>
  <c r="C8127"/>
  <c r="D8127"/>
  <c r="AX8127"/>
  <c r="C8128"/>
  <c r="D8128"/>
  <c r="AX8128"/>
  <c r="C8129"/>
  <c r="D8129"/>
  <c r="AX8129"/>
  <c r="C8130"/>
  <c r="D8130"/>
  <c r="AX8130"/>
  <c r="C8131"/>
  <c r="D8131"/>
  <c r="AX8131"/>
  <c r="C8132"/>
  <c r="D8132"/>
  <c r="AX8132"/>
  <c r="C8133"/>
  <c r="D8133"/>
  <c r="AX8133"/>
  <c r="C8134"/>
  <c r="D8134"/>
  <c r="AX8134"/>
  <c r="C8135"/>
  <c r="D8135"/>
  <c r="AX8135"/>
  <c r="C8136"/>
  <c r="D8136"/>
  <c r="AX8136"/>
  <c r="C8137"/>
  <c r="D8137"/>
  <c r="AX8137"/>
  <c r="C8138"/>
  <c r="D8138"/>
  <c r="AX8138"/>
  <c r="C8139"/>
  <c r="D8139"/>
  <c r="AX8139"/>
  <c r="C8140"/>
  <c r="D8140"/>
  <c r="AX8140"/>
  <c r="C8141"/>
  <c r="D8141"/>
  <c r="AX8141"/>
  <c r="C8142"/>
  <c r="D8142"/>
  <c r="AX8142"/>
  <c r="C8143"/>
  <c r="D8143"/>
  <c r="AX8143"/>
  <c r="C8144"/>
  <c r="D8144"/>
  <c r="AX8144"/>
  <c r="C8145"/>
  <c r="D8145"/>
  <c r="AX8145"/>
  <c r="C8146"/>
  <c r="D8146"/>
  <c r="AX8146"/>
  <c r="C8147"/>
  <c r="D8147"/>
  <c r="AX8147"/>
  <c r="C8148"/>
  <c r="D8148"/>
  <c r="AX8148"/>
  <c r="C8149"/>
  <c r="D8149"/>
  <c r="AX8149"/>
  <c r="C8150"/>
  <c r="D8150"/>
  <c r="AX8150"/>
  <c r="C8151"/>
  <c r="D8151"/>
  <c r="AX8151"/>
  <c r="C8152"/>
  <c r="D8152"/>
  <c r="AX8152"/>
  <c r="C8153"/>
  <c r="D8153"/>
  <c r="AX8153"/>
  <c r="C8154"/>
  <c r="D8154"/>
  <c r="AX8154"/>
  <c r="C8155"/>
  <c r="D8155"/>
  <c r="AX8155"/>
  <c r="C8156"/>
  <c r="D8156"/>
  <c r="AX8156"/>
  <c r="C8157"/>
  <c r="D8157"/>
  <c r="AX8157"/>
  <c r="C8158"/>
  <c r="D8158"/>
  <c r="AX8158"/>
  <c r="C8159"/>
  <c r="D8159"/>
  <c r="AX8159"/>
  <c r="C8160"/>
  <c r="D8160"/>
  <c r="AX8160"/>
  <c r="C8161"/>
  <c r="D8161"/>
  <c r="AX8161"/>
  <c r="C8162"/>
  <c r="D8162"/>
  <c r="AX8162"/>
  <c r="C8163"/>
  <c r="D8163"/>
  <c r="AX8163"/>
  <c r="C8164"/>
  <c r="D8164"/>
  <c r="AX8164"/>
  <c r="C8165"/>
  <c r="D8165"/>
  <c r="AX8165"/>
  <c r="C8166"/>
  <c r="D8166"/>
  <c r="AX8166"/>
  <c r="C8167"/>
  <c r="D8167"/>
  <c r="AX8167"/>
  <c r="C8168"/>
  <c r="D8168"/>
  <c r="AX8168"/>
  <c r="C8169"/>
  <c r="D8169"/>
  <c r="AX8169"/>
  <c r="C8170"/>
  <c r="D8170"/>
  <c r="AX8170"/>
  <c r="C8171"/>
  <c r="D8171"/>
  <c r="AX8171"/>
  <c r="C8172"/>
  <c r="D8172"/>
  <c r="AX8172"/>
  <c r="C8173"/>
  <c r="D8173"/>
  <c r="AX8173"/>
  <c r="C8174"/>
  <c r="D8174"/>
  <c r="AX8174"/>
  <c r="C8175"/>
  <c r="D8175"/>
  <c r="AX8175"/>
  <c r="C8176"/>
  <c r="D8176"/>
  <c r="AX8176"/>
  <c r="C8177"/>
  <c r="D8177"/>
  <c r="AX8177"/>
  <c r="C8178"/>
  <c r="D8178"/>
  <c r="AX8178"/>
  <c r="C8179"/>
  <c r="D8179"/>
  <c r="AX8179"/>
  <c r="C8180"/>
  <c r="D8180"/>
  <c r="AX8180"/>
  <c r="C8181"/>
  <c r="D8181"/>
  <c r="AX8181"/>
  <c r="C8182"/>
  <c r="D8182"/>
  <c r="AX8182"/>
  <c r="C8183"/>
  <c r="D8183"/>
  <c r="AX8183"/>
  <c r="C8184"/>
  <c r="D8184"/>
  <c r="AX8184"/>
  <c r="C8185"/>
  <c r="D8185"/>
  <c r="AX8185"/>
  <c r="C8186"/>
  <c r="D8186"/>
  <c r="AX8186"/>
  <c r="C8187"/>
  <c r="D8187"/>
  <c r="AX8187"/>
  <c r="C8188"/>
  <c r="D8188"/>
  <c r="AX8188"/>
  <c r="C8189"/>
  <c r="D8189"/>
  <c r="AX8189"/>
  <c r="C8190"/>
  <c r="D8190"/>
  <c r="AX8190"/>
  <c r="C8191"/>
  <c r="D8191"/>
  <c r="AX8191"/>
  <c r="C8192"/>
  <c r="D8192"/>
  <c r="AX8192"/>
  <c r="C8193"/>
  <c r="D8193"/>
  <c r="AX8193"/>
  <c r="C8194"/>
  <c r="D8194"/>
  <c r="AX8194"/>
  <c r="C8195"/>
  <c r="D8195"/>
  <c r="AX8195"/>
  <c r="C8196"/>
  <c r="D8196"/>
  <c r="AX8196"/>
  <c r="C8197"/>
  <c r="D8197"/>
  <c r="AX8197"/>
  <c r="C8198"/>
  <c r="D8198"/>
  <c r="AX8198"/>
  <c r="C8199"/>
  <c r="D8199"/>
  <c r="AX8199"/>
  <c r="C8200"/>
  <c r="D8200"/>
  <c r="AX8200"/>
  <c r="C8201"/>
  <c r="D8201"/>
  <c r="AX8201"/>
  <c r="C8202"/>
  <c r="D8202"/>
  <c r="AX8202"/>
  <c r="C8203"/>
  <c r="D8203"/>
  <c r="AX8203"/>
  <c r="C8204"/>
  <c r="D8204"/>
  <c r="AX8204"/>
  <c r="C8205"/>
  <c r="D8205"/>
  <c r="AX8205"/>
  <c r="C8206"/>
  <c r="D8206"/>
  <c r="AX8206"/>
  <c r="C8207"/>
  <c r="D8207"/>
  <c r="AX8207"/>
  <c r="C8208"/>
  <c r="D8208"/>
  <c r="AX8208"/>
  <c r="C8209"/>
  <c r="D8209"/>
  <c r="AX8209"/>
  <c r="C8210"/>
  <c r="D8210"/>
  <c r="AX8210"/>
  <c r="C8211"/>
  <c r="D8211"/>
  <c r="AX8211"/>
  <c r="C8212"/>
  <c r="D8212"/>
  <c r="AX8212"/>
  <c r="C8213"/>
  <c r="D8213"/>
  <c r="AX8213"/>
  <c r="C8214"/>
  <c r="D8214"/>
  <c r="AX8214"/>
  <c r="C8215"/>
  <c r="D8215"/>
  <c r="AX8215"/>
  <c r="C8216"/>
  <c r="D8216"/>
  <c r="AX8216"/>
  <c r="C8217"/>
  <c r="D8217"/>
  <c r="AX8217"/>
  <c r="C8218"/>
  <c r="D8218"/>
  <c r="AX8218"/>
  <c r="C8219"/>
  <c r="D8219"/>
  <c r="AX8219"/>
  <c r="C8220"/>
  <c r="D8220"/>
  <c r="AX8220"/>
  <c r="C8221"/>
  <c r="D8221"/>
  <c r="AX8221"/>
  <c r="C8222"/>
  <c r="D8222"/>
  <c r="AX8222"/>
  <c r="C8223"/>
  <c r="D8223"/>
  <c r="AX8223"/>
  <c r="C8224"/>
  <c r="D8224"/>
  <c r="AX8224"/>
  <c r="C8225"/>
  <c r="D8225"/>
  <c r="AX8225"/>
  <c r="C8226"/>
  <c r="D8226"/>
  <c r="AX8226"/>
  <c r="C8227"/>
  <c r="D8227"/>
  <c r="AX8227"/>
  <c r="C8228"/>
  <c r="D8228"/>
  <c r="AX8228"/>
  <c r="C8229"/>
  <c r="D8229"/>
  <c r="AX8229"/>
  <c r="C8230"/>
  <c r="D8230"/>
  <c r="AX8230"/>
  <c r="C8231"/>
  <c r="D8231"/>
  <c r="AX8231"/>
  <c r="C8232"/>
  <c r="D8232"/>
  <c r="AX8232"/>
  <c r="C8233"/>
  <c r="D8233"/>
  <c r="AX8233"/>
  <c r="C8234"/>
  <c r="D8234"/>
  <c r="AX8234"/>
  <c r="C8235"/>
  <c r="D8235"/>
  <c r="AX8235"/>
  <c r="C8236"/>
  <c r="D8236"/>
  <c r="AX8236"/>
  <c r="C8237"/>
  <c r="D8237"/>
  <c r="AX8237"/>
  <c r="C8238"/>
  <c r="D8238"/>
  <c r="AX8238"/>
  <c r="C8239"/>
  <c r="D8239"/>
  <c r="AX8239"/>
  <c r="C8240"/>
  <c r="D8240"/>
  <c r="AX8240"/>
  <c r="C8241"/>
  <c r="D8241"/>
  <c r="AX8241"/>
  <c r="C8242"/>
  <c r="D8242"/>
  <c r="AX8242"/>
  <c r="C8243"/>
  <c r="D8243"/>
  <c r="AX8243"/>
  <c r="C8244"/>
  <c r="D8244"/>
  <c r="AX8244"/>
  <c r="C8245"/>
  <c r="D8245"/>
  <c r="AX8245"/>
  <c r="C8246"/>
  <c r="D8246"/>
  <c r="AX8246"/>
  <c r="C8247"/>
  <c r="D8247"/>
  <c r="AX8247"/>
  <c r="C8248"/>
  <c r="D8248"/>
  <c r="AX8248"/>
  <c r="C8249"/>
  <c r="D8249"/>
  <c r="AX8249"/>
  <c r="C8250"/>
  <c r="D8250"/>
  <c r="AX8250"/>
  <c r="C8251"/>
  <c r="D8251"/>
  <c r="AX8251"/>
  <c r="C8252"/>
  <c r="D8252"/>
  <c r="AX8252"/>
  <c r="C8253"/>
  <c r="D8253"/>
  <c r="AX8253"/>
  <c r="C8254"/>
  <c r="D8254"/>
  <c r="AX8254"/>
  <c r="C8255"/>
  <c r="D8255"/>
  <c r="AX8255"/>
  <c r="C8256"/>
  <c r="D8256"/>
  <c r="AX8256"/>
  <c r="C8257"/>
  <c r="D8257"/>
  <c r="AX8257"/>
  <c r="C8258"/>
  <c r="D8258"/>
  <c r="AX8258"/>
  <c r="C8259"/>
  <c r="D8259"/>
  <c r="AX8259"/>
  <c r="C8260"/>
  <c r="D8260"/>
  <c r="AX8260"/>
  <c r="C8261"/>
  <c r="D8261"/>
  <c r="AX8261"/>
  <c r="C8262"/>
  <c r="D8262"/>
  <c r="AX8262"/>
  <c r="C8263"/>
  <c r="D8263"/>
  <c r="AX8263"/>
  <c r="C8264"/>
  <c r="D8264"/>
  <c r="AX8264"/>
  <c r="C8265"/>
  <c r="D8265"/>
  <c r="AX8265"/>
  <c r="C8266"/>
  <c r="D8266"/>
  <c r="AX8266"/>
  <c r="C8267"/>
  <c r="D8267"/>
  <c r="AX8267"/>
  <c r="C8268"/>
  <c r="D8268"/>
  <c r="AX8268"/>
  <c r="C8269"/>
  <c r="D8269"/>
  <c r="AX8269"/>
  <c r="C8270"/>
  <c r="D8270"/>
  <c r="AX8270"/>
  <c r="C8271"/>
  <c r="D8271"/>
  <c r="AX8271"/>
  <c r="C8272"/>
  <c r="D8272"/>
  <c r="AX8272"/>
  <c r="C8273"/>
  <c r="D8273"/>
  <c r="AX8273"/>
  <c r="C8274"/>
  <c r="D8274"/>
  <c r="AX8274"/>
  <c r="C8275"/>
  <c r="D8275"/>
  <c r="AX8275"/>
  <c r="C8276"/>
  <c r="D8276"/>
  <c r="AX8276"/>
  <c r="C8277"/>
  <c r="D8277"/>
  <c r="AX8277"/>
  <c r="C8278"/>
  <c r="D8278"/>
  <c r="AX8278"/>
  <c r="C8279"/>
  <c r="D8279"/>
  <c r="AX8279"/>
  <c r="C8280"/>
  <c r="D8280"/>
  <c r="AX8280"/>
  <c r="C8281"/>
  <c r="D8281"/>
  <c r="AX8281"/>
  <c r="C8282"/>
  <c r="D8282"/>
  <c r="AX8282"/>
  <c r="C8283"/>
  <c r="D8283"/>
  <c r="AX8283"/>
  <c r="C8284"/>
  <c r="D8284"/>
  <c r="AX8284"/>
  <c r="C8285"/>
  <c r="D8285"/>
  <c r="AX8285"/>
  <c r="C8286"/>
  <c r="D8286"/>
  <c r="AX8286"/>
  <c r="C8287"/>
  <c r="D8287"/>
  <c r="AX8287"/>
  <c r="C8288"/>
  <c r="D8288"/>
  <c r="AX8288"/>
  <c r="C8289"/>
  <c r="D8289"/>
  <c r="AX8289"/>
  <c r="C8290"/>
  <c r="D8290"/>
  <c r="AX8290"/>
  <c r="C8291"/>
  <c r="D8291"/>
  <c r="AX8291"/>
  <c r="C8292"/>
  <c r="D8292"/>
  <c r="AX8292"/>
  <c r="C8293"/>
  <c r="D8293"/>
  <c r="AX8293"/>
  <c r="C8294"/>
  <c r="D8294"/>
  <c r="AX8294"/>
  <c r="C8295"/>
  <c r="D8295"/>
  <c r="AX8295"/>
  <c r="C8296"/>
  <c r="D8296"/>
  <c r="AX8296"/>
  <c r="C8297"/>
  <c r="D8297"/>
  <c r="AX8297"/>
  <c r="C8298"/>
  <c r="D8298"/>
  <c r="AX8298"/>
  <c r="C8299"/>
  <c r="D8299"/>
  <c r="AX8299"/>
  <c r="C8300"/>
  <c r="D8300"/>
  <c r="AX8300"/>
  <c r="C8301"/>
  <c r="D8301"/>
  <c r="AX8301"/>
  <c r="C8302"/>
  <c r="D8302"/>
  <c r="AX8302"/>
  <c r="C8303"/>
  <c r="D8303"/>
  <c r="AX8303"/>
  <c r="C8304"/>
  <c r="D8304"/>
  <c r="AX8304"/>
  <c r="C8305"/>
  <c r="D8305"/>
  <c r="AX8305"/>
  <c r="C8306"/>
  <c r="D8306"/>
  <c r="AX8306"/>
  <c r="C8307"/>
  <c r="D8307"/>
  <c r="AX8307"/>
  <c r="C8308"/>
  <c r="D8308"/>
  <c r="AX8308"/>
  <c r="C8309"/>
  <c r="D8309"/>
  <c r="AX8309"/>
  <c r="C8310"/>
  <c r="D8310"/>
  <c r="AX8310"/>
  <c r="C8311"/>
  <c r="D8311"/>
  <c r="AX8311"/>
  <c r="C8312"/>
  <c r="D8312"/>
  <c r="AX8312"/>
  <c r="C8313"/>
  <c r="D8313"/>
  <c r="AX8313"/>
  <c r="C8314"/>
  <c r="D8314"/>
  <c r="AX8314"/>
  <c r="C8315"/>
  <c r="D8315"/>
  <c r="AX8315"/>
  <c r="C8316"/>
  <c r="D8316"/>
  <c r="AX8316"/>
  <c r="C8317"/>
  <c r="D8317"/>
  <c r="AX8317"/>
  <c r="C8318"/>
  <c r="D8318"/>
  <c r="AX8318"/>
  <c r="C8319"/>
  <c r="D8319"/>
  <c r="AX8319"/>
  <c r="C8320"/>
  <c r="D8320"/>
  <c r="AX8320"/>
  <c r="C8321"/>
  <c r="D8321"/>
  <c r="AX8321"/>
  <c r="C8322"/>
  <c r="D8322"/>
  <c r="AX8322"/>
  <c r="C8323"/>
  <c r="D8323"/>
  <c r="AX8323"/>
  <c r="C8324"/>
  <c r="D8324"/>
  <c r="AX8324"/>
  <c r="C8325"/>
  <c r="D8325"/>
  <c r="AX8325"/>
  <c r="C8326"/>
  <c r="D8326"/>
  <c r="AX8326"/>
  <c r="C8327"/>
  <c r="D8327"/>
  <c r="AX8327"/>
  <c r="C8328"/>
  <c r="D8328"/>
  <c r="AX8328"/>
  <c r="C8329"/>
  <c r="D8329"/>
  <c r="AX8329"/>
  <c r="C8330"/>
  <c r="D8330"/>
  <c r="AX8330"/>
  <c r="C8331"/>
  <c r="D8331"/>
  <c r="AX8331"/>
  <c r="C8332"/>
  <c r="D8332"/>
  <c r="AX8332"/>
  <c r="C8333"/>
  <c r="D8333"/>
  <c r="AX8333"/>
  <c r="C8334"/>
  <c r="D8334"/>
  <c r="AX8334"/>
  <c r="C8335"/>
  <c r="D8335"/>
  <c r="AX8335"/>
  <c r="C8336"/>
  <c r="D8336"/>
  <c r="AX8336"/>
  <c r="C8337"/>
  <c r="D8337"/>
  <c r="AX8337"/>
  <c r="C8338"/>
  <c r="D8338"/>
  <c r="AX8338"/>
  <c r="C8339"/>
  <c r="D8339"/>
  <c r="AX8339"/>
  <c r="C8340"/>
  <c r="D8340"/>
  <c r="AX8340"/>
  <c r="C8341"/>
  <c r="D8341"/>
  <c r="AX8341"/>
  <c r="C8342"/>
  <c r="D8342"/>
  <c r="AX8342"/>
  <c r="C8343"/>
  <c r="D8343"/>
  <c r="AX8343"/>
  <c r="C8344"/>
  <c r="D8344"/>
  <c r="AX8344"/>
  <c r="C8345"/>
  <c r="D8345"/>
  <c r="AX8345"/>
  <c r="C8346"/>
  <c r="D8346"/>
  <c r="AX8346"/>
  <c r="C8347"/>
  <c r="D8347"/>
  <c r="AX8347"/>
  <c r="C8348"/>
  <c r="D8348"/>
  <c r="AX8348"/>
  <c r="C8349"/>
  <c r="D8349"/>
  <c r="AX8349"/>
  <c r="C8350"/>
  <c r="D8350"/>
  <c r="AX8350"/>
  <c r="C8351"/>
  <c r="D8351"/>
  <c r="AX8351"/>
  <c r="C8352"/>
  <c r="D8352"/>
  <c r="AX8352"/>
  <c r="C8353"/>
  <c r="D8353"/>
  <c r="AX8353"/>
  <c r="C8354"/>
  <c r="D8354"/>
  <c r="AX8354"/>
  <c r="C8355"/>
  <c r="D8355"/>
  <c r="AX8355"/>
  <c r="C8356"/>
  <c r="D8356"/>
  <c r="AX8356"/>
  <c r="C8357"/>
  <c r="D8357"/>
  <c r="AX8357"/>
  <c r="C8358"/>
  <c r="D8358"/>
  <c r="AX8358"/>
  <c r="C8359"/>
  <c r="D8359"/>
  <c r="AX8359"/>
  <c r="C8360"/>
  <c r="D8360"/>
  <c r="AX8360"/>
  <c r="C8361"/>
  <c r="D8361"/>
  <c r="AX8361"/>
  <c r="C8362"/>
  <c r="D8362"/>
  <c r="AX8362"/>
  <c r="C8363"/>
  <c r="D8363"/>
  <c r="AX8363"/>
  <c r="C8364"/>
  <c r="D8364"/>
  <c r="AX8364"/>
  <c r="C8365"/>
  <c r="D8365"/>
  <c r="AX8365"/>
  <c r="C8366"/>
  <c r="D8366"/>
  <c r="AX8366"/>
  <c r="C8367"/>
  <c r="D8367"/>
  <c r="AX8367"/>
  <c r="C8368"/>
  <c r="D8368"/>
  <c r="AX8368"/>
  <c r="C8369"/>
  <c r="D8369"/>
  <c r="AX8369"/>
  <c r="C8370"/>
  <c r="D8370"/>
  <c r="AX8370"/>
  <c r="C8371"/>
  <c r="D8371"/>
  <c r="AX8371"/>
  <c r="C8372"/>
  <c r="D8372"/>
  <c r="AX8372"/>
  <c r="C8373"/>
  <c r="D8373"/>
  <c r="AX8373"/>
  <c r="C8374"/>
  <c r="D8374"/>
  <c r="AX8374"/>
  <c r="C8375"/>
  <c r="D8375"/>
  <c r="AX8375"/>
  <c r="C8376"/>
  <c r="D8376"/>
  <c r="AX8376"/>
  <c r="C8377"/>
  <c r="D8377"/>
  <c r="AX8377"/>
  <c r="C8378"/>
  <c r="D8378"/>
  <c r="AX8378"/>
  <c r="C8379"/>
  <c r="D8379"/>
  <c r="AX8379"/>
  <c r="C8380"/>
  <c r="D8380"/>
  <c r="AX8380"/>
  <c r="C8381"/>
  <c r="D8381"/>
  <c r="AX8381"/>
  <c r="C8382"/>
  <c r="D8382"/>
  <c r="AX8382"/>
  <c r="C8383"/>
  <c r="D8383"/>
  <c r="AX8383"/>
  <c r="C8384"/>
  <c r="D8384"/>
  <c r="AX8384"/>
  <c r="C8385"/>
  <c r="D8385"/>
  <c r="AX8385"/>
  <c r="C8386"/>
  <c r="D8386"/>
  <c r="AX8386"/>
  <c r="C8387"/>
  <c r="D8387"/>
  <c r="AX8387"/>
  <c r="C8388"/>
  <c r="D8388"/>
  <c r="AX8388"/>
  <c r="C8389"/>
  <c r="D8389"/>
  <c r="AX8389"/>
  <c r="C8390"/>
  <c r="D8390"/>
  <c r="AX8390"/>
  <c r="C8391"/>
  <c r="D8391"/>
  <c r="AX8391"/>
  <c r="C8392"/>
  <c r="D8392"/>
  <c r="AX8392"/>
  <c r="C8393"/>
  <c r="D8393"/>
  <c r="AX8393"/>
  <c r="C8394"/>
  <c r="D8394"/>
  <c r="AX8394"/>
  <c r="C8395"/>
  <c r="D8395"/>
  <c r="AX8395"/>
  <c r="C8396"/>
  <c r="D8396"/>
  <c r="AX8396"/>
  <c r="C8397"/>
  <c r="D8397"/>
  <c r="AX8397"/>
  <c r="C8398"/>
  <c r="D8398"/>
  <c r="AX8398"/>
  <c r="C8399"/>
  <c r="D8399"/>
  <c r="AX8399"/>
  <c r="C8400"/>
  <c r="D8400"/>
  <c r="AX8400"/>
  <c r="C8401"/>
  <c r="D8401"/>
  <c r="AX8401"/>
  <c r="C8402"/>
  <c r="D8402"/>
  <c r="AX8402"/>
  <c r="C8403"/>
  <c r="D8403"/>
  <c r="AX8403"/>
  <c r="C8404"/>
  <c r="D8404"/>
  <c r="AX8404"/>
  <c r="C8405"/>
  <c r="D8405"/>
  <c r="AX8405"/>
  <c r="C8406"/>
  <c r="D8406"/>
  <c r="AX8406"/>
  <c r="C8407"/>
  <c r="D8407"/>
  <c r="AX8407"/>
  <c r="C8408"/>
  <c r="D8408"/>
  <c r="AX8408"/>
  <c r="C8409"/>
  <c r="D8409"/>
  <c r="AX8409"/>
  <c r="C8410"/>
  <c r="D8410"/>
  <c r="AX8410"/>
  <c r="C8411"/>
  <c r="D8411"/>
  <c r="AX8411"/>
  <c r="C8412"/>
  <c r="D8412"/>
  <c r="AX8412"/>
  <c r="C8413"/>
  <c r="D8413"/>
  <c r="AX8413"/>
  <c r="C8414"/>
  <c r="D8414"/>
  <c r="AX8414"/>
  <c r="C8415"/>
  <c r="D8415"/>
  <c r="AX8415"/>
  <c r="C8416"/>
  <c r="D8416"/>
  <c r="AX8416"/>
  <c r="C8417"/>
  <c r="D8417"/>
  <c r="AX8417"/>
  <c r="C8418"/>
  <c r="D8418"/>
  <c r="AX8418"/>
  <c r="C8419"/>
  <c r="D8419"/>
  <c r="AX8419"/>
  <c r="C8420"/>
  <c r="D8420"/>
  <c r="AX8420"/>
  <c r="C8421"/>
  <c r="D8421"/>
  <c r="AX8421"/>
  <c r="C8422"/>
  <c r="D8422"/>
  <c r="AX8422"/>
  <c r="C8423"/>
  <c r="D8423"/>
  <c r="AX8423"/>
  <c r="C8424"/>
  <c r="D8424"/>
  <c r="AX8424"/>
  <c r="C8425"/>
  <c r="D8425"/>
  <c r="AX8425"/>
  <c r="C8426"/>
  <c r="D8426"/>
  <c r="AX8426"/>
  <c r="C8427"/>
  <c r="D8427"/>
  <c r="AX8427"/>
  <c r="C8428"/>
  <c r="D8428"/>
  <c r="AX8428"/>
  <c r="C8429"/>
  <c r="D8429"/>
  <c r="AX8429"/>
  <c r="C8430"/>
  <c r="D8430"/>
  <c r="AX8430"/>
  <c r="C8431"/>
  <c r="D8431"/>
  <c r="AX8431"/>
  <c r="C8432"/>
  <c r="D8432"/>
  <c r="AX8432"/>
  <c r="C8433"/>
  <c r="D8433"/>
  <c r="AX8433"/>
  <c r="C8434"/>
  <c r="D8434"/>
  <c r="AX8434"/>
  <c r="C8435"/>
  <c r="D8435"/>
  <c r="AX8435"/>
  <c r="C8436"/>
  <c r="D8436"/>
  <c r="AX8436"/>
  <c r="C8437"/>
  <c r="D8437"/>
  <c r="AX8437"/>
  <c r="C8438"/>
  <c r="D8438"/>
  <c r="AX8438"/>
  <c r="C8439"/>
  <c r="D8439"/>
  <c r="AX8439"/>
  <c r="C8440"/>
  <c r="D8440"/>
  <c r="AX8440"/>
  <c r="C8441"/>
  <c r="D8441"/>
  <c r="AX8441"/>
  <c r="C8442"/>
  <c r="D8442"/>
  <c r="AX8442"/>
  <c r="C8443"/>
  <c r="D8443"/>
  <c r="AX8443"/>
  <c r="C8444"/>
  <c r="D8444"/>
  <c r="AX8444"/>
  <c r="C8445"/>
  <c r="D8445"/>
  <c r="AX8445"/>
  <c r="C8446"/>
  <c r="D8446"/>
  <c r="AX8446"/>
  <c r="C8447"/>
  <c r="D8447"/>
  <c r="AX8447"/>
  <c r="C8448"/>
  <c r="D8448"/>
  <c r="AX8448"/>
  <c r="C8449"/>
  <c r="D8449"/>
  <c r="AX8449"/>
  <c r="C8450"/>
  <c r="D8450"/>
  <c r="AX8450"/>
  <c r="C8451"/>
  <c r="D8451"/>
  <c r="AX8451"/>
  <c r="C8452"/>
  <c r="D8452"/>
  <c r="AX8452"/>
  <c r="C8453"/>
  <c r="D8453"/>
  <c r="AX8453"/>
  <c r="C8454"/>
  <c r="D8454"/>
  <c r="AX8454"/>
  <c r="C8455"/>
  <c r="D8455"/>
  <c r="AX8455"/>
  <c r="C8456"/>
  <c r="D8456"/>
  <c r="AX8456"/>
  <c r="C8457"/>
  <c r="D8457"/>
  <c r="AX8457"/>
  <c r="C8458"/>
  <c r="D8458"/>
  <c r="AX8458"/>
  <c r="C8459"/>
  <c r="D8459"/>
  <c r="AX8459"/>
  <c r="C8460"/>
  <c r="D8460"/>
  <c r="AX8460"/>
  <c r="C8461"/>
  <c r="D8461"/>
  <c r="AX8461"/>
  <c r="C8462"/>
  <c r="D8462"/>
  <c r="AX8462"/>
  <c r="C8463"/>
  <c r="D8463"/>
  <c r="AX8463"/>
  <c r="C8464"/>
  <c r="D8464"/>
  <c r="AX8464"/>
  <c r="C8465"/>
  <c r="D8465"/>
  <c r="AX8465"/>
  <c r="C8466"/>
  <c r="D8466"/>
  <c r="AX8466"/>
  <c r="C8467"/>
  <c r="D8467"/>
  <c r="AX8467"/>
  <c r="C8468"/>
  <c r="D8468"/>
  <c r="AX8468"/>
  <c r="C8469"/>
  <c r="D8469"/>
  <c r="AX8469"/>
  <c r="C8470"/>
  <c r="D8470"/>
  <c r="AX8470"/>
  <c r="C8471"/>
  <c r="D8471"/>
  <c r="AX8471"/>
  <c r="C8472"/>
  <c r="D8472"/>
  <c r="AX8472"/>
  <c r="C8473"/>
  <c r="D8473"/>
  <c r="AX8473"/>
  <c r="C8474"/>
  <c r="D8474"/>
  <c r="AX8474"/>
  <c r="C8475"/>
  <c r="D8475"/>
  <c r="AX8475"/>
  <c r="C8476"/>
  <c r="D8476"/>
  <c r="AX8476"/>
  <c r="C8477"/>
  <c r="D8477"/>
  <c r="AX8477"/>
  <c r="C8478"/>
  <c r="D8478"/>
  <c r="AX8478"/>
  <c r="C8479"/>
  <c r="D8479"/>
  <c r="AX8479"/>
  <c r="C8480"/>
  <c r="D8480"/>
  <c r="AX8480"/>
  <c r="C8481"/>
  <c r="D8481"/>
  <c r="AX8481"/>
  <c r="C8482"/>
  <c r="D8482"/>
  <c r="AX8482"/>
  <c r="C8483"/>
  <c r="D8483"/>
  <c r="AX8483"/>
  <c r="C8484"/>
  <c r="D8484"/>
  <c r="AX8484"/>
  <c r="C8485"/>
  <c r="D8485"/>
  <c r="AX8485"/>
  <c r="C8486"/>
  <c r="D8486"/>
  <c r="AX8486"/>
  <c r="C8487"/>
  <c r="D8487"/>
  <c r="AX8487"/>
  <c r="C8488"/>
  <c r="D8488"/>
  <c r="AX8488"/>
  <c r="C8489"/>
  <c r="D8489"/>
  <c r="AX8489"/>
  <c r="C8490"/>
  <c r="D8490"/>
  <c r="AX8490"/>
  <c r="C8491"/>
  <c r="D8491"/>
  <c r="AX8491"/>
  <c r="C8492"/>
  <c r="D8492"/>
  <c r="AX8492"/>
  <c r="C8493"/>
  <c r="D8493"/>
  <c r="AX8493"/>
  <c r="C8494"/>
  <c r="D8494"/>
  <c r="AX8494"/>
  <c r="C8495"/>
  <c r="D8495"/>
  <c r="AX8495"/>
  <c r="C8496"/>
  <c r="D8496"/>
  <c r="AX8496"/>
  <c r="C8497"/>
  <c r="D8497"/>
  <c r="AX8497"/>
  <c r="C8498"/>
  <c r="D8498"/>
  <c r="AX8498"/>
  <c r="C8499"/>
  <c r="D8499"/>
  <c r="AX8499"/>
  <c r="C8500"/>
  <c r="D8500"/>
  <c r="AX8500"/>
  <c r="C8501"/>
  <c r="D8501"/>
  <c r="AX8501"/>
  <c r="C8502"/>
  <c r="D8502"/>
  <c r="AX8502"/>
  <c r="C8503"/>
  <c r="D8503"/>
  <c r="AX8503"/>
  <c r="C8504"/>
  <c r="D8504"/>
  <c r="AX8504"/>
  <c r="C8505"/>
  <c r="D8505"/>
  <c r="AX8505"/>
  <c r="C8506"/>
  <c r="D8506"/>
  <c r="AX8506"/>
  <c r="C8507"/>
  <c r="D8507"/>
  <c r="AX8507"/>
  <c r="C8508"/>
  <c r="D8508"/>
  <c r="AX8508"/>
  <c r="C8509"/>
  <c r="D8509"/>
  <c r="AX8509"/>
  <c r="C8510"/>
  <c r="D8510"/>
  <c r="AX8510"/>
  <c r="C8511"/>
  <c r="D8511"/>
  <c r="AX8511"/>
  <c r="C8512"/>
  <c r="D8512"/>
  <c r="AX8512"/>
  <c r="C8513"/>
  <c r="D8513"/>
  <c r="AX8513"/>
  <c r="C8514"/>
  <c r="D8514"/>
  <c r="AX8514"/>
  <c r="C8515"/>
  <c r="D8515"/>
  <c r="AX8515"/>
  <c r="C8516"/>
  <c r="D8516"/>
  <c r="AX8516"/>
  <c r="C8517"/>
  <c r="D8517"/>
  <c r="AX8517"/>
  <c r="C8518"/>
  <c r="D8518"/>
  <c r="AX8518"/>
  <c r="C8519"/>
  <c r="D8519"/>
  <c r="AX8519"/>
  <c r="C8520"/>
  <c r="D8520"/>
  <c r="AX8520"/>
  <c r="C8521"/>
  <c r="D8521"/>
  <c r="AX8521"/>
  <c r="C8522"/>
  <c r="D8522"/>
  <c r="AX8522"/>
  <c r="C8523"/>
  <c r="D8523"/>
  <c r="AX8523"/>
  <c r="C8524"/>
  <c r="D8524"/>
  <c r="AX8524"/>
  <c r="C8525"/>
  <c r="D8525"/>
  <c r="AX8525"/>
  <c r="C8526"/>
  <c r="D8526"/>
  <c r="AX8526"/>
  <c r="C8527"/>
  <c r="D8527"/>
  <c r="AX8527"/>
  <c r="C8528"/>
  <c r="D8528"/>
  <c r="AX8528"/>
  <c r="C8529"/>
  <c r="D8529"/>
  <c r="AX8529"/>
  <c r="C8530"/>
  <c r="D8530"/>
  <c r="AX8530"/>
  <c r="C8531"/>
  <c r="D8531"/>
  <c r="AX8531"/>
  <c r="C8532"/>
  <c r="D8532"/>
  <c r="AX8532"/>
  <c r="C8533"/>
  <c r="D8533"/>
  <c r="AX8533"/>
  <c r="C8534"/>
  <c r="D8534"/>
  <c r="AX8534"/>
  <c r="C8535"/>
  <c r="D8535"/>
  <c r="AX8535"/>
  <c r="C8536"/>
  <c r="D8536"/>
  <c r="AX8536"/>
  <c r="C8537"/>
  <c r="D8537"/>
  <c r="AX8537"/>
  <c r="C8538"/>
  <c r="D8538"/>
  <c r="AX8538"/>
  <c r="C8539"/>
  <c r="D8539"/>
  <c r="AX8539"/>
  <c r="C8540"/>
  <c r="D8540"/>
  <c r="AX8540"/>
  <c r="C8541"/>
  <c r="D8541"/>
  <c r="AX8541"/>
  <c r="C8542"/>
  <c r="D8542"/>
  <c r="AX8542"/>
  <c r="C8543"/>
  <c r="D8543"/>
  <c r="AX8543"/>
  <c r="C8544"/>
  <c r="D8544"/>
  <c r="AX8544"/>
  <c r="C8545"/>
  <c r="D8545"/>
  <c r="AX8545"/>
  <c r="C8546"/>
  <c r="D8546"/>
  <c r="AX8546"/>
  <c r="C8547"/>
  <c r="D8547"/>
  <c r="AX8547"/>
  <c r="C8548"/>
  <c r="D8548"/>
  <c r="AX8548"/>
  <c r="C8549"/>
  <c r="D8549"/>
  <c r="AX8549"/>
  <c r="C8550"/>
  <c r="D8550"/>
  <c r="AX8550"/>
  <c r="C8551"/>
  <c r="D8551"/>
  <c r="AX8551"/>
  <c r="C8552"/>
  <c r="D8552"/>
  <c r="AX8552"/>
  <c r="C8553"/>
  <c r="D8553"/>
  <c r="AX8553"/>
  <c r="C8554"/>
  <c r="D8554"/>
  <c r="AX8554"/>
  <c r="C8555"/>
  <c r="D8555"/>
  <c r="AX8555"/>
  <c r="C8556"/>
  <c r="D8556"/>
  <c r="AX8556"/>
  <c r="C8557"/>
  <c r="D8557"/>
  <c r="AX8557"/>
  <c r="C8558"/>
  <c r="D8558"/>
  <c r="AX8558"/>
  <c r="C8559"/>
  <c r="D8559"/>
  <c r="AX8559"/>
  <c r="C8560"/>
  <c r="D8560"/>
  <c r="AX8560"/>
  <c r="C8561"/>
  <c r="D8561"/>
  <c r="AX8561"/>
  <c r="C8562"/>
  <c r="D8562"/>
  <c r="AX8562"/>
  <c r="C8563"/>
  <c r="D8563"/>
  <c r="AX8563"/>
  <c r="C8564"/>
  <c r="D8564"/>
  <c r="AX8564"/>
  <c r="C8565"/>
  <c r="D8565"/>
  <c r="AX8565"/>
  <c r="C8566"/>
  <c r="D8566"/>
  <c r="AX8566"/>
  <c r="C8567"/>
  <c r="D8567"/>
  <c r="AX8567"/>
  <c r="C8568"/>
  <c r="D8568"/>
  <c r="AX8568"/>
  <c r="C8569"/>
  <c r="D8569"/>
  <c r="AX8569"/>
  <c r="C8570"/>
  <c r="D8570"/>
  <c r="AX8570"/>
  <c r="C8571"/>
  <c r="D8571"/>
  <c r="AX8571"/>
  <c r="C8572"/>
  <c r="D8572"/>
  <c r="AX8572"/>
  <c r="C8573"/>
  <c r="D8573"/>
  <c r="AX8573"/>
  <c r="C8574"/>
  <c r="D8574"/>
  <c r="AX8574"/>
  <c r="C8575"/>
  <c r="D8575"/>
  <c r="AX8575"/>
  <c r="C8576"/>
  <c r="D8576"/>
  <c r="AX8576"/>
  <c r="C8577"/>
  <c r="D8577"/>
  <c r="AX8577"/>
  <c r="C8578"/>
  <c r="D8578"/>
  <c r="AX8578"/>
  <c r="C8579"/>
  <c r="D8579"/>
  <c r="AX8579"/>
  <c r="C8580"/>
  <c r="D8580"/>
  <c r="AX8580"/>
  <c r="C8581"/>
  <c r="D8581"/>
  <c r="AX8581"/>
  <c r="C8582"/>
  <c r="D8582"/>
  <c r="AX8582"/>
  <c r="C8583"/>
  <c r="D8583"/>
  <c r="AX8583"/>
  <c r="C8584"/>
  <c r="D8584"/>
  <c r="AX8584"/>
  <c r="C8585"/>
  <c r="D8585"/>
  <c r="AX8585"/>
  <c r="C8586"/>
  <c r="D8586"/>
  <c r="AX8586"/>
  <c r="C8587"/>
  <c r="D8587"/>
  <c r="AX8587"/>
  <c r="C8588"/>
  <c r="D8588"/>
  <c r="AX8588"/>
  <c r="C8589"/>
  <c r="D8589"/>
  <c r="AX8589"/>
  <c r="C8590"/>
  <c r="D8590"/>
  <c r="AX8590"/>
  <c r="C8591"/>
  <c r="D8591"/>
  <c r="AX8591"/>
  <c r="C8592"/>
  <c r="D8592"/>
  <c r="AX8592"/>
  <c r="C8593"/>
  <c r="D8593"/>
  <c r="AX8593"/>
  <c r="C8594"/>
  <c r="D8594"/>
  <c r="AX8594"/>
  <c r="C8595"/>
  <c r="D8595"/>
  <c r="AX8595"/>
  <c r="C8596"/>
  <c r="D8596"/>
  <c r="AX8596"/>
  <c r="C8597"/>
  <c r="D8597"/>
  <c r="AX8597"/>
  <c r="C8598"/>
  <c r="D8598"/>
  <c r="AX8598"/>
  <c r="C8599"/>
  <c r="D8599"/>
  <c r="AX8599"/>
  <c r="C8600"/>
  <c r="D8600"/>
  <c r="AX8600"/>
  <c r="C8601"/>
  <c r="D8601"/>
  <c r="AX8601"/>
  <c r="C8602"/>
  <c r="D8602"/>
  <c r="AX8602"/>
  <c r="C8603"/>
  <c r="D8603"/>
  <c r="AX8603"/>
  <c r="C8604"/>
  <c r="D8604"/>
  <c r="AX8604"/>
  <c r="C8605"/>
  <c r="D8605"/>
  <c r="AX8605"/>
  <c r="C8606"/>
  <c r="D8606"/>
  <c r="AX8606"/>
  <c r="C8607"/>
  <c r="D8607"/>
  <c r="AX8607"/>
  <c r="C8608"/>
  <c r="D8608"/>
  <c r="AX8608"/>
  <c r="C8609"/>
  <c r="D8609"/>
  <c r="AX8609"/>
  <c r="C8610"/>
  <c r="D8610"/>
  <c r="AX8610"/>
  <c r="C8611"/>
  <c r="D8611"/>
  <c r="AX8611"/>
  <c r="C8612"/>
  <c r="D8612"/>
  <c r="AX8612"/>
  <c r="C8613"/>
  <c r="D8613"/>
  <c r="AX8613"/>
  <c r="C8614"/>
  <c r="D8614"/>
  <c r="AX8614"/>
  <c r="C8615"/>
  <c r="D8615"/>
  <c r="AX8615"/>
  <c r="C8616"/>
  <c r="D8616"/>
  <c r="AX8616"/>
  <c r="C8617"/>
  <c r="D8617"/>
  <c r="AX8617"/>
  <c r="C8618"/>
  <c r="D8618"/>
  <c r="AX8618"/>
  <c r="C8619"/>
  <c r="D8619"/>
  <c r="AX8619"/>
  <c r="C8620"/>
  <c r="D8620"/>
  <c r="AX8620"/>
  <c r="C8621"/>
  <c r="D8621"/>
  <c r="AX8621"/>
  <c r="C8622"/>
  <c r="D8622"/>
  <c r="AX8622"/>
  <c r="C8623"/>
  <c r="D8623"/>
  <c r="AX8623"/>
  <c r="C8624"/>
  <c r="D8624"/>
  <c r="AX8624"/>
  <c r="C8625"/>
  <c r="D8625"/>
  <c r="AX8625"/>
  <c r="C8626"/>
  <c r="D8626"/>
  <c r="AX8626"/>
  <c r="C8627"/>
  <c r="D8627"/>
  <c r="AX8627"/>
  <c r="C8628"/>
  <c r="D8628"/>
  <c r="AX8628"/>
  <c r="C8629"/>
  <c r="D8629"/>
  <c r="AX8629"/>
  <c r="C8630"/>
  <c r="D8630"/>
  <c r="AX8630"/>
  <c r="C8631"/>
  <c r="D8631"/>
  <c r="AX8631"/>
  <c r="C8632"/>
  <c r="D8632"/>
  <c r="AX8632"/>
  <c r="C8633"/>
  <c r="D8633"/>
  <c r="AX8633"/>
  <c r="C8634"/>
  <c r="D8634"/>
  <c r="AX8634"/>
  <c r="C8635"/>
  <c r="D8635"/>
  <c r="AX8635"/>
  <c r="C8636"/>
  <c r="D8636"/>
  <c r="AX8636"/>
  <c r="C8637"/>
  <c r="D8637"/>
  <c r="AX8637"/>
  <c r="C8638"/>
  <c r="D8638"/>
  <c r="AX8638"/>
  <c r="C8639"/>
  <c r="D8639"/>
  <c r="AX8639"/>
  <c r="C8640"/>
  <c r="D8640"/>
  <c r="AX8640"/>
  <c r="C8641"/>
  <c r="D8641"/>
  <c r="AX8641"/>
  <c r="C8642"/>
  <c r="D8642"/>
  <c r="AX8642"/>
  <c r="C8643"/>
  <c r="D8643"/>
  <c r="AX8643"/>
  <c r="C8644"/>
  <c r="D8644"/>
  <c r="AX8644"/>
  <c r="C8645"/>
  <c r="D8645"/>
  <c r="AX8645"/>
  <c r="C8646"/>
  <c r="D8646"/>
  <c r="AX8646"/>
  <c r="C8647"/>
  <c r="D8647"/>
  <c r="AX8647"/>
  <c r="C8648"/>
  <c r="D8648"/>
  <c r="AX8648"/>
  <c r="C8649"/>
  <c r="D8649"/>
  <c r="AX8649"/>
  <c r="C8650"/>
  <c r="D8650"/>
  <c r="AX8650"/>
  <c r="C8651"/>
  <c r="D8651"/>
  <c r="AX8651"/>
  <c r="C8652"/>
  <c r="D8652"/>
  <c r="AX8652"/>
  <c r="C8653"/>
  <c r="D8653"/>
  <c r="AX8653"/>
  <c r="C8654"/>
  <c r="D8654"/>
  <c r="AX8654"/>
  <c r="C8655"/>
  <c r="D8655"/>
  <c r="AX8655"/>
  <c r="C8656"/>
  <c r="D8656"/>
  <c r="AX8656"/>
  <c r="C8657"/>
  <c r="D8657"/>
  <c r="AX8657"/>
  <c r="C8658"/>
  <c r="D8658"/>
  <c r="AX8658"/>
  <c r="C8659"/>
  <c r="D8659"/>
  <c r="AX8659"/>
  <c r="C8660"/>
  <c r="D8660"/>
  <c r="AX8660"/>
  <c r="C8661"/>
  <c r="D8661"/>
  <c r="AX8661"/>
  <c r="C8662"/>
  <c r="D8662"/>
  <c r="AX8662"/>
  <c r="C8663"/>
  <c r="D8663"/>
  <c r="AX8663"/>
  <c r="C8664"/>
  <c r="D8664"/>
  <c r="AX8664"/>
  <c r="C8665"/>
  <c r="D8665"/>
  <c r="AX8665"/>
  <c r="C8666"/>
  <c r="D8666"/>
  <c r="AX8666"/>
  <c r="C8667"/>
  <c r="D8667"/>
  <c r="AX8667"/>
  <c r="C8668"/>
  <c r="D8668"/>
  <c r="AX8668"/>
  <c r="C8669"/>
  <c r="D8669"/>
  <c r="AX8669"/>
  <c r="C8670"/>
  <c r="D8670"/>
  <c r="AX8670"/>
  <c r="C8671"/>
  <c r="D8671"/>
  <c r="AX8671"/>
  <c r="C8672"/>
  <c r="D8672"/>
  <c r="AX8672"/>
  <c r="C8673"/>
  <c r="D8673"/>
  <c r="AX8673"/>
  <c r="C8674"/>
  <c r="D8674"/>
  <c r="AX8674"/>
  <c r="C8675"/>
  <c r="D8675"/>
  <c r="AX8675"/>
  <c r="C8676"/>
  <c r="D8676"/>
  <c r="AX8676"/>
  <c r="C8677"/>
  <c r="D8677"/>
  <c r="AX8677"/>
  <c r="C8678"/>
  <c r="D8678"/>
  <c r="AX8678"/>
  <c r="C8679"/>
  <c r="D8679"/>
  <c r="AX8679"/>
  <c r="C8680"/>
  <c r="D8680"/>
  <c r="AX8680"/>
  <c r="C8681"/>
  <c r="D8681"/>
  <c r="AX8681"/>
  <c r="C8682"/>
  <c r="D8682"/>
  <c r="AX8682"/>
  <c r="C8683"/>
  <c r="D8683"/>
  <c r="AX8683"/>
  <c r="C8684"/>
  <c r="D8684"/>
  <c r="AX8684"/>
  <c r="C8685"/>
  <c r="D8685"/>
  <c r="AX8685"/>
  <c r="C8686"/>
  <c r="D8686"/>
  <c r="AX8686"/>
  <c r="C8687"/>
  <c r="D8687"/>
  <c r="AX8687"/>
  <c r="C8688"/>
  <c r="D8688"/>
  <c r="AX8688"/>
  <c r="C8689"/>
  <c r="D8689"/>
  <c r="AX8689"/>
  <c r="C8690"/>
  <c r="D8690"/>
  <c r="AX8690"/>
  <c r="C8691"/>
  <c r="D8691"/>
  <c r="AX8691"/>
  <c r="C8692"/>
  <c r="D8692"/>
  <c r="AX8692"/>
  <c r="C8693"/>
  <c r="D8693"/>
  <c r="AX8693"/>
  <c r="C8694"/>
  <c r="D8694"/>
  <c r="AX8694"/>
  <c r="C8695"/>
  <c r="D8695"/>
  <c r="AX8695"/>
  <c r="C8696"/>
  <c r="D8696"/>
  <c r="AX8696"/>
  <c r="C8697"/>
  <c r="D8697"/>
  <c r="AX8697"/>
  <c r="C8698"/>
  <c r="D8698"/>
  <c r="AX8698"/>
  <c r="C8699"/>
  <c r="D8699"/>
  <c r="AX8699"/>
  <c r="C8700"/>
  <c r="D8700"/>
  <c r="AX8700"/>
  <c r="C8701"/>
  <c r="D8701"/>
  <c r="AX8701"/>
  <c r="C8702"/>
  <c r="D8702"/>
  <c r="AX8702"/>
  <c r="C8703"/>
  <c r="D8703"/>
  <c r="AX8703"/>
  <c r="C8704"/>
  <c r="D8704"/>
  <c r="AX8704"/>
  <c r="C8705"/>
  <c r="D8705"/>
  <c r="AX8705"/>
  <c r="C8706"/>
  <c r="D8706"/>
  <c r="AX8706"/>
  <c r="C8707"/>
  <c r="D8707"/>
  <c r="AX8707"/>
  <c r="C8708"/>
  <c r="D8708"/>
  <c r="AX8708"/>
  <c r="C8709"/>
  <c r="D8709"/>
  <c r="AX8709"/>
  <c r="C8710"/>
  <c r="D8710"/>
  <c r="AX8710"/>
  <c r="C8711"/>
  <c r="D8711"/>
  <c r="AX8711"/>
  <c r="C8712"/>
  <c r="D8712"/>
  <c r="AX8712"/>
  <c r="C8713"/>
  <c r="D8713"/>
  <c r="AX8713"/>
  <c r="C8714"/>
  <c r="D8714"/>
  <c r="AX8714"/>
  <c r="C8715"/>
  <c r="D8715"/>
  <c r="AX8715"/>
  <c r="C8716"/>
  <c r="D8716"/>
  <c r="AX8716"/>
  <c r="C8717"/>
  <c r="D8717"/>
  <c r="AX8717"/>
  <c r="C8718"/>
  <c r="D8718"/>
  <c r="AX8718"/>
  <c r="C8719"/>
  <c r="D8719"/>
  <c r="AX8719"/>
  <c r="C8720"/>
  <c r="D8720"/>
  <c r="AX8720"/>
  <c r="C8721"/>
  <c r="D8721"/>
  <c r="AX8721"/>
  <c r="C8722"/>
  <c r="D8722"/>
  <c r="AX8722"/>
  <c r="C8723"/>
  <c r="D8723"/>
  <c r="AX8723"/>
  <c r="C8724"/>
  <c r="D8724"/>
  <c r="AX8724"/>
  <c r="C8725"/>
  <c r="D8725"/>
  <c r="AX8725"/>
  <c r="C8726"/>
  <c r="D8726"/>
  <c r="AX8726"/>
  <c r="C8727"/>
  <c r="D8727"/>
  <c r="AX8727"/>
  <c r="C8728"/>
  <c r="D8728"/>
  <c r="AX8728"/>
  <c r="C8729"/>
  <c r="D8729"/>
  <c r="AX8729"/>
  <c r="C8730"/>
  <c r="D8730"/>
  <c r="AX8730"/>
  <c r="C8731"/>
  <c r="D8731"/>
  <c r="AX8731"/>
  <c r="C8732"/>
  <c r="D8732"/>
  <c r="AX8732"/>
  <c r="C8733"/>
  <c r="D8733"/>
  <c r="AX8733"/>
  <c r="C8734"/>
  <c r="D8734"/>
  <c r="AX8734"/>
  <c r="C8735"/>
  <c r="D8735"/>
  <c r="AX8735"/>
  <c r="C8736"/>
  <c r="D8736"/>
  <c r="AX8736"/>
  <c r="C8737"/>
  <c r="D8737"/>
  <c r="AX8737"/>
  <c r="C8738"/>
  <c r="D8738"/>
  <c r="AX8738"/>
  <c r="C8739"/>
  <c r="D8739"/>
  <c r="AX8739"/>
  <c r="C8740"/>
  <c r="D8740"/>
  <c r="AX8740"/>
  <c r="C8741"/>
  <c r="D8741"/>
  <c r="AX8741"/>
  <c r="C8742"/>
  <c r="D8742"/>
  <c r="AX8742"/>
  <c r="C8743"/>
  <c r="D8743"/>
  <c r="AX8743"/>
  <c r="C8744"/>
  <c r="D8744"/>
  <c r="AX8744"/>
  <c r="C8745"/>
  <c r="D8745"/>
  <c r="AX8745"/>
  <c r="C8746"/>
  <c r="D8746"/>
  <c r="AX8746"/>
  <c r="C8747"/>
  <c r="D8747"/>
  <c r="AX8747"/>
  <c r="C8748"/>
  <c r="D8748"/>
  <c r="AX8748"/>
  <c r="C8749"/>
  <c r="D8749"/>
  <c r="AX8749"/>
  <c r="C8750"/>
  <c r="D8750"/>
  <c r="AX8750"/>
  <c r="C8751"/>
  <c r="D8751"/>
  <c r="AX8751"/>
  <c r="C8752"/>
  <c r="D8752"/>
  <c r="AX8752"/>
  <c r="C8753"/>
  <c r="D8753"/>
  <c r="AX8753"/>
  <c r="C8754"/>
  <c r="D8754"/>
  <c r="AX8754"/>
  <c r="C8755"/>
  <c r="D8755"/>
  <c r="AX8755"/>
  <c r="C8756"/>
  <c r="D8756"/>
  <c r="AX8756"/>
  <c r="C8757"/>
  <c r="D8757"/>
  <c r="AX8757"/>
  <c r="C8758"/>
  <c r="D8758"/>
  <c r="AX8758"/>
  <c r="C8759"/>
  <c r="D8759"/>
  <c r="AX8759"/>
  <c r="C8760"/>
  <c r="D8760"/>
  <c r="AX8760"/>
  <c r="C8761"/>
  <c r="D8761"/>
  <c r="AX8761"/>
  <c r="C8762"/>
  <c r="D8762"/>
  <c r="AX8762"/>
  <c r="C8763"/>
  <c r="D8763"/>
  <c r="AX8763"/>
  <c r="C8764"/>
  <c r="D8764"/>
  <c r="AX8764"/>
  <c r="C8765"/>
  <c r="D8765"/>
  <c r="AX8765"/>
  <c r="C8766"/>
  <c r="D8766"/>
  <c r="AX8766"/>
  <c r="C8767"/>
  <c r="D8767"/>
  <c r="AX8767"/>
  <c r="C8768"/>
  <c r="D8768"/>
  <c r="AX8768"/>
  <c r="C8769"/>
  <c r="D8769"/>
  <c r="AX8769"/>
  <c r="C8770"/>
  <c r="D8770"/>
  <c r="AX8770"/>
  <c r="C8771"/>
  <c r="D8771"/>
  <c r="AX8771"/>
  <c r="C8772"/>
  <c r="D8772"/>
  <c r="AX8772"/>
  <c r="C8773"/>
  <c r="D8773"/>
  <c r="AX8773"/>
  <c r="C8774"/>
  <c r="D8774"/>
  <c r="AX8774"/>
  <c r="C8775"/>
  <c r="D8775"/>
  <c r="AX8775"/>
  <c r="C8776"/>
  <c r="D8776"/>
  <c r="AX8776"/>
  <c r="C8777"/>
  <c r="D8777"/>
  <c r="AX8777"/>
  <c r="C8778"/>
  <c r="D8778"/>
  <c r="AX8778"/>
  <c r="C8779"/>
  <c r="D8779"/>
  <c r="AX8779"/>
  <c r="C8780"/>
  <c r="D8780"/>
  <c r="AX8780"/>
  <c r="C8781"/>
  <c r="D8781"/>
  <c r="AX8781"/>
  <c r="C8782"/>
  <c r="D8782"/>
  <c r="AX8782"/>
  <c r="C8783"/>
  <c r="D8783"/>
  <c r="AX8783"/>
  <c r="C8784"/>
  <c r="D8784"/>
  <c r="AX8784"/>
  <c r="C8785"/>
  <c r="D8785"/>
  <c r="AX8785"/>
  <c r="C8786"/>
  <c r="D8786"/>
  <c r="AX8786"/>
  <c r="C8787"/>
  <c r="D8787"/>
  <c r="AX8787"/>
  <c r="C8788"/>
  <c r="D8788"/>
  <c r="AX8788"/>
  <c r="C8789"/>
  <c r="D8789"/>
  <c r="AX8789"/>
  <c r="C8790"/>
  <c r="D8790"/>
  <c r="AX8790"/>
  <c r="C8791"/>
  <c r="D8791"/>
  <c r="AX8791"/>
  <c r="C8792"/>
  <c r="D8792"/>
  <c r="AX8792"/>
  <c r="C8793"/>
  <c r="D8793"/>
  <c r="AX8793"/>
  <c r="C8794"/>
  <c r="D8794"/>
  <c r="AX8794"/>
  <c r="C8795"/>
  <c r="D8795"/>
  <c r="AX8795"/>
  <c r="C8796"/>
  <c r="D8796"/>
  <c r="AX8796"/>
  <c r="C8797"/>
  <c r="D8797"/>
  <c r="AX8797"/>
  <c r="C8798"/>
  <c r="D8798"/>
  <c r="AX8798"/>
  <c r="C8799"/>
  <c r="D8799"/>
  <c r="AX8799"/>
  <c r="C8800"/>
  <c r="D8800"/>
  <c r="AX8800"/>
  <c r="C8801"/>
  <c r="D8801"/>
  <c r="AX8801"/>
  <c r="C8802"/>
  <c r="D8802"/>
  <c r="AX8802"/>
  <c r="C8803"/>
  <c r="D8803"/>
  <c r="AX8803"/>
  <c r="C8804"/>
  <c r="D8804"/>
  <c r="AX8804"/>
  <c r="C8805"/>
  <c r="D8805"/>
  <c r="AX8805"/>
  <c r="C8806"/>
  <c r="D8806"/>
  <c r="AX8806"/>
  <c r="C8807"/>
  <c r="D8807"/>
  <c r="AX8807"/>
  <c r="C8808"/>
  <c r="D8808"/>
  <c r="AX8808"/>
  <c r="C8809"/>
  <c r="D8809"/>
  <c r="AX8809"/>
  <c r="C8810"/>
  <c r="D8810"/>
  <c r="AX8810"/>
  <c r="C8811"/>
  <c r="D8811"/>
  <c r="AX8811"/>
  <c r="C8812"/>
  <c r="D8812"/>
  <c r="AX8812"/>
  <c r="C8813"/>
  <c r="D8813"/>
  <c r="AX8813"/>
  <c r="C8814"/>
  <c r="D8814"/>
  <c r="AX8814"/>
  <c r="C8815"/>
  <c r="D8815"/>
  <c r="AX8815"/>
</calcChain>
</file>

<file path=xl/sharedStrings.xml><?xml version="1.0" encoding="utf-8"?>
<sst xmlns="http://schemas.openxmlformats.org/spreadsheetml/2006/main" count="54070" uniqueCount="1552">
  <si>
    <t>Dettaglio Elaborazione</t>
  </si>
  <si>
    <t>Conto</t>
  </si>
  <si>
    <t>Ragione Sociale</t>
  </si>
  <si>
    <t>P IVA</t>
  </si>
  <si>
    <t>Cod Fisc</t>
  </si>
  <si>
    <t>Tipo Conto</t>
  </si>
  <si>
    <t>Anno Partita</t>
  </si>
  <si>
    <t>Num Partita</t>
  </si>
  <si>
    <t>Data Emissione</t>
  </si>
  <si>
    <t>Registrazione</t>
  </si>
  <si>
    <t>Decorrenza</t>
  </si>
  <si>
    <t>Scadenza</t>
  </si>
  <si>
    <t>Pagato Trimestre</t>
  </si>
  <si>
    <t>Giorni Medi Trimestre</t>
  </si>
  <si>
    <t>Montante Trimestre</t>
  </si>
  <si>
    <t>Pagato Anno</t>
  </si>
  <si>
    <t>Giorni Medi Anno</t>
  </si>
  <si>
    <t>Montante Anno</t>
  </si>
  <si>
    <t>Saldo</t>
  </si>
  <si>
    <t>Desc Causale Sospensione</t>
  </si>
  <si>
    <t>Causale Sospensione</t>
  </si>
  <si>
    <t>Scadenza Post Sospensione</t>
  </si>
  <si>
    <t>Competenza Mese</t>
  </si>
  <si>
    <t>Registrato Mese</t>
  </si>
  <si>
    <t>Emesso Mese</t>
  </si>
  <si>
    <t>Competenza Anno</t>
  </si>
  <si>
    <t>Registrato Anno</t>
  </si>
  <si>
    <t>Emesso Anno</t>
  </si>
  <si>
    <t>Data Elaborazione</t>
  </si>
  <si>
    <t>Utente Elaborazione</t>
  </si>
  <si>
    <t>Nominativo Utente</t>
  </si>
  <si>
    <t>Scaduto nel mese</t>
  </si>
  <si>
    <t>Scaduto da 30</t>
  </si>
  <si>
    <t>Scaduto da 60</t>
  </si>
  <si>
    <t>Scaduto da 90</t>
  </si>
  <si>
    <t>Scaduto da 120</t>
  </si>
  <si>
    <t>Scaduto da 150</t>
  </si>
  <si>
    <t>Scaduto Oltre 180</t>
  </si>
  <si>
    <t>Totale Scaduto</t>
  </si>
  <si>
    <t>A scadere entro 30</t>
  </si>
  <si>
    <t>A scadere entro 60</t>
  </si>
  <si>
    <t>A scadere entro 90</t>
  </si>
  <si>
    <t>A scadere entro 120</t>
  </si>
  <si>
    <t>A scadere entro 150</t>
  </si>
  <si>
    <t>A scadere entro 180</t>
  </si>
  <si>
    <t>A scadere oltre 180</t>
  </si>
  <si>
    <t>Totale a scadere</t>
  </si>
  <si>
    <t>Data Pagamento Min</t>
  </si>
  <si>
    <t>Data Pagamento Max</t>
  </si>
  <si>
    <t>Classe Contabile</t>
  </si>
  <si>
    <t>CLASSI CLI FOR DESCRIZIONE</t>
  </si>
  <si>
    <t>ABBOTT S.R.L.</t>
  </si>
  <si>
    <t>Fornitori</t>
  </si>
  <si>
    <t>PETRELLA</t>
  </si>
  <si>
    <t>F</t>
  </si>
  <si>
    <t>DEBITI V/FORNITORI</t>
  </si>
  <si>
    <t>ALFA INTES S.R.L.</t>
  </si>
  <si>
    <t xml:space="preserve">       1635/PAE</t>
  </si>
  <si>
    <t>ALLERGAN S.P.A.</t>
  </si>
  <si>
    <t>EDISON ENERGIA S.P.A.</t>
  </si>
  <si>
    <t>RAYS  srl.</t>
  </si>
  <si>
    <t>ALERE S.R.L. (EX INVERNESS MEDICAL ITALIA S.R.L.)</t>
  </si>
  <si>
    <t>FIDES S.P.A.</t>
  </si>
  <si>
    <t>ALCON ITALIA S.P.A.</t>
  </si>
  <si>
    <t>ARTSANA S.P.A.</t>
  </si>
  <si>
    <t>ATTI HOSPITAL S.R.L.</t>
  </si>
  <si>
    <t>BAYER S.P.A.</t>
  </si>
  <si>
    <t>BOEHRINGER INGELHEIM ITALIA   S.P.A.</t>
  </si>
  <si>
    <t>BRISTOL MYERS SQUIBB S.R.L.</t>
  </si>
  <si>
    <t>SIEMENS HEALTHCARE SRL(exSiemens Health.Diagnost.)</t>
  </si>
  <si>
    <t>BECKMAN COULTER S.R.L.</t>
  </si>
  <si>
    <t>BIOTEST ITALIA S.R.L.</t>
  </si>
  <si>
    <t>BIO-MEDICAL DI  FRANCESCO BARONE S.R.L.</t>
  </si>
  <si>
    <t>GE HEALTHCARE SRL ( EX AMERSHAM HEALTH SRL) -</t>
  </si>
  <si>
    <t>ORZELLECA PREMIAZIONI S.A.S.</t>
  </si>
  <si>
    <t xml:space="preserve">           E383</t>
  </si>
  <si>
    <t xml:space="preserve">           E384</t>
  </si>
  <si>
    <t xml:space="preserve">            E14</t>
  </si>
  <si>
    <t xml:space="preserve">            E18</t>
  </si>
  <si>
    <t xml:space="preserve">            E55</t>
  </si>
  <si>
    <t xml:space="preserve">           10PA</t>
  </si>
  <si>
    <t xml:space="preserve">           12PA</t>
  </si>
  <si>
    <t xml:space="preserve">           13PA</t>
  </si>
  <si>
    <t xml:space="preserve">        75/2015</t>
  </si>
  <si>
    <t>OXOID S.P.A.</t>
  </si>
  <si>
    <t>NEIKOS S.R.L.</t>
  </si>
  <si>
    <t xml:space="preserve">         318/15</t>
  </si>
  <si>
    <t xml:space="preserve">       174/2015</t>
  </si>
  <si>
    <t>M.G.LORENZATTO S.R.L.</t>
  </si>
  <si>
    <t>MEDISOL S.A.S. DI SACCHETTINO MARIA ROSARIA</t>
  </si>
  <si>
    <t>MINICOZZI ANTONIETTA</t>
  </si>
  <si>
    <t>STORZ MEDICAL ITALIA S.R.L.</t>
  </si>
  <si>
    <t>BOFFA AUTO S.R.L.</t>
  </si>
  <si>
    <t xml:space="preserve">          E2136</t>
  </si>
  <si>
    <t>ACCA SOFTWARE S.P.A.</t>
  </si>
  <si>
    <t>CONDOMINIO VIA ANNUNZIATA 23-33   BENEVENTO</t>
  </si>
  <si>
    <t>BIO-RAD LABORATORIES S.R.L.</t>
  </si>
  <si>
    <t>BECTON DICKINSON ITALIA S.P.A.</t>
  </si>
  <si>
    <t>BANCA POPOLARE DI VERONA E NOVARA</t>
  </si>
  <si>
    <t>TEMA SINERGIE S.P.A.</t>
  </si>
  <si>
    <t>DYNAMED SNC</t>
  </si>
  <si>
    <t>GARDHEN "BILANCE" S.R.L.</t>
  </si>
  <si>
    <t>GIVAS S.R.L.</t>
  </si>
  <si>
    <t>JOHNSON &amp; JOHNSON MEDICAL S.P.A.</t>
  </si>
  <si>
    <t>MPM ITALIA SRL SOCIETA' UNIPERSONALE</t>
  </si>
  <si>
    <t>CAVALLARO S.R.L.</t>
  </si>
  <si>
    <t>L'EUROPEA ORG.NAZ.S.R.L.</t>
  </si>
  <si>
    <t>GETINGE S.P.A.</t>
  </si>
  <si>
    <t>W.L. GORE &amp; ASSOCIATI S.R.L.</t>
  </si>
  <si>
    <t>LIFE TECHNOLOGIES ITALIA (APPLIED BIOSYSTEMS)</t>
  </si>
  <si>
    <t>MEDELA ITALIA S.R.L.</t>
  </si>
  <si>
    <t>EDWARDS LIFESCIENCES ITALIA S.P.A.</t>
  </si>
  <si>
    <t>MONDO EDP S.R.L.</t>
  </si>
  <si>
    <t>DATA PROCESSING S.P.A.</t>
  </si>
  <si>
    <t>EL.TO.  S.R.L.</t>
  </si>
  <si>
    <t xml:space="preserve">          06/01</t>
  </si>
  <si>
    <t>SMITHS MEDICAL ITALIA S.R.L.</t>
  </si>
  <si>
    <t>FARMIGEA S.P.A.</t>
  </si>
  <si>
    <t>FIDIA FARMACEUTICI S.P.A</t>
  </si>
  <si>
    <t>HUMANA ITALIA S.P.A.</t>
  </si>
  <si>
    <t xml:space="preserve">         V6-191</t>
  </si>
  <si>
    <t xml:space="preserve">         V6-253</t>
  </si>
  <si>
    <t xml:space="preserve">         V6-280</t>
  </si>
  <si>
    <t xml:space="preserve">         V6-403</t>
  </si>
  <si>
    <t xml:space="preserve">         V6-611</t>
  </si>
  <si>
    <t xml:space="preserve">         V6-650</t>
  </si>
  <si>
    <t xml:space="preserve">         V6-651</t>
  </si>
  <si>
    <t xml:space="preserve">         V6-815</t>
  </si>
  <si>
    <t xml:space="preserve">         V6-917</t>
  </si>
  <si>
    <t>FARMAC-ZABBAN   S.P.A.</t>
  </si>
  <si>
    <t>2T S.R.L.</t>
  </si>
  <si>
    <t>S.V.I.M.A.  FARMACEUTICI S.R.L.</t>
  </si>
  <si>
    <t>GLAXO SMITH KLINE S.P.A.</t>
  </si>
  <si>
    <t>GI GROUP SPA ( EX WORKNET GENERALE INDUSTRIELLE)</t>
  </si>
  <si>
    <t>ALMIRALL S.P.A.</t>
  </si>
  <si>
    <t>AB ANALITICA S.R.L.</t>
  </si>
  <si>
    <t xml:space="preserve">         801/PA</t>
  </si>
  <si>
    <t>INTESTO S.R.L.</t>
  </si>
  <si>
    <t>SANOFI PASTEUR MSD S.P.A.(EX AVENTIS PASTEUR)</t>
  </si>
  <si>
    <t>PANARESE  FERNANDO</t>
  </si>
  <si>
    <t>SINTEA PLUSTEK S.R.L.</t>
  </si>
  <si>
    <t xml:space="preserve">   20150425 /PA</t>
  </si>
  <si>
    <t xml:space="preserve">   20150551 /PA</t>
  </si>
  <si>
    <t>GALDERMA ITALIA S.P.A.</t>
  </si>
  <si>
    <t>BIOMEDICALE SESTRESE SNC</t>
  </si>
  <si>
    <t>LOFARMA S.P.A.</t>
  </si>
  <si>
    <t xml:space="preserve">         1012/B</t>
  </si>
  <si>
    <t xml:space="preserve">         1013/B</t>
  </si>
  <si>
    <t xml:space="preserve">         1263/B</t>
  </si>
  <si>
    <t xml:space="preserve">         1498/L</t>
  </si>
  <si>
    <t xml:space="preserve">         1499/L</t>
  </si>
  <si>
    <t xml:space="preserve">         1500/L</t>
  </si>
  <si>
    <t xml:space="preserve">      0003218/L</t>
  </si>
  <si>
    <t xml:space="preserve">      0003219/L</t>
  </si>
  <si>
    <t xml:space="preserve">      0003374/L</t>
  </si>
  <si>
    <t>FUJIREBIO ITALIA S.R.L.(EX INNOGENETICS S.R.L.)</t>
  </si>
  <si>
    <t>LA PULITECNICA S.R.L.</t>
  </si>
  <si>
    <t xml:space="preserve">     2015    65</t>
  </si>
  <si>
    <t xml:space="preserve">     2015    66</t>
  </si>
  <si>
    <t xml:space="preserve">     2015    67</t>
  </si>
  <si>
    <t xml:space="preserve">     2015    68</t>
  </si>
  <si>
    <t xml:space="preserve">     2015    69</t>
  </si>
  <si>
    <t xml:space="preserve">     2015    70</t>
  </si>
  <si>
    <t xml:space="preserve">     2015    71</t>
  </si>
  <si>
    <t xml:space="preserve">     2015   120</t>
  </si>
  <si>
    <t xml:space="preserve">     2015   121</t>
  </si>
  <si>
    <t xml:space="preserve">     2015   122</t>
  </si>
  <si>
    <t xml:space="preserve">     2015   124</t>
  </si>
  <si>
    <t xml:space="preserve">     2015   125</t>
  </si>
  <si>
    <t xml:space="preserve">     2015   143</t>
  </si>
  <si>
    <t xml:space="preserve">     2015   144</t>
  </si>
  <si>
    <t xml:space="preserve">     2015   145</t>
  </si>
  <si>
    <t xml:space="preserve">     2015   146</t>
  </si>
  <si>
    <t xml:space="preserve">     2015   147</t>
  </si>
  <si>
    <t xml:space="preserve">     2015   148</t>
  </si>
  <si>
    <t xml:space="preserve">     2015   149</t>
  </si>
  <si>
    <t xml:space="preserve">     2015   169</t>
  </si>
  <si>
    <t xml:space="preserve">     2015   170</t>
  </si>
  <si>
    <t xml:space="preserve">     2015   171</t>
  </si>
  <si>
    <t xml:space="preserve">     2015   195</t>
  </si>
  <si>
    <t xml:space="preserve">     2015   196</t>
  </si>
  <si>
    <t xml:space="preserve">     2015   197</t>
  </si>
  <si>
    <t xml:space="preserve">     2015   206</t>
  </si>
  <si>
    <t xml:space="preserve">     2015   217</t>
  </si>
  <si>
    <t xml:space="preserve">     2015   222</t>
  </si>
  <si>
    <t xml:space="preserve">     2015   223</t>
  </si>
  <si>
    <t xml:space="preserve">     2015   225</t>
  </si>
  <si>
    <t xml:space="preserve">     2015   226</t>
  </si>
  <si>
    <t xml:space="preserve">     2015   227</t>
  </si>
  <si>
    <t>LEICA MICROSYSTEMS S.R.L.</t>
  </si>
  <si>
    <t>MSD ITALIA S.R.L</t>
  </si>
  <si>
    <t>CISATECH di C. SANTORO &amp; C. s.a.s.</t>
  </si>
  <si>
    <t>L. MOLTENI &amp; C.dei F.LLI ALITTI S.P.A.</t>
  </si>
  <si>
    <t>SEI emg s.r.l.</t>
  </si>
  <si>
    <t>MOVI S.P.A. ATTREZZATURE BIOMEDICHE</t>
  </si>
  <si>
    <t>BSN MEDICAL S.R.L.</t>
  </si>
  <si>
    <t>FAVERO HEALTH PROJECTS S.P.A.</t>
  </si>
  <si>
    <t>FRESENIUS KABI ITALIA S.R.L.</t>
  </si>
  <si>
    <t>NESTLE' ITALIANA S.P.A.</t>
  </si>
  <si>
    <t>PUBLINFORMA S.R.L.</t>
  </si>
  <si>
    <t>VERNIPOLL S.R.L.</t>
  </si>
  <si>
    <t>TEKMED INSTRUMENTS S.P.A.</t>
  </si>
  <si>
    <t>PFIZER ITALIA S.r.l.</t>
  </si>
  <si>
    <t>A.S.I.A. BENEVENTO S.P.A.</t>
  </si>
  <si>
    <t>BEMAR S.R.L.</t>
  </si>
  <si>
    <t>PHILIPS S.P.A.(EX PHILIPS MEDICAL SYSTEMS S.P.A.)</t>
  </si>
  <si>
    <t>POSTE ITALIANES.P.A. ALT SUD INCASSI CONTI CREDITO</t>
  </si>
  <si>
    <t>SAGO MEDICA S.R.L.</t>
  </si>
  <si>
    <t>ROCHE S.P.A.</t>
  </si>
  <si>
    <t>SARSTEDT S.R.L.</t>
  </si>
  <si>
    <t>POLIFARMA BENESSERE S.R.L.</t>
  </si>
  <si>
    <t xml:space="preserve">         V4/ 32</t>
  </si>
  <si>
    <t xml:space="preserve">         V4/ 76</t>
  </si>
  <si>
    <t xml:space="preserve">        V4/ 104</t>
  </si>
  <si>
    <t>SIEMENS S.P.A.(ORA SIEMENS HEALTHCARE S.R.L.)</t>
  </si>
  <si>
    <t>SEDA S.P.A.</t>
  </si>
  <si>
    <t>ABBOTT VASCULAR KNOLL RAVIZZA SPA (INCORP. ABBOTT)</t>
  </si>
  <si>
    <t>A.MENARINI DIAGNOSTICS S.R.L.</t>
  </si>
  <si>
    <t>STARLAB S.R.L.</t>
  </si>
  <si>
    <t>MEDI DIAGNOSTICI S.R.L.</t>
  </si>
  <si>
    <t>SALVADORI LUIGI  S.P.A.</t>
  </si>
  <si>
    <t xml:space="preserve">         126/SP</t>
  </si>
  <si>
    <t xml:space="preserve">        1057/SP</t>
  </si>
  <si>
    <t xml:space="preserve">      0002954SP</t>
  </si>
  <si>
    <t>CAP.ITAL.FIN. SPA</t>
  </si>
  <si>
    <t>3M ITALIA S.R.L.</t>
  </si>
  <si>
    <t>TOSHIBA MEDICAL SYSTEMS S.R.L.</t>
  </si>
  <si>
    <t>MEDEM S.R.L.</t>
  </si>
  <si>
    <t>GENKO ITALIA S.P.A.</t>
  </si>
  <si>
    <t>DISTREX S.P.A</t>
  </si>
  <si>
    <t>CARLS ZEISS S.P.A.</t>
  </si>
  <si>
    <t>STEFANUCCI GIUSEPPE</t>
  </si>
  <si>
    <t xml:space="preserve">            E10</t>
  </si>
  <si>
    <t>BRACCO IMAGING ITALIA SRL</t>
  </si>
  <si>
    <t>KEDRION SPA</t>
  </si>
  <si>
    <t>IGM S.R.L. NAPOLI</t>
  </si>
  <si>
    <t>CARESTREAM HEALTH ITALIA SRL (RAMO KODAK)</t>
  </si>
  <si>
    <t>C.I.D. SOFTWARE STUDIO S.R.L.</t>
  </si>
  <si>
    <t>GLORIA MED PHARMA S.R.L.</t>
  </si>
  <si>
    <t>MUNDIPHARMA PHARMACEUTICALS SRL</t>
  </si>
  <si>
    <t>TECSUD S.R.L.</t>
  </si>
  <si>
    <t>SANITARIA ORTOPEDIA DI CARDONE PIA.</t>
  </si>
  <si>
    <t xml:space="preserve">           E922</t>
  </si>
  <si>
    <t xml:space="preserve">           E923</t>
  </si>
  <si>
    <t xml:space="preserve">           E924</t>
  </si>
  <si>
    <t xml:space="preserve">           E925</t>
  </si>
  <si>
    <t xml:space="preserve">           E926</t>
  </si>
  <si>
    <t xml:space="preserve">          E1037</t>
  </si>
  <si>
    <t xml:space="preserve">          E1041</t>
  </si>
  <si>
    <t xml:space="preserve">          E1042</t>
  </si>
  <si>
    <t xml:space="preserve">          E1093</t>
  </si>
  <si>
    <t xml:space="preserve">          E1108</t>
  </si>
  <si>
    <t xml:space="preserve">          E1109</t>
  </si>
  <si>
    <t xml:space="preserve">          E1110</t>
  </si>
  <si>
    <t xml:space="preserve">          E1171</t>
  </si>
  <si>
    <t xml:space="preserve">          E1208</t>
  </si>
  <si>
    <t xml:space="preserve">          E1209</t>
  </si>
  <si>
    <t xml:space="preserve">          E1210</t>
  </si>
  <si>
    <t xml:space="preserve">          E1217</t>
  </si>
  <si>
    <t xml:space="preserve">          E1218</t>
  </si>
  <si>
    <t xml:space="preserve">          E1219</t>
  </si>
  <si>
    <t xml:space="preserve">          E1221</t>
  </si>
  <si>
    <t xml:space="preserve">          E1230</t>
  </si>
  <si>
    <t xml:space="preserve">          E1232</t>
  </si>
  <si>
    <t xml:space="preserve">            E34</t>
  </si>
  <si>
    <t xml:space="preserve">            E35</t>
  </si>
  <si>
    <t xml:space="preserve">            E37</t>
  </si>
  <si>
    <t xml:space="preserve">            E38</t>
  </si>
  <si>
    <t xml:space="preserve">           E187</t>
  </si>
  <si>
    <t xml:space="preserve">           E188</t>
  </si>
  <si>
    <t xml:space="preserve">           E221</t>
  </si>
  <si>
    <t xml:space="preserve">           E262</t>
  </si>
  <si>
    <t xml:space="preserve">           E263</t>
  </si>
  <si>
    <t xml:space="preserve">           E264</t>
  </si>
  <si>
    <t xml:space="preserve">           e261</t>
  </si>
  <si>
    <t xml:space="preserve">          41/PA</t>
  </si>
  <si>
    <t xml:space="preserve">          67/PA</t>
  </si>
  <si>
    <t xml:space="preserve">          68/PA</t>
  </si>
  <si>
    <t xml:space="preserve">          87/PA</t>
  </si>
  <si>
    <t xml:space="preserve">          92/PA</t>
  </si>
  <si>
    <t xml:space="preserve">         123/PA</t>
  </si>
  <si>
    <t xml:space="preserve">         124/PA</t>
  </si>
  <si>
    <t xml:space="preserve">         136/PA</t>
  </si>
  <si>
    <t xml:space="preserve">         137/PA</t>
  </si>
  <si>
    <t xml:space="preserve">         138/PA</t>
  </si>
  <si>
    <t>INSTRUMENTATION LABORATORY S.P.A.</t>
  </si>
  <si>
    <t>STAMPA SUD S.R.L.</t>
  </si>
  <si>
    <t xml:space="preserve">           77/A</t>
  </si>
  <si>
    <t xml:space="preserve">           78/A</t>
  </si>
  <si>
    <t xml:space="preserve">           79/A</t>
  </si>
  <si>
    <t xml:space="preserve">           80/A</t>
  </si>
  <si>
    <t xml:space="preserve">          206/A</t>
  </si>
  <si>
    <t>BAXTER  S.P.A.</t>
  </si>
  <si>
    <t>RUMMO S.C.ar.l.</t>
  </si>
  <si>
    <t>ORPHAN EUROPE (ITALY) SRL</t>
  </si>
  <si>
    <t>ARTI GRAFICHE 2000  SAS</t>
  </si>
  <si>
    <t xml:space="preserve">            9/A</t>
  </si>
  <si>
    <t>TIPOLITOGRAFIA MONTECALVO S.N.C.</t>
  </si>
  <si>
    <t>DEMA HOSPITAL S.R.L.</t>
  </si>
  <si>
    <t>MICROMED S.P.A.</t>
  </si>
  <si>
    <t>EUROFARM  S.P.A.</t>
  </si>
  <si>
    <t>SVAS BIOSANA S.P.A.</t>
  </si>
  <si>
    <t xml:space="preserve">          300/W</t>
  </si>
  <si>
    <t xml:space="preserve">          301/W</t>
  </si>
  <si>
    <t xml:space="preserve">          480/W</t>
  </si>
  <si>
    <t xml:space="preserve">          481/W</t>
  </si>
  <si>
    <t xml:space="preserve">          482/W</t>
  </si>
  <si>
    <t xml:space="preserve">          678/W</t>
  </si>
  <si>
    <t xml:space="preserve">          679/W</t>
  </si>
  <si>
    <t xml:space="preserve">          680/W</t>
  </si>
  <si>
    <t xml:space="preserve">         1029/W</t>
  </si>
  <si>
    <t xml:space="preserve">         1032/M</t>
  </si>
  <si>
    <t xml:space="preserve">         1260/W</t>
  </si>
  <si>
    <t xml:space="preserve">         1470/W</t>
  </si>
  <si>
    <t xml:space="preserve">         1471/W</t>
  </si>
  <si>
    <t xml:space="preserve">         1472/W</t>
  </si>
  <si>
    <t xml:space="preserve">         1503/M</t>
  </si>
  <si>
    <t xml:space="preserve">         1504/M</t>
  </si>
  <si>
    <t xml:space="preserve">         1820/M</t>
  </si>
  <si>
    <t xml:space="preserve">         1845/W</t>
  </si>
  <si>
    <t xml:space="preserve">         1846/W</t>
  </si>
  <si>
    <t xml:space="preserve">         1847/W</t>
  </si>
  <si>
    <t xml:space="preserve">         2074/W</t>
  </si>
  <si>
    <t xml:space="preserve">         2307/M</t>
  </si>
  <si>
    <t xml:space="preserve">         2308/M</t>
  </si>
  <si>
    <t xml:space="preserve">         2503/W</t>
  </si>
  <si>
    <t xml:space="preserve">         2504/W</t>
  </si>
  <si>
    <t xml:space="preserve">         2591/M</t>
  </si>
  <si>
    <t xml:space="preserve">         2885/M</t>
  </si>
  <si>
    <t xml:space="preserve">         3195/M</t>
  </si>
  <si>
    <t xml:space="preserve">         3406/W</t>
  </si>
  <si>
    <t xml:space="preserve">         3514/M</t>
  </si>
  <si>
    <t xml:space="preserve">         3845/M</t>
  </si>
  <si>
    <t xml:space="preserve">         3846/M</t>
  </si>
  <si>
    <t xml:space="preserve">         3847/M</t>
  </si>
  <si>
    <t xml:space="preserve">         3923/W</t>
  </si>
  <si>
    <t xml:space="preserve">         3924/W</t>
  </si>
  <si>
    <t xml:space="preserve">         3925/W</t>
  </si>
  <si>
    <t xml:space="preserve">         3926/W</t>
  </si>
  <si>
    <t xml:space="preserve">         3927/W</t>
  </si>
  <si>
    <t xml:space="preserve">         4232/W</t>
  </si>
  <si>
    <t xml:space="preserve">         4233/W</t>
  </si>
  <si>
    <t xml:space="preserve">         4552/W</t>
  </si>
  <si>
    <t xml:space="preserve">         4553/W</t>
  </si>
  <si>
    <t xml:space="preserve">         4554/W</t>
  </si>
  <si>
    <t xml:space="preserve">         4555/W</t>
  </si>
  <si>
    <t xml:space="preserve">         4806/M</t>
  </si>
  <si>
    <t xml:space="preserve">         4846/W</t>
  </si>
  <si>
    <t xml:space="preserve">         4847/W</t>
  </si>
  <si>
    <t xml:space="preserve">         4848/W</t>
  </si>
  <si>
    <t xml:space="preserve">         4914/M</t>
  </si>
  <si>
    <t xml:space="preserve">         5080/W</t>
  </si>
  <si>
    <t xml:space="preserve">         5081/W</t>
  </si>
  <si>
    <t xml:space="preserve">         5406/W</t>
  </si>
  <si>
    <t xml:space="preserve">         5637/W</t>
  </si>
  <si>
    <t xml:space="preserve">         6357/W</t>
  </si>
  <si>
    <t>PAREXEL INTERNATIONAL SRL</t>
  </si>
  <si>
    <t>PERIMED ITALIA S.R.L.</t>
  </si>
  <si>
    <t>SOFI COSTRUZIONI S.R.L.</t>
  </si>
  <si>
    <t>WOLTERS KLUWER ITALIA S.R.L.</t>
  </si>
  <si>
    <t>TECHNOGENETICS SRL</t>
  </si>
  <si>
    <t xml:space="preserve">        E101250</t>
  </si>
  <si>
    <t>UNICREDIT BANCA SPA</t>
  </si>
  <si>
    <t>AC.TA.. SRL</t>
  </si>
  <si>
    <t>HOLOGIC ITALIA S.R.L. (EX CYTYC ITALIA S.R.L.)</t>
  </si>
  <si>
    <t>MYLAN S.P.A.</t>
  </si>
  <si>
    <t>AIESI HOSPITAL SERVICE SAS</t>
  </si>
  <si>
    <t>SANDOZ S.P.A.</t>
  </si>
  <si>
    <t>CENTRO POLIDIAGNOSTICO GAMMACORD- SANNIO TAC</t>
  </si>
  <si>
    <t>AGISAN SAS DI BIAGI ALBERTO &amp; C.</t>
  </si>
  <si>
    <t>MED SERVICES S.R.L.</t>
  </si>
  <si>
    <t>AELLE SURGERY S.R.L.</t>
  </si>
  <si>
    <t>F.LLI AQUINO S.R.L.</t>
  </si>
  <si>
    <t xml:space="preserve">           E287</t>
  </si>
  <si>
    <t xml:space="preserve">           E337</t>
  </si>
  <si>
    <t xml:space="preserve">           E372</t>
  </si>
  <si>
    <t xml:space="preserve">           E388</t>
  </si>
  <si>
    <t xml:space="preserve">            2/A</t>
  </si>
  <si>
    <t xml:space="preserve">            3/A</t>
  </si>
  <si>
    <t xml:space="preserve">            E92</t>
  </si>
  <si>
    <t xml:space="preserve">           E137</t>
  </si>
  <si>
    <t xml:space="preserve">           E151</t>
  </si>
  <si>
    <t>INSIEL MERCATO SPA (EX INSIMARK S.R.L.INCORPORATA)</t>
  </si>
  <si>
    <t>G.I.F.A. DI FIORE SABATINO &amp; C. s.a.s</t>
  </si>
  <si>
    <t xml:space="preserve">          E1950</t>
  </si>
  <si>
    <t xml:space="preserve">           E192</t>
  </si>
  <si>
    <t xml:space="preserve">           E235</t>
  </si>
  <si>
    <t xml:space="preserve">          E2103</t>
  </si>
  <si>
    <t xml:space="preserve">          E2283</t>
  </si>
  <si>
    <t xml:space="preserve">          E2327</t>
  </si>
  <si>
    <t xml:space="preserve">          E2348</t>
  </si>
  <si>
    <t xml:space="preserve">          E2411</t>
  </si>
  <si>
    <t xml:space="preserve">          E2453</t>
  </si>
  <si>
    <t xml:space="preserve">          E2513</t>
  </si>
  <si>
    <t xml:space="preserve">          E2533</t>
  </si>
  <si>
    <t xml:space="preserve">          E2546</t>
  </si>
  <si>
    <t xml:space="preserve">          E2647</t>
  </si>
  <si>
    <t xml:space="preserve">          E2816</t>
  </si>
  <si>
    <t xml:space="preserve">          E2890</t>
  </si>
  <si>
    <t xml:space="preserve">          E2891</t>
  </si>
  <si>
    <t xml:space="preserve">          E2899</t>
  </si>
  <si>
    <t xml:space="preserve">          E2958</t>
  </si>
  <si>
    <t xml:space="preserve">          E3004</t>
  </si>
  <si>
    <t xml:space="preserve">          E3021</t>
  </si>
  <si>
    <t xml:space="preserve">             E1</t>
  </si>
  <si>
    <t xml:space="preserve">             E6</t>
  </si>
  <si>
    <t xml:space="preserve">            E21</t>
  </si>
  <si>
    <t xml:space="preserve">            E51</t>
  </si>
  <si>
    <t xml:space="preserve">            E63</t>
  </si>
  <si>
    <t xml:space="preserve">           E104</t>
  </si>
  <si>
    <t xml:space="preserve">           E115</t>
  </si>
  <si>
    <t xml:space="preserve">           E117</t>
  </si>
  <si>
    <t xml:space="preserve">           E176</t>
  </si>
  <si>
    <t xml:space="preserve">           E201</t>
  </si>
  <si>
    <t xml:space="preserve">           E204</t>
  </si>
  <si>
    <t xml:space="preserve">           E254</t>
  </si>
  <si>
    <t xml:space="preserve">           E302</t>
  </si>
  <si>
    <t xml:space="preserve">           E306</t>
  </si>
  <si>
    <t xml:space="preserve">           E420</t>
  </si>
  <si>
    <t xml:space="preserve">           E445</t>
  </si>
  <si>
    <t xml:space="preserve">           E504</t>
  </si>
  <si>
    <t xml:space="preserve">           E640</t>
  </si>
  <si>
    <t xml:space="preserve">     PA  000002</t>
  </si>
  <si>
    <t xml:space="preserve">     PA  000003</t>
  </si>
  <si>
    <t xml:space="preserve">     PA  000004</t>
  </si>
  <si>
    <t xml:space="preserve">     PA  000005</t>
  </si>
  <si>
    <t xml:space="preserve">     PA  000007</t>
  </si>
  <si>
    <t xml:space="preserve">     PA  000009</t>
  </si>
  <si>
    <t xml:space="preserve">     PA  000010</t>
  </si>
  <si>
    <t xml:space="preserve">     PA  000011</t>
  </si>
  <si>
    <t xml:space="preserve">     PA  000012</t>
  </si>
  <si>
    <t>SACCO - OTTICA OFTALMOLOGIA S.A.S.</t>
  </si>
  <si>
    <t>MAIO  ALDO - ELETTRAUTO</t>
  </si>
  <si>
    <t xml:space="preserve">            E20</t>
  </si>
  <si>
    <t xml:space="preserve">             E2</t>
  </si>
  <si>
    <t xml:space="preserve">             E3</t>
  </si>
  <si>
    <t xml:space="preserve">             E4</t>
  </si>
  <si>
    <t xml:space="preserve">             E5</t>
  </si>
  <si>
    <t>ZUZOLO  GERARDO- OFFICINA MECCAN. ED ELETTR.</t>
  </si>
  <si>
    <t xml:space="preserve">           E380</t>
  </si>
  <si>
    <t>ORREI  RICCARDO</t>
  </si>
  <si>
    <t xml:space="preserve">            E31</t>
  </si>
  <si>
    <t xml:space="preserve">            E32</t>
  </si>
  <si>
    <t xml:space="preserve">            E33</t>
  </si>
  <si>
    <t xml:space="preserve">            E36</t>
  </si>
  <si>
    <t xml:space="preserve">            E39</t>
  </si>
  <si>
    <t xml:space="preserve">            E40</t>
  </si>
  <si>
    <t xml:space="preserve">            E41</t>
  </si>
  <si>
    <t xml:space="preserve">            E42</t>
  </si>
  <si>
    <t xml:space="preserve">            E43</t>
  </si>
  <si>
    <t xml:space="preserve">            E44</t>
  </si>
  <si>
    <t xml:space="preserve">             E7</t>
  </si>
  <si>
    <t xml:space="preserve">             E8</t>
  </si>
  <si>
    <t xml:space="preserve">             E9</t>
  </si>
  <si>
    <t xml:space="preserve">            E11</t>
  </si>
  <si>
    <t xml:space="preserve">            E12</t>
  </si>
  <si>
    <t xml:space="preserve">            E13</t>
  </si>
  <si>
    <t xml:space="preserve">            E15</t>
  </si>
  <si>
    <t xml:space="preserve">            E16</t>
  </si>
  <si>
    <t xml:space="preserve">            E17</t>
  </si>
  <si>
    <t xml:space="preserve">            E19</t>
  </si>
  <si>
    <t xml:space="preserve">            E22</t>
  </si>
  <si>
    <t>001-2015-ELETTR</t>
  </si>
  <si>
    <t>002-2015-ELETTR</t>
  </si>
  <si>
    <t>003-2015-ELETTR</t>
  </si>
  <si>
    <t>004-2015-ELETTR</t>
  </si>
  <si>
    <t>005-2015-ELETTR</t>
  </si>
  <si>
    <t>006-2015-ELETTR</t>
  </si>
  <si>
    <t>007-2015-ELETTR</t>
  </si>
  <si>
    <t>008-2015-ELETTR</t>
  </si>
  <si>
    <t>009-2015-ELETTR</t>
  </si>
  <si>
    <t>010-2015-ELETTR</t>
  </si>
  <si>
    <t>011-2015-ELETTR</t>
  </si>
  <si>
    <t>012-2015-ELETTR</t>
  </si>
  <si>
    <t>013-2015-ELETTR</t>
  </si>
  <si>
    <t>014-2015-ELETTR</t>
  </si>
  <si>
    <t>015-2015-ELETTR</t>
  </si>
  <si>
    <t>016-2015-ELETTR</t>
  </si>
  <si>
    <t>017-2015-ELETTR</t>
  </si>
  <si>
    <t>020-2015-ELETTR</t>
  </si>
  <si>
    <t>021-2015-ELETTR</t>
  </si>
  <si>
    <t>022-2015-ELETTR</t>
  </si>
  <si>
    <t>023-2015-ELETTR</t>
  </si>
  <si>
    <t>SMITH AND NEPHEW S.R.L.</t>
  </si>
  <si>
    <t>LEMAITRE VASCULAR S.R.L.</t>
  </si>
  <si>
    <t>TELEPASS S.P.A.</t>
  </si>
  <si>
    <t xml:space="preserve">     900001223T</t>
  </si>
  <si>
    <t xml:space="preserve">     900001518T</t>
  </si>
  <si>
    <t xml:space="preserve">     900003699T</t>
  </si>
  <si>
    <t xml:space="preserve">     900005693T</t>
  </si>
  <si>
    <t xml:space="preserve">     900007819T</t>
  </si>
  <si>
    <t xml:space="preserve">     900009840T</t>
  </si>
  <si>
    <t xml:space="preserve">     900012120T</t>
  </si>
  <si>
    <t xml:space="preserve">     900012395T</t>
  </si>
  <si>
    <t xml:space="preserve">     900014539T</t>
  </si>
  <si>
    <t>VARRELLA ELIO - TABACCHI</t>
  </si>
  <si>
    <t xml:space="preserve">            E50</t>
  </si>
  <si>
    <t>SYSTAGENIX WOUND M. SRL(INCORP.IN KCI MEDICAL SRL)</t>
  </si>
  <si>
    <t>SANNIO TEST S.R.L.</t>
  </si>
  <si>
    <t>GRAFICHE IUORIO S.N.C.</t>
  </si>
  <si>
    <t xml:space="preserve">           E769</t>
  </si>
  <si>
    <t xml:space="preserve">           E814</t>
  </si>
  <si>
    <t xml:space="preserve">           E817</t>
  </si>
  <si>
    <t xml:space="preserve">           E823</t>
  </si>
  <si>
    <t xml:space="preserve">           E827</t>
  </si>
  <si>
    <t xml:space="preserve">           E846</t>
  </si>
  <si>
    <t xml:space="preserve">           E847</t>
  </si>
  <si>
    <t xml:space="preserve">           E848</t>
  </si>
  <si>
    <t xml:space="preserve">           E849</t>
  </si>
  <si>
    <t xml:space="preserve">          E1075</t>
  </si>
  <si>
    <t xml:space="preserve">            E28</t>
  </si>
  <si>
    <t xml:space="preserve">            E49</t>
  </si>
  <si>
    <t xml:space="preserve">           E116</t>
  </si>
  <si>
    <t xml:space="preserve">           E118</t>
  </si>
  <si>
    <t xml:space="preserve">           E119</t>
  </si>
  <si>
    <t xml:space="preserve">           E127</t>
  </si>
  <si>
    <t xml:space="preserve">           E128</t>
  </si>
  <si>
    <t xml:space="preserve">           E129</t>
  </si>
  <si>
    <t xml:space="preserve">           E130</t>
  </si>
  <si>
    <t xml:space="preserve">           E152</t>
  </si>
  <si>
    <t xml:space="preserve">           E166</t>
  </si>
  <si>
    <t xml:space="preserve">           E205</t>
  </si>
  <si>
    <t xml:space="preserve">           E244</t>
  </si>
  <si>
    <t xml:space="preserve">           E245</t>
  </si>
  <si>
    <t xml:space="preserve">           E246</t>
  </si>
  <si>
    <t xml:space="preserve">           E247</t>
  </si>
  <si>
    <t xml:space="preserve">           E256</t>
  </si>
  <si>
    <t>BFT COPYPRINT DI GIOVANNI  TETA</t>
  </si>
  <si>
    <t xml:space="preserve">           E309</t>
  </si>
  <si>
    <t>ZIMMER S.R.L.</t>
  </si>
  <si>
    <t>FARESE  GIUSEPPE ANTONIO</t>
  </si>
  <si>
    <t xml:space="preserve">           E140</t>
  </si>
  <si>
    <t xml:space="preserve">           E141</t>
  </si>
  <si>
    <t xml:space="preserve">           E142</t>
  </si>
  <si>
    <t xml:space="preserve">           E143</t>
  </si>
  <si>
    <t>QIAGEN S.R.L.</t>
  </si>
  <si>
    <t>CELGENE S.R.L.</t>
  </si>
  <si>
    <t>NACATUR INTERNATIONAL IMPORT EXPORT S.R.L.</t>
  </si>
  <si>
    <t>COMITEC S.R.L.</t>
  </si>
  <si>
    <t>IMED S.R.L.</t>
  </si>
  <si>
    <t>INTER FARMACI ITALIA S.R.L.</t>
  </si>
  <si>
    <t xml:space="preserve">          E5130</t>
  </si>
  <si>
    <t xml:space="preserve">            E58</t>
  </si>
  <si>
    <t>VYGON ITALIA S.R.L. - GRUPPO VYGON</t>
  </si>
  <si>
    <t>GUERRI MARIO SAS</t>
  </si>
  <si>
    <t xml:space="preserve">       2015/123</t>
  </si>
  <si>
    <t>DI LORENZO  MICHELE</t>
  </si>
  <si>
    <t xml:space="preserve">    FATTPA 1_15</t>
  </si>
  <si>
    <t xml:space="preserve">    FATTPA 2_15</t>
  </si>
  <si>
    <t>REALTA' SANNITA</t>
  </si>
  <si>
    <t>MEDTRONIC ITALIA S.P.A.</t>
  </si>
  <si>
    <t>NOVO NORDISK S.P.A.</t>
  </si>
  <si>
    <t>BIO MERIEUX ITALIA S.P.A.</t>
  </si>
  <si>
    <t>TECH. CON. S.R.L.</t>
  </si>
  <si>
    <t>UNICREDIT S.P.A.</t>
  </si>
  <si>
    <t>ELETTRONICA BIO MEDICALE S.R.L.</t>
  </si>
  <si>
    <t>FACCHIANO RICAMBI STORE DI FACCHIANO  MARIA</t>
  </si>
  <si>
    <t xml:space="preserve">          E1518</t>
  </si>
  <si>
    <t>SISTEMI IPERBARICI S.R.L. - GRUPPO SAPIO</t>
  </si>
  <si>
    <t>LABOINDUSTRIA  S.P.A.</t>
  </si>
  <si>
    <t>DRAEGER MEDICAL  ITALIA S.P.A.</t>
  </si>
  <si>
    <t>ESAOTE S.P.A.</t>
  </si>
  <si>
    <t>M.END.EL. S.R.L.</t>
  </si>
  <si>
    <t>OLYMPUS ITALIA S.R.L.</t>
  </si>
  <si>
    <t>LINET ITALIA S.R.L.</t>
  </si>
  <si>
    <t>NEO -SURGICAL S.R.L.DEL DOTT. BIAGIO MEROLA &amp; C.</t>
  </si>
  <si>
    <t>FELIAN S.P.A.</t>
  </si>
  <si>
    <t xml:space="preserve">      V1/005151</t>
  </si>
  <si>
    <t xml:space="preserve">      V1/016107</t>
  </si>
  <si>
    <t xml:space="preserve">      V2/507666</t>
  </si>
  <si>
    <t>ASE S.P.A.</t>
  </si>
  <si>
    <t>CISA S.P.A.</t>
  </si>
  <si>
    <t>CIDICHEM S.R.L.</t>
  </si>
  <si>
    <t>COLOPLAST S.P.A.</t>
  </si>
  <si>
    <t>MEDI.COM.S.R.L.</t>
  </si>
  <si>
    <t>ALFAMED S.R.L.</t>
  </si>
  <si>
    <t>CULLIGAN SERVICE NAPOLI DI M. BOCCHETTI &amp; C.S.A.S.</t>
  </si>
  <si>
    <t>IN.FORMA.TI. KA. S.R.L.</t>
  </si>
  <si>
    <t>DE NIGRO GAETANO FERRAMENTA</t>
  </si>
  <si>
    <t xml:space="preserve">            E74</t>
  </si>
  <si>
    <t xml:space="preserve">           E149</t>
  </si>
  <si>
    <t xml:space="preserve">           E156</t>
  </si>
  <si>
    <t xml:space="preserve">           E157</t>
  </si>
  <si>
    <t xml:space="preserve">           E158</t>
  </si>
  <si>
    <t xml:space="preserve">           E159</t>
  </si>
  <si>
    <t xml:space="preserve">           E160</t>
  </si>
  <si>
    <t xml:space="preserve">           E169</t>
  </si>
  <si>
    <t xml:space="preserve">           E170</t>
  </si>
  <si>
    <t xml:space="preserve">           E171</t>
  </si>
  <si>
    <t xml:space="preserve">           E177</t>
  </si>
  <si>
    <t xml:space="preserve">           E178</t>
  </si>
  <si>
    <t xml:space="preserve">           E179</t>
  </si>
  <si>
    <t xml:space="preserve">           E180</t>
  </si>
  <si>
    <t xml:space="preserve">           E184</t>
  </si>
  <si>
    <t xml:space="preserve">           E185</t>
  </si>
  <si>
    <t xml:space="preserve">           E186</t>
  </si>
  <si>
    <t xml:space="preserve">           E195</t>
  </si>
  <si>
    <t xml:space="preserve">           E196</t>
  </si>
  <si>
    <t xml:space="preserve">           E197</t>
  </si>
  <si>
    <t xml:space="preserve">           E206</t>
  </si>
  <si>
    <t xml:space="preserve">           E207</t>
  </si>
  <si>
    <t xml:space="preserve">           E208</t>
  </si>
  <si>
    <t xml:space="preserve">           E213</t>
  </si>
  <si>
    <t xml:space="preserve">           E214</t>
  </si>
  <si>
    <t xml:space="preserve">           E215</t>
  </si>
  <si>
    <t xml:space="preserve">           E216</t>
  </si>
  <si>
    <t xml:space="preserve">           E217</t>
  </si>
  <si>
    <t xml:space="preserve">           E222</t>
  </si>
  <si>
    <t xml:space="preserve">           E223</t>
  </si>
  <si>
    <t xml:space="preserve">           E224</t>
  </si>
  <si>
    <t xml:space="preserve">           E225</t>
  </si>
  <si>
    <t xml:space="preserve">           E231</t>
  </si>
  <si>
    <t xml:space="preserve">           E232</t>
  </si>
  <si>
    <t xml:space="preserve">           E233</t>
  </si>
  <si>
    <t xml:space="preserve">           E234</t>
  </si>
  <si>
    <t xml:space="preserve">           E237</t>
  </si>
  <si>
    <t xml:space="preserve">           E238</t>
  </si>
  <si>
    <t xml:space="preserve">           E239</t>
  </si>
  <si>
    <t xml:space="preserve">           E240</t>
  </si>
  <si>
    <t xml:space="preserve">           E241</t>
  </si>
  <si>
    <t xml:space="preserve">           E242</t>
  </si>
  <si>
    <t xml:space="preserve">           E243</t>
  </si>
  <si>
    <t xml:space="preserve">           E248</t>
  </si>
  <si>
    <t xml:space="preserve">           E249</t>
  </si>
  <si>
    <t xml:space="preserve">           E250</t>
  </si>
  <si>
    <t xml:space="preserve">           E251</t>
  </si>
  <si>
    <t xml:space="preserve">           E252</t>
  </si>
  <si>
    <t xml:space="preserve">           E253</t>
  </si>
  <si>
    <t xml:space="preserve">           E255</t>
  </si>
  <si>
    <t xml:space="preserve">            E23</t>
  </si>
  <si>
    <t xml:space="preserve">            E24</t>
  </si>
  <si>
    <t xml:space="preserve">            E25</t>
  </si>
  <si>
    <t xml:space="preserve">            E26</t>
  </si>
  <si>
    <t xml:space="preserve">            E29</t>
  </si>
  <si>
    <t xml:space="preserve">            E30</t>
  </si>
  <si>
    <t xml:space="preserve">            E52</t>
  </si>
  <si>
    <t xml:space="preserve">            E53</t>
  </si>
  <si>
    <t xml:space="preserve">            E54</t>
  </si>
  <si>
    <t xml:space="preserve">            E56</t>
  </si>
  <si>
    <t xml:space="preserve">            E57</t>
  </si>
  <si>
    <t xml:space="preserve">            E59</t>
  </si>
  <si>
    <t xml:space="preserve">            E60</t>
  </si>
  <si>
    <t xml:space="preserve">            E61</t>
  </si>
  <si>
    <t xml:space="preserve">            E62</t>
  </si>
  <si>
    <t xml:space="preserve">            E64</t>
  </si>
  <si>
    <t xml:space="preserve">            E65</t>
  </si>
  <si>
    <t xml:space="preserve">            E66</t>
  </si>
  <si>
    <t xml:space="preserve">            E67</t>
  </si>
  <si>
    <t xml:space="preserve">            E68</t>
  </si>
  <si>
    <t xml:space="preserve">    000007-2015</t>
  </si>
  <si>
    <t xml:space="preserve">    000008-2015</t>
  </si>
  <si>
    <t xml:space="preserve">    000009-2015</t>
  </si>
  <si>
    <t xml:space="preserve">    000010-2015</t>
  </si>
  <si>
    <t xml:space="preserve">    000011-2015</t>
  </si>
  <si>
    <t xml:space="preserve">    000012-2015</t>
  </si>
  <si>
    <t xml:space="preserve">    000014-2015</t>
  </si>
  <si>
    <t xml:space="preserve">    000015-2015</t>
  </si>
  <si>
    <t xml:space="preserve">    000016-2015</t>
  </si>
  <si>
    <t xml:space="preserve">    000017-2015</t>
  </si>
  <si>
    <t xml:space="preserve">    000018-2015</t>
  </si>
  <si>
    <t xml:space="preserve">    000019-2015</t>
  </si>
  <si>
    <t xml:space="preserve">    000020-2015</t>
  </si>
  <si>
    <t xml:space="preserve">    000021-2015</t>
  </si>
  <si>
    <t xml:space="preserve">    000022-2015</t>
  </si>
  <si>
    <t xml:space="preserve">    000023-2015</t>
  </si>
  <si>
    <t xml:space="preserve">    000024-2015</t>
  </si>
  <si>
    <t xml:space="preserve">    000025-2015</t>
  </si>
  <si>
    <t xml:space="preserve">    000026-2015</t>
  </si>
  <si>
    <t xml:space="preserve">    000027-2015</t>
  </si>
  <si>
    <t xml:space="preserve">    000028-2015</t>
  </si>
  <si>
    <t xml:space="preserve">    000029-2015</t>
  </si>
  <si>
    <t xml:space="preserve">    000030-2015</t>
  </si>
  <si>
    <t xml:space="preserve">    000031-2015</t>
  </si>
  <si>
    <t xml:space="preserve">    000032-2015</t>
  </si>
  <si>
    <t xml:space="preserve">    000033-2015</t>
  </si>
  <si>
    <t xml:space="preserve">    000034-2015</t>
  </si>
  <si>
    <t xml:space="preserve">    000035-2015</t>
  </si>
  <si>
    <t xml:space="preserve">    000036-2015</t>
  </si>
  <si>
    <t xml:space="preserve">    000037-2015</t>
  </si>
  <si>
    <t xml:space="preserve">    000041-2015</t>
  </si>
  <si>
    <t xml:space="preserve">    000042-2015</t>
  </si>
  <si>
    <t xml:space="preserve">    000043-2015</t>
  </si>
  <si>
    <t xml:space="preserve">    000044-2015</t>
  </si>
  <si>
    <t xml:space="preserve">    000045-2015</t>
  </si>
  <si>
    <t xml:space="preserve">    000047-2015</t>
  </si>
  <si>
    <t xml:space="preserve">    000048-2015</t>
  </si>
  <si>
    <t xml:space="preserve">    000049-2015</t>
  </si>
  <si>
    <t xml:space="preserve">    000050-2015</t>
  </si>
  <si>
    <t xml:space="preserve">    000051-2015</t>
  </si>
  <si>
    <t xml:space="preserve">    000052-2015</t>
  </si>
  <si>
    <t xml:space="preserve">    000053-2015</t>
  </si>
  <si>
    <t xml:space="preserve">    000054-2015</t>
  </si>
  <si>
    <t xml:space="preserve">    000055-2015</t>
  </si>
  <si>
    <t xml:space="preserve">    000056-2015</t>
  </si>
  <si>
    <t xml:space="preserve">    000057-2015</t>
  </si>
  <si>
    <t xml:space="preserve">    000058-2015</t>
  </si>
  <si>
    <t xml:space="preserve">    000059-2015</t>
  </si>
  <si>
    <t xml:space="preserve">    000060-2015</t>
  </si>
  <si>
    <t xml:space="preserve">    000061-2015</t>
  </si>
  <si>
    <t xml:space="preserve">    000062-2015</t>
  </si>
  <si>
    <t xml:space="preserve">    000063-2015</t>
  </si>
  <si>
    <t xml:space="preserve">    000064-2015</t>
  </si>
  <si>
    <t xml:space="preserve">    000065-2015</t>
  </si>
  <si>
    <t xml:space="preserve">    000066-2015</t>
  </si>
  <si>
    <t xml:space="preserve">    000067-2015</t>
  </si>
  <si>
    <t xml:space="preserve">    000068-2015</t>
  </si>
  <si>
    <t xml:space="preserve">    000069-2015</t>
  </si>
  <si>
    <t xml:space="preserve">    000070-2015</t>
  </si>
  <si>
    <t xml:space="preserve">    000071-2015</t>
  </si>
  <si>
    <t xml:space="preserve">    000072-2015</t>
  </si>
  <si>
    <t xml:space="preserve">    000073-2015</t>
  </si>
  <si>
    <t xml:space="preserve">    000074-2015</t>
  </si>
  <si>
    <t xml:space="preserve">    000075-2015</t>
  </si>
  <si>
    <t xml:space="preserve">    000076-2015</t>
  </si>
  <si>
    <t xml:space="preserve">    000077-2015</t>
  </si>
  <si>
    <t xml:space="preserve">    000078-2015</t>
  </si>
  <si>
    <t xml:space="preserve">    000079-2015</t>
  </si>
  <si>
    <t xml:space="preserve">    000080-2015</t>
  </si>
  <si>
    <t>EUROCLONE S.P.A.</t>
  </si>
  <si>
    <t>CONVERGE S.P.A.</t>
  </si>
  <si>
    <t>PERKIN ELMER ITALIA S.P.A.</t>
  </si>
  <si>
    <t>GEMEAZ ELIOR S.P.A. ( EX GEMEAZ CUSIN S.P.A )</t>
  </si>
  <si>
    <t>FUTURA HOSPITAL SAS DI CARANDENTE  CIRO</t>
  </si>
  <si>
    <t>ASSOCIATION ROBERT DEBRE POUR LA RECHERCHE</t>
  </si>
  <si>
    <t>X - GAMMAGUARD DI LAURA PINI</t>
  </si>
  <si>
    <t>RESNOVA S.R.L.</t>
  </si>
  <si>
    <t xml:space="preserve">      000972/15</t>
  </si>
  <si>
    <t>DE NICOLA NAZZARENO</t>
  </si>
  <si>
    <t>FERINIS ITALIA SRL</t>
  </si>
  <si>
    <t>ERBE ITALIA S.R.L.</t>
  </si>
  <si>
    <t>TELECOM ITALIA DIGITAL SOLUTIONS SPA (EXPATH.NET)</t>
  </si>
  <si>
    <t>SELC MEDICAL TECHNOLOGY SRL</t>
  </si>
  <si>
    <t xml:space="preserve">       17E-2015</t>
  </si>
  <si>
    <t xml:space="preserve">       19E-2015</t>
  </si>
  <si>
    <t xml:space="preserve">       23E-2015</t>
  </si>
  <si>
    <t xml:space="preserve">       27E-2015</t>
  </si>
  <si>
    <t xml:space="preserve">      1E - 2015</t>
  </si>
  <si>
    <t>VIIV HEALTHCARE S.R.L.</t>
  </si>
  <si>
    <t>C2 S.R.L.</t>
  </si>
  <si>
    <t>FRATELLI CARDILLO S.R.L.</t>
  </si>
  <si>
    <t xml:space="preserve">            E94</t>
  </si>
  <si>
    <t>MERIDIAN  BIOSCIENCE EUROPE S.R.L.</t>
  </si>
  <si>
    <t xml:space="preserve">          269/T</t>
  </si>
  <si>
    <t xml:space="preserve">         1681/T</t>
  </si>
  <si>
    <t xml:space="preserve">         2346/T</t>
  </si>
  <si>
    <t>LOGIC S.R.L.</t>
  </si>
  <si>
    <t>DELTA BIOLOGICALS S.R.L.</t>
  </si>
  <si>
    <t>D'AURIA DANILO AGENTE GENERALE UNIPOL ASSICURAZ.</t>
  </si>
  <si>
    <t>NIKON INSTRUMENTS S.P.A.</t>
  </si>
  <si>
    <t>MEC. SAN. SERVICE SNC  ELETTROMEC. SANITARIA</t>
  </si>
  <si>
    <t>COSMOPOL S.R.L.</t>
  </si>
  <si>
    <t xml:space="preserve">           W106</t>
  </si>
  <si>
    <t xml:space="preserve">           W107</t>
  </si>
  <si>
    <t xml:space="preserve">           W135</t>
  </si>
  <si>
    <t xml:space="preserve">           W136</t>
  </si>
  <si>
    <t xml:space="preserve">           W259</t>
  </si>
  <si>
    <t xml:space="preserve">           W260</t>
  </si>
  <si>
    <t xml:space="preserve">           W338</t>
  </si>
  <si>
    <t xml:space="preserve">           W421</t>
  </si>
  <si>
    <t xml:space="preserve">           W479</t>
  </si>
  <si>
    <t xml:space="preserve">           W562</t>
  </si>
  <si>
    <t>SALERTOUR S.N.C. DI G.B. PASQUILE &amp; C.</t>
  </si>
  <si>
    <t>B@NCA 24-7 S.P.A.</t>
  </si>
  <si>
    <t>GADA ITALIA S.R.L. (EX GAMMA INTERNATIONAL)</t>
  </si>
  <si>
    <t>FERRAMENTA DI MATURO GIOVANNI</t>
  </si>
  <si>
    <t xml:space="preserve">    FATTPA 4_15</t>
  </si>
  <si>
    <t xml:space="preserve">    FATTPA 5_15</t>
  </si>
  <si>
    <t>CLINO HOSPITAL S.R.L.</t>
  </si>
  <si>
    <t>NOVA INFORMATION TECHNOLOGY Scrl</t>
  </si>
  <si>
    <t xml:space="preserve">           E854</t>
  </si>
  <si>
    <t xml:space="preserve">           E864</t>
  </si>
  <si>
    <t xml:space="preserve">           E881</t>
  </si>
  <si>
    <t xml:space="preserve">           E886</t>
  </si>
  <si>
    <t xml:space="preserve">           E898</t>
  </si>
  <si>
    <t xml:space="preserve">           E951</t>
  </si>
  <si>
    <t xml:space="preserve">          E1049</t>
  </si>
  <si>
    <t xml:space="preserve">          E1062</t>
  </si>
  <si>
    <t xml:space="preserve">          E1070</t>
  </si>
  <si>
    <t xml:space="preserve">          E1098</t>
  </si>
  <si>
    <t xml:space="preserve">          E1128</t>
  </si>
  <si>
    <t xml:space="preserve">          E1135</t>
  </si>
  <si>
    <t xml:space="preserve">          E1164</t>
  </si>
  <si>
    <t xml:space="preserve">          E1165</t>
  </si>
  <si>
    <t xml:space="preserve">          E1185</t>
  </si>
  <si>
    <t xml:space="preserve">          e1160</t>
  </si>
  <si>
    <t xml:space="preserve">           E126</t>
  </si>
  <si>
    <t xml:space="preserve">           E138</t>
  </si>
  <si>
    <t xml:space="preserve">           E139</t>
  </si>
  <si>
    <t xml:space="preserve">           E153</t>
  </si>
  <si>
    <t xml:space="preserve">           E203</t>
  </si>
  <si>
    <t xml:space="preserve">           E272</t>
  </si>
  <si>
    <t xml:space="preserve">         102/PA</t>
  </si>
  <si>
    <t xml:space="preserve">         103/PA</t>
  </si>
  <si>
    <t xml:space="preserve">         104/PA</t>
  </si>
  <si>
    <t xml:space="preserve">         105/PA</t>
  </si>
  <si>
    <t xml:space="preserve">         120/PA</t>
  </si>
  <si>
    <t xml:space="preserve">         146/PA</t>
  </si>
  <si>
    <t xml:space="preserve">         158/PA</t>
  </si>
  <si>
    <t xml:space="preserve">         159/PA</t>
  </si>
  <si>
    <t xml:space="preserve">         178/PA</t>
  </si>
  <si>
    <t xml:space="preserve">         199/PA</t>
  </si>
  <si>
    <t xml:space="preserve">         200/PA</t>
  </si>
  <si>
    <t xml:space="preserve">         201/PA</t>
  </si>
  <si>
    <t xml:space="preserve">         206/PA</t>
  </si>
  <si>
    <t xml:space="preserve">         209/PA</t>
  </si>
  <si>
    <t xml:space="preserve">         223/PA</t>
  </si>
  <si>
    <t xml:space="preserve">         240/PA</t>
  </si>
  <si>
    <t xml:space="preserve">         242/PA</t>
  </si>
  <si>
    <t xml:space="preserve">         245/PA</t>
  </si>
  <si>
    <t xml:space="preserve">         252/PA</t>
  </si>
  <si>
    <t xml:space="preserve">         263/PA</t>
  </si>
  <si>
    <t xml:space="preserve">         288/PA</t>
  </si>
  <si>
    <t xml:space="preserve">         300/PA</t>
  </si>
  <si>
    <t xml:space="preserve">         301/PA</t>
  </si>
  <si>
    <t>AIR LIQUIDE MEDICAL SYSTEMS S.PA.</t>
  </si>
  <si>
    <t xml:space="preserve">         881 /P</t>
  </si>
  <si>
    <t xml:space="preserve">         988 /P</t>
  </si>
  <si>
    <t xml:space="preserve">        1148 /P</t>
  </si>
  <si>
    <t xml:space="preserve">        1511 /P</t>
  </si>
  <si>
    <t xml:space="preserve">        1513 /P</t>
  </si>
  <si>
    <t xml:space="preserve">        1715 /P</t>
  </si>
  <si>
    <t xml:space="preserve">        2393 /P</t>
  </si>
  <si>
    <t xml:space="preserve">        2666 /P</t>
  </si>
  <si>
    <t>GAMBRO HOSPAL S.R.L.(INCORPORATA IN BAXTER)</t>
  </si>
  <si>
    <t>COMECER S.P.A.</t>
  </si>
  <si>
    <t xml:space="preserve">          54S15</t>
  </si>
  <si>
    <t>SANNIO APPALTI SOC. CONS. A.R.L.</t>
  </si>
  <si>
    <t>ICA SUD S.R.L.</t>
  </si>
  <si>
    <t>PANTEC S.R.L.</t>
  </si>
  <si>
    <t>MCS S.R.L.</t>
  </si>
  <si>
    <t>TEMA RICERCA S.R.L.</t>
  </si>
  <si>
    <t>KCI MEDICAL S.R.L.</t>
  </si>
  <si>
    <t>L'ARTE DEL TRASLOCO S.R.L.</t>
  </si>
  <si>
    <t xml:space="preserve">          6 BIS</t>
  </si>
  <si>
    <t>BEAVER-VISITEC INTERNATIONAL SALES LTD (FILIT)</t>
  </si>
  <si>
    <t>MEDA PHARMA S.P.A..</t>
  </si>
  <si>
    <t xml:space="preserve">     SO15004969</t>
  </si>
  <si>
    <t>XEROX ITALIA RENTAL SERVICES</t>
  </si>
  <si>
    <t>ID SOLUTIONS SRL</t>
  </si>
  <si>
    <t>F.A.D. S.R.L.</t>
  </si>
  <si>
    <t xml:space="preserve">           3/12</t>
  </si>
  <si>
    <t xml:space="preserve">           3/15</t>
  </si>
  <si>
    <t xml:space="preserve">           3/50</t>
  </si>
  <si>
    <t>FERMED S.R.L.</t>
  </si>
  <si>
    <t>AUGUSTO MOBILI S.R.L.</t>
  </si>
  <si>
    <t>ARUBA S.P.A.</t>
  </si>
  <si>
    <t xml:space="preserve">  2015PM0000766</t>
  </si>
  <si>
    <t xml:space="preserve">  2015PM0000895</t>
  </si>
  <si>
    <t>NON SOLO CARTA DI ORLACCHIO ANNUNZIATA</t>
  </si>
  <si>
    <t xml:space="preserve">          E1527</t>
  </si>
  <si>
    <t xml:space="preserve">          E1577</t>
  </si>
  <si>
    <t xml:space="preserve">          E1816</t>
  </si>
  <si>
    <t>KORA SISTEMI INFORMATICI S.R.L.</t>
  </si>
  <si>
    <t>EUROCOLUMBUS S.R.L.</t>
  </si>
  <si>
    <t>LA TELEFONICA S.R.L.</t>
  </si>
  <si>
    <t>VIVAI BARRETTA S.R.L.</t>
  </si>
  <si>
    <t>MEDIGAS ITALIA S.R.L.</t>
  </si>
  <si>
    <t>NEWS PRESS S.A.S. DI VARRELLA GAETANO</t>
  </si>
  <si>
    <t xml:space="preserve">            E81</t>
  </si>
  <si>
    <t xml:space="preserve">            E87</t>
  </si>
  <si>
    <t xml:space="preserve">            e95</t>
  </si>
  <si>
    <t xml:space="preserve">           E103</t>
  </si>
  <si>
    <t>IMPRESA FUCCI EDIL RESTAURI S.R.L.</t>
  </si>
  <si>
    <t>PLASTI FOR MOBIL</t>
  </si>
  <si>
    <t>CARTOLIBRERIA SMILE di ZOTTI ERASMO</t>
  </si>
  <si>
    <t xml:space="preserve">           E334</t>
  </si>
  <si>
    <t xml:space="preserve">           E381</t>
  </si>
  <si>
    <t xml:space="preserve">           E416</t>
  </si>
  <si>
    <t xml:space="preserve">           E453</t>
  </si>
  <si>
    <t xml:space="preserve">            E27</t>
  </si>
  <si>
    <t xml:space="preserve">            E46</t>
  </si>
  <si>
    <t>B.R.S.CAPPUCCIO S.R.L.</t>
  </si>
  <si>
    <t>MEDIKRON S.R.L.</t>
  </si>
  <si>
    <t>AKERN S.R.L.</t>
  </si>
  <si>
    <t>ALEX OFFICE &amp; BUSINESS DI CARMINE AVERSANO</t>
  </si>
  <si>
    <t xml:space="preserve">           E943</t>
  </si>
  <si>
    <t>IDS PRODOTTI CHIMICI S.A.S.</t>
  </si>
  <si>
    <t>DEOFFICE S.R.L.</t>
  </si>
  <si>
    <t>F.E.R.T. SAS</t>
  </si>
  <si>
    <t>AGFA GEVAERT S.P.A.</t>
  </si>
  <si>
    <t>B.M. S.R.L.- BENEVENTO (EUROSPIN )</t>
  </si>
  <si>
    <t xml:space="preserve">          E1211</t>
  </si>
  <si>
    <t xml:space="preserve">          E1359</t>
  </si>
  <si>
    <t>G.V.T. MEDICAL S.R.L.</t>
  </si>
  <si>
    <t>PIETRA DI FONTANAROSA SRL</t>
  </si>
  <si>
    <t>SHARP ELECTRONICS ITALIA S.P.A.</t>
  </si>
  <si>
    <t>SCOLARO INFISSI S.R.L.</t>
  </si>
  <si>
    <t>RICCIARDI &amp; C. SRL UNIPERSONALE</t>
  </si>
  <si>
    <t xml:space="preserve">           E228</t>
  </si>
  <si>
    <t xml:space="preserve">           E267</t>
  </si>
  <si>
    <t xml:space="preserve">           E274</t>
  </si>
  <si>
    <t xml:space="preserve">           E277</t>
  </si>
  <si>
    <t xml:space="preserve">           E280</t>
  </si>
  <si>
    <t xml:space="preserve">           E285</t>
  </si>
  <si>
    <t xml:space="preserve">    000001/2015</t>
  </si>
  <si>
    <t xml:space="preserve">    000002/2015</t>
  </si>
  <si>
    <t xml:space="preserve">    000003/2015</t>
  </si>
  <si>
    <t xml:space="preserve">    000004/2015</t>
  </si>
  <si>
    <t xml:space="preserve">    000005/2015</t>
  </si>
  <si>
    <t>DITTA GIULIO RAIMO S.R.L.</t>
  </si>
  <si>
    <t>F.LLI APPIGNANI S.A.S.</t>
  </si>
  <si>
    <t>B-SIDE COMMUNICATION S.R.L.</t>
  </si>
  <si>
    <t>TONER ITALIA S.R.L.</t>
  </si>
  <si>
    <t xml:space="preserve">         145/07</t>
  </si>
  <si>
    <t xml:space="preserve">         236/07</t>
  </si>
  <si>
    <t>BIOMED DEVICE S.R.L.</t>
  </si>
  <si>
    <t>MEDICAL SYSTEMS S.P.A.</t>
  </si>
  <si>
    <t>ENGINEERING INGEGNERIA INFORMATICA S.P.A.</t>
  </si>
  <si>
    <t>INES S.R.L.</t>
  </si>
  <si>
    <t>RADIOPROTEX S.R.L.</t>
  </si>
  <si>
    <t>MOSCARINO S.A.S.</t>
  </si>
  <si>
    <t>BIOTECNICA S.R.L.</t>
  </si>
  <si>
    <t xml:space="preserve">           5/04</t>
  </si>
  <si>
    <t>SO.E.M. MEDICAL S.R.L.</t>
  </si>
  <si>
    <t>G.&amp;G. SRL</t>
  </si>
  <si>
    <t>DELL' ANNO S.R.L.</t>
  </si>
  <si>
    <t xml:space="preserve"> 000001-2015-PA</t>
  </si>
  <si>
    <t>SABAI S.R.L.</t>
  </si>
  <si>
    <t>NICHE S.R.L.</t>
  </si>
  <si>
    <t>LINDE MEDICALE S.R.L.</t>
  </si>
  <si>
    <t>TECNOSP S.R.L.</t>
  </si>
  <si>
    <t>VITALIA S.R.L.</t>
  </si>
  <si>
    <t>HETTICH ITALIA S.R.L.</t>
  </si>
  <si>
    <t xml:space="preserve">           E448</t>
  </si>
  <si>
    <t>FARP ELETTRONICA S.R.L.</t>
  </si>
  <si>
    <t>EXPERTMED S.R.L.</t>
  </si>
  <si>
    <t xml:space="preserve">         179/PA</t>
  </si>
  <si>
    <t>NOVAMED S.R.L.</t>
  </si>
  <si>
    <t>MEDISER S.R.L.</t>
  </si>
  <si>
    <t>CENICCOLA CERAMICHE SNC</t>
  </si>
  <si>
    <t>FACCHIANO RICAMBI STORE DI CEFALO BIAGIO</t>
  </si>
  <si>
    <t xml:space="preserve">          E1545</t>
  </si>
  <si>
    <t>MEDI-CARE SOLUTIONS S.R.L.</t>
  </si>
  <si>
    <t xml:space="preserve">        3/00005</t>
  </si>
  <si>
    <t>NUTRICIA  ITALIA S.P.A.</t>
  </si>
  <si>
    <t>NOEMALIFE S.P.A.(EX ITALNOEMA)</t>
  </si>
  <si>
    <t>MALVESTIO S.P.A.</t>
  </si>
  <si>
    <t>MEDINOVA STRUMENTI ELETTROMED. S.R.L.</t>
  </si>
  <si>
    <t>AUTOSTRADE PER L' ITALIA S.P.A.</t>
  </si>
  <si>
    <t xml:space="preserve">     900001223D</t>
  </si>
  <si>
    <t xml:space="preserve">     900003521D</t>
  </si>
  <si>
    <t xml:space="preserve">     900005638D</t>
  </si>
  <si>
    <t xml:space="preserve">     900007838D</t>
  </si>
  <si>
    <t xml:space="preserve">     900009878D</t>
  </si>
  <si>
    <t xml:space="preserve">     900012195D</t>
  </si>
  <si>
    <t xml:space="preserve">     900014623D</t>
  </si>
  <si>
    <t>ITALSCIENTIFICA S.P.A.-INCORPORATA ITALTRADE S.R.L</t>
  </si>
  <si>
    <t>CODISAN S.P.A.</t>
  </si>
  <si>
    <t>DASIT S.P.A.</t>
  </si>
  <si>
    <t xml:space="preserve">      E13022368</t>
  </si>
  <si>
    <t xml:space="preserve">       E4027478</t>
  </si>
  <si>
    <t xml:space="preserve">       E4030158</t>
  </si>
  <si>
    <t>NEXTIRAONE ITALIA S.R.L.</t>
  </si>
  <si>
    <t>GE.SE.SA.S.P.A.</t>
  </si>
  <si>
    <t>GILEAD SCIENCES SRL</t>
  </si>
  <si>
    <t>HOLLISTER S.P.A</t>
  </si>
  <si>
    <t>DATI ASCENSORI S.r.l.</t>
  </si>
  <si>
    <t xml:space="preserve">             9E</t>
  </si>
  <si>
    <t xml:space="preserve">            11E</t>
  </si>
  <si>
    <t xml:space="preserve">            12E</t>
  </si>
  <si>
    <t xml:space="preserve">            14E</t>
  </si>
  <si>
    <t xml:space="preserve">            15E</t>
  </si>
  <si>
    <t xml:space="preserve">            16E</t>
  </si>
  <si>
    <t>ASTRA ZENECA S.P.A.</t>
  </si>
  <si>
    <t>A.G.A. BIOMEDICA S.R.L.</t>
  </si>
  <si>
    <t xml:space="preserve">           12/P</t>
  </si>
  <si>
    <t xml:space="preserve">           13/P</t>
  </si>
  <si>
    <t xml:space="preserve">           29/P</t>
  </si>
  <si>
    <t xml:space="preserve">           30/P</t>
  </si>
  <si>
    <t xml:space="preserve">           31/P</t>
  </si>
  <si>
    <t xml:space="preserve">           72/E</t>
  </si>
  <si>
    <t>3 M.C. S.P.A.</t>
  </si>
  <si>
    <t xml:space="preserve">  2015 FE-10187</t>
  </si>
  <si>
    <t xml:space="preserve">  2015 FE-10188</t>
  </si>
  <si>
    <t>ENI S.P.A. DIVISIONE GAS ( NAPOLETANAGAS)</t>
  </si>
  <si>
    <t xml:space="preserve">     FK10100212</t>
  </si>
  <si>
    <t xml:space="preserve">     FK11100007</t>
  </si>
  <si>
    <t xml:space="preserve">     FK13100231</t>
  </si>
  <si>
    <t xml:space="preserve">     FK13100237</t>
  </si>
  <si>
    <t xml:space="preserve">     FK13100242</t>
  </si>
  <si>
    <t xml:space="preserve">     D140151645</t>
  </si>
  <si>
    <t xml:space="preserve">     D140151792</t>
  </si>
  <si>
    <t xml:space="preserve">     D140151835</t>
  </si>
  <si>
    <t xml:space="preserve">     D140151836</t>
  </si>
  <si>
    <t xml:space="preserve">     D140218973</t>
  </si>
  <si>
    <t xml:space="preserve">     D140218974</t>
  </si>
  <si>
    <t xml:space="preserve">     D140262935</t>
  </si>
  <si>
    <t xml:space="preserve">     D140262936</t>
  </si>
  <si>
    <t xml:space="preserve">     D140337882</t>
  </si>
  <si>
    <t xml:space="preserve">     D140337943</t>
  </si>
  <si>
    <t xml:space="preserve">     D140337982</t>
  </si>
  <si>
    <t xml:space="preserve">     D140337983</t>
  </si>
  <si>
    <t xml:space="preserve">     D140337984</t>
  </si>
  <si>
    <t xml:space="preserve">     FK14100008</t>
  </si>
  <si>
    <t>SCOGNAMIGLIO S.R.L.</t>
  </si>
  <si>
    <t>FATER S.P.A.</t>
  </si>
  <si>
    <t>AZ HOSPITAL S.R.L.</t>
  </si>
  <si>
    <t>RIMAFLEX DI MATURO GIOVANNI</t>
  </si>
  <si>
    <t xml:space="preserve">    FATTPA 6_15</t>
  </si>
  <si>
    <t xml:space="preserve">    FATTPA 7_15</t>
  </si>
  <si>
    <t>BIO OPTICA S.P.A.             STRUMENTI</t>
  </si>
  <si>
    <t>INNOVAMEDICA SPA</t>
  </si>
  <si>
    <t xml:space="preserve">          E8207</t>
  </si>
  <si>
    <t>LAVECO S.R.L.</t>
  </si>
  <si>
    <t>TELECOM ITALIA S.P.A.</t>
  </si>
  <si>
    <t xml:space="preserve">     8A01068978</t>
  </si>
  <si>
    <t xml:space="preserve">     8A01294059</t>
  </si>
  <si>
    <t xml:space="preserve">     8T00859349</t>
  </si>
  <si>
    <t xml:space="preserve">     8T00859385</t>
  </si>
  <si>
    <t xml:space="preserve">     8T00859610</t>
  </si>
  <si>
    <t xml:space="preserve">     8T00860091</t>
  </si>
  <si>
    <t xml:space="preserve">     8T00861529</t>
  </si>
  <si>
    <t xml:space="preserve">     8T00862615</t>
  </si>
  <si>
    <t xml:space="preserve">     8T00862995</t>
  </si>
  <si>
    <t xml:space="preserve">     8T00863938</t>
  </si>
  <si>
    <t xml:space="preserve">     8T00864343</t>
  </si>
  <si>
    <t xml:space="preserve">     8T01042047</t>
  </si>
  <si>
    <t xml:space="preserve">     8T01042840</t>
  </si>
  <si>
    <t xml:space="preserve">     8T01043667</t>
  </si>
  <si>
    <t xml:space="preserve">     8T01043794</t>
  </si>
  <si>
    <t xml:space="preserve">     8T01044084</t>
  </si>
  <si>
    <t xml:space="preserve">     8T01044806</t>
  </si>
  <si>
    <t xml:space="preserve">     8T01045309</t>
  </si>
  <si>
    <t xml:space="preserve">     8T01046174</t>
  </si>
  <si>
    <t xml:space="preserve">     8T01046855</t>
  </si>
  <si>
    <t xml:space="preserve">     8A00115664</t>
  </si>
  <si>
    <t xml:space="preserve">     8A00361376</t>
  </si>
  <si>
    <t xml:space="preserve">     8A00560023</t>
  </si>
  <si>
    <t xml:space="preserve">     8A00786417</t>
  </si>
  <si>
    <t xml:space="preserve">     8A01004427</t>
  </si>
  <si>
    <t xml:space="preserve">     8A01218217</t>
  </si>
  <si>
    <t xml:space="preserve">     8T00090000</t>
  </si>
  <si>
    <t xml:space="preserve">     8T00090221</t>
  </si>
  <si>
    <t xml:space="preserve">     8T00090259</t>
  </si>
  <si>
    <t xml:space="preserve">     8T00090331</t>
  </si>
  <si>
    <t xml:space="preserve">     8T00090363</t>
  </si>
  <si>
    <t xml:space="preserve">     8T00092136</t>
  </si>
  <si>
    <t xml:space="preserve">     8T00092449</t>
  </si>
  <si>
    <t xml:space="preserve">     8T00093144</t>
  </si>
  <si>
    <t xml:space="preserve">     8T00094008</t>
  </si>
  <si>
    <t xml:space="preserve">     8T00284397</t>
  </si>
  <si>
    <t xml:space="preserve">     8T00284891</t>
  </si>
  <si>
    <t xml:space="preserve">     8T00285792</t>
  </si>
  <si>
    <t xml:space="preserve">     8T00286319</t>
  </si>
  <si>
    <t xml:space="preserve">     8T00287433</t>
  </si>
  <si>
    <t xml:space="preserve">     8T00287634</t>
  </si>
  <si>
    <t xml:space="preserve">     8T00288276</t>
  </si>
  <si>
    <t xml:space="preserve">     8T00289748</t>
  </si>
  <si>
    <t xml:space="preserve">     8T00289870</t>
  </si>
  <si>
    <t xml:space="preserve">     8T00446997</t>
  </si>
  <si>
    <t xml:space="preserve">     8T00447050</t>
  </si>
  <si>
    <t xml:space="preserve">     8T00447748</t>
  </si>
  <si>
    <t xml:space="preserve">     8T00448287</t>
  </si>
  <si>
    <t xml:space="preserve">     8T00448437</t>
  </si>
  <si>
    <t xml:space="preserve">     8T00449246</t>
  </si>
  <si>
    <t xml:space="preserve">     8T00449481</t>
  </si>
  <si>
    <t xml:space="preserve">     8T00449647</t>
  </si>
  <si>
    <t xml:space="preserve">     8T00450734</t>
  </si>
  <si>
    <t xml:space="preserve">     8T00629830</t>
  </si>
  <si>
    <t xml:space="preserve">     8T00630261</t>
  </si>
  <si>
    <t xml:space="preserve">     8T00630372</t>
  </si>
  <si>
    <t xml:space="preserve">     8T00631095</t>
  </si>
  <si>
    <t xml:space="preserve">     8T00631425</t>
  </si>
  <si>
    <t xml:space="preserve">     8T00632019</t>
  </si>
  <si>
    <t xml:space="preserve">     8T00632502</t>
  </si>
  <si>
    <t xml:space="preserve">     8T00633286</t>
  </si>
  <si>
    <t xml:space="preserve">     8T00633792</t>
  </si>
  <si>
    <t xml:space="preserve">     8T00804784</t>
  </si>
  <si>
    <t xml:space="preserve">     8T00805134</t>
  </si>
  <si>
    <t xml:space="preserve">     8T00805638</t>
  </si>
  <si>
    <t xml:space="preserve">     8T00807009</t>
  </si>
  <si>
    <t xml:space="preserve">     8T00807024</t>
  </si>
  <si>
    <t xml:space="preserve">     8T00807679</t>
  </si>
  <si>
    <t xml:space="preserve">     8T00807892</t>
  </si>
  <si>
    <t xml:space="preserve">     8T00808035</t>
  </si>
  <si>
    <t xml:space="preserve">     8T00809101</t>
  </si>
  <si>
    <t xml:space="preserve">     8T00972682</t>
  </si>
  <si>
    <t xml:space="preserve">     8T00972795</t>
  </si>
  <si>
    <t xml:space="preserve">     8T00972847</t>
  </si>
  <si>
    <t xml:space="preserve">     8T00973210</t>
  </si>
  <si>
    <t xml:space="preserve">     8T00974202</t>
  </si>
  <si>
    <t xml:space="preserve">     8T00974286</t>
  </si>
  <si>
    <t xml:space="preserve">     8T00974392</t>
  </si>
  <si>
    <t xml:space="preserve">     8T00974467</t>
  </si>
  <si>
    <t xml:space="preserve">     8T00975742</t>
  </si>
  <si>
    <t xml:space="preserve">     8A00108630</t>
  </si>
  <si>
    <t xml:space="preserve">     8A00759806</t>
  </si>
  <si>
    <t xml:space="preserve">     8T00080743</t>
  </si>
  <si>
    <t xml:space="preserve">     8T00081112</t>
  </si>
  <si>
    <t xml:space="preserve">     8T00081546</t>
  </si>
  <si>
    <t xml:space="preserve">     8T00081623</t>
  </si>
  <si>
    <t xml:space="preserve">     8T00083115</t>
  </si>
  <si>
    <t xml:space="preserve">     8T00083588</t>
  </si>
  <si>
    <t xml:space="preserve">     8T00083742</t>
  </si>
  <si>
    <t xml:space="preserve">     8T00084303</t>
  </si>
  <si>
    <t xml:space="preserve">     8T00085116</t>
  </si>
  <si>
    <t xml:space="preserve">     8T00433995</t>
  </si>
  <si>
    <t xml:space="preserve">     8T00436273</t>
  </si>
  <si>
    <t xml:space="preserve">     8T00436389</t>
  </si>
  <si>
    <t xml:space="preserve">     8T00436443</t>
  </si>
  <si>
    <t xml:space="preserve">     8T00593058</t>
  </si>
  <si>
    <t xml:space="preserve">     8T00593160</t>
  </si>
  <si>
    <t xml:space="preserve">     8T00593938</t>
  </si>
  <si>
    <t xml:space="preserve">     8T00594323</t>
  </si>
  <si>
    <t xml:space="preserve">     8T00595695</t>
  </si>
  <si>
    <t xml:space="preserve">     8T00595740</t>
  </si>
  <si>
    <t xml:space="preserve">     8T00595830</t>
  </si>
  <si>
    <t xml:space="preserve">     8T00596149</t>
  </si>
  <si>
    <t xml:space="preserve">     8T00597619</t>
  </si>
  <si>
    <t xml:space="preserve">     8T00749693</t>
  </si>
  <si>
    <t xml:space="preserve">     8T00749736</t>
  </si>
  <si>
    <t xml:space="preserve">     8T00751141</t>
  </si>
  <si>
    <t xml:space="preserve">     8T00751642</t>
  </si>
  <si>
    <t xml:space="preserve">     8T00751676</t>
  </si>
  <si>
    <t xml:space="preserve">     8T00751987</t>
  </si>
  <si>
    <t xml:space="preserve">     8T00752130</t>
  </si>
  <si>
    <t xml:space="preserve">     8T00752410</t>
  </si>
  <si>
    <t xml:space="preserve">     8T00753272</t>
  </si>
  <si>
    <t>B.C.TRADE  S.R.L.</t>
  </si>
  <si>
    <t>NUCLEAR LASER MEDICINE S.R.L.</t>
  </si>
  <si>
    <t xml:space="preserve">      300037/15</t>
  </si>
  <si>
    <t xml:space="preserve">      300061/15</t>
  </si>
  <si>
    <t>JANSSEN-CILAG S.P.A.</t>
  </si>
  <si>
    <t>LABOZETA S.R.L.</t>
  </si>
  <si>
    <t>LP ITALIANA S.P.A.</t>
  </si>
  <si>
    <t>PHARMAGIC S.R.L.</t>
  </si>
  <si>
    <t>CENTRO FORNITURE SANITARIE SRL</t>
  </si>
  <si>
    <t>TIM - TELECOM ITALIA S.P.A.</t>
  </si>
  <si>
    <t xml:space="preserve">     7X01507340</t>
  </si>
  <si>
    <t xml:space="preserve">     7X03079361</t>
  </si>
  <si>
    <t xml:space="preserve">     7X04144167</t>
  </si>
  <si>
    <t xml:space="preserve">     7X05114231</t>
  </si>
  <si>
    <t xml:space="preserve">     7X05195002</t>
  </si>
  <si>
    <t xml:space="preserve">     7X06242474</t>
  </si>
  <si>
    <t xml:space="preserve">     7X00130238</t>
  </si>
  <si>
    <t xml:space="preserve">     7X00296200</t>
  </si>
  <si>
    <t xml:space="preserve">     7X01266460</t>
  </si>
  <si>
    <t xml:space="preserve">     7X01391794</t>
  </si>
  <si>
    <t xml:space="preserve">     7X02297045</t>
  </si>
  <si>
    <t xml:space="preserve">     7X02451947</t>
  </si>
  <si>
    <t xml:space="preserve">     7X03369013</t>
  </si>
  <si>
    <t xml:space="preserve">     7X03651164</t>
  </si>
  <si>
    <t xml:space="preserve">     7X04358991</t>
  </si>
  <si>
    <t xml:space="preserve">     7X04771635</t>
  </si>
  <si>
    <t xml:space="preserve">     7X05374021</t>
  </si>
  <si>
    <t xml:space="preserve">     7X05850682</t>
  </si>
  <si>
    <t xml:space="preserve">     7X00141722</t>
  </si>
  <si>
    <t xml:space="preserve">     7X00524170</t>
  </si>
  <si>
    <t xml:space="preserve">     7X00540936</t>
  </si>
  <si>
    <t xml:space="preserve">     7X03032818</t>
  </si>
  <si>
    <t xml:space="preserve">     7X03223213</t>
  </si>
  <si>
    <t xml:space="preserve">     7X04052569</t>
  </si>
  <si>
    <t xml:space="preserve">     7X04124846</t>
  </si>
  <si>
    <t>NOVARTIS FARMA S.P.A.</t>
  </si>
  <si>
    <t>LA.RA. MEDICA</t>
  </si>
  <si>
    <t xml:space="preserve">         E73/PA</t>
  </si>
  <si>
    <t>PIEMME SPA CONC.DI PUBBLICITA'</t>
  </si>
  <si>
    <t>KALTEK S.R.L.</t>
  </si>
  <si>
    <t>GINEVRI S.R.L.</t>
  </si>
  <si>
    <t>AUTOSALONE E AUTOFFICINA CARPENTIERI</t>
  </si>
  <si>
    <t xml:space="preserve">           E200</t>
  </si>
  <si>
    <t>HAEMONETICS ITALIA S.R.L.</t>
  </si>
  <si>
    <t>NOVIELLO INTERMED S.R.L.</t>
  </si>
  <si>
    <t>BENEFIS S.R.L.</t>
  </si>
  <si>
    <t>CAREFUSION ITALY 237 S.R.L.UNIPERSONALE</t>
  </si>
  <si>
    <t>TEGEA S.R.L.</t>
  </si>
  <si>
    <t>ESTOR S.P.A.</t>
  </si>
  <si>
    <t>COVIDIEN ITALIA S.R.L.</t>
  </si>
  <si>
    <t xml:space="preserve">        E248984</t>
  </si>
  <si>
    <t xml:space="preserve">        F039219</t>
  </si>
  <si>
    <t>HITACHI MEDICAL SYSTEMS S.P.A.(EX ALOKA S.P.A.)</t>
  </si>
  <si>
    <t>EUROHOSPITEK S.R.L.</t>
  </si>
  <si>
    <t>AS.T.C.C.&amp; C. S.N.C.  COSIMO CIOTTA</t>
  </si>
  <si>
    <t>MEDIVAL - MEDICA VALEGGIA S.P.A.-</t>
  </si>
  <si>
    <t>AB MEDICA S.P.A.</t>
  </si>
  <si>
    <t>BIOTECNICA S.A.S.</t>
  </si>
  <si>
    <t xml:space="preserve">           E212</t>
  </si>
  <si>
    <t xml:space="preserve">           E331</t>
  </si>
  <si>
    <t xml:space="preserve">           E332</t>
  </si>
  <si>
    <t xml:space="preserve">           E366</t>
  </si>
  <si>
    <t xml:space="preserve">           E367</t>
  </si>
  <si>
    <t xml:space="preserve">           E368</t>
  </si>
  <si>
    <t xml:space="preserve">           E369</t>
  </si>
  <si>
    <t xml:space="preserve">           E373</t>
  </si>
  <si>
    <t xml:space="preserve">           E374</t>
  </si>
  <si>
    <t xml:space="preserve">           E375</t>
  </si>
  <si>
    <t xml:space="preserve">           E376</t>
  </si>
  <si>
    <t xml:space="preserve">           E423</t>
  </si>
  <si>
    <t xml:space="preserve">           E424</t>
  </si>
  <si>
    <t xml:space="preserve">           E425</t>
  </si>
  <si>
    <t xml:space="preserve">           E427</t>
  </si>
  <si>
    <t>GESAN S.R.L.</t>
  </si>
  <si>
    <t xml:space="preserve">         378BIS</t>
  </si>
  <si>
    <t xml:space="preserve">          39/02</t>
  </si>
  <si>
    <t xml:space="preserve">          45/02</t>
  </si>
  <si>
    <t xml:space="preserve">         177/02</t>
  </si>
  <si>
    <t xml:space="preserve">         186/02</t>
  </si>
  <si>
    <t xml:space="preserve">         29/025</t>
  </si>
  <si>
    <t>B.BRAUN MILANO S.P.A.</t>
  </si>
  <si>
    <t xml:space="preserve">       E1601882</t>
  </si>
  <si>
    <t xml:space="preserve">       E1603512</t>
  </si>
  <si>
    <t>CERACARTA S.P.A.</t>
  </si>
  <si>
    <t xml:space="preserve">          84/PA</t>
  </si>
  <si>
    <t xml:space="preserve">        1369/PA</t>
  </si>
  <si>
    <t xml:space="preserve">        4038/PA</t>
  </si>
  <si>
    <t>FLORMED COMMERCIALE S.R.L.</t>
  </si>
  <si>
    <t>ELEKTA S.P.A.</t>
  </si>
  <si>
    <t>TELEFLEX MEDICAL S.R.L.  (EX RUSCH S.R.L.)</t>
  </si>
  <si>
    <t>DIASORIN S.P.A.</t>
  </si>
  <si>
    <t>GEHCS S.R.L.  ORA GE MEDICALSYSTEM ITALIA SPA</t>
  </si>
  <si>
    <t>STRYKER ITALIA S.R.L.</t>
  </si>
  <si>
    <t>ROCHE DIAGNOSTICS S.P.A.</t>
  </si>
  <si>
    <t>GRIFOLS ITALIA S.P.A.</t>
  </si>
  <si>
    <t xml:space="preserve">       E4010855</t>
  </si>
  <si>
    <t>TECNECO S.R.L.</t>
  </si>
  <si>
    <t>BETA DIAGNOSTICI S.A.S.</t>
  </si>
  <si>
    <t>T.M. MEDICAL DI M. D. CAPUTO</t>
  </si>
  <si>
    <t xml:space="preserve">           14-E</t>
  </si>
  <si>
    <t xml:space="preserve">           E 28</t>
  </si>
  <si>
    <t xml:space="preserve">       15E-2015</t>
  </si>
  <si>
    <t xml:space="preserve">       18E-2015</t>
  </si>
  <si>
    <t xml:space="preserve">       25E-2015</t>
  </si>
  <si>
    <t xml:space="preserve">      29 E 2015</t>
  </si>
  <si>
    <t xml:space="preserve">      31 E 2015</t>
  </si>
  <si>
    <t xml:space="preserve">      32 E 2015</t>
  </si>
  <si>
    <t xml:space="preserve">      33 E 2015</t>
  </si>
  <si>
    <t xml:space="preserve">      34 E 2015</t>
  </si>
  <si>
    <t xml:space="preserve">      35 E 2015</t>
  </si>
  <si>
    <t xml:space="preserve">      36 E 2015</t>
  </si>
  <si>
    <t xml:space="preserve">      37 E 2015</t>
  </si>
  <si>
    <t xml:space="preserve">      38 E 2015</t>
  </si>
  <si>
    <t xml:space="preserve">      39 E 2015</t>
  </si>
  <si>
    <t xml:space="preserve">      40 E 2015</t>
  </si>
  <si>
    <t xml:space="preserve">      41 E 2015</t>
  </si>
  <si>
    <t xml:space="preserve">      43 E 2015</t>
  </si>
  <si>
    <t xml:space="preserve">      44 E 2015</t>
  </si>
  <si>
    <t xml:space="preserve">     17E - 2015</t>
  </si>
  <si>
    <t xml:space="preserve">     22E - 2015</t>
  </si>
  <si>
    <t xml:space="preserve">     23E - 2015</t>
  </si>
  <si>
    <t xml:space="preserve">     24E - 2015</t>
  </si>
  <si>
    <t xml:space="preserve">    26 E - 2015</t>
  </si>
  <si>
    <t>COOK ITALIA S.R.L.</t>
  </si>
  <si>
    <t>AHSI S.P.A.</t>
  </si>
  <si>
    <t>MAGGIOLI S.P.A.</t>
  </si>
  <si>
    <t xml:space="preserve">       E5965693</t>
  </si>
  <si>
    <t>CSL BEHRING S.P.A. EX ZLB BEHRING SPA</t>
  </si>
  <si>
    <t>TEVA ITALIA S.R.L.</t>
  </si>
  <si>
    <t>BOSTON SCIENTIFIC S.P.A.</t>
  </si>
  <si>
    <t>BRUNO FARMACEUTICI S.P.A.</t>
  </si>
  <si>
    <t>EPPENDORF S.R.L.</t>
  </si>
  <si>
    <t xml:space="preserve">         P00512</t>
  </si>
  <si>
    <t>MEDICAL SERVICE S.R.L.FORNITURE OSPEDALIERE</t>
  </si>
  <si>
    <t>MERCK  S.P.A.</t>
  </si>
  <si>
    <t>GUERBET S. p. A.</t>
  </si>
  <si>
    <t>ENDOSURGICAL s.r.l.</t>
  </si>
  <si>
    <t>MOLNLYCKE HEALTH CARE SRL</t>
  </si>
  <si>
    <t>NIPRO EUROPE N.V. MILAN BRANCH</t>
  </si>
  <si>
    <t>PAPA  QUINTO  -TINTEGGIATURA E DECORI</t>
  </si>
  <si>
    <t xml:space="preserve">     03/2015 PA</t>
  </si>
  <si>
    <t xml:space="preserve">     04/2015 PA</t>
  </si>
  <si>
    <t>TEOFARMA S.R.L.</t>
  </si>
  <si>
    <t xml:space="preserve">         918/PA</t>
  </si>
  <si>
    <t>ST. JUDE MEDICAL ITALIA S.P.A.</t>
  </si>
  <si>
    <t>FIAB S.P.A.</t>
  </si>
  <si>
    <t>CAO SRL</t>
  </si>
  <si>
    <t>GE MEDICAL SYSTEMS ITALIA S.P.A.</t>
  </si>
  <si>
    <t>CHIRURMEDICA SRL</t>
  </si>
  <si>
    <t>TECHNOLOGIC S.R.L.</t>
  </si>
  <si>
    <t>VODAFONE ITALIA S.P.A.</t>
  </si>
  <si>
    <t xml:space="preserve">     AF00136810</t>
  </si>
  <si>
    <t xml:space="preserve">     AF03179662</t>
  </si>
  <si>
    <t xml:space="preserve">     AF09381280</t>
  </si>
  <si>
    <t xml:space="preserve">     AF12542490</t>
  </si>
  <si>
    <t>ITAL TBS  TELEMATIC &amp; BIOMEDICAL SERVICE S.P.A.</t>
  </si>
  <si>
    <t>GUNA S.p.A..</t>
  </si>
  <si>
    <t>PROMEDICAL SRL</t>
  </si>
  <si>
    <t>DEXTER S.R.L.</t>
  </si>
  <si>
    <t>VWR INTERNATIONAL PBI S.R.L.</t>
  </si>
  <si>
    <t>DIAPATH S.P.A.</t>
  </si>
  <si>
    <t>ACTELION PHARMACEUTICALS ITALIA S.R.L.</t>
  </si>
  <si>
    <t>BETATEX S.P.A.</t>
  </si>
  <si>
    <t>SEROM MEDICAL TECHNOLOGY S.R.L.</t>
  </si>
  <si>
    <t xml:space="preserve">          76/03</t>
  </si>
  <si>
    <t xml:space="preserve">          77/03</t>
  </si>
  <si>
    <t xml:space="preserve">          78/03</t>
  </si>
  <si>
    <t xml:space="preserve">         319/03</t>
  </si>
  <si>
    <t xml:space="preserve">         320/03</t>
  </si>
  <si>
    <t xml:space="preserve">         492/03</t>
  </si>
  <si>
    <t xml:space="preserve">         493/03</t>
  </si>
  <si>
    <t xml:space="preserve">         494/03</t>
  </si>
  <si>
    <t xml:space="preserve">         495/03</t>
  </si>
  <si>
    <t xml:space="preserve">         496/03</t>
  </si>
  <si>
    <t xml:space="preserve">         497/03</t>
  </si>
  <si>
    <t xml:space="preserve">         498/03</t>
  </si>
  <si>
    <t xml:space="preserve">         746/03</t>
  </si>
  <si>
    <t xml:space="preserve">         747/03</t>
  </si>
  <si>
    <t xml:space="preserve">         748/03</t>
  </si>
  <si>
    <t xml:space="preserve">         749/03</t>
  </si>
  <si>
    <t xml:space="preserve">         750/03</t>
  </si>
  <si>
    <t xml:space="preserve">         751/03</t>
  </si>
  <si>
    <t xml:space="preserve">         752/03</t>
  </si>
  <si>
    <t>PACIFICO S.R.L. -  LAVANDERIA INDUSTRIALE</t>
  </si>
  <si>
    <t xml:space="preserve">           5/37</t>
  </si>
  <si>
    <t xml:space="preserve">           5/38</t>
  </si>
  <si>
    <t xml:space="preserve">           5/39</t>
  </si>
  <si>
    <t xml:space="preserve">           5/40</t>
  </si>
  <si>
    <t xml:space="preserve">          5/121</t>
  </si>
  <si>
    <t xml:space="preserve">          5/123</t>
  </si>
  <si>
    <t xml:space="preserve">          5/124</t>
  </si>
  <si>
    <t xml:space="preserve">          5/125</t>
  </si>
  <si>
    <t>ID&amp;CO S.R.L.</t>
  </si>
  <si>
    <t xml:space="preserve">         3639/5</t>
  </si>
  <si>
    <t xml:space="preserve">         6229/5</t>
  </si>
  <si>
    <t xml:space="preserve">         8356/5</t>
  </si>
  <si>
    <t xml:space="preserve">        10070/5</t>
  </si>
  <si>
    <t xml:space="preserve">        10862/5</t>
  </si>
  <si>
    <t>ADVANCED MEDICAL SUPPLIES S.P.A.</t>
  </si>
  <si>
    <t>SPS S.R.L.</t>
  </si>
  <si>
    <t>ASSIDEA &amp; DELTA S.R.L..</t>
  </si>
  <si>
    <t>ADVANCED SURGICAL PRODUCTS DI VASTARELLI GAETANO</t>
  </si>
  <si>
    <t xml:space="preserve">           26/E</t>
  </si>
  <si>
    <t xml:space="preserve">           27/E</t>
  </si>
  <si>
    <t xml:space="preserve">           28/E</t>
  </si>
  <si>
    <t xml:space="preserve">           29/E</t>
  </si>
  <si>
    <t xml:space="preserve">           38/E</t>
  </si>
  <si>
    <t xml:space="preserve">           39/E</t>
  </si>
  <si>
    <t>SYNTHES S.r.L. (ORA JOHNSON &amp; JOHNSON MEDICAL SPA)</t>
  </si>
  <si>
    <t xml:space="preserve">       E8420021</t>
  </si>
  <si>
    <t xml:space="preserve">       E8420022</t>
  </si>
  <si>
    <t>BIORES SRL</t>
  </si>
  <si>
    <t>MEDRAD ITALIA S.R.L.</t>
  </si>
  <si>
    <t>ELLEGI MEDICAL OPTICS S.R.L.</t>
  </si>
  <si>
    <t xml:space="preserve">           F871</t>
  </si>
  <si>
    <t xml:space="preserve">           F872</t>
  </si>
  <si>
    <t>FEBAR S.R.L.</t>
  </si>
  <si>
    <t>A.T.M. SERVICE S.R.L.</t>
  </si>
  <si>
    <t>KW APPARECCHI SCIENTIFICI S.R.L.</t>
  </si>
  <si>
    <t>BIOPSYBELL SRL</t>
  </si>
  <si>
    <t>GEPINFORMATICA S.R.L.</t>
  </si>
  <si>
    <t>OLIVETTI TECNOST S.P.A.</t>
  </si>
  <si>
    <t>MBA ITALIA S.R.L.</t>
  </si>
  <si>
    <t>ALIFAX S.R.L.</t>
  </si>
  <si>
    <t xml:space="preserve">          236/3</t>
  </si>
  <si>
    <t xml:space="preserve">           87/3</t>
  </si>
  <si>
    <t>D.I.D. SPA</t>
  </si>
  <si>
    <t xml:space="preserve">         E00039</t>
  </si>
  <si>
    <t>BARD S.R.L.</t>
  </si>
  <si>
    <t>BIOLIFE ITALIANA SRL</t>
  </si>
  <si>
    <t>MICROTECH S.R.L.</t>
  </si>
  <si>
    <t xml:space="preserve">         V2-291</t>
  </si>
  <si>
    <t xml:space="preserve">         V2-340</t>
  </si>
  <si>
    <t xml:space="preserve">         V2-686</t>
  </si>
  <si>
    <t xml:space="preserve">         V2-737</t>
  </si>
  <si>
    <t>MAQUET ITALIA S.P.A.</t>
  </si>
  <si>
    <t>MELLIN S.P.A.</t>
  </si>
  <si>
    <t xml:space="preserve">    RH/15000643</t>
  </si>
  <si>
    <t xml:space="preserve">    RH/15000694</t>
  </si>
  <si>
    <t xml:space="preserve">    RH/15000912</t>
  </si>
  <si>
    <t xml:space="preserve">    RH/15000941</t>
  </si>
  <si>
    <t>HOSPIRA ITALIA SRL</t>
  </si>
  <si>
    <t>HEXACATH ITALIA S.R.L.</t>
  </si>
  <si>
    <t>AVANGATE ITALIA S.R.L.</t>
  </si>
  <si>
    <t>RIGA DOMENICO S.A.S.</t>
  </si>
  <si>
    <t xml:space="preserve">           48PA</t>
  </si>
  <si>
    <t xml:space="preserve">           66PA</t>
  </si>
  <si>
    <t xml:space="preserve">           86PA</t>
  </si>
  <si>
    <t xml:space="preserve">          133PA</t>
  </si>
  <si>
    <t>FITOCHINA ITALIA SRL</t>
  </si>
  <si>
    <t>UNICREDIT BUSINESS INTEGRATED SOLUTIONS SCPA</t>
  </si>
  <si>
    <t>CARROZZERIA MINICOZZI S.R.L.</t>
  </si>
  <si>
    <t>CODIFI SRL</t>
  </si>
  <si>
    <t>SITRADE ITALIA S.P.A.</t>
  </si>
  <si>
    <t>KYOCERA DOCUMENT SOLUTIONS ITALIA S.P.A.</t>
  </si>
  <si>
    <t>C &amp; T GLOBAL SERVICE SRL</t>
  </si>
  <si>
    <t xml:space="preserve">           E155</t>
  </si>
  <si>
    <t xml:space="preserve">           E174</t>
  </si>
  <si>
    <t xml:space="preserve">          18bis</t>
  </si>
  <si>
    <t>H.S. HOSPITAL SERVICE SPA</t>
  </si>
  <si>
    <t>ELETTROCAMPANIA S.R.L.</t>
  </si>
  <si>
    <t xml:space="preserve">         E33311</t>
  </si>
  <si>
    <t>PHARMADENTAL SRL</t>
  </si>
  <si>
    <t xml:space="preserve">       14C00008</t>
  </si>
  <si>
    <t>DE MARCO DOMENICO</t>
  </si>
  <si>
    <t>NONSOLOMODULI SNC DI CORREANI &amp; C.</t>
  </si>
  <si>
    <t>FS MEDICAL DI FABIO STAMMELLUTI</t>
  </si>
  <si>
    <t>ICIS S.R.L. - SOCIETA' DI INGEGNERIA</t>
  </si>
  <si>
    <t>BIODIAGRAM S.R.L.</t>
  </si>
  <si>
    <t>LA PITAGORA DI MACRELLI DR. GIAN CARLO</t>
  </si>
  <si>
    <t xml:space="preserve">           28/T</t>
  </si>
  <si>
    <t>IL SOLE 24 ORE S.P.A.</t>
  </si>
  <si>
    <t>NEWGO MEDICAL SRL</t>
  </si>
  <si>
    <t>PHYSIO-CONTROL ITALY SALES S.R.L.</t>
  </si>
  <si>
    <t>INTERMUNE SRL ORA ROCHE S.P.A.</t>
  </si>
  <si>
    <t>CARLO ERBA REAGENTS S.R.L.</t>
  </si>
  <si>
    <t xml:space="preserve">       E4022567</t>
  </si>
  <si>
    <t xml:space="preserve">       E4023585</t>
  </si>
  <si>
    <t xml:space="preserve">       E4026359</t>
  </si>
  <si>
    <t>SIFI MEDTECH S.R.L.</t>
  </si>
  <si>
    <t>BRICOCENTER - NOVOCASA SRL</t>
  </si>
  <si>
    <t xml:space="preserve">           E838</t>
  </si>
  <si>
    <t>ARREDUFFICIO CALDERONE S.R.L.</t>
  </si>
  <si>
    <t>INSTRUMENTATION LABORATORY SPA</t>
  </si>
  <si>
    <t>LA FAVELLIANA SAS DI VARISCO DARIO &amp; C</t>
  </si>
  <si>
    <t>VODEN MEDICAL INSTRUMENTS S.P.A.</t>
  </si>
  <si>
    <t>SO.GE.SER. TECNOLOGY S.R.L.</t>
  </si>
  <si>
    <t>BOLLE DI SAPONE 2 DI MONTONI MARTA</t>
  </si>
  <si>
    <t>DETER GROUP DI SANDRO ZAMPARELLI</t>
  </si>
  <si>
    <t xml:space="preserve">           E351</t>
  </si>
  <si>
    <t xml:space="preserve">           1/PA</t>
  </si>
  <si>
    <t xml:space="preserve">           2/PA</t>
  </si>
  <si>
    <t xml:space="preserve">           3/PA</t>
  </si>
  <si>
    <t xml:space="preserve">           7/PA</t>
  </si>
  <si>
    <t xml:space="preserve">           8/PA</t>
  </si>
  <si>
    <t>SANNIO ORTOPEDIA  DI NAVA NADIA &amp; C. SAS</t>
  </si>
  <si>
    <t>APPLIED MEDICAL DISTRIB. EUROPE BV- FIL.ITALIANA</t>
  </si>
  <si>
    <t>R-BIOPHARM ITALIA SRL</t>
  </si>
  <si>
    <t>DOSIMETRICA  DI NICOLA FRANZA</t>
  </si>
  <si>
    <t>ECS S.R.L.-UNIPERSONALE</t>
  </si>
  <si>
    <t>ITALTRADE S.R.L.</t>
  </si>
  <si>
    <t>RISELLI &amp; C. S.R.L.</t>
  </si>
  <si>
    <t>CSL COMMERCIALE SANITARIA LOMBARDA S.R.L.</t>
  </si>
  <si>
    <t>MEDLIGHT S.R.L.</t>
  </si>
  <si>
    <t>BOCCHINO MARINA</t>
  </si>
  <si>
    <t>SCHMITZ ITALIA S.R.L.</t>
  </si>
  <si>
    <t>STENTYS S.A.</t>
  </si>
  <si>
    <t>ORTHO-CLINICAL DIAGNOSTICS ITALY S.R.L.</t>
  </si>
  <si>
    <t>CAUDINA SERVIZI GENERALI S.R.L.</t>
  </si>
  <si>
    <t>SECURLINE SERVICE S.R.L.</t>
  </si>
  <si>
    <t>BAYER R&amp;I B.V.</t>
  </si>
  <si>
    <t>DEVYSER ITALIA S.R.L.</t>
  </si>
  <si>
    <t>SONEPAR ITALIA S.P.A. UNIPERSONALE</t>
  </si>
  <si>
    <t xml:space="preserve">       E2143708</t>
  </si>
  <si>
    <t>GALA S.P.A.</t>
  </si>
  <si>
    <t xml:space="preserve">     T000482895</t>
  </si>
  <si>
    <t xml:space="preserve">     T000541121</t>
  </si>
  <si>
    <t xml:space="preserve">     T000596642</t>
  </si>
  <si>
    <t xml:space="preserve">     E000042253</t>
  </si>
  <si>
    <t xml:space="preserve">     E000118366</t>
  </si>
  <si>
    <t xml:space="preserve">     E000169614</t>
  </si>
  <si>
    <t xml:space="preserve">     E000227486</t>
  </si>
  <si>
    <t xml:space="preserve">     E000274650</t>
  </si>
  <si>
    <t xml:space="preserve">     E000330521</t>
  </si>
  <si>
    <t xml:space="preserve">     E000380579</t>
  </si>
  <si>
    <t xml:space="preserve">     T000021615</t>
  </si>
  <si>
    <t xml:space="preserve">     T000072344</t>
  </si>
  <si>
    <t xml:space="preserve">     T000072345</t>
  </si>
  <si>
    <t xml:space="preserve">     T000148852</t>
  </si>
  <si>
    <t>LUCINI SURGICAL CONCEPT SRL</t>
  </si>
  <si>
    <t>ASPEN PHARMA IRELAND LIMITED</t>
  </si>
  <si>
    <t>TECNOWARE DI ANGELO AMBROSONE</t>
  </si>
  <si>
    <t>ACCORD HEALTHCARE ITALIA S.R.L.</t>
  </si>
  <si>
    <t>SCS INTERNATIONAL s.r.l.</t>
  </si>
  <si>
    <t>EDIL FERRAMENTA DI IZZO MAURO</t>
  </si>
  <si>
    <t>BMC TEC SRL UNIPERSONALE</t>
  </si>
  <si>
    <t>ALDER S.R.L.</t>
  </si>
  <si>
    <t xml:space="preserve">           1/14</t>
  </si>
  <si>
    <t>A.D.A. S.R.L.</t>
  </si>
  <si>
    <t>FARMACIA M.R.PETRONE SAS DI RAFFAELE PETRONE</t>
  </si>
  <si>
    <t xml:space="preserve">             e5</t>
  </si>
  <si>
    <t>FARMACIA SAVIANO S.N.C.</t>
  </si>
  <si>
    <t>T.T. TECNOSISTEMI S.P.A.</t>
  </si>
  <si>
    <t>EUBIOS FARMA S.R.L.</t>
  </si>
  <si>
    <t>NEW MED CORPORATION S.R.L.</t>
  </si>
  <si>
    <t>BIOTECNICA S.R.L.S.</t>
  </si>
  <si>
    <t xml:space="preserve">           4/PA</t>
  </si>
  <si>
    <t xml:space="preserve">           6/PA</t>
  </si>
  <si>
    <t xml:space="preserve">          11/PA</t>
  </si>
  <si>
    <t xml:space="preserve">          12/PA</t>
  </si>
  <si>
    <t xml:space="preserve">          13/PA</t>
  </si>
  <si>
    <t xml:space="preserve">          14/PA</t>
  </si>
  <si>
    <t xml:space="preserve">          15/PA</t>
  </si>
  <si>
    <t xml:space="preserve">          17/PA</t>
  </si>
  <si>
    <t xml:space="preserve">          18/PA</t>
  </si>
  <si>
    <t>HILL ROM</t>
  </si>
  <si>
    <t>DELTA MED S.P.A.</t>
  </si>
  <si>
    <t>HOTEL MANAGEMENT SRL</t>
  </si>
  <si>
    <t xml:space="preserve">           E261</t>
  </si>
  <si>
    <t>AMS S.R.L.</t>
  </si>
  <si>
    <t xml:space="preserve">            e10</t>
  </si>
  <si>
    <t xml:space="preserve">     2015     6</t>
  </si>
  <si>
    <t xml:space="preserve">     2015     7</t>
  </si>
  <si>
    <t xml:space="preserve">     2015     8</t>
  </si>
  <si>
    <t xml:space="preserve">     2015     9</t>
  </si>
  <si>
    <t xml:space="preserve">     2015    10</t>
  </si>
  <si>
    <t xml:space="preserve">     2015    11</t>
  </si>
  <si>
    <t xml:space="preserve">     2015    12</t>
  </si>
  <si>
    <t xml:space="preserve">     2015    13</t>
  </si>
  <si>
    <t xml:space="preserve">     2015    14</t>
  </si>
  <si>
    <t xml:space="preserve">     2015    15</t>
  </si>
  <si>
    <t xml:space="preserve">     2015    16</t>
  </si>
  <si>
    <t xml:space="preserve">     2015    17</t>
  </si>
  <si>
    <t xml:space="preserve">     2015    21</t>
  </si>
  <si>
    <t xml:space="preserve">   2015    22/a</t>
  </si>
  <si>
    <t xml:space="preserve">   2015    23/a</t>
  </si>
  <si>
    <t xml:space="preserve">   2015    24/a</t>
  </si>
  <si>
    <t xml:space="preserve">   2015    25/a</t>
  </si>
  <si>
    <t xml:space="preserve">   2015    26/a</t>
  </si>
  <si>
    <t xml:space="preserve">   2015    28/a</t>
  </si>
  <si>
    <t xml:space="preserve">   2015    29/a</t>
  </si>
  <si>
    <t xml:space="preserve">   2015    30/a</t>
  </si>
  <si>
    <t xml:space="preserve">   2015    35/a</t>
  </si>
  <si>
    <t xml:space="preserve">   2015    36/a</t>
  </si>
  <si>
    <t xml:space="preserve">   2015    37/a</t>
  </si>
  <si>
    <t xml:space="preserve">   2015    38/a</t>
  </si>
  <si>
    <t xml:space="preserve">   2015    39/a</t>
  </si>
  <si>
    <t xml:space="preserve">   2015    40/a</t>
  </si>
  <si>
    <t xml:space="preserve">   2015    41/a</t>
  </si>
  <si>
    <t xml:space="preserve">   2015    44/a</t>
  </si>
  <si>
    <t xml:space="preserve">   2015    45/a</t>
  </si>
  <si>
    <t xml:space="preserve">   2015    46/a</t>
  </si>
  <si>
    <t xml:space="preserve">   2015    47/a</t>
  </si>
  <si>
    <t xml:space="preserve">   2015    48/a</t>
  </si>
  <si>
    <t xml:space="preserve">   2015    49/a</t>
  </si>
  <si>
    <t xml:space="preserve">   2015    50/a</t>
  </si>
  <si>
    <t xml:space="preserve">   2015    51/a</t>
  </si>
  <si>
    <t xml:space="preserve">   2015    52/a</t>
  </si>
  <si>
    <t xml:space="preserve">   2015    53/a</t>
  </si>
  <si>
    <t xml:space="preserve">   2015    54/a</t>
  </si>
  <si>
    <t xml:space="preserve">   2015    55/a</t>
  </si>
  <si>
    <t xml:space="preserve">   2015    56/a</t>
  </si>
  <si>
    <t xml:space="preserve">   2015    57/a</t>
  </si>
  <si>
    <t>BRUNO BARBATO MEDICALI S.R.L.</t>
  </si>
  <si>
    <t xml:space="preserve">     0000135/15</t>
  </si>
  <si>
    <t xml:space="preserve">     0000140/15</t>
  </si>
  <si>
    <t xml:space="preserve">     0000202/15</t>
  </si>
  <si>
    <t xml:space="preserve">     0000208/15</t>
  </si>
  <si>
    <t xml:space="preserve">     0000216/15</t>
  </si>
  <si>
    <t>GIOVANNI ALFIERI &amp; C. S.P.A.</t>
  </si>
  <si>
    <t>2015/V1/1501396</t>
  </si>
  <si>
    <t>2015/V6/1500209</t>
  </si>
  <si>
    <t>FER SUD DI PASQUARELLA CLAUDIO</t>
  </si>
  <si>
    <t>VIVENDA S.R.L.</t>
  </si>
  <si>
    <t xml:space="preserve">          78/PA</t>
  </si>
  <si>
    <t>CISA SERVICE s.r.l.</t>
  </si>
  <si>
    <t>OVID TECHNOLOGIES SRL</t>
  </si>
  <si>
    <t xml:space="preserve">       IT-10241</t>
  </si>
  <si>
    <t>DUEMME S.R.L.</t>
  </si>
  <si>
    <t xml:space="preserve">           46 E</t>
  </si>
  <si>
    <t>CYTEC S.R.L.</t>
  </si>
  <si>
    <t xml:space="preserve">          40/PA</t>
  </si>
  <si>
    <t>DATEMA FACTOR S.P.A.</t>
  </si>
  <si>
    <t>LTA S.R.L.</t>
  </si>
  <si>
    <t xml:space="preserve">     000074/S15</t>
  </si>
  <si>
    <t>EREDI DI PALUMBO RAFFAELE SAS DI PALUMBO MASSIMO</t>
  </si>
  <si>
    <t xml:space="preserve">            1/E</t>
  </si>
  <si>
    <t>A.F. LONGO Sas</t>
  </si>
  <si>
    <t xml:space="preserve">    FATTPA 3_15</t>
  </si>
  <si>
    <t>BIOMEDIA S.R.L.</t>
  </si>
  <si>
    <t xml:space="preserve">        38/15PA</t>
  </si>
  <si>
    <t>ORION S.R.L.</t>
  </si>
  <si>
    <t>TOTALE</t>
  </si>
  <si>
    <t>INDICATORE DI TEMPESTIVITA' DEI PAGAMENTI IV TRIMESTRE 2015              GG.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</si>
</sst>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4" fontId="0" fillId="0" borderId="0" xfId="0" applyNumberFormat="1"/>
    <xf numFmtId="4" fontId="0" fillId="0" borderId="0" xfId="0" applyNumberFormat="1"/>
    <xf numFmtId="3" fontId="0" fillId="0" borderId="0" xfId="0" applyNumberFormat="1"/>
    <xf numFmtId="11" fontId="0" fillId="0" borderId="0" xfId="0" applyNumberFormat="1"/>
    <xf numFmtId="0" fontId="16" fillId="0" borderId="0" xfId="0" applyFont="1"/>
    <xf numFmtId="14" fontId="16" fillId="0" borderId="0" xfId="0" applyNumberFormat="1" applyFont="1"/>
    <xf numFmtId="4" fontId="16" fillId="0" borderId="0" xfId="0" applyNumberFormat="1" applyFont="1"/>
    <xf numFmtId="0" fontId="18" fillId="0" borderId="0" xfId="0" applyFont="1" applyAlignment="1">
      <alignment horizontal="center"/>
    </xf>
    <xf numFmtId="4" fontId="18" fillId="0" borderId="0" xfId="0" applyNumberFormat="1" applyFont="1" applyAlignment="1">
      <alignment horizontal="left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Y8818"/>
  <sheetViews>
    <sheetView tabSelected="1" topLeftCell="A8779" workbookViewId="0">
      <selection activeCell="L8818" sqref="L8818"/>
    </sheetView>
  </sheetViews>
  <sheetFormatPr defaultRowHeight="15"/>
  <cols>
    <col min="2" max="2" width="10.7109375" hidden="1" customWidth="1"/>
    <col min="3" max="4" width="0" hidden="1" customWidth="1"/>
    <col min="8" max="8" width="10.42578125" customWidth="1"/>
    <col min="9" max="9" width="11.85546875" customWidth="1"/>
    <col min="10" max="10" width="12.5703125" customWidth="1"/>
    <col min="11" max="11" width="11" customWidth="1"/>
    <col min="12" max="12" width="20.140625" style="5" customWidth="1"/>
    <col min="13" max="13" width="14.140625" style="5" customWidth="1"/>
    <col min="14" max="14" width="21.42578125" style="7" customWidth="1"/>
    <col min="15" max="17" width="0" hidden="1" customWidth="1"/>
    <col min="19" max="27" width="0" hidden="1" customWidth="1"/>
    <col min="28" max="28" width="10.7109375" customWidth="1"/>
    <col min="29" max="46" width="0" hidden="1" customWidth="1"/>
    <col min="47" max="47" width="16.5703125" style="5" customWidth="1"/>
    <col min="48" max="48" width="14" style="5" customWidth="1"/>
    <col min="49" max="53" width="0" hidden="1" customWidth="1"/>
  </cols>
  <sheetData>
    <row r="1" spans="1:51">
      <c r="A1" t="s">
        <v>0</v>
      </c>
    </row>
    <row r="2" spans="1:51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s="5" t="s">
        <v>12</v>
      </c>
      <c r="M2" s="5" t="s">
        <v>13</v>
      </c>
      <c r="N2" s="7" t="s">
        <v>14</v>
      </c>
      <c r="O2" t="s">
        <v>15</v>
      </c>
      <c r="P2" t="s">
        <v>16</v>
      </c>
      <c r="Q2" t="s">
        <v>17</v>
      </c>
      <c r="R2" t="s">
        <v>18</v>
      </c>
      <c r="S2" t="s">
        <v>19</v>
      </c>
      <c r="T2" t="s">
        <v>20</v>
      </c>
      <c r="U2" t="s">
        <v>21</v>
      </c>
      <c r="V2" t="s">
        <v>22</v>
      </c>
      <c r="W2" t="s">
        <v>23</v>
      </c>
      <c r="X2" t="s">
        <v>24</v>
      </c>
      <c r="Y2" t="s">
        <v>25</v>
      </c>
      <c r="Z2" t="s">
        <v>26</v>
      </c>
      <c r="AA2" t="s">
        <v>27</v>
      </c>
      <c r="AB2" t="s">
        <v>28</v>
      </c>
      <c r="AC2" t="s">
        <v>29</v>
      </c>
      <c r="AD2" t="s">
        <v>30</v>
      </c>
      <c r="AE2" t="s">
        <v>31</v>
      </c>
      <c r="AF2" t="s">
        <v>32</v>
      </c>
      <c r="AG2" t="s">
        <v>33</v>
      </c>
      <c r="AH2" t="s">
        <v>34</v>
      </c>
      <c r="AI2" t="s">
        <v>35</v>
      </c>
      <c r="AJ2" t="s">
        <v>36</v>
      </c>
      <c r="AK2" t="s">
        <v>37</v>
      </c>
      <c r="AL2" t="s">
        <v>38</v>
      </c>
      <c r="AM2" t="s">
        <v>39</v>
      </c>
      <c r="AN2" t="s">
        <v>40</v>
      </c>
      <c r="AO2" t="s">
        <v>41</v>
      </c>
      <c r="AP2" t="s">
        <v>42</v>
      </c>
      <c r="AQ2" t="s">
        <v>43</v>
      </c>
      <c r="AR2" t="s">
        <v>44</v>
      </c>
      <c r="AS2" t="s">
        <v>45</v>
      </c>
      <c r="AT2" t="s">
        <v>46</v>
      </c>
      <c r="AU2" s="5" t="s">
        <v>47</v>
      </c>
      <c r="AV2" s="5" t="s">
        <v>48</v>
      </c>
      <c r="AW2" t="s">
        <v>5</v>
      </c>
      <c r="AX2" t="s">
        <v>49</v>
      </c>
      <c r="AY2" t="s">
        <v>50</v>
      </c>
    </row>
    <row r="3" spans="1:51" hidden="1">
      <c r="A3">
        <v>100001</v>
      </c>
      <c r="B3" t="s">
        <v>51</v>
      </c>
      <c r="C3" t="str">
        <f t="shared" ref="C3:D29" si="0">"00076670595"</f>
        <v>00076670595</v>
      </c>
      <c r="D3" t="str">
        <f t="shared" si="0"/>
        <v>00076670595</v>
      </c>
      <c r="E3" t="s">
        <v>52</v>
      </c>
      <c r="F3">
        <v>2014</v>
      </c>
      <c r="G3">
        <v>19459</v>
      </c>
      <c r="H3" s="1">
        <v>41765</v>
      </c>
      <c r="I3" s="1">
        <v>41788</v>
      </c>
      <c r="J3" s="1">
        <v>41788</v>
      </c>
      <c r="K3" s="1">
        <v>41878</v>
      </c>
      <c r="N3" s="5"/>
      <c r="O3" s="2">
        <v>1732.5</v>
      </c>
      <c r="P3">
        <v>254</v>
      </c>
      <c r="Q3" s="2">
        <v>440055</v>
      </c>
      <c r="R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 s="1">
        <v>42382</v>
      </c>
      <c r="AC3" t="s">
        <v>53</v>
      </c>
      <c r="AD3" t="s">
        <v>53</v>
      </c>
      <c r="AK3">
        <v>0</v>
      </c>
      <c r="AU3" s="6">
        <v>42132</v>
      </c>
      <c r="AV3" s="6">
        <v>42132</v>
      </c>
      <c r="AW3" t="s">
        <v>54</v>
      </c>
      <c r="AX3" t="str">
        <f t="shared" ref="AX3:AX66" si="1">"FOR"</f>
        <v>FOR</v>
      </c>
      <c r="AY3" t="s">
        <v>55</v>
      </c>
    </row>
    <row r="4" spans="1:51" hidden="1">
      <c r="A4">
        <v>100001</v>
      </c>
      <c r="B4" t="s">
        <v>51</v>
      </c>
      <c r="C4" t="str">
        <f t="shared" si="0"/>
        <v>00076670595</v>
      </c>
      <c r="D4" t="str">
        <f t="shared" si="0"/>
        <v>00076670595</v>
      </c>
      <c r="E4" t="s">
        <v>52</v>
      </c>
      <c r="F4">
        <v>2014</v>
      </c>
      <c r="G4">
        <v>21779</v>
      </c>
      <c r="H4" s="1">
        <v>41779</v>
      </c>
      <c r="I4" s="1">
        <v>41802</v>
      </c>
      <c r="J4" s="1">
        <v>41802</v>
      </c>
      <c r="K4" s="1">
        <v>41892</v>
      </c>
      <c r="N4" s="5"/>
      <c r="O4" s="2">
        <v>2079</v>
      </c>
      <c r="P4">
        <v>240</v>
      </c>
      <c r="Q4" s="2">
        <v>498960</v>
      </c>
      <c r="R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 s="1">
        <v>42382</v>
      </c>
      <c r="AC4" t="s">
        <v>53</v>
      </c>
      <c r="AD4" t="s">
        <v>53</v>
      </c>
      <c r="AK4">
        <v>0</v>
      </c>
      <c r="AU4" s="6">
        <v>42132</v>
      </c>
      <c r="AV4" s="6">
        <v>42132</v>
      </c>
      <c r="AW4" t="s">
        <v>54</v>
      </c>
      <c r="AX4" t="str">
        <f t="shared" si="1"/>
        <v>FOR</v>
      </c>
      <c r="AY4" t="s">
        <v>55</v>
      </c>
    </row>
    <row r="5" spans="1:51" hidden="1">
      <c r="A5">
        <v>100001</v>
      </c>
      <c r="B5" t="s">
        <v>51</v>
      </c>
      <c r="C5" t="str">
        <f t="shared" si="0"/>
        <v>00076670595</v>
      </c>
      <c r="D5" t="str">
        <f t="shared" si="0"/>
        <v>00076670595</v>
      </c>
      <c r="E5" t="s">
        <v>52</v>
      </c>
      <c r="F5">
        <v>2014</v>
      </c>
      <c r="G5">
        <v>24313</v>
      </c>
      <c r="H5" s="1">
        <v>41794</v>
      </c>
      <c r="I5" s="1">
        <v>41817</v>
      </c>
      <c r="J5" s="1">
        <v>41817</v>
      </c>
      <c r="K5" s="1">
        <v>41907</v>
      </c>
      <c r="N5" s="5"/>
      <c r="O5" s="2">
        <v>2425.5</v>
      </c>
      <c r="P5">
        <v>256</v>
      </c>
      <c r="Q5" s="2">
        <v>620928</v>
      </c>
      <c r="R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 s="1">
        <v>42382</v>
      </c>
      <c r="AC5" t="s">
        <v>53</v>
      </c>
      <c r="AD5" t="s">
        <v>53</v>
      </c>
      <c r="AK5">
        <v>0</v>
      </c>
      <c r="AU5" s="6">
        <v>42163</v>
      </c>
      <c r="AV5" s="6">
        <v>42163</v>
      </c>
      <c r="AW5" t="s">
        <v>54</v>
      </c>
      <c r="AX5" t="str">
        <f t="shared" si="1"/>
        <v>FOR</v>
      </c>
      <c r="AY5" t="s">
        <v>55</v>
      </c>
    </row>
    <row r="6" spans="1:51" hidden="1">
      <c r="A6">
        <v>100001</v>
      </c>
      <c r="B6" t="s">
        <v>51</v>
      </c>
      <c r="C6" t="str">
        <f t="shared" si="0"/>
        <v>00076670595</v>
      </c>
      <c r="D6" t="str">
        <f t="shared" si="0"/>
        <v>00076670595</v>
      </c>
      <c r="E6" t="s">
        <v>52</v>
      </c>
      <c r="F6">
        <v>2014</v>
      </c>
      <c r="G6">
        <v>25895</v>
      </c>
      <c r="H6" s="1">
        <v>41806</v>
      </c>
      <c r="I6" s="1">
        <v>41821</v>
      </c>
      <c r="J6" s="1">
        <v>41821</v>
      </c>
      <c r="K6" s="1">
        <v>41911</v>
      </c>
      <c r="N6" s="5"/>
      <c r="O6" s="2">
        <v>6171.98</v>
      </c>
      <c r="P6">
        <v>252</v>
      </c>
      <c r="Q6" s="2">
        <v>1555338.96</v>
      </c>
      <c r="R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 s="1">
        <v>42382</v>
      </c>
      <c r="AC6" t="s">
        <v>53</v>
      </c>
      <c r="AD6" t="s">
        <v>53</v>
      </c>
      <c r="AK6">
        <v>0</v>
      </c>
      <c r="AU6" s="6">
        <v>42163</v>
      </c>
      <c r="AV6" s="6">
        <v>42163</v>
      </c>
      <c r="AW6" t="s">
        <v>54</v>
      </c>
      <c r="AX6" t="str">
        <f t="shared" si="1"/>
        <v>FOR</v>
      </c>
      <c r="AY6" t="s">
        <v>55</v>
      </c>
    </row>
    <row r="7" spans="1:51" hidden="1">
      <c r="A7">
        <v>100001</v>
      </c>
      <c r="B7" t="s">
        <v>51</v>
      </c>
      <c r="C7" t="str">
        <f t="shared" si="0"/>
        <v>00076670595</v>
      </c>
      <c r="D7" t="str">
        <f t="shared" si="0"/>
        <v>00076670595</v>
      </c>
      <c r="E7" t="s">
        <v>52</v>
      </c>
      <c r="F7">
        <v>2014</v>
      </c>
      <c r="G7">
        <v>26021</v>
      </c>
      <c r="H7" s="1">
        <v>41806</v>
      </c>
      <c r="I7" s="1">
        <v>41827</v>
      </c>
      <c r="J7" s="1">
        <v>41827</v>
      </c>
      <c r="K7" s="1">
        <v>41917</v>
      </c>
      <c r="N7" s="5"/>
      <c r="O7" s="2">
        <v>3465</v>
      </c>
      <c r="P7">
        <v>246</v>
      </c>
      <c r="Q7" s="2">
        <v>852390</v>
      </c>
      <c r="R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 s="1">
        <v>42382</v>
      </c>
      <c r="AC7" t="s">
        <v>53</v>
      </c>
      <c r="AD7" t="s">
        <v>53</v>
      </c>
      <c r="AK7">
        <v>0</v>
      </c>
      <c r="AU7" s="6">
        <v>42163</v>
      </c>
      <c r="AV7" s="6">
        <v>42163</v>
      </c>
      <c r="AW7" t="s">
        <v>54</v>
      </c>
      <c r="AX7" t="str">
        <f t="shared" si="1"/>
        <v>FOR</v>
      </c>
      <c r="AY7" t="s">
        <v>55</v>
      </c>
    </row>
    <row r="8" spans="1:51" hidden="1">
      <c r="A8">
        <v>100001</v>
      </c>
      <c r="B8" t="s">
        <v>51</v>
      </c>
      <c r="C8" t="str">
        <f t="shared" si="0"/>
        <v>00076670595</v>
      </c>
      <c r="D8" t="str">
        <f t="shared" si="0"/>
        <v>00076670595</v>
      </c>
      <c r="E8" t="s">
        <v>52</v>
      </c>
      <c r="F8">
        <v>2014</v>
      </c>
      <c r="G8">
        <v>27551</v>
      </c>
      <c r="H8" s="1">
        <v>41814</v>
      </c>
      <c r="I8" s="1">
        <v>41830</v>
      </c>
      <c r="J8" s="1">
        <v>41830</v>
      </c>
      <c r="K8" s="1">
        <v>41920</v>
      </c>
      <c r="N8" s="5"/>
      <c r="O8" s="2">
        <v>2287.5</v>
      </c>
      <c r="P8">
        <v>212</v>
      </c>
      <c r="Q8" s="2">
        <v>484950</v>
      </c>
      <c r="R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s="1">
        <v>42382</v>
      </c>
      <c r="AC8" t="s">
        <v>53</v>
      </c>
      <c r="AD8" t="s">
        <v>53</v>
      </c>
      <c r="AK8">
        <v>0</v>
      </c>
      <c r="AU8" s="6">
        <v>42132</v>
      </c>
      <c r="AV8" s="6">
        <v>42132</v>
      </c>
      <c r="AW8" t="s">
        <v>54</v>
      </c>
      <c r="AX8" t="str">
        <f t="shared" si="1"/>
        <v>FOR</v>
      </c>
      <c r="AY8" t="s">
        <v>55</v>
      </c>
    </row>
    <row r="9" spans="1:51" hidden="1">
      <c r="A9">
        <v>100001</v>
      </c>
      <c r="B9" t="s">
        <v>51</v>
      </c>
      <c r="C9" t="str">
        <f t="shared" si="0"/>
        <v>00076670595</v>
      </c>
      <c r="D9" t="str">
        <f t="shared" si="0"/>
        <v>00076670595</v>
      </c>
      <c r="E9" t="s">
        <v>52</v>
      </c>
      <c r="F9">
        <v>2014</v>
      </c>
      <c r="G9">
        <v>28976</v>
      </c>
      <c r="H9" s="1">
        <v>41822</v>
      </c>
      <c r="I9" s="1">
        <v>41837</v>
      </c>
      <c r="J9" s="1">
        <v>41837</v>
      </c>
      <c r="K9" s="1">
        <v>41927</v>
      </c>
      <c r="N9" s="5"/>
      <c r="O9" s="2">
        <v>21714.06</v>
      </c>
      <c r="P9">
        <v>261</v>
      </c>
      <c r="Q9" s="2">
        <v>5667369.6600000001</v>
      </c>
      <c r="R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 s="1">
        <v>42382</v>
      </c>
      <c r="AC9" t="s">
        <v>53</v>
      </c>
      <c r="AD9" t="s">
        <v>53</v>
      </c>
      <c r="AK9">
        <v>0</v>
      </c>
      <c r="AU9" s="6">
        <v>42188</v>
      </c>
      <c r="AV9" s="6">
        <v>42188</v>
      </c>
      <c r="AW9" t="s">
        <v>54</v>
      </c>
      <c r="AX9" t="str">
        <f t="shared" si="1"/>
        <v>FOR</v>
      </c>
      <c r="AY9" t="s">
        <v>55</v>
      </c>
    </row>
    <row r="10" spans="1:51" hidden="1">
      <c r="A10">
        <v>100001</v>
      </c>
      <c r="B10" t="s">
        <v>51</v>
      </c>
      <c r="C10" t="str">
        <f t="shared" si="0"/>
        <v>00076670595</v>
      </c>
      <c r="D10" t="str">
        <f t="shared" si="0"/>
        <v>00076670595</v>
      </c>
      <c r="E10" t="s">
        <v>52</v>
      </c>
      <c r="F10">
        <v>2014</v>
      </c>
      <c r="G10">
        <v>29225</v>
      </c>
      <c r="H10" s="1">
        <v>41823</v>
      </c>
      <c r="I10" s="1">
        <v>42080</v>
      </c>
      <c r="J10" s="1">
        <v>42080</v>
      </c>
      <c r="K10" s="1">
        <v>42140</v>
      </c>
      <c r="N10" s="5"/>
      <c r="O10" s="2">
        <v>1732.5</v>
      </c>
      <c r="P10">
        <v>48</v>
      </c>
      <c r="Q10" s="2">
        <v>83160</v>
      </c>
      <c r="R10">
        <v>0</v>
      </c>
      <c r="V10">
        <v>0</v>
      </c>
      <c r="W10">
        <v>0</v>
      </c>
      <c r="X10">
        <v>0</v>
      </c>
      <c r="Y10">
        <v>0</v>
      </c>
      <c r="Z10" s="2">
        <v>1732.5</v>
      </c>
      <c r="AA10">
        <v>0</v>
      </c>
      <c r="AB10" s="1">
        <v>42382</v>
      </c>
      <c r="AC10" t="s">
        <v>53</v>
      </c>
      <c r="AD10" t="s">
        <v>53</v>
      </c>
      <c r="AK10">
        <v>0</v>
      </c>
      <c r="AU10" s="6">
        <v>42188</v>
      </c>
      <c r="AV10" s="6">
        <v>42188</v>
      </c>
      <c r="AW10" t="s">
        <v>54</v>
      </c>
      <c r="AX10" t="str">
        <f t="shared" si="1"/>
        <v>FOR</v>
      </c>
      <c r="AY10" t="s">
        <v>55</v>
      </c>
    </row>
    <row r="11" spans="1:51" hidden="1">
      <c r="A11">
        <v>100001</v>
      </c>
      <c r="B11" t="s">
        <v>51</v>
      </c>
      <c r="C11" t="str">
        <f t="shared" si="0"/>
        <v>00076670595</v>
      </c>
      <c r="D11" t="str">
        <f t="shared" si="0"/>
        <v>00076670595</v>
      </c>
      <c r="E11" t="s">
        <v>52</v>
      </c>
      <c r="F11">
        <v>2014</v>
      </c>
      <c r="G11">
        <v>34505</v>
      </c>
      <c r="H11" s="1">
        <v>41857</v>
      </c>
      <c r="I11" s="1">
        <v>41883</v>
      </c>
      <c r="J11" s="1">
        <v>41883</v>
      </c>
      <c r="K11" s="1">
        <v>41973</v>
      </c>
      <c r="N11" s="5"/>
      <c r="O11" s="2">
        <v>1732.5</v>
      </c>
      <c r="P11">
        <v>215</v>
      </c>
      <c r="Q11" s="2">
        <v>372487.5</v>
      </c>
      <c r="R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1">
        <v>42382</v>
      </c>
      <c r="AC11" t="s">
        <v>53</v>
      </c>
      <c r="AD11" t="s">
        <v>53</v>
      </c>
      <c r="AK11">
        <v>0</v>
      </c>
      <c r="AU11" s="6">
        <v>42188</v>
      </c>
      <c r="AV11" s="6">
        <v>42188</v>
      </c>
      <c r="AW11" t="s">
        <v>54</v>
      </c>
      <c r="AX11" t="str">
        <f t="shared" si="1"/>
        <v>FOR</v>
      </c>
      <c r="AY11" t="s">
        <v>55</v>
      </c>
    </row>
    <row r="12" spans="1:51" hidden="1">
      <c r="A12">
        <v>100001</v>
      </c>
      <c r="B12" t="s">
        <v>51</v>
      </c>
      <c r="C12" t="str">
        <f t="shared" si="0"/>
        <v>00076670595</v>
      </c>
      <c r="D12" t="str">
        <f t="shared" si="0"/>
        <v>00076670595</v>
      </c>
      <c r="E12" t="s">
        <v>52</v>
      </c>
      <c r="F12">
        <v>2014</v>
      </c>
      <c r="G12">
        <v>37000</v>
      </c>
      <c r="H12" s="1">
        <v>41880</v>
      </c>
      <c r="I12" s="1">
        <v>41893</v>
      </c>
      <c r="J12" s="1">
        <v>41893</v>
      </c>
      <c r="K12" s="1">
        <v>41983</v>
      </c>
      <c r="N12" s="5"/>
      <c r="O12" s="2">
        <v>3465</v>
      </c>
      <c r="P12">
        <v>205</v>
      </c>
      <c r="Q12" s="2">
        <v>710325</v>
      </c>
      <c r="R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s="1">
        <v>42382</v>
      </c>
      <c r="AC12" t="s">
        <v>53</v>
      </c>
      <c r="AD12" t="s">
        <v>53</v>
      </c>
      <c r="AK12">
        <v>0</v>
      </c>
      <c r="AU12" s="6">
        <v>42188</v>
      </c>
      <c r="AV12" s="6">
        <v>42188</v>
      </c>
      <c r="AW12" t="s">
        <v>54</v>
      </c>
      <c r="AX12" t="str">
        <f t="shared" si="1"/>
        <v>FOR</v>
      </c>
      <c r="AY12" t="s">
        <v>55</v>
      </c>
    </row>
    <row r="13" spans="1:51" hidden="1">
      <c r="A13">
        <v>100001</v>
      </c>
      <c r="B13" t="s">
        <v>51</v>
      </c>
      <c r="C13" t="str">
        <f t="shared" si="0"/>
        <v>00076670595</v>
      </c>
      <c r="D13" t="str">
        <f t="shared" si="0"/>
        <v>00076670595</v>
      </c>
      <c r="E13" t="s">
        <v>52</v>
      </c>
      <c r="F13">
        <v>2014</v>
      </c>
      <c r="G13">
        <v>38769</v>
      </c>
      <c r="H13" s="1">
        <v>41897</v>
      </c>
      <c r="I13" s="1">
        <v>41911</v>
      </c>
      <c r="J13" s="1">
        <v>41911</v>
      </c>
      <c r="K13" s="1">
        <v>42001</v>
      </c>
      <c r="N13" s="5"/>
      <c r="O13" s="2">
        <v>10005.950000000001</v>
      </c>
      <c r="P13">
        <v>249</v>
      </c>
      <c r="Q13" s="2">
        <v>2491481.5499999998</v>
      </c>
      <c r="R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s="1">
        <v>42382</v>
      </c>
      <c r="AC13" t="s">
        <v>53</v>
      </c>
      <c r="AD13" t="s">
        <v>53</v>
      </c>
      <c r="AK13">
        <v>0</v>
      </c>
      <c r="AU13" s="6">
        <v>42250</v>
      </c>
      <c r="AV13" s="6">
        <v>42250</v>
      </c>
      <c r="AW13" t="s">
        <v>54</v>
      </c>
      <c r="AX13" t="str">
        <f t="shared" si="1"/>
        <v>FOR</v>
      </c>
      <c r="AY13" t="s">
        <v>55</v>
      </c>
    </row>
    <row r="14" spans="1:51" hidden="1">
      <c r="A14">
        <v>100001</v>
      </c>
      <c r="B14" t="s">
        <v>51</v>
      </c>
      <c r="C14" t="str">
        <f t="shared" si="0"/>
        <v>00076670595</v>
      </c>
      <c r="D14" t="str">
        <f t="shared" si="0"/>
        <v>00076670595</v>
      </c>
      <c r="E14" t="s">
        <v>52</v>
      </c>
      <c r="F14">
        <v>2014</v>
      </c>
      <c r="G14">
        <v>39874</v>
      </c>
      <c r="H14" s="1">
        <v>41905</v>
      </c>
      <c r="I14" s="1">
        <v>41920</v>
      </c>
      <c r="J14" s="1">
        <v>41920</v>
      </c>
      <c r="K14" s="1">
        <v>42010</v>
      </c>
      <c r="N14" s="5"/>
      <c r="O14" s="2">
        <v>3465</v>
      </c>
      <c r="P14">
        <v>240</v>
      </c>
      <c r="Q14" s="2">
        <v>831600</v>
      </c>
      <c r="R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s="1">
        <v>42382</v>
      </c>
      <c r="AC14" t="s">
        <v>53</v>
      </c>
      <c r="AD14" t="s">
        <v>53</v>
      </c>
      <c r="AK14">
        <v>0</v>
      </c>
      <c r="AU14" s="6">
        <v>42250</v>
      </c>
      <c r="AV14" s="6">
        <v>42250</v>
      </c>
      <c r="AW14" t="s">
        <v>54</v>
      </c>
      <c r="AX14" t="str">
        <f t="shared" si="1"/>
        <v>FOR</v>
      </c>
      <c r="AY14" t="s">
        <v>55</v>
      </c>
    </row>
    <row r="15" spans="1:51" hidden="1">
      <c r="A15">
        <v>100001</v>
      </c>
      <c r="B15" t="s">
        <v>51</v>
      </c>
      <c r="C15" t="str">
        <f t="shared" si="0"/>
        <v>00076670595</v>
      </c>
      <c r="D15" t="str">
        <f t="shared" si="0"/>
        <v>00076670595</v>
      </c>
      <c r="E15" t="s">
        <v>52</v>
      </c>
      <c r="F15">
        <v>2014</v>
      </c>
      <c r="G15">
        <v>40362</v>
      </c>
      <c r="H15" s="1">
        <v>41906</v>
      </c>
      <c r="I15" s="1">
        <v>41919</v>
      </c>
      <c r="J15" s="1">
        <v>41919</v>
      </c>
      <c r="K15" s="1">
        <v>42009</v>
      </c>
      <c r="N15" s="5"/>
      <c r="O15" s="2">
        <v>2287.5</v>
      </c>
      <c r="P15">
        <v>239</v>
      </c>
      <c r="Q15" s="2">
        <v>546712.5</v>
      </c>
      <c r="R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 s="1">
        <v>42382</v>
      </c>
      <c r="AC15" t="s">
        <v>53</v>
      </c>
      <c r="AD15" t="s">
        <v>53</v>
      </c>
      <c r="AK15">
        <v>0</v>
      </c>
      <c r="AU15" s="6">
        <v>42248</v>
      </c>
      <c r="AV15" s="6">
        <v>42248</v>
      </c>
      <c r="AW15" t="s">
        <v>54</v>
      </c>
      <c r="AX15" t="str">
        <f t="shared" si="1"/>
        <v>FOR</v>
      </c>
      <c r="AY15" t="s">
        <v>55</v>
      </c>
    </row>
    <row r="16" spans="1:51">
      <c r="A16">
        <v>100001</v>
      </c>
      <c r="B16" t="s">
        <v>51</v>
      </c>
      <c r="C16" t="str">
        <f t="shared" si="0"/>
        <v>00076670595</v>
      </c>
      <c r="D16" t="str">
        <f t="shared" si="0"/>
        <v>00076670595</v>
      </c>
      <c r="E16" t="s">
        <v>52</v>
      </c>
      <c r="F16">
        <v>2014</v>
      </c>
      <c r="G16">
        <v>43327</v>
      </c>
      <c r="H16" s="1">
        <v>41926</v>
      </c>
      <c r="I16" s="1">
        <v>41939</v>
      </c>
      <c r="J16" s="1">
        <v>41939</v>
      </c>
      <c r="K16" s="1">
        <v>41999</v>
      </c>
      <c r="L16" s="7">
        <v>9157.32</v>
      </c>
      <c r="M16" s="5">
        <v>279</v>
      </c>
      <c r="N16" s="7">
        <v>2554892.2799999998</v>
      </c>
      <c r="O16" s="2">
        <v>9157.32</v>
      </c>
      <c r="P16">
        <v>279</v>
      </c>
      <c r="Q16" s="2">
        <v>2554892.2799999998</v>
      </c>
      <c r="R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 s="1">
        <v>42382</v>
      </c>
      <c r="AC16" t="s">
        <v>53</v>
      </c>
      <c r="AD16" t="s">
        <v>53</v>
      </c>
      <c r="AK16">
        <v>0</v>
      </c>
      <c r="AU16" s="6">
        <v>42278</v>
      </c>
      <c r="AV16" s="6">
        <v>42278</v>
      </c>
      <c r="AW16" t="s">
        <v>54</v>
      </c>
      <c r="AX16" t="str">
        <f t="shared" si="1"/>
        <v>FOR</v>
      </c>
      <c r="AY16" t="s">
        <v>55</v>
      </c>
    </row>
    <row r="17" spans="1:51">
      <c r="A17">
        <v>100001</v>
      </c>
      <c r="B17" t="s">
        <v>51</v>
      </c>
      <c r="C17" t="str">
        <f t="shared" si="0"/>
        <v>00076670595</v>
      </c>
      <c r="D17" t="str">
        <f t="shared" si="0"/>
        <v>00076670595</v>
      </c>
      <c r="E17" t="s">
        <v>52</v>
      </c>
      <c r="F17">
        <v>2014</v>
      </c>
      <c r="G17">
        <v>45521</v>
      </c>
      <c r="H17" s="1">
        <v>41936</v>
      </c>
      <c r="I17" s="1">
        <v>41955</v>
      </c>
      <c r="J17" s="1">
        <v>41955</v>
      </c>
      <c r="K17" s="1">
        <v>42015</v>
      </c>
      <c r="L17" s="7">
        <v>2772</v>
      </c>
      <c r="M17" s="5">
        <v>263</v>
      </c>
      <c r="N17" s="7">
        <v>729036</v>
      </c>
      <c r="O17" s="2">
        <v>2772</v>
      </c>
      <c r="P17">
        <v>263</v>
      </c>
      <c r="Q17" s="2">
        <v>729036</v>
      </c>
      <c r="R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 s="1">
        <v>42382</v>
      </c>
      <c r="AC17" t="s">
        <v>53</v>
      </c>
      <c r="AD17" t="s">
        <v>53</v>
      </c>
      <c r="AK17">
        <v>0</v>
      </c>
      <c r="AU17" s="6">
        <v>42278</v>
      </c>
      <c r="AV17" s="6">
        <v>42278</v>
      </c>
      <c r="AW17" t="s">
        <v>54</v>
      </c>
      <c r="AX17" t="str">
        <f t="shared" si="1"/>
        <v>FOR</v>
      </c>
      <c r="AY17" t="s">
        <v>55</v>
      </c>
    </row>
    <row r="18" spans="1:51">
      <c r="A18">
        <v>100001</v>
      </c>
      <c r="B18" t="s">
        <v>51</v>
      </c>
      <c r="C18" t="str">
        <f t="shared" si="0"/>
        <v>00076670595</v>
      </c>
      <c r="D18" t="str">
        <f t="shared" si="0"/>
        <v>00076670595</v>
      </c>
      <c r="E18" t="s">
        <v>52</v>
      </c>
      <c r="F18">
        <v>2014</v>
      </c>
      <c r="G18">
        <v>45645</v>
      </c>
      <c r="H18" s="1">
        <v>41939</v>
      </c>
      <c r="I18" s="1">
        <v>41955</v>
      </c>
      <c r="J18" s="1">
        <v>41955</v>
      </c>
      <c r="K18" s="1">
        <v>42015</v>
      </c>
      <c r="L18" s="7">
        <v>455.3</v>
      </c>
      <c r="M18" s="5">
        <v>263</v>
      </c>
      <c r="N18" s="7">
        <v>119743.9</v>
      </c>
      <c r="O18">
        <v>455.3</v>
      </c>
      <c r="P18">
        <v>263</v>
      </c>
      <c r="Q18" s="2">
        <v>119743.9</v>
      </c>
      <c r="R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s="1">
        <v>42382</v>
      </c>
      <c r="AC18" t="s">
        <v>53</v>
      </c>
      <c r="AD18" t="s">
        <v>53</v>
      </c>
      <c r="AK18">
        <v>0</v>
      </c>
      <c r="AU18" s="6">
        <v>42278</v>
      </c>
      <c r="AV18" s="6">
        <v>42278</v>
      </c>
      <c r="AW18" t="s">
        <v>54</v>
      </c>
      <c r="AX18" t="str">
        <f t="shared" si="1"/>
        <v>FOR</v>
      </c>
      <c r="AY18" t="s">
        <v>55</v>
      </c>
    </row>
    <row r="19" spans="1:51">
      <c r="A19">
        <v>100001</v>
      </c>
      <c r="B19" t="s">
        <v>51</v>
      </c>
      <c r="C19" t="str">
        <f t="shared" si="0"/>
        <v>00076670595</v>
      </c>
      <c r="D19" t="str">
        <f t="shared" si="0"/>
        <v>00076670595</v>
      </c>
      <c r="E19" t="s">
        <v>52</v>
      </c>
      <c r="F19">
        <v>2014</v>
      </c>
      <c r="G19">
        <v>46993</v>
      </c>
      <c r="H19" s="1">
        <v>41946</v>
      </c>
      <c r="I19" s="1">
        <v>41964</v>
      </c>
      <c r="J19" s="1">
        <v>41964</v>
      </c>
      <c r="K19" s="1">
        <v>42024</v>
      </c>
      <c r="L19" s="7">
        <v>128.26</v>
      </c>
      <c r="M19" s="5">
        <v>280</v>
      </c>
      <c r="N19" s="7">
        <v>35912.800000000003</v>
      </c>
      <c r="O19">
        <v>128.26</v>
      </c>
      <c r="P19">
        <v>280</v>
      </c>
      <c r="Q19" s="2">
        <v>35912.800000000003</v>
      </c>
      <c r="R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 s="1">
        <v>42382</v>
      </c>
      <c r="AC19" t="s">
        <v>53</v>
      </c>
      <c r="AD19" t="s">
        <v>53</v>
      </c>
      <c r="AK19">
        <v>0</v>
      </c>
      <c r="AU19" s="6">
        <v>42304</v>
      </c>
      <c r="AV19" s="6">
        <v>42304</v>
      </c>
      <c r="AW19" t="s">
        <v>54</v>
      </c>
      <c r="AX19" t="str">
        <f t="shared" si="1"/>
        <v>FOR</v>
      </c>
      <c r="AY19" t="s">
        <v>55</v>
      </c>
    </row>
    <row r="20" spans="1:51">
      <c r="A20">
        <v>100001</v>
      </c>
      <c r="B20" t="s">
        <v>51</v>
      </c>
      <c r="C20" t="str">
        <f t="shared" si="0"/>
        <v>00076670595</v>
      </c>
      <c r="D20" t="str">
        <f t="shared" si="0"/>
        <v>00076670595</v>
      </c>
      <c r="E20" t="s">
        <v>52</v>
      </c>
      <c r="F20">
        <v>2014</v>
      </c>
      <c r="G20">
        <v>48853</v>
      </c>
      <c r="H20" s="1">
        <v>41960</v>
      </c>
      <c r="I20" s="1">
        <v>41984</v>
      </c>
      <c r="J20" s="1">
        <v>41984</v>
      </c>
      <c r="K20" s="1">
        <v>42044</v>
      </c>
      <c r="L20" s="7">
        <v>19345.3</v>
      </c>
      <c r="M20" s="5">
        <v>260</v>
      </c>
      <c r="N20" s="7">
        <v>5029778</v>
      </c>
      <c r="O20" s="2">
        <v>19345.3</v>
      </c>
      <c r="P20">
        <v>260</v>
      </c>
      <c r="Q20" s="2">
        <v>5029778</v>
      </c>
      <c r="R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 s="1">
        <v>42382</v>
      </c>
      <c r="AC20" t="s">
        <v>53</v>
      </c>
      <c r="AD20" t="s">
        <v>53</v>
      </c>
      <c r="AK20">
        <v>0</v>
      </c>
      <c r="AU20" s="6">
        <v>42304</v>
      </c>
      <c r="AV20" s="6">
        <v>42304</v>
      </c>
      <c r="AW20" t="s">
        <v>54</v>
      </c>
      <c r="AX20" t="str">
        <f t="shared" si="1"/>
        <v>FOR</v>
      </c>
      <c r="AY20" t="s">
        <v>55</v>
      </c>
    </row>
    <row r="21" spans="1:51">
      <c r="A21">
        <v>100001</v>
      </c>
      <c r="B21" t="s">
        <v>51</v>
      </c>
      <c r="C21" t="str">
        <f t="shared" si="0"/>
        <v>00076670595</v>
      </c>
      <c r="D21" t="str">
        <f t="shared" si="0"/>
        <v>00076670595</v>
      </c>
      <c r="E21" t="s">
        <v>52</v>
      </c>
      <c r="F21">
        <v>2014</v>
      </c>
      <c r="G21">
        <v>48966</v>
      </c>
      <c r="H21" s="1">
        <v>41960</v>
      </c>
      <c r="I21" s="1">
        <v>41984</v>
      </c>
      <c r="J21" s="1">
        <v>41984</v>
      </c>
      <c r="K21" s="1">
        <v>42044</v>
      </c>
      <c r="L21" s="7">
        <v>2772</v>
      </c>
      <c r="M21" s="5">
        <v>260</v>
      </c>
      <c r="N21" s="7">
        <v>720720</v>
      </c>
      <c r="O21" s="2">
        <v>2772</v>
      </c>
      <c r="P21">
        <v>260</v>
      </c>
      <c r="Q21" s="2">
        <v>720720</v>
      </c>
      <c r="R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 s="1">
        <v>42382</v>
      </c>
      <c r="AC21" t="s">
        <v>53</v>
      </c>
      <c r="AD21" t="s">
        <v>53</v>
      </c>
      <c r="AK21">
        <v>0</v>
      </c>
      <c r="AU21" s="6">
        <v>42304</v>
      </c>
      <c r="AV21" s="6">
        <v>42304</v>
      </c>
      <c r="AW21" t="s">
        <v>54</v>
      </c>
      <c r="AX21" t="str">
        <f t="shared" si="1"/>
        <v>FOR</v>
      </c>
      <c r="AY21" t="s">
        <v>55</v>
      </c>
    </row>
    <row r="22" spans="1:51">
      <c r="A22">
        <v>100001</v>
      </c>
      <c r="B22" t="s">
        <v>51</v>
      </c>
      <c r="C22" t="str">
        <f t="shared" si="0"/>
        <v>00076670595</v>
      </c>
      <c r="D22" t="str">
        <f t="shared" si="0"/>
        <v>00076670595</v>
      </c>
      <c r="E22" t="s">
        <v>52</v>
      </c>
      <c r="F22">
        <v>2014</v>
      </c>
      <c r="G22">
        <v>51800</v>
      </c>
      <c r="H22" s="1">
        <v>41975</v>
      </c>
      <c r="I22" s="1">
        <v>42002</v>
      </c>
      <c r="J22" s="1">
        <v>42002</v>
      </c>
      <c r="K22" s="1">
        <v>42062</v>
      </c>
      <c r="L22" s="7">
        <v>2772</v>
      </c>
      <c r="M22" s="5">
        <v>278</v>
      </c>
      <c r="N22" s="7">
        <v>770616</v>
      </c>
      <c r="O22" s="2">
        <v>2772</v>
      </c>
      <c r="P22">
        <v>278</v>
      </c>
      <c r="Q22" s="2">
        <v>770616</v>
      </c>
      <c r="R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 s="1">
        <v>42382</v>
      </c>
      <c r="AC22" t="s">
        <v>53</v>
      </c>
      <c r="AD22" t="s">
        <v>53</v>
      </c>
      <c r="AK22">
        <v>0</v>
      </c>
      <c r="AU22" s="6">
        <v>42340</v>
      </c>
      <c r="AV22" s="6">
        <v>42340</v>
      </c>
      <c r="AW22" t="s">
        <v>54</v>
      </c>
      <c r="AX22" t="str">
        <f t="shared" si="1"/>
        <v>FOR</v>
      </c>
      <c r="AY22" t="s">
        <v>55</v>
      </c>
    </row>
    <row r="23" spans="1:51">
      <c r="A23">
        <v>100001</v>
      </c>
      <c r="B23" t="s">
        <v>51</v>
      </c>
      <c r="C23" t="str">
        <f t="shared" si="0"/>
        <v>00076670595</v>
      </c>
      <c r="D23" t="str">
        <f t="shared" si="0"/>
        <v>00076670595</v>
      </c>
      <c r="E23" t="s">
        <v>52</v>
      </c>
      <c r="F23">
        <v>2014</v>
      </c>
      <c r="G23">
        <v>53528</v>
      </c>
      <c r="H23" s="1">
        <v>41989</v>
      </c>
      <c r="I23" s="1">
        <v>42024</v>
      </c>
      <c r="J23" s="1">
        <v>42024</v>
      </c>
      <c r="K23" s="1">
        <v>42084</v>
      </c>
      <c r="L23" s="7">
        <v>295.73</v>
      </c>
      <c r="M23" s="5">
        <v>256</v>
      </c>
      <c r="N23" s="7">
        <v>75706.880000000005</v>
      </c>
      <c r="O23">
        <v>295.73</v>
      </c>
      <c r="P23">
        <v>256</v>
      </c>
      <c r="Q23" s="2">
        <v>75706.880000000005</v>
      </c>
      <c r="R23">
        <v>0</v>
      </c>
      <c r="V23">
        <v>0</v>
      </c>
      <c r="W23">
        <v>0</v>
      </c>
      <c r="X23">
        <v>0</v>
      </c>
      <c r="Y23">
        <v>0</v>
      </c>
      <c r="Z23">
        <v>295.73</v>
      </c>
      <c r="AA23">
        <v>0</v>
      </c>
      <c r="AB23" s="1">
        <v>42382</v>
      </c>
      <c r="AC23" t="s">
        <v>53</v>
      </c>
      <c r="AD23" t="s">
        <v>53</v>
      </c>
      <c r="AK23">
        <v>0</v>
      </c>
      <c r="AU23" s="6">
        <v>42340</v>
      </c>
      <c r="AV23" s="6">
        <v>42340</v>
      </c>
      <c r="AW23" t="s">
        <v>54</v>
      </c>
      <c r="AX23" t="str">
        <f t="shared" si="1"/>
        <v>FOR</v>
      </c>
      <c r="AY23" t="s">
        <v>55</v>
      </c>
    </row>
    <row r="24" spans="1:51">
      <c r="A24">
        <v>100001</v>
      </c>
      <c r="B24" t="s">
        <v>51</v>
      </c>
      <c r="C24" t="str">
        <f t="shared" si="0"/>
        <v>00076670595</v>
      </c>
      <c r="D24" t="str">
        <f t="shared" si="0"/>
        <v>00076670595</v>
      </c>
      <c r="E24" t="s">
        <v>52</v>
      </c>
      <c r="F24">
        <v>2014</v>
      </c>
      <c r="G24">
        <v>53983</v>
      </c>
      <c r="H24" s="1">
        <v>41990</v>
      </c>
      <c r="I24" s="1">
        <v>42018</v>
      </c>
      <c r="J24" s="1">
        <v>42018</v>
      </c>
      <c r="K24" s="1">
        <v>42078</v>
      </c>
      <c r="L24" s="7">
        <v>1732.5</v>
      </c>
      <c r="M24" s="5">
        <v>262</v>
      </c>
      <c r="N24" s="7">
        <v>453915</v>
      </c>
      <c r="O24" s="2">
        <v>1732.5</v>
      </c>
      <c r="P24">
        <v>262</v>
      </c>
      <c r="Q24" s="2">
        <v>453915</v>
      </c>
      <c r="R24">
        <v>0</v>
      </c>
      <c r="V24">
        <v>0</v>
      </c>
      <c r="W24">
        <v>0</v>
      </c>
      <c r="X24">
        <v>0</v>
      </c>
      <c r="Y24">
        <v>0</v>
      </c>
      <c r="Z24" s="2">
        <v>1732.5</v>
      </c>
      <c r="AA24">
        <v>0</v>
      </c>
      <c r="AB24" s="1">
        <v>42382</v>
      </c>
      <c r="AC24" t="s">
        <v>53</v>
      </c>
      <c r="AD24" t="s">
        <v>53</v>
      </c>
      <c r="AK24">
        <v>0</v>
      </c>
      <c r="AU24" s="6">
        <v>42340</v>
      </c>
      <c r="AV24" s="6">
        <v>42340</v>
      </c>
      <c r="AW24" t="s">
        <v>54</v>
      </c>
      <c r="AX24" t="str">
        <f t="shared" si="1"/>
        <v>FOR</v>
      </c>
      <c r="AY24" t="s">
        <v>55</v>
      </c>
    </row>
    <row r="25" spans="1:51" hidden="1">
      <c r="A25">
        <v>100001</v>
      </c>
      <c r="B25" t="s">
        <v>51</v>
      </c>
      <c r="C25" t="str">
        <f t="shared" si="0"/>
        <v>00076670595</v>
      </c>
      <c r="D25" t="str">
        <f t="shared" si="0"/>
        <v>00076670595</v>
      </c>
      <c r="E25" t="s">
        <v>52</v>
      </c>
      <c r="F25">
        <v>2015</v>
      </c>
      <c r="G25">
        <v>52</v>
      </c>
      <c r="H25" s="1">
        <v>42073</v>
      </c>
      <c r="I25" s="1">
        <v>42073</v>
      </c>
      <c r="J25" s="1">
        <v>42073</v>
      </c>
      <c r="K25" s="1">
        <v>42133</v>
      </c>
      <c r="N25" s="5"/>
      <c r="O25" s="2">
        <v>3297.74</v>
      </c>
      <c r="P25">
        <v>-57</v>
      </c>
      <c r="Q25" s="2">
        <v>-187971.18</v>
      </c>
      <c r="R25">
        <v>0</v>
      </c>
      <c r="V25">
        <v>0</v>
      </c>
      <c r="W25">
        <v>0</v>
      </c>
      <c r="X25">
        <v>0</v>
      </c>
      <c r="Y25" s="2">
        <v>3297.74</v>
      </c>
      <c r="Z25" s="2">
        <v>3297.74</v>
      </c>
      <c r="AA25" s="2">
        <v>3297.74</v>
      </c>
      <c r="AB25" s="1">
        <v>42382</v>
      </c>
      <c r="AC25" t="s">
        <v>53</v>
      </c>
      <c r="AD25" t="s">
        <v>53</v>
      </c>
      <c r="AK25">
        <v>0</v>
      </c>
      <c r="AU25" s="6">
        <v>42076</v>
      </c>
      <c r="AV25" s="6">
        <v>42076</v>
      </c>
      <c r="AW25" t="s">
        <v>54</v>
      </c>
      <c r="AX25" t="str">
        <f t="shared" si="1"/>
        <v>FOR</v>
      </c>
      <c r="AY25" t="s">
        <v>55</v>
      </c>
    </row>
    <row r="26" spans="1:51" hidden="1">
      <c r="A26">
        <v>100001</v>
      </c>
      <c r="B26" t="s">
        <v>51</v>
      </c>
      <c r="C26" t="str">
        <f t="shared" si="0"/>
        <v>00076670595</v>
      </c>
      <c r="D26" t="str">
        <f t="shared" si="0"/>
        <v>00076670595</v>
      </c>
      <c r="E26" t="s">
        <v>52</v>
      </c>
      <c r="F26">
        <v>2015</v>
      </c>
      <c r="G26">
        <v>53</v>
      </c>
      <c r="H26" s="1">
        <v>42073</v>
      </c>
      <c r="I26" s="1">
        <v>42073</v>
      </c>
      <c r="J26" s="1">
        <v>42073</v>
      </c>
      <c r="K26" s="1">
        <v>42133</v>
      </c>
      <c r="N26" s="5"/>
      <c r="O26">
        <v>805.56</v>
      </c>
      <c r="P26">
        <v>-57</v>
      </c>
      <c r="Q26" s="2">
        <v>-45916.92</v>
      </c>
      <c r="R26">
        <v>0</v>
      </c>
      <c r="V26">
        <v>0</v>
      </c>
      <c r="W26">
        <v>0</v>
      </c>
      <c r="X26">
        <v>0</v>
      </c>
      <c r="Y26">
        <v>805.56</v>
      </c>
      <c r="Z26">
        <v>805.56</v>
      </c>
      <c r="AA26">
        <v>805.56</v>
      </c>
      <c r="AB26" s="1">
        <v>42382</v>
      </c>
      <c r="AC26" t="s">
        <v>53</v>
      </c>
      <c r="AD26" t="s">
        <v>53</v>
      </c>
      <c r="AK26">
        <v>0</v>
      </c>
      <c r="AU26" s="6">
        <v>42076</v>
      </c>
      <c r="AV26" s="6">
        <v>42076</v>
      </c>
      <c r="AW26" t="s">
        <v>54</v>
      </c>
      <c r="AX26" t="str">
        <f t="shared" si="1"/>
        <v>FOR</v>
      </c>
      <c r="AY26" t="s">
        <v>55</v>
      </c>
    </row>
    <row r="27" spans="1:51">
      <c r="A27">
        <v>100001</v>
      </c>
      <c r="B27" t="s">
        <v>51</v>
      </c>
      <c r="C27" t="str">
        <f t="shared" si="0"/>
        <v>00076670595</v>
      </c>
      <c r="D27" t="str">
        <f t="shared" si="0"/>
        <v>00076670595</v>
      </c>
      <c r="E27" t="s">
        <v>52</v>
      </c>
      <c r="F27">
        <v>2015</v>
      </c>
      <c r="G27">
        <v>1515</v>
      </c>
      <c r="H27" s="1">
        <v>42025</v>
      </c>
      <c r="I27" s="1">
        <v>42041</v>
      </c>
      <c r="J27" s="1">
        <v>42041</v>
      </c>
      <c r="K27" s="1">
        <v>42101</v>
      </c>
      <c r="L27" s="7">
        <v>3150</v>
      </c>
      <c r="M27" s="5">
        <v>255</v>
      </c>
      <c r="N27" s="7">
        <v>803250</v>
      </c>
      <c r="O27" s="2">
        <v>3150</v>
      </c>
      <c r="P27">
        <v>255</v>
      </c>
      <c r="Q27" s="2">
        <v>803250</v>
      </c>
      <c r="R27">
        <v>315</v>
      </c>
      <c r="V27">
        <v>0</v>
      </c>
      <c r="W27">
        <v>0</v>
      </c>
      <c r="X27">
        <v>0</v>
      </c>
      <c r="Y27" s="2">
        <v>3465</v>
      </c>
      <c r="Z27" s="2">
        <v>3465</v>
      </c>
      <c r="AA27" s="2">
        <v>3465</v>
      </c>
      <c r="AB27" s="1">
        <v>42382</v>
      </c>
      <c r="AC27" t="s">
        <v>53</v>
      </c>
      <c r="AD27" t="s">
        <v>53</v>
      </c>
      <c r="AK27">
        <v>315</v>
      </c>
      <c r="AU27" s="6">
        <v>42356</v>
      </c>
      <c r="AV27" s="6">
        <v>42356</v>
      </c>
      <c r="AW27" t="s">
        <v>54</v>
      </c>
      <c r="AX27" t="str">
        <f t="shared" si="1"/>
        <v>FOR</v>
      </c>
      <c r="AY27" t="s">
        <v>55</v>
      </c>
    </row>
    <row r="28" spans="1:51">
      <c r="A28">
        <v>100001</v>
      </c>
      <c r="B28" t="s">
        <v>51</v>
      </c>
      <c r="C28" t="str">
        <f t="shared" si="0"/>
        <v>00076670595</v>
      </c>
      <c r="D28" t="str">
        <f t="shared" si="0"/>
        <v>00076670595</v>
      </c>
      <c r="E28" t="s">
        <v>52</v>
      </c>
      <c r="F28">
        <v>2015</v>
      </c>
      <c r="G28">
        <v>1598</v>
      </c>
      <c r="H28" s="1">
        <v>42026</v>
      </c>
      <c r="I28" s="1">
        <v>42044</v>
      </c>
      <c r="J28" s="1">
        <v>42044</v>
      </c>
      <c r="K28" s="1">
        <v>42104</v>
      </c>
      <c r="L28" s="7">
        <v>15796.1</v>
      </c>
      <c r="M28" s="5">
        <v>252</v>
      </c>
      <c r="N28" s="7">
        <v>3980617.2</v>
      </c>
      <c r="O28" s="2">
        <v>15796.1</v>
      </c>
      <c r="P28">
        <v>252</v>
      </c>
      <c r="Q28" s="2">
        <v>3980617.2</v>
      </c>
      <c r="R28" s="2">
        <v>3475.14</v>
      </c>
      <c r="V28">
        <v>0</v>
      </c>
      <c r="W28">
        <v>0</v>
      </c>
      <c r="X28">
        <v>0</v>
      </c>
      <c r="Y28" s="2">
        <v>19271.240000000002</v>
      </c>
      <c r="Z28" s="2">
        <v>19271.240000000002</v>
      </c>
      <c r="AA28" s="2">
        <v>19271.240000000002</v>
      </c>
      <c r="AB28" s="1">
        <v>42382</v>
      </c>
      <c r="AC28" t="s">
        <v>53</v>
      </c>
      <c r="AD28" t="s">
        <v>53</v>
      </c>
      <c r="AK28" s="2">
        <v>3475.14</v>
      </c>
      <c r="AU28" s="6">
        <v>42356</v>
      </c>
      <c r="AV28" s="6">
        <v>42356</v>
      </c>
      <c r="AW28" t="s">
        <v>54</v>
      </c>
      <c r="AX28" t="str">
        <f t="shared" si="1"/>
        <v>FOR</v>
      </c>
      <c r="AY28" t="s">
        <v>55</v>
      </c>
    </row>
    <row r="29" spans="1:51">
      <c r="A29">
        <v>100001</v>
      </c>
      <c r="B29" t="s">
        <v>51</v>
      </c>
      <c r="C29" t="str">
        <f t="shared" si="0"/>
        <v>00076670595</v>
      </c>
      <c r="D29" t="str">
        <f t="shared" si="0"/>
        <v>00076670595</v>
      </c>
      <c r="E29" t="s">
        <v>52</v>
      </c>
      <c r="F29">
        <v>2015</v>
      </c>
      <c r="G29">
        <v>5525</v>
      </c>
      <c r="H29" s="1">
        <v>42059</v>
      </c>
      <c r="I29" s="1">
        <v>42069</v>
      </c>
      <c r="J29" s="1">
        <v>42069</v>
      </c>
      <c r="K29" s="1">
        <v>42129</v>
      </c>
      <c r="L29" s="7">
        <v>1875</v>
      </c>
      <c r="M29" s="5">
        <v>226</v>
      </c>
      <c r="N29" s="7">
        <v>423750</v>
      </c>
      <c r="O29" s="2">
        <v>1875</v>
      </c>
      <c r="P29">
        <v>226</v>
      </c>
      <c r="Q29" s="2">
        <v>423750</v>
      </c>
      <c r="R29">
        <v>412.5</v>
      </c>
      <c r="V29">
        <v>0</v>
      </c>
      <c r="W29">
        <v>0</v>
      </c>
      <c r="X29">
        <v>0</v>
      </c>
      <c r="Y29">
        <v>0</v>
      </c>
      <c r="Z29" s="2">
        <v>2287.5</v>
      </c>
      <c r="AA29" s="2">
        <v>2287.5</v>
      </c>
      <c r="AB29" s="1">
        <v>42382</v>
      </c>
      <c r="AC29" t="s">
        <v>53</v>
      </c>
      <c r="AD29" t="s">
        <v>53</v>
      </c>
      <c r="AK29">
        <v>412.5</v>
      </c>
      <c r="AU29" s="6">
        <v>42355</v>
      </c>
      <c r="AV29" s="6">
        <v>42355</v>
      </c>
      <c r="AW29" t="s">
        <v>54</v>
      </c>
      <c r="AX29" t="str">
        <f t="shared" si="1"/>
        <v>FOR</v>
      </c>
      <c r="AY29" t="s">
        <v>55</v>
      </c>
    </row>
    <row r="30" spans="1:51">
      <c r="A30">
        <v>100002</v>
      </c>
      <c r="B30" t="s">
        <v>56</v>
      </c>
      <c r="C30" t="str">
        <f>"04918311210"</f>
        <v>04918311210</v>
      </c>
      <c r="D30" t="str">
        <f>""</f>
        <v/>
      </c>
      <c r="E30" t="s">
        <v>52</v>
      </c>
      <c r="F30">
        <v>2015</v>
      </c>
      <c r="G30" t="s">
        <v>57</v>
      </c>
      <c r="H30" s="1">
        <v>42251</v>
      </c>
      <c r="I30" s="1">
        <v>42258</v>
      </c>
      <c r="J30" s="1">
        <v>42257</v>
      </c>
      <c r="K30" s="1">
        <v>42317</v>
      </c>
      <c r="L30" s="7">
        <v>4000</v>
      </c>
      <c r="M30" s="5">
        <v>-13</v>
      </c>
      <c r="N30" s="7">
        <v>-52000</v>
      </c>
      <c r="O30" s="2">
        <v>4000</v>
      </c>
      <c r="P30">
        <v>-13</v>
      </c>
      <c r="Q30" s="2">
        <v>-52000</v>
      </c>
      <c r="R30">
        <v>0</v>
      </c>
      <c r="V30">
        <v>0</v>
      </c>
      <c r="W30">
        <v>0</v>
      </c>
      <c r="X30">
        <v>0</v>
      </c>
      <c r="Y30" s="2">
        <v>4400</v>
      </c>
      <c r="Z30" s="2">
        <v>4400</v>
      </c>
      <c r="AA30" s="2">
        <v>4400</v>
      </c>
      <c r="AB30" s="1">
        <v>42382</v>
      </c>
      <c r="AC30" t="s">
        <v>53</v>
      </c>
      <c r="AD30" t="s">
        <v>53</v>
      </c>
      <c r="AK30">
        <v>0</v>
      </c>
      <c r="AU30" s="6">
        <v>42304</v>
      </c>
      <c r="AV30" s="6">
        <v>42304</v>
      </c>
      <c r="AW30" t="s">
        <v>54</v>
      </c>
      <c r="AX30" t="str">
        <f t="shared" si="1"/>
        <v>FOR</v>
      </c>
      <c r="AY30" t="s">
        <v>55</v>
      </c>
    </row>
    <row r="31" spans="1:51" hidden="1">
      <c r="A31">
        <v>100003</v>
      </c>
      <c r="B31" t="s">
        <v>58</v>
      </c>
      <c r="C31" t="str">
        <f t="shared" ref="C31:C37" si="2">"00890231004"</f>
        <v>00890231004</v>
      </c>
      <c r="D31" t="str">
        <f t="shared" ref="D31:D37" si="3">"00431030584"</f>
        <v>00431030584</v>
      </c>
      <c r="E31" t="s">
        <v>52</v>
      </c>
      <c r="F31">
        <v>2014</v>
      </c>
      <c r="G31">
        <v>40301775</v>
      </c>
      <c r="H31" s="1">
        <v>41674</v>
      </c>
      <c r="I31" s="1">
        <v>41681</v>
      </c>
      <c r="J31" s="1">
        <v>41681</v>
      </c>
      <c r="K31" s="1">
        <v>41771</v>
      </c>
      <c r="N31" s="5"/>
      <c r="O31">
        <v>728</v>
      </c>
      <c r="P31">
        <v>266</v>
      </c>
      <c r="Q31" s="2">
        <v>193648</v>
      </c>
      <c r="R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 s="1">
        <v>42382</v>
      </c>
      <c r="AC31" t="s">
        <v>53</v>
      </c>
      <c r="AD31" t="s">
        <v>53</v>
      </c>
      <c r="AK31">
        <v>0</v>
      </c>
      <c r="AU31" s="6">
        <v>42037</v>
      </c>
      <c r="AV31" s="6">
        <v>42037</v>
      </c>
      <c r="AW31" t="s">
        <v>54</v>
      </c>
      <c r="AX31" t="str">
        <f t="shared" si="1"/>
        <v>FOR</v>
      </c>
      <c r="AY31" t="s">
        <v>55</v>
      </c>
    </row>
    <row r="32" spans="1:51" hidden="1">
      <c r="A32">
        <v>100003</v>
      </c>
      <c r="B32" t="s">
        <v>58</v>
      </c>
      <c r="C32" t="str">
        <f t="shared" si="2"/>
        <v>00890231004</v>
      </c>
      <c r="D32" t="str">
        <f t="shared" si="3"/>
        <v>00431030584</v>
      </c>
      <c r="E32" t="s">
        <v>52</v>
      </c>
      <c r="F32">
        <v>2014</v>
      </c>
      <c r="G32">
        <v>40304598</v>
      </c>
      <c r="H32" s="1">
        <v>41696</v>
      </c>
      <c r="I32" s="1">
        <v>41703</v>
      </c>
      <c r="J32" s="1">
        <v>41703</v>
      </c>
      <c r="K32" s="1">
        <v>41793</v>
      </c>
      <c r="N32" s="5"/>
      <c r="O32">
        <v>728</v>
      </c>
      <c r="P32">
        <v>244</v>
      </c>
      <c r="Q32" s="2">
        <v>177632</v>
      </c>
      <c r="R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 s="1">
        <v>42382</v>
      </c>
      <c r="AC32" t="s">
        <v>53</v>
      </c>
      <c r="AD32" t="s">
        <v>53</v>
      </c>
      <c r="AK32">
        <v>0</v>
      </c>
      <c r="AU32" s="6">
        <v>42037</v>
      </c>
      <c r="AV32" s="6">
        <v>42037</v>
      </c>
      <c r="AW32" t="s">
        <v>54</v>
      </c>
      <c r="AX32" t="str">
        <f t="shared" si="1"/>
        <v>FOR</v>
      </c>
      <c r="AY32" t="s">
        <v>55</v>
      </c>
    </row>
    <row r="33" spans="1:51" hidden="1">
      <c r="A33">
        <v>100003</v>
      </c>
      <c r="B33" t="s">
        <v>58</v>
      </c>
      <c r="C33" t="str">
        <f t="shared" si="2"/>
        <v>00890231004</v>
      </c>
      <c r="D33" t="str">
        <f t="shared" si="3"/>
        <v>00431030584</v>
      </c>
      <c r="E33" t="s">
        <v>52</v>
      </c>
      <c r="F33">
        <v>2014</v>
      </c>
      <c r="G33">
        <v>40321852</v>
      </c>
      <c r="H33" s="1">
        <v>41823</v>
      </c>
      <c r="I33" s="1">
        <v>41830</v>
      </c>
      <c r="J33" s="1">
        <v>41830</v>
      </c>
      <c r="K33" s="1">
        <v>41920</v>
      </c>
      <c r="N33" s="5"/>
      <c r="O33">
        <v>728</v>
      </c>
      <c r="P33">
        <v>239</v>
      </c>
      <c r="Q33" s="2">
        <v>173992</v>
      </c>
      <c r="R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 s="1">
        <v>42382</v>
      </c>
      <c r="AC33" t="s">
        <v>53</v>
      </c>
      <c r="AD33" t="s">
        <v>53</v>
      </c>
      <c r="AK33">
        <v>0</v>
      </c>
      <c r="AU33" s="6">
        <v>42159</v>
      </c>
      <c r="AV33" s="6">
        <v>42159</v>
      </c>
      <c r="AW33" t="s">
        <v>54</v>
      </c>
      <c r="AX33" t="str">
        <f t="shared" si="1"/>
        <v>FOR</v>
      </c>
      <c r="AY33" t="s">
        <v>55</v>
      </c>
    </row>
    <row r="34" spans="1:51" hidden="1">
      <c r="A34">
        <v>100003</v>
      </c>
      <c r="B34" t="s">
        <v>58</v>
      </c>
      <c r="C34" t="str">
        <f t="shared" si="2"/>
        <v>00890231004</v>
      </c>
      <c r="D34" t="str">
        <f t="shared" si="3"/>
        <v>00431030584</v>
      </c>
      <c r="E34" t="s">
        <v>52</v>
      </c>
      <c r="F34">
        <v>2014</v>
      </c>
      <c r="G34">
        <v>40323451</v>
      </c>
      <c r="H34" s="1">
        <v>41837</v>
      </c>
      <c r="I34" s="1">
        <v>41844</v>
      </c>
      <c r="J34" s="1">
        <v>41844</v>
      </c>
      <c r="K34" s="1">
        <v>41934</v>
      </c>
      <c r="N34" s="5"/>
      <c r="O34">
        <v>728</v>
      </c>
      <c r="P34">
        <v>225</v>
      </c>
      <c r="Q34" s="2">
        <v>163800</v>
      </c>
      <c r="R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 s="1">
        <v>42382</v>
      </c>
      <c r="AC34" t="s">
        <v>53</v>
      </c>
      <c r="AD34" t="s">
        <v>53</v>
      </c>
      <c r="AK34">
        <v>0</v>
      </c>
      <c r="AU34" s="6">
        <v>42159</v>
      </c>
      <c r="AV34" s="6">
        <v>42159</v>
      </c>
      <c r="AW34" t="s">
        <v>54</v>
      </c>
      <c r="AX34" t="str">
        <f t="shared" si="1"/>
        <v>FOR</v>
      </c>
      <c r="AY34" t="s">
        <v>55</v>
      </c>
    </row>
    <row r="35" spans="1:51" hidden="1">
      <c r="A35">
        <v>100003</v>
      </c>
      <c r="B35" t="s">
        <v>58</v>
      </c>
      <c r="C35" t="str">
        <f t="shared" si="2"/>
        <v>00890231004</v>
      </c>
      <c r="D35" t="str">
        <f t="shared" si="3"/>
        <v>00431030584</v>
      </c>
      <c r="E35" t="s">
        <v>52</v>
      </c>
      <c r="F35">
        <v>2014</v>
      </c>
      <c r="G35">
        <v>40327192</v>
      </c>
      <c r="H35" s="1">
        <v>41891</v>
      </c>
      <c r="I35" s="1">
        <v>41897</v>
      </c>
      <c r="J35" s="1">
        <v>41897</v>
      </c>
      <c r="K35" s="1">
        <v>41987</v>
      </c>
      <c r="N35" s="5"/>
      <c r="O35">
        <v>728</v>
      </c>
      <c r="P35">
        <v>172</v>
      </c>
      <c r="Q35" s="2">
        <v>125216</v>
      </c>
      <c r="R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 s="1">
        <v>42382</v>
      </c>
      <c r="AC35" t="s">
        <v>53</v>
      </c>
      <c r="AD35" t="s">
        <v>53</v>
      </c>
      <c r="AK35">
        <v>0</v>
      </c>
      <c r="AU35" s="6">
        <v>42159</v>
      </c>
      <c r="AV35" s="6">
        <v>42159</v>
      </c>
      <c r="AW35" t="s">
        <v>54</v>
      </c>
      <c r="AX35" t="str">
        <f t="shared" si="1"/>
        <v>FOR</v>
      </c>
      <c r="AY35" t="s">
        <v>55</v>
      </c>
    </row>
    <row r="36" spans="1:51" hidden="1">
      <c r="A36">
        <v>100003</v>
      </c>
      <c r="B36" t="s">
        <v>58</v>
      </c>
      <c r="C36" t="str">
        <f t="shared" si="2"/>
        <v>00890231004</v>
      </c>
      <c r="D36" t="str">
        <f t="shared" si="3"/>
        <v>00431030584</v>
      </c>
      <c r="E36" t="s">
        <v>52</v>
      </c>
      <c r="F36">
        <v>2014</v>
      </c>
      <c r="G36">
        <v>40327194</v>
      </c>
      <c r="H36" s="1">
        <v>41891</v>
      </c>
      <c r="I36" s="1">
        <v>41897</v>
      </c>
      <c r="J36" s="1">
        <v>41897</v>
      </c>
      <c r="K36" s="1">
        <v>41987</v>
      </c>
      <c r="N36" s="5"/>
      <c r="O36">
        <v>728</v>
      </c>
      <c r="P36">
        <v>172</v>
      </c>
      <c r="Q36" s="2">
        <v>125216</v>
      </c>
      <c r="R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 s="1">
        <v>42382</v>
      </c>
      <c r="AC36" t="s">
        <v>53</v>
      </c>
      <c r="AD36" t="s">
        <v>53</v>
      </c>
      <c r="AK36">
        <v>0</v>
      </c>
      <c r="AU36" s="6">
        <v>42159</v>
      </c>
      <c r="AV36" s="6">
        <v>42159</v>
      </c>
      <c r="AW36" t="s">
        <v>54</v>
      </c>
      <c r="AX36" t="str">
        <f t="shared" si="1"/>
        <v>FOR</v>
      </c>
      <c r="AY36" t="s">
        <v>55</v>
      </c>
    </row>
    <row r="37" spans="1:51" hidden="1">
      <c r="A37">
        <v>100003</v>
      </c>
      <c r="B37" t="s">
        <v>58</v>
      </c>
      <c r="C37" t="str">
        <f t="shared" si="2"/>
        <v>00890231004</v>
      </c>
      <c r="D37" t="str">
        <f t="shared" si="3"/>
        <v>00431030584</v>
      </c>
      <c r="E37" t="s">
        <v>52</v>
      </c>
      <c r="F37">
        <v>2014</v>
      </c>
      <c r="G37">
        <v>70009132</v>
      </c>
      <c r="H37" s="1">
        <v>41894</v>
      </c>
      <c r="I37" s="1">
        <v>41904</v>
      </c>
      <c r="J37" s="1">
        <v>41904</v>
      </c>
      <c r="K37" s="1">
        <v>41994</v>
      </c>
      <c r="N37" s="5"/>
      <c r="O37">
        <v>-728</v>
      </c>
      <c r="P37">
        <v>165</v>
      </c>
      <c r="Q37" s="2">
        <v>-120120</v>
      </c>
      <c r="R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 s="1">
        <v>42382</v>
      </c>
      <c r="AC37" t="s">
        <v>53</v>
      </c>
      <c r="AD37" t="s">
        <v>53</v>
      </c>
      <c r="AK37">
        <v>0</v>
      </c>
      <c r="AU37" s="6">
        <v>42159</v>
      </c>
      <c r="AV37" s="6">
        <v>42159</v>
      </c>
      <c r="AW37" t="s">
        <v>54</v>
      </c>
      <c r="AX37" t="str">
        <f t="shared" si="1"/>
        <v>FOR</v>
      </c>
      <c r="AY37" t="s">
        <v>55</v>
      </c>
    </row>
    <row r="38" spans="1:51" hidden="1">
      <c r="A38">
        <v>100012</v>
      </c>
      <c r="B38" t="s">
        <v>59</v>
      </c>
      <c r="C38" t="str">
        <f t="shared" ref="C38:D44" si="4">"08526440154"</f>
        <v>08526440154</v>
      </c>
      <c r="D38" t="str">
        <f t="shared" si="4"/>
        <v>08526440154</v>
      </c>
      <c r="E38" t="s">
        <v>52</v>
      </c>
      <c r="F38">
        <v>2013</v>
      </c>
      <c r="G38">
        <v>5700222911</v>
      </c>
      <c r="H38" s="1">
        <v>41621</v>
      </c>
      <c r="I38" s="1">
        <v>41639</v>
      </c>
      <c r="J38" s="1">
        <v>41639</v>
      </c>
      <c r="K38" s="1">
        <v>41729</v>
      </c>
      <c r="N38" s="5"/>
      <c r="O38" s="2">
        <v>102718.29</v>
      </c>
      <c r="P38">
        <v>295</v>
      </c>
      <c r="Q38" s="2">
        <v>30301895.550000001</v>
      </c>
      <c r="R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 s="1">
        <v>42382</v>
      </c>
      <c r="AC38" t="s">
        <v>53</v>
      </c>
      <c r="AD38" t="s">
        <v>53</v>
      </c>
      <c r="AK38">
        <v>0</v>
      </c>
      <c r="AU38" s="6">
        <v>42024</v>
      </c>
      <c r="AV38" s="6">
        <v>42024</v>
      </c>
      <c r="AW38" t="s">
        <v>54</v>
      </c>
      <c r="AX38" t="str">
        <f t="shared" si="1"/>
        <v>FOR</v>
      </c>
      <c r="AY38" t="s">
        <v>55</v>
      </c>
    </row>
    <row r="39" spans="1:51" hidden="1">
      <c r="A39">
        <v>100012</v>
      </c>
      <c r="B39" t="s">
        <v>59</v>
      </c>
      <c r="C39" t="str">
        <f t="shared" si="4"/>
        <v>08526440154</v>
      </c>
      <c r="D39" t="str">
        <f t="shared" si="4"/>
        <v>08526440154</v>
      </c>
      <c r="E39" t="s">
        <v>52</v>
      </c>
      <c r="F39">
        <v>2014</v>
      </c>
      <c r="G39">
        <v>5700000633</v>
      </c>
      <c r="H39" s="1">
        <v>41652</v>
      </c>
      <c r="I39" s="1">
        <v>41680</v>
      </c>
      <c r="J39" s="1">
        <v>41680</v>
      </c>
      <c r="K39" s="1">
        <v>41770</v>
      </c>
      <c r="N39" s="5"/>
      <c r="O39" s="2">
        <v>114344.28</v>
      </c>
      <c r="P39">
        <v>271</v>
      </c>
      <c r="Q39" s="2">
        <v>30987299.879999999</v>
      </c>
      <c r="R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 s="1">
        <v>42382</v>
      </c>
      <c r="AC39" t="s">
        <v>53</v>
      </c>
      <c r="AD39" t="s">
        <v>53</v>
      </c>
      <c r="AK39">
        <v>0</v>
      </c>
      <c r="AU39" s="6">
        <v>42041</v>
      </c>
      <c r="AV39" s="6">
        <v>42041</v>
      </c>
      <c r="AW39" t="s">
        <v>54</v>
      </c>
      <c r="AX39" t="str">
        <f t="shared" si="1"/>
        <v>FOR</v>
      </c>
      <c r="AY39" t="s">
        <v>55</v>
      </c>
    </row>
    <row r="40" spans="1:51" hidden="1">
      <c r="A40">
        <v>100012</v>
      </c>
      <c r="B40" t="s">
        <v>59</v>
      </c>
      <c r="C40" t="str">
        <f t="shared" si="4"/>
        <v>08526440154</v>
      </c>
      <c r="D40" t="str">
        <f t="shared" si="4"/>
        <v>08526440154</v>
      </c>
      <c r="E40" t="s">
        <v>52</v>
      </c>
      <c r="F40">
        <v>2014</v>
      </c>
      <c r="G40">
        <v>5700039788</v>
      </c>
      <c r="H40" s="1">
        <v>41686</v>
      </c>
      <c r="I40" s="1">
        <v>41705</v>
      </c>
      <c r="J40" s="1">
        <v>41705</v>
      </c>
      <c r="K40" s="1">
        <v>41795</v>
      </c>
      <c r="N40" s="5"/>
      <c r="O40" s="2">
        <v>118445.3</v>
      </c>
      <c r="P40">
        <v>274</v>
      </c>
      <c r="Q40" s="2">
        <v>32454012.199999999</v>
      </c>
      <c r="R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 s="1">
        <v>42382</v>
      </c>
      <c r="AC40" t="s">
        <v>53</v>
      </c>
      <c r="AD40" t="s">
        <v>53</v>
      </c>
      <c r="AK40">
        <v>0</v>
      </c>
      <c r="AU40" s="6">
        <v>42069</v>
      </c>
      <c r="AV40" s="6">
        <v>42069</v>
      </c>
      <c r="AW40" t="s">
        <v>54</v>
      </c>
      <c r="AX40" t="str">
        <f t="shared" si="1"/>
        <v>FOR</v>
      </c>
      <c r="AY40" t="s">
        <v>55</v>
      </c>
    </row>
    <row r="41" spans="1:51" hidden="1">
      <c r="A41">
        <v>100012</v>
      </c>
      <c r="B41" t="s">
        <v>59</v>
      </c>
      <c r="C41" t="str">
        <f t="shared" si="4"/>
        <v>08526440154</v>
      </c>
      <c r="D41" t="str">
        <f t="shared" si="4"/>
        <v>08526440154</v>
      </c>
      <c r="E41" t="s">
        <v>52</v>
      </c>
      <c r="F41">
        <v>2014</v>
      </c>
      <c r="G41">
        <v>5700069725</v>
      </c>
      <c r="H41" s="1">
        <v>41712</v>
      </c>
      <c r="I41" s="1">
        <v>41788</v>
      </c>
      <c r="J41" s="1">
        <v>41788</v>
      </c>
      <c r="K41" s="1">
        <v>41878</v>
      </c>
      <c r="N41" s="5"/>
      <c r="O41" s="2">
        <v>101462.73</v>
      </c>
      <c r="P41">
        <v>217</v>
      </c>
      <c r="Q41" s="2">
        <v>22017412.41</v>
      </c>
      <c r="R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 s="1">
        <v>42382</v>
      </c>
      <c r="AC41" t="s">
        <v>53</v>
      </c>
      <c r="AD41" t="s">
        <v>53</v>
      </c>
      <c r="AK41">
        <v>0</v>
      </c>
      <c r="AU41" s="6">
        <v>42095</v>
      </c>
      <c r="AV41" s="6">
        <v>42095</v>
      </c>
      <c r="AW41" t="s">
        <v>54</v>
      </c>
      <c r="AX41" t="str">
        <f t="shared" si="1"/>
        <v>FOR</v>
      </c>
      <c r="AY41" t="s">
        <v>55</v>
      </c>
    </row>
    <row r="42" spans="1:51" hidden="1">
      <c r="A42">
        <v>100012</v>
      </c>
      <c r="B42" t="s">
        <v>59</v>
      </c>
      <c r="C42" t="str">
        <f t="shared" si="4"/>
        <v>08526440154</v>
      </c>
      <c r="D42" t="str">
        <f t="shared" si="4"/>
        <v>08526440154</v>
      </c>
      <c r="E42" t="s">
        <v>52</v>
      </c>
      <c r="F42">
        <v>2014</v>
      </c>
      <c r="G42">
        <v>5700106782</v>
      </c>
      <c r="H42" s="1">
        <v>41743</v>
      </c>
      <c r="I42" s="1">
        <v>41788</v>
      </c>
      <c r="J42" s="1">
        <v>41788</v>
      </c>
      <c r="K42" s="1">
        <v>41878</v>
      </c>
      <c r="N42" s="5"/>
      <c r="O42" s="2">
        <v>108731.9</v>
      </c>
      <c r="P42">
        <v>246</v>
      </c>
      <c r="Q42" s="2">
        <v>26748047.399999999</v>
      </c>
      <c r="R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 s="1">
        <v>42382</v>
      </c>
      <c r="AC42" t="s">
        <v>53</v>
      </c>
      <c r="AD42" t="s">
        <v>53</v>
      </c>
      <c r="AK42">
        <v>0</v>
      </c>
      <c r="AU42" s="6">
        <v>42124</v>
      </c>
      <c r="AV42" s="6">
        <v>42124</v>
      </c>
      <c r="AW42" t="s">
        <v>54</v>
      </c>
      <c r="AX42" t="str">
        <f t="shared" si="1"/>
        <v>FOR</v>
      </c>
      <c r="AY42" t="s">
        <v>55</v>
      </c>
    </row>
    <row r="43" spans="1:51" hidden="1">
      <c r="A43">
        <v>100012</v>
      </c>
      <c r="B43" t="s">
        <v>59</v>
      </c>
      <c r="C43" t="str">
        <f t="shared" si="4"/>
        <v>08526440154</v>
      </c>
      <c r="D43" t="str">
        <f t="shared" si="4"/>
        <v>08526440154</v>
      </c>
      <c r="E43" t="s">
        <v>52</v>
      </c>
      <c r="F43">
        <v>2014</v>
      </c>
      <c r="G43">
        <v>5700140097</v>
      </c>
      <c r="H43" s="1">
        <v>41774</v>
      </c>
      <c r="I43" s="1">
        <v>41795</v>
      </c>
      <c r="J43" s="1">
        <v>41795</v>
      </c>
      <c r="K43" s="1">
        <v>41885</v>
      </c>
      <c r="N43" s="5"/>
      <c r="O43" s="2">
        <v>107564.12</v>
      </c>
      <c r="P43">
        <v>271</v>
      </c>
      <c r="Q43" s="2">
        <v>29149876.52</v>
      </c>
      <c r="R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 s="1">
        <v>42382</v>
      </c>
      <c r="AC43" t="s">
        <v>53</v>
      </c>
      <c r="AD43" t="s">
        <v>53</v>
      </c>
      <c r="AK43">
        <v>0</v>
      </c>
      <c r="AU43" s="6">
        <v>42156</v>
      </c>
      <c r="AV43" s="6">
        <v>42156</v>
      </c>
      <c r="AW43" t="s">
        <v>54</v>
      </c>
      <c r="AX43" t="str">
        <f t="shared" si="1"/>
        <v>FOR</v>
      </c>
      <c r="AY43" t="s">
        <v>55</v>
      </c>
    </row>
    <row r="44" spans="1:51">
      <c r="A44">
        <v>100012</v>
      </c>
      <c r="B44" t="s">
        <v>59</v>
      </c>
      <c r="C44" t="str">
        <f t="shared" si="4"/>
        <v>08526440154</v>
      </c>
      <c r="D44" t="str">
        <f t="shared" si="4"/>
        <v>08526440154</v>
      </c>
      <c r="E44" t="s">
        <v>52</v>
      </c>
      <c r="F44">
        <v>2015</v>
      </c>
      <c r="G44">
        <v>5750263211</v>
      </c>
      <c r="H44" s="1">
        <v>42292</v>
      </c>
      <c r="I44" s="1">
        <v>42341</v>
      </c>
      <c r="J44" s="1">
        <v>42340</v>
      </c>
      <c r="K44" s="1">
        <v>42400</v>
      </c>
      <c r="L44" s="7">
        <v>118767.48</v>
      </c>
      <c r="M44" s="5">
        <v>-45</v>
      </c>
      <c r="N44" s="7">
        <v>-5344536.5999999996</v>
      </c>
      <c r="O44" s="2">
        <v>118767.48</v>
      </c>
      <c r="P44">
        <v>-45</v>
      </c>
      <c r="Q44" s="2">
        <v>-5344536.5999999996</v>
      </c>
      <c r="R44">
        <v>0</v>
      </c>
      <c r="V44" s="2">
        <v>118767.48</v>
      </c>
      <c r="W44" s="2">
        <v>118767.48</v>
      </c>
      <c r="X44" s="2">
        <v>118767.48</v>
      </c>
      <c r="Y44" s="2">
        <v>118767.48</v>
      </c>
      <c r="Z44" s="2">
        <v>118767.48</v>
      </c>
      <c r="AA44" s="2">
        <v>118767.48</v>
      </c>
      <c r="AB44" s="1">
        <v>42382</v>
      </c>
      <c r="AC44" t="s">
        <v>53</v>
      </c>
      <c r="AD44" t="s">
        <v>53</v>
      </c>
      <c r="AK44">
        <v>0</v>
      </c>
      <c r="AU44" s="6">
        <v>42355</v>
      </c>
      <c r="AV44" s="6">
        <v>42355</v>
      </c>
      <c r="AW44" t="s">
        <v>54</v>
      </c>
      <c r="AX44" t="str">
        <f t="shared" si="1"/>
        <v>FOR</v>
      </c>
      <c r="AY44" t="s">
        <v>55</v>
      </c>
    </row>
    <row r="45" spans="1:51" hidden="1">
      <c r="A45">
        <v>100032</v>
      </c>
      <c r="B45" t="s">
        <v>60</v>
      </c>
      <c r="C45" t="str">
        <f t="shared" ref="C45:D68" si="5">"01316780426"</f>
        <v>01316780426</v>
      </c>
      <c r="D45" t="str">
        <f t="shared" si="5"/>
        <v>01316780426</v>
      </c>
      <c r="E45" t="s">
        <v>52</v>
      </c>
      <c r="F45">
        <v>2014</v>
      </c>
      <c r="G45">
        <v>7021</v>
      </c>
      <c r="H45" s="1">
        <v>41746</v>
      </c>
      <c r="I45" s="1">
        <v>41781</v>
      </c>
      <c r="J45" s="1">
        <v>41781</v>
      </c>
      <c r="K45" s="1">
        <v>41871</v>
      </c>
      <c r="N45" s="5"/>
      <c r="O45" s="2">
        <v>1359.08</v>
      </c>
      <c r="P45">
        <v>261</v>
      </c>
      <c r="Q45" s="2">
        <v>354719.88</v>
      </c>
      <c r="R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 s="1">
        <v>42382</v>
      </c>
      <c r="AC45" t="s">
        <v>53</v>
      </c>
      <c r="AD45" t="s">
        <v>53</v>
      </c>
      <c r="AK45">
        <v>0</v>
      </c>
      <c r="AU45" s="6">
        <v>42132</v>
      </c>
      <c r="AV45" s="6">
        <v>42132</v>
      </c>
      <c r="AW45" t="s">
        <v>54</v>
      </c>
      <c r="AX45" t="str">
        <f t="shared" si="1"/>
        <v>FOR</v>
      </c>
      <c r="AY45" t="s">
        <v>55</v>
      </c>
    </row>
    <row r="46" spans="1:51" hidden="1">
      <c r="A46">
        <v>100032</v>
      </c>
      <c r="B46" t="s">
        <v>60</v>
      </c>
      <c r="C46" t="str">
        <f t="shared" si="5"/>
        <v>01316780426</v>
      </c>
      <c r="D46" t="str">
        <f t="shared" si="5"/>
        <v>01316780426</v>
      </c>
      <c r="E46" t="s">
        <v>52</v>
      </c>
      <c r="F46">
        <v>2014</v>
      </c>
      <c r="G46">
        <v>9794</v>
      </c>
      <c r="H46" s="1">
        <v>41794</v>
      </c>
      <c r="I46" s="1">
        <v>41815</v>
      </c>
      <c r="J46" s="1">
        <v>41815</v>
      </c>
      <c r="K46" s="1">
        <v>41905</v>
      </c>
      <c r="N46" s="5"/>
      <c r="O46" s="2">
        <v>2641.06</v>
      </c>
      <c r="P46">
        <v>227</v>
      </c>
      <c r="Q46" s="2">
        <v>599520.62</v>
      </c>
      <c r="R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 s="1">
        <v>42382</v>
      </c>
      <c r="AC46" t="s">
        <v>53</v>
      </c>
      <c r="AD46" t="s">
        <v>53</v>
      </c>
      <c r="AK46">
        <v>0</v>
      </c>
      <c r="AU46" s="6">
        <v>42132</v>
      </c>
      <c r="AV46" s="6">
        <v>42132</v>
      </c>
      <c r="AW46" t="s">
        <v>54</v>
      </c>
      <c r="AX46" t="str">
        <f t="shared" si="1"/>
        <v>FOR</v>
      </c>
      <c r="AY46" t="s">
        <v>55</v>
      </c>
    </row>
    <row r="47" spans="1:51" hidden="1">
      <c r="A47">
        <v>100032</v>
      </c>
      <c r="B47" t="s">
        <v>60</v>
      </c>
      <c r="C47" t="str">
        <f t="shared" si="5"/>
        <v>01316780426</v>
      </c>
      <c r="D47" t="str">
        <f t="shared" si="5"/>
        <v>01316780426</v>
      </c>
      <c r="E47" t="s">
        <v>52</v>
      </c>
      <c r="F47">
        <v>2014</v>
      </c>
      <c r="G47">
        <v>9889</v>
      </c>
      <c r="H47" s="1">
        <v>41796</v>
      </c>
      <c r="I47" s="1">
        <v>42004</v>
      </c>
      <c r="J47" s="1">
        <v>42004</v>
      </c>
      <c r="K47" s="1">
        <v>42064</v>
      </c>
      <c r="N47" s="5"/>
      <c r="O47">
        <v>512.4</v>
      </c>
      <c r="P47">
        <v>68</v>
      </c>
      <c r="Q47" s="2">
        <v>34843.199999999997</v>
      </c>
      <c r="R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 s="1">
        <v>42382</v>
      </c>
      <c r="AC47" t="s">
        <v>53</v>
      </c>
      <c r="AD47" t="s">
        <v>53</v>
      </c>
      <c r="AK47">
        <v>0</v>
      </c>
      <c r="AU47" s="6">
        <v>42132</v>
      </c>
      <c r="AV47" s="6">
        <v>42132</v>
      </c>
      <c r="AW47" t="s">
        <v>54</v>
      </c>
      <c r="AX47" t="str">
        <f t="shared" si="1"/>
        <v>FOR</v>
      </c>
      <c r="AY47" t="s">
        <v>55</v>
      </c>
    </row>
    <row r="48" spans="1:51" hidden="1">
      <c r="A48">
        <v>100032</v>
      </c>
      <c r="B48" t="s">
        <v>60</v>
      </c>
      <c r="C48" t="str">
        <f t="shared" si="5"/>
        <v>01316780426</v>
      </c>
      <c r="D48" t="str">
        <f t="shared" si="5"/>
        <v>01316780426</v>
      </c>
      <c r="E48" t="s">
        <v>52</v>
      </c>
      <c r="F48">
        <v>2014</v>
      </c>
      <c r="G48">
        <v>10539</v>
      </c>
      <c r="H48" s="1">
        <v>41806</v>
      </c>
      <c r="I48" s="1">
        <v>42004</v>
      </c>
      <c r="J48" s="1">
        <v>42004</v>
      </c>
      <c r="K48" s="1">
        <v>42064</v>
      </c>
      <c r="N48" s="5"/>
      <c r="O48">
        <v>840.58</v>
      </c>
      <c r="P48">
        <v>68</v>
      </c>
      <c r="Q48" s="2">
        <v>57159.44</v>
      </c>
      <c r="R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 s="1">
        <v>42382</v>
      </c>
      <c r="AC48" t="s">
        <v>53</v>
      </c>
      <c r="AD48" t="s">
        <v>53</v>
      </c>
      <c r="AK48">
        <v>0</v>
      </c>
      <c r="AU48" s="6">
        <v>42132</v>
      </c>
      <c r="AV48" s="6">
        <v>42132</v>
      </c>
      <c r="AW48" t="s">
        <v>54</v>
      </c>
      <c r="AX48" t="str">
        <f t="shared" si="1"/>
        <v>FOR</v>
      </c>
      <c r="AY48" t="s">
        <v>55</v>
      </c>
    </row>
    <row r="49" spans="1:51" hidden="1">
      <c r="A49">
        <v>100032</v>
      </c>
      <c r="B49" t="s">
        <v>60</v>
      </c>
      <c r="C49" t="str">
        <f t="shared" si="5"/>
        <v>01316780426</v>
      </c>
      <c r="D49" t="str">
        <f t="shared" si="5"/>
        <v>01316780426</v>
      </c>
      <c r="E49" t="s">
        <v>52</v>
      </c>
      <c r="F49">
        <v>2014</v>
      </c>
      <c r="G49">
        <v>11638</v>
      </c>
      <c r="H49" s="1">
        <v>41823</v>
      </c>
      <c r="I49" s="1">
        <v>41844</v>
      </c>
      <c r="J49" s="1">
        <v>41844</v>
      </c>
      <c r="K49" s="1">
        <v>41934</v>
      </c>
      <c r="N49" s="5"/>
      <c r="O49" s="2">
        <v>2572.25</v>
      </c>
      <c r="P49">
        <v>198</v>
      </c>
      <c r="Q49" s="2">
        <v>509305.5</v>
      </c>
      <c r="R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 s="1">
        <v>42382</v>
      </c>
      <c r="AC49" t="s">
        <v>53</v>
      </c>
      <c r="AD49" t="s">
        <v>53</v>
      </c>
      <c r="AK49">
        <v>0</v>
      </c>
      <c r="AU49" s="6">
        <v>42132</v>
      </c>
      <c r="AV49" s="6">
        <v>42132</v>
      </c>
      <c r="AW49" t="s">
        <v>54</v>
      </c>
      <c r="AX49" t="str">
        <f t="shared" si="1"/>
        <v>FOR</v>
      </c>
      <c r="AY49" t="s">
        <v>55</v>
      </c>
    </row>
    <row r="50" spans="1:51" hidden="1">
      <c r="A50">
        <v>100032</v>
      </c>
      <c r="B50" t="s">
        <v>60</v>
      </c>
      <c r="C50" t="str">
        <f t="shared" si="5"/>
        <v>01316780426</v>
      </c>
      <c r="D50" t="str">
        <f t="shared" si="5"/>
        <v>01316780426</v>
      </c>
      <c r="E50" t="s">
        <v>52</v>
      </c>
      <c r="F50">
        <v>2014</v>
      </c>
      <c r="G50">
        <v>11845</v>
      </c>
      <c r="H50" s="1">
        <v>41828</v>
      </c>
      <c r="I50" s="1">
        <v>41844</v>
      </c>
      <c r="J50" s="1">
        <v>41844</v>
      </c>
      <c r="K50" s="1">
        <v>41934</v>
      </c>
      <c r="N50" s="5"/>
      <c r="O50" s="2">
        <v>3745.4</v>
      </c>
      <c r="P50">
        <v>198</v>
      </c>
      <c r="Q50" s="2">
        <v>741589.2</v>
      </c>
      <c r="R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 s="1">
        <v>42382</v>
      </c>
      <c r="AC50" t="s">
        <v>53</v>
      </c>
      <c r="AD50" t="s">
        <v>53</v>
      </c>
      <c r="AK50">
        <v>0</v>
      </c>
      <c r="AU50" s="6">
        <v>42132</v>
      </c>
      <c r="AV50" s="6">
        <v>42132</v>
      </c>
      <c r="AW50" t="s">
        <v>54</v>
      </c>
      <c r="AX50" t="str">
        <f t="shared" si="1"/>
        <v>FOR</v>
      </c>
      <c r="AY50" t="s">
        <v>55</v>
      </c>
    </row>
    <row r="51" spans="1:51" hidden="1">
      <c r="A51">
        <v>100032</v>
      </c>
      <c r="B51" t="s">
        <v>60</v>
      </c>
      <c r="C51" t="str">
        <f t="shared" si="5"/>
        <v>01316780426</v>
      </c>
      <c r="D51" t="str">
        <f t="shared" si="5"/>
        <v>01316780426</v>
      </c>
      <c r="E51" t="s">
        <v>52</v>
      </c>
      <c r="F51">
        <v>2014</v>
      </c>
      <c r="G51">
        <v>12696</v>
      </c>
      <c r="H51" s="1">
        <v>41838</v>
      </c>
      <c r="I51" s="1">
        <v>41872</v>
      </c>
      <c r="J51" s="1">
        <v>41872</v>
      </c>
      <c r="K51" s="1">
        <v>41962</v>
      </c>
      <c r="N51" s="5"/>
      <c r="O51">
        <v>351.36</v>
      </c>
      <c r="P51">
        <v>170</v>
      </c>
      <c r="Q51" s="2">
        <v>59731.199999999997</v>
      </c>
      <c r="R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 s="1">
        <v>42382</v>
      </c>
      <c r="AC51" t="s">
        <v>53</v>
      </c>
      <c r="AD51" t="s">
        <v>53</v>
      </c>
      <c r="AK51">
        <v>0</v>
      </c>
      <c r="AU51" s="6">
        <v>42132</v>
      </c>
      <c r="AV51" s="6">
        <v>42132</v>
      </c>
      <c r="AW51" t="s">
        <v>54</v>
      </c>
      <c r="AX51" t="str">
        <f t="shared" si="1"/>
        <v>FOR</v>
      </c>
      <c r="AY51" t="s">
        <v>55</v>
      </c>
    </row>
    <row r="52" spans="1:51" hidden="1">
      <c r="A52">
        <v>100032</v>
      </c>
      <c r="B52" t="s">
        <v>60</v>
      </c>
      <c r="C52" t="str">
        <f t="shared" si="5"/>
        <v>01316780426</v>
      </c>
      <c r="D52" t="str">
        <f t="shared" si="5"/>
        <v>01316780426</v>
      </c>
      <c r="E52" t="s">
        <v>52</v>
      </c>
      <c r="F52">
        <v>2014</v>
      </c>
      <c r="G52">
        <v>12777</v>
      </c>
      <c r="H52" s="1">
        <v>41841</v>
      </c>
      <c r="I52" s="1">
        <v>41872</v>
      </c>
      <c r="J52" s="1">
        <v>41872</v>
      </c>
      <c r="K52" s="1">
        <v>41962</v>
      </c>
      <c r="N52" s="5"/>
      <c r="O52">
        <v>758.35</v>
      </c>
      <c r="P52">
        <v>170</v>
      </c>
      <c r="Q52" s="2">
        <v>128919.5</v>
      </c>
      <c r="R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 s="1">
        <v>42382</v>
      </c>
      <c r="AC52" t="s">
        <v>53</v>
      </c>
      <c r="AD52" t="s">
        <v>53</v>
      </c>
      <c r="AK52">
        <v>0</v>
      </c>
      <c r="AU52" s="6">
        <v>42132</v>
      </c>
      <c r="AV52" s="6">
        <v>42132</v>
      </c>
      <c r="AW52" t="s">
        <v>54</v>
      </c>
      <c r="AX52" t="str">
        <f t="shared" si="1"/>
        <v>FOR</v>
      </c>
      <c r="AY52" t="s">
        <v>55</v>
      </c>
    </row>
    <row r="53" spans="1:51" hidden="1">
      <c r="A53">
        <v>100032</v>
      </c>
      <c r="B53" t="s">
        <v>60</v>
      </c>
      <c r="C53" t="str">
        <f t="shared" si="5"/>
        <v>01316780426</v>
      </c>
      <c r="D53" t="str">
        <f t="shared" si="5"/>
        <v>01316780426</v>
      </c>
      <c r="E53" t="s">
        <v>52</v>
      </c>
      <c r="F53">
        <v>2014</v>
      </c>
      <c r="G53">
        <v>12832</v>
      </c>
      <c r="H53" s="1">
        <v>41842</v>
      </c>
      <c r="I53" s="1">
        <v>41872</v>
      </c>
      <c r="J53" s="1">
        <v>41872</v>
      </c>
      <c r="K53" s="1">
        <v>41962</v>
      </c>
      <c r="N53" s="5"/>
      <c r="O53">
        <v>68.81</v>
      </c>
      <c r="P53">
        <v>170</v>
      </c>
      <c r="Q53" s="2">
        <v>11697.7</v>
      </c>
      <c r="R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 s="1">
        <v>42382</v>
      </c>
      <c r="AC53" t="s">
        <v>53</v>
      </c>
      <c r="AD53" t="s">
        <v>53</v>
      </c>
      <c r="AK53">
        <v>0</v>
      </c>
      <c r="AU53" s="6">
        <v>42132</v>
      </c>
      <c r="AV53" s="6">
        <v>42132</v>
      </c>
      <c r="AW53" t="s">
        <v>54</v>
      </c>
      <c r="AX53" t="str">
        <f t="shared" si="1"/>
        <v>FOR</v>
      </c>
      <c r="AY53" t="s">
        <v>55</v>
      </c>
    </row>
    <row r="54" spans="1:51" hidden="1">
      <c r="A54">
        <v>100032</v>
      </c>
      <c r="B54" t="s">
        <v>60</v>
      </c>
      <c r="C54" t="str">
        <f t="shared" si="5"/>
        <v>01316780426</v>
      </c>
      <c r="D54" t="str">
        <f t="shared" si="5"/>
        <v>01316780426</v>
      </c>
      <c r="E54" t="s">
        <v>52</v>
      </c>
      <c r="F54">
        <v>2014</v>
      </c>
      <c r="G54">
        <v>13378</v>
      </c>
      <c r="H54" s="1">
        <v>41851</v>
      </c>
      <c r="I54" s="1">
        <v>41872</v>
      </c>
      <c r="J54" s="1">
        <v>41872</v>
      </c>
      <c r="K54" s="1">
        <v>41962</v>
      </c>
      <c r="N54" s="5"/>
      <c r="O54" s="2">
        <v>1324.19</v>
      </c>
      <c r="P54">
        <v>170</v>
      </c>
      <c r="Q54" s="2">
        <v>225112.3</v>
      </c>
      <c r="R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 s="1">
        <v>42382</v>
      </c>
      <c r="AC54" t="s">
        <v>53</v>
      </c>
      <c r="AD54" t="s">
        <v>53</v>
      </c>
      <c r="AK54">
        <v>0</v>
      </c>
      <c r="AU54" s="6">
        <v>42132</v>
      </c>
      <c r="AV54" s="6">
        <v>42132</v>
      </c>
      <c r="AW54" t="s">
        <v>54</v>
      </c>
      <c r="AX54" t="str">
        <f t="shared" si="1"/>
        <v>FOR</v>
      </c>
      <c r="AY54" t="s">
        <v>55</v>
      </c>
    </row>
    <row r="55" spans="1:51" hidden="1">
      <c r="A55">
        <v>100032</v>
      </c>
      <c r="B55" t="s">
        <v>60</v>
      </c>
      <c r="C55" t="str">
        <f t="shared" si="5"/>
        <v>01316780426</v>
      </c>
      <c r="D55" t="str">
        <f t="shared" si="5"/>
        <v>01316780426</v>
      </c>
      <c r="E55" t="s">
        <v>52</v>
      </c>
      <c r="F55">
        <v>2014</v>
      </c>
      <c r="G55">
        <v>13894</v>
      </c>
      <c r="H55" s="1">
        <v>41855</v>
      </c>
      <c r="I55" s="1">
        <v>41892</v>
      </c>
      <c r="J55" s="1">
        <v>41892</v>
      </c>
      <c r="K55" s="1">
        <v>41982</v>
      </c>
      <c r="N55" s="5"/>
      <c r="O55">
        <v>969.9</v>
      </c>
      <c r="P55">
        <v>150</v>
      </c>
      <c r="Q55" s="2">
        <v>145485</v>
      </c>
      <c r="R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 s="1">
        <v>42382</v>
      </c>
      <c r="AC55" t="s">
        <v>53</v>
      </c>
      <c r="AD55" t="s">
        <v>53</v>
      </c>
      <c r="AK55">
        <v>0</v>
      </c>
      <c r="AU55" s="6">
        <v>42132</v>
      </c>
      <c r="AV55" s="6">
        <v>42132</v>
      </c>
      <c r="AW55" t="s">
        <v>54</v>
      </c>
      <c r="AX55" t="str">
        <f t="shared" si="1"/>
        <v>FOR</v>
      </c>
      <c r="AY55" t="s">
        <v>55</v>
      </c>
    </row>
    <row r="56" spans="1:51" hidden="1">
      <c r="A56">
        <v>100032</v>
      </c>
      <c r="B56" t="s">
        <v>60</v>
      </c>
      <c r="C56" t="str">
        <f t="shared" si="5"/>
        <v>01316780426</v>
      </c>
      <c r="D56" t="str">
        <f t="shared" si="5"/>
        <v>01316780426</v>
      </c>
      <c r="E56" t="s">
        <v>52</v>
      </c>
      <c r="F56">
        <v>2014</v>
      </c>
      <c r="G56">
        <v>14473</v>
      </c>
      <c r="H56" s="1">
        <v>41876</v>
      </c>
      <c r="I56" s="1">
        <v>41892</v>
      </c>
      <c r="J56" s="1">
        <v>41892</v>
      </c>
      <c r="K56" s="1">
        <v>41982</v>
      </c>
      <c r="N56" s="5"/>
      <c r="O56">
        <v>646.6</v>
      </c>
      <c r="P56">
        <v>150</v>
      </c>
      <c r="Q56" s="2">
        <v>96990</v>
      </c>
      <c r="R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 s="1">
        <v>42382</v>
      </c>
      <c r="AC56" t="s">
        <v>53</v>
      </c>
      <c r="AD56" t="s">
        <v>53</v>
      </c>
      <c r="AK56">
        <v>0</v>
      </c>
      <c r="AU56" s="6">
        <v>42132</v>
      </c>
      <c r="AV56" s="6">
        <v>42132</v>
      </c>
      <c r="AW56" t="s">
        <v>54</v>
      </c>
      <c r="AX56" t="str">
        <f t="shared" si="1"/>
        <v>FOR</v>
      </c>
      <c r="AY56" t="s">
        <v>55</v>
      </c>
    </row>
    <row r="57" spans="1:51" hidden="1">
      <c r="A57">
        <v>100032</v>
      </c>
      <c r="B57" t="s">
        <v>60</v>
      </c>
      <c r="C57" t="str">
        <f t="shared" si="5"/>
        <v>01316780426</v>
      </c>
      <c r="D57" t="str">
        <f t="shared" si="5"/>
        <v>01316780426</v>
      </c>
      <c r="E57" t="s">
        <v>52</v>
      </c>
      <c r="F57">
        <v>2014</v>
      </c>
      <c r="G57">
        <v>14634</v>
      </c>
      <c r="H57" s="1">
        <v>41878</v>
      </c>
      <c r="I57" s="1">
        <v>42080</v>
      </c>
      <c r="J57" s="1">
        <v>42080</v>
      </c>
      <c r="K57" s="1">
        <v>42140</v>
      </c>
      <c r="N57" s="5"/>
      <c r="O57">
        <v>541.67999999999995</v>
      </c>
      <c r="P57">
        <v>-8</v>
      </c>
      <c r="Q57" s="2">
        <v>-4333.4399999999996</v>
      </c>
      <c r="R57">
        <v>0</v>
      </c>
      <c r="V57">
        <v>0</v>
      </c>
      <c r="W57">
        <v>0</v>
      </c>
      <c r="X57">
        <v>0</v>
      </c>
      <c r="Y57">
        <v>0</v>
      </c>
      <c r="Z57">
        <v>541.67999999999995</v>
      </c>
      <c r="AA57">
        <v>0</v>
      </c>
      <c r="AB57" s="1">
        <v>42382</v>
      </c>
      <c r="AC57" t="s">
        <v>53</v>
      </c>
      <c r="AD57" t="s">
        <v>53</v>
      </c>
      <c r="AK57">
        <v>0</v>
      </c>
      <c r="AU57" s="6">
        <v>42132</v>
      </c>
      <c r="AV57" s="6">
        <v>42132</v>
      </c>
      <c r="AW57" t="s">
        <v>54</v>
      </c>
      <c r="AX57" t="str">
        <f t="shared" si="1"/>
        <v>FOR</v>
      </c>
      <c r="AY57" t="s">
        <v>55</v>
      </c>
    </row>
    <row r="58" spans="1:51" hidden="1">
      <c r="A58">
        <v>100032</v>
      </c>
      <c r="B58" t="s">
        <v>60</v>
      </c>
      <c r="C58" t="str">
        <f t="shared" si="5"/>
        <v>01316780426</v>
      </c>
      <c r="D58" t="str">
        <f t="shared" si="5"/>
        <v>01316780426</v>
      </c>
      <c r="E58" t="s">
        <v>52</v>
      </c>
      <c r="F58">
        <v>2014</v>
      </c>
      <c r="G58">
        <v>14740</v>
      </c>
      <c r="H58" s="1">
        <v>41880</v>
      </c>
      <c r="I58" s="1">
        <v>41892</v>
      </c>
      <c r="J58" s="1">
        <v>41892</v>
      </c>
      <c r="K58" s="1">
        <v>41982</v>
      </c>
      <c r="N58" s="5"/>
      <c r="O58" s="2">
        <v>1024.8</v>
      </c>
      <c r="P58">
        <v>150</v>
      </c>
      <c r="Q58" s="2">
        <v>153720</v>
      </c>
      <c r="R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 s="1">
        <v>42382</v>
      </c>
      <c r="AC58" t="s">
        <v>53</v>
      </c>
      <c r="AD58" t="s">
        <v>53</v>
      </c>
      <c r="AK58">
        <v>0</v>
      </c>
      <c r="AU58" s="6">
        <v>42132</v>
      </c>
      <c r="AV58" s="6">
        <v>42132</v>
      </c>
      <c r="AW58" t="s">
        <v>54</v>
      </c>
      <c r="AX58" t="str">
        <f t="shared" si="1"/>
        <v>FOR</v>
      </c>
      <c r="AY58" t="s">
        <v>55</v>
      </c>
    </row>
    <row r="59" spans="1:51" hidden="1">
      <c r="A59">
        <v>100032</v>
      </c>
      <c r="B59" t="s">
        <v>60</v>
      </c>
      <c r="C59" t="str">
        <f t="shared" si="5"/>
        <v>01316780426</v>
      </c>
      <c r="D59" t="str">
        <f t="shared" si="5"/>
        <v>01316780426</v>
      </c>
      <c r="E59" t="s">
        <v>52</v>
      </c>
      <c r="F59">
        <v>2014</v>
      </c>
      <c r="G59">
        <v>15992</v>
      </c>
      <c r="H59" s="1">
        <v>41898</v>
      </c>
      <c r="I59" s="1">
        <v>41922</v>
      </c>
      <c r="J59" s="1">
        <v>41922</v>
      </c>
      <c r="K59" s="1">
        <v>42012</v>
      </c>
      <c r="N59" s="5"/>
      <c r="O59" s="2">
        <v>1043.3900000000001</v>
      </c>
      <c r="P59">
        <v>120</v>
      </c>
      <c r="Q59" s="2">
        <v>125206.8</v>
      </c>
      <c r="R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 s="1">
        <v>42382</v>
      </c>
      <c r="AC59" t="s">
        <v>53</v>
      </c>
      <c r="AD59" t="s">
        <v>53</v>
      </c>
      <c r="AK59">
        <v>0</v>
      </c>
      <c r="AU59" s="6">
        <v>42132</v>
      </c>
      <c r="AV59" s="6">
        <v>42132</v>
      </c>
      <c r="AW59" t="s">
        <v>54</v>
      </c>
      <c r="AX59" t="str">
        <f t="shared" si="1"/>
        <v>FOR</v>
      </c>
      <c r="AY59" t="s">
        <v>55</v>
      </c>
    </row>
    <row r="60" spans="1:51" hidden="1">
      <c r="A60">
        <v>100032</v>
      </c>
      <c r="B60" t="s">
        <v>60</v>
      </c>
      <c r="C60" t="str">
        <f t="shared" si="5"/>
        <v>01316780426</v>
      </c>
      <c r="D60" t="str">
        <f t="shared" si="5"/>
        <v>01316780426</v>
      </c>
      <c r="E60" t="s">
        <v>52</v>
      </c>
      <c r="F60">
        <v>2014</v>
      </c>
      <c r="G60">
        <v>15993</v>
      </c>
      <c r="H60" s="1">
        <v>41898</v>
      </c>
      <c r="I60" s="1">
        <v>41922</v>
      </c>
      <c r="J60" s="1">
        <v>41922</v>
      </c>
      <c r="K60" s="1">
        <v>42012</v>
      </c>
      <c r="N60" s="5"/>
      <c r="O60">
        <v>204.96</v>
      </c>
      <c r="P60">
        <v>120</v>
      </c>
      <c r="Q60" s="2">
        <v>24595.200000000001</v>
      </c>
      <c r="R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 s="1">
        <v>42382</v>
      </c>
      <c r="AC60" t="s">
        <v>53</v>
      </c>
      <c r="AD60" t="s">
        <v>53</v>
      </c>
      <c r="AK60">
        <v>0</v>
      </c>
      <c r="AU60" s="6">
        <v>42132</v>
      </c>
      <c r="AV60" s="6">
        <v>42132</v>
      </c>
      <c r="AW60" t="s">
        <v>54</v>
      </c>
      <c r="AX60" t="str">
        <f t="shared" si="1"/>
        <v>FOR</v>
      </c>
      <c r="AY60" t="s">
        <v>55</v>
      </c>
    </row>
    <row r="61" spans="1:51" hidden="1">
      <c r="A61">
        <v>100032</v>
      </c>
      <c r="B61" t="s">
        <v>60</v>
      </c>
      <c r="C61" t="str">
        <f t="shared" si="5"/>
        <v>01316780426</v>
      </c>
      <c r="D61" t="str">
        <f t="shared" si="5"/>
        <v>01316780426</v>
      </c>
      <c r="E61" t="s">
        <v>52</v>
      </c>
      <c r="F61">
        <v>2014</v>
      </c>
      <c r="G61">
        <v>16196</v>
      </c>
      <c r="H61" s="1">
        <v>41904</v>
      </c>
      <c r="I61" s="1">
        <v>42080</v>
      </c>
      <c r="J61" s="1">
        <v>42080</v>
      </c>
      <c r="K61" s="1">
        <v>42140</v>
      </c>
      <c r="N61" s="5"/>
      <c r="O61" s="2">
        <v>1939.8</v>
      </c>
      <c r="P61">
        <v>-8</v>
      </c>
      <c r="Q61" s="2">
        <v>-15518.4</v>
      </c>
      <c r="R61">
        <v>0</v>
      </c>
      <c r="V61">
        <v>0</v>
      </c>
      <c r="W61">
        <v>0</v>
      </c>
      <c r="X61">
        <v>0</v>
      </c>
      <c r="Y61">
        <v>0</v>
      </c>
      <c r="Z61" s="2">
        <v>1939.8</v>
      </c>
      <c r="AA61">
        <v>0</v>
      </c>
      <c r="AB61" s="1">
        <v>42382</v>
      </c>
      <c r="AC61" t="s">
        <v>53</v>
      </c>
      <c r="AD61" t="s">
        <v>53</v>
      </c>
      <c r="AK61">
        <v>0</v>
      </c>
      <c r="AU61" s="6">
        <v>42132</v>
      </c>
      <c r="AV61" s="6">
        <v>42132</v>
      </c>
      <c r="AW61" t="s">
        <v>54</v>
      </c>
      <c r="AX61" t="str">
        <f t="shared" si="1"/>
        <v>FOR</v>
      </c>
      <c r="AY61" t="s">
        <v>55</v>
      </c>
    </row>
    <row r="62" spans="1:51" hidden="1">
      <c r="A62">
        <v>100032</v>
      </c>
      <c r="B62" t="s">
        <v>60</v>
      </c>
      <c r="C62" t="str">
        <f t="shared" si="5"/>
        <v>01316780426</v>
      </c>
      <c r="D62" t="str">
        <f t="shared" si="5"/>
        <v>01316780426</v>
      </c>
      <c r="E62" t="s">
        <v>52</v>
      </c>
      <c r="F62">
        <v>2014</v>
      </c>
      <c r="G62">
        <v>16375</v>
      </c>
      <c r="H62" s="1">
        <v>41908</v>
      </c>
      <c r="I62" s="1">
        <v>41922</v>
      </c>
      <c r="J62" s="1">
        <v>41922</v>
      </c>
      <c r="K62" s="1">
        <v>42012</v>
      </c>
      <c r="N62" s="5"/>
      <c r="O62">
        <v>414.6</v>
      </c>
      <c r="P62">
        <v>120</v>
      </c>
      <c r="Q62" s="2">
        <v>49752</v>
      </c>
      <c r="R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 s="1">
        <v>42382</v>
      </c>
      <c r="AC62" t="s">
        <v>53</v>
      </c>
      <c r="AD62" t="s">
        <v>53</v>
      </c>
      <c r="AK62">
        <v>0</v>
      </c>
      <c r="AU62" s="6">
        <v>42132</v>
      </c>
      <c r="AV62" s="6">
        <v>42132</v>
      </c>
      <c r="AW62" t="s">
        <v>54</v>
      </c>
      <c r="AX62" t="str">
        <f t="shared" si="1"/>
        <v>FOR</v>
      </c>
      <c r="AY62" t="s">
        <v>55</v>
      </c>
    </row>
    <row r="63" spans="1:51" hidden="1">
      <c r="A63">
        <v>100032</v>
      </c>
      <c r="B63" t="s">
        <v>60</v>
      </c>
      <c r="C63" t="str">
        <f t="shared" si="5"/>
        <v>01316780426</v>
      </c>
      <c r="D63" t="str">
        <f t="shared" si="5"/>
        <v>01316780426</v>
      </c>
      <c r="E63" t="s">
        <v>52</v>
      </c>
      <c r="F63">
        <v>2014</v>
      </c>
      <c r="G63">
        <v>17990</v>
      </c>
      <c r="H63" s="1">
        <v>41934</v>
      </c>
      <c r="I63" s="1">
        <v>41955</v>
      </c>
      <c r="J63" s="1">
        <v>41955</v>
      </c>
      <c r="K63" s="1">
        <v>42015</v>
      </c>
      <c r="N63" s="5"/>
      <c r="O63" s="2">
        <v>2727.92</v>
      </c>
      <c r="P63">
        <v>117</v>
      </c>
      <c r="Q63" s="2">
        <v>319166.64</v>
      </c>
      <c r="R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 s="1">
        <v>42382</v>
      </c>
      <c r="AC63" t="s">
        <v>53</v>
      </c>
      <c r="AD63" t="s">
        <v>53</v>
      </c>
      <c r="AK63">
        <v>0</v>
      </c>
      <c r="AU63" s="6">
        <v>42132</v>
      </c>
      <c r="AV63" s="6">
        <v>42132</v>
      </c>
      <c r="AW63" t="s">
        <v>54</v>
      </c>
      <c r="AX63" t="str">
        <f t="shared" si="1"/>
        <v>FOR</v>
      </c>
      <c r="AY63" t="s">
        <v>55</v>
      </c>
    </row>
    <row r="64" spans="1:51" hidden="1">
      <c r="A64">
        <v>100032</v>
      </c>
      <c r="B64" t="s">
        <v>60</v>
      </c>
      <c r="C64" t="str">
        <f t="shared" si="5"/>
        <v>01316780426</v>
      </c>
      <c r="D64" t="str">
        <f t="shared" si="5"/>
        <v>01316780426</v>
      </c>
      <c r="E64" t="s">
        <v>52</v>
      </c>
      <c r="F64">
        <v>2014</v>
      </c>
      <c r="G64">
        <v>17991</v>
      </c>
      <c r="H64" s="1">
        <v>41934</v>
      </c>
      <c r="I64" s="1">
        <v>41955</v>
      </c>
      <c r="J64" s="1">
        <v>41955</v>
      </c>
      <c r="K64" s="1">
        <v>42015</v>
      </c>
      <c r="N64" s="5"/>
      <c r="O64" s="2">
        <v>1616.5</v>
      </c>
      <c r="P64">
        <v>117</v>
      </c>
      <c r="Q64" s="2">
        <v>189130.5</v>
      </c>
      <c r="R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 s="1">
        <v>42382</v>
      </c>
      <c r="AC64" t="s">
        <v>53</v>
      </c>
      <c r="AD64" t="s">
        <v>53</v>
      </c>
      <c r="AK64">
        <v>0</v>
      </c>
      <c r="AU64" s="6">
        <v>42132</v>
      </c>
      <c r="AV64" s="6">
        <v>42132</v>
      </c>
      <c r="AW64" t="s">
        <v>54</v>
      </c>
      <c r="AX64" t="str">
        <f t="shared" si="1"/>
        <v>FOR</v>
      </c>
      <c r="AY64" t="s">
        <v>55</v>
      </c>
    </row>
    <row r="65" spans="1:51" hidden="1">
      <c r="A65">
        <v>100032</v>
      </c>
      <c r="B65" t="s">
        <v>60</v>
      </c>
      <c r="C65" t="str">
        <f t="shared" si="5"/>
        <v>01316780426</v>
      </c>
      <c r="D65" t="str">
        <f t="shared" si="5"/>
        <v>01316780426</v>
      </c>
      <c r="E65" t="s">
        <v>52</v>
      </c>
      <c r="F65">
        <v>2014</v>
      </c>
      <c r="G65">
        <v>19949</v>
      </c>
      <c r="H65" s="1">
        <v>41967</v>
      </c>
      <c r="I65" s="1">
        <v>42002</v>
      </c>
      <c r="J65" s="1">
        <v>42002</v>
      </c>
      <c r="K65" s="1">
        <v>42062</v>
      </c>
      <c r="N65" s="5"/>
      <c r="O65" s="2">
        <v>2710.01</v>
      </c>
      <c r="P65">
        <v>70</v>
      </c>
      <c r="Q65" s="2">
        <v>189700.7</v>
      </c>
      <c r="R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 s="1">
        <v>42382</v>
      </c>
      <c r="AC65" t="s">
        <v>53</v>
      </c>
      <c r="AD65" t="s">
        <v>53</v>
      </c>
      <c r="AK65">
        <v>0</v>
      </c>
      <c r="AU65" s="6">
        <v>42132</v>
      </c>
      <c r="AV65" s="6">
        <v>42132</v>
      </c>
      <c r="AW65" t="s">
        <v>54</v>
      </c>
      <c r="AX65" t="str">
        <f t="shared" si="1"/>
        <v>FOR</v>
      </c>
      <c r="AY65" t="s">
        <v>55</v>
      </c>
    </row>
    <row r="66" spans="1:51" hidden="1">
      <c r="A66">
        <v>100032</v>
      </c>
      <c r="B66" t="s">
        <v>60</v>
      </c>
      <c r="C66" t="str">
        <f t="shared" si="5"/>
        <v>01316780426</v>
      </c>
      <c r="D66" t="str">
        <f t="shared" si="5"/>
        <v>01316780426</v>
      </c>
      <c r="E66" t="s">
        <v>52</v>
      </c>
      <c r="F66">
        <v>2014</v>
      </c>
      <c r="G66">
        <v>19950</v>
      </c>
      <c r="H66" s="1">
        <v>41967</v>
      </c>
      <c r="I66" s="1">
        <v>42002</v>
      </c>
      <c r="J66" s="1">
        <v>42002</v>
      </c>
      <c r="K66" s="1">
        <v>42062</v>
      </c>
      <c r="N66" s="5"/>
      <c r="O66" s="2">
        <v>1616.5</v>
      </c>
      <c r="P66">
        <v>70</v>
      </c>
      <c r="Q66" s="2">
        <v>113155</v>
      </c>
      <c r="R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 s="1">
        <v>42382</v>
      </c>
      <c r="AC66" t="s">
        <v>53</v>
      </c>
      <c r="AD66" t="s">
        <v>53</v>
      </c>
      <c r="AK66">
        <v>0</v>
      </c>
      <c r="AU66" s="6">
        <v>42132</v>
      </c>
      <c r="AV66" s="6">
        <v>42132</v>
      </c>
      <c r="AW66" t="s">
        <v>54</v>
      </c>
      <c r="AX66" t="str">
        <f t="shared" si="1"/>
        <v>FOR</v>
      </c>
      <c r="AY66" t="s">
        <v>55</v>
      </c>
    </row>
    <row r="67" spans="1:51">
      <c r="A67">
        <v>100032</v>
      </c>
      <c r="B67" t="s">
        <v>60</v>
      </c>
      <c r="C67" t="str">
        <f t="shared" si="5"/>
        <v>01316780426</v>
      </c>
      <c r="D67" t="str">
        <f t="shared" si="5"/>
        <v>01316780426</v>
      </c>
      <c r="E67" t="s">
        <v>52</v>
      </c>
      <c r="F67">
        <v>2015</v>
      </c>
      <c r="G67">
        <v>1205</v>
      </c>
      <c r="H67" s="1">
        <v>42035</v>
      </c>
      <c r="I67" s="1">
        <v>42048</v>
      </c>
      <c r="J67" s="1">
        <v>42048</v>
      </c>
      <c r="K67" s="1">
        <v>42108</v>
      </c>
      <c r="L67" s="7">
        <v>2345.44</v>
      </c>
      <c r="M67" s="5">
        <v>247</v>
      </c>
      <c r="N67" s="7">
        <v>579323.68000000005</v>
      </c>
      <c r="O67" s="2">
        <v>2345.44</v>
      </c>
      <c r="P67">
        <v>247</v>
      </c>
      <c r="Q67" s="2">
        <v>579323.68000000005</v>
      </c>
      <c r="R67">
        <v>516</v>
      </c>
      <c r="V67">
        <v>0</v>
      </c>
      <c r="W67">
        <v>0</v>
      </c>
      <c r="X67">
        <v>0</v>
      </c>
      <c r="Y67" s="2">
        <v>2861.44</v>
      </c>
      <c r="Z67" s="2">
        <v>2861.44</v>
      </c>
      <c r="AA67" s="2">
        <v>2861.44</v>
      </c>
      <c r="AB67" s="1">
        <v>42382</v>
      </c>
      <c r="AC67" t="s">
        <v>53</v>
      </c>
      <c r="AD67" t="s">
        <v>53</v>
      </c>
      <c r="AK67">
        <v>516</v>
      </c>
      <c r="AU67" s="6">
        <v>42355</v>
      </c>
      <c r="AV67" s="6">
        <v>42355</v>
      </c>
      <c r="AW67" t="s">
        <v>54</v>
      </c>
      <c r="AX67" t="str">
        <f t="shared" ref="AX67:AX130" si="6">"FOR"</f>
        <v>FOR</v>
      </c>
      <c r="AY67" t="s">
        <v>55</v>
      </c>
    </row>
    <row r="68" spans="1:51">
      <c r="A68">
        <v>100032</v>
      </c>
      <c r="B68" t="s">
        <v>60</v>
      </c>
      <c r="C68" t="str">
        <f t="shared" si="5"/>
        <v>01316780426</v>
      </c>
      <c r="D68" t="str">
        <f t="shared" si="5"/>
        <v>01316780426</v>
      </c>
      <c r="E68" t="s">
        <v>52</v>
      </c>
      <c r="F68">
        <v>2015</v>
      </c>
      <c r="G68">
        <v>1573</v>
      </c>
      <c r="H68" s="1">
        <v>42035</v>
      </c>
      <c r="I68" s="1">
        <v>42053</v>
      </c>
      <c r="J68" s="1">
        <v>42053</v>
      </c>
      <c r="K68" s="1">
        <v>42113</v>
      </c>
      <c r="L68" s="7">
        <v>2010</v>
      </c>
      <c r="M68" s="5">
        <v>242</v>
      </c>
      <c r="N68" s="7">
        <v>486420</v>
      </c>
      <c r="O68" s="2">
        <v>2010</v>
      </c>
      <c r="P68">
        <v>242</v>
      </c>
      <c r="Q68" s="2">
        <v>486420</v>
      </c>
      <c r="R68">
        <v>442.2</v>
      </c>
      <c r="V68">
        <v>0</v>
      </c>
      <c r="W68">
        <v>0</v>
      </c>
      <c r="X68">
        <v>0</v>
      </c>
      <c r="Y68" s="2">
        <v>2452.1999999999998</v>
      </c>
      <c r="Z68" s="2">
        <v>2452.1999999999998</v>
      </c>
      <c r="AA68" s="2">
        <v>2452.1999999999998</v>
      </c>
      <c r="AB68" s="1">
        <v>42382</v>
      </c>
      <c r="AC68" t="s">
        <v>53</v>
      </c>
      <c r="AD68" t="s">
        <v>53</v>
      </c>
      <c r="AK68">
        <v>442.2</v>
      </c>
      <c r="AU68" s="6">
        <v>42355</v>
      </c>
      <c r="AV68" s="6">
        <v>42355</v>
      </c>
      <c r="AW68" t="s">
        <v>54</v>
      </c>
      <c r="AX68" t="str">
        <f t="shared" si="6"/>
        <v>FOR</v>
      </c>
      <c r="AY68" t="s">
        <v>55</v>
      </c>
    </row>
    <row r="69" spans="1:51" hidden="1">
      <c r="A69">
        <v>100046</v>
      </c>
      <c r="B69" t="s">
        <v>61</v>
      </c>
      <c r="C69" t="str">
        <f t="shared" ref="C69:D74" si="7">"07617050153"</f>
        <v>07617050153</v>
      </c>
      <c r="D69" t="str">
        <f t="shared" si="7"/>
        <v>07617050153</v>
      </c>
      <c r="E69" t="s">
        <v>52</v>
      </c>
      <c r="F69">
        <v>2013</v>
      </c>
      <c r="G69">
        <v>13105603</v>
      </c>
      <c r="H69" s="1">
        <v>41593</v>
      </c>
      <c r="I69" s="1">
        <v>41603</v>
      </c>
      <c r="J69" s="1">
        <v>41603</v>
      </c>
      <c r="K69" s="1">
        <v>41693</v>
      </c>
      <c r="N69" s="5"/>
      <c r="O69" s="2">
        <v>2025.2</v>
      </c>
      <c r="P69">
        <v>409</v>
      </c>
      <c r="Q69" s="2">
        <v>828306.8</v>
      </c>
      <c r="R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 s="1">
        <v>42382</v>
      </c>
      <c r="AC69" t="s">
        <v>53</v>
      </c>
      <c r="AD69" t="s">
        <v>53</v>
      </c>
      <c r="AK69">
        <v>0</v>
      </c>
      <c r="AU69" s="6">
        <v>42102</v>
      </c>
      <c r="AV69" s="6">
        <v>42102</v>
      </c>
      <c r="AW69" t="s">
        <v>54</v>
      </c>
      <c r="AX69" t="str">
        <f t="shared" si="6"/>
        <v>FOR</v>
      </c>
      <c r="AY69" t="s">
        <v>55</v>
      </c>
    </row>
    <row r="70" spans="1:51" hidden="1">
      <c r="A70">
        <v>100046</v>
      </c>
      <c r="B70" t="s">
        <v>61</v>
      </c>
      <c r="C70" t="str">
        <f t="shared" si="7"/>
        <v>07617050153</v>
      </c>
      <c r="D70" t="str">
        <f t="shared" si="7"/>
        <v>07617050153</v>
      </c>
      <c r="E70" t="s">
        <v>52</v>
      </c>
      <c r="F70">
        <v>2014</v>
      </c>
      <c r="G70">
        <v>14100842</v>
      </c>
      <c r="H70" s="1">
        <v>41684</v>
      </c>
      <c r="I70" s="1">
        <v>41711</v>
      </c>
      <c r="J70" s="1">
        <v>41711</v>
      </c>
      <c r="K70" s="1">
        <v>41801</v>
      </c>
      <c r="N70" s="5"/>
      <c r="O70" s="2">
        <v>2025.2</v>
      </c>
      <c r="P70">
        <v>301</v>
      </c>
      <c r="Q70" s="2">
        <v>609585.19999999995</v>
      </c>
      <c r="R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 s="1">
        <v>42382</v>
      </c>
      <c r="AC70" t="s">
        <v>53</v>
      </c>
      <c r="AD70" t="s">
        <v>53</v>
      </c>
      <c r="AK70">
        <v>0</v>
      </c>
      <c r="AU70" s="6">
        <v>42102</v>
      </c>
      <c r="AV70" s="6">
        <v>42102</v>
      </c>
      <c r="AW70" t="s">
        <v>54</v>
      </c>
      <c r="AX70" t="str">
        <f t="shared" si="6"/>
        <v>FOR</v>
      </c>
      <c r="AY70" t="s">
        <v>55</v>
      </c>
    </row>
    <row r="71" spans="1:51" hidden="1">
      <c r="A71">
        <v>100046</v>
      </c>
      <c r="B71" t="s">
        <v>61</v>
      </c>
      <c r="C71" t="str">
        <f t="shared" si="7"/>
        <v>07617050153</v>
      </c>
      <c r="D71" t="str">
        <f t="shared" si="7"/>
        <v>07617050153</v>
      </c>
      <c r="E71" t="s">
        <v>52</v>
      </c>
      <c r="F71">
        <v>2014</v>
      </c>
      <c r="G71">
        <v>14102883</v>
      </c>
      <c r="H71" s="1">
        <v>41789</v>
      </c>
      <c r="I71" s="1">
        <v>41800</v>
      </c>
      <c r="J71" s="1">
        <v>41800</v>
      </c>
      <c r="K71" s="1">
        <v>41890</v>
      </c>
      <c r="N71" s="5"/>
      <c r="O71" s="2">
        <v>1012.6</v>
      </c>
      <c r="P71">
        <v>241</v>
      </c>
      <c r="Q71" s="2">
        <v>244036.6</v>
      </c>
      <c r="R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 s="1">
        <v>42382</v>
      </c>
      <c r="AC71" t="s">
        <v>53</v>
      </c>
      <c r="AD71" t="s">
        <v>53</v>
      </c>
      <c r="AK71">
        <v>0</v>
      </c>
      <c r="AU71" s="6">
        <v>42131</v>
      </c>
      <c r="AV71" s="6">
        <v>42131</v>
      </c>
      <c r="AW71" t="s">
        <v>54</v>
      </c>
      <c r="AX71" t="str">
        <f t="shared" si="6"/>
        <v>FOR</v>
      </c>
      <c r="AY71" t="s">
        <v>55</v>
      </c>
    </row>
    <row r="72" spans="1:51" hidden="1">
      <c r="A72">
        <v>100046</v>
      </c>
      <c r="B72" t="s">
        <v>61</v>
      </c>
      <c r="C72" t="str">
        <f t="shared" si="7"/>
        <v>07617050153</v>
      </c>
      <c r="D72" t="str">
        <f t="shared" si="7"/>
        <v>07617050153</v>
      </c>
      <c r="E72" t="s">
        <v>52</v>
      </c>
      <c r="F72">
        <v>2014</v>
      </c>
      <c r="G72">
        <v>14103431</v>
      </c>
      <c r="H72" s="1">
        <v>41817</v>
      </c>
      <c r="I72" s="1">
        <v>41834</v>
      </c>
      <c r="J72" s="1">
        <v>41834</v>
      </c>
      <c r="K72" s="1">
        <v>41924</v>
      </c>
      <c r="N72" s="5"/>
      <c r="O72" s="2">
        <v>1518.9</v>
      </c>
      <c r="P72">
        <v>234</v>
      </c>
      <c r="Q72" s="2">
        <v>355422.6</v>
      </c>
      <c r="R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 s="1">
        <v>42382</v>
      </c>
      <c r="AC72" t="s">
        <v>53</v>
      </c>
      <c r="AD72" t="s">
        <v>53</v>
      </c>
      <c r="AK72">
        <v>0</v>
      </c>
      <c r="AU72" s="6">
        <v>42158</v>
      </c>
      <c r="AV72" s="6">
        <v>42158</v>
      </c>
      <c r="AW72" t="s">
        <v>54</v>
      </c>
      <c r="AX72" t="str">
        <f t="shared" si="6"/>
        <v>FOR</v>
      </c>
      <c r="AY72" t="s">
        <v>55</v>
      </c>
    </row>
    <row r="73" spans="1:51" hidden="1">
      <c r="A73">
        <v>100046</v>
      </c>
      <c r="B73" t="s">
        <v>61</v>
      </c>
      <c r="C73" t="str">
        <f t="shared" si="7"/>
        <v>07617050153</v>
      </c>
      <c r="D73" t="str">
        <f t="shared" si="7"/>
        <v>07617050153</v>
      </c>
      <c r="E73" t="s">
        <v>52</v>
      </c>
      <c r="F73">
        <v>2014</v>
      </c>
      <c r="G73">
        <v>14103874</v>
      </c>
      <c r="H73" s="1">
        <v>41838</v>
      </c>
      <c r="I73" s="1">
        <v>41849</v>
      </c>
      <c r="J73" s="1">
        <v>41849</v>
      </c>
      <c r="K73" s="1">
        <v>41939</v>
      </c>
      <c r="N73" s="5"/>
      <c r="O73" s="2">
        <v>1518.9</v>
      </c>
      <c r="P73">
        <v>245</v>
      </c>
      <c r="Q73" s="2">
        <v>372130.5</v>
      </c>
      <c r="R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 s="1">
        <v>42382</v>
      </c>
      <c r="AC73" t="s">
        <v>53</v>
      </c>
      <c r="AD73" t="s">
        <v>53</v>
      </c>
      <c r="AK73">
        <v>0</v>
      </c>
      <c r="AU73" s="6">
        <v>42184</v>
      </c>
      <c r="AV73" s="6">
        <v>42184</v>
      </c>
      <c r="AW73" t="s">
        <v>54</v>
      </c>
      <c r="AX73" t="str">
        <f t="shared" si="6"/>
        <v>FOR</v>
      </c>
      <c r="AY73" t="s">
        <v>55</v>
      </c>
    </row>
    <row r="74" spans="1:51" hidden="1">
      <c r="A74">
        <v>100046</v>
      </c>
      <c r="B74" t="s">
        <v>61</v>
      </c>
      <c r="C74" t="str">
        <f t="shared" si="7"/>
        <v>07617050153</v>
      </c>
      <c r="D74" t="str">
        <f t="shared" si="7"/>
        <v>07617050153</v>
      </c>
      <c r="E74" t="s">
        <v>52</v>
      </c>
      <c r="F74">
        <v>2014</v>
      </c>
      <c r="G74">
        <v>14104550</v>
      </c>
      <c r="H74" s="1">
        <v>41880</v>
      </c>
      <c r="I74" s="1">
        <v>41899</v>
      </c>
      <c r="J74" s="1">
        <v>41899</v>
      </c>
      <c r="K74" s="1">
        <v>41989</v>
      </c>
      <c r="N74" s="5"/>
      <c r="O74" s="2">
        <v>1518.9</v>
      </c>
      <c r="P74">
        <v>195</v>
      </c>
      <c r="Q74" s="2">
        <v>296185.5</v>
      </c>
      <c r="R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 s="1">
        <v>42382</v>
      </c>
      <c r="AC74" t="s">
        <v>53</v>
      </c>
      <c r="AD74" t="s">
        <v>53</v>
      </c>
      <c r="AK74">
        <v>0</v>
      </c>
      <c r="AU74" s="6">
        <v>42184</v>
      </c>
      <c r="AV74" s="6">
        <v>42184</v>
      </c>
      <c r="AW74" t="s">
        <v>54</v>
      </c>
      <c r="AX74" t="str">
        <f t="shared" si="6"/>
        <v>FOR</v>
      </c>
      <c r="AY74" t="s">
        <v>55</v>
      </c>
    </row>
    <row r="75" spans="1:51" hidden="1">
      <c r="A75">
        <v>100052</v>
      </c>
      <c r="B75" t="s">
        <v>62</v>
      </c>
      <c r="C75" t="str">
        <f t="shared" ref="C75:D86" si="8">"00922061007"</f>
        <v>00922061007</v>
      </c>
      <c r="D75" t="str">
        <f t="shared" si="8"/>
        <v>00922061007</v>
      </c>
      <c r="E75" t="s">
        <v>52</v>
      </c>
      <c r="F75">
        <v>2015</v>
      </c>
      <c r="G75">
        <v>120</v>
      </c>
      <c r="H75" s="1">
        <v>42024</v>
      </c>
      <c r="I75" s="1">
        <v>42025</v>
      </c>
      <c r="J75" s="1">
        <v>42025</v>
      </c>
      <c r="K75" s="1">
        <v>42085</v>
      </c>
      <c r="N75" s="5"/>
      <c r="O75" s="2">
        <v>2124</v>
      </c>
      <c r="P75">
        <v>-60</v>
      </c>
      <c r="Q75" s="2">
        <v>-127440</v>
      </c>
      <c r="R75">
        <v>0</v>
      </c>
      <c r="V75">
        <v>0</v>
      </c>
      <c r="W75">
        <v>0</v>
      </c>
      <c r="X75">
        <v>0</v>
      </c>
      <c r="Y75" s="2">
        <v>2124</v>
      </c>
      <c r="Z75" s="2">
        <v>2124</v>
      </c>
      <c r="AA75" s="2">
        <v>2124</v>
      </c>
      <c r="AB75" s="1">
        <v>42382</v>
      </c>
      <c r="AC75" t="s">
        <v>53</v>
      </c>
      <c r="AD75" t="s">
        <v>53</v>
      </c>
      <c r="AK75">
        <v>0</v>
      </c>
      <c r="AU75" s="6">
        <v>42025</v>
      </c>
      <c r="AV75" s="6">
        <v>42025</v>
      </c>
      <c r="AW75" t="s">
        <v>54</v>
      </c>
      <c r="AX75" t="str">
        <f t="shared" si="6"/>
        <v>FOR</v>
      </c>
      <c r="AY75" t="s">
        <v>55</v>
      </c>
    </row>
    <row r="76" spans="1:51" hidden="1">
      <c r="A76">
        <v>100052</v>
      </c>
      <c r="B76" t="s">
        <v>62</v>
      </c>
      <c r="C76" t="str">
        <f t="shared" si="8"/>
        <v>00922061007</v>
      </c>
      <c r="D76" t="str">
        <f t="shared" si="8"/>
        <v>00922061007</v>
      </c>
      <c r="E76" t="s">
        <v>52</v>
      </c>
      <c r="F76">
        <v>2015</v>
      </c>
      <c r="G76">
        <v>219</v>
      </c>
      <c r="H76" s="1">
        <v>42054</v>
      </c>
      <c r="I76" s="1">
        <v>42054</v>
      </c>
      <c r="J76" s="1">
        <v>42054</v>
      </c>
      <c r="K76" s="1">
        <v>42114</v>
      </c>
      <c r="N76" s="5"/>
      <c r="O76" s="2">
        <v>2124</v>
      </c>
      <c r="P76">
        <v>-56</v>
      </c>
      <c r="Q76" s="2">
        <v>-118944</v>
      </c>
      <c r="R76">
        <v>0</v>
      </c>
      <c r="V76">
        <v>0</v>
      </c>
      <c r="W76">
        <v>0</v>
      </c>
      <c r="X76">
        <v>0</v>
      </c>
      <c r="Y76" s="2">
        <v>2124</v>
      </c>
      <c r="Z76" s="2">
        <v>2124</v>
      </c>
      <c r="AA76" s="2">
        <v>2124</v>
      </c>
      <c r="AB76" s="1">
        <v>42382</v>
      </c>
      <c r="AC76" t="s">
        <v>53</v>
      </c>
      <c r="AD76" t="s">
        <v>53</v>
      </c>
      <c r="AK76">
        <v>0</v>
      </c>
      <c r="AU76" s="6">
        <v>42058</v>
      </c>
      <c r="AV76" s="6">
        <v>42058</v>
      </c>
      <c r="AW76" t="s">
        <v>54</v>
      </c>
      <c r="AX76" t="str">
        <f t="shared" si="6"/>
        <v>FOR</v>
      </c>
      <c r="AY76" t="s">
        <v>55</v>
      </c>
    </row>
    <row r="77" spans="1:51" hidden="1">
      <c r="A77">
        <v>100052</v>
      </c>
      <c r="B77" t="s">
        <v>62</v>
      </c>
      <c r="C77" t="str">
        <f t="shared" si="8"/>
        <v>00922061007</v>
      </c>
      <c r="D77" t="str">
        <f t="shared" si="8"/>
        <v>00922061007</v>
      </c>
      <c r="E77" t="s">
        <v>52</v>
      </c>
      <c r="F77">
        <v>2015</v>
      </c>
      <c r="G77">
        <v>320</v>
      </c>
      <c r="H77" s="1">
        <v>42083</v>
      </c>
      <c r="I77" s="1">
        <v>42086</v>
      </c>
      <c r="J77" s="1">
        <v>42086</v>
      </c>
      <c r="K77" s="1">
        <v>42146</v>
      </c>
      <c r="N77" s="5"/>
      <c r="O77" s="2">
        <v>2744</v>
      </c>
      <c r="P77">
        <v>-60</v>
      </c>
      <c r="Q77" s="2">
        <v>-164640</v>
      </c>
      <c r="R77">
        <v>0</v>
      </c>
      <c r="V77">
        <v>0</v>
      </c>
      <c r="W77">
        <v>0</v>
      </c>
      <c r="X77">
        <v>0</v>
      </c>
      <c r="Y77" s="2">
        <v>2744</v>
      </c>
      <c r="Z77" s="2">
        <v>2744</v>
      </c>
      <c r="AA77" s="2">
        <v>2744</v>
      </c>
      <c r="AB77" s="1">
        <v>42382</v>
      </c>
      <c r="AC77" t="s">
        <v>53</v>
      </c>
      <c r="AD77" t="s">
        <v>53</v>
      </c>
      <c r="AK77">
        <v>0</v>
      </c>
      <c r="AU77" s="6">
        <v>42086</v>
      </c>
      <c r="AV77" s="6">
        <v>42086</v>
      </c>
      <c r="AW77" t="s">
        <v>54</v>
      </c>
      <c r="AX77" t="str">
        <f t="shared" si="6"/>
        <v>FOR</v>
      </c>
      <c r="AY77" t="s">
        <v>55</v>
      </c>
    </row>
    <row r="78" spans="1:51" hidden="1">
      <c r="A78">
        <v>100052</v>
      </c>
      <c r="B78" t="s">
        <v>62</v>
      </c>
      <c r="C78" t="str">
        <f t="shared" si="8"/>
        <v>00922061007</v>
      </c>
      <c r="D78" t="str">
        <f t="shared" si="8"/>
        <v>00922061007</v>
      </c>
      <c r="E78" t="s">
        <v>52</v>
      </c>
      <c r="F78">
        <v>2015</v>
      </c>
      <c r="G78">
        <v>420</v>
      </c>
      <c r="H78" s="1">
        <v>42114</v>
      </c>
      <c r="I78" s="1">
        <v>42115</v>
      </c>
      <c r="J78" s="1">
        <v>42115</v>
      </c>
      <c r="K78" s="1">
        <v>42175</v>
      </c>
      <c r="N78" s="5"/>
      <c r="O78" s="2">
        <v>2744</v>
      </c>
      <c r="P78">
        <v>-59</v>
      </c>
      <c r="Q78" s="2">
        <v>-161896</v>
      </c>
      <c r="R78">
        <v>0</v>
      </c>
      <c r="V78">
        <v>0</v>
      </c>
      <c r="W78">
        <v>0</v>
      </c>
      <c r="X78">
        <v>0</v>
      </c>
      <c r="Y78" s="2">
        <v>2744</v>
      </c>
      <c r="Z78" s="2">
        <v>2744</v>
      </c>
      <c r="AA78" s="2">
        <v>2744</v>
      </c>
      <c r="AB78" s="1">
        <v>42382</v>
      </c>
      <c r="AC78" t="s">
        <v>53</v>
      </c>
      <c r="AD78" t="s">
        <v>53</v>
      </c>
      <c r="AK78">
        <v>0</v>
      </c>
      <c r="AU78" s="6">
        <v>42116</v>
      </c>
      <c r="AV78" s="6">
        <v>42116</v>
      </c>
      <c r="AW78" t="s">
        <v>54</v>
      </c>
      <c r="AX78" t="str">
        <f t="shared" si="6"/>
        <v>FOR</v>
      </c>
      <c r="AY78" t="s">
        <v>55</v>
      </c>
    </row>
    <row r="79" spans="1:51" hidden="1">
      <c r="A79">
        <v>100052</v>
      </c>
      <c r="B79" t="s">
        <v>62</v>
      </c>
      <c r="C79" t="str">
        <f t="shared" si="8"/>
        <v>00922061007</v>
      </c>
      <c r="D79" t="str">
        <f t="shared" si="8"/>
        <v>00922061007</v>
      </c>
      <c r="E79" t="s">
        <v>52</v>
      </c>
      <c r="F79">
        <v>2015</v>
      </c>
      <c r="G79">
        <v>520</v>
      </c>
      <c r="H79" s="1">
        <v>42144</v>
      </c>
      <c r="I79" s="1">
        <v>42144</v>
      </c>
      <c r="J79" s="1">
        <v>42144</v>
      </c>
      <c r="K79" s="1">
        <v>42204</v>
      </c>
      <c r="N79" s="5"/>
      <c r="O79" s="2">
        <v>1911</v>
      </c>
      <c r="P79">
        <v>-60</v>
      </c>
      <c r="Q79" s="2">
        <v>-114660</v>
      </c>
      <c r="R79">
        <v>0</v>
      </c>
      <c r="V79">
        <v>0</v>
      </c>
      <c r="W79">
        <v>0</v>
      </c>
      <c r="X79">
        <v>0</v>
      </c>
      <c r="Y79" s="2">
        <v>1911</v>
      </c>
      <c r="Z79" s="2">
        <v>1911</v>
      </c>
      <c r="AA79" s="2">
        <v>1911</v>
      </c>
      <c r="AB79" s="1">
        <v>42382</v>
      </c>
      <c r="AC79" t="s">
        <v>53</v>
      </c>
      <c r="AD79" t="s">
        <v>53</v>
      </c>
      <c r="AK79">
        <v>0</v>
      </c>
      <c r="AU79" s="6">
        <v>42144</v>
      </c>
      <c r="AV79" s="6">
        <v>42144</v>
      </c>
      <c r="AW79" t="s">
        <v>54</v>
      </c>
      <c r="AX79" t="str">
        <f t="shared" si="6"/>
        <v>FOR</v>
      </c>
      <c r="AY79" t="s">
        <v>55</v>
      </c>
    </row>
    <row r="80" spans="1:51" hidden="1">
      <c r="A80">
        <v>100052</v>
      </c>
      <c r="B80" t="s">
        <v>62</v>
      </c>
      <c r="C80" t="str">
        <f t="shared" si="8"/>
        <v>00922061007</v>
      </c>
      <c r="D80" t="str">
        <f t="shared" si="8"/>
        <v>00922061007</v>
      </c>
      <c r="E80" t="s">
        <v>52</v>
      </c>
      <c r="F80">
        <v>2015</v>
      </c>
      <c r="G80">
        <v>619</v>
      </c>
      <c r="H80" s="1">
        <v>42174</v>
      </c>
      <c r="I80" s="1">
        <v>42174</v>
      </c>
      <c r="J80" s="1">
        <v>42174</v>
      </c>
      <c r="K80" s="1">
        <v>42234</v>
      </c>
      <c r="N80" s="5"/>
      <c r="O80" s="2">
        <v>1911</v>
      </c>
      <c r="P80">
        <v>-57</v>
      </c>
      <c r="Q80" s="2">
        <v>-108927</v>
      </c>
      <c r="R80">
        <v>0</v>
      </c>
      <c r="V80">
        <v>0</v>
      </c>
      <c r="W80">
        <v>0</v>
      </c>
      <c r="X80">
        <v>0</v>
      </c>
      <c r="Y80" s="2">
        <v>1911</v>
      </c>
      <c r="Z80" s="2">
        <v>1911</v>
      </c>
      <c r="AA80" s="2">
        <v>1911</v>
      </c>
      <c r="AB80" s="1">
        <v>42382</v>
      </c>
      <c r="AC80" t="s">
        <v>53</v>
      </c>
      <c r="AD80" t="s">
        <v>53</v>
      </c>
      <c r="AK80">
        <v>0</v>
      </c>
      <c r="AU80" s="6">
        <v>42177</v>
      </c>
      <c r="AV80" s="6">
        <v>42177</v>
      </c>
      <c r="AW80" t="s">
        <v>54</v>
      </c>
      <c r="AX80" t="str">
        <f t="shared" si="6"/>
        <v>FOR</v>
      </c>
      <c r="AY80" t="s">
        <v>55</v>
      </c>
    </row>
    <row r="81" spans="1:51" hidden="1">
      <c r="A81">
        <v>100052</v>
      </c>
      <c r="B81" t="s">
        <v>62</v>
      </c>
      <c r="C81" t="str">
        <f t="shared" si="8"/>
        <v>00922061007</v>
      </c>
      <c r="D81" t="str">
        <f t="shared" si="8"/>
        <v>00922061007</v>
      </c>
      <c r="E81" t="s">
        <v>52</v>
      </c>
      <c r="F81">
        <v>2015</v>
      </c>
      <c r="G81">
        <v>721</v>
      </c>
      <c r="H81" s="1">
        <v>42206</v>
      </c>
      <c r="I81" s="1">
        <v>42206</v>
      </c>
      <c r="J81" s="1">
        <v>42206</v>
      </c>
      <c r="K81" s="1">
        <v>42266</v>
      </c>
      <c r="N81" s="5"/>
      <c r="O81" s="2">
        <v>1911</v>
      </c>
      <c r="P81">
        <v>-60</v>
      </c>
      <c r="Q81" s="2">
        <v>-114660</v>
      </c>
      <c r="R81">
        <v>0</v>
      </c>
      <c r="V81">
        <v>0</v>
      </c>
      <c r="W81">
        <v>0</v>
      </c>
      <c r="X81">
        <v>0</v>
      </c>
      <c r="Y81" s="2">
        <v>1911</v>
      </c>
      <c r="Z81" s="2">
        <v>1911</v>
      </c>
      <c r="AA81" s="2">
        <v>1911</v>
      </c>
      <c r="AB81" s="1">
        <v>42382</v>
      </c>
      <c r="AC81" t="s">
        <v>53</v>
      </c>
      <c r="AD81" t="s">
        <v>53</v>
      </c>
      <c r="AK81">
        <v>0</v>
      </c>
      <c r="AU81" s="6">
        <v>42206</v>
      </c>
      <c r="AV81" s="6">
        <v>42206</v>
      </c>
      <c r="AW81" t="s">
        <v>54</v>
      </c>
      <c r="AX81" t="str">
        <f t="shared" si="6"/>
        <v>FOR</v>
      </c>
      <c r="AY81" t="s">
        <v>55</v>
      </c>
    </row>
    <row r="82" spans="1:51" hidden="1">
      <c r="A82">
        <v>100052</v>
      </c>
      <c r="B82" t="s">
        <v>62</v>
      </c>
      <c r="C82" t="str">
        <f t="shared" si="8"/>
        <v>00922061007</v>
      </c>
      <c r="D82" t="str">
        <f t="shared" si="8"/>
        <v>00922061007</v>
      </c>
      <c r="E82" t="s">
        <v>52</v>
      </c>
      <c r="F82">
        <v>2015</v>
      </c>
      <c r="G82">
        <v>819</v>
      </c>
      <c r="H82" s="1">
        <v>42235</v>
      </c>
      <c r="I82" s="1">
        <v>42236</v>
      </c>
      <c r="J82" s="1">
        <v>42236</v>
      </c>
      <c r="K82" s="1">
        <v>42296</v>
      </c>
      <c r="N82" s="5"/>
      <c r="O82" s="2">
        <v>1211</v>
      </c>
      <c r="P82">
        <v>-60</v>
      </c>
      <c r="Q82" s="2">
        <v>-72660</v>
      </c>
      <c r="R82">
        <v>0</v>
      </c>
      <c r="V82">
        <v>0</v>
      </c>
      <c r="W82">
        <v>0</v>
      </c>
      <c r="X82">
        <v>0</v>
      </c>
      <c r="Y82" s="2">
        <v>1211</v>
      </c>
      <c r="Z82" s="2">
        <v>1211</v>
      </c>
      <c r="AA82" s="2">
        <v>1211</v>
      </c>
      <c r="AB82" s="1">
        <v>42382</v>
      </c>
      <c r="AC82" t="s">
        <v>53</v>
      </c>
      <c r="AD82" t="s">
        <v>53</v>
      </c>
      <c r="AK82">
        <v>0</v>
      </c>
      <c r="AU82" s="6">
        <v>42236</v>
      </c>
      <c r="AV82" s="6">
        <v>42236</v>
      </c>
      <c r="AW82" t="s">
        <v>54</v>
      </c>
      <c r="AX82" t="str">
        <f t="shared" si="6"/>
        <v>FOR</v>
      </c>
      <c r="AY82" t="s">
        <v>55</v>
      </c>
    </row>
    <row r="83" spans="1:51" hidden="1">
      <c r="A83">
        <v>100052</v>
      </c>
      <c r="B83" t="s">
        <v>62</v>
      </c>
      <c r="C83" t="str">
        <f t="shared" si="8"/>
        <v>00922061007</v>
      </c>
      <c r="D83" t="str">
        <f t="shared" si="8"/>
        <v>00922061007</v>
      </c>
      <c r="E83" t="s">
        <v>52</v>
      </c>
      <c r="F83">
        <v>2015</v>
      </c>
      <c r="G83">
        <v>918</v>
      </c>
      <c r="H83" s="1">
        <v>42265</v>
      </c>
      <c r="I83" s="1">
        <v>42268</v>
      </c>
      <c r="J83" s="1">
        <v>42268</v>
      </c>
      <c r="K83" s="1">
        <v>42328</v>
      </c>
      <c r="N83" s="5"/>
      <c r="O83" s="2">
        <v>1371</v>
      </c>
      <c r="P83">
        <v>-58</v>
      </c>
      <c r="Q83" s="2">
        <v>-79518</v>
      </c>
      <c r="R83">
        <v>0</v>
      </c>
      <c r="V83">
        <v>0</v>
      </c>
      <c r="W83">
        <v>0</v>
      </c>
      <c r="X83">
        <v>0</v>
      </c>
      <c r="Y83" s="2">
        <v>1371</v>
      </c>
      <c r="Z83" s="2">
        <v>1371</v>
      </c>
      <c r="AA83" s="2">
        <v>1371</v>
      </c>
      <c r="AB83" s="1">
        <v>42382</v>
      </c>
      <c r="AC83" t="s">
        <v>53</v>
      </c>
      <c r="AD83" t="s">
        <v>53</v>
      </c>
      <c r="AK83">
        <v>0</v>
      </c>
      <c r="AU83" s="6">
        <v>42270</v>
      </c>
      <c r="AV83" s="6">
        <v>42270</v>
      </c>
      <c r="AW83" t="s">
        <v>54</v>
      </c>
      <c r="AX83" t="str">
        <f t="shared" si="6"/>
        <v>FOR</v>
      </c>
      <c r="AY83" t="s">
        <v>55</v>
      </c>
    </row>
    <row r="84" spans="1:51" hidden="1">
      <c r="A84">
        <v>100052</v>
      </c>
      <c r="B84" t="s">
        <v>62</v>
      </c>
      <c r="C84" t="str">
        <f t="shared" si="8"/>
        <v>00922061007</v>
      </c>
      <c r="D84" t="str">
        <f t="shared" si="8"/>
        <v>00922061007</v>
      </c>
      <c r="E84" t="s">
        <v>52</v>
      </c>
      <c r="F84">
        <v>2015</v>
      </c>
      <c r="G84">
        <v>1021</v>
      </c>
      <c r="H84" s="1">
        <v>42298</v>
      </c>
      <c r="I84" s="1">
        <v>42268</v>
      </c>
      <c r="J84" s="1">
        <v>42268</v>
      </c>
      <c r="K84" s="1">
        <v>42328</v>
      </c>
      <c r="L84" s="7">
        <v>1371</v>
      </c>
      <c r="M84" s="5">
        <v>-30</v>
      </c>
      <c r="N84" s="7">
        <v>-41130</v>
      </c>
      <c r="O84" s="2">
        <v>1371</v>
      </c>
      <c r="P84">
        <v>-30</v>
      </c>
      <c r="Q84" s="2">
        <v>-41130</v>
      </c>
      <c r="R84">
        <v>0</v>
      </c>
      <c r="V84" s="2">
        <v>1371</v>
      </c>
      <c r="W84">
        <v>0</v>
      </c>
      <c r="X84" s="2">
        <v>1371</v>
      </c>
      <c r="Y84" s="2">
        <v>1371</v>
      </c>
      <c r="Z84" s="2">
        <v>1371</v>
      </c>
      <c r="AA84" s="2">
        <v>1371</v>
      </c>
      <c r="AB84" s="1">
        <v>42382</v>
      </c>
      <c r="AC84" t="s">
        <v>53</v>
      </c>
      <c r="AD84" t="s">
        <v>53</v>
      </c>
      <c r="AK84">
        <v>0</v>
      </c>
      <c r="AU84" s="6">
        <v>42298</v>
      </c>
      <c r="AV84" s="6">
        <v>42298</v>
      </c>
      <c r="AW84" t="s">
        <v>54</v>
      </c>
      <c r="AX84" t="str">
        <f t="shared" si="6"/>
        <v>FOR</v>
      </c>
      <c r="AY84" t="s">
        <v>55</v>
      </c>
    </row>
    <row r="85" spans="1:51" hidden="1">
      <c r="A85">
        <v>100052</v>
      </c>
      <c r="B85" t="s">
        <v>62</v>
      </c>
      <c r="C85" t="str">
        <f t="shared" si="8"/>
        <v>00922061007</v>
      </c>
      <c r="D85" t="str">
        <f t="shared" si="8"/>
        <v>00922061007</v>
      </c>
      <c r="E85" t="s">
        <v>52</v>
      </c>
      <c r="F85">
        <v>2015</v>
      </c>
      <c r="G85">
        <v>1120</v>
      </c>
      <c r="H85" s="1">
        <v>42328</v>
      </c>
      <c r="I85" s="1">
        <v>42331</v>
      </c>
      <c r="J85" s="1">
        <v>42331</v>
      </c>
      <c r="K85" s="1">
        <v>42391</v>
      </c>
      <c r="L85" s="7">
        <v>1066</v>
      </c>
      <c r="M85" s="5">
        <v>-58</v>
      </c>
      <c r="N85" s="7">
        <v>-61828</v>
      </c>
      <c r="O85" s="2">
        <v>1066</v>
      </c>
      <c r="P85">
        <v>-58</v>
      </c>
      <c r="Q85" s="2">
        <v>-61828</v>
      </c>
      <c r="R85">
        <v>0</v>
      </c>
      <c r="V85" s="2">
        <v>1066</v>
      </c>
      <c r="W85" s="2">
        <v>1066</v>
      </c>
      <c r="X85" s="2">
        <v>1066</v>
      </c>
      <c r="Y85" s="2">
        <v>1066</v>
      </c>
      <c r="Z85" s="2">
        <v>1066</v>
      </c>
      <c r="AA85" s="2">
        <v>1066</v>
      </c>
      <c r="AB85" s="1">
        <v>42382</v>
      </c>
      <c r="AC85" t="s">
        <v>53</v>
      </c>
      <c r="AD85" t="s">
        <v>53</v>
      </c>
      <c r="AK85">
        <v>0</v>
      </c>
      <c r="AU85" s="6">
        <v>42333</v>
      </c>
      <c r="AV85" s="6">
        <v>42333</v>
      </c>
      <c r="AW85" t="s">
        <v>54</v>
      </c>
      <c r="AX85" t="str">
        <f t="shared" si="6"/>
        <v>FOR</v>
      </c>
      <c r="AY85" t="s">
        <v>55</v>
      </c>
    </row>
    <row r="86" spans="1:51" hidden="1">
      <c r="A86">
        <v>100052</v>
      </c>
      <c r="B86" t="s">
        <v>62</v>
      </c>
      <c r="C86" t="str">
        <f t="shared" si="8"/>
        <v>00922061007</v>
      </c>
      <c r="D86" t="str">
        <f t="shared" si="8"/>
        <v>00922061007</v>
      </c>
      <c r="E86" t="s">
        <v>52</v>
      </c>
      <c r="F86">
        <v>2015</v>
      </c>
      <c r="G86">
        <v>1211</v>
      </c>
      <c r="H86" s="1">
        <v>42349</v>
      </c>
      <c r="I86" s="1">
        <v>42349</v>
      </c>
      <c r="J86" s="1">
        <v>42349</v>
      </c>
      <c r="K86" s="1">
        <v>42409</v>
      </c>
      <c r="L86" s="7">
        <v>1066</v>
      </c>
      <c r="M86" s="5">
        <v>-60</v>
      </c>
      <c r="N86" s="7">
        <v>-63960</v>
      </c>
      <c r="O86" s="2">
        <v>1066</v>
      </c>
      <c r="P86">
        <v>-60</v>
      </c>
      <c r="Q86" s="2">
        <v>-63960</v>
      </c>
      <c r="R86">
        <v>0</v>
      </c>
      <c r="V86" s="2">
        <v>1066</v>
      </c>
      <c r="W86" s="2">
        <v>1066</v>
      </c>
      <c r="X86" s="2">
        <v>1066</v>
      </c>
      <c r="Y86" s="2">
        <v>1066</v>
      </c>
      <c r="Z86" s="2">
        <v>1066</v>
      </c>
      <c r="AA86" s="2">
        <v>1066</v>
      </c>
      <c r="AB86" s="1">
        <v>42382</v>
      </c>
      <c r="AC86" t="s">
        <v>53</v>
      </c>
      <c r="AD86" t="s">
        <v>53</v>
      </c>
      <c r="AK86">
        <v>0</v>
      </c>
      <c r="AU86" s="6">
        <v>42349</v>
      </c>
      <c r="AV86" s="6">
        <v>42349</v>
      </c>
      <c r="AW86" t="s">
        <v>54</v>
      </c>
      <c r="AX86" t="str">
        <f t="shared" si="6"/>
        <v>FOR</v>
      </c>
      <c r="AY86" t="s">
        <v>55</v>
      </c>
    </row>
    <row r="87" spans="1:51" hidden="1">
      <c r="A87">
        <v>100053</v>
      </c>
      <c r="B87" t="s">
        <v>63</v>
      </c>
      <c r="C87" t="str">
        <f t="shared" ref="C87:D113" si="9">"07435060152"</f>
        <v>07435060152</v>
      </c>
      <c r="D87" t="str">
        <f t="shared" si="9"/>
        <v>07435060152</v>
      </c>
      <c r="E87" t="s">
        <v>52</v>
      </c>
      <c r="F87">
        <v>2014</v>
      </c>
      <c r="G87">
        <v>34004597</v>
      </c>
      <c r="H87" s="1">
        <v>41666</v>
      </c>
      <c r="I87" s="1">
        <v>41684</v>
      </c>
      <c r="J87" s="1">
        <v>41684</v>
      </c>
      <c r="K87" s="1">
        <v>41774</v>
      </c>
      <c r="N87" s="5"/>
      <c r="O87" s="2">
        <v>1698.24</v>
      </c>
      <c r="P87">
        <v>250</v>
      </c>
      <c r="Q87" s="2">
        <v>424560</v>
      </c>
      <c r="R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 s="1">
        <v>42382</v>
      </c>
      <c r="AC87" t="s">
        <v>53</v>
      </c>
      <c r="AD87" t="s">
        <v>53</v>
      </c>
      <c r="AK87">
        <v>0</v>
      </c>
      <c r="AU87" s="6">
        <v>42024</v>
      </c>
      <c r="AV87" s="6">
        <v>42024</v>
      </c>
      <c r="AW87" t="s">
        <v>54</v>
      </c>
      <c r="AX87" t="str">
        <f t="shared" si="6"/>
        <v>FOR</v>
      </c>
      <c r="AY87" t="s">
        <v>55</v>
      </c>
    </row>
    <row r="88" spans="1:51" hidden="1">
      <c r="A88">
        <v>100053</v>
      </c>
      <c r="B88" t="s">
        <v>63</v>
      </c>
      <c r="C88" t="str">
        <f t="shared" si="9"/>
        <v>07435060152</v>
      </c>
      <c r="D88" t="str">
        <f t="shared" si="9"/>
        <v>07435060152</v>
      </c>
      <c r="E88" t="s">
        <v>52</v>
      </c>
      <c r="F88">
        <v>2014</v>
      </c>
      <c r="G88">
        <v>34004874</v>
      </c>
      <c r="H88" s="1">
        <v>41667</v>
      </c>
      <c r="I88" s="1">
        <v>41684</v>
      </c>
      <c r="J88" s="1">
        <v>41684</v>
      </c>
      <c r="K88" s="1">
        <v>41774</v>
      </c>
      <c r="N88" s="5"/>
      <c r="O88" s="2">
        <v>1456.19</v>
      </c>
      <c r="P88">
        <v>250</v>
      </c>
      <c r="Q88" s="2">
        <v>364047.5</v>
      </c>
      <c r="R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 s="1">
        <v>42382</v>
      </c>
      <c r="AC88" t="s">
        <v>53</v>
      </c>
      <c r="AD88" t="s">
        <v>53</v>
      </c>
      <c r="AK88">
        <v>0</v>
      </c>
      <c r="AU88" s="6">
        <v>42024</v>
      </c>
      <c r="AV88" s="6">
        <v>42024</v>
      </c>
      <c r="AW88" t="s">
        <v>54</v>
      </c>
      <c r="AX88" t="str">
        <f t="shared" si="6"/>
        <v>FOR</v>
      </c>
      <c r="AY88" t="s">
        <v>55</v>
      </c>
    </row>
    <row r="89" spans="1:51" hidden="1">
      <c r="A89">
        <v>100053</v>
      </c>
      <c r="B89" t="s">
        <v>63</v>
      </c>
      <c r="C89" t="str">
        <f t="shared" si="9"/>
        <v>07435060152</v>
      </c>
      <c r="D89" t="str">
        <f t="shared" si="9"/>
        <v>07435060152</v>
      </c>
      <c r="E89" t="s">
        <v>52</v>
      </c>
      <c r="F89">
        <v>2014</v>
      </c>
      <c r="G89">
        <v>34004978</v>
      </c>
      <c r="H89" s="1">
        <v>41667</v>
      </c>
      <c r="I89" s="1">
        <v>41684</v>
      </c>
      <c r="J89" s="1">
        <v>41684</v>
      </c>
      <c r="K89" s="1">
        <v>41774</v>
      </c>
      <c r="N89" s="5"/>
      <c r="O89">
        <v>775.92</v>
      </c>
      <c r="P89">
        <v>250</v>
      </c>
      <c r="Q89" s="2">
        <v>193980</v>
      </c>
      <c r="R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 s="1">
        <v>42382</v>
      </c>
      <c r="AC89" t="s">
        <v>53</v>
      </c>
      <c r="AD89" t="s">
        <v>53</v>
      </c>
      <c r="AK89">
        <v>0</v>
      </c>
      <c r="AU89" s="6">
        <v>42024</v>
      </c>
      <c r="AV89" s="6">
        <v>42024</v>
      </c>
      <c r="AW89" t="s">
        <v>54</v>
      </c>
      <c r="AX89" t="str">
        <f t="shared" si="6"/>
        <v>FOR</v>
      </c>
      <c r="AY89" t="s">
        <v>55</v>
      </c>
    </row>
    <row r="90" spans="1:51" hidden="1">
      <c r="A90">
        <v>100053</v>
      </c>
      <c r="B90" t="s">
        <v>63</v>
      </c>
      <c r="C90" t="str">
        <f t="shared" si="9"/>
        <v>07435060152</v>
      </c>
      <c r="D90" t="str">
        <f t="shared" si="9"/>
        <v>07435060152</v>
      </c>
      <c r="E90" t="s">
        <v>52</v>
      </c>
      <c r="F90">
        <v>2014</v>
      </c>
      <c r="G90">
        <v>34008361</v>
      </c>
      <c r="H90" s="1">
        <v>41682</v>
      </c>
      <c r="I90" s="1">
        <v>41702</v>
      </c>
      <c r="J90" s="1">
        <v>41702</v>
      </c>
      <c r="K90" s="1">
        <v>41792</v>
      </c>
      <c r="N90" s="5"/>
      <c r="O90">
        <v>805.2</v>
      </c>
      <c r="P90">
        <v>310</v>
      </c>
      <c r="Q90" s="2">
        <v>249612</v>
      </c>
      <c r="R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 s="1">
        <v>42382</v>
      </c>
      <c r="AC90" t="s">
        <v>53</v>
      </c>
      <c r="AD90" t="s">
        <v>53</v>
      </c>
      <c r="AK90">
        <v>0</v>
      </c>
      <c r="AU90" s="6">
        <v>42102</v>
      </c>
      <c r="AV90" s="6">
        <v>42102</v>
      </c>
      <c r="AW90" t="s">
        <v>54</v>
      </c>
      <c r="AX90" t="str">
        <f t="shared" si="6"/>
        <v>FOR</v>
      </c>
      <c r="AY90" t="s">
        <v>55</v>
      </c>
    </row>
    <row r="91" spans="1:51" hidden="1">
      <c r="A91">
        <v>100053</v>
      </c>
      <c r="B91" t="s">
        <v>63</v>
      </c>
      <c r="C91" t="str">
        <f t="shared" si="9"/>
        <v>07435060152</v>
      </c>
      <c r="D91" t="str">
        <f t="shared" si="9"/>
        <v>07435060152</v>
      </c>
      <c r="E91" t="s">
        <v>52</v>
      </c>
      <c r="F91">
        <v>2014</v>
      </c>
      <c r="G91">
        <v>34014495</v>
      </c>
      <c r="H91" s="1">
        <v>41709</v>
      </c>
      <c r="I91" s="1">
        <v>41730</v>
      </c>
      <c r="J91" s="1">
        <v>41730</v>
      </c>
      <c r="K91" s="1">
        <v>41820</v>
      </c>
      <c r="N91" s="5"/>
      <c r="O91">
        <v>805.2</v>
      </c>
      <c r="P91">
        <v>282</v>
      </c>
      <c r="Q91" s="2">
        <v>227066.4</v>
      </c>
      <c r="R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 s="1">
        <v>42382</v>
      </c>
      <c r="AC91" t="s">
        <v>53</v>
      </c>
      <c r="AD91" t="s">
        <v>53</v>
      </c>
      <c r="AK91">
        <v>0</v>
      </c>
      <c r="AU91" s="6">
        <v>42102</v>
      </c>
      <c r="AV91" s="6">
        <v>42102</v>
      </c>
      <c r="AW91" t="s">
        <v>54</v>
      </c>
      <c r="AX91" t="str">
        <f t="shared" si="6"/>
        <v>FOR</v>
      </c>
      <c r="AY91" t="s">
        <v>55</v>
      </c>
    </row>
    <row r="92" spans="1:51" hidden="1">
      <c r="A92">
        <v>100053</v>
      </c>
      <c r="B92" t="s">
        <v>63</v>
      </c>
      <c r="C92" t="str">
        <f t="shared" si="9"/>
        <v>07435060152</v>
      </c>
      <c r="D92" t="str">
        <f t="shared" si="9"/>
        <v>07435060152</v>
      </c>
      <c r="E92" t="s">
        <v>52</v>
      </c>
      <c r="F92">
        <v>2014</v>
      </c>
      <c r="G92">
        <v>34024613</v>
      </c>
      <c r="H92" s="1">
        <v>41752</v>
      </c>
      <c r="I92" s="1">
        <v>41771</v>
      </c>
      <c r="J92" s="1">
        <v>41771</v>
      </c>
      <c r="K92" s="1">
        <v>41861</v>
      </c>
      <c r="N92" s="5"/>
      <c r="O92">
        <v>243.61</v>
      </c>
      <c r="P92">
        <v>241</v>
      </c>
      <c r="Q92" s="2">
        <v>58710.01</v>
      </c>
      <c r="R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 s="1">
        <v>42382</v>
      </c>
      <c r="AC92" t="s">
        <v>53</v>
      </c>
      <c r="AD92" t="s">
        <v>53</v>
      </c>
      <c r="AK92">
        <v>0</v>
      </c>
      <c r="AU92" s="6">
        <v>42102</v>
      </c>
      <c r="AV92" s="6">
        <v>42102</v>
      </c>
      <c r="AW92" t="s">
        <v>54</v>
      </c>
      <c r="AX92" t="str">
        <f t="shared" si="6"/>
        <v>FOR</v>
      </c>
      <c r="AY92" t="s">
        <v>55</v>
      </c>
    </row>
    <row r="93" spans="1:51" hidden="1">
      <c r="A93">
        <v>100053</v>
      </c>
      <c r="B93" t="s">
        <v>63</v>
      </c>
      <c r="C93" t="str">
        <f t="shared" si="9"/>
        <v>07435060152</v>
      </c>
      <c r="D93" t="str">
        <f t="shared" si="9"/>
        <v>07435060152</v>
      </c>
      <c r="E93" t="s">
        <v>52</v>
      </c>
      <c r="F93">
        <v>2014</v>
      </c>
      <c r="G93">
        <v>34027596</v>
      </c>
      <c r="H93" s="1">
        <v>41768</v>
      </c>
      <c r="I93" s="1">
        <v>41778</v>
      </c>
      <c r="J93" s="1">
        <v>41778</v>
      </c>
      <c r="K93" s="1">
        <v>41868</v>
      </c>
      <c r="N93" s="5"/>
      <c r="O93">
        <v>155.18</v>
      </c>
      <c r="P93">
        <v>262</v>
      </c>
      <c r="Q93" s="2">
        <v>40657.160000000003</v>
      </c>
      <c r="R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 s="1">
        <v>42382</v>
      </c>
      <c r="AC93" t="s">
        <v>53</v>
      </c>
      <c r="AD93" t="s">
        <v>53</v>
      </c>
      <c r="AK93">
        <v>0</v>
      </c>
      <c r="AU93" s="6">
        <v>42130</v>
      </c>
      <c r="AV93" s="6">
        <v>42130</v>
      </c>
      <c r="AW93" t="s">
        <v>54</v>
      </c>
      <c r="AX93" t="str">
        <f t="shared" si="6"/>
        <v>FOR</v>
      </c>
      <c r="AY93" t="s">
        <v>55</v>
      </c>
    </row>
    <row r="94" spans="1:51" hidden="1">
      <c r="A94">
        <v>100053</v>
      </c>
      <c r="B94" t="s">
        <v>63</v>
      </c>
      <c r="C94" t="str">
        <f t="shared" si="9"/>
        <v>07435060152</v>
      </c>
      <c r="D94" t="str">
        <f t="shared" si="9"/>
        <v>07435060152</v>
      </c>
      <c r="E94" t="s">
        <v>52</v>
      </c>
      <c r="F94">
        <v>2014</v>
      </c>
      <c r="G94">
        <v>34029003</v>
      </c>
      <c r="H94" s="1">
        <v>41774</v>
      </c>
      <c r="I94" s="1">
        <v>41788</v>
      </c>
      <c r="J94" s="1">
        <v>41788</v>
      </c>
      <c r="K94" s="1">
        <v>41878</v>
      </c>
      <c r="N94" s="5"/>
      <c r="O94">
        <v>671</v>
      </c>
      <c r="P94">
        <v>252</v>
      </c>
      <c r="Q94" s="2">
        <v>169092</v>
      </c>
      <c r="R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 s="1">
        <v>42382</v>
      </c>
      <c r="AC94" t="s">
        <v>53</v>
      </c>
      <c r="AD94" t="s">
        <v>53</v>
      </c>
      <c r="AK94">
        <v>0</v>
      </c>
      <c r="AU94" s="6">
        <v>42130</v>
      </c>
      <c r="AV94" s="6">
        <v>42130</v>
      </c>
      <c r="AW94" t="s">
        <v>54</v>
      </c>
      <c r="AX94" t="str">
        <f t="shared" si="6"/>
        <v>FOR</v>
      </c>
      <c r="AY94" t="s">
        <v>55</v>
      </c>
    </row>
    <row r="95" spans="1:51" hidden="1">
      <c r="A95">
        <v>100053</v>
      </c>
      <c r="B95" t="s">
        <v>63</v>
      </c>
      <c r="C95" t="str">
        <f t="shared" si="9"/>
        <v>07435060152</v>
      </c>
      <c r="D95" t="str">
        <f t="shared" si="9"/>
        <v>07435060152</v>
      </c>
      <c r="E95" t="s">
        <v>52</v>
      </c>
      <c r="F95">
        <v>2014</v>
      </c>
      <c r="G95">
        <v>34033202</v>
      </c>
      <c r="H95" s="1">
        <v>41794</v>
      </c>
      <c r="I95" s="1">
        <v>41809</v>
      </c>
      <c r="J95" s="1">
        <v>41809</v>
      </c>
      <c r="K95" s="1">
        <v>41899</v>
      </c>
      <c r="N95" s="5"/>
      <c r="O95">
        <v>502.44</v>
      </c>
      <c r="P95">
        <v>260</v>
      </c>
      <c r="Q95" s="2">
        <v>130634.4</v>
      </c>
      <c r="R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 s="1">
        <v>42382</v>
      </c>
      <c r="AC95" t="s">
        <v>53</v>
      </c>
      <c r="AD95" t="s">
        <v>53</v>
      </c>
      <c r="AK95">
        <v>0</v>
      </c>
      <c r="AU95" s="6">
        <v>42159</v>
      </c>
      <c r="AV95" s="6">
        <v>42159</v>
      </c>
      <c r="AW95" t="s">
        <v>54</v>
      </c>
      <c r="AX95" t="str">
        <f t="shared" si="6"/>
        <v>FOR</v>
      </c>
      <c r="AY95" t="s">
        <v>55</v>
      </c>
    </row>
    <row r="96" spans="1:51" hidden="1">
      <c r="A96">
        <v>100053</v>
      </c>
      <c r="B96" t="s">
        <v>63</v>
      </c>
      <c r="C96" t="str">
        <f t="shared" si="9"/>
        <v>07435060152</v>
      </c>
      <c r="D96" t="str">
        <f t="shared" si="9"/>
        <v>07435060152</v>
      </c>
      <c r="E96" t="s">
        <v>52</v>
      </c>
      <c r="F96">
        <v>2014</v>
      </c>
      <c r="G96">
        <v>34033618</v>
      </c>
      <c r="H96" s="1">
        <v>41795</v>
      </c>
      <c r="I96" s="1">
        <v>41809</v>
      </c>
      <c r="J96" s="1">
        <v>41809</v>
      </c>
      <c r="K96" s="1">
        <v>41899</v>
      </c>
      <c r="N96" s="5"/>
      <c r="O96">
        <v>536.79999999999995</v>
      </c>
      <c r="P96">
        <v>260</v>
      </c>
      <c r="Q96" s="2">
        <v>139568</v>
      </c>
      <c r="R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 s="1">
        <v>42382</v>
      </c>
      <c r="AC96" t="s">
        <v>53</v>
      </c>
      <c r="AD96" t="s">
        <v>53</v>
      </c>
      <c r="AK96">
        <v>0</v>
      </c>
      <c r="AU96" s="6">
        <v>42159</v>
      </c>
      <c r="AV96" s="6">
        <v>42159</v>
      </c>
      <c r="AW96" t="s">
        <v>54</v>
      </c>
      <c r="AX96" t="str">
        <f t="shared" si="6"/>
        <v>FOR</v>
      </c>
      <c r="AY96" t="s">
        <v>55</v>
      </c>
    </row>
    <row r="97" spans="1:51" hidden="1">
      <c r="A97">
        <v>100053</v>
      </c>
      <c r="B97" t="s">
        <v>63</v>
      </c>
      <c r="C97" t="str">
        <f t="shared" si="9"/>
        <v>07435060152</v>
      </c>
      <c r="D97" t="str">
        <f t="shared" si="9"/>
        <v>07435060152</v>
      </c>
      <c r="E97" t="s">
        <v>52</v>
      </c>
      <c r="F97">
        <v>2014</v>
      </c>
      <c r="G97">
        <v>34036290</v>
      </c>
      <c r="H97" s="1">
        <v>41808</v>
      </c>
      <c r="I97" s="1">
        <v>41817</v>
      </c>
      <c r="J97" s="1">
        <v>41817</v>
      </c>
      <c r="K97" s="1">
        <v>41907</v>
      </c>
      <c r="N97" s="5"/>
      <c r="O97">
        <v>232.78</v>
      </c>
      <c r="P97">
        <v>252</v>
      </c>
      <c r="Q97" s="2">
        <v>58660.56</v>
      </c>
      <c r="R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 s="1">
        <v>42382</v>
      </c>
      <c r="AC97" t="s">
        <v>53</v>
      </c>
      <c r="AD97" t="s">
        <v>53</v>
      </c>
      <c r="AK97">
        <v>0</v>
      </c>
      <c r="AU97" s="6">
        <v>42159</v>
      </c>
      <c r="AV97" s="6">
        <v>42159</v>
      </c>
      <c r="AW97" t="s">
        <v>54</v>
      </c>
      <c r="AX97" t="str">
        <f t="shared" si="6"/>
        <v>FOR</v>
      </c>
      <c r="AY97" t="s">
        <v>55</v>
      </c>
    </row>
    <row r="98" spans="1:51" hidden="1">
      <c r="A98">
        <v>100053</v>
      </c>
      <c r="B98" t="s">
        <v>63</v>
      </c>
      <c r="C98" t="str">
        <f t="shared" si="9"/>
        <v>07435060152</v>
      </c>
      <c r="D98" t="str">
        <f t="shared" si="9"/>
        <v>07435060152</v>
      </c>
      <c r="E98" t="s">
        <v>52</v>
      </c>
      <c r="F98">
        <v>2014</v>
      </c>
      <c r="G98">
        <v>34040697</v>
      </c>
      <c r="H98" s="1">
        <v>41828</v>
      </c>
      <c r="I98" s="1">
        <v>41841</v>
      </c>
      <c r="J98" s="1">
        <v>41841</v>
      </c>
      <c r="K98" s="1">
        <v>41931</v>
      </c>
      <c r="N98" s="5"/>
      <c r="O98">
        <v>77.59</v>
      </c>
      <c r="P98">
        <v>260</v>
      </c>
      <c r="Q98" s="2">
        <v>20173.400000000001</v>
      </c>
      <c r="R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 s="1">
        <v>42382</v>
      </c>
      <c r="AC98" t="s">
        <v>53</v>
      </c>
      <c r="AD98" t="s">
        <v>53</v>
      </c>
      <c r="AK98">
        <v>0</v>
      </c>
      <c r="AU98" s="6">
        <v>42191</v>
      </c>
      <c r="AV98" s="6">
        <v>42191</v>
      </c>
      <c r="AW98" t="s">
        <v>54</v>
      </c>
      <c r="AX98" t="str">
        <f t="shared" si="6"/>
        <v>FOR</v>
      </c>
      <c r="AY98" t="s">
        <v>55</v>
      </c>
    </row>
    <row r="99" spans="1:51" hidden="1">
      <c r="A99">
        <v>100053</v>
      </c>
      <c r="B99" t="s">
        <v>63</v>
      </c>
      <c r="C99" t="str">
        <f t="shared" si="9"/>
        <v>07435060152</v>
      </c>
      <c r="D99" t="str">
        <f t="shared" si="9"/>
        <v>07435060152</v>
      </c>
      <c r="E99" t="s">
        <v>52</v>
      </c>
      <c r="F99">
        <v>2014</v>
      </c>
      <c r="G99">
        <v>34040806</v>
      </c>
      <c r="H99" s="1">
        <v>41828</v>
      </c>
      <c r="I99" s="1">
        <v>41841</v>
      </c>
      <c r="J99" s="1">
        <v>41841</v>
      </c>
      <c r="K99" s="1">
        <v>41931</v>
      </c>
      <c r="N99" s="5"/>
      <c r="O99">
        <v>939.4</v>
      </c>
      <c r="P99">
        <v>260</v>
      </c>
      <c r="Q99" s="2">
        <v>244244</v>
      </c>
      <c r="R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 s="1">
        <v>42382</v>
      </c>
      <c r="AC99" t="s">
        <v>53</v>
      </c>
      <c r="AD99" t="s">
        <v>53</v>
      </c>
      <c r="AK99">
        <v>0</v>
      </c>
      <c r="AU99" s="6">
        <v>42191</v>
      </c>
      <c r="AV99" s="6">
        <v>42191</v>
      </c>
      <c r="AW99" t="s">
        <v>54</v>
      </c>
      <c r="AX99" t="str">
        <f t="shared" si="6"/>
        <v>FOR</v>
      </c>
      <c r="AY99" t="s">
        <v>55</v>
      </c>
    </row>
    <row r="100" spans="1:51" hidden="1">
      <c r="A100">
        <v>100053</v>
      </c>
      <c r="B100" t="s">
        <v>63</v>
      </c>
      <c r="C100" t="str">
        <f t="shared" si="9"/>
        <v>07435060152</v>
      </c>
      <c r="D100" t="str">
        <f t="shared" si="9"/>
        <v>07435060152</v>
      </c>
      <c r="E100" t="s">
        <v>52</v>
      </c>
      <c r="F100">
        <v>2014</v>
      </c>
      <c r="G100">
        <v>34040808</v>
      </c>
      <c r="H100" s="1">
        <v>41828</v>
      </c>
      <c r="I100" s="1">
        <v>41841</v>
      </c>
      <c r="J100" s="1">
        <v>41841</v>
      </c>
      <c r="K100" s="1">
        <v>41931</v>
      </c>
      <c r="N100" s="5"/>
      <c r="O100">
        <v>532.9</v>
      </c>
      <c r="P100">
        <v>260</v>
      </c>
      <c r="Q100" s="2">
        <v>138554</v>
      </c>
      <c r="R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 s="1">
        <v>42382</v>
      </c>
      <c r="AC100" t="s">
        <v>53</v>
      </c>
      <c r="AD100" t="s">
        <v>53</v>
      </c>
      <c r="AK100">
        <v>0</v>
      </c>
      <c r="AU100" s="6">
        <v>42191</v>
      </c>
      <c r="AV100" s="6">
        <v>42191</v>
      </c>
      <c r="AW100" t="s">
        <v>54</v>
      </c>
      <c r="AX100" t="str">
        <f t="shared" si="6"/>
        <v>FOR</v>
      </c>
      <c r="AY100" t="s">
        <v>55</v>
      </c>
    </row>
    <row r="101" spans="1:51" hidden="1">
      <c r="A101">
        <v>100053</v>
      </c>
      <c r="B101" t="s">
        <v>63</v>
      </c>
      <c r="C101" t="str">
        <f t="shared" si="9"/>
        <v>07435060152</v>
      </c>
      <c r="D101" t="str">
        <f t="shared" si="9"/>
        <v>07435060152</v>
      </c>
      <c r="E101" t="s">
        <v>52</v>
      </c>
      <c r="F101">
        <v>2014</v>
      </c>
      <c r="G101">
        <v>34041300</v>
      </c>
      <c r="H101" s="1">
        <v>41830</v>
      </c>
      <c r="I101" s="1">
        <v>41841</v>
      </c>
      <c r="J101" s="1">
        <v>41841</v>
      </c>
      <c r="K101" s="1">
        <v>41931</v>
      </c>
      <c r="N101" s="5"/>
      <c r="O101">
        <v>424.56</v>
      </c>
      <c r="P101">
        <v>260</v>
      </c>
      <c r="Q101" s="2">
        <v>110385.60000000001</v>
      </c>
      <c r="R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 s="1">
        <v>42382</v>
      </c>
      <c r="AC101" t="s">
        <v>53</v>
      </c>
      <c r="AD101" t="s">
        <v>53</v>
      </c>
      <c r="AK101">
        <v>0</v>
      </c>
      <c r="AU101" s="6">
        <v>42191</v>
      </c>
      <c r="AV101" s="6">
        <v>42191</v>
      </c>
      <c r="AW101" t="s">
        <v>54</v>
      </c>
      <c r="AX101" t="str">
        <f t="shared" si="6"/>
        <v>FOR</v>
      </c>
      <c r="AY101" t="s">
        <v>55</v>
      </c>
    </row>
    <row r="102" spans="1:51" hidden="1">
      <c r="A102">
        <v>100053</v>
      </c>
      <c r="B102" t="s">
        <v>63</v>
      </c>
      <c r="C102" t="str">
        <f t="shared" si="9"/>
        <v>07435060152</v>
      </c>
      <c r="D102" t="str">
        <f t="shared" si="9"/>
        <v>07435060152</v>
      </c>
      <c r="E102" t="s">
        <v>52</v>
      </c>
      <c r="F102">
        <v>2014</v>
      </c>
      <c r="G102">
        <v>34041759</v>
      </c>
      <c r="H102" s="1">
        <v>41831</v>
      </c>
      <c r="I102" s="1">
        <v>41852</v>
      </c>
      <c r="J102" s="1">
        <v>41852</v>
      </c>
      <c r="K102" s="1">
        <v>41942</v>
      </c>
      <c r="N102" s="5"/>
      <c r="O102">
        <v>435.98</v>
      </c>
      <c r="P102">
        <v>249</v>
      </c>
      <c r="Q102" s="2">
        <v>108559.02</v>
      </c>
      <c r="R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 s="1">
        <v>42382</v>
      </c>
      <c r="AC102" t="s">
        <v>53</v>
      </c>
      <c r="AD102" t="s">
        <v>53</v>
      </c>
      <c r="AK102">
        <v>0</v>
      </c>
      <c r="AU102" s="6">
        <v>42191</v>
      </c>
      <c r="AV102" s="6">
        <v>42191</v>
      </c>
      <c r="AW102" t="s">
        <v>54</v>
      </c>
      <c r="AX102" t="str">
        <f t="shared" si="6"/>
        <v>FOR</v>
      </c>
      <c r="AY102" t="s">
        <v>55</v>
      </c>
    </row>
    <row r="103" spans="1:51" hidden="1">
      <c r="A103">
        <v>100053</v>
      </c>
      <c r="B103" t="s">
        <v>63</v>
      </c>
      <c r="C103" t="str">
        <f t="shared" si="9"/>
        <v>07435060152</v>
      </c>
      <c r="D103" t="str">
        <f t="shared" si="9"/>
        <v>07435060152</v>
      </c>
      <c r="E103" t="s">
        <v>52</v>
      </c>
      <c r="F103">
        <v>2014</v>
      </c>
      <c r="G103">
        <v>34041931</v>
      </c>
      <c r="H103" s="1">
        <v>41834</v>
      </c>
      <c r="I103" s="1">
        <v>41852</v>
      </c>
      <c r="J103" s="1">
        <v>41852</v>
      </c>
      <c r="K103" s="1">
        <v>41942</v>
      </c>
      <c r="N103" s="5"/>
      <c r="O103">
        <v>155.18</v>
      </c>
      <c r="P103">
        <v>249</v>
      </c>
      <c r="Q103" s="2">
        <v>38639.82</v>
      </c>
      <c r="R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 s="1">
        <v>42382</v>
      </c>
      <c r="AC103" t="s">
        <v>53</v>
      </c>
      <c r="AD103" t="s">
        <v>53</v>
      </c>
      <c r="AK103">
        <v>0</v>
      </c>
      <c r="AU103" s="6">
        <v>42191</v>
      </c>
      <c r="AV103" s="6">
        <v>42191</v>
      </c>
      <c r="AW103" t="s">
        <v>54</v>
      </c>
      <c r="AX103" t="str">
        <f t="shared" si="6"/>
        <v>FOR</v>
      </c>
      <c r="AY103" t="s">
        <v>55</v>
      </c>
    </row>
    <row r="104" spans="1:51" hidden="1">
      <c r="A104">
        <v>100053</v>
      </c>
      <c r="B104" t="s">
        <v>63</v>
      </c>
      <c r="C104" t="str">
        <f t="shared" si="9"/>
        <v>07435060152</v>
      </c>
      <c r="D104" t="str">
        <f t="shared" si="9"/>
        <v>07435060152</v>
      </c>
      <c r="E104" t="s">
        <v>52</v>
      </c>
      <c r="F104">
        <v>2014</v>
      </c>
      <c r="G104">
        <v>34044456</v>
      </c>
      <c r="H104" s="1">
        <v>41845</v>
      </c>
      <c r="I104" s="1">
        <v>41873</v>
      </c>
      <c r="J104" s="1">
        <v>41873</v>
      </c>
      <c r="K104" s="1">
        <v>41963</v>
      </c>
      <c r="N104" s="5"/>
      <c r="O104">
        <v>155.18</v>
      </c>
      <c r="P104">
        <v>228</v>
      </c>
      <c r="Q104" s="2">
        <v>35381.040000000001</v>
      </c>
      <c r="R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 s="1">
        <v>42382</v>
      </c>
      <c r="AC104" t="s">
        <v>53</v>
      </c>
      <c r="AD104" t="s">
        <v>53</v>
      </c>
      <c r="AK104">
        <v>0</v>
      </c>
      <c r="AU104" s="6">
        <v>42191</v>
      </c>
      <c r="AV104" s="6">
        <v>42191</v>
      </c>
      <c r="AW104" t="s">
        <v>54</v>
      </c>
      <c r="AX104" t="str">
        <f t="shared" si="6"/>
        <v>FOR</v>
      </c>
      <c r="AY104" t="s">
        <v>55</v>
      </c>
    </row>
    <row r="105" spans="1:51" hidden="1">
      <c r="A105">
        <v>100053</v>
      </c>
      <c r="B105" t="s">
        <v>63</v>
      </c>
      <c r="C105" t="str">
        <f t="shared" si="9"/>
        <v>07435060152</v>
      </c>
      <c r="D105" t="str">
        <f t="shared" si="9"/>
        <v>07435060152</v>
      </c>
      <c r="E105" t="s">
        <v>52</v>
      </c>
      <c r="F105">
        <v>2014</v>
      </c>
      <c r="G105">
        <v>34044510</v>
      </c>
      <c r="H105" s="1">
        <v>41845</v>
      </c>
      <c r="I105" s="1">
        <v>41873</v>
      </c>
      <c r="J105" s="1">
        <v>41873</v>
      </c>
      <c r="K105" s="1">
        <v>41963</v>
      </c>
      <c r="N105" s="5"/>
      <c r="O105">
        <v>775.92</v>
      </c>
      <c r="P105">
        <v>228</v>
      </c>
      <c r="Q105" s="2">
        <v>176909.76</v>
      </c>
      <c r="R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 s="1">
        <v>42382</v>
      </c>
      <c r="AC105" t="s">
        <v>53</v>
      </c>
      <c r="AD105" t="s">
        <v>53</v>
      </c>
      <c r="AK105">
        <v>0</v>
      </c>
      <c r="AU105" s="6">
        <v>42191</v>
      </c>
      <c r="AV105" s="6">
        <v>42191</v>
      </c>
      <c r="AW105" t="s">
        <v>54</v>
      </c>
      <c r="AX105" t="str">
        <f t="shared" si="6"/>
        <v>FOR</v>
      </c>
      <c r="AY105" t="s">
        <v>55</v>
      </c>
    </row>
    <row r="106" spans="1:51" hidden="1">
      <c r="A106">
        <v>100053</v>
      </c>
      <c r="B106" t="s">
        <v>63</v>
      </c>
      <c r="C106" t="str">
        <f t="shared" si="9"/>
        <v>07435060152</v>
      </c>
      <c r="D106" t="str">
        <f t="shared" si="9"/>
        <v>07435060152</v>
      </c>
      <c r="E106" t="s">
        <v>52</v>
      </c>
      <c r="F106">
        <v>2014</v>
      </c>
      <c r="G106">
        <v>34053661</v>
      </c>
      <c r="H106" s="1">
        <v>41912</v>
      </c>
      <c r="I106" s="1">
        <v>41921</v>
      </c>
      <c r="J106" s="1">
        <v>41921</v>
      </c>
      <c r="K106" s="1">
        <v>42011</v>
      </c>
      <c r="N106" s="5"/>
      <c r="O106">
        <v>304.51</v>
      </c>
      <c r="P106">
        <v>238</v>
      </c>
      <c r="Q106" s="2">
        <v>72473.38</v>
      </c>
      <c r="R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 s="1">
        <v>42382</v>
      </c>
      <c r="AC106" t="s">
        <v>53</v>
      </c>
      <c r="AD106" t="s">
        <v>53</v>
      </c>
      <c r="AK106">
        <v>0</v>
      </c>
      <c r="AU106" s="6">
        <v>42249</v>
      </c>
      <c r="AV106" s="6">
        <v>42249</v>
      </c>
      <c r="AW106" t="s">
        <v>54</v>
      </c>
      <c r="AX106" t="str">
        <f t="shared" si="6"/>
        <v>FOR</v>
      </c>
      <c r="AY106" t="s">
        <v>55</v>
      </c>
    </row>
    <row r="107" spans="1:51">
      <c r="A107">
        <v>100053</v>
      </c>
      <c r="B107" t="s">
        <v>63</v>
      </c>
      <c r="C107" t="str">
        <f t="shared" si="9"/>
        <v>07435060152</v>
      </c>
      <c r="D107" t="str">
        <f t="shared" si="9"/>
        <v>07435060152</v>
      </c>
      <c r="E107" t="s">
        <v>52</v>
      </c>
      <c r="F107">
        <v>2014</v>
      </c>
      <c r="G107">
        <v>34058295</v>
      </c>
      <c r="H107" s="1">
        <v>41933</v>
      </c>
      <c r="I107" s="1">
        <v>41956</v>
      </c>
      <c r="J107" s="1">
        <v>41956</v>
      </c>
      <c r="K107" s="1">
        <v>42016</v>
      </c>
      <c r="L107" s="7">
        <v>671</v>
      </c>
      <c r="M107" s="5">
        <v>267</v>
      </c>
      <c r="N107" s="7">
        <v>179157</v>
      </c>
      <c r="O107">
        <v>671</v>
      </c>
      <c r="P107">
        <v>267</v>
      </c>
      <c r="Q107" s="2">
        <v>179157</v>
      </c>
      <c r="R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 s="1">
        <v>42382</v>
      </c>
      <c r="AC107" t="s">
        <v>53</v>
      </c>
      <c r="AD107" t="s">
        <v>53</v>
      </c>
      <c r="AK107">
        <v>0</v>
      </c>
      <c r="AU107" s="6">
        <v>42283</v>
      </c>
      <c r="AV107" s="6">
        <v>42283</v>
      </c>
      <c r="AW107" t="s">
        <v>54</v>
      </c>
      <c r="AX107" t="str">
        <f t="shared" si="6"/>
        <v>FOR</v>
      </c>
      <c r="AY107" t="s">
        <v>55</v>
      </c>
    </row>
    <row r="108" spans="1:51">
      <c r="A108">
        <v>100053</v>
      </c>
      <c r="B108" t="s">
        <v>63</v>
      </c>
      <c r="C108" t="str">
        <f t="shared" si="9"/>
        <v>07435060152</v>
      </c>
      <c r="D108" t="str">
        <f t="shared" si="9"/>
        <v>07435060152</v>
      </c>
      <c r="E108" t="s">
        <v>52</v>
      </c>
      <c r="F108">
        <v>2014</v>
      </c>
      <c r="G108">
        <v>34061526</v>
      </c>
      <c r="H108" s="1">
        <v>41948</v>
      </c>
      <c r="I108" s="1">
        <v>41964</v>
      </c>
      <c r="J108" s="1">
        <v>41964</v>
      </c>
      <c r="K108" s="1">
        <v>42024</v>
      </c>
      <c r="L108" s="7">
        <v>775.92</v>
      </c>
      <c r="M108" s="5">
        <v>281</v>
      </c>
      <c r="N108" s="7">
        <v>218033.52</v>
      </c>
      <c r="O108">
        <v>775.92</v>
      </c>
      <c r="P108">
        <v>281</v>
      </c>
      <c r="Q108" s="2">
        <v>218033.52</v>
      </c>
      <c r="R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 s="1">
        <v>42382</v>
      </c>
      <c r="AC108" t="s">
        <v>53</v>
      </c>
      <c r="AD108" t="s">
        <v>53</v>
      </c>
      <c r="AK108">
        <v>0</v>
      </c>
      <c r="AU108" s="6">
        <v>42305</v>
      </c>
      <c r="AV108" s="6">
        <v>42305</v>
      </c>
      <c r="AW108" t="s">
        <v>54</v>
      </c>
      <c r="AX108" t="str">
        <f t="shared" si="6"/>
        <v>FOR</v>
      </c>
      <c r="AY108" t="s">
        <v>55</v>
      </c>
    </row>
    <row r="109" spans="1:51">
      <c r="A109">
        <v>100053</v>
      </c>
      <c r="B109" t="s">
        <v>63</v>
      </c>
      <c r="C109" t="str">
        <f t="shared" si="9"/>
        <v>07435060152</v>
      </c>
      <c r="D109" t="str">
        <f t="shared" si="9"/>
        <v>07435060152</v>
      </c>
      <c r="E109" t="s">
        <v>52</v>
      </c>
      <c r="F109">
        <v>2014</v>
      </c>
      <c r="G109">
        <v>34063550</v>
      </c>
      <c r="H109" s="1">
        <v>41955</v>
      </c>
      <c r="I109" s="1">
        <v>41971</v>
      </c>
      <c r="J109" s="1">
        <v>41971</v>
      </c>
      <c r="K109" s="1">
        <v>42030</v>
      </c>
      <c r="L109" s="7">
        <v>1342</v>
      </c>
      <c r="M109" s="5">
        <v>275</v>
      </c>
      <c r="N109" s="7">
        <v>369050</v>
      </c>
      <c r="O109" s="2">
        <v>1342</v>
      </c>
      <c r="P109">
        <v>275</v>
      </c>
      <c r="Q109" s="2">
        <v>369050</v>
      </c>
      <c r="R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 s="1">
        <v>42382</v>
      </c>
      <c r="AC109" t="s">
        <v>53</v>
      </c>
      <c r="AD109" t="s">
        <v>53</v>
      </c>
      <c r="AK109">
        <v>0</v>
      </c>
      <c r="AU109" s="6">
        <v>42305</v>
      </c>
      <c r="AV109" s="6">
        <v>42305</v>
      </c>
      <c r="AW109" t="s">
        <v>54</v>
      </c>
      <c r="AX109" t="str">
        <f t="shared" si="6"/>
        <v>FOR</v>
      </c>
      <c r="AY109" t="s">
        <v>55</v>
      </c>
    </row>
    <row r="110" spans="1:51">
      <c r="A110">
        <v>100053</v>
      </c>
      <c r="B110" t="s">
        <v>63</v>
      </c>
      <c r="C110" t="str">
        <f t="shared" si="9"/>
        <v>07435060152</v>
      </c>
      <c r="D110" t="str">
        <f t="shared" si="9"/>
        <v>07435060152</v>
      </c>
      <c r="E110" t="s">
        <v>52</v>
      </c>
      <c r="F110">
        <v>2014</v>
      </c>
      <c r="G110">
        <v>34064804</v>
      </c>
      <c r="H110" s="1">
        <v>41961</v>
      </c>
      <c r="I110" s="1">
        <v>41978</v>
      </c>
      <c r="J110" s="1">
        <v>41978</v>
      </c>
      <c r="K110" s="1">
        <v>42038</v>
      </c>
      <c r="L110" s="7">
        <v>121.8</v>
      </c>
      <c r="M110" s="5">
        <v>267</v>
      </c>
      <c r="N110" s="7">
        <v>32520.6</v>
      </c>
      <c r="O110">
        <v>121.8</v>
      </c>
      <c r="P110">
        <v>267</v>
      </c>
      <c r="Q110" s="2">
        <v>32520.6</v>
      </c>
      <c r="R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 s="1">
        <v>42382</v>
      </c>
      <c r="AC110" t="s">
        <v>53</v>
      </c>
      <c r="AD110" t="s">
        <v>53</v>
      </c>
      <c r="AK110">
        <v>0</v>
      </c>
      <c r="AU110" s="6">
        <v>42305</v>
      </c>
      <c r="AV110" s="6">
        <v>42305</v>
      </c>
      <c r="AW110" t="s">
        <v>54</v>
      </c>
      <c r="AX110" t="str">
        <f t="shared" si="6"/>
        <v>FOR</v>
      </c>
      <c r="AY110" t="s">
        <v>55</v>
      </c>
    </row>
    <row r="111" spans="1:51">
      <c r="A111">
        <v>100053</v>
      </c>
      <c r="B111" t="s">
        <v>63</v>
      </c>
      <c r="C111" t="str">
        <f t="shared" si="9"/>
        <v>07435060152</v>
      </c>
      <c r="D111" t="str">
        <f t="shared" si="9"/>
        <v>07435060152</v>
      </c>
      <c r="E111" t="s">
        <v>52</v>
      </c>
      <c r="F111">
        <v>2015</v>
      </c>
      <c r="G111">
        <v>35002917</v>
      </c>
      <c r="H111" s="1">
        <v>42024</v>
      </c>
      <c r="I111" s="1">
        <v>42047</v>
      </c>
      <c r="J111" s="1">
        <v>42047</v>
      </c>
      <c r="K111" s="1">
        <v>42107</v>
      </c>
      <c r="L111" s="7">
        <v>674</v>
      </c>
      <c r="M111" s="5">
        <v>248</v>
      </c>
      <c r="N111" s="7">
        <v>167152</v>
      </c>
      <c r="O111">
        <v>674</v>
      </c>
      <c r="P111">
        <v>248</v>
      </c>
      <c r="Q111" s="2">
        <v>167152</v>
      </c>
      <c r="R111">
        <v>148.28</v>
      </c>
      <c r="V111">
        <v>0</v>
      </c>
      <c r="W111">
        <v>0</v>
      </c>
      <c r="X111">
        <v>0</v>
      </c>
      <c r="Y111">
        <v>822.28</v>
      </c>
      <c r="Z111">
        <v>822.28</v>
      </c>
      <c r="AA111">
        <v>822.28</v>
      </c>
      <c r="AB111" s="1">
        <v>42382</v>
      </c>
      <c r="AC111" t="s">
        <v>53</v>
      </c>
      <c r="AD111" t="s">
        <v>53</v>
      </c>
      <c r="AK111">
        <v>148.28</v>
      </c>
      <c r="AU111" s="6">
        <v>42355</v>
      </c>
      <c r="AV111" s="6">
        <v>42355</v>
      </c>
      <c r="AW111" t="s">
        <v>54</v>
      </c>
      <c r="AX111" t="str">
        <f t="shared" si="6"/>
        <v>FOR</v>
      </c>
      <c r="AY111" t="s">
        <v>55</v>
      </c>
    </row>
    <row r="112" spans="1:51">
      <c r="A112">
        <v>100053</v>
      </c>
      <c r="B112" t="s">
        <v>63</v>
      </c>
      <c r="C112" t="str">
        <f t="shared" si="9"/>
        <v>07435060152</v>
      </c>
      <c r="D112" t="str">
        <f t="shared" si="9"/>
        <v>07435060152</v>
      </c>
      <c r="E112" t="s">
        <v>52</v>
      </c>
      <c r="F112">
        <v>2015</v>
      </c>
      <c r="G112">
        <v>35003546</v>
      </c>
      <c r="H112" s="1">
        <v>42026</v>
      </c>
      <c r="I112" s="1">
        <v>42047</v>
      </c>
      <c r="J112" s="1">
        <v>42047</v>
      </c>
      <c r="K112" s="1">
        <v>42107</v>
      </c>
      <c r="L112" s="7">
        <v>705.36</v>
      </c>
      <c r="M112" s="5">
        <v>248</v>
      </c>
      <c r="N112" s="7">
        <v>174929.28</v>
      </c>
      <c r="O112">
        <v>705.36</v>
      </c>
      <c r="P112">
        <v>248</v>
      </c>
      <c r="Q112" s="2">
        <v>174929.28</v>
      </c>
      <c r="R112">
        <v>155.18</v>
      </c>
      <c r="V112">
        <v>0</v>
      </c>
      <c r="W112">
        <v>0</v>
      </c>
      <c r="X112">
        <v>0</v>
      </c>
      <c r="Y112">
        <v>860.54</v>
      </c>
      <c r="Z112">
        <v>860.54</v>
      </c>
      <c r="AA112">
        <v>860.54</v>
      </c>
      <c r="AB112" s="1">
        <v>42382</v>
      </c>
      <c r="AC112" t="s">
        <v>53</v>
      </c>
      <c r="AD112" t="s">
        <v>53</v>
      </c>
      <c r="AK112">
        <v>155.18</v>
      </c>
      <c r="AU112" s="6">
        <v>42355</v>
      </c>
      <c r="AV112" s="6">
        <v>42355</v>
      </c>
      <c r="AW112" t="s">
        <v>54</v>
      </c>
      <c r="AX112" t="str">
        <f t="shared" si="6"/>
        <v>FOR</v>
      </c>
      <c r="AY112" t="s">
        <v>55</v>
      </c>
    </row>
    <row r="113" spans="1:51">
      <c r="A113">
        <v>100053</v>
      </c>
      <c r="B113" t="s">
        <v>63</v>
      </c>
      <c r="C113" t="str">
        <f t="shared" si="9"/>
        <v>07435060152</v>
      </c>
      <c r="D113" t="str">
        <f t="shared" si="9"/>
        <v>07435060152</v>
      </c>
      <c r="E113" t="s">
        <v>52</v>
      </c>
      <c r="F113">
        <v>2015</v>
      </c>
      <c r="G113">
        <v>35003863</v>
      </c>
      <c r="H113" s="1">
        <v>42027</v>
      </c>
      <c r="I113" s="1">
        <v>42047</v>
      </c>
      <c r="J113" s="1">
        <v>42047</v>
      </c>
      <c r="K113" s="1">
        <v>42107</v>
      </c>
      <c r="L113" s="7">
        <v>636</v>
      </c>
      <c r="M113" s="5">
        <v>248</v>
      </c>
      <c r="N113" s="7">
        <v>157728</v>
      </c>
      <c r="O113">
        <v>636</v>
      </c>
      <c r="P113">
        <v>248</v>
      </c>
      <c r="Q113" s="2">
        <v>157728</v>
      </c>
      <c r="R113">
        <v>139.91999999999999</v>
      </c>
      <c r="V113">
        <v>0</v>
      </c>
      <c r="W113">
        <v>0</v>
      </c>
      <c r="X113">
        <v>0</v>
      </c>
      <c r="Y113">
        <v>775.92</v>
      </c>
      <c r="Z113">
        <v>775.92</v>
      </c>
      <c r="AA113">
        <v>775.92</v>
      </c>
      <c r="AB113" s="1">
        <v>42382</v>
      </c>
      <c r="AC113" t="s">
        <v>53</v>
      </c>
      <c r="AD113" t="s">
        <v>53</v>
      </c>
      <c r="AK113">
        <v>139.91999999999999</v>
      </c>
      <c r="AU113" s="6">
        <v>42355</v>
      </c>
      <c r="AV113" s="6">
        <v>42355</v>
      </c>
      <c r="AW113" t="s">
        <v>54</v>
      </c>
      <c r="AX113" t="str">
        <f t="shared" si="6"/>
        <v>FOR</v>
      </c>
      <c r="AY113" t="s">
        <v>55</v>
      </c>
    </row>
    <row r="114" spans="1:51" hidden="1">
      <c r="A114">
        <v>100057</v>
      </c>
      <c r="B114" t="s">
        <v>64</v>
      </c>
      <c r="C114" t="str">
        <f t="shared" ref="C114:D128" si="10">"00227010139"</f>
        <v>00227010139</v>
      </c>
      <c r="D114" t="str">
        <f t="shared" si="10"/>
        <v>00227010139</v>
      </c>
      <c r="E114" t="s">
        <v>52</v>
      </c>
      <c r="F114">
        <v>2014</v>
      </c>
      <c r="G114">
        <v>41008387</v>
      </c>
      <c r="H114" s="1">
        <v>41808</v>
      </c>
      <c r="I114" s="1">
        <v>41827</v>
      </c>
      <c r="J114" s="1">
        <v>41827</v>
      </c>
      <c r="K114" s="1">
        <v>41917</v>
      </c>
      <c r="N114" s="5"/>
      <c r="O114">
        <v>469.7</v>
      </c>
      <c r="P114">
        <v>185</v>
      </c>
      <c r="Q114" s="2">
        <v>86894.5</v>
      </c>
      <c r="R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 s="1">
        <v>42382</v>
      </c>
      <c r="AC114" t="s">
        <v>53</v>
      </c>
      <c r="AD114" t="s">
        <v>53</v>
      </c>
      <c r="AK114">
        <v>0</v>
      </c>
      <c r="AU114" s="6">
        <v>42102</v>
      </c>
      <c r="AV114" s="6">
        <v>42102</v>
      </c>
      <c r="AW114" t="s">
        <v>54</v>
      </c>
      <c r="AX114" t="str">
        <f t="shared" si="6"/>
        <v>FOR</v>
      </c>
      <c r="AY114" t="s">
        <v>55</v>
      </c>
    </row>
    <row r="115" spans="1:51" hidden="1">
      <c r="A115">
        <v>100057</v>
      </c>
      <c r="B115" t="s">
        <v>64</v>
      </c>
      <c r="C115" t="str">
        <f t="shared" si="10"/>
        <v>00227010139</v>
      </c>
      <c r="D115" t="str">
        <f t="shared" si="10"/>
        <v>00227010139</v>
      </c>
      <c r="E115" t="s">
        <v>52</v>
      </c>
      <c r="F115">
        <v>2014</v>
      </c>
      <c r="G115">
        <v>41008445</v>
      </c>
      <c r="H115" s="1">
        <v>41809</v>
      </c>
      <c r="I115" s="1">
        <v>41827</v>
      </c>
      <c r="J115" s="1">
        <v>41827</v>
      </c>
      <c r="K115" s="1">
        <v>41917</v>
      </c>
      <c r="N115" s="5"/>
      <c r="O115">
        <v>175.68</v>
      </c>
      <c r="P115">
        <v>185</v>
      </c>
      <c r="Q115" s="2">
        <v>32500.799999999999</v>
      </c>
      <c r="R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 s="1">
        <v>42382</v>
      </c>
      <c r="AC115" t="s">
        <v>53</v>
      </c>
      <c r="AD115" t="s">
        <v>53</v>
      </c>
      <c r="AK115">
        <v>0</v>
      </c>
      <c r="AU115" s="6">
        <v>42102</v>
      </c>
      <c r="AV115" s="6">
        <v>42102</v>
      </c>
      <c r="AW115" t="s">
        <v>54</v>
      </c>
      <c r="AX115" t="str">
        <f t="shared" si="6"/>
        <v>FOR</v>
      </c>
      <c r="AY115" t="s">
        <v>55</v>
      </c>
    </row>
    <row r="116" spans="1:51" hidden="1">
      <c r="A116">
        <v>100057</v>
      </c>
      <c r="B116" t="s">
        <v>64</v>
      </c>
      <c r="C116" t="str">
        <f t="shared" si="10"/>
        <v>00227010139</v>
      </c>
      <c r="D116" t="str">
        <f t="shared" si="10"/>
        <v>00227010139</v>
      </c>
      <c r="E116" t="s">
        <v>52</v>
      </c>
      <c r="F116">
        <v>2014</v>
      </c>
      <c r="G116">
        <v>41008832</v>
      </c>
      <c r="H116" s="1">
        <v>41816</v>
      </c>
      <c r="I116" s="1">
        <v>41829</v>
      </c>
      <c r="J116" s="1">
        <v>41829</v>
      </c>
      <c r="K116" s="1">
        <v>41919</v>
      </c>
      <c r="N116" s="5"/>
      <c r="O116">
        <v>87.84</v>
      </c>
      <c r="P116">
        <v>183</v>
      </c>
      <c r="Q116" s="2">
        <v>16074.72</v>
      </c>
      <c r="R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 s="1">
        <v>42382</v>
      </c>
      <c r="AC116" t="s">
        <v>53</v>
      </c>
      <c r="AD116" t="s">
        <v>53</v>
      </c>
      <c r="AK116">
        <v>0</v>
      </c>
      <c r="AU116" s="6">
        <v>42102</v>
      </c>
      <c r="AV116" s="6">
        <v>42102</v>
      </c>
      <c r="AW116" t="s">
        <v>54</v>
      </c>
      <c r="AX116" t="str">
        <f t="shared" si="6"/>
        <v>FOR</v>
      </c>
      <c r="AY116" t="s">
        <v>55</v>
      </c>
    </row>
    <row r="117" spans="1:51" hidden="1">
      <c r="A117">
        <v>100057</v>
      </c>
      <c r="B117" t="s">
        <v>64</v>
      </c>
      <c r="C117" t="str">
        <f t="shared" si="10"/>
        <v>00227010139</v>
      </c>
      <c r="D117" t="str">
        <f t="shared" si="10"/>
        <v>00227010139</v>
      </c>
      <c r="E117" t="s">
        <v>52</v>
      </c>
      <c r="F117">
        <v>2014</v>
      </c>
      <c r="G117">
        <v>41009001</v>
      </c>
      <c r="H117" s="1">
        <v>41820</v>
      </c>
      <c r="I117" s="1">
        <v>41834</v>
      </c>
      <c r="J117" s="1">
        <v>41834</v>
      </c>
      <c r="K117" s="1">
        <v>41924</v>
      </c>
      <c r="N117" s="5"/>
      <c r="O117">
        <v>87.84</v>
      </c>
      <c r="P117">
        <v>178</v>
      </c>
      <c r="Q117" s="2">
        <v>15635.52</v>
      </c>
      <c r="R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 s="1">
        <v>42382</v>
      </c>
      <c r="AC117" t="s">
        <v>53</v>
      </c>
      <c r="AD117" t="s">
        <v>53</v>
      </c>
      <c r="AK117">
        <v>0</v>
      </c>
      <c r="AU117" s="6">
        <v>42102</v>
      </c>
      <c r="AV117" s="6">
        <v>42102</v>
      </c>
      <c r="AW117" t="s">
        <v>54</v>
      </c>
      <c r="AX117" t="str">
        <f t="shared" si="6"/>
        <v>FOR</v>
      </c>
      <c r="AY117" t="s">
        <v>55</v>
      </c>
    </row>
    <row r="118" spans="1:51" hidden="1">
      <c r="A118">
        <v>100057</v>
      </c>
      <c r="B118" t="s">
        <v>64</v>
      </c>
      <c r="C118" t="str">
        <f t="shared" si="10"/>
        <v>00227010139</v>
      </c>
      <c r="D118" t="str">
        <f t="shared" si="10"/>
        <v>00227010139</v>
      </c>
      <c r="E118" t="s">
        <v>52</v>
      </c>
      <c r="F118">
        <v>2014</v>
      </c>
      <c r="G118">
        <v>41010102</v>
      </c>
      <c r="H118" s="1">
        <v>41842</v>
      </c>
      <c r="I118" s="1">
        <v>41872</v>
      </c>
      <c r="J118" s="1">
        <v>41872</v>
      </c>
      <c r="K118" s="1">
        <v>41962</v>
      </c>
      <c r="N118" s="5"/>
      <c r="O118">
        <v>263.52</v>
      </c>
      <c r="P118">
        <v>140</v>
      </c>
      <c r="Q118" s="2">
        <v>36892.800000000003</v>
      </c>
      <c r="R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 s="1">
        <v>42382</v>
      </c>
      <c r="AC118" t="s">
        <v>53</v>
      </c>
      <c r="AD118" t="s">
        <v>53</v>
      </c>
      <c r="AK118">
        <v>0</v>
      </c>
      <c r="AU118" s="6">
        <v>42102</v>
      </c>
      <c r="AV118" s="6">
        <v>42102</v>
      </c>
      <c r="AW118" t="s">
        <v>54</v>
      </c>
      <c r="AX118" t="str">
        <f t="shared" si="6"/>
        <v>FOR</v>
      </c>
      <c r="AY118" t="s">
        <v>55</v>
      </c>
    </row>
    <row r="119" spans="1:51" hidden="1">
      <c r="A119">
        <v>100057</v>
      </c>
      <c r="B119" t="s">
        <v>64</v>
      </c>
      <c r="C119" t="str">
        <f t="shared" si="10"/>
        <v>00227010139</v>
      </c>
      <c r="D119" t="str">
        <f t="shared" si="10"/>
        <v>00227010139</v>
      </c>
      <c r="E119" t="s">
        <v>52</v>
      </c>
      <c r="F119">
        <v>2014</v>
      </c>
      <c r="G119">
        <v>41010103</v>
      </c>
      <c r="H119" s="1">
        <v>41842</v>
      </c>
      <c r="I119" s="1">
        <v>41872</v>
      </c>
      <c r="J119" s="1">
        <v>41872</v>
      </c>
      <c r="K119" s="1">
        <v>41962</v>
      </c>
      <c r="N119" s="5"/>
      <c r="O119">
        <v>671</v>
      </c>
      <c r="P119">
        <v>140</v>
      </c>
      <c r="Q119" s="2">
        <v>93940</v>
      </c>
      <c r="R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 s="1">
        <v>42382</v>
      </c>
      <c r="AC119" t="s">
        <v>53</v>
      </c>
      <c r="AD119" t="s">
        <v>53</v>
      </c>
      <c r="AK119">
        <v>0</v>
      </c>
      <c r="AU119" s="6">
        <v>42102</v>
      </c>
      <c r="AV119" s="6">
        <v>42102</v>
      </c>
      <c r="AW119" t="s">
        <v>54</v>
      </c>
      <c r="AX119" t="str">
        <f t="shared" si="6"/>
        <v>FOR</v>
      </c>
      <c r="AY119" t="s">
        <v>55</v>
      </c>
    </row>
    <row r="120" spans="1:51" hidden="1">
      <c r="A120">
        <v>100057</v>
      </c>
      <c r="B120" t="s">
        <v>64</v>
      </c>
      <c r="C120" t="str">
        <f t="shared" si="10"/>
        <v>00227010139</v>
      </c>
      <c r="D120" t="str">
        <f t="shared" si="10"/>
        <v>00227010139</v>
      </c>
      <c r="E120" t="s">
        <v>52</v>
      </c>
      <c r="F120">
        <v>2014</v>
      </c>
      <c r="G120">
        <v>41010502</v>
      </c>
      <c r="H120" s="1">
        <v>41848</v>
      </c>
      <c r="I120" s="1">
        <v>41873</v>
      </c>
      <c r="J120" s="1">
        <v>41873</v>
      </c>
      <c r="K120" s="1">
        <v>41963</v>
      </c>
      <c r="N120" s="5"/>
      <c r="O120" s="2">
        <v>1073.5999999999999</v>
      </c>
      <c r="P120">
        <v>139</v>
      </c>
      <c r="Q120" s="2">
        <v>149230.39999999999</v>
      </c>
      <c r="R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 s="1">
        <v>42382</v>
      </c>
      <c r="AC120" t="s">
        <v>53</v>
      </c>
      <c r="AD120" t="s">
        <v>53</v>
      </c>
      <c r="AK120">
        <v>0</v>
      </c>
      <c r="AU120" s="6">
        <v>42102</v>
      </c>
      <c r="AV120" s="6">
        <v>42102</v>
      </c>
      <c r="AW120" t="s">
        <v>54</v>
      </c>
      <c r="AX120" t="str">
        <f t="shared" si="6"/>
        <v>FOR</v>
      </c>
      <c r="AY120" t="s">
        <v>55</v>
      </c>
    </row>
    <row r="121" spans="1:51" hidden="1">
      <c r="A121">
        <v>100057</v>
      </c>
      <c r="B121" t="s">
        <v>64</v>
      </c>
      <c r="C121" t="str">
        <f t="shared" si="10"/>
        <v>00227010139</v>
      </c>
      <c r="D121" t="str">
        <f t="shared" si="10"/>
        <v>00227010139</v>
      </c>
      <c r="E121" t="s">
        <v>52</v>
      </c>
      <c r="F121">
        <v>2014</v>
      </c>
      <c r="G121">
        <v>41011195</v>
      </c>
      <c r="H121" s="1">
        <v>41851</v>
      </c>
      <c r="I121" s="1">
        <v>41878</v>
      </c>
      <c r="J121" s="1">
        <v>41878</v>
      </c>
      <c r="K121" s="1">
        <v>41968</v>
      </c>
      <c r="N121" s="5"/>
      <c r="O121">
        <v>351.36</v>
      </c>
      <c r="P121">
        <v>134</v>
      </c>
      <c r="Q121" s="2">
        <v>47082.239999999998</v>
      </c>
      <c r="R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 s="1">
        <v>42382</v>
      </c>
      <c r="AC121" t="s">
        <v>53</v>
      </c>
      <c r="AD121" t="s">
        <v>53</v>
      </c>
      <c r="AK121">
        <v>0</v>
      </c>
      <c r="AU121" s="6">
        <v>42102</v>
      </c>
      <c r="AV121" s="6">
        <v>42102</v>
      </c>
      <c r="AW121" t="s">
        <v>54</v>
      </c>
      <c r="AX121" t="str">
        <f t="shared" si="6"/>
        <v>FOR</v>
      </c>
      <c r="AY121" t="s">
        <v>55</v>
      </c>
    </row>
    <row r="122" spans="1:51" hidden="1">
      <c r="A122">
        <v>100057</v>
      </c>
      <c r="B122" t="s">
        <v>64</v>
      </c>
      <c r="C122" t="str">
        <f t="shared" si="10"/>
        <v>00227010139</v>
      </c>
      <c r="D122" t="str">
        <f t="shared" si="10"/>
        <v>00227010139</v>
      </c>
      <c r="E122" t="s">
        <v>52</v>
      </c>
      <c r="F122">
        <v>2014</v>
      </c>
      <c r="G122">
        <v>41012091</v>
      </c>
      <c r="H122" s="1">
        <v>41882</v>
      </c>
      <c r="I122" s="1">
        <v>41897</v>
      </c>
      <c r="J122" s="1">
        <v>41897</v>
      </c>
      <c r="K122" s="1">
        <v>41987</v>
      </c>
      <c r="N122" s="5"/>
      <c r="O122">
        <v>87.84</v>
      </c>
      <c r="P122">
        <v>115</v>
      </c>
      <c r="Q122" s="2">
        <v>10101.6</v>
      </c>
      <c r="R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 s="1">
        <v>42382</v>
      </c>
      <c r="AC122" t="s">
        <v>53</v>
      </c>
      <c r="AD122" t="s">
        <v>53</v>
      </c>
      <c r="AK122">
        <v>0</v>
      </c>
      <c r="AU122" s="6">
        <v>42102</v>
      </c>
      <c r="AV122" s="6">
        <v>42102</v>
      </c>
      <c r="AW122" t="s">
        <v>54</v>
      </c>
      <c r="AX122" t="str">
        <f t="shared" si="6"/>
        <v>FOR</v>
      </c>
      <c r="AY122" t="s">
        <v>55</v>
      </c>
    </row>
    <row r="123" spans="1:51" hidden="1">
      <c r="A123">
        <v>100057</v>
      </c>
      <c r="B123" t="s">
        <v>64</v>
      </c>
      <c r="C123" t="str">
        <f t="shared" si="10"/>
        <v>00227010139</v>
      </c>
      <c r="D123" t="str">
        <f t="shared" si="10"/>
        <v>00227010139</v>
      </c>
      <c r="E123" t="s">
        <v>52</v>
      </c>
      <c r="F123">
        <v>2014</v>
      </c>
      <c r="G123">
        <v>41013458</v>
      </c>
      <c r="H123" s="1">
        <v>41912</v>
      </c>
      <c r="I123" s="1">
        <v>41929</v>
      </c>
      <c r="J123" s="1">
        <v>41929</v>
      </c>
      <c r="K123" s="1">
        <v>41989</v>
      </c>
      <c r="N123" s="5"/>
      <c r="O123" s="2">
        <v>1006.5</v>
      </c>
      <c r="P123">
        <v>142</v>
      </c>
      <c r="Q123" s="2">
        <v>142923</v>
      </c>
      <c r="R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 s="1">
        <v>42382</v>
      </c>
      <c r="AC123" t="s">
        <v>53</v>
      </c>
      <c r="AD123" t="s">
        <v>53</v>
      </c>
      <c r="AK123">
        <v>0</v>
      </c>
      <c r="AU123" s="6">
        <v>42131</v>
      </c>
      <c r="AV123" s="6">
        <v>42131</v>
      </c>
      <c r="AW123" t="s">
        <v>54</v>
      </c>
      <c r="AX123" t="str">
        <f t="shared" si="6"/>
        <v>FOR</v>
      </c>
      <c r="AY123" t="s">
        <v>55</v>
      </c>
    </row>
    <row r="124" spans="1:51" hidden="1">
      <c r="A124">
        <v>100057</v>
      </c>
      <c r="B124" t="s">
        <v>64</v>
      </c>
      <c r="C124" t="str">
        <f t="shared" si="10"/>
        <v>00227010139</v>
      </c>
      <c r="D124" t="str">
        <f t="shared" si="10"/>
        <v>00227010139</v>
      </c>
      <c r="E124" t="s">
        <v>52</v>
      </c>
      <c r="F124">
        <v>2014</v>
      </c>
      <c r="G124">
        <v>41013632</v>
      </c>
      <c r="H124" s="1">
        <v>41922</v>
      </c>
      <c r="I124" s="1">
        <v>41941</v>
      </c>
      <c r="J124" s="1">
        <v>41941</v>
      </c>
      <c r="K124" s="1">
        <v>42001</v>
      </c>
      <c r="N124" s="5"/>
      <c r="O124">
        <v>175.68</v>
      </c>
      <c r="P124">
        <v>130</v>
      </c>
      <c r="Q124" s="2">
        <v>22838.400000000001</v>
      </c>
      <c r="R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 s="1">
        <v>42382</v>
      </c>
      <c r="AC124" t="s">
        <v>53</v>
      </c>
      <c r="AD124" t="s">
        <v>53</v>
      </c>
      <c r="AK124">
        <v>0</v>
      </c>
      <c r="AU124" s="6">
        <v>42131</v>
      </c>
      <c r="AV124" s="6">
        <v>42131</v>
      </c>
      <c r="AW124" t="s">
        <v>54</v>
      </c>
      <c r="AX124" t="str">
        <f t="shared" si="6"/>
        <v>FOR</v>
      </c>
      <c r="AY124" t="s">
        <v>55</v>
      </c>
    </row>
    <row r="125" spans="1:51" hidden="1">
      <c r="A125">
        <v>100057</v>
      </c>
      <c r="B125" t="s">
        <v>64</v>
      </c>
      <c r="C125" t="str">
        <f t="shared" si="10"/>
        <v>00227010139</v>
      </c>
      <c r="D125" t="str">
        <f t="shared" si="10"/>
        <v>00227010139</v>
      </c>
      <c r="E125" t="s">
        <v>52</v>
      </c>
      <c r="F125">
        <v>2014</v>
      </c>
      <c r="G125">
        <v>41015727</v>
      </c>
      <c r="H125" s="1">
        <v>41970</v>
      </c>
      <c r="I125" s="1">
        <v>41978</v>
      </c>
      <c r="J125" s="1">
        <v>41978</v>
      </c>
      <c r="K125" s="1">
        <v>42038</v>
      </c>
      <c r="N125" s="5"/>
      <c r="O125">
        <v>800.32</v>
      </c>
      <c r="P125">
        <v>93</v>
      </c>
      <c r="Q125" s="2">
        <v>74429.759999999995</v>
      </c>
      <c r="R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 s="1">
        <v>42382</v>
      </c>
      <c r="AC125" t="s">
        <v>53</v>
      </c>
      <c r="AD125" t="s">
        <v>53</v>
      </c>
      <c r="AK125">
        <v>0</v>
      </c>
      <c r="AU125" s="6">
        <v>42131</v>
      </c>
      <c r="AV125" s="6">
        <v>42131</v>
      </c>
      <c r="AW125" t="s">
        <v>54</v>
      </c>
      <c r="AX125" t="str">
        <f t="shared" si="6"/>
        <v>FOR</v>
      </c>
      <c r="AY125" t="s">
        <v>55</v>
      </c>
    </row>
    <row r="126" spans="1:51" hidden="1">
      <c r="A126">
        <v>100057</v>
      </c>
      <c r="B126" t="s">
        <v>64</v>
      </c>
      <c r="C126" t="str">
        <f t="shared" si="10"/>
        <v>00227010139</v>
      </c>
      <c r="D126" t="str">
        <f t="shared" si="10"/>
        <v>00227010139</v>
      </c>
      <c r="E126" t="s">
        <v>52</v>
      </c>
      <c r="F126">
        <v>2014</v>
      </c>
      <c r="G126">
        <v>41016150</v>
      </c>
      <c r="H126" s="1">
        <v>41973</v>
      </c>
      <c r="I126" s="1">
        <v>41985</v>
      </c>
      <c r="J126" s="1">
        <v>41985</v>
      </c>
      <c r="K126" s="1">
        <v>42045</v>
      </c>
      <c r="N126" s="5"/>
      <c r="O126" s="2">
        <v>1006.5</v>
      </c>
      <c r="P126">
        <v>86</v>
      </c>
      <c r="Q126" s="2">
        <v>86559</v>
      </c>
      <c r="R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 s="1">
        <v>42382</v>
      </c>
      <c r="AC126" t="s">
        <v>53</v>
      </c>
      <c r="AD126" t="s">
        <v>53</v>
      </c>
      <c r="AK126">
        <v>0</v>
      </c>
      <c r="AU126" s="6">
        <v>42131</v>
      </c>
      <c r="AV126" s="6">
        <v>42131</v>
      </c>
      <c r="AW126" t="s">
        <v>54</v>
      </c>
      <c r="AX126" t="str">
        <f t="shared" si="6"/>
        <v>FOR</v>
      </c>
      <c r="AY126" t="s">
        <v>55</v>
      </c>
    </row>
    <row r="127" spans="1:51" hidden="1">
      <c r="A127">
        <v>100057</v>
      </c>
      <c r="B127" t="s">
        <v>64</v>
      </c>
      <c r="C127" t="str">
        <f t="shared" si="10"/>
        <v>00227010139</v>
      </c>
      <c r="D127" t="str">
        <f t="shared" si="10"/>
        <v>00227010139</v>
      </c>
      <c r="E127" t="s">
        <v>52</v>
      </c>
      <c r="F127">
        <v>2014</v>
      </c>
      <c r="G127">
        <v>41016483</v>
      </c>
      <c r="H127" s="1">
        <v>41989</v>
      </c>
      <c r="I127" s="1">
        <v>42004</v>
      </c>
      <c r="J127" s="1">
        <v>42004</v>
      </c>
      <c r="K127" s="1">
        <v>42064</v>
      </c>
      <c r="N127" s="5"/>
      <c r="O127">
        <v>175.68</v>
      </c>
      <c r="P127">
        <v>67</v>
      </c>
      <c r="Q127" s="2">
        <v>11770.56</v>
      </c>
      <c r="R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 s="1">
        <v>42382</v>
      </c>
      <c r="AC127" t="s">
        <v>53</v>
      </c>
      <c r="AD127" t="s">
        <v>53</v>
      </c>
      <c r="AK127">
        <v>0</v>
      </c>
      <c r="AU127" s="6">
        <v>42131</v>
      </c>
      <c r="AV127" s="6">
        <v>42131</v>
      </c>
      <c r="AW127" t="s">
        <v>54</v>
      </c>
      <c r="AX127" t="str">
        <f t="shared" si="6"/>
        <v>FOR</v>
      </c>
      <c r="AY127" t="s">
        <v>55</v>
      </c>
    </row>
    <row r="128" spans="1:51" hidden="1">
      <c r="A128">
        <v>100057</v>
      </c>
      <c r="B128" t="s">
        <v>64</v>
      </c>
      <c r="C128" t="str">
        <f t="shared" si="10"/>
        <v>00227010139</v>
      </c>
      <c r="D128" t="str">
        <f t="shared" si="10"/>
        <v>00227010139</v>
      </c>
      <c r="E128" t="s">
        <v>52</v>
      </c>
      <c r="F128">
        <v>2014</v>
      </c>
      <c r="G128">
        <v>41016654</v>
      </c>
      <c r="H128" s="1">
        <v>41992</v>
      </c>
      <c r="I128" s="1">
        <v>42061</v>
      </c>
      <c r="J128" s="1">
        <v>42061</v>
      </c>
      <c r="K128" s="1">
        <v>42121</v>
      </c>
      <c r="N128" s="5"/>
      <c r="O128">
        <v>87.84</v>
      </c>
      <c r="P128">
        <v>10</v>
      </c>
      <c r="Q128">
        <v>878.4</v>
      </c>
      <c r="R128">
        <v>0</v>
      </c>
      <c r="V128">
        <v>0</v>
      </c>
      <c r="W128">
        <v>0</v>
      </c>
      <c r="X128">
        <v>0</v>
      </c>
      <c r="Y128">
        <v>0</v>
      </c>
      <c r="Z128">
        <v>87.84</v>
      </c>
      <c r="AA128">
        <v>0</v>
      </c>
      <c r="AB128" s="1">
        <v>42382</v>
      </c>
      <c r="AC128" t="s">
        <v>53</v>
      </c>
      <c r="AD128" t="s">
        <v>53</v>
      </c>
      <c r="AK128">
        <v>0</v>
      </c>
      <c r="AU128" s="6">
        <v>42131</v>
      </c>
      <c r="AV128" s="6">
        <v>42131</v>
      </c>
      <c r="AW128" t="s">
        <v>54</v>
      </c>
      <c r="AX128" t="str">
        <f t="shared" si="6"/>
        <v>FOR</v>
      </c>
      <c r="AY128" t="s">
        <v>55</v>
      </c>
    </row>
    <row r="129" spans="1:51">
      <c r="A129">
        <v>100058</v>
      </c>
      <c r="B129" t="s">
        <v>65</v>
      </c>
      <c r="C129" t="str">
        <f>"06902641213"</f>
        <v>06902641213</v>
      </c>
      <c r="D129" t="str">
        <f>"06902641213"</f>
        <v>06902641213</v>
      </c>
      <c r="E129" t="s">
        <v>52</v>
      </c>
      <c r="F129">
        <v>2014</v>
      </c>
      <c r="G129">
        <v>14594</v>
      </c>
      <c r="H129" s="1">
        <v>41943</v>
      </c>
      <c r="I129" s="1">
        <v>41967</v>
      </c>
      <c r="J129" s="1">
        <v>41967</v>
      </c>
      <c r="K129" s="1">
        <v>42027</v>
      </c>
      <c r="L129" s="7">
        <v>2409.5</v>
      </c>
      <c r="M129" s="5">
        <v>255</v>
      </c>
      <c r="N129" s="7">
        <v>614422.5</v>
      </c>
      <c r="O129" s="2">
        <v>2409.5</v>
      </c>
      <c r="P129">
        <v>255</v>
      </c>
      <c r="Q129" s="2">
        <v>614422.5</v>
      </c>
      <c r="R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 s="1">
        <v>42382</v>
      </c>
      <c r="AC129" t="s">
        <v>53</v>
      </c>
      <c r="AD129" t="s">
        <v>53</v>
      </c>
      <c r="AK129">
        <v>0</v>
      </c>
      <c r="AU129" s="6">
        <v>42282</v>
      </c>
      <c r="AV129" s="6">
        <v>42282</v>
      </c>
      <c r="AW129" t="s">
        <v>54</v>
      </c>
      <c r="AX129" t="str">
        <f t="shared" si="6"/>
        <v>FOR</v>
      </c>
      <c r="AY129" t="s">
        <v>55</v>
      </c>
    </row>
    <row r="130" spans="1:51" hidden="1">
      <c r="A130">
        <v>100059</v>
      </c>
      <c r="B130" t="s">
        <v>66</v>
      </c>
      <c r="C130" t="str">
        <f t="shared" ref="C130:D138" si="11">"05849130157"</f>
        <v>05849130157</v>
      </c>
      <c r="D130" t="str">
        <f t="shared" si="11"/>
        <v>05849130157</v>
      </c>
      <c r="E130" t="s">
        <v>52</v>
      </c>
      <c r="F130">
        <v>2014</v>
      </c>
      <c r="G130">
        <v>14042850</v>
      </c>
      <c r="H130" s="1">
        <v>41710</v>
      </c>
      <c r="I130" s="1">
        <v>41716</v>
      </c>
      <c r="J130" s="1">
        <v>41716</v>
      </c>
      <c r="K130" s="1">
        <v>41806</v>
      </c>
      <c r="N130" s="5"/>
      <c r="O130" s="2">
        <v>1096.24</v>
      </c>
      <c r="P130">
        <v>269</v>
      </c>
      <c r="Q130" s="2">
        <v>294888.56</v>
      </c>
      <c r="R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 s="1">
        <v>42382</v>
      </c>
      <c r="AC130" t="s">
        <v>53</v>
      </c>
      <c r="AD130" t="s">
        <v>53</v>
      </c>
      <c r="AK130">
        <v>0</v>
      </c>
      <c r="AU130" s="6">
        <v>42075</v>
      </c>
      <c r="AV130" s="6">
        <v>42075</v>
      </c>
      <c r="AW130" t="s">
        <v>54</v>
      </c>
      <c r="AX130" t="str">
        <f t="shared" si="6"/>
        <v>FOR</v>
      </c>
      <c r="AY130" t="s">
        <v>55</v>
      </c>
    </row>
    <row r="131" spans="1:51" hidden="1">
      <c r="A131">
        <v>100059</v>
      </c>
      <c r="B131" t="s">
        <v>66</v>
      </c>
      <c r="C131" t="str">
        <f t="shared" si="11"/>
        <v>05849130157</v>
      </c>
      <c r="D131" t="str">
        <f t="shared" si="11"/>
        <v>05849130157</v>
      </c>
      <c r="E131" t="s">
        <v>52</v>
      </c>
      <c r="F131">
        <v>2014</v>
      </c>
      <c r="G131">
        <v>14050397</v>
      </c>
      <c r="H131" s="1">
        <v>41718</v>
      </c>
      <c r="I131" s="1">
        <v>41725</v>
      </c>
      <c r="J131" s="1">
        <v>41725</v>
      </c>
      <c r="K131" s="1">
        <v>41815</v>
      </c>
      <c r="N131" s="5"/>
      <c r="O131">
        <v>865.48</v>
      </c>
      <c r="P131">
        <v>260</v>
      </c>
      <c r="Q131" s="2">
        <v>225024.8</v>
      </c>
      <c r="R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 s="1">
        <v>42382</v>
      </c>
      <c r="AC131" t="s">
        <v>53</v>
      </c>
      <c r="AD131" t="s">
        <v>53</v>
      </c>
      <c r="AK131">
        <v>0</v>
      </c>
      <c r="AU131" s="6">
        <v>42075</v>
      </c>
      <c r="AV131" s="6">
        <v>42075</v>
      </c>
      <c r="AW131" t="s">
        <v>54</v>
      </c>
      <c r="AX131" t="str">
        <f t="shared" ref="AX131:AX194" si="12">"FOR"</f>
        <v>FOR</v>
      </c>
      <c r="AY131" t="s">
        <v>55</v>
      </c>
    </row>
    <row r="132" spans="1:51" hidden="1">
      <c r="A132">
        <v>100059</v>
      </c>
      <c r="B132" t="s">
        <v>66</v>
      </c>
      <c r="C132" t="str">
        <f t="shared" si="11"/>
        <v>05849130157</v>
      </c>
      <c r="D132" t="str">
        <f t="shared" si="11"/>
        <v>05849130157</v>
      </c>
      <c r="E132" t="s">
        <v>52</v>
      </c>
      <c r="F132">
        <v>2014</v>
      </c>
      <c r="G132">
        <v>14083620</v>
      </c>
      <c r="H132" s="1">
        <v>41759</v>
      </c>
      <c r="I132" s="1">
        <v>41771</v>
      </c>
      <c r="J132" s="1">
        <v>41771</v>
      </c>
      <c r="K132" s="1">
        <v>41861</v>
      </c>
      <c r="N132" s="5"/>
      <c r="O132" s="2">
        <v>1153.9000000000001</v>
      </c>
      <c r="P132">
        <v>241</v>
      </c>
      <c r="Q132" s="2">
        <v>278089.90000000002</v>
      </c>
      <c r="R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 s="1">
        <v>42382</v>
      </c>
      <c r="AC132" t="s">
        <v>53</v>
      </c>
      <c r="AD132" t="s">
        <v>53</v>
      </c>
      <c r="AK132">
        <v>0</v>
      </c>
      <c r="AU132" s="6">
        <v>42102</v>
      </c>
      <c r="AV132" s="6">
        <v>42102</v>
      </c>
      <c r="AW132" t="s">
        <v>54</v>
      </c>
      <c r="AX132" t="str">
        <f t="shared" si="12"/>
        <v>FOR</v>
      </c>
      <c r="AY132" t="s">
        <v>55</v>
      </c>
    </row>
    <row r="133" spans="1:51" hidden="1">
      <c r="A133">
        <v>100059</v>
      </c>
      <c r="B133" t="s">
        <v>66</v>
      </c>
      <c r="C133" t="str">
        <f t="shared" si="11"/>
        <v>05849130157</v>
      </c>
      <c r="D133" t="str">
        <f t="shared" si="11"/>
        <v>05849130157</v>
      </c>
      <c r="E133" t="s">
        <v>52</v>
      </c>
      <c r="F133">
        <v>2014</v>
      </c>
      <c r="G133">
        <v>14085491</v>
      </c>
      <c r="H133" s="1">
        <v>41765</v>
      </c>
      <c r="I133" s="1">
        <v>41771</v>
      </c>
      <c r="J133" s="1">
        <v>41771</v>
      </c>
      <c r="K133" s="1">
        <v>41861</v>
      </c>
      <c r="N133" s="5"/>
      <c r="O133" s="2">
        <v>1730.96</v>
      </c>
      <c r="P133">
        <v>263</v>
      </c>
      <c r="Q133" s="2">
        <v>455242.48</v>
      </c>
      <c r="R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 s="1">
        <v>42382</v>
      </c>
      <c r="AC133" t="s">
        <v>53</v>
      </c>
      <c r="AD133" t="s">
        <v>53</v>
      </c>
      <c r="AK133">
        <v>0</v>
      </c>
      <c r="AU133" s="6">
        <v>42124</v>
      </c>
      <c r="AV133" s="6">
        <v>42124</v>
      </c>
      <c r="AW133" t="s">
        <v>54</v>
      </c>
      <c r="AX133" t="str">
        <f t="shared" si="12"/>
        <v>FOR</v>
      </c>
      <c r="AY133" t="s">
        <v>55</v>
      </c>
    </row>
    <row r="134" spans="1:51">
      <c r="A134">
        <v>100059</v>
      </c>
      <c r="B134" t="s">
        <v>66</v>
      </c>
      <c r="C134" t="str">
        <f t="shared" si="11"/>
        <v>05849130157</v>
      </c>
      <c r="D134" t="str">
        <f t="shared" si="11"/>
        <v>05849130157</v>
      </c>
      <c r="E134" t="s">
        <v>52</v>
      </c>
      <c r="F134">
        <v>2014</v>
      </c>
      <c r="G134">
        <v>14219388</v>
      </c>
      <c r="H134" s="1">
        <v>41962</v>
      </c>
      <c r="I134" s="1">
        <v>41975</v>
      </c>
      <c r="J134" s="1">
        <v>41975</v>
      </c>
      <c r="K134" s="1">
        <v>42035</v>
      </c>
      <c r="L134" s="7">
        <v>7734.8</v>
      </c>
      <c r="M134" s="5">
        <v>247</v>
      </c>
      <c r="N134" s="7">
        <v>1910495.6</v>
      </c>
      <c r="O134" s="2">
        <v>7734.8</v>
      </c>
      <c r="P134">
        <v>247</v>
      </c>
      <c r="Q134" s="2">
        <v>1910495.6</v>
      </c>
      <c r="R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 s="1">
        <v>42382</v>
      </c>
      <c r="AC134" t="s">
        <v>53</v>
      </c>
      <c r="AD134" t="s">
        <v>53</v>
      </c>
      <c r="AK134">
        <v>0</v>
      </c>
      <c r="AU134" s="6">
        <v>42282</v>
      </c>
      <c r="AV134" s="6">
        <v>42282</v>
      </c>
      <c r="AW134" t="s">
        <v>54</v>
      </c>
      <c r="AX134" t="str">
        <f t="shared" si="12"/>
        <v>FOR</v>
      </c>
      <c r="AY134" t="s">
        <v>55</v>
      </c>
    </row>
    <row r="135" spans="1:51">
      <c r="A135">
        <v>100059</v>
      </c>
      <c r="B135" t="s">
        <v>66</v>
      </c>
      <c r="C135" t="str">
        <f t="shared" si="11"/>
        <v>05849130157</v>
      </c>
      <c r="D135" t="str">
        <f t="shared" si="11"/>
        <v>05849130157</v>
      </c>
      <c r="E135" t="s">
        <v>52</v>
      </c>
      <c r="F135">
        <v>2015</v>
      </c>
      <c r="G135">
        <v>8515008737</v>
      </c>
      <c r="H135" s="1">
        <v>42025</v>
      </c>
      <c r="I135" s="1">
        <v>42031</v>
      </c>
      <c r="J135" s="1">
        <v>42031</v>
      </c>
      <c r="K135" s="1">
        <v>42091</v>
      </c>
      <c r="L135" s="7">
        <v>1525.5</v>
      </c>
      <c r="M135" s="5">
        <v>265</v>
      </c>
      <c r="N135" s="7">
        <v>404257.5</v>
      </c>
      <c r="O135" s="2">
        <v>1525.5</v>
      </c>
      <c r="P135">
        <v>265</v>
      </c>
      <c r="Q135" s="2">
        <v>404257.5</v>
      </c>
      <c r="R135">
        <v>152.55000000000001</v>
      </c>
      <c r="V135">
        <v>0</v>
      </c>
      <c r="W135">
        <v>0</v>
      </c>
      <c r="X135">
        <v>0</v>
      </c>
      <c r="Y135" s="2">
        <v>1678.05</v>
      </c>
      <c r="Z135" s="2">
        <v>1678.05</v>
      </c>
      <c r="AA135" s="2">
        <v>1678.05</v>
      </c>
      <c r="AB135" s="1">
        <v>42382</v>
      </c>
      <c r="AC135" t="s">
        <v>53</v>
      </c>
      <c r="AD135" t="s">
        <v>53</v>
      </c>
      <c r="AK135">
        <v>152.55000000000001</v>
      </c>
      <c r="AU135" s="6">
        <v>42356</v>
      </c>
      <c r="AV135" s="6">
        <v>42356</v>
      </c>
      <c r="AW135" t="s">
        <v>54</v>
      </c>
      <c r="AX135" t="str">
        <f t="shared" si="12"/>
        <v>FOR</v>
      </c>
      <c r="AY135" t="s">
        <v>55</v>
      </c>
    </row>
    <row r="136" spans="1:51">
      <c r="A136">
        <v>100059</v>
      </c>
      <c r="B136" t="s">
        <v>66</v>
      </c>
      <c r="C136" t="str">
        <f t="shared" si="11"/>
        <v>05849130157</v>
      </c>
      <c r="D136" t="str">
        <f t="shared" si="11"/>
        <v>05849130157</v>
      </c>
      <c r="E136" t="s">
        <v>52</v>
      </c>
      <c r="F136">
        <v>2015</v>
      </c>
      <c r="G136">
        <v>8515008738</v>
      </c>
      <c r="H136" s="1">
        <v>42025</v>
      </c>
      <c r="I136" s="1">
        <v>42031</v>
      </c>
      <c r="J136" s="1">
        <v>42031</v>
      </c>
      <c r="K136" s="1">
        <v>42091</v>
      </c>
      <c r="L136" s="7">
        <v>1941.5</v>
      </c>
      <c r="M136" s="5">
        <v>265</v>
      </c>
      <c r="N136" s="7">
        <v>514497.5</v>
      </c>
      <c r="O136" s="2">
        <v>1941.5</v>
      </c>
      <c r="P136">
        <v>265</v>
      </c>
      <c r="Q136" s="2">
        <v>514497.5</v>
      </c>
      <c r="R136">
        <v>194.15</v>
      </c>
      <c r="V136">
        <v>0</v>
      </c>
      <c r="W136">
        <v>0</v>
      </c>
      <c r="X136">
        <v>0</v>
      </c>
      <c r="Y136" s="2">
        <v>2135.65</v>
      </c>
      <c r="Z136" s="2">
        <v>2135.65</v>
      </c>
      <c r="AA136" s="2">
        <v>2135.65</v>
      </c>
      <c r="AB136" s="1">
        <v>42382</v>
      </c>
      <c r="AC136" t="s">
        <v>53</v>
      </c>
      <c r="AD136" t="s">
        <v>53</v>
      </c>
      <c r="AK136">
        <v>194.15</v>
      </c>
      <c r="AU136" s="6">
        <v>42356</v>
      </c>
      <c r="AV136" s="6">
        <v>42356</v>
      </c>
      <c r="AW136" t="s">
        <v>54</v>
      </c>
      <c r="AX136" t="str">
        <f t="shared" si="12"/>
        <v>FOR</v>
      </c>
      <c r="AY136" t="s">
        <v>55</v>
      </c>
    </row>
    <row r="137" spans="1:51">
      <c r="A137">
        <v>100059</v>
      </c>
      <c r="B137" t="s">
        <v>66</v>
      </c>
      <c r="C137" t="str">
        <f t="shared" si="11"/>
        <v>05849130157</v>
      </c>
      <c r="D137" t="str">
        <f t="shared" si="11"/>
        <v>05849130157</v>
      </c>
      <c r="E137" t="s">
        <v>52</v>
      </c>
      <c r="F137">
        <v>2015</v>
      </c>
      <c r="G137">
        <v>8515015316</v>
      </c>
      <c r="H137" s="1">
        <v>42032</v>
      </c>
      <c r="I137" s="1">
        <v>42047</v>
      </c>
      <c r="J137" s="1">
        <v>42047</v>
      </c>
      <c r="K137" s="1">
        <v>42107</v>
      </c>
      <c r="L137" s="7">
        <v>4237.5</v>
      </c>
      <c r="M137" s="5">
        <v>249</v>
      </c>
      <c r="N137" s="7">
        <v>1055137.5</v>
      </c>
      <c r="O137" s="2">
        <v>4237.5</v>
      </c>
      <c r="P137">
        <v>249</v>
      </c>
      <c r="Q137" s="2">
        <v>1055137.5</v>
      </c>
      <c r="R137">
        <v>423.75</v>
      </c>
      <c r="V137">
        <v>0</v>
      </c>
      <c r="W137">
        <v>0</v>
      </c>
      <c r="X137">
        <v>0</v>
      </c>
      <c r="Y137" s="2">
        <v>4661.25</v>
      </c>
      <c r="Z137" s="2">
        <v>4661.25</v>
      </c>
      <c r="AA137" s="2">
        <v>4661.25</v>
      </c>
      <c r="AB137" s="1">
        <v>42382</v>
      </c>
      <c r="AC137" t="s">
        <v>53</v>
      </c>
      <c r="AD137" t="s">
        <v>53</v>
      </c>
      <c r="AK137">
        <v>423.75</v>
      </c>
      <c r="AU137" s="6">
        <v>42356</v>
      </c>
      <c r="AV137" s="6">
        <v>42356</v>
      </c>
      <c r="AW137" t="s">
        <v>54</v>
      </c>
      <c r="AX137" t="str">
        <f t="shared" si="12"/>
        <v>FOR</v>
      </c>
      <c r="AY137" t="s">
        <v>55</v>
      </c>
    </row>
    <row r="138" spans="1:51">
      <c r="A138">
        <v>100059</v>
      </c>
      <c r="B138" t="s">
        <v>66</v>
      </c>
      <c r="C138" t="str">
        <f t="shared" si="11"/>
        <v>05849130157</v>
      </c>
      <c r="D138" t="str">
        <f t="shared" si="11"/>
        <v>05849130157</v>
      </c>
      <c r="E138" t="s">
        <v>52</v>
      </c>
      <c r="F138">
        <v>2015</v>
      </c>
      <c r="G138">
        <v>8515040766</v>
      </c>
      <c r="H138" s="1">
        <v>42061</v>
      </c>
      <c r="I138" s="1">
        <v>42069</v>
      </c>
      <c r="J138" s="1">
        <v>42069</v>
      </c>
      <c r="K138" s="1">
        <v>42129</v>
      </c>
      <c r="L138" s="7">
        <v>3170.71</v>
      </c>
      <c r="M138" s="5">
        <v>227</v>
      </c>
      <c r="N138" s="7">
        <v>719751.17</v>
      </c>
      <c r="O138" s="2">
        <v>3170.71</v>
      </c>
      <c r="P138">
        <v>227</v>
      </c>
      <c r="Q138" s="2">
        <v>719751.17</v>
      </c>
      <c r="R138">
        <v>697.56</v>
      </c>
      <c r="V138">
        <v>0</v>
      </c>
      <c r="W138">
        <v>0</v>
      </c>
      <c r="X138">
        <v>0</v>
      </c>
      <c r="Y138" s="2">
        <v>3868.27</v>
      </c>
      <c r="Z138" s="2">
        <v>3868.27</v>
      </c>
      <c r="AA138" s="2">
        <v>3868.27</v>
      </c>
      <c r="AB138" s="1">
        <v>42382</v>
      </c>
      <c r="AC138" t="s">
        <v>53</v>
      </c>
      <c r="AD138" t="s">
        <v>53</v>
      </c>
      <c r="AK138">
        <v>697.56</v>
      </c>
      <c r="AU138" s="6">
        <v>42356</v>
      </c>
      <c r="AV138" s="6">
        <v>42356</v>
      </c>
      <c r="AW138" t="s">
        <v>54</v>
      </c>
      <c r="AX138" t="str">
        <f t="shared" si="12"/>
        <v>FOR</v>
      </c>
      <c r="AY138" t="s">
        <v>55</v>
      </c>
    </row>
    <row r="139" spans="1:51" hidden="1">
      <c r="A139">
        <v>100064</v>
      </c>
      <c r="B139" t="s">
        <v>67</v>
      </c>
      <c r="C139" t="str">
        <f t="shared" ref="C139:D141" si="13">"00421210485"</f>
        <v>00421210485</v>
      </c>
      <c r="D139" t="str">
        <f t="shared" si="13"/>
        <v>00421210485</v>
      </c>
      <c r="E139" t="s">
        <v>52</v>
      </c>
      <c r="F139">
        <v>2014</v>
      </c>
      <c r="G139">
        <v>23015245</v>
      </c>
      <c r="H139" s="1">
        <v>41710</v>
      </c>
      <c r="I139" s="1">
        <v>41724</v>
      </c>
      <c r="J139" s="1">
        <v>41724</v>
      </c>
      <c r="K139" s="1">
        <v>41814</v>
      </c>
      <c r="N139" s="5"/>
      <c r="O139" s="2">
        <v>1318.68</v>
      </c>
      <c r="P139">
        <v>434</v>
      </c>
      <c r="Q139" s="2">
        <v>572307.12</v>
      </c>
      <c r="R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 s="1">
        <v>42382</v>
      </c>
      <c r="AC139" t="s">
        <v>53</v>
      </c>
      <c r="AD139" t="s">
        <v>53</v>
      </c>
      <c r="AK139">
        <v>0</v>
      </c>
      <c r="AU139" s="6">
        <v>42248</v>
      </c>
      <c r="AV139" s="6">
        <v>42248</v>
      </c>
      <c r="AW139" t="s">
        <v>54</v>
      </c>
      <c r="AX139" t="str">
        <f t="shared" si="12"/>
        <v>FOR</v>
      </c>
      <c r="AY139" t="s">
        <v>55</v>
      </c>
    </row>
    <row r="140" spans="1:51" hidden="1">
      <c r="A140">
        <v>100064</v>
      </c>
      <c r="B140" t="s">
        <v>67</v>
      </c>
      <c r="C140" t="str">
        <f t="shared" si="13"/>
        <v>00421210485</v>
      </c>
      <c r="D140" t="str">
        <f t="shared" si="13"/>
        <v>00421210485</v>
      </c>
      <c r="E140" t="s">
        <v>52</v>
      </c>
      <c r="F140">
        <v>2014</v>
      </c>
      <c r="G140">
        <v>23024302</v>
      </c>
      <c r="H140" s="1">
        <v>41744</v>
      </c>
      <c r="I140" s="1">
        <v>41764</v>
      </c>
      <c r="J140" s="1">
        <v>41764</v>
      </c>
      <c r="K140" s="1">
        <v>41854</v>
      </c>
      <c r="N140" s="5"/>
      <c r="O140">
        <v>329.67</v>
      </c>
      <c r="P140">
        <v>394</v>
      </c>
      <c r="Q140" s="2">
        <v>129889.98</v>
      </c>
      <c r="R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 s="1">
        <v>42382</v>
      </c>
      <c r="AC140" t="s">
        <v>53</v>
      </c>
      <c r="AD140" t="s">
        <v>53</v>
      </c>
      <c r="AK140">
        <v>0</v>
      </c>
      <c r="AU140" s="6">
        <v>42248</v>
      </c>
      <c r="AV140" s="6">
        <v>42248</v>
      </c>
      <c r="AW140" t="s">
        <v>54</v>
      </c>
      <c r="AX140" t="str">
        <f t="shared" si="12"/>
        <v>FOR</v>
      </c>
      <c r="AY140" t="s">
        <v>55</v>
      </c>
    </row>
    <row r="141" spans="1:51" hidden="1">
      <c r="A141">
        <v>100064</v>
      </c>
      <c r="B141" t="s">
        <v>67</v>
      </c>
      <c r="C141" t="str">
        <f t="shared" si="13"/>
        <v>00421210485</v>
      </c>
      <c r="D141" t="str">
        <f t="shared" si="13"/>
        <v>00421210485</v>
      </c>
      <c r="E141" t="s">
        <v>52</v>
      </c>
      <c r="F141">
        <v>2014</v>
      </c>
      <c r="G141">
        <v>23037964</v>
      </c>
      <c r="H141" s="1">
        <v>41785</v>
      </c>
      <c r="I141" s="1">
        <v>41796</v>
      </c>
      <c r="J141" s="1">
        <v>41796</v>
      </c>
      <c r="K141" s="1">
        <v>41886</v>
      </c>
      <c r="N141" s="5"/>
      <c r="O141">
        <v>659.34</v>
      </c>
      <c r="P141">
        <v>362</v>
      </c>
      <c r="Q141" s="2">
        <v>238681.08</v>
      </c>
      <c r="R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 s="1">
        <v>42382</v>
      </c>
      <c r="AC141" t="s">
        <v>53</v>
      </c>
      <c r="AD141" t="s">
        <v>53</v>
      </c>
      <c r="AK141">
        <v>0</v>
      </c>
      <c r="AU141" s="6">
        <v>42248</v>
      </c>
      <c r="AV141" s="6">
        <v>42248</v>
      </c>
      <c r="AW141" t="s">
        <v>54</v>
      </c>
      <c r="AX141" t="str">
        <f t="shared" si="12"/>
        <v>FOR</v>
      </c>
      <c r="AY141" t="s">
        <v>55</v>
      </c>
    </row>
    <row r="142" spans="1:51" hidden="1">
      <c r="A142">
        <v>100065</v>
      </c>
      <c r="B142" t="s">
        <v>68</v>
      </c>
      <c r="C142" t="str">
        <f>"01726510595"</f>
        <v>01726510595</v>
      </c>
      <c r="D142" t="str">
        <f>"00082130592"</f>
        <v>00082130592</v>
      </c>
      <c r="E142" t="s">
        <v>52</v>
      </c>
      <c r="F142">
        <v>2014</v>
      </c>
      <c r="G142">
        <v>84019068</v>
      </c>
      <c r="H142" s="1">
        <v>41746</v>
      </c>
      <c r="I142" s="1">
        <v>41753</v>
      </c>
      <c r="J142" s="1">
        <v>41753</v>
      </c>
      <c r="K142" s="1">
        <v>41843</v>
      </c>
      <c r="N142" s="5"/>
      <c r="O142" s="2">
        <v>1318.68</v>
      </c>
      <c r="P142">
        <v>251</v>
      </c>
      <c r="Q142" s="2">
        <v>330988.68</v>
      </c>
      <c r="R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 s="1">
        <v>42382</v>
      </c>
      <c r="AC142" t="s">
        <v>53</v>
      </c>
      <c r="AD142" t="s">
        <v>53</v>
      </c>
      <c r="AK142">
        <v>0</v>
      </c>
      <c r="AU142" s="6">
        <v>42094</v>
      </c>
      <c r="AV142" s="6">
        <v>42094</v>
      </c>
      <c r="AW142" t="s">
        <v>54</v>
      </c>
      <c r="AX142" t="str">
        <f t="shared" si="12"/>
        <v>FOR</v>
      </c>
      <c r="AY142" t="s">
        <v>55</v>
      </c>
    </row>
    <row r="143" spans="1:51" hidden="1">
      <c r="A143">
        <v>100065</v>
      </c>
      <c r="B143" t="s">
        <v>68</v>
      </c>
      <c r="C143" t="str">
        <f>"01726510595"</f>
        <v>01726510595</v>
      </c>
      <c r="D143" t="str">
        <f>"00082130592"</f>
        <v>00082130592</v>
      </c>
      <c r="E143" t="s">
        <v>52</v>
      </c>
      <c r="F143">
        <v>2014</v>
      </c>
      <c r="G143">
        <v>84028422</v>
      </c>
      <c r="H143" s="1">
        <v>41815</v>
      </c>
      <c r="I143" s="1">
        <v>41820</v>
      </c>
      <c r="J143" s="1">
        <v>41820</v>
      </c>
      <c r="K143" s="1">
        <v>41910</v>
      </c>
      <c r="N143" s="5"/>
      <c r="O143">
        <v>659.34</v>
      </c>
      <c r="P143">
        <v>249</v>
      </c>
      <c r="Q143" s="2">
        <v>164175.66</v>
      </c>
      <c r="R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 s="1">
        <v>42382</v>
      </c>
      <c r="AC143" t="s">
        <v>53</v>
      </c>
      <c r="AD143" t="s">
        <v>53</v>
      </c>
      <c r="AK143">
        <v>0</v>
      </c>
      <c r="AU143" s="6">
        <v>42159</v>
      </c>
      <c r="AV143" s="6">
        <v>42159</v>
      </c>
      <c r="AW143" t="s">
        <v>54</v>
      </c>
      <c r="AX143" t="str">
        <f t="shared" si="12"/>
        <v>FOR</v>
      </c>
      <c r="AY143" t="s">
        <v>55</v>
      </c>
    </row>
    <row r="144" spans="1:51" hidden="1">
      <c r="A144">
        <v>100065</v>
      </c>
      <c r="B144" t="s">
        <v>68</v>
      </c>
      <c r="C144" t="str">
        <f>"01726510595"</f>
        <v>01726510595</v>
      </c>
      <c r="D144" t="str">
        <f>"00082130592"</f>
        <v>00082130592</v>
      </c>
      <c r="E144" t="s">
        <v>52</v>
      </c>
      <c r="F144">
        <v>2014</v>
      </c>
      <c r="G144">
        <v>84032546</v>
      </c>
      <c r="H144" s="1">
        <v>41842</v>
      </c>
      <c r="I144" s="1">
        <v>42054</v>
      </c>
      <c r="J144" s="1">
        <v>42054</v>
      </c>
      <c r="K144" s="1">
        <v>42114</v>
      </c>
      <c r="N144" s="5"/>
      <c r="O144">
        <v>659.34</v>
      </c>
      <c r="P144">
        <v>45</v>
      </c>
      <c r="Q144" s="2">
        <v>29670.3</v>
      </c>
      <c r="R144">
        <v>0</v>
      </c>
      <c r="V144">
        <v>0</v>
      </c>
      <c r="W144">
        <v>0</v>
      </c>
      <c r="X144">
        <v>0</v>
      </c>
      <c r="Y144">
        <v>0</v>
      </c>
      <c r="Z144">
        <v>659.34</v>
      </c>
      <c r="AA144">
        <v>0</v>
      </c>
      <c r="AB144" s="1">
        <v>42382</v>
      </c>
      <c r="AC144" t="s">
        <v>53</v>
      </c>
      <c r="AD144" t="s">
        <v>53</v>
      </c>
      <c r="AK144">
        <v>0</v>
      </c>
      <c r="AU144" s="6">
        <v>42159</v>
      </c>
      <c r="AV144" s="6">
        <v>42159</v>
      </c>
      <c r="AW144" t="s">
        <v>54</v>
      </c>
      <c r="AX144" t="str">
        <f t="shared" si="12"/>
        <v>FOR</v>
      </c>
      <c r="AY144" t="s">
        <v>55</v>
      </c>
    </row>
    <row r="145" spans="1:51" hidden="1">
      <c r="A145">
        <v>100066</v>
      </c>
      <c r="B145" t="s">
        <v>69</v>
      </c>
      <c r="C145" t="str">
        <f t="shared" ref="C145:C176" si="14">"12268050155"</f>
        <v>12268050155</v>
      </c>
      <c r="D145" t="str">
        <f t="shared" ref="D145:D176" si="15">"04785851009"</f>
        <v>04785851009</v>
      </c>
      <c r="E145" t="s">
        <v>52</v>
      </c>
      <c r="F145">
        <v>2014</v>
      </c>
      <c r="G145">
        <v>10789614</v>
      </c>
      <c r="H145" s="1">
        <v>41640</v>
      </c>
      <c r="I145" s="1">
        <v>41666</v>
      </c>
      <c r="J145" s="1">
        <v>41666</v>
      </c>
      <c r="K145" s="1">
        <v>41756</v>
      </c>
      <c r="N145" s="5"/>
      <c r="O145" s="2">
        <v>12200</v>
      </c>
      <c r="P145">
        <v>262</v>
      </c>
      <c r="Q145" s="2">
        <v>3196400</v>
      </c>
      <c r="R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 s="1">
        <v>42382</v>
      </c>
      <c r="AC145" t="s">
        <v>53</v>
      </c>
      <c r="AD145" t="s">
        <v>53</v>
      </c>
      <c r="AK145">
        <v>0</v>
      </c>
      <c r="AU145" s="6">
        <v>42018</v>
      </c>
      <c r="AV145" s="6">
        <v>42018</v>
      </c>
      <c r="AW145" t="s">
        <v>54</v>
      </c>
      <c r="AX145" t="str">
        <f t="shared" si="12"/>
        <v>FOR</v>
      </c>
      <c r="AY145" t="s">
        <v>55</v>
      </c>
    </row>
    <row r="146" spans="1:51" hidden="1">
      <c r="A146">
        <v>100066</v>
      </c>
      <c r="B146" t="s">
        <v>69</v>
      </c>
      <c r="C146" t="str">
        <f t="shared" si="14"/>
        <v>12268050155</v>
      </c>
      <c r="D146" t="str">
        <f t="shared" si="15"/>
        <v>04785851009</v>
      </c>
      <c r="E146" t="s">
        <v>52</v>
      </c>
      <c r="F146">
        <v>2014</v>
      </c>
      <c r="G146">
        <v>10790858</v>
      </c>
      <c r="H146" s="1">
        <v>41649</v>
      </c>
      <c r="I146" s="1">
        <v>41669</v>
      </c>
      <c r="J146" s="1">
        <v>41669</v>
      </c>
      <c r="K146" s="1">
        <v>41759</v>
      </c>
      <c r="N146" s="5"/>
      <c r="O146" s="2">
        <v>36538.120000000003</v>
      </c>
      <c r="P146">
        <v>280</v>
      </c>
      <c r="Q146" s="2">
        <v>10230673.6</v>
      </c>
      <c r="R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 s="1">
        <v>42382</v>
      </c>
      <c r="AC146" t="s">
        <v>53</v>
      </c>
      <c r="AD146" t="s">
        <v>53</v>
      </c>
      <c r="AK146">
        <v>0</v>
      </c>
      <c r="AU146" s="6">
        <v>42039</v>
      </c>
      <c r="AV146" s="6">
        <v>42039</v>
      </c>
      <c r="AW146" t="s">
        <v>54</v>
      </c>
      <c r="AX146" t="str">
        <f t="shared" si="12"/>
        <v>FOR</v>
      </c>
      <c r="AY146" t="s">
        <v>55</v>
      </c>
    </row>
    <row r="147" spans="1:51" hidden="1">
      <c r="A147">
        <v>100066</v>
      </c>
      <c r="B147" t="s">
        <v>69</v>
      </c>
      <c r="C147" t="str">
        <f t="shared" si="14"/>
        <v>12268050155</v>
      </c>
      <c r="D147" t="str">
        <f t="shared" si="15"/>
        <v>04785851009</v>
      </c>
      <c r="E147" t="s">
        <v>52</v>
      </c>
      <c r="F147">
        <v>2014</v>
      </c>
      <c r="G147">
        <v>10790859</v>
      </c>
      <c r="H147" s="1">
        <v>41649</v>
      </c>
      <c r="I147" s="1">
        <v>41669</v>
      </c>
      <c r="J147" s="1">
        <v>41669</v>
      </c>
      <c r="K147" s="1">
        <v>41759</v>
      </c>
      <c r="N147" s="5"/>
      <c r="O147" s="2">
        <v>78587.92</v>
      </c>
      <c r="P147">
        <v>280</v>
      </c>
      <c r="Q147" s="2">
        <v>22004617.600000001</v>
      </c>
      <c r="R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 s="1">
        <v>42382</v>
      </c>
      <c r="AC147" t="s">
        <v>53</v>
      </c>
      <c r="AD147" t="s">
        <v>53</v>
      </c>
      <c r="AK147">
        <v>0</v>
      </c>
      <c r="AU147" s="6">
        <v>42039</v>
      </c>
      <c r="AV147" s="6">
        <v>42039</v>
      </c>
      <c r="AW147" t="s">
        <v>54</v>
      </c>
      <c r="AX147" t="str">
        <f t="shared" si="12"/>
        <v>FOR</v>
      </c>
      <c r="AY147" t="s">
        <v>55</v>
      </c>
    </row>
    <row r="148" spans="1:51" hidden="1">
      <c r="A148">
        <v>100066</v>
      </c>
      <c r="B148" t="s">
        <v>69</v>
      </c>
      <c r="C148" t="str">
        <f t="shared" si="14"/>
        <v>12268050155</v>
      </c>
      <c r="D148" t="str">
        <f t="shared" si="15"/>
        <v>04785851009</v>
      </c>
      <c r="E148" t="s">
        <v>52</v>
      </c>
      <c r="F148">
        <v>2014</v>
      </c>
      <c r="G148">
        <v>10790860</v>
      </c>
      <c r="H148" s="1">
        <v>41649</v>
      </c>
      <c r="I148" s="1">
        <v>41669</v>
      </c>
      <c r="J148" s="1">
        <v>41669</v>
      </c>
      <c r="K148" s="1">
        <v>41759</v>
      </c>
      <c r="N148" s="5"/>
      <c r="O148" s="2">
        <v>83335.759999999995</v>
      </c>
      <c r="P148">
        <v>280</v>
      </c>
      <c r="Q148" s="2">
        <v>23334012.800000001</v>
      </c>
      <c r="R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 s="1">
        <v>42382</v>
      </c>
      <c r="AC148" t="s">
        <v>53</v>
      </c>
      <c r="AD148" t="s">
        <v>53</v>
      </c>
      <c r="AK148">
        <v>0</v>
      </c>
      <c r="AU148" s="6">
        <v>42039</v>
      </c>
      <c r="AV148" s="6">
        <v>42039</v>
      </c>
      <c r="AW148" t="s">
        <v>54</v>
      </c>
      <c r="AX148" t="str">
        <f t="shared" si="12"/>
        <v>FOR</v>
      </c>
      <c r="AY148" t="s">
        <v>55</v>
      </c>
    </row>
    <row r="149" spans="1:51" hidden="1">
      <c r="A149">
        <v>100066</v>
      </c>
      <c r="B149" t="s">
        <v>69</v>
      </c>
      <c r="C149" t="str">
        <f t="shared" si="14"/>
        <v>12268050155</v>
      </c>
      <c r="D149" t="str">
        <f t="shared" si="15"/>
        <v>04785851009</v>
      </c>
      <c r="E149" t="s">
        <v>52</v>
      </c>
      <c r="F149">
        <v>2014</v>
      </c>
      <c r="G149">
        <v>10790861</v>
      </c>
      <c r="H149" s="1">
        <v>41649</v>
      </c>
      <c r="I149" s="1">
        <v>41669</v>
      </c>
      <c r="J149" s="1">
        <v>41669</v>
      </c>
      <c r="K149" s="1">
        <v>41759</v>
      </c>
      <c r="N149" s="5"/>
      <c r="O149" s="2">
        <v>21758.09</v>
      </c>
      <c r="P149">
        <v>280</v>
      </c>
      <c r="Q149" s="2">
        <v>6092265.2000000002</v>
      </c>
      <c r="R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 s="1">
        <v>42382</v>
      </c>
      <c r="AC149" t="s">
        <v>53</v>
      </c>
      <c r="AD149" t="s">
        <v>53</v>
      </c>
      <c r="AK149">
        <v>0</v>
      </c>
      <c r="AU149" s="6">
        <v>42039</v>
      </c>
      <c r="AV149" s="6">
        <v>42039</v>
      </c>
      <c r="AW149" t="s">
        <v>54</v>
      </c>
      <c r="AX149" t="str">
        <f t="shared" si="12"/>
        <v>FOR</v>
      </c>
      <c r="AY149" t="s">
        <v>55</v>
      </c>
    </row>
    <row r="150" spans="1:51" hidden="1">
      <c r="A150">
        <v>100066</v>
      </c>
      <c r="B150" t="s">
        <v>69</v>
      </c>
      <c r="C150" t="str">
        <f t="shared" si="14"/>
        <v>12268050155</v>
      </c>
      <c r="D150" t="str">
        <f t="shared" si="15"/>
        <v>04785851009</v>
      </c>
      <c r="E150" t="s">
        <v>52</v>
      </c>
      <c r="F150">
        <v>2014</v>
      </c>
      <c r="G150">
        <v>10791287</v>
      </c>
      <c r="H150" s="1">
        <v>41652</v>
      </c>
      <c r="I150" s="1">
        <v>41675</v>
      </c>
      <c r="J150" s="1">
        <v>41675</v>
      </c>
      <c r="K150" s="1">
        <v>41765</v>
      </c>
      <c r="N150" s="5"/>
      <c r="O150" s="2">
        <v>3812.5</v>
      </c>
      <c r="P150">
        <v>274</v>
      </c>
      <c r="Q150" s="2">
        <v>1044625</v>
      </c>
      <c r="R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 s="1">
        <v>42382</v>
      </c>
      <c r="AC150" t="s">
        <v>53</v>
      </c>
      <c r="AD150" t="s">
        <v>53</v>
      </c>
      <c r="AK150">
        <v>0</v>
      </c>
      <c r="AU150" s="6">
        <v>42039</v>
      </c>
      <c r="AV150" s="6">
        <v>42039</v>
      </c>
      <c r="AW150" t="s">
        <v>54</v>
      </c>
      <c r="AX150" t="str">
        <f t="shared" si="12"/>
        <v>FOR</v>
      </c>
      <c r="AY150" t="s">
        <v>55</v>
      </c>
    </row>
    <row r="151" spans="1:51" hidden="1">
      <c r="A151">
        <v>100066</v>
      </c>
      <c r="B151" t="s">
        <v>69</v>
      </c>
      <c r="C151" t="str">
        <f t="shared" si="14"/>
        <v>12268050155</v>
      </c>
      <c r="D151" t="str">
        <f t="shared" si="15"/>
        <v>04785851009</v>
      </c>
      <c r="E151" t="s">
        <v>52</v>
      </c>
      <c r="F151">
        <v>2014</v>
      </c>
      <c r="G151">
        <v>10791288</v>
      </c>
      <c r="H151" s="1">
        <v>41652</v>
      </c>
      <c r="I151" s="1">
        <v>41675</v>
      </c>
      <c r="J151" s="1">
        <v>41675</v>
      </c>
      <c r="K151" s="1">
        <v>41765</v>
      </c>
      <c r="N151" s="5"/>
      <c r="O151" s="2">
        <v>8864.52</v>
      </c>
      <c r="P151">
        <v>274</v>
      </c>
      <c r="Q151" s="2">
        <v>2428878.48</v>
      </c>
      <c r="R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 s="1">
        <v>42382</v>
      </c>
      <c r="AC151" t="s">
        <v>53</v>
      </c>
      <c r="AD151" t="s">
        <v>53</v>
      </c>
      <c r="AK151">
        <v>0</v>
      </c>
      <c r="AU151" s="6">
        <v>42039</v>
      </c>
      <c r="AV151" s="6">
        <v>42039</v>
      </c>
      <c r="AW151" t="s">
        <v>54</v>
      </c>
      <c r="AX151" t="str">
        <f t="shared" si="12"/>
        <v>FOR</v>
      </c>
      <c r="AY151" t="s">
        <v>55</v>
      </c>
    </row>
    <row r="152" spans="1:51" hidden="1">
      <c r="A152">
        <v>100066</v>
      </c>
      <c r="B152" t="s">
        <v>69</v>
      </c>
      <c r="C152" t="str">
        <f t="shared" si="14"/>
        <v>12268050155</v>
      </c>
      <c r="D152" t="str">
        <f t="shared" si="15"/>
        <v>04785851009</v>
      </c>
      <c r="E152" t="s">
        <v>52</v>
      </c>
      <c r="F152">
        <v>2014</v>
      </c>
      <c r="G152">
        <v>10792068</v>
      </c>
      <c r="H152" s="1">
        <v>41654</v>
      </c>
      <c r="I152" s="1">
        <v>41670</v>
      </c>
      <c r="J152" s="1">
        <v>41670</v>
      </c>
      <c r="K152" s="1">
        <v>41760</v>
      </c>
      <c r="N152" s="5"/>
      <c r="O152">
        <v>911.34</v>
      </c>
      <c r="P152">
        <v>279</v>
      </c>
      <c r="Q152" s="2">
        <v>254263.86</v>
      </c>
      <c r="R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 s="1">
        <v>42382</v>
      </c>
      <c r="AC152" t="s">
        <v>53</v>
      </c>
      <c r="AD152" t="s">
        <v>53</v>
      </c>
      <c r="AK152">
        <v>0</v>
      </c>
      <c r="AU152" s="6">
        <v>42039</v>
      </c>
      <c r="AV152" s="6">
        <v>42039</v>
      </c>
      <c r="AW152" t="s">
        <v>54</v>
      </c>
      <c r="AX152" t="str">
        <f t="shared" si="12"/>
        <v>FOR</v>
      </c>
      <c r="AY152" t="s">
        <v>55</v>
      </c>
    </row>
    <row r="153" spans="1:51" hidden="1">
      <c r="A153">
        <v>100066</v>
      </c>
      <c r="B153" t="s">
        <v>69</v>
      </c>
      <c r="C153" t="str">
        <f t="shared" si="14"/>
        <v>12268050155</v>
      </c>
      <c r="D153" t="str">
        <f t="shared" si="15"/>
        <v>04785851009</v>
      </c>
      <c r="E153" t="s">
        <v>52</v>
      </c>
      <c r="F153">
        <v>2014</v>
      </c>
      <c r="G153">
        <v>10792706</v>
      </c>
      <c r="H153" s="1">
        <v>41656</v>
      </c>
      <c r="I153" s="1">
        <v>41680</v>
      </c>
      <c r="J153" s="1">
        <v>41680</v>
      </c>
      <c r="K153" s="1">
        <v>41770</v>
      </c>
      <c r="N153" s="5"/>
      <c r="O153" s="2">
        <v>1926.99</v>
      </c>
      <c r="P153">
        <v>269</v>
      </c>
      <c r="Q153" s="2">
        <v>518360.31</v>
      </c>
      <c r="R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 s="1">
        <v>42382</v>
      </c>
      <c r="AC153" t="s">
        <v>53</v>
      </c>
      <c r="AD153" t="s">
        <v>53</v>
      </c>
      <c r="AK153">
        <v>0</v>
      </c>
      <c r="AU153" s="6">
        <v>42039</v>
      </c>
      <c r="AV153" s="6">
        <v>42039</v>
      </c>
      <c r="AW153" t="s">
        <v>54</v>
      </c>
      <c r="AX153" t="str">
        <f t="shared" si="12"/>
        <v>FOR</v>
      </c>
      <c r="AY153" t="s">
        <v>55</v>
      </c>
    </row>
    <row r="154" spans="1:51" hidden="1">
      <c r="A154">
        <v>100066</v>
      </c>
      <c r="B154" t="s">
        <v>69</v>
      </c>
      <c r="C154" t="str">
        <f t="shared" si="14"/>
        <v>12268050155</v>
      </c>
      <c r="D154" t="str">
        <f t="shared" si="15"/>
        <v>04785851009</v>
      </c>
      <c r="E154" t="s">
        <v>52</v>
      </c>
      <c r="F154">
        <v>2014</v>
      </c>
      <c r="G154">
        <v>10792707</v>
      </c>
      <c r="H154" s="1">
        <v>41656</v>
      </c>
      <c r="I154" s="1">
        <v>41680</v>
      </c>
      <c r="J154" s="1">
        <v>41680</v>
      </c>
      <c r="K154" s="1">
        <v>41770</v>
      </c>
      <c r="N154" s="5"/>
      <c r="O154" s="2">
        <v>7844.11</v>
      </c>
      <c r="P154">
        <v>269</v>
      </c>
      <c r="Q154" s="2">
        <v>2110065.59</v>
      </c>
      <c r="R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 s="1">
        <v>42382</v>
      </c>
      <c r="AC154" t="s">
        <v>53</v>
      </c>
      <c r="AD154" t="s">
        <v>53</v>
      </c>
      <c r="AK154">
        <v>0</v>
      </c>
      <c r="AU154" s="6">
        <v>42039</v>
      </c>
      <c r="AV154" s="6">
        <v>42039</v>
      </c>
      <c r="AW154" t="s">
        <v>54</v>
      </c>
      <c r="AX154" t="str">
        <f t="shared" si="12"/>
        <v>FOR</v>
      </c>
      <c r="AY154" t="s">
        <v>55</v>
      </c>
    </row>
    <row r="155" spans="1:51" hidden="1">
      <c r="A155">
        <v>100066</v>
      </c>
      <c r="B155" t="s">
        <v>69</v>
      </c>
      <c r="C155" t="str">
        <f t="shared" si="14"/>
        <v>12268050155</v>
      </c>
      <c r="D155" t="str">
        <f t="shared" si="15"/>
        <v>04785851009</v>
      </c>
      <c r="E155" t="s">
        <v>52</v>
      </c>
      <c r="F155">
        <v>2014</v>
      </c>
      <c r="G155">
        <v>10792708</v>
      </c>
      <c r="H155" s="1">
        <v>41656</v>
      </c>
      <c r="I155" s="1">
        <v>41680</v>
      </c>
      <c r="J155" s="1">
        <v>41680</v>
      </c>
      <c r="K155" s="1">
        <v>41770</v>
      </c>
      <c r="N155" s="5"/>
      <c r="O155" s="2">
        <v>4500.34</v>
      </c>
      <c r="P155">
        <v>269</v>
      </c>
      <c r="Q155" s="2">
        <v>1210591.46</v>
      </c>
      <c r="R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 s="1">
        <v>42382</v>
      </c>
      <c r="AC155" t="s">
        <v>53</v>
      </c>
      <c r="AD155" t="s">
        <v>53</v>
      </c>
      <c r="AK155">
        <v>0</v>
      </c>
      <c r="AU155" s="6">
        <v>42039</v>
      </c>
      <c r="AV155" s="6">
        <v>42039</v>
      </c>
      <c r="AW155" t="s">
        <v>54</v>
      </c>
      <c r="AX155" t="str">
        <f t="shared" si="12"/>
        <v>FOR</v>
      </c>
      <c r="AY155" t="s">
        <v>55</v>
      </c>
    </row>
    <row r="156" spans="1:51" hidden="1">
      <c r="A156">
        <v>100066</v>
      </c>
      <c r="B156" t="s">
        <v>69</v>
      </c>
      <c r="C156" t="str">
        <f t="shared" si="14"/>
        <v>12268050155</v>
      </c>
      <c r="D156" t="str">
        <f t="shared" si="15"/>
        <v>04785851009</v>
      </c>
      <c r="E156" t="s">
        <v>52</v>
      </c>
      <c r="F156">
        <v>2014</v>
      </c>
      <c r="G156">
        <v>10792709</v>
      </c>
      <c r="H156" s="1">
        <v>41656</v>
      </c>
      <c r="I156" s="1">
        <v>41680</v>
      </c>
      <c r="J156" s="1">
        <v>41680</v>
      </c>
      <c r="K156" s="1">
        <v>41770</v>
      </c>
      <c r="N156" s="5"/>
      <c r="O156" s="2">
        <v>8464.36</v>
      </c>
      <c r="P156">
        <v>269</v>
      </c>
      <c r="Q156" s="2">
        <v>2276912.84</v>
      </c>
      <c r="R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 s="1">
        <v>42382</v>
      </c>
      <c r="AC156" t="s">
        <v>53</v>
      </c>
      <c r="AD156" t="s">
        <v>53</v>
      </c>
      <c r="AK156">
        <v>0</v>
      </c>
      <c r="AU156" s="6">
        <v>42039</v>
      </c>
      <c r="AV156" s="6">
        <v>42039</v>
      </c>
      <c r="AW156" t="s">
        <v>54</v>
      </c>
      <c r="AX156" t="str">
        <f t="shared" si="12"/>
        <v>FOR</v>
      </c>
      <c r="AY156" t="s">
        <v>55</v>
      </c>
    </row>
    <row r="157" spans="1:51" hidden="1">
      <c r="A157">
        <v>100066</v>
      </c>
      <c r="B157" t="s">
        <v>69</v>
      </c>
      <c r="C157" t="str">
        <f t="shared" si="14"/>
        <v>12268050155</v>
      </c>
      <c r="D157" t="str">
        <f t="shared" si="15"/>
        <v>04785851009</v>
      </c>
      <c r="E157" t="s">
        <v>52</v>
      </c>
      <c r="F157">
        <v>2014</v>
      </c>
      <c r="G157">
        <v>10793434</v>
      </c>
      <c r="H157" s="1">
        <v>41660</v>
      </c>
      <c r="I157" s="1">
        <v>41684</v>
      </c>
      <c r="J157" s="1">
        <v>41684</v>
      </c>
      <c r="K157" s="1">
        <v>41774</v>
      </c>
      <c r="N157" s="5"/>
      <c r="O157" s="2">
        <v>5572.96</v>
      </c>
      <c r="P157">
        <v>265</v>
      </c>
      <c r="Q157" s="2">
        <v>1476834.4</v>
      </c>
      <c r="R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 s="1">
        <v>42382</v>
      </c>
      <c r="AC157" t="s">
        <v>53</v>
      </c>
      <c r="AD157" t="s">
        <v>53</v>
      </c>
      <c r="AK157">
        <v>0</v>
      </c>
      <c r="AU157" s="6">
        <v>42039</v>
      </c>
      <c r="AV157" s="6">
        <v>42039</v>
      </c>
      <c r="AW157" t="s">
        <v>54</v>
      </c>
      <c r="AX157" t="str">
        <f t="shared" si="12"/>
        <v>FOR</v>
      </c>
      <c r="AY157" t="s">
        <v>55</v>
      </c>
    </row>
    <row r="158" spans="1:51" hidden="1">
      <c r="A158">
        <v>100066</v>
      </c>
      <c r="B158" t="s">
        <v>69</v>
      </c>
      <c r="C158" t="str">
        <f t="shared" si="14"/>
        <v>12268050155</v>
      </c>
      <c r="D158" t="str">
        <f t="shared" si="15"/>
        <v>04785851009</v>
      </c>
      <c r="E158" t="s">
        <v>52</v>
      </c>
      <c r="F158">
        <v>2014</v>
      </c>
      <c r="G158">
        <v>10793835</v>
      </c>
      <c r="H158" s="1">
        <v>41661</v>
      </c>
      <c r="I158" s="1">
        <v>41684</v>
      </c>
      <c r="J158" s="1">
        <v>41684</v>
      </c>
      <c r="K158" s="1">
        <v>41774</v>
      </c>
      <c r="N158" s="5"/>
      <c r="O158">
        <v>666.12</v>
      </c>
      <c r="P158">
        <v>265</v>
      </c>
      <c r="Q158" s="2">
        <v>176521.8</v>
      </c>
      <c r="R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 s="1">
        <v>42382</v>
      </c>
      <c r="AC158" t="s">
        <v>53</v>
      </c>
      <c r="AD158" t="s">
        <v>53</v>
      </c>
      <c r="AK158">
        <v>0</v>
      </c>
      <c r="AU158" s="6">
        <v>42039</v>
      </c>
      <c r="AV158" s="6">
        <v>42039</v>
      </c>
      <c r="AW158" t="s">
        <v>54</v>
      </c>
      <c r="AX158" t="str">
        <f t="shared" si="12"/>
        <v>FOR</v>
      </c>
      <c r="AY158" t="s">
        <v>55</v>
      </c>
    </row>
    <row r="159" spans="1:51" hidden="1">
      <c r="A159">
        <v>100066</v>
      </c>
      <c r="B159" t="s">
        <v>69</v>
      </c>
      <c r="C159" t="str">
        <f t="shared" si="14"/>
        <v>12268050155</v>
      </c>
      <c r="D159" t="str">
        <f t="shared" si="15"/>
        <v>04785851009</v>
      </c>
      <c r="E159" t="s">
        <v>52</v>
      </c>
      <c r="F159">
        <v>2014</v>
      </c>
      <c r="G159">
        <v>10794190</v>
      </c>
      <c r="H159" s="1">
        <v>41662</v>
      </c>
      <c r="I159" s="1">
        <v>41684</v>
      </c>
      <c r="J159" s="1">
        <v>41684</v>
      </c>
      <c r="K159" s="1">
        <v>41774</v>
      </c>
      <c r="N159" s="5"/>
      <c r="O159">
        <v>444.08</v>
      </c>
      <c r="P159">
        <v>265</v>
      </c>
      <c r="Q159" s="2">
        <v>117681.2</v>
      </c>
      <c r="R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 s="1">
        <v>42382</v>
      </c>
      <c r="AC159" t="s">
        <v>53</v>
      </c>
      <c r="AD159" t="s">
        <v>53</v>
      </c>
      <c r="AK159">
        <v>0</v>
      </c>
      <c r="AU159" s="6">
        <v>42039</v>
      </c>
      <c r="AV159" s="6">
        <v>42039</v>
      </c>
      <c r="AW159" t="s">
        <v>54</v>
      </c>
      <c r="AX159" t="str">
        <f t="shared" si="12"/>
        <v>FOR</v>
      </c>
      <c r="AY159" t="s">
        <v>55</v>
      </c>
    </row>
    <row r="160" spans="1:51" hidden="1">
      <c r="A160">
        <v>100066</v>
      </c>
      <c r="B160" t="s">
        <v>69</v>
      </c>
      <c r="C160" t="str">
        <f t="shared" si="14"/>
        <v>12268050155</v>
      </c>
      <c r="D160" t="str">
        <f t="shared" si="15"/>
        <v>04785851009</v>
      </c>
      <c r="E160" t="s">
        <v>52</v>
      </c>
      <c r="F160">
        <v>2014</v>
      </c>
      <c r="G160">
        <v>10794896</v>
      </c>
      <c r="H160" s="1">
        <v>41666</v>
      </c>
      <c r="I160" s="1">
        <v>41687</v>
      </c>
      <c r="J160" s="1">
        <v>41687</v>
      </c>
      <c r="K160" s="1">
        <v>41777</v>
      </c>
      <c r="N160" s="5"/>
      <c r="O160">
        <v>768.6</v>
      </c>
      <c r="P160">
        <v>262</v>
      </c>
      <c r="Q160" s="2">
        <v>201373.2</v>
      </c>
      <c r="R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 s="1">
        <v>42382</v>
      </c>
      <c r="AC160" t="s">
        <v>53</v>
      </c>
      <c r="AD160" t="s">
        <v>53</v>
      </c>
      <c r="AK160">
        <v>0</v>
      </c>
      <c r="AU160" s="6">
        <v>42039</v>
      </c>
      <c r="AV160" s="6">
        <v>42039</v>
      </c>
      <c r="AW160" t="s">
        <v>54</v>
      </c>
      <c r="AX160" t="str">
        <f t="shared" si="12"/>
        <v>FOR</v>
      </c>
      <c r="AY160" t="s">
        <v>55</v>
      </c>
    </row>
    <row r="161" spans="1:51" hidden="1">
      <c r="A161">
        <v>100066</v>
      </c>
      <c r="B161" t="s">
        <v>69</v>
      </c>
      <c r="C161" t="str">
        <f t="shared" si="14"/>
        <v>12268050155</v>
      </c>
      <c r="D161" t="str">
        <f t="shared" si="15"/>
        <v>04785851009</v>
      </c>
      <c r="E161" t="s">
        <v>52</v>
      </c>
      <c r="F161">
        <v>2014</v>
      </c>
      <c r="G161">
        <v>10795502</v>
      </c>
      <c r="H161" s="1">
        <v>41668</v>
      </c>
      <c r="I161" s="1">
        <v>41736</v>
      </c>
      <c r="J161" s="1">
        <v>41736</v>
      </c>
      <c r="K161" s="1">
        <v>41826</v>
      </c>
      <c r="N161" s="5"/>
      <c r="O161" s="2">
        <v>1921.5</v>
      </c>
      <c r="P161">
        <v>213</v>
      </c>
      <c r="Q161" s="2">
        <v>409279.5</v>
      </c>
      <c r="R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 s="1">
        <v>42382</v>
      </c>
      <c r="AC161" t="s">
        <v>53</v>
      </c>
      <c r="AD161" t="s">
        <v>53</v>
      </c>
      <c r="AK161">
        <v>0</v>
      </c>
      <c r="AU161" s="6">
        <v>42039</v>
      </c>
      <c r="AV161" s="6">
        <v>42039</v>
      </c>
      <c r="AW161" t="s">
        <v>54</v>
      </c>
      <c r="AX161" t="str">
        <f t="shared" si="12"/>
        <v>FOR</v>
      </c>
      <c r="AY161" t="s">
        <v>55</v>
      </c>
    </row>
    <row r="162" spans="1:51" hidden="1">
      <c r="A162">
        <v>100066</v>
      </c>
      <c r="B162" t="s">
        <v>69</v>
      </c>
      <c r="C162" t="str">
        <f t="shared" si="14"/>
        <v>12268050155</v>
      </c>
      <c r="D162" t="str">
        <f t="shared" si="15"/>
        <v>04785851009</v>
      </c>
      <c r="E162" t="s">
        <v>52</v>
      </c>
      <c r="F162">
        <v>2014</v>
      </c>
      <c r="G162">
        <v>10796624</v>
      </c>
      <c r="H162" s="1">
        <v>41673</v>
      </c>
      <c r="I162" s="1">
        <v>41711</v>
      </c>
      <c r="J162" s="1">
        <v>41711</v>
      </c>
      <c r="K162" s="1">
        <v>41801</v>
      </c>
      <c r="N162" s="5"/>
      <c r="O162" s="2">
        <v>8296</v>
      </c>
      <c r="P162">
        <v>238</v>
      </c>
      <c r="Q162" s="2">
        <v>1974448</v>
      </c>
      <c r="R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 s="1">
        <v>42382</v>
      </c>
      <c r="AC162" t="s">
        <v>53</v>
      </c>
      <c r="AD162" t="s">
        <v>53</v>
      </c>
      <c r="AK162">
        <v>0</v>
      </c>
      <c r="AU162" s="6">
        <v>42039</v>
      </c>
      <c r="AV162" s="6">
        <v>42039</v>
      </c>
      <c r="AW162" t="s">
        <v>54</v>
      </c>
      <c r="AX162" t="str">
        <f t="shared" si="12"/>
        <v>FOR</v>
      </c>
      <c r="AY162" t="s">
        <v>55</v>
      </c>
    </row>
    <row r="163" spans="1:51" hidden="1">
      <c r="A163">
        <v>100066</v>
      </c>
      <c r="B163" t="s">
        <v>69</v>
      </c>
      <c r="C163" t="str">
        <f t="shared" si="14"/>
        <v>12268050155</v>
      </c>
      <c r="D163" t="str">
        <f t="shared" si="15"/>
        <v>04785851009</v>
      </c>
      <c r="E163" t="s">
        <v>52</v>
      </c>
      <c r="F163">
        <v>2014</v>
      </c>
      <c r="G163">
        <v>10796625</v>
      </c>
      <c r="H163" s="1">
        <v>41673</v>
      </c>
      <c r="I163" s="1">
        <v>41711</v>
      </c>
      <c r="J163" s="1">
        <v>41711</v>
      </c>
      <c r="K163" s="1">
        <v>41801</v>
      </c>
      <c r="N163" s="5"/>
      <c r="O163" s="2">
        <v>4500.34</v>
      </c>
      <c r="P163">
        <v>238</v>
      </c>
      <c r="Q163" s="2">
        <v>1071080.92</v>
      </c>
      <c r="R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 s="1">
        <v>42382</v>
      </c>
      <c r="AC163" t="s">
        <v>53</v>
      </c>
      <c r="AD163" t="s">
        <v>53</v>
      </c>
      <c r="AK163">
        <v>0</v>
      </c>
      <c r="AU163" s="6">
        <v>42039</v>
      </c>
      <c r="AV163" s="6">
        <v>42039</v>
      </c>
      <c r="AW163" t="s">
        <v>54</v>
      </c>
      <c r="AX163" t="str">
        <f t="shared" si="12"/>
        <v>FOR</v>
      </c>
      <c r="AY163" t="s">
        <v>55</v>
      </c>
    </row>
    <row r="164" spans="1:51" hidden="1">
      <c r="A164">
        <v>100066</v>
      </c>
      <c r="B164" t="s">
        <v>69</v>
      </c>
      <c r="C164" t="str">
        <f t="shared" si="14"/>
        <v>12268050155</v>
      </c>
      <c r="D164" t="str">
        <f t="shared" si="15"/>
        <v>04785851009</v>
      </c>
      <c r="E164" t="s">
        <v>52</v>
      </c>
      <c r="F164">
        <v>2014</v>
      </c>
      <c r="G164">
        <v>10796626</v>
      </c>
      <c r="H164" s="1">
        <v>41673</v>
      </c>
      <c r="I164" s="1">
        <v>41711</v>
      </c>
      <c r="J164" s="1">
        <v>41711</v>
      </c>
      <c r="K164" s="1">
        <v>41801</v>
      </c>
      <c r="N164" s="5"/>
      <c r="O164" s="2">
        <v>6813.46</v>
      </c>
      <c r="P164">
        <v>238</v>
      </c>
      <c r="Q164" s="2">
        <v>1621603.48</v>
      </c>
      <c r="R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 s="1">
        <v>42382</v>
      </c>
      <c r="AC164" t="s">
        <v>53</v>
      </c>
      <c r="AD164" t="s">
        <v>53</v>
      </c>
      <c r="AK164">
        <v>0</v>
      </c>
      <c r="AU164" s="6">
        <v>42039</v>
      </c>
      <c r="AV164" s="6">
        <v>42039</v>
      </c>
      <c r="AW164" t="s">
        <v>54</v>
      </c>
      <c r="AX164" t="str">
        <f t="shared" si="12"/>
        <v>FOR</v>
      </c>
      <c r="AY164" t="s">
        <v>55</v>
      </c>
    </row>
    <row r="165" spans="1:51" hidden="1">
      <c r="A165">
        <v>100066</v>
      </c>
      <c r="B165" t="s">
        <v>69</v>
      </c>
      <c r="C165" t="str">
        <f t="shared" si="14"/>
        <v>12268050155</v>
      </c>
      <c r="D165" t="str">
        <f t="shared" si="15"/>
        <v>04785851009</v>
      </c>
      <c r="E165" t="s">
        <v>52</v>
      </c>
      <c r="F165">
        <v>2014</v>
      </c>
      <c r="G165">
        <v>10798397</v>
      </c>
      <c r="H165" s="1">
        <v>41681</v>
      </c>
      <c r="I165" s="1">
        <v>41703</v>
      </c>
      <c r="J165" s="1">
        <v>41703</v>
      </c>
      <c r="K165" s="1">
        <v>41793</v>
      </c>
      <c r="N165" s="5"/>
      <c r="O165" s="2">
        <v>11650.54</v>
      </c>
      <c r="P165">
        <v>246</v>
      </c>
      <c r="Q165" s="2">
        <v>2866032.84</v>
      </c>
      <c r="R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 s="1">
        <v>42382</v>
      </c>
      <c r="AC165" t="s">
        <v>53</v>
      </c>
      <c r="AD165" t="s">
        <v>53</v>
      </c>
      <c r="AK165">
        <v>0</v>
      </c>
      <c r="AU165" s="6">
        <v>42039</v>
      </c>
      <c r="AV165" s="6">
        <v>42039</v>
      </c>
      <c r="AW165" t="s">
        <v>54</v>
      </c>
      <c r="AX165" t="str">
        <f t="shared" si="12"/>
        <v>FOR</v>
      </c>
      <c r="AY165" t="s">
        <v>55</v>
      </c>
    </row>
    <row r="166" spans="1:51" hidden="1">
      <c r="A166">
        <v>100066</v>
      </c>
      <c r="B166" t="s">
        <v>69</v>
      </c>
      <c r="C166" t="str">
        <f t="shared" si="14"/>
        <v>12268050155</v>
      </c>
      <c r="D166" t="str">
        <f t="shared" si="15"/>
        <v>04785851009</v>
      </c>
      <c r="E166" t="s">
        <v>52</v>
      </c>
      <c r="F166">
        <v>2014</v>
      </c>
      <c r="G166">
        <v>10799812</v>
      </c>
      <c r="H166" s="1">
        <v>41688</v>
      </c>
      <c r="I166" s="1">
        <v>41711</v>
      </c>
      <c r="J166" s="1">
        <v>41711</v>
      </c>
      <c r="K166" s="1">
        <v>41801</v>
      </c>
      <c r="N166" s="5"/>
      <c r="O166">
        <v>101.26</v>
      </c>
      <c r="P166">
        <v>238</v>
      </c>
      <c r="Q166" s="2">
        <v>24099.88</v>
      </c>
      <c r="R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 s="1">
        <v>42382</v>
      </c>
      <c r="AC166" t="s">
        <v>53</v>
      </c>
      <c r="AD166" t="s">
        <v>53</v>
      </c>
      <c r="AK166">
        <v>0</v>
      </c>
      <c r="AU166" s="6">
        <v>42039</v>
      </c>
      <c r="AV166" s="6">
        <v>42039</v>
      </c>
      <c r="AW166" t="s">
        <v>54</v>
      </c>
      <c r="AX166" t="str">
        <f t="shared" si="12"/>
        <v>FOR</v>
      </c>
      <c r="AY166" t="s">
        <v>55</v>
      </c>
    </row>
    <row r="167" spans="1:51" hidden="1">
      <c r="A167">
        <v>100066</v>
      </c>
      <c r="B167" t="s">
        <v>69</v>
      </c>
      <c r="C167" t="str">
        <f t="shared" si="14"/>
        <v>12268050155</v>
      </c>
      <c r="D167" t="str">
        <f t="shared" si="15"/>
        <v>04785851009</v>
      </c>
      <c r="E167" t="s">
        <v>52</v>
      </c>
      <c r="F167">
        <v>2014</v>
      </c>
      <c r="G167">
        <v>10800005</v>
      </c>
      <c r="H167" s="1">
        <v>41689</v>
      </c>
      <c r="I167" s="1">
        <v>41711</v>
      </c>
      <c r="J167" s="1">
        <v>41711</v>
      </c>
      <c r="K167" s="1">
        <v>41801</v>
      </c>
      <c r="N167" s="5"/>
      <c r="O167" s="2">
        <v>8620.52</v>
      </c>
      <c r="P167">
        <v>238</v>
      </c>
      <c r="Q167" s="2">
        <v>2051683.76</v>
      </c>
      <c r="R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 s="1">
        <v>42382</v>
      </c>
      <c r="AC167" t="s">
        <v>53</v>
      </c>
      <c r="AD167" t="s">
        <v>53</v>
      </c>
      <c r="AK167">
        <v>0</v>
      </c>
      <c r="AU167" s="6">
        <v>42039</v>
      </c>
      <c r="AV167" s="6">
        <v>42039</v>
      </c>
      <c r="AW167" t="s">
        <v>54</v>
      </c>
      <c r="AX167" t="str">
        <f t="shared" si="12"/>
        <v>FOR</v>
      </c>
      <c r="AY167" t="s">
        <v>55</v>
      </c>
    </row>
    <row r="168" spans="1:51" hidden="1">
      <c r="A168">
        <v>100066</v>
      </c>
      <c r="B168" t="s">
        <v>69</v>
      </c>
      <c r="C168" t="str">
        <f t="shared" si="14"/>
        <v>12268050155</v>
      </c>
      <c r="D168" t="str">
        <f t="shared" si="15"/>
        <v>04785851009</v>
      </c>
      <c r="E168" t="s">
        <v>52</v>
      </c>
      <c r="F168">
        <v>2014</v>
      </c>
      <c r="G168">
        <v>10801158</v>
      </c>
      <c r="H168" s="1">
        <v>41695</v>
      </c>
      <c r="I168" s="1">
        <v>41712</v>
      </c>
      <c r="J168" s="1">
        <v>41712</v>
      </c>
      <c r="K168" s="1">
        <v>41802</v>
      </c>
      <c r="N168" s="5"/>
      <c r="O168">
        <v>245.22</v>
      </c>
      <c r="P168">
        <v>237</v>
      </c>
      <c r="Q168" s="2">
        <v>58117.14</v>
      </c>
      <c r="R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 s="1">
        <v>42382</v>
      </c>
      <c r="AC168" t="s">
        <v>53</v>
      </c>
      <c r="AD168" t="s">
        <v>53</v>
      </c>
      <c r="AK168">
        <v>0</v>
      </c>
      <c r="AU168" s="6">
        <v>42039</v>
      </c>
      <c r="AV168" s="6">
        <v>42039</v>
      </c>
      <c r="AW168" t="s">
        <v>54</v>
      </c>
      <c r="AX168" t="str">
        <f t="shared" si="12"/>
        <v>FOR</v>
      </c>
      <c r="AY168" t="s">
        <v>55</v>
      </c>
    </row>
    <row r="169" spans="1:51" hidden="1">
      <c r="A169">
        <v>100066</v>
      </c>
      <c r="B169" t="s">
        <v>69</v>
      </c>
      <c r="C169" t="str">
        <f t="shared" si="14"/>
        <v>12268050155</v>
      </c>
      <c r="D169" t="str">
        <f t="shared" si="15"/>
        <v>04785851009</v>
      </c>
      <c r="E169" t="s">
        <v>52</v>
      </c>
      <c r="F169">
        <v>2014</v>
      </c>
      <c r="G169">
        <v>10801159</v>
      </c>
      <c r="H169" s="1">
        <v>41695</v>
      </c>
      <c r="I169" s="1">
        <v>41712</v>
      </c>
      <c r="J169" s="1">
        <v>41712</v>
      </c>
      <c r="K169" s="1">
        <v>41802</v>
      </c>
      <c r="N169" s="5"/>
      <c r="O169" s="2">
        <v>3343.78</v>
      </c>
      <c r="P169">
        <v>237</v>
      </c>
      <c r="Q169" s="2">
        <v>792475.86</v>
      </c>
      <c r="R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 s="1">
        <v>42382</v>
      </c>
      <c r="AC169" t="s">
        <v>53</v>
      </c>
      <c r="AD169" t="s">
        <v>53</v>
      </c>
      <c r="AK169">
        <v>0</v>
      </c>
      <c r="AU169" s="6">
        <v>42039</v>
      </c>
      <c r="AV169" s="6">
        <v>42039</v>
      </c>
      <c r="AW169" t="s">
        <v>54</v>
      </c>
      <c r="AX169" t="str">
        <f t="shared" si="12"/>
        <v>FOR</v>
      </c>
      <c r="AY169" t="s">
        <v>55</v>
      </c>
    </row>
    <row r="170" spans="1:51" hidden="1">
      <c r="A170">
        <v>100066</v>
      </c>
      <c r="B170" t="s">
        <v>69</v>
      </c>
      <c r="C170" t="str">
        <f t="shared" si="14"/>
        <v>12268050155</v>
      </c>
      <c r="D170" t="str">
        <f t="shared" si="15"/>
        <v>04785851009</v>
      </c>
      <c r="E170" t="s">
        <v>52</v>
      </c>
      <c r="F170">
        <v>2014</v>
      </c>
      <c r="G170">
        <v>10803190</v>
      </c>
      <c r="H170" s="1">
        <v>41704</v>
      </c>
      <c r="I170" s="1">
        <v>41719</v>
      </c>
      <c r="J170" s="1">
        <v>41719</v>
      </c>
      <c r="K170" s="1">
        <v>41809</v>
      </c>
      <c r="N170" s="5"/>
      <c r="O170" s="2">
        <v>2229.1799999999998</v>
      </c>
      <c r="P170">
        <v>265</v>
      </c>
      <c r="Q170" s="2">
        <v>590732.69999999995</v>
      </c>
      <c r="R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 s="1">
        <v>42382</v>
      </c>
      <c r="AC170" t="s">
        <v>53</v>
      </c>
      <c r="AD170" t="s">
        <v>53</v>
      </c>
      <c r="AK170">
        <v>0</v>
      </c>
      <c r="AU170" s="6">
        <v>42074</v>
      </c>
      <c r="AV170" s="6">
        <v>42074</v>
      </c>
      <c r="AW170" t="s">
        <v>54</v>
      </c>
      <c r="AX170" t="str">
        <f t="shared" si="12"/>
        <v>FOR</v>
      </c>
      <c r="AY170" t="s">
        <v>55</v>
      </c>
    </row>
    <row r="171" spans="1:51" hidden="1">
      <c r="A171">
        <v>100066</v>
      </c>
      <c r="B171" t="s">
        <v>69</v>
      </c>
      <c r="C171" t="str">
        <f t="shared" si="14"/>
        <v>12268050155</v>
      </c>
      <c r="D171" t="str">
        <f t="shared" si="15"/>
        <v>04785851009</v>
      </c>
      <c r="E171" t="s">
        <v>52</v>
      </c>
      <c r="F171">
        <v>2014</v>
      </c>
      <c r="G171">
        <v>10803535</v>
      </c>
      <c r="H171" s="1">
        <v>41705</v>
      </c>
      <c r="I171" s="1">
        <v>41724</v>
      </c>
      <c r="J171" s="1">
        <v>41724</v>
      </c>
      <c r="K171" s="1">
        <v>41814</v>
      </c>
      <c r="N171" s="5"/>
      <c r="O171" s="2">
        <v>3721</v>
      </c>
      <c r="P171">
        <v>260</v>
      </c>
      <c r="Q171" s="2">
        <v>967460</v>
      </c>
      <c r="R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 s="1">
        <v>42382</v>
      </c>
      <c r="AC171" t="s">
        <v>53</v>
      </c>
      <c r="AD171" t="s">
        <v>53</v>
      </c>
      <c r="AK171">
        <v>0</v>
      </c>
      <c r="AU171" s="6">
        <v>42074</v>
      </c>
      <c r="AV171" s="6">
        <v>42074</v>
      </c>
      <c r="AW171" t="s">
        <v>54</v>
      </c>
      <c r="AX171" t="str">
        <f t="shared" si="12"/>
        <v>FOR</v>
      </c>
      <c r="AY171" t="s">
        <v>55</v>
      </c>
    </row>
    <row r="172" spans="1:51" hidden="1">
      <c r="A172">
        <v>100066</v>
      </c>
      <c r="B172" t="s">
        <v>69</v>
      </c>
      <c r="C172" t="str">
        <f t="shared" si="14"/>
        <v>12268050155</v>
      </c>
      <c r="D172" t="str">
        <f t="shared" si="15"/>
        <v>04785851009</v>
      </c>
      <c r="E172" t="s">
        <v>52</v>
      </c>
      <c r="F172">
        <v>2014</v>
      </c>
      <c r="G172">
        <v>10803805</v>
      </c>
      <c r="H172" s="1">
        <v>41708</v>
      </c>
      <c r="I172" s="1">
        <v>41725</v>
      </c>
      <c r="J172" s="1">
        <v>41725</v>
      </c>
      <c r="K172" s="1">
        <v>41815</v>
      </c>
      <c r="N172" s="5"/>
      <c r="O172">
        <v>305</v>
      </c>
      <c r="P172">
        <v>259</v>
      </c>
      <c r="Q172" s="2">
        <v>78995</v>
      </c>
      <c r="R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 s="1">
        <v>42382</v>
      </c>
      <c r="AC172" t="s">
        <v>53</v>
      </c>
      <c r="AD172" t="s">
        <v>53</v>
      </c>
      <c r="AK172">
        <v>0</v>
      </c>
      <c r="AU172" s="6">
        <v>42074</v>
      </c>
      <c r="AV172" s="6">
        <v>42074</v>
      </c>
      <c r="AW172" t="s">
        <v>54</v>
      </c>
      <c r="AX172" t="str">
        <f t="shared" si="12"/>
        <v>FOR</v>
      </c>
      <c r="AY172" t="s">
        <v>55</v>
      </c>
    </row>
    <row r="173" spans="1:51" hidden="1">
      <c r="A173">
        <v>100066</v>
      </c>
      <c r="B173" t="s">
        <v>69</v>
      </c>
      <c r="C173" t="str">
        <f t="shared" si="14"/>
        <v>12268050155</v>
      </c>
      <c r="D173" t="str">
        <f t="shared" si="15"/>
        <v>04785851009</v>
      </c>
      <c r="E173" t="s">
        <v>52</v>
      </c>
      <c r="F173">
        <v>2014</v>
      </c>
      <c r="G173">
        <v>10804854</v>
      </c>
      <c r="H173" s="1">
        <v>41715</v>
      </c>
      <c r="I173" s="1">
        <v>41736</v>
      </c>
      <c r="J173" s="1">
        <v>41736</v>
      </c>
      <c r="K173" s="1">
        <v>41826</v>
      </c>
      <c r="N173" s="5"/>
      <c r="O173" s="2">
        <v>2734.02</v>
      </c>
      <c r="P173">
        <v>248</v>
      </c>
      <c r="Q173" s="2">
        <v>678036.96</v>
      </c>
      <c r="R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 s="1">
        <v>42382</v>
      </c>
      <c r="AC173" t="s">
        <v>53</v>
      </c>
      <c r="AD173" t="s">
        <v>53</v>
      </c>
      <c r="AK173">
        <v>0</v>
      </c>
      <c r="AU173" s="6">
        <v>42074</v>
      </c>
      <c r="AV173" s="6">
        <v>42074</v>
      </c>
      <c r="AW173" t="s">
        <v>54</v>
      </c>
      <c r="AX173" t="str">
        <f t="shared" si="12"/>
        <v>FOR</v>
      </c>
      <c r="AY173" t="s">
        <v>55</v>
      </c>
    </row>
    <row r="174" spans="1:51" hidden="1">
      <c r="A174">
        <v>100066</v>
      </c>
      <c r="B174" t="s">
        <v>69</v>
      </c>
      <c r="C174" t="str">
        <f t="shared" si="14"/>
        <v>12268050155</v>
      </c>
      <c r="D174" t="str">
        <f t="shared" si="15"/>
        <v>04785851009</v>
      </c>
      <c r="E174" t="s">
        <v>52</v>
      </c>
      <c r="F174">
        <v>2014</v>
      </c>
      <c r="G174">
        <v>10805382</v>
      </c>
      <c r="H174" s="1">
        <v>41717</v>
      </c>
      <c r="I174" s="1">
        <v>41736</v>
      </c>
      <c r="J174" s="1">
        <v>41736</v>
      </c>
      <c r="K174" s="1">
        <v>41826</v>
      </c>
      <c r="N174" s="5"/>
      <c r="O174" s="2">
        <v>4193.92</v>
      </c>
      <c r="P174">
        <v>248</v>
      </c>
      <c r="Q174" s="2">
        <v>1040092.16</v>
      </c>
      <c r="R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 s="1">
        <v>42382</v>
      </c>
      <c r="AC174" t="s">
        <v>53</v>
      </c>
      <c r="AD174" t="s">
        <v>53</v>
      </c>
      <c r="AK174">
        <v>0</v>
      </c>
      <c r="AU174" s="6">
        <v>42074</v>
      </c>
      <c r="AV174" s="6">
        <v>42074</v>
      </c>
      <c r="AW174" t="s">
        <v>54</v>
      </c>
      <c r="AX174" t="str">
        <f t="shared" si="12"/>
        <v>FOR</v>
      </c>
      <c r="AY174" t="s">
        <v>55</v>
      </c>
    </row>
    <row r="175" spans="1:51" hidden="1">
      <c r="A175">
        <v>100066</v>
      </c>
      <c r="B175" t="s">
        <v>69</v>
      </c>
      <c r="C175" t="str">
        <f t="shared" si="14"/>
        <v>12268050155</v>
      </c>
      <c r="D175" t="str">
        <f t="shared" si="15"/>
        <v>04785851009</v>
      </c>
      <c r="E175" t="s">
        <v>52</v>
      </c>
      <c r="F175">
        <v>2014</v>
      </c>
      <c r="G175">
        <v>10805383</v>
      </c>
      <c r="H175" s="1">
        <v>41717</v>
      </c>
      <c r="I175" s="1">
        <v>41736</v>
      </c>
      <c r="J175" s="1">
        <v>41736</v>
      </c>
      <c r="K175" s="1">
        <v>41826</v>
      </c>
      <c r="N175" s="5"/>
      <c r="O175" s="2">
        <v>38713.54</v>
      </c>
      <c r="P175">
        <v>248</v>
      </c>
      <c r="Q175" s="2">
        <v>9600957.9199999999</v>
      </c>
      <c r="R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 s="1">
        <v>42382</v>
      </c>
      <c r="AC175" t="s">
        <v>53</v>
      </c>
      <c r="AD175" t="s">
        <v>53</v>
      </c>
      <c r="AK175">
        <v>0</v>
      </c>
      <c r="AU175" s="6">
        <v>42074</v>
      </c>
      <c r="AV175" s="6">
        <v>42074</v>
      </c>
      <c r="AW175" t="s">
        <v>54</v>
      </c>
      <c r="AX175" t="str">
        <f t="shared" si="12"/>
        <v>FOR</v>
      </c>
      <c r="AY175" t="s">
        <v>55</v>
      </c>
    </row>
    <row r="176" spans="1:51" hidden="1">
      <c r="A176">
        <v>100066</v>
      </c>
      <c r="B176" t="s">
        <v>69</v>
      </c>
      <c r="C176" t="str">
        <f t="shared" si="14"/>
        <v>12268050155</v>
      </c>
      <c r="D176" t="str">
        <f t="shared" si="15"/>
        <v>04785851009</v>
      </c>
      <c r="E176" t="s">
        <v>52</v>
      </c>
      <c r="F176">
        <v>2014</v>
      </c>
      <c r="G176">
        <v>10805384</v>
      </c>
      <c r="H176" s="1">
        <v>41717</v>
      </c>
      <c r="I176" s="1">
        <v>41737</v>
      </c>
      <c r="J176" s="1">
        <v>41737</v>
      </c>
      <c r="K176" s="1">
        <v>41827</v>
      </c>
      <c r="N176" s="5"/>
      <c r="O176" s="2">
        <v>20923</v>
      </c>
      <c r="P176">
        <v>247</v>
      </c>
      <c r="Q176" s="2">
        <v>5167981</v>
      </c>
      <c r="R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 s="1">
        <v>42382</v>
      </c>
      <c r="AC176" t="s">
        <v>53</v>
      </c>
      <c r="AD176" t="s">
        <v>53</v>
      </c>
      <c r="AK176">
        <v>0</v>
      </c>
      <c r="AU176" s="6">
        <v>42074</v>
      </c>
      <c r="AV176" s="6">
        <v>42074</v>
      </c>
      <c r="AW176" t="s">
        <v>54</v>
      </c>
      <c r="AX176" t="str">
        <f t="shared" si="12"/>
        <v>FOR</v>
      </c>
      <c r="AY176" t="s">
        <v>55</v>
      </c>
    </row>
    <row r="177" spans="1:51" hidden="1">
      <c r="A177">
        <v>100066</v>
      </c>
      <c r="B177" t="s">
        <v>69</v>
      </c>
      <c r="C177" t="str">
        <f t="shared" ref="C177:C208" si="16">"12268050155"</f>
        <v>12268050155</v>
      </c>
      <c r="D177" t="str">
        <f t="shared" ref="D177:D208" si="17">"04785851009"</f>
        <v>04785851009</v>
      </c>
      <c r="E177" t="s">
        <v>52</v>
      </c>
      <c r="F177">
        <v>2014</v>
      </c>
      <c r="G177">
        <v>10805385</v>
      </c>
      <c r="H177" s="1">
        <v>41717</v>
      </c>
      <c r="I177" s="1">
        <v>41737</v>
      </c>
      <c r="J177" s="1">
        <v>41737</v>
      </c>
      <c r="K177" s="1">
        <v>41827</v>
      </c>
      <c r="N177" s="5"/>
      <c r="O177" s="2">
        <v>45262.49</v>
      </c>
      <c r="P177">
        <v>247</v>
      </c>
      <c r="Q177" s="2">
        <v>11179835.029999999</v>
      </c>
      <c r="R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 s="1">
        <v>42382</v>
      </c>
      <c r="AC177" t="s">
        <v>53</v>
      </c>
      <c r="AD177" t="s">
        <v>53</v>
      </c>
      <c r="AK177">
        <v>0</v>
      </c>
      <c r="AU177" s="6">
        <v>42074</v>
      </c>
      <c r="AV177" s="6">
        <v>42074</v>
      </c>
      <c r="AW177" t="s">
        <v>54</v>
      </c>
      <c r="AX177" t="str">
        <f t="shared" si="12"/>
        <v>FOR</v>
      </c>
      <c r="AY177" t="s">
        <v>55</v>
      </c>
    </row>
    <row r="178" spans="1:51" hidden="1">
      <c r="A178">
        <v>100066</v>
      </c>
      <c r="B178" t="s">
        <v>69</v>
      </c>
      <c r="C178" t="str">
        <f t="shared" si="16"/>
        <v>12268050155</v>
      </c>
      <c r="D178" t="str">
        <f t="shared" si="17"/>
        <v>04785851009</v>
      </c>
      <c r="E178" t="s">
        <v>52</v>
      </c>
      <c r="F178">
        <v>2014</v>
      </c>
      <c r="G178">
        <v>10805792</v>
      </c>
      <c r="H178" s="1">
        <v>41719</v>
      </c>
      <c r="I178" s="1">
        <v>41739</v>
      </c>
      <c r="J178" s="1">
        <v>41739</v>
      </c>
      <c r="K178" s="1">
        <v>41829</v>
      </c>
      <c r="N178" s="5"/>
      <c r="O178" s="2">
        <v>2745</v>
      </c>
      <c r="P178">
        <v>245</v>
      </c>
      <c r="Q178" s="2">
        <v>672525</v>
      </c>
      <c r="R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 s="1">
        <v>42382</v>
      </c>
      <c r="AC178" t="s">
        <v>53</v>
      </c>
      <c r="AD178" t="s">
        <v>53</v>
      </c>
      <c r="AK178">
        <v>0</v>
      </c>
      <c r="AU178" s="6">
        <v>42074</v>
      </c>
      <c r="AV178" s="6">
        <v>42074</v>
      </c>
      <c r="AW178" t="s">
        <v>54</v>
      </c>
      <c r="AX178" t="str">
        <f t="shared" si="12"/>
        <v>FOR</v>
      </c>
      <c r="AY178" t="s">
        <v>55</v>
      </c>
    </row>
    <row r="179" spans="1:51" hidden="1">
      <c r="A179">
        <v>100066</v>
      </c>
      <c r="B179" t="s">
        <v>69</v>
      </c>
      <c r="C179" t="str">
        <f t="shared" si="16"/>
        <v>12268050155</v>
      </c>
      <c r="D179" t="str">
        <f t="shared" si="17"/>
        <v>04785851009</v>
      </c>
      <c r="E179" t="s">
        <v>52</v>
      </c>
      <c r="F179">
        <v>2014</v>
      </c>
      <c r="G179">
        <v>10810064</v>
      </c>
      <c r="H179" s="1">
        <v>41736</v>
      </c>
      <c r="I179" s="1">
        <v>41768</v>
      </c>
      <c r="J179" s="1">
        <v>41768</v>
      </c>
      <c r="K179" s="1">
        <v>41858</v>
      </c>
      <c r="N179" s="5"/>
      <c r="O179" s="2">
        <v>2653.32</v>
      </c>
      <c r="P179">
        <v>244</v>
      </c>
      <c r="Q179" s="2">
        <v>647410.07999999996</v>
      </c>
      <c r="R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 s="1">
        <v>42382</v>
      </c>
      <c r="AC179" t="s">
        <v>53</v>
      </c>
      <c r="AD179" t="s">
        <v>53</v>
      </c>
      <c r="AK179">
        <v>0</v>
      </c>
      <c r="AU179" s="6">
        <v>42102</v>
      </c>
      <c r="AV179" s="6">
        <v>42102</v>
      </c>
      <c r="AW179" t="s">
        <v>54</v>
      </c>
      <c r="AX179" t="str">
        <f t="shared" si="12"/>
        <v>FOR</v>
      </c>
      <c r="AY179" t="s">
        <v>55</v>
      </c>
    </row>
    <row r="180" spans="1:51" hidden="1">
      <c r="A180">
        <v>100066</v>
      </c>
      <c r="B180" t="s">
        <v>69</v>
      </c>
      <c r="C180" t="str">
        <f t="shared" si="16"/>
        <v>12268050155</v>
      </c>
      <c r="D180" t="str">
        <f t="shared" si="17"/>
        <v>04785851009</v>
      </c>
      <c r="E180" t="s">
        <v>52</v>
      </c>
      <c r="F180">
        <v>2014</v>
      </c>
      <c r="G180">
        <v>10811201</v>
      </c>
      <c r="H180" s="1">
        <v>41740</v>
      </c>
      <c r="I180" s="1">
        <v>41768</v>
      </c>
      <c r="J180" s="1">
        <v>41768</v>
      </c>
      <c r="K180" s="1">
        <v>41858</v>
      </c>
      <c r="N180" s="5"/>
      <c r="O180" s="2">
        <v>9221.98</v>
      </c>
      <c r="P180">
        <v>244</v>
      </c>
      <c r="Q180" s="2">
        <v>2250163.12</v>
      </c>
      <c r="R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 s="1">
        <v>42382</v>
      </c>
      <c r="AC180" t="s">
        <v>53</v>
      </c>
      <c r="AD180" t="s">
        <v>53</v>
      </c>
      <c r="AK180">
        <v>0</v>
      </c>
      <c r="AU180" s="6">
        <v>42102</v>
      </c>
      <c r="AV180" s="6">
        <v>42102</v>
      </c>
      <c r="AW180" t="s">
        <v>54</v>
      </c>
      <c r="AX180" t="str">
        <f t="shared" si="12"/>
        <v>FOR</v>
      </c>
      <c r="AY180" t="s">
        <v>55</v>
      </c>
    </row>
    <row r="181" spans="1:51" hidden="1">
      <c r="A181">
        <v>100066</v>
      </c>
      <c r="B181" t="s">
        <v>69</v>
      </c>
      <c r="C181" t="str">
        <f t="shared" si="16"/>
        <v>12268050155</v>
      </c>
      <c r="D181" t="str">
        <f t="shared" si="17"/>
        <v>04785851009</v>
      </c>
      <c r="E181" t="s">
        <v>52</v>
      </c>
      <c r="F181">
        <v>2014</v>
      </c>
      <c r="G181">
        <v>10811399</v>
      </c>
      <c r="H181" s="1">
        <v>41743</v>
      </c>
      <c r="I181" s="1">
        <v>41768</v>
      </c>
      <c r="J181" s="1">
        <v>41768</v>
      </c>
      <c r="K181" s="1">
        <v>41858</v>
      </c>
      <c r="N181" s="5"/>
      <c r="O181" s="2">
        <v>1958.1</v>
      </c>
      <c r="P181">
        <v>244</v>
      </c>
      <c r="Q181" s="2">
        <v>477776.4</v>
      </c>
      <c r="R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 s="1">
        <v>42382</v>
      </c>
      <c r="AC181" t="s">
        <v>53</v>
      </c>
      <c r="AD181" t="s">
        <v>53</v>
      </c>
      <c r="AK181">
        <v>0</v>
      </c>
      <c r="AU181" s="6">
        <v>42102</v>
      </c>
      <c r="AV181" s="6">
        <v>42102</v>
      </c>
      <c r="AW181" t="s">
        <v>54</v>
      </c>
      <c r="AX181" t="str">
        <f t="shared" si="12"/>
        <v>FOR</v>
      </c>
      <c r="AY181" t="s">
        <v>55</v>
      </c>
    </row>
    <row r="182" spans="1:51" hidden="1">
      <c r="A182">
        <v>100066</v>
      </c>
      <c r="B182" t="s">
        <v>69</v>
      </c>
      <c r="C182" t="str">
        <f t="shared" si="16"/>
        <v>12268050155</v>
      </c>
      <c r="D182" t="str">
        <f t="shared" si="17"/>
        <v>04785851009</v>
      </c>
      <c r="E182" t="s">
        <v>52</v>
      </c>
      <c r="F182">
        <v>2014</v>
      </c>
      <c r="G182">
        <v>10811786</v>
      </c>
      <c r="H182" s="1">
        <v>41744</v>
      </c>
      <c r="I182" s="1">
        <v>41764</v>
      </c>
      <c r="J182" s="1">
        <v>41764</v>
      </c>
      <c r="K182" s="1">
        <v>41854</v>
      </c>
      <c r="N182" s="5"/>
      <c r="O182">
        <v>506.3</v>
      </c>
      <c r="P182">
        <v>248</v>
      </c>
      <c r="Q182" s="2">
        <v>125562.4</v>
      </c>
      <c r="R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 s="1">
        <v>42382</v>
      </c>
      <c r="AC182" t="s">
        <v>53</v>
      </c>
      <c r="AD182" t="s">
        <v>53</v>
      </c>
      <c r="AK182">
        <v>0</v>
      </c>
      <c r="AU182" s="6">
        <v>42102</v>
      </c>
      <c r="AV182" s="6">
        <v>42102</v>
      </c>
      <c r="AW182" t="s">
        <v>54</v>
      </c>
      <c r="AX182" t="str">
        <f t="shared" si="12"/>
        <v>FOR</v>
      </c>
      <c r="AY182" t="s">
        <v>55</v>
      </c>
    </row>
    <row r="183" spans="1:51" hidden="1">
      <c r="A183">
        <v>100066</v>
      </c>
      <c r="B183" t="s">
        <v>69</v>
      </c>
      <c r="C183" t="str">
        <f t="shared" si="16"/>
        <v>12268050155</v>
      </c>
      <c r="D183" t="str">
        <f t="shared" si="17"/>
        <v>04785851009</v>
      </c>
      <c r="E183" t="s">
        <v>52</v>
      </c>
      <c r="F183">
        <v>2014</v>
      </c>
      <c r="G183">
        <v>10812382</v>
      </c>
      <c r="H183" s="1">
        <v>41750</v>
      </c>
      <c r="I183" s="1">
        <v>41771</v>
      </c>
      <c r="J183" s="1">
        <v>41771</v>
      </c>
      <c r="K183" s="1">
        <v>41861</v>
      </c>
      <c r="N183" s="5"/>
      <c r="O183">
        <v>556.12</v>
      </c>
      <c r="P183">
        <v>241</v>
      </c>
      <c r="Q183" s="2">
        <v>134024.92000000001</v>
      </c>
      <c r="R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 s="1">
        <v>42382</v>
      </c>
      <c r="AC183" t="s">
        <v>53</v>
      </c>
      <c r="AD183" t="s">
        <v>53</v>
      </c>
      <c r="AK183">
        <v>0</v>
      </c>
      <c r="AU183" s="6">
        <v>42102</v>
      </c>
      <c r="AV183" s="6">
        <v>42102</v>
      </c>
      <c r="AW183" t="s">
        <v>54</v>
      </c>
      <c r="AX183" t="str">
        <f t="shared" si="12"/>
        <v>FOR</v>
      </c>
      <c r="AY183" t="s">
        <v>55</v>
      </c>
    </row>
    <row r="184" spans="1:51" hidden="1">
      <c r="A184">
        <v>100066</v>
      </c>
      <c r="B184" t="s">
        <v>69</v>
      </c>
      <c r="C184" t="str">
        <f t="shared" si="16"/>
        <v>12268050155</v>
      </c>
      <c r="D184" t="str">
        <f t="shared" si="17"/>
        <v>04785851009</v>
      </c>
      <c r="E184" t="s">
        <v>52</v>
      </c>
      <c r="F184">
        <v>2014</v>
      </c>
      <c r="G184">
        <v>10812601</v>
      </c>
      <c r="H184" s="1">
        <v>41751</v>
      </c>
      <c r="I184" s="1">
        <v>41771</v>
      </c>
      <c r="J184" s="1">
        <v>41771</v>
      </c>
      <c r="K184" s="1">
        <v>41861</v>
      </c>
      <c r="N184" s="5"/>
      <c r="O184" s="2">
        <v>2277.8000000000002</v>
      </c>
      <c r="P184">
        <v>241</v>
      </c>
      <c r="Q184" s="2">
        <v>548949.80000000005</v>
      </c>
      <c r="R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 s="1">
        <v>42382</v>
      </c>
      <c r="AC184" t="s">
        <v>53</v>
      </c>
      <c r="AD184" t="s">
        <v>53</v>
      </c>
      <c r="AK184">
        <v>0</v>
      </c>
      <c r="AU184" s="6">
        <v>42102</v>
      </c>
      <c r="AV184" s="6">
        <v>42102</v>
      </c>
      <c r="AW184" t="s">
        <v>54</v>
      </c>
      <c r="AX184" t="str">
        <f t="shared" si="12"/>
        <v>FOR</v>
      </c>
      <c r="AY184" t="s">
        <v>55</v>
      </c>
    </row>
    <row r="185" spans="1:51" hidden="1">
      <c r="A185">
        <v>100066</v>
      </c>
      <c r="B185" t="s">
        <v>69</v>
      </c>
      <c r="C185" t="str">
        <f t="shared" si="16"/>
        <v>12268050155</v>
      </c>
      <c r="D185" t="str">
        <f t="shared" si="17"/>
        <v>04785851009</v>
      </c>
      <c r="E185" t="s">
        <v>52</v>
      </c>
      <c r="F185">
        <v>2014</v>
      </c>
      <c r="G185">
        <v>10812602</v>
      </c>
      <c r="H185" s="1">
        <v>41751</v>
      </c>
      <c r="I185" s="1">
        <v>41771</v>
      </c>
      <c r="J185" s="1">
        <v>41771</v>
      </c>
      <c r="K185" s="1">
        <v>41861</v>
      </c>
      <c r="N185" s="5"/>
      <c r="O185" s="2">
        <v>2480.2600000000002</v>
      </c>
      <c r="P185">
        <v>241</v>
      </c>
      <c r="Q185" s="2">
        <v>597742.66</v>
      </c>
      <c r="R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 s="1">
        <v>42382</v>
      </c>
      <c r="AC185" t="s">
        <v>53</v>
      </c>
      <c r="AD185" t="s">
        <v>53</v>
      </c>
      <c r="AK185">
        <v>0</v>
      </c>
      <c r="AU185" s="6">
        <v>42102</v>
      </c>
      <c r="AV185" s="6">
        <v>42102</v>
      </c>
      <c r="AW185" t="s">
        <v>54</v>
      </c>
      <c r="AX185" t="str">
        <f t="shared" si="12"/>
        <v>FOR</v>
      </c>
      <c r="AY185" t="s">
        <v>55</v>
      </c>
    </row>
    <row r="186" spans="1:51" hidden="1">
      <c r="A186">
        <v>100066</v>
      </c>
      <c r="B186" t="s">
        <v>69</v>
      </c>
      <c r="C186" t="str">
        <f t="shared" si="16"/>
        <v>12268050155</v>
      </c>
      <c r="D186" t="str">
        <f t="shared" si="17"/>
        <v>04785851009</v>
      </c>
      <c r="E186" t="s">
        <v>52</v>
      </c>
      <c r="F186">
        <v>2014</v>
      </c>
      <c r="G186">
        <v>10813525</v>
      </c>
      <c r="H186" s="1">
        <v>41757</v>
      </c>
      <c r="I186" s="1">
        <v>41773</v>
      </c>
      <c r="J186" s="1">
        <v>41773</v>
      </c>
      <c r="K186" s="1">
        <v>41863</v>
      </c>
      <c r="N186" s="5"/>
      <c r="O186" s="2">
        <v>3343.78</v>
      </c>
      <c r="P186">
        <v>239</v>
      </c>
      <c r="Q186" s="2">
        <v>799163.42</v>
      </c>
      <c r="R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 s="1">
        <v>42382</v>
      </c>
      <c r="AC186" t="s">
        <v>53</v>
      </c>
      <c r="AD186" t="s">
        <v>53</v>
      </c>
      <c r="AK186">
        <v>0</v>
      </c>
      <c r="AU186" s="6">
        <v>42102</v>
      </c>
      <c r="AV186" s="6">
        <v>42102</v>
      </c>
      <c r="AW186" t="s">
        <v>54</v>
      </c>
      <c r="AX186" t="str">
        <f t="shared" si="12"/>
        <v>FOR</v>
      </c>
      <c r="AY186" t="s">
        <v>55</v>
      </c>
    </row>
    <row r="187" spans="1:51" hidden="1">
      <c r="A187">
        <v>100066</v>
      </c>
      <c r="B187" t="s">
        <v>69</v>
      </c>
      <c r="C187" t="str">
        <f t="shared" si="16"/>
        <v>12268050155</v>
      </c>
      <c r="D187" t="str">
        <f t="shared" si="17"/>
        <v>04785851009</v>
      </c>
      <c r="E187" t="s">
        <v>52</v>
      </c>
      <c r="F187">
        <v>2014</v>
      </c>
      <c r="G187">
        <v>10815865</v>
      </c>
      <c r="H187" s="1">
        <v>41771</v>
      </c>
      <c r="I187" s="1">
        <v>41788</v>
      </c>
      <c r="J187" s="1">
        <v>41788</v>
      </c>
      <c r="K187" s="1">
        <v>41878</v>
      </c>
      <c r="N187" s="5"/>
      <c r="O187" s="2">
        <v>2614.6999999999998</v>
      </c>
      <c r="P187">
        <v>254</v>
      </c>
      <c r="Q187" s="2">
        <v>664133.80000000005</v>
      </c>
      <c r="R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 s="1">
        <v>42382</v>
      </c>
      <c r="AC187" t="s">
        <v>53</v>
      </c>
      <c r="AD187" t="s">
        <v>53</v>
      </c>
      <c r="AK187">
        <v>0</v>
      </c>
      <c r="AU187" s="6">
        <v>42132</v>
      </c>
      <c r="AV187" s="6">
        <v>42132</v>
      </c>
      <c r="AW187" t="s">
        <v>54</v>
      </c>
      <c r="AX187" t="str">
        <f t="shared" si="12"/>
        <v>FOR</v>
      </c>
      <c r="AY187" t="s">
        <v>55</v>
      </c>
    </row>
    <row r="188" spans="1:51" hidden="1">
      <c r="A188">
        <v>100066</v>
      </c>
      <c r="B188" t="s">
        <v>69</v>
      </c>
      <c r="C188" t="str">
        <f t="shared" si="16"/>
        <v>12268050155</v>
      </c>
      <c r="D188" t="str">
        <f t="shared" si="17"/>
        <v>04785851009</v>
      </c>
      <c r="E188" t="s">
        <v>52</v>
      </c>
      <c r="F188">
        <v>2014</v>
      </c>
      <c r="G188">
        <v>10815866</v>
      </c>
      <c r="H188" s="1">
        <v>41771</v>
      </c>
      <c r="I188" s="1">
        <v>41788</v>
      </c>
      <c r="J188" s="1">
        <v>41788</v>
      </c>
      <c r="K188" s="1">
        <v>41878</v>
      </c>
      <c r="N188" s="5"/>
      <c r="O188" s="2">
        <v>4500.34</v>
      </c>
      <c r="P188">
        <v>254</v>
      </c>
      <c r="Q188" s="2">
        <v>1143086.3600000001</v>
      </c>
      <c r="R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 s="1">
        <v>42382</v>
      </c>
      <c r="AC188" t="s">
        <v>53</v>
      </c>
      <c r="AD188" t="s">
        <v>53</v>
      </c>
      <c r="AK188">
        <v>0</v>
      </c>
      <c r="AU188" s="6">
        <v>42132</v>
      </c>
      <c r="AV188" s="6">
        <v>42132</v>
      </c>
      <c r="AW188" t="s">
        <v>54</v>
      </c>
      <c r="AX188" t="str">
        <f t="shared" si="12"/>
        <v>FOR</v>
      </c>
      <c r="AY188" t="s">
        <v>55</v>
      </c>
    </row>
    <row r="189" spans="1:51" hidden="1">
      <c r="A189">
        <v>100066</v>
      </c>
      <c r="B189" t="s">
        <v>69</v>
      </c>
      <c r="C189" t="str">
        <f t="shared" si="16"/>
        <v>12268050155</v>
      </c>
      <c r="D189" t="str">
        <f t="shared" si="17"/>
        <v>04785851009</v>
      </c>
      <c r="E189" t="s">
        <v>52</v>
      </c>
      <c r="F189">
        <v>2014</v>
      </c>
      <c r="G189">
        <v>10816602</v>
      </c>
      <c r="H189" s="1">
        <v>41774</v>
      </c>
      <c r="I189" s="1">
        <v>41795</v>
      </c>
      <c r="J189" s="1">
        <v>41795</v>
      </c>
      <c r="K189" s="1">
        <v>41885</v>
      </c>
      <c r="N189" s="5"/>
      <c r="O189" s="2">
        <v>6279.14</v>
      </c>
      <c r="P189">
        <v>247</v>
      </c>
      <c r="Q189" s="2">
        <v>1550947.58</v>
      </c>
      <c r="R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 s="1">
        <v>42382</v>
      </c>
      <c r="AC189" t="s">
        <v>53</v>
      </c>
      <c r="AD189" t="s">
        <v>53</v>
      </c>
      <c r="AK189">
        <v>0</v>
      </c>
      <c r="AU189" s="6">
        <v>42132</v>
      </c>
      <c r="AV189" s="6">
        <v>42132</v>
      </c>
      <c r="AW189" t="s">
        <v>54</v>
      </c>
      <c r="AX189" t="str">
        <f t="shared" si="12"/>
        <v>FOR</v>
      </c>
      <c r="AY189" t="s">
        <v>55</v>
      </c>
    </row>
    <row r="190" spans="1:51" hidden="1">
      <c r="A190">
        <v>100066</v>
      </c>
      <c r="B190" t="s">
        <v>69</v>
      </c>
      <c r="C190" t="str">
        <f t="shared" si="16"/>
        <v>12268050155</v>
      </c>
      <c r="D190" t="str">
        <f t="shared" si="17"/>
        <v>04785851009</v>
      </c>
      <c r="E190" t="s">
        <v>52</v>
      </c>
      <c r="F190">
        <v>2014</v>
      </c>
      <c r="G190">
        <v>10816850</v>
      </c>
      <c r="H190" s="1">
        <v>41775</v>
      </c>
      <c r="I190" s="1">
        <v>41793</v>
      </c>
      <c r="J190" s="1">
        <v>41793</v>
      </c>
      <c r="K190" s="1">
        <v>41883</v>
      </c>
      <c r="N190" s="5"/>
      <c r="O190" s="2">
        <v>4500.34</v>
      </c>
      <c r="P190">
        <v>249</v>
      </c>
      <c r="Q190" s="2">
        <v>1120584.6599999999</v>
      </c>
      <c r="R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 s="1">
        <v>42382</v>
      </c>
      <c r="AC190" t="s">
        <v>53</v>
      </c>
      <c r="AD190" t="s">
        <v>53</v>
      </c>
      <c r="AK190">
        <v>0</v>
      </c>
      <c r="AU190" s="6">
        <v>42132</v>
      </c>
      <c r="AV190" s="6">
        <v>42132</v>
      </c>
      <c r="AW190" t="s">
        <v>54</v>
      </c>
      <c r="AX190" t="str">
        <f t="shared" si="12"/>
        <v>FOR</v>
      </c>
      <c r="AY190" t="s">
        <v>55</v>
      </c>
    </row>
    <row r="191" spans="1:51" hidden="1">
      <c r="A191">
        <v>100066</v>
      </c>
      <c r="B191" t="s">
        <v>69</v>
      </c>
      <c r="C191" t="str">
        <f t="shared" si="16"/>
        <v>12268050155</v>
      </c>
      <c r="D191" t="str">
        <f t="shared" si="17"/>
        <v>04785851009</v>
      </c>
      <c r="E191" t="s">
        <v>52</v>
      </c>
      <c r="F191">
        <v>2014</v>
      </c>
      <c r="G191">
        <v>10817311</v>
      </c>
      <c r="H191" s="1">
        <v>41779</v>
      </c>
      <c r="I191" s="1">
        <v>41802</v>
      </c>
      <c r="J191" s="1">
        <v>41802</v>
      </c>
      <c r="K191" s="1">
        <v>41892</v>
      </c>
      <c r="N191" s="5"/>
      <c r="O191" s="2">
        <v>15405.37</v>
      </c>
      <c r="P191">
        <v>240</v>
      </c>
      <c r="Q191" s="2">
        <v>3697288.8</v>
      </c>
      <c r="R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 s="1">
        <v>42382</v>
      </c>
      <c r="AC191" t="s">
        <v>53</v>
      </c>
      <c r="AD191" t="s">
        <v>53</v>
      </c>
      <c r="AK191">
        <v>0</v>
      </c>
      <c r="AU191" s="6">
        <v>42132</v>
      </c>
      <c r="AV191" s="6">
        <v>42132</v>
      </c>
      <c r="AW191" t="s">
        <v>54</v>
      </c>
      <c r="AX191" t="str">
        <f t="shared" si="12"/>
        <v>FOR</v>
      </c>
      <c r="AY191" t="s">
        <v>55</v>
      </c>
    </row>
    <row r="192" spans="1:51" hidden="1">
      <c r="A192">
        <v>100066</v>
      </c>
      <c r="B192" t="s">
        <v>69</v>
      </c>
      <c r="C192" t="str">
        <f t="shared" si="16"/>
        <v>12268050155</v>
      </c>
      <c r="D192" t="str">
        <f t="shared" si="17"/>
        <v>04785851009</v>
      </c>
      <c r="E192" t="s">
        <v>52</v>
      </c>
      <c r="F192">
        <v>2014</v>
      </c>
      <c r="G192">
        <v>10817530</v>
      </c>
      <c r="H192" s="1">
        <v>41780</v>
      </c>
      <c r="I192" s="1">
        <v>41796</v>
      </c>
      <c r="J192" s="1">
        <v>41796</v>
      </c>
      <c r="K192" s="1">
        <v>41886</v>
      </c>
      <c r="N192" s="5"/>
      <c r="O192" s="2">
        <v>4500.34</v>
      </c>
      <c r="P192">
        <v>246</v>
      </c>
      <c r="Q192" s="2">
        <v>1107083.6399999999</v>
      </c>
      <c r="R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 s="1">
        <v>42382</v>
      </c>
      <c r="AC192" t="s">
        <v>53</v>
      </c>
      <c r="AD192" t="s">
        <v>53</v>
      </c>
      <c r="AK192">
        <v>0</v>
      </c>
      <c r="AU192" s="6">
        <v>42132</v>
      </c>
      <c r="AV192" s="6">
        <v>42132</v>
      </c>
      <c r="AW192" t="s">
        <v>54</v>
      </c>
      <c r="AX192" t="str">
        <f t="shared" si="12"/>
        <v>FOR</v>
      </c>
      <c r="AY192" t="s">
        <v>55</v>
      </c>
    </row>
    <row r="193" spans="1:51" hidden="1">
      <c r="A193">
        <v>100066</v>
      </c>
      <c r="B193" t="s">
        <v>69</v>
      </c>
      <c r="C193" t="str">
        <f t="shared" si="16"/>
        <v>12268050155</v>
      </c>
      <c r="D193" t="str">
        <f t="shared" si="17"/>
        <v>04785851009</v>
      </c>
      <c r="E193" t="s">
        <v>52</v>
      </c>
      <c r="F193">
        <v>2014</v>
      </c>
      <c r="G193">
        <v>10818338</v>
      </c>
      <c r="H193" s="1">
        <v>41785</v>
      </c>
      <c r="I193" s="1">
        <v>41796</v>
      </c>
      <c r="J193" s="1">
        <v>41796</v>
      </c>
      <c r="K193" s="1">
        <v>41886</v>
      </c>
      <c r="N193" s="5"/>
      <c r="O193" s="2">
        <v>3922.06</v>
      </c>
      <c r="P193">
        <v>246</v>
      </c>
      <c r="Q193" s="2">
        <v>964826.76</v>
      </c>
      <c r="R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 s="1">
        <v>42382</v>
      </c>
      <c r="AC193" t="s">
        <v>53</v>
      </c>
      <c r="AD193" t="s">
        <v>53</v>
      </c>
      <c r="AK193">
        <v>0</v>
      </c>
      <c r="AU193" s="6">
        <v>42132</v>
      </c>
      <c r="AV193" s="6">
        <v>42132</v>
      </c>
      <c r="AW193" t="s">
        <v>54</v>
      </c>
      <c r="AX193" t="str">
        <f t="shared" si="12"/>
        <v>FOR</v>
      </c>
      <c r="AY193" t="s">
        <v>55</v>
      </c>
    </row>
    <row r="194" spans="1:51" hidden="1">
      <c r="A194">
        <v>100066</v>
      </c>
      <c r="B194" t="s">
        <v>69</v>
      </c>
      <c r="C194" t="str">
        <f t="shared" si="16"/>
        <v>12268050155</v>
      </c>
      <c r="D194" t="str">
        <f t="shared" si="17"/>
        <v>04785851009</v>
      </c>
      <c r="E194" t="s">
        <v>52</v>
      </c>
      <c r="F194">
        <v>2014</v>
      </c>
      <c r="G194">
        <v>10818926</v>
      </c>
      <c r="H194" s="1">
        <v>41787</v>
      </c>
      <c r="I194" s="1">
        <v>41809</v>
      </c>
      <c r="J194" s="1">
        <v>41809</v>
      </c>
      <c r="K194" s="1">
        <v>41899</v>
      </c>
      <c r="N194" s="5"/>
      <c r="O194">
        <v>298.89999999999998</v>
      </c>
      <c r="P194">
        <v>233</v>
      </c>
      <c r="Q194" s="2">
        <v>69643.7</v>
      </c>
      <c r="R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 s="1">
        <v>42382</v>
      </c>
      <c r="AC194" t="s">
        <v>53</v>
      </c>
      <c r="AD194" t="s">
        <v>53</v>
      </c>
      <c r="AK194">
        <v>0</v>
      </c>
      <c r="AU194" s="6">
        <v>42132</v>
      </c>
      <c r="AV194" s="6">
        <v>42132</v>
      </c>
      <c r="AW194" t="s">
        <v>54</v>
      </c>
      <c r="AX194" t="str">
        <f t="shared" si="12"/>
        <v>FOR</v>
      </c>
      <c r="AY194" t="s">
        <v>55</v>
      </c>
    </row>
    <row r="195" spans="1:51" hidden="1">
      <c r="A195">
        <v>100066</v>
      </c>
      <c r="B195" t="s">
        <v>69</v>
      </c>
      <c r="C195" t="str">
        <f t="shared" si="16"/>
        <v>12268050155</v>
      </c>
      <c r="D195" t="str">
        <f t="shared" si="17"/>
        <v>04785851009</v>
      </c>
      <c r="E195" t="s">
        <v>52</v>
      </c>
      <c r="F195">
        <v>2014</v>
      </c>
      <c r="G195">
        <v>10819103</v>
      </c>
      <c r="H195" s="1">
        <v>41787</v>
      </c>
      <c r="I195" s="1">
        <v>41809</v>
      </c>
      <c r="J195" s="1">
        <v>41809</v>
      </c>
      <c r="K195" s="1">
        <v>41899</v>
      </c>
      <c r="N195" s="5"/>
      <c r="O195" s="2">
        <v>2184.92</v>
      </c>
      <c r="P195">
        <v>203</v>
      </c>
      <c r="Q195" s="2">
        <v>443538.76</v>
      </c>
      <c r="R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 s="1">
        <v>42382</v>
      </c>
      <c r="AC195" t="s">
        <v>53</v>
      </c>
      <c r="AD195" t="s">
        <v>53</v>
      </c>
      <c r="AK195">
        <v>0</v>
      </c>
      <c r="AU195" s="6">
        <v>42102</v>
      </c>
      <c r="AV195" s="6">
        <v>42102</v>
      </c>
      <c r="AW195" t="s">
        <v>54</v>
      </c>
      <c r="AX195" t="str">
        <f t="shared" ref="AX195:AX258" si="18">"FOR"</f>
        <v>FOR</v>
      </c>
      <c r="AY195" t="s">
        <v>55</v>
      </c>
    </row>
    <row r="196" spans="1:51" hidden="1">
      <c r="A196">
        <v>100066</v>
      </c>
      <c r="B196" t="s">
        <v>69</v>
      </c>
      <c r="C196" t="str">
        <f t="shared" si="16"/>
        <v>12268050155</v>
      </c>
      <c r="D196" t="str">
        <f t="shared" si="17"/>
        <v>04785851009</v>
      </c>
      <c r="E196" t="s">
        <v>52</v>
      </c>
      <c r="F196">
        <v>2014</v>
      </c>
      <c r="G196">
        <v>10820577</v>
      </c>
      <c r="H196" s="1">
        <v>41796</v>
      </c>
      <c r="I196" s="1">
        <v>41816</v>
      </c>
      <c r="J196" s="1">
        <v>41816</v>
      </c>
      <c r="K196" s="1">
        <v>41906</v>
      </c>
      <c r="N196" s="5"/>
      <c r="O196" s="2">
        <v>15241.62</v>
      </c>
      <c r="P196">
        <v>257</v>
      </c>
      <c r="Q196" s="2">
        <v>3917096.34</v>
      </c>
      <c r="R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 s="1">
        <v>42382</v>
      </c>
      <c r="AC196" t="s">
        <v>53</v>
      </c>
      <c r="AD196" t="s">
        <v>53</v>
      </c>
      <c r="AK196">
        <v>0</v>
      </c>
      <c r="AU196" s="6">
        <v>42163</v>
      </c>
      <c r="AV196" s="6">
        <v>42163</v>
      </c>
      <c r="AW196" t="s">
        <v>54</v>
      </c>
      <c r="AX196" t="str">
        <f t="shared" si="18"/>
        <v>FOR</v>
      </c>
      <c r="AY196" t="s">
        <v>55</v>
      </c>
    </row>
    <row r="197" spans="1:51" hidden="1">
      <c r="A197">
        <v>100066</v>
      </c>
      <c r="B197" t="s">
        <v>69</v>
      </c>
      <c r="C197" t="str">
        <f t="shared" si="16"/>
        <v>12268050155</v>
      </c>
      <c r="D197" t="str">
        <f t="shared" si="17"/>
        <v>04785851009</v>
      </c>
      <c r="E197" t="s">
        <v>52</v>
      </c>
      <c r="F197">
        <v>2014</v>
      </c>
      <c r="G197">
        <v>10821047</v>
      </c>
      <c r="H197" s="1">
        <v>41800</v>
      </c>
      <c r="I197" s="1">
        <v>41816</v>
      </c>
      <c r="J197" s="1">
        <v>41816</v>
      </c>
      <c r="K197" s="1">
        <v>41906</v>
      </c>
      <c r="N197" s="5"/>
      <c r="O197" s="2">
        <v>3269.6</v>
      </c>
      <c r="P197">
        <v>257</v>
      </c>
      <c r="Q197" s="2">
        <v>840287.2</v>
      </c>
      <c r="R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 s="1">
        <v>42382</v>
      </c>
      <c r="AC197" t="s">
        <v>53</v>
      </c>
      <c r="AD197" t="s">
        <v>53</v>
      </c>
      <c r="AK197">
        <v>0</v>
      </c>
      <c r="AU197" s="6">
        <v>42163</v>
      </c>
      <c r="AV197" s="6">
        <v>42163</v>
      </c>
      <c r="AW197" t="s">
        <v>54</v>
      </c>
      <c r="AX197" t="str">
        <f t="shared" si="18"/>
        <v>FOR</v>
      </c>
      <c r="AY197" t="s">
        <v>55</v>
      </c>
    </row>
    <row r="198" spans="1:51" hidden="1">
      <c r="A198">
        <v>100066</v>
      </c>
      <c r="B198" t="s">
        <v>69</v>
      </c>
      <c r="C198" t="str">
        <f t="shared" si="16"/>
        <v>12268050155</v>
      </c>
      <c r="D198" t="str">
        <f t="shared" si="17"/>
        <v>04785851009</v>
      </c>
      <c r="E198" t="s">
        <v>52</v>
      </c>
      <c r="F198">
        <v>2014</v>
      </c>
      <c r="G198">
        <v>10822578</v>
      </c>
      <c r="H198" s="1">
        <v>41808</v>
      </c>
      <c r="I198" s="1">
        <v>41821</v>
      </c>
      <c r="J198" s="1">
        <v>41821</v>
      </c>
      <c r="K198" s="1">
        <v>41911</v>
      </c>
      <c r="N198" s="5"/>
      <c r="O198" s="2">
        <v>1823.9</v>
      </c>
      <c r="P198">
        <v>252</v>
      </c>
      <c r="Q198" s="2">
        <v>459622.8</v>
      </c>
      <c r="R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 s="1">
        <v>42382</v>
      </c>
      <c r="AC198" t="s">
        <v>53</v>
      </c>
      <c r="AD198" t="s">
        <v>53</v>
      </c>
      <c r="AK198">
        <v>0</v>
      </c>
      <c r="AU198" s="6">
        <v>42163</v>
      </c>
      <c r="AV198" s="6">
        <v>42163</v>
      </c>
      <c r="AW198" t="s">
        <v>54</v>
      </c>
      <c r="AX198" t="str">
        <f t="shared" si="18"/>
        <v>FOR</v>
      </c>
      <c r="AY198" t="s">
        <v>55</v>
      </c>
    </row>
    <row r="199" spans="1:51" hidden="1">
      <c r="A199">
        <v>100066</v>
      </c>
      <c r="B199" t="s">
        <v>69</v>
      </c>
      <c r="C199" t="str">
        <f t="shared" si="16"/>
        <v>12268050155</v>
      </c>
      <c r="D199" t="str">
        <f t="shared" si="17"/>
        <v>04785851009</v>
      </c>
      <c r="E199" t="s">
        <v>52</v>
      </c>
      <c r="F199">
        <v>2014</v>
      </c>
      <c r="G199">
        <v>10822579</v>
      </c>
      <c r="H199" s="1">
        <v>41808</v>
      </c>
      <c r="I199" s="1">
        <v>41829</v>
      </c>
      <c r="J199" s="1">
        <v>41829</v>
      </c>
      <c r="K199" s="1">
        <v>41919</v>
      </c>
      <c r="N199" s="5"/>
      <c r="O199" s="2">
        <v>3490.32</v>
      </c>
      <c r="P199">
        <v>244</v>
      </c>
      <c r="Q199" s="2">
        <v>851638.08</v>
      </c>
      <c r="R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 s="1">
        <v>42382</v>
      </c>
      <c r="AC199" t="s">
        <v>53</v>
      </c>
      <c r="AD199" t="s">
        <v>53</v>
      </c>
      <c r="AK199">
        <v>0</v>
      </c>
      <c r="AU199" s="6">
        <v>42163</v>
      </c>
      <c r="AV199" s="6">
        <v>42163</v>
      </c>
      <c r="AW199" t="s">
        <v>54</v>
      </c>
      <c r="AX199" t="str">
        <f t="shared" si="18"/>
        <v>FOR</v>
      </c>
      <c r="AY199" t="s">
        <v>55</v>
      </c>
    </row>
    <row r="200" spans="1:51" hidden="1">
      <c r="A200">
        <v>100066</v>
      </c>
      <c r="B200" t="s">
        <v>69</v>
      </c>
      <c r="C200" t="str">
        <f t="shared" si="16"/>
        <v>12268050155</v>
      </c>
      <c r="D200" t="str">
        <f t="shared" si="17"/>
        <v>04785851009</v>
      </c>
      <c r="E200" t="s">
        <v>52</v>
      </c>
      <c r="F200">
        <v>2014</v>
      </c>
      <c r="G200">
        <v>10822580</v>
      </c>
      <c r="H200" s="1">
        <v>41808</v>
      </c>
      <c r="I200" s="1">
        <v>41821</v>
      </c>
      <c r="J200" s="1">
        <v>41821</v>
      </c>
      <c r="K200" s="1">
        <v>41911</v>
      </c>
      <c r="N200" s="5"/>
      <c r="O200" s="2">
        <v>2733.36</v>
      </c>
      <c r="P200">
        <v>252</v>
      </c>
      <c r="Q200" s="2">
        <v>688806.72</v>
      </c>
      <c r="R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 s="1">
        <v>42382</v>
      </c>
      <c r="AC200" t="s">
        <v>53</v>
      </c>
      <c r="AD200" t="s">
        <v>53</v>
      </c>
      <c r="AK200">
        <v>0</v>
      </c>
      <c r="AU200" s="6">
        <v>42163</v>
      </c>
      <c r="AV200" s="6">
        <v>42163</v>
      </c>
      <c r="AW200" t="s">
        <v>54</v>
      </c>
      <c r="AX200" t="str">
        <f t="shared" si="18"/>
        <v>FOR</v>
      </c>
      <c r="AY200" t="s">
        <v>55</v>
      </c>
    </row>
    <row r="201" spans="1:51" hidden="1">
      <c r="A201">
        <v>100066</v>
      </c>
      <c r="B201" t="s">
        <v>69</v>
      </c>
      <c r="C201" t="str">
        <f t="shared" si="16"/>
        <v>12268050155</v>
      </c>
      <c r="D201" t="str">
        <f t="shared" si="17"/>
        <v>04785851009</v>
      </c>
      <c r="E201" t="s">
        <v>52</v>
      </c>
      <c r="F201">
        <v>2014</v>
      </c>
      <c r="G201">
        <v>10824857</v>
      </c>
      <c r="H201" s="1">
        <v>41814</v>
      </c>
      <c r="I201" s="1">
        <v>41830</v>
      </c>
      <c r="J201" s="1">
        <v>41830</v>
      </c>
      <c r="K201" s="1">
        <v>41920</v>
      </c>
      <c r="N201" s="5"/>
      <c r="O201" s="2">
        <v>2229.1799999999998</v>
      </c>
      <c r="P201">
        <v>243</v>
      </c>
      <c r="Q201" s="2">
        <v>541690.74</v>
      </c>
      <c r="R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 s="1">
        <v>42382</v>
      </c>
      <c r="AC201" t="s">
        <v>53</v>
      </c>
      <c r="AD201" t="s">
        <v>53</v>
      </c>
      <c r="AK201">
        <v>0</v>
      </c>
      <c r="AU201" s="6">
        <v>42163</v>
      </c>
      <c r="AV201" s="6">
        <v>42163</v>
      </c>
      <c r="AW201" t="s">
        <v>54</v>
      </c>
      <c r="AX201" t="str">
        <f t="shared" si="18"/>
        <v>FOR</v>
      </c>
      <c r="AY201" t="s">
        <v>55</v>
      </c>
    </row>
    <row r="202" spans="1:51" hidden="1">
      <c r="A202">
        <v>100066</v>
      </c>
      <c r="B202" t="s">
        <v>69</v>
      </c>
      <c r="C202" t="str">
        <f t="shared" si="16"/>
        <v>12268050155</v>
      </c>
      <c r="D202" t="str">
        <f t="shared" si="17"/>
        <v>04785851009</v>
      </c>
      <c r="E202" t="s">
        <v>52</v>
      </c>
      <c r="F202">
        <v>2014</v>
      </c>
      <c r="G202">
        <v>10825298</v>
      </c>
      <c r="H202" s="1">
        <v>41816</v>
      </c>
      <c r="I202" s="1">
        <v>41830</v>
      </c>
      <c r="J202" s="1">
        <v>41830</v>
      </c>
      <c r="K202" s="1">
        <v>41920</v>
      </c>
      <c r="N202" s="5"/>
      <c r="O202" s="2">
        <v>1156.56</v>
      </c>
      <c r="P202">
        <v>243</v>
      </c>
      <c r="Q202" s="2">
        <v>281044.08</v>
      </c>
      <c r="R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 s="1">
        <v>42382</v>
      </c>
      <c r="AC202" t="s">
        <v>53</v>
      </c>
      <c r="AD202" t="s">
        <v>53</v>
      </c>
      <c r="AK202">
        <v>0</v>
      </c>
      <c r="AU202" s="6">
        <v>42163</v>
      </c>
      <c r="AV202" s="6">
        <v>42163</v>
      </c>
      <c r="AW202" t="s">
        <v>54</v>
      </c>
      <c r="AX202" t="str">
        <f t="shared" si="18"/>
        <v>FOR</v>
      </c>
      <c r="AY202" t="s">
        <v>55</v>
      </c>
    </row>
    <row r="203" spans="1:51" hidden="1">
      <c r="A203">
        <v>100066</v>
      </c>
      <c r="B203" t="s">
        <v>69</v>
      </c>
      <c r="C203" t="str">
        <f t="shared" si="16"/>
        <v>12268050155</v>
      </c>
      <c r="D203" t="str">
        <f t="shared" si="17"/>
        <v>04785851009</v>
      </c>
      <c r="E203" t="s">
        <v>52</v>
      </c>
      <c r="F203">
        <v>2014</v>
      </c>
      <c r="G203">
        <v>10825900</v>
      </c>
      <c r="H203" s="1">
        <v>41820</v>
      </c>
      <c r="I203" s="1">
        <v>41834</v>
      </c>
      <c r="J203" s="1">
        <v>41834</v>
      </c>
      <c r="K203" s="1">
        <v>41924</v>
      </c>
      <c r="N203" s="5"/>
      <c r="O203" s="2">
        <v>3343.78</v>
      </c>
      <c r="P203">
        <v>239</v>
      </c>
      <c r="Q203" s="2">
        <v>799163.42</v>
      </c>
      <c r="R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 s="1">
        <v>42382</v>
      </c>
      <c r="AC203" t="s">
        <v>53</v>
      </c>
      <c r="AD203" t="s">
        <v>53</v>
      </c>
      <c r="AK203">
        <v>0</v>
      </c>
      <c r="AU203" s="6">
        <v>42163</v>
      </c>
      <c r="AV203" s="6">
        <v>42163</v>
      </c>
      <c r="AW203" t="s">
        <v>54</v>
      </c>
      <c r="AX203" t="str">
        <f t="shared" si="18"/>
        <v>FOR</v>
      </c>
      <c r="AY203" t="s">
        <v>55</v>
      </c>
    </row>
    <row r="204" spans="1:51" hidden="1">
      <c r="A204">
        <v>100066</v>
      </c>
      <c r="B204" t="s">
        <v>69</v>
      </c>
      <c r="C204" t="str">
        <f t="shared" si="16"/>
        <v>12268050155</v>
      </c>
      <c r="D204" t="str">
        <f t="shared" si="17"/>
        <v>04785851009</v>
      </c>
      <c r="E204" t="s">
        <v>52</v>
      </c>
      <c r="F204">
        <v>2014</v>
      </c>
      <c r="G204">
        <v>10825901</v>
      </c>
      <c r="H204" s="1">
        <v>41820</v>
      </c>
      <c r="I204" s="1">
        <v>41834</v>
      </c>
      <c r="J204" s="1">
        <v>41834</v>
      </c>
      <c r="K204" s="1">
        <v>41924</v>
      </c>
      <c r="N204" s="5"/>
      <c r="O204" s="2">
        <v>2229.1799999999998</v>
      </c>
      <c r="P204">
        <v>239</v>
      </c>
      <c r="Q204" s="2">
        <v>532774.02</v>
      </c>
      <c r="R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 s="1">
        <v>42382</v>
      </c>
      <c r="AC204" t="s">
        <v>53</v>
      </c>
      <c r="AD204" t="s">
        <v>53</v>
      </c>
      <c r="AK204">
        <v>0</v>
      </c>
      <c r="AU204" s="6">
        <v>42163</v>
      </c>
      <c r="AV204" s="6">
        <v>42163</v>
      </c>
      <c r="AW204" t="s">
        <v>54</v>
      </c>
      <c r="AX204" t="str">
        <f t="shared" si="18"/>
        <v>FOR</v>
      </c>
      <c r="AY204" t="s">
        <v>55</v>
      </c>
    </row>
    <row r="205" spans="1:51" hidden="1">
      <c r="A205">
        <v>100066</v>
      </c>
      <c r="B205" t="s">
        <v>69</v>
      </c>
      <c r="C205" t="str">
        <f t="shared" si="16"/>
        <v>12268050155</v>
      </c>
      <c r="D205" t="str">
        <f t="shared" si="17"/>
        <v>04785851009</v>
      </c>
      <c r="E205" t="s">
        <v>52</v>
      </c>
      <c r="F205">
        <v>2014</v>
      </c>
      <c r="G205">
        <v>10826112</v>
      </c>
      <c r="H205" s="1">
        <v>41820</v>
      </c>
      <c r="I205" s="1">
        <v>41834</v>
      </c>
      <c r="J205" s="1">
        <v>41834</v>
      </c>
      <c r="K205" s="1">
        <v>41924</v>
      </c>
      <c r="N205" s="5"/>
      <c r="O205" s="2">
        <v>24399.98</v>
      </c>
      <c r="P205">
        <v>208</v>
      </c>
      <c r="Q205" s="2">
        <v>5075195.84</v>
      </c>
      <c r="R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 s="1">
        <v>42382</v>
      </c>
      <c r="AC205" t="s">
        <v>53</v>
      </c>
      <c r="AD205" t="s">
        <v>53</v>
      </c>
      <c r="AK205">
        <v>0</v>
      </c>
      <c r="AU205" s="6">
        <v>42132</v>
      </c>
      <c r="AV205" s="6">
        <v>42132</v>
      </c>
      <c r="AW205" t="s">
        <v>54</v>
      </c>
      <c r="AX205" t="str">
        <f t="shared" si="18"/>
        <v>FOR</v>
      </c>
      <c r="AY205" t="s">
        <v>55</v>
      </c>
    </row>
    <row r="206" spans="1:51" hidden="1">
      <c r="A206">
        <v>100066</v>
      </c>
      <c r="B206" t="s">
        <v>69</v>
      </c>
      <c r="C206" t="str">
        <f t="shared" si="16"/>
        <v>12268050155</v>
      </c>
      <c r="D206" t="str">
        <f t="shared" si="17"/>
        <v>04785851009</v>
      </c>
      <c r="E206" t="s">
        <v>52</v>
      </c>
      <c r="F206">
        <v>2014</v>
      </c>
      <c r="G206">
        <v>10826113</v>
      </c>
      <c r="H206" s="1">
        <v>41820</v>
      </c>
      <c r="I206" s="1">
        <v>41834</v>
      </c>
      <c r="J206" s="1">
        <v>41834</v>
      </c>
      <c r="K206" s="1">
        <v>41924</v>
      </c>
      <c r="N206" s="5"/>
      <c r="O206" s="2">
        <v>73200</v>
      </c>
      <c r="P206">
        <v>208</v>
      </c>
      <c r="Q206" s="2">
        <v>15225600</v>
      </c>
      <c r="R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 s="1">
        <v>42382</v>
      </c>
      <c r="AC206" t="s">
        <v>53</v>
      </c>
      <c r="AD206" t="s">
        <v>53</v>
      </c>
      <c r="AK206">
        <v>0</v>
      </c>
      <c r="AU206" s="6">
        <v>42132</v>
      </c>
      <c r="AV206" s="6">
        <v>42132</v>
      </c>
      <c r="AW206" t="s">
        <v>54</v>
      </c>
      <c r="AX206" t="str">
        <f t="shared" si="18"/>
        <v>FOR</v>
      </c>
      <c r="AY206" t="s">
        <v>55</v>
      </c>
    </row>
    <row r="207" spans="1:51" hidden="1">
      <c r="A207">
        <v>100066</v>
      </c>
      <c r="B207" t="s">
        <v>69</v>
      </c>
      <c r="C207" t="str">
        <f t="shared" si="16"/>
        <v>12268050155</v>
      </c>
      <c r="D207" t="str">
        <f t="shared" si="17"/>
        <v>04785851009</v>
      </c>
      <c r="E207" t="s">
        <v>52</v>
      </c>
      <c r="F207">
        <v>2014</v>
      </c>
      <c r="G207">
        <v>10826681</v>
      </c>
      <c r="H207" s="1">
        <v>41822</v>
      </c>
      <c r="I207" s="1">
        <v>41836</v>
      </c>
      <c r="J207" s="1">
        <v>41836</v>
      </c>
      <c r="K207" s="1">
        <v>41926</v>
      </c>
      <c r="N207" s="5"/>
      <c r="O207" s="2">
        <v>35209.589999999997</v>
      </c>
      <c r="P207">
        <v>258</v>
      </c>
      <c r="Q207" s="2">
        <v>9084074.2200000007</v>
      </c>
      <c r="R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 s="1">
        <v>42382</v>
      </c>
      <c r="AC207" t="s">
        <v>53</v>
      </c>
      <c r="AD207" t="s">
        <v>53</v>
      </c>
      <c r="AK207">
        <v>0</v>
      </c>
      <c r="AU207" s="6">
        <v>42184</v>
      </c>
      <c r="AV207" s="6">
        <v>42184</v>
      </c>
      <c r="AW207" t="s">
        <v>54</v>
      </c>
      <c r="AX207" t="str">
        <f t="shared" si="18"/>
        <v>FOR</v>
      </c>
      <c r="AY207" t="s">
        <v>55</v>
      </c>
    </row>
    <row r="208" spans="1:51" hidden="1">
      <c r="A208">
        <v>100066</v>
      </c>
      <c r="B208" t="s">
        <v>69</v>
      </c>
      <c r="C208" t="str">
        <f t="shared" si="16"/>
        <v>12268050155</v>
      </c>
      <c r="D208" t="str">
        <f t="shared" si="17"/>
        <v>04785851009</v>
      </c>
      <c r="E208" t="s">
        <v>52</v>
      </c>
      <c r="F208">
        <v>2014</v>
      </c>
      <c r="G208">
        <v>10826682</v>
      </c>
      <c r="H208" s="1">
        <v>41822</v>
      </c>
      <c r="I208" s="1">
        <v>41836</v>
      </c>
      <c r="J208" s="1">
        <v>41836</v>
      </c>
      <c r="K208" s="1">
        <v>41926</v>
      </c>
      <c r="N208" s="5"/>
      <c r="O208" s="2">
        <v>5883.45</v>
      </c>
      <c r="P208">
        <v>258</v>
      </c>
      <c r="Q208" s="2">
        <v>1517930.1</v>
      </c>
      <c r="R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 s="1">
        <v>42382</v>
      </c>
      <c r="AC208" t="s">
        <v>53</v>
      </c>
      <c r="AD208" t="s">
        <v>53</v>
      </c>
      <c r="AK208">
        <v>0</v>
      </c>
      <c r="AU208" s="6">
        <v>42184</v>
      </c>
      <c r="AV208" s="6">
        <v>42184</v>
      </c>
      <c r="AW208" t="s">
        <v>54</v>
      </c>
      <c r="AX208" t="str">
        <f t="shared" si="18"/>
        <v>FOR</v>
      </c>
      <c r="AY208" t="s">
        <v>55</v>
      </c>
    </row>
    <row r="209" spans="1:51" hidden="1">
      <c r="A209">
        <v>100066</v>
      </c>
      <c r="B209" t="s">
        <v>69</v>
      </c>
      <c r="C209" t="str">
        <f t="shared" ref="C209:C240" si="19">"12268050155"</f>
        <v>12268050155</v>
      </c>
      <c r="D209" t="str">
        <f t="shared" ref="D209:D240" si="20">"04785851009"</f>
        <v>04785851009</v>
      </c>
      <c r="E209" t="s">
        <v>52</v>
      </c>
      <c r="F209">
        <v>2014</v>
      </c>
      <c r="G209">
        <v>10826683</v>
      </c>
      <c r="H209" s="1">
        <v>41822</v>
      </c>
      <c r="I209" s="1">
        <v>41836</v>
      </c>
      <c r="J209" s="1">
        <v>41836</v>
      </c>
      <c r="K209" s="1">
        <v>41926</v>
      </c>
      <c r="N209" s="5"/>
      <c r="O209" s="2">
        <v>32767.98</v>
      </c>
      <c r="P209">
        <v>258</v>
      </c>
      <c r="Q209" s="2">
        <v>8454138.8399999999</v>
      </c>
      <c r="R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 s="1">
        <v>42382</v>
      </c>
      <c r="AC209" t="s">
        <v>53</v>
      </c>
      <c r="AD209" t="s">
        <v>53</v>
      </c>
      <c r="AK209">
        <v>0</v>
      </c>
      <c r="AU209" s="6">
        <v>42184</v>
      </c>
      <c r="AV209" s="6">
        <v>42184</v>
      </c>
      <c r="AW209" t="s">
        <v>54</v>
      </c>
      <c r="AX209" t="str">
        <f t="shared" si="18"/>
        <v>FOR</v>
      </c>
      <c r="AY209" t="s">
        <v>55</v>
      </c>
    </row>
    <row r="210" spans="1:51" hidden="1">
      <c r="A210">
        <v>100066</v>
      </c>
      <c r="B210" t="s">
        <v>69</v>
      </c>
      <c r="C210" t="str">
        <f t="shared" si="19"/>
        <v>12268050155</v>
      </c>
      <c r="D210" t="str">
        <f t="shared" si="20"/>
        <v>04785851009</v>
      </c>
      <c r="E210" t="s">
        <v>52</v>
      </c>
      <c r="F210">
        <v>2014</v>
      </c>
      <c r="G210">
        <v>10826919</v>
      </c>
      <c r="H210" s="1">
        <v>41823</v>
      </c>
      <c r="I210" s="1">
        <v>41841</v>
      </c>
      <c r="J210" s="1">
        <v>41841</v>
      </c>
      <c r="K210" s="1">
        <v>41931</v>
      </c>
      <c r="N210" s="5"/>
      <c r="O210" s="2">
        <v>11675.77</v>
      </c>
      <c r="P210">
        <v>253</v>
      </c>
      <c r="Q210" s="2">
        <v>2953969.81</v>
      </c>
      <c r="R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 s="1">
        <v>42382</v>
      </c>
      <c r="AC210" t="s">
        <v>53</v>
      </c>
      <c r="AD210" t="s">
        <v>53</v>
      </c>
      <c r="AK210">
        <v>0</v>
      </c>
      <c r="AU210" s="6">
        <v>42184</v>
      </c>
      <c r="AV210" s="6">
        <v>42184</v>
      </c>
      <c r="AW210" t="s">
        <v>54</v>
      </c>
      <c r="AX210" t="str">
        <f t="shared" si="18"/>
        <v>FOR</v>
      </c>
      <c r="AY210" t="s">
        <v>55</v>
      </c>
    </row>
    <row r="211" spans="1:51" hidden="1">
      <c r="A211">
        <v>100066</v>
      </c>
      <c r="B211" t="s">
        <v>69</v>
      </c>
      <c r="C211" t="str">
        <f t="shared" si="19"/>
        <v>12268050155</v>
      </c>
      <c r="D211" t="str">
        <f t="shared" si="20"/>
        <v>04785851009</v>
      </c>
      <c r="E211" t="s">
        <v>52</v>
      </c>
      <c r="F211">
        <v>2014</v>
      </c>
      <c r="G211">
        <v>10826920</v>
      </c>
      <c r="H211" s="1">
        <v>41823</v>
      </c>
      <c r="I211" s="1">
        <v>41837</v>
      </c>
      <c r="J211" s="1">
        <v>41837</v>
      </c>
      <c r="K211" s="1">
        <v>41927</v>
      </c>
      <c r="N211" s="5"/>
      <c r="O211" s="2">
        <v>17176.599999999999</v>
      </c>
      <c r="P211">
        <v>257</v>
      </c>
      <c r="Q211" s="2">
        <v>4414386.2</v>
      </c>
      <c r="R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 s="1">
        <v>42382</v>
      </c>
      <c r="AC211" t="s">
        <v>53</v>
      </c>
      <c r="AD211" t="s">
        <v>53</v>
      </c>
      <c r="AK211">
        <v>0</v>
      </c>
      <c r="AU211" s="6">
        <v>42184</v>
      </c>
      <c r="AV211" s="6">
        <v>42184</v>
      </c>
      <c r="AW211" t="s">
        <v>54</v>
      </c>
      <c r="AX211" t="str">
        <f t="shared" si="18"/>
        <v>FOR</v>
      </c>
      <c r="AY211" t="s">
        <v>55</v>
      </c>
    </row>
    <row r="212" spans="1:51" hidden="1">
      <c r="A212">
        <v>100066</v>
      </c>
      <c r="B212" t="s">
        <v>69</v>
      </c>
      <c r="C212" t="str">
        <f t="shared" si="19"/>
        <v>12268050155</v>
      </c>
      <c r="D212" t="str">
        <f t="shared" si="20"/>
        <v>04785851009</v>
      </c>
      <c r="E212" t="s">
        <v>52</v>
      </c>
      <c r="F212">
        <v>2014</v>
      </c>
      <c r="G212">
        <v>10827196</v>
      </c>
      <c r="H212" s="1">
        <v>41824</v>
      </c>
      <c r="I212" s="1">
        <v>41841</v>
      </c>
      <c r="J212" s="1">
        <v>41841</v>
      </c>
      <c r="K212" s="1">
        <v>41931</v>
      </c>
      <c r="N212" s="5"/>
      <c r="O212" s="2">
        <v>3343.78</v>
      </c>
      <c r="P212">
        <v>253</v>
      </c>
      <c r="Q212" s="2">
        <v>845976.34</v>
      </c>
      <c r="R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 s="1">
        <v>42382</v>
      </c>
      <c r="AC212" t="s">
        <v>53</v>
      </c>
      <c r="AD212" t="s">
        <v>53</v>
      </c>
      <c r="AK212">
        <v>0</v>
      </c>
      <c r="AU212" s="6">
        <v>42184</v>
      </c>
      <c r="AV212" s="6">
        <v>42184</v>
      </c>
      <c r="AW212" t="s">
        <v>54</v>
      </c>
      <c r="AX212" t="str">
        <f t="shared" si="18"/>
        <v>FOR</v>
      </c>
      <c r="AY212" t="s">
        <v>55</v>
      </c>
    </row>
    <row r="213" spans="1:51" hidden="1">
      <c r="A213">
        <v>100066</v>
      </c>
      <c r="B213" t="s">
        <v>69</v>
      </c>
      <c r="C213" t="str">
        <f t="shared" si="19"/>
        <v>12268050155</v>
      </c>
      <c r="D213" t="str">
        <f t="shared" si="20"/>
        <v>04785851009</v>
      </c>
      <c r="E213" t="s">
        <v>52</v>
      </c>
      <c r="F213">
        <v>2014</v>
      </c>
      <c r="G213">
        <v>10827197</v>
      </c>
      <c r="H213" s="1">
        <v>41824</v>
      </c>
      <c r="I213" s="1">
        <v>41841</v>
      </c>
      <c r="J213" s="1">
        <v>41841</v>
      </c>
      <c r="K213" s="1">
        <v>41931</v>
      </c>
      <c r="N213" s="5"/>
      <c r="O213" s="2">
        <v>2213.69</v>
      </c>
      <c r="P213">
        <v>253</v>
      </c>
      <c r="Q213" s="2">
        <v>560063.56999999995</v>
      </c>
      <c r="R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 s="1">
        <v>42382</v>
      </c>
      <c r="AC213" t="s">
        <v>53</v>
      </c>
      <c r="AD213" t="s">
        <v>53</v>
      </c>
      <c r="AK213">
        <v>0</v>
      </c>
      <c r="AU213" s="6">
        <v>42184</v>
      </c>
      <c r="AV213" s="6">
        <v>42184</v>
      </c>
      <c r="AW213" t="s">
        <v>54</v>
      </c>
      <c r="AX213" t="str">
        <f t="shared" si="18"/>
        <v>FOR</v>
      </c>
      <c r="AY213" t="s">
        <v>55</v>
      </c>
    </row>
    <row r="214" spans="1:51" hidden="1">
      <c r="A214">
        <v>100066</v>
      </c>
      <c r="B214" t="s">
        <v>69</v>
      </c>
      <c r="C214" t="str">
        <f t="shared" si="19"/>
        <v>12268050155</v>
      </c>
      <c r="D214" t="str">
        <f t="shared" si="20"/>
        <v>04785851009</v>
      </c>
      <c r="E214" t="s">
        <v>52</v>
      </c>
      <c r="F214">
        <v>2014</v>
      </c>
      <c r="G214">
        <v>10827922</v>
      </c>
      <c r="H214" s="1">
        <v>41829</v>
      </c>
      <c r="I214" s="1">
        <v>41844</v>
      </c>
      <c r="J214" s="1">
        <v>41844</v>
      </c>
      <c r="K214" s="1">
        <v>41934</v>
      </c>
      <c r="N214" s="5"/>
      <c r="O214" s="2">
        <v>3343.78</v>
      </c>
      <c r="P214">
        <v>250</v>
      </c>
      <c r="Q214" s="2">
        <v>835945</v>
      </c>
      <c r="R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 s="1">
        <v>42382</v>
      </c>
      <c r="AC214" t="s">
        <v>53</v>
      </c>
      <c r="AD214" t="s">
        <v>53</v>
      </c>
      <c r="AK214">
        <v>0</v>
      </c>
      <c r="AU214" s="6">
        <v>42184</v>
      </c>
      <c r="AV214" s="6">
        <v>42184</v>
      </c>
      <c r="AW214" t="s">
        <v>54</v>
      </c>
      <c r="AX214" t="str">
        <f t="shared" si="18"/>
        <v>FOR</v>
      </c>
      <c r="AY214" t="s">
        <v>55</v>
      </c>
    </row>
    <row r="215" spans="1:51" hidden="1">
      <c r="A215">
        <v>100066</v>
      </c>
      <c r="B215" t="s">
        <v>69</v>
      </c>
      <c r="C215" t="str">
        <f t="shared" si="19"/>
        <v>12268050155</v>
      </c>
      <c r="D215" t="str">
        <f t="shared" si="20"/>
        <v>04785851009</v>
      </c>
      <c r="E215" t="s">
        <v>52</v>
      </c>
      <c r="F215">
        <v>2014</v>
      </c>
      <c r="G215">
        <v>10828595</v>
      </c>
      <c r="H215" s="1">
        <v>41834</v>
      </c>
      <c r="I215" s="1">
        <v>41851</v>
      </c>
      <c r="J215" s="1">
        <v>41851</v>
      </c>
      <c r="K215" s="1">
        <v>41941</v>
      </c>
      <c r="N215" s="5"/>
      <c r="O215" s="2">
        <v>1156.56</v>
      </c>
      <c r="P215">
        <v>243</v>
      </c>
      <c r="Q215" s="2">
        <v>281044.08</v>
      </c>
      <c r="R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 s="1">
        <v>42382</v>
      </c>
      <c r="AC215" t="s">
        <v>53</v>
      </c>
      <c r="AD215" t="s">
        <v>53</v>
      </c>
      <c r="AK215">
        <v>0</v>
      </c>
      <c r="AU215" s="6">
        <v>42184</v>
      </c>
      <c r="AV215" s="6">
        <v>42184</v>
      </c>
      <c r="AW215" t="s">
        <v>54</v>
      </c>
      <c r="AX215" t="str">
        <f t="shared" si="18"/>
        <v>FOR</v>
      </c>
      <c r="AY215" t="s">
        <v>55</v>
      </c>
    </row>
    <row r="216" spans="1:51" hidden="1">
      <c r="A216">
        <v>100066</v>
      </c>
      <c r="B216" t="s">
        <v>69</v>
      </c>
      <c r="C216" t="str">
        <f t="shared" si="19"/>
        <v>12268050155</v>
      </c>
      <c r="D216" t="str">
        <f t="shared" si="20"/>
        <v>04785851009</v>
      </c>
      <c r="E216" t="s">
        <v>52</v>
      </c>
      <c r="F216">
        <v>2014</v>
      </c>
      <c r="G216">
        <v>10828597</v>
      </c>
      <c r="H216" s="1">
        <v>41834</v>
      </c>
      <c r="I216" s="1">
        <v>41851</v>
      </c>
      <c r="J216" s="1">
        <v>41851</v>
      </c>
      <c r="K216" s="1">
        <v>41941</v>
      </c>
      <c r="N216" s="5"/>
      <c r="O216">
        <v>578.28</v>
      </c>
      <c r="P216">
        <v>243</v>
      </c>
      <c r="Q216" s="2">
        <v>140522.04</v>
      </c>
      <c r="R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 s="1">
        <v>42382</v>
      </c>
      <c r="AC216" t="s">
        <v>53</v>
      </c>
      <c r="AD216" t="s">
        <v>53</v>
      </c>
      <c r="AK216">
        <v>0</v>
      </c>
      <c r="AU216" s="6">
        <v>42184</v>
      </c>
      <c r="AV216" s="6">
        <v>42184</v>
      </c>
      <c r="AW216" t="s">
        <v>54</v>
      </c>
      <c r="AX216" t="str">
        <f t="shared" si="18"/>
        <v>FOR</v>
      </c>
      <c r="AY216" t="s">
        <v>55</v>
      </c>
    </row>
    <row r="217" spans="1:51" hidden="1">
      <c r="A217">
        <v>100066</v>
      </c>
      <c r="B217" t="s">
        <v>69</v>
      </c>
      <c r="C217" t="str">
        <f t="shared" si="19"/>
        <v>12268050155</v>
      </c>
      <c r="D217" t="str">
        <f t="shared" si="20"/>
        <v>04785851009</v>
      </c>
      <c r="E217" t="s">
        <v>52</v>
      </c>
      <c r="F217">
        <v>2014</v>
      </c>
      <c r="G217">
        <v>10828599</v>
      </c>
      <c r="H217" s="1">
        <v>41834</v>
      </c>
      <c r="I217" s="1">
        <v>41852</v>
      </c>
      <c r="J217" s="1">
        <v>41852</v>
      </c>
      <c r="K217" s="1">
        <v>41942</v>
      </c>
      <c r="N217" s="5"/>
      <c r="O217" s="2">
        <v>1734.84</v>
      </c>
      <c r="P217">
        <v>242</v>
      </c>
      <c r="Q217" s="2">
        <v>419831.28</v>
      </c>
      <c r="R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 s="1">
        <v>42382</v>
      </c>
      <c r="AC217" t="s">
        <v>53</v>
      </c>
      <c r="AD217" t="s">
        <v>53</v>
      </c>
      <c r="AK217">
        <v>0</v>
      </c>
      <c r="AU217" s="6">
        <v>42184</v>
      </c>
      <c r="AV217" s="6">
        <v>42184</v>
      </c>
      <c r="AW217" t="s">
        <v>54</v>
      </c>
      <c r="AX217" t="str">
        <f t="shared" si="18"/>
        <v>FOR</v>
      </c>
      <c r="AY217" t="s">
        <v>55</v>
      </c>
    </row>
    <row r="218" spans="1:51" hidden="1">
      <c r="A218">
        <v>100066</v>
      </c>
      <c r="B218" t="s">
        <v>69</v>
      </c>
      <c r="C218" t="str">
        <f t="shared" si="19"/>
        <v>12268050155</v>
      </c>
      <c r="D218" t="str">
        <f t="shared" si="20"/>
        <v>04785851009</v>
      </c>
      <c r="E218" t="s">
        <v>52</v>
      </c>
      <c r="F218">
        <v>2014</v>
      </c>
      <c r="G218">
        <v>10829087</v>
      </c>
      <c r="H218" s="1">
        <v>41836</v>
      </c>
      <c r="I218" s="1">
        <v>41852</v>
      </c>
      <c r="J218" s="1">
        <v>41852</v>
      </c>
      <c r="K218" s="1">
        <v>41942</v>
      </c>
      <c r="N218" s="5"/>
      <c r="O218" s="2">
        <v>9424.5</v>
      </c>
      <c r="P218">
        <v>242</v>
      </c>
      <c r="Q218" s="2">
        <v>2280729</v>
      </c>
      <c r="R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 s="1">
        <v>42382</v>
      </c>
      <c r="AC218" t="s">
        <v>53</v>
      </c>
      <c r="AD218" t="s">
        <v>53</v>
      </c>
      <c r="AK218">
        <v>0</v>
      </c>
      <c r="AU218" s="6">
        <v>42184</v>
      </c>
      <c r="AV218" s="6">
        <v>42184</v>
      </c>
      <c r="AW218" t="s">
        <v>54</v>
      </c>
      <c r="AX218" t="str">
        <f t="shared" si="18"/>
        <v>FOR</v>
      </c>
      <c r="AY218" t="s">
        <v>55</v>
      </c>
    </row>
    <row r="219" spans="1:51" hidden="1">
      <c r="A219">
        <v>100066</v>
      </c>
      <c r="B219" t="s">
        <v>69</v>
      </c>
      <c r="C219" t="str">
        <f t="shared" si="19"/>
        <v>12268050155</v>
      </c>
      <c r="D219" t="str">
        <f t="shared" si="20"/>
        <v>04785851009</v>
      </c>
      <c r="E219" t="s">
        <v>52</v>
      </c>
      <c r="F219">
        <v>2014</v>
      </c>
      <c r="G219">
        <v>10829310</v>
      </c>
      <c r="H219" s="1">
        <v>41837</v>
      </c>
      <c r="I219" s="1">
        <v>41852</v>
      </c>
      <c r="J219" s="1">
        <v>41852</v>
      </c>
      <c r="K219" s="1">
        <v>41942</v>
      </c>
      <c r="N219" s="5"/>
      <c r="O219" s="2">
        <v>2229.1799999999998</v>
      </c>
      <c r="P219">
        <v>242</v>
      </c>
      <c r="Q219" s="2">
        <v>539461.56000000006</v>
      </c>
      <c r="R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 s="1">
        <v>42382</v>
      </c>
      <c r="AC219" t="s">
        <v>53</v>
      </c>
      <c r="AD219" t="s">
        <v>53</v>
      </c>
      <c r="AK219">
        <v>0</v>
      </c>
      <c r="AU219" s="6">
        <v>42184</v>
      </c>
      <c r="AV219" s="6">
        <v>42184</v>
      </c>
      <c r="AW219" t="s">
        <v>54</v>
      </c>
      <c r="AX219" t="str">
        <f t="shared" si="18"/>
        <v>FOR</v>
      </c>
      <c r="AY219" t="s">
        <v>55</v>
      </c>
    </row>
    <row r="220" spans="1:51" hidden="1">
      <c r="A220">
        <v>100066</v>
      </c>
      <c r="B220" t="s">
        <v>69</v>
      </c>
      <c r="C220" t="str">
        <f t="shared" si="19"/>
        <v>12268050155</v>
      </c>
      <c r="D220" t="str">
        <f t="shared" si="20"/>
        <v>04785851009</v>
      </c>
      <c r="E220" t="s">
        <v>52</v>
      </c>
      <c r="F220">
        <v>2014</v>
      </c>
      <c r="G220">
        <v>10829311</v>
      </c>
      <c r="H220" s="1">
        <v>41837</v>
      </c>
      <c r="I220" s="1">
        <v>41852</v>
      </c>
      <c r="J220" s="1">
        <v>41852</v>
      </c>
      <c r="K220" s="1">
        <v>41942</v>
      </c>
      <c r="N220" s="5"/>
      <c r="O220" s="2">
        <v>1114.5899999999999</v>
      </c>
      <c r="P220">
        <v>242</v>
      </c>
      <c r="Q220" s="2">
        <v>269730.78000000003</v>
      </c>
      <c r="R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 s="1">
        <v>42382</v>
      </c>
      <c r="AC220" t="s">
        <v>53</v>
      </c>
      <c r="AD220" t="s">
        <v>53</v>
      </c>
      <c r="AK220">
        <v>0</v>
      </c>
      <c r="AU220" s="6">
        <v>42184</v>
      </c>
      <c r="AV220" s="6">
        <v>42184</v>
      </c>
      <c r="AW220" t="s">
        <v>54</v>
      </c>
      <c r="AX220" t="str">
        <f t="shared" si="18"/>
        <v>FOR</v>
      </c>
      <c r="AY220" t="s">
        <v>55</v>
      </c>
    </row>
    <row r="221" spans="1:51" hidden="1">
      <c r="A221">
        <v>100066</v>
      </c>
      <c r="B221" t="s">
        <v>69</v>
      </c>
      <c r="C221" t="str">
        <f t="shared" si="19"/>
        <v>12268050155</v>
      </c>
      <c r="D221" t="str">
        <f t="shared" si="20"/>
        <v>04785851009</v>
      </c>
      <c r="E221" t="s">
        <v>52</v>
      </c>
      <c r="F221">
        <v>2014</v>
      </c>
      <c r="G221">
        <v>10829524</v>
      </c>
      <c r="H221" s="1">
        <v>41838</v>
      </c>
      <c r="I221" s="1">
        <v>41852</v>
      </c>
      <c r="J221" s="1">
        <v>41852</v>
      </c>
      <c r="K221" s="1">
        <v>41942</v>
      </c>
      <c r="N221" s="5"/>
      <c r="O221" s="2">
        <v>24924.87</v>
      </c>
      <c r="P221">
        <v>242</v>
      </c>
      <c r="Q221" s="2">
        <v>6031818.54</v>
      </c>
      <c r="R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 s="1">
        <v>42382</v>
      </c>
      <c r="AC221" t="s">
        <v>53</v>
      </c>
      <c r="AD221" t="s">
        <v>53</v>
      </c>
      <c r="AK221">
        <v>0</v>
      </c>
      <c r="AU221" s="6">
        <v>42184</v>
      </c>
      <c r="AV221" s="6">
        <v>42184</v>
      </c>
      <c r="AW221" t="s">
        <v>54</v>
      </c>
      <c r="AX221" t="str">
        <f t="shared" si="18"/>
        <v>FOR</v>
      </c>
      <c r="AY221" t="s">
        <v>55</v>
      </c>
    </row>
    <row r="222" spans="1:51" hidden="1">
      <c r="A222">
        <v>100066</v>
      </c>
      <c r="B222" t="s">
        <v>69</v>
      </c>
      <c r="C222" t="str">
        <f t="shared" si="19"/>
        <v>12268050155</v>
      </c>
      <c r="D222" t="str">
        <f t="shared" si="20"/>
        <v>04785851009</v>
      </c>
      <c r="E222" t="s">
        <v>52</v>
      </c>
      <c r="F222">
        <v>2014</v>
      </c>
      <c r="G222">
        <v>10829525</v>
      </c>
      <c r="H222" s="1">
        <v>41838</v>
      </c>
      <c r="I222" s="1">
        <v>41852</v>
      </c>
      <c r="J222" s="1">
        <v>41852</v>
      </c>
      <c r="K222" s="1">
        <v>41942</v>
      </c>
      <c r="N222" s="5"/>
      <c r="O222" s="2">
        <v>1156.56</v>
      </c>
      <c r="P222">
        <v>242</v>
      </c>
      <c r="Q222" s="2">
        <v>279887.52</v>
      </c>
      <c r="R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 s="1">
        <v>42382</v>
      </c>
      <c r="AC222" t="s">
        <v>53</v>
      </c>
      <c r="AD222" t="s">
        <v>53</v>
      </c>
      <c r="AK222">
        <v>0</v>
      </c>
      <c r="AU222" s="6">
        <v>42184</v>
      </c>
      <c r="AV222" s="6">
        <v>42184</v>
      </c>
      <c r="AW222" t="s">
        <v>54</v>
      </c>
      <c r="AX222" t="str">
        <f t="shared" si="18"/>
        <v>FOR</v>
      </c>
      <c r="AY222" t="s">
        <v>55</v>
      </c>
    </row>
    <row r="223" spans="1:51" hidden="1">
      <c r="A223">
        <v>100066</v>
      </c>
      <c r="B223" t="s">
        <v>69</v>
      </c>
      <c r="C223" t="str">
        <f t="shared" si="19"/>
        <v>12268050155</v>
      </c>
      <c r="D223" t="str">
        <f t="shared" si="20"/>
        <v>04785851009</v>
      </c>
      <c r="E223" t="s">
        <v>52</v>
      </c>
      <c r="F223">
        <v>2014</v>
      </c>
      <c r="G223">
        <v>10829527</v>
      </c>
      <c r="H223" s="1">
        <v>41838</v>
      </c>
      <c r="I223" s="1">
        <v>41852</v>
      </c>
      <c r="J223" s="1">
        <v>41852</v>
      </c>
      <c r="K223" s="1">
        <v>41942</v>
      </c>
      <c r="N223" s="5"/>
      <c r="O223" s="2">
        <v>24277.39</v>
      </c>
      <c r="P223">
        <v>242</v>
      </c>
      <c r="Q223" s="2">
        <v>5875128.3799999999</v>
      </c>
      <c r="R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 s="1">
        <v>42382</v>
      </c>
      <c r="AC223" t="s">
        <v>53</v>
      </c>
      <c r="AD223" t="s">
        <v>53</v>
      </c>
      <c r="AK223">
        <v>0</v>
      </c>
      <c r="AU223" s="6">
        <v>42184</v>
      </c>
      <c r="AV223" s="6">
        <v>42184</v>
      </c>
      <c r="AW223" t="s">
        <v>54</v>
      </c>
      <c r="AX223" t="str">
        <f t="shared" si="18"/>
        <v>FOR</v>
      </c>
      <c r="AY223" t="s">
        <v>55</v>
      </c>
    </row>
    <row r="224" spans="1:51" hidden="1">
      <c r="A224">
        <v>100066</v>
      </c>
      <c r="B224" t="s">
        <v>69</v>
      </c>
      <c r="C224" t="str">
        <f t="shared" si="19"/>
        <v>12268050155</v>
      </c>
      <c r="D224" t="str">
        <f t="shared" si="20"/>
        <v>04785851009</v>
      </c>
      <c r="E224" t="s">
        <v>52</v>
      </c>
      <c r="F224">
        <v>2014</v>
      </c>
      <c r="G224">
        <v>10829528</v>
      </c>
      <c r="H224" s="1">
        <v>41838</v>
      </c>
      <c r="I224" s="1">
        <v>41852</v>
      </c>
      <c r="J224" s="1">
        <v>41852</v>
      </c>
      <c r="K224" s="1">
        <v>41942</v>
      </c>
      <c r="N224" s="5"/>
      <c r="O224" s="2">
        <v>19366.28</v>
      </c>
      <c r="P224">
        <v>242</v>
      </c>
      <c r="Q224" s="2">
        <v>4686639.76</v>
      </c>
      <c r="R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 s="1">
        <v>42382</v>
      </c>
      <c r="AC224" t="s">
        <v>53</v>
      </c>
      <c r="AD224" t="s">
        <v>53</v>
      </c>
      <c r="AK224">
        <v>0</v>
      </c>
      <c r="AU224" s="6">
        <v>42184</v>
      </c>
      <c r="AV224" s="6">
        <v>42184</v>
      </c>
      <c r="AW224" t="s">
        <v>54</v>
      </c>
      <c r="AX224" t="str">
        <f t="shared" si="18"/>
        <v>FOR</v>
      </c>
      <c r="AY224" t="s">
        <v>55</v>
      </c>
    </row>
    <row r="225" spans="1:51" hidden="1">
      <c r="A225">
        <v>100066</v>
      </c>
      <c r="B225" t="s">
        <v>69</v>
      </c>
      <c r="C225" t="str">
        <f t="shared" si="19"/>
        <v>12268050155</v>
      </c>
      <c r="D225" t="str">
        <f t="shared" si="20"/>
        <v>04785851009</v>
      </c>
      <c r="E225" t="s">
        <v>52</v>
      </c>
      <c r="F225">
        <v>2014</v>
      </c>
      <c r="G225">
        <v>10829529</v>
      </c>
      <c r="H225" s="1">
        <v>41838</v>
      </c>
      <c r="I225" s="1">
        <v>41852</v>
      </c>
      <c r="J225" s="1">
        <v>41852</v>
      </c>
      <c r="K225" s="1">
        <v>41942</v>
      </c>
      <c r="N225" s="5"/>
      <c r="O225" s="2">
        <v>5612</v>
      </c>
      <c r="P225">
        <v>242</v>
      </c>
      <c r="Q225" s="2">
        <v>1358104</v>
      </c>
      <c r="R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 s="1">
        <v>42382</v>
      </c>
      <c r="AC225" t="s">
        <v>53</v>
      </c>
      <c r="AD225" t="s">
        <v>53</v>
      </c>
      <c r="AK225">
        <v>0</v>
      </c>
      <c r="AU225" s="6">
        <v>42184</v>
      </c>
      <c r="AV225" s="6">
        <v>42184</v>
      </c>
      <c r="AW225" t="s">
        <v>54</v>
      </c>
      <c r="AX225" t="str">
        <f t="shared" si="18"/>
        <v>FOR</v>
      </c>
      <c r="AY225" t="s">
        <v>55</v>
      </c>
    </row>
    <row r="226" spans="1:51" hidden="1">
      <c r="A226">
        <v>100066</v>
      </c>
      <c r="B226" t="s">
        <v>69</v>
      </c>
      <c r="C226" t="str">
        <f t="shared" si="19"/>
        <v>12268050155</v>
      </c>
      <c r="D226" t="str">
        <f t="shared" si="20"/>
        <v>04785851009</v>
      </c>
      <c r="E226" t="s">
        <v>52</v>
      </c>
      <c r="F226">
        <v>2014</v>
      </c>
      <c r="G226">
        <v>10829530</v>
      </c>
      <c r="H226" s="1">
        <v>41838</v>
      </c>
      <c r="I226" s="1">
        <v>41852</v>
      </c>
      <c r="J226" s="1">
        <v>41852</v>
      </c>
      <c r="K226" s="1">
        <v>41942</v>
      </c>
      <c r="N226" s="5"/>
      <c r="O226" s="2">
        <v>3343.78</v>
      </c>
      <c r="P226">
        <v>242</v>
      </c>
      <c r="Q226" s="2">
        <v>809194.76</v>
      </c>
      <c r="R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 s="1">
        <v>42382</v>
      </c>
      <c r="AC226" t="s">
        <v>53</v>
      </c>
      <c r="AD226" t="s">
        <v>53</v>
      </c>
      <c r="AK226">
        <v>0</v>
      </c>
      <c r="AU226" s="6">
        <v>42184</v>
      </c>
      <c r="AV226" s="6">
        <v>42184</v>
      </c>
      <c r="AW226" t="s">
        <v>54</v>
      </c>
      <c r="AX226" t="str">
        <f t="shared" si="18"/>
        <v>FOR</v>
      </c>
      <c r="AY226" t="s">
        <v>55</v>
      </c>
    </row>
    <row r="227" spans="1:51" hidden="1">
      <c r="A227">
        <v>100066</v>
      </c>
      <c r="B227" t="s">
        <v>69</v>
      </c>
      <c r="C227" t="str">
        <f t="shared" si="19"/>
        <v>12268050155</v>
      </c>
      <c r="D227" t="str">
        <f t="shared" si="20"/>
        <v>04785851009</v>
      </c>
      <c r="E227" t="s">
        <v>52</v>
      </c>
      <c r="F227">
        <v>2014</v>
      </c>
      <c r="G227">
        <v>10830056</v>
      </c>
      <c r="H227" s="1">
        <v>41842</v>
      </c>
      <c r="I227" s="1">
        <v>41872</v>
      </c>
      <c r="J227" s="1">
        <v>41872</v>
      </c>
      <c r="K227" s="1">
        <v>41962</v>
      </c>
      <c r="N227" s="5"/>
      <c r="O227" s="2">
        <v>2292</v>
      </c>
      <c r="P227">
        <v>222</v>
      </c>
      <c r="Q227" s="2">
        <v>508824</v>
      </c>
      <c r="R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 s="1">
        <v>42382</v>
      </c>
      <c r="AC227" t="s">
        <v>53</v>
      </c>
      <c r="AD227" t="s">
        <v>53</v>
      </c>
      <c r="AK227">
        <v>0</v>
      </c>
      <c r="AU227" s="6">
        <v>42184</v>
      </c>
      <c r="AV227" s="6">
        <v>42184</v>
      </c>
      <c r="AW227" t="s">
        <v>54</v>
      </c>
      <c r="AX227" t="str">
        <f t="shared" si="18"/>
        <v>FOR</v>
      </c>
      <c r="AY227" t="s">
        <v>55</v>
      </c>
    </row>
    <row r="228" spans="1:51" hidden="1">
      <c r="A228">
        <v>100066</v>
      </c>
      <c r="B228" t="s">
        <v>69</v>
      </c>
      <c r="C228" t="str">
        <f t="shared" si="19"/>
        <v>12268050155</v>
      </c>
      <c r="D228" t="str">
        <f t="shared" si="20"/>
        <v>04785851009</v>
      </c>
      <c r="E228" t="s">
        <v>52</v>
      </c>
      <c r="F228">
        <v>2014</v>
      </c>
      <c r="G228">
        <v>10830058</v>
      </c>
      <c r="H228" s="1">
        <v>41842</v>
      </c>
      <c r="I228" s="1">
        <v>41872</v>
      </c>
      <c r="J228" s="1">
        <v>41872</v>
      </c>
      <c r="K228" s="1">
        <v>41962</v>
      </c>
      <c r="N228" s="5"/>
      <c r="O228" s="2">
        <v>1114.5899999999999</v>
      </c>
      <c r="P228">
        <v>222</v>
      </c>
      <c r="Q228" s="2">
        <v>247438.98</v>
      </c>
      <c r="R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 s="1">
        <v>42382</v>
      </c>
      <c r="AC228" t="s">
        <v>53</v>
      </c>
      <c r="AD228" t="s">
        <v>53</v>
      </c>
      <c r="AK228">
        <v>0</v>
      </c>
      <c r="AU228" s="6">
        <v>42184</v>
      </c>
      <c r="AV228" s="6">
        <v>42184</v>
      </c>
      <c r="AW228" t="s">
        <v>54</v>
      </c>
      <c r="AX228" t="str">
        <f t="shared" si="18"/>
        <v>FOR</v>
      </c>
      <c r="AY228" t="s">
        <v>55</v>
      </c>
    </row>
    <row r="229" spans="1:51" hidden="1">
      <c r="A229">
        <v>100066</v>
      </c>
      <c r="B229" t="s">
        <v>69</v>
      </c>
      <c r="C229" t="str">
        <f t="shared" si="19"/>
        <v>12268050155</v>
      </c>
      <c r="D229" t="str">
        <f t="shared" si="20"/>
        <v>04785851009</v>
      </c>
      <c r="E229" t="s">
        <v>52</v>
      </c>
      <c r="F229">
        <v>2014</v>
      </c>
      <c r="G229">
        <v>10830550</v>
      </c>
      <c r="H229" s="1">
        <v>41844</v>
      </c>
      <c r="I229" s="1">
        <v>41876</v>
      </c>
      <c r="J229" s="1">
        <v>41876</v>
      </c>
      <c r="K229" s="1">
        <v>41966</v>
      </c>
      <c r="N229" s="5"/>
      <c r="O229" s="2">
        <v>5490</v>
      </c>
      <c r="P229">
        <v>218</v>
      </c>
      <c r="Q229" s="2">
        <v>1196820</v>
      </c>
      <c r="R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 s="1">
        <v>42382</v>
      </c>
      <c r="AC229" t="s">
        <v>53</v>
      </c>
      <c r="AD229" t="s">
        <v>53</v>
      </c>
      <c r="AK229">
        <v>0</v>
      </c>
      <c r="AU229" s="6">
        <v>42184</v>
      </c>
      <c r="AV229" s="6">
        <v>42184</v>
      </c>
      <c r="AW229" t="s">
        <v>54</v>
      </c>
      <c r="AX229" t="str">
        <f t="shared" si="18"/>
        <v>FOR</v>
      </c>
      <c r="AY229" t="s">
        <v>55</v>
      </c>
    </row>
    <row r="230" spans="1:51" hidden="1">
      <c r="A230">
        <v>100066</v>
      </c>
      <c r="B230" t="s">
        <v>69</v>
      </c>
      <c r="C230" t="str">
        <f t="shared" si="19"/>
        <v>12268050155</v>
      </c>
      <c r="D230" t="str">
        <f t="shared" si="20"/>
        <v>04785851009</v>
      </c>
      <c r="E230" t="s">
        <v>52</v>
      </c>
      <c r="F230">
        <v>2014</v>
      </c>
      <c r="G230">
        <v>10830733</v>
      </c>
      <c r="H230" s="1">
        <v>41845</v>
      </c>
      <c r="I230" s="1">
        <v>41873</v>
      </c>
      <c r="J230" s="1">
        <v>41873</v>
      </c>
      <c r="K230" s="1">
        <v>41963</v>
      </c>
      <c r="N230" s="5"/>
      <c r="O230" s="2">
        <v>4066.66</v>
      </c>
      <c r="P230">
        <v>221</v>
      </c>
      <c r="Q230" s="2">
        <v>898731.86</v>
      </c>
      <c r="R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 s="1">
        <v>42382</v>
      </c>
      <c r="AC230" t="s">
        <v>53</v>
      </c>
      <c r="AD230" t="s">
        <v>53</v>
      </c>
      <c r="AK230">
        <v>0</v>
      </c>
      <c r="AU230" s="6">
        <v>42184</v>
      </c>
      <c r="AV230" s="6">
        <v>42184</v>
      </c>
      <c r="AW230" t="s">
        <v>54</v>
      </c>
      <c r="AX230" t="str">
        <f t="shared" si="18"/>
        <v>FOR</v>
      </c>
      <c r="AY230" t="s">
        <v>55</v>
      </c>
    </row>
    <row r="231" spans="1:51" hidden="1">
      <c r="A231">
        <v>100066</v>
      </c>
      <c r="B231" t="s">
        <v>69</v>
      </c>
      <c r="C231" t="str">
        <f t="shared" si="19"/>
        <v>12268050155</v>
      </c>
      <c r="D231" t="str">
        <f t="shared" si="20"/>
        <v>04785851009</v>
      </c>
      <c r="E231" t="s">
        <v>52</v>
      </c>
      <c r="F231">
        <v>2014</v>
      </c>
      <c r="G231">
        <v>10830834</v>
      </c>
      <c r="H231" s="1">
        <v>41845</v>
      </c>
      <c r="I231" s="1">
        <v>41876</v>
      </c>
      <c r="J231" s="1">
        <v>41876</v>
      </c>
      <c r="K231" s="1">
        <v>41966</v>
      </c>
      <c r="N231" s="5"/>
      <c r="O231" s="2">
        <v>2229.1799999999998</v>
      </c>
      <c r="P231">
        <v>218</v>
      </c>
      <c r="Q231" s="2">
        <v>485961.24</v>
      </c>
      <c r="R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 s="1">
        <v>42382</v>
      </c>
      <c r="AC231" t="s">
        <v>53</v>
      </c>
      <c r="AD231" t="s">
        <v>53</v>
      </c>
      <c r="AK231">
        <v>0</v>
      </c>
      <c r="AU231" s="6">
        <v>42184</v>
      </c>
      <c r="AV231" s="6">
        <v>42184</v>
      </c>
      <c r="AW231" t="s">
        <v>54</v>
      </c>
      <c r="AX231" t="str">
        <f t="shared" si="18"/>
        <v>FOR</v>
      </c>
      <c r="AY231" t="s">
        <v>55</v>
      </c>
    </row>
    <row r="232" spans="1:51" hidden="1">
      <c r="A232">
        <v>100066</v>
      </c>
      <c r="B232" t="s">
        <v>69</v>
      </c>
      <c r="C232" t="str">
        <f t="shared" si="19"/>
        <v>12268050155</v>
      </c>
      <c r="D232" t="str">
        <f t="shared" si="20"/>
        <v>04785851009</v>
      </c>
      <c r="E232" t="s">
        <v>52</v>
      </c>
      <c r="F232">
        <v>2014</v>
      </c>
      <c r="G232">
        <v>10832926</v>
      </c>
      <c r="H232" s="1">
        <v>41856</v>
      </c>
      <c r="I232" s="1">
        <v>41877</v>
      </c>
      <c r="J232" s="1">
        <v>41877</v>
      </c>
      <c r="K232" s="1">
        <v>41967</v>
      </c>
      <c r="N232" s="5"/>
      <c r="O232">
        <v>771.04</v>
      </c>
      <c r="P232">
        <v>217</v>
      </c>
      <c r="Q232" s="2">
        <v>167315.68</v>
      </c>
      <c r="R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 s="1">
        <v>42382</v>
      </c>
      <c r="AC232" t="s">
        <v>53</v>
      </c>
      <c r="AD232" t="s">
        <v>53</v>
      </c>
      <c r="AK232">
        <v>0</v>
      </c>
      <c r="AU232" s="6">
        <v>42184</v>
      </c>
      <c r="AV232" s="6">
        <v>42184</v>
      </c>
      <c r="AW232" t="s">
        <v>54</v>
      </c>
      <c r="AX232" t="str">
        <f t="shared" si="18"/>
        <v>FOR</v>
      </c>
      <c r="AY232" t="s">
        <v>55</v>
      </c>
    </row>
    <row r="233" spans="1:51" hidden="1">
      <c r="A233">
        <v>100066</v>
      </c>
      <c r="B233" t="s">
        <v>69</v>
      </c>
      <c r="C233" t="str">
        <f t="shared" si="19"/>
        <v>12268050155</v>
      </c>
      <c r="D233" t="str">
        <f t="shared" si="20"/>
        <v>04785851009</v>
      </c>
      <c r="E233" t="s">
        <v>52</v>
      </c>
      <c r="F233">
        <v>2014</v>
      </c>
      <c r="G233">
        <v>10833358</v>
      </c>
      <c r="H233" s="1">
        <v>41858</v>
      </c>
      <c r="I233" s="1">
        <v>41883</v>
      </c>
      <c r="J233" s="1">
        <v>41883</v>
      </c>
      <c r="K233" s="1">
        <v>41973</v>
      </c>
      <c r="N233" s="5"/>
      <c r="O233" s="2">
        <v>4458.37</v>
      </c>
      <c r="P233">
        <v>211</v>
      </c>
      <c r="Q233" s="2">
        <v>940716.07</v>
      </c>
      <c r="R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 s="1">
        <v>42382</v>
      </c>
      <c r="AC233" t="s">
        <v>53</v>
      </c>
      <c r="AD233" t="s">
        <v>53</v>
      </c>
      <c r="AK233">
        <v>0</v>
      </c>
      <c r="AU233" s="6">
        <v>42184</v>
      </c>
      <c r="AV233" s="6">
        <v>42184</v>
      </c>
      <c r="AW233" t="s">
        <v>54</v>
      </c>
      <c r="AX233" t="str">
        <f t="shared" si="18"/>
        <v>FOR</v>
      </c>
      <c r="AY233" t="s">
        <v>55</v>
      </c>
    </row>
    <row r="234" spans="1:51" hidden="1">
      <c r="A234">
        <v>100066</v>
      </c>
      <c r="B234" t="s">
        <v>69</v>
      </c>
      <c r="C234" t="str">
        <f t="shared" si="19"/>
        <v>12268050155</v>
      </c>
      <c r="D234" t="str">
        <f t="shared" si="20"/>
        <v>04785851009</v>
      </c>
      <c r="E234" t="s">
        <v>52</v>
      </c>
      <c r="F234">
        <v>2014</v>
      </c>
      <c r="G234">
        <v>10833502</v>
      </c>
      <c r="H234" s="1">
        <v>41859</v>
      </c>
      <c r="I234" s="1">
        <v>41883</v>
      </c>
      <c r="J234" s="1">
        <v>41883</v>
      </c>
      <c r="K234" s="1">
        <v>41973</v>
      </c>
      <c r="N234" s="5"/>
      <c r="O234" s="2">
        <v>7320</v>
      </c>
      <c r="P234">
        <v>211</v>
      </c>
      <c r="Q234" s="2">
        <v>1544520</v>
      </c>
      <c r="R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 s="1">
        <v>42382</v>
      </c>
      <c r="AC234" t="s">
        <v>53</v>
      </c>
      <c r="AD234" t="s">
        <v>53</v>
      </c>
      <c r="AK234">
        <v>0</v>
      </c>
      <c r="AU234" s="6">
        <v>42184</v>
      </c>
      <c r="AV234" s="6">
        <v>42184</v>
      </c>
      <c r="AW234" t="s">
        <v>54</v>
      </c>
      <c r="AX234" t="str">
        <f t="shared" si="18"/>
        <v>FOR</v>
      </c>
      <c r="AY234" t="s">
        <v>55</v>
      </c>
    </row>
    <row r="235" spans="1:51" hidden="1">
      <c r="A235">
        <v>100066</v>
      </c>
      <c r="B235" t="s">
        <v>69</v>
      </c>
      <c r="C235" t="str">
        <f t="shared" si="19"/>
        <v>12268050155</v>
      </c>
      <c r="D235" t="str">
        <f t="shared" si="20"/>
        <v>04785851009</v>
      </c>
      <c r="E235" t="s">
        <v>52</v>
      </c>
      <c r="F235">
        <v>2014</v>
      </c>
      <c r="G235">
        <v>10833679</v>
      </c>
      <c r="H235" s="1">
        <v>41862</v>
      </c>
      <c r="I235" s="1">
        <v>41883</v>
      </c>
      <c r="J235" s="1">
        <v>41883</v>
      </c>
      <c r="K235" s="1">
        <v>41973</v>
      </c>
      <c r="N235" s="5"/>
      <c r="O235" s="2">
        <v>4750.28</v>
      </c>
      <c r="P235">
        <v>211</v>
      </c>
      <c r="Q235" s="2">
        <v>1002309.08</v>
      </c>
      <c r="R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 s="1">
        <v>42382</v>
      </c>
      <c r="AC235" t="s">
        <v>53</v>
      </c>
      <c r="AD235" t="s">
        <v>53</v>
      </c>
      <c r="AK235">
        <v>0</v>
      </c>
      <c r="AU235" s="6">
        <v>42184</v>
      </c>
      <c r="AV235" s="6">
        <v>42184</v>
      </c>
      <c r="AW235" t="s">
        <v>54</v>
      </c>
      <c r="AX235" t="str">
        <f t="shared" si="18"/>
        <v>FOR</v>
      </c>
      <c r="AY235" t="s">
        <v>55</v>
      </c>
    </row>
    <row r="236" spans="1:51" hidden="1">
      <c r="A236">
        <v>100066</v>
      </c>
      <c r="B236" t="s">
        <v>69</v>
      </c>
      <c r="C236" t="str">
        <f t="shared" si="19"/>
        <v>12268050155</v>
      </c>
      <c r="D236" t="str">
        <f t="shared" si="20"/>
        <v>04785851009</v>
      </c>
      <c r="E236" t="s">
        <v>52</v>
      </c>
      <c r="F236">
        <v>2014</v>
      </c>
      <c r="G236">
        <v>10834205</v>
      </c>
      <c r="H236" s="1">
        <v>41869</v>
      </c>
      <c r="I236" s="1">
        <v>41883</v>
      </c>
      <c r="J236" s="1">
        <v>41883</v>
      </c>
      <c r="K236" s="1">
        <v>41973</v>
      </c>
      <c r="N236" s="5"/>
      <c r="O236">
        <v>296.45999999999998</v>
      </c>
      <c r="P236">
        <v>211</v>
      </c>
      <c r="Q236" s="2">
        <v>62553.06</v>
      </c>
      <c r="R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 s="1">
        <v>42382</v>
      </c>
      <c r="AC236" t="s">
        <v>53</v>
      </c>
      <c r="AD236" t="s">
        <v>53</v>
      </c>
      <c r="AK236">
        <v>0</v>
      </c>
      <c r="AU236" s="6">
        <v>42184</v>
      </c>
      <c r="AV236" s="6">
        <v>42184</v>
      </c>
      <c r="AW236" t="s">
        <v>54</v>
      </c>
      <c r="AX236" t="str">
        <f t="shared" si="18"/>
        <v>FOR</v>
      </c>
      <c r="AY236" t="s">
        <v>55</v>
      </c>
    </row>
    <row r="237" spans="1:51" hidden="1">
      <c r="A237">
        <v>100066</v>
      </c>
      <c r="B237" t="s">
        <v>69</v>
      </c>
      <c r="C237" t="str">
        <f t="shared" si="19"/>
        <v>12268050155</v>
      </c>
      <c r="D237" t="str">
        <f t="shared" si="20"/>
        <v>04785851009</v>
      </c>
      <c r="E237" t="s">
        <v>52</v>
      </c>
      <c r="F237">
        <v>2014</v>
      </c>
      <c r="G237">
        <v>10834610</v>
      </c>
      <c r="H237" s="1">
        <v>41871</v>
      </c>
      <c r="I237" s="1">
        <v>41890</v>
      </c>
      <c r="J237" s="1">
        <v>41890</v>
      </c>
      <c r="K237" s="1">
        <v>41980</v>
      </c>
      <c r="N237" s="5"/>
      <c r="O237" s="2">
        <v>4066.66</v>
      </c>
      <c r="P237">
        <v>204</v>
      </c>
      <c r="Q237" s="2">
        <v>829598.64</v>
      </c>
      <c r="R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 s="1">
        <v>42382</v>
      </c>
      <c r="AC237" t="s">
        <v>53</v>
      </c>
      <c r="AD237" t="s">
        <v>53</v>
      </c>
      <c r="AK237">
        <v>0</v>
      </c>
      <c r="AU237" s="6">
        <v>42184</v>
      </c>
      <c r="AV237" s="6">
        <v>42184</v>
      </c>
      <c r="AW237" t="s">
        <v>54</v>
      </c>
      <c r="AX237" t="str">
        <f t="shared" si="18"/>
        <v>FOR</v>
      </c>
      <c r="AY237" t="s">
        <v>55</v>
      </c>
    </row>
    <row r="238" spans="1:51" hidden="1">
      <c r="A238">
        <v>100066</v>
      </c>
      <c r="B238" t="s">
        <v>69</v>
      </c>
      <c r="C238" t="str">
        <f t="shared" si="19"/>
        <v>12268050155</v>
      </c>
      <c r="D238" t="str">
        <f t="shared" si="20"/>
        <v>04785851009</v>
      </c>
      <c r="E238" t="s">
        <v>52</v>
      </c>
      <c r="F238">
        <v>2014</v>
      </c>
      <c r="G238">
        <v>10836580</v>
      </c>
      <c r="H238" s="1">
        <v>41886</v>
      </c>
      <c r="I238" s="1">
        <v>41904</v>
      </c>
      <c r="J238" s="1">
        <v>41904</v>
      </c>
      <c r="K238" s="1">
        <v>41994</v>
      </c>
      <c r="N238" s="5"/>
      <c r="O238" s="2">
        <v>1542.08</v>
      </c>
      <c r="P238">
        <v>254</v>
      </c>
      <c r="Q238" s="2">
        <v>391688.32</v>
      </c>
      <c r="R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 s="1">
        <v>42382</v>
      </c>
      <c r="AC238" t="s">
        <v>53</v>
      </c>
      <c r="AD238" t="s">
        <v>53</v>
      </c>
      <c r="AK238">
        <v>0</v>
      </c>
      <c r="AU238" s="6">
        <v>42248</v>
      </c>
      <c r="AV238" s="6">
        <v>42248</v>
      </c>
      <c r="AW238" t="s">
        <v>54</v>
      </c>
      <c r="AX238" t="str">
        <f t="shared" si="18"/>
        <v>FOR</v>
      </c>
      <c r="AY238" t="s">
        <v>55</v>
      </c>
    </row>
    <row r="239" spans="1:51" hidden="1">
      <c r="A239">
        <v>100066</v>
      </c>
      <c r="B239" t="s">
        <v>69</v>
      </c>
      <c r="C239" t="str">
        <f t="shared" si="19"/>
        <v>12268050155</v>
      </c>
      <c r="D239" t="str">
        <f t="shared" si="20"/>
        <v>04785851009</v>
      </c>
      <c r="E239" t="s">
        <v>52</v>
      </c>
      <c r="F239">
        <v>2014</v>
      </c>
      <c r="G239">
        <v>10836581</v>
      </c>
      <c r="H239" s="1">
        <v>41886</v>
      </c>
      <c r="I239" s="1">
        <v>41904</v>
      </c>
      <c r="J239" s="1">
        <v>41904</v>
      </c>
      <c r="K239" s="1">
        <v>41994</v>
      </c>
      <c r="N239" s="5"/>
      <c r="O239" s="2">
        <v>4458.37</v>
      </c>
      <c r="P239">
        <v>254</v>
      </c>
      <c r="Q239" s="2">
        <v>1132425.98</v>
      </c>
      <c r="R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 s="1">
        <v>42382</v>
      </c>
      <c r="AC239" t="s">
        <v>53</v>
      </c>
      <c r="AD239" t="s">
        <v>53</v>
      </c>
      <c r="AK239">
        <v>0</v>
      </c>
      <c r="AU239" s="6">
        <v>42248</v>
      </c>
      <c r="AV239" s="6">
        <v>42248</v>
      </c>
      <c r="AW239" t="s">
        <v>54</v>
      </c>
      <c r="AX239" t="str">
        <f t="shared" si="18"/>
        <v>FOR</v>
      </c>
      <c r="AY239" t="s">
        <v>55</v>
      </c>
    </row>
    <row r="240" spans="1:51" hidden="1">
      <c r="A240">
        <v>100066</v>
      </c>
      <c r="B240" t="s">
        <v>69</v>
      </c>
      <c r="C240" t="str">
        <f t="shared" si="19"/>
        <v>12268050155</v>
      </c>
      <c r="D240" t="str">
        <f t="shared" si="20"/>
        <v>04785851009</v>
      </c>
      <c r="E240" t="s">
        <v>52</v>
      </c>
      <c r="F240">
        <v>2014</v>
      </c>
      <c r="G240">
        <v>10836769</v>
      </c>
      <c r="H240" s="1">
        <v>41887</v>
      </c>
      <c r="I240" s="1">
        <v>41904</v>
      </c>
      <c r="J240" s="1">
        <v>41904</v>
      </c>
      <c r="K240" s="1">
        <v>41994</v>
      </c>
      <c r="N240" s="5"/>
      <c r="O240">
        <v>142.74</v>
      </c>
      <c r="P240">
        <v>254</v>
      </c>
      <c r="Q240" s="2">
        <v>36255.96</v>
      </c>
      <c r="R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 s="1">
        <v>42382</v>
      </c>
      <c r="AC240" t="s">
        <v>53</v>
      </c>
      <c r="AD240" t="s">
        <v>53</v>
      </c>
      <c r="AK240">
        <v>0</v>
      </c>
      <c r="AU240" s="6">
        <v>42248</v>
      </c>
      <c r="AV240" s="6">
        <v>42248</v>
      </c>
      <c r="AW240" t="s">
        <v>54</v>
      </c>
      <c r="AX240" t="str">
        <f t="shared" si="18"/>
        <v>FOR</v>
      </c>
      <c r="AY240" t="s">
        <v>55</v>
      </c>
    </row>
    <row r="241" spans="1:51" hidden="1">
      <c r="A241">
        <v>100066</v>
      </c>
      <c r="B241" t="s">
        <v>69</v>
      </c>
      <c r="C241" t="str">
        <f t="shared" ref="C241:C272" si="21">"12268050155"</f>
        <v>12268050155</v>
      </c>
      <c r="D241" t="str">
        <f t="shared" ref="D241:D272" si="22">"04785851009"</f>
        <v>04785851009</v>
      </c>
      <c r="E241" t="s">
        <v>52</v>
      </c>
      <c r="F241">
        <v>2014</v>
      </c>
      <c r="G241">
        <v>10836983</v>
      </c>
      <c r="H241" s="1">
        <v>41890</v>
      </c>
      <c r="I241" s="1">
        <v>41904</v>
      </c>
      <c r="J241" s="1">
        <v>41904</v>
      </c>
      <c r="K241" s="1">
        <v>41994</v>
      </c>
      <c r="N241" s="5"/>
      <c r="O241" s="2">
        <v>4458.37</v>
      </c>
      <c r="P241">
        <v>254</v>
      </c>
      <c r="Q241" s="2">
        <v>1132425.98</v>
      </c>
      <c r="R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 s="1">
        <v>42382</v>
      </c>
      <c r="AC241" t="s">
        <v>53</v>
      </c>
      <c r="AD241" t="s">
        <v>53</v>
      </c>
      <c r="AK241">
        <v>0</v>
      </c>
      <c r="AU241" s="6">
        <v>42248</v>
      </c>
      <c r="AV241" s="6">
        <v>42248</v>
      </c>
      <c r="AW241" t="s">
        <v>54</v>
      </c>
      <c r="AX241" t="str">
        <f t="shared" si="18"/>
        <v>FOR</v>
      </c>
      <c r="AY241" t="s">
        <v>55</v>
      </c>
    </row>
    <row r="242" spans="1:51" hidden="1">
      <c r="A242">
        <v>100066</v>
      </c>
      <c r="B242" t="s">
        <v>69</v>
      </c>
      <c r="C242" t="str">
        <f t="shared" si="21"/>
        <v>12268050155</v>
      </c>
      <c r="D242" t="str">
        <f t="shared" si="22"/>
        <v>04785851009</v>
      </c>
      <c r="E242" t="s">
        <v>52</v>
      </c>
      <c r="F242">
        <v>2014</v>
      </c>
      <c r="G242">
        <v>10837167</v>
      </c>
      <c r="H242" s="1">
        <v>41891</v>
      </c>
      <c r="I242" s="1">
        <v>41904</v>
      </c>
      <c r="J242" s="1">
        <v>41904</v>
      </c>
      <c r="K242" s="1">
        <v>41994</v>
      </c>
      <c r="N242" s="5"/>
      <c r="O242" s="2">
        <v>12635.54</v>
      </c>
      <c r="P242">
        <v>254</v>
      </c>
      <c r="Q242" s="2">
        <v>3209427.16</v>
      </c>
      <c r="R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 s="1">
        <v>42382</v>
      </c>
      <c r="AC242" t="s">
        <v>53</v>
      </c>
      <c r="AD242" t="s">
        <v>53</v>
      </c>
      <c r="AK242">
        <v>0</v>
      </c>
      <c r="AU242" s="6">
        <v>42248</v>
      </c>
      <c r="AV242" s="6">
        <v>42248</v>
      </c>
      <c r="AW242" t="s">
        <v>54</v>
      </c>
      <c r="AX242" t="str">
        <f t="shared" si="18"/>
        <v>FOR</v>
      </c>
      <c r="AY242" t="s">
        <v>55</v>
      </c>
    </row>
    <row r="243" spans="1:51" hidden="1">
      <c r="A243">
        <v>100066</v>
      </c>
      <c r="B243" t="s">
        <v>69</v>
      </c>
      <c r="C243" t="str">
        <f t="shared" si="21"/>
        <v>12268050155</v>
      </c>
      <c r="D243" t="str">
        <f t="shared" si="22"/>
        <v>04785851009</v>
      </c>
      <c r="E243" t="s">
        <v>52</v>
      </c>
      <c r="F243">
        <v>2014</v>
      </c>
      <c r="G243">
        <v>10837168</v>
      </c>
      <c r="H243" s="1">
        <v>41891</v>
      </c>
      <c r="I243" s="1">
        <v>41914</v>
      </c>
      <c r="J243" s="1">
        <v>41914</v>
      </c>
      <c r="K243" s="1">
        <v>42004</v>
      </c>
      <c r="N243" s="5"/>
      <c r="O243" s="2">
        <v>3084.16</v>
      </c>
      <c r="P243">
        <v>244</v>
      </c>
      <c r="Q243" s="2">
        <v>752535.04000000004</v>
      </c>
      <c r="R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 s="1">
        <v>42382</v>
      </c>
      <c r="AC243" t="s">
        <v>53</v>
      </c>
      <c r="AD243" t="s">
        <v>53</v>
      </c>
      <c r="AK243">
        <v>0</v>
      </c>
      <c r="AU243" s="6">
        <v>42248</v>
      </c>
      <c r="AV243" s="6">
        <v>42248</v>
      </c>
      <c r="AW243" t="s">
        <v>54</v>
      </c>
      <c r="AX243" t="str">
        <f t="shared" si="18"/>
        <v>FOR</v>
      </c>
      <c r="AY243" t="s">
        <v>55</v>
      </c>
    </row>
    <row r="244" spans="1:51" hidden="1">
      <c r="A244">
        <v>100066</v>
      </c>
      <c r="B244" t="s">
        <v>69</v>
      </c>
      <c r="C244" t="str">
        <f t="shared" si="21"/>
        <v>12268050155</v>
      </c>
      <c r="D244" t="str">
        <f t="shared" si="22"/>
        <v>04785851009</v>
      </c>
      <c r="E244" t="s">
        <v>52</v>
      </c>
      <c r="F244">
        <v>2014</v>
      </c>
      <c r="G244">
        <v>10837712</v>
      </c>
      <c r="H244" s="1">
        <v>41892</v>
      </c>
      <c r="I244" s="1">
        <v>41904</v>
      </c>
      <c r="J244" s="1">
        <v>41904</v>
      </c>
      <c r="K244" s="1">
        <v>41994</v>
      </c>
      <c r="N244" s="5"/>
      <c r="O244">
        <v>101.26</v>
      </c>
      <c r="P244">
        <v>254</v>
      </c>
      <c r="Q244" s="2">
        <v>25720.04</v>
      </c>
      <c r="R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 s="1">
        <v>42382</v>
      </c>
      <c r="AC244" t="s">
        <v>53</v>
      </c>
      <c r="AD244" t="s">
        <v>53</v>
      </c>
      <c r="AK244">
        <v>0</v>
      </c>
      <c r="AU244" s="6">
        <v>42248</v>
      </c>
      <c r="AV244" s="6">
        <v>42248</v>
      </c>
      <c r="AW244" t="s">
        <v>54</v>
      </c>
      <c r="AX244" t="str">
        <f t="shared" si="18"/>
        <v>FOR</v>
      </c>
      <c r="AY244" t="s">
        <v>55</v>
      </c>
    </row>
    <row r="245" spans="1:51" hidden="1">
      <c r="A245">
        <v>100066</v>
      </c>
      <c r="B245" t="s">
        <v>69</v>
      </c>
      <c r="C245" t="str">
        <f t="shared" si="21"/>
        <v>12268050155</v>
      </c>
      <c r="D245" t="str">
        <f t="shared" si="22"/>
        <v>04785851009</v>
      </c>
      <c r="E245" t="s">
        <v>52</v>
      </c>
      <c r="F245">
        <v>2014</v>
      </c>
      <c r="G245">
        <v>10837713</v>
      </c>
      <c r="H245" s="1">
        <v>41892</v>
      </c>
      <c r="I245" s="1">
        <v>41904</v>
      </c>
      <c r="J245" s="1">
        <v>41904</v>
      </c>
      <c r="K245" s="1">
        <v>41994</v>
      </c>
      <c r="N245" s="5"/>
      <c r="O245">
        <v>202.52</v>
      </c>
      <c r="P245">
        <v>254</v>
      </c>
      <c r="Q245" s="2">
        <v>51440.08</v>
      </c>
      <c r="R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 s="1">
        <v>42382</v>
      </c>
      <c r="AC245" t="s">
        <v>53</v>
      </c>
      <c r="AD245" t="s">
        <v>53</v>
      </c>
      <c r="AK245">
        <v>0</v>
      </c>
      <c r="AU245" s="6">
        <v>42248</v>
      </c>
      <c r="AV245" s="6">
        <v>42248</v>
      </c>
      <c r="AW245" t="s">
        <v>54</v>
      </c>
      <c r="AX245" t="str">
        <f t="shared" si="18"/>
        <v>FOR</v>
      </c>
      <c r="AY245" t="s">
        <v>55</v>
      </c>
    </row>
    <row r="246" spans="1:51" hidden="1">
      <c r="A246">
        <v>100066</v>
      </c>
      <c r="B246" t="s">
        <v>69</v>
      </c>
      <c r="C246" t="str">
        <f t="shared" si="21"/>
        <v>12268050155</v>
      </c>
      <c r="D246" t="str">
        <f t="shared" si="22"/>
        <v>04785851009</v>
      </c>
      <c r="E246" t="s">
        <v>52</v>
      </c>
      <c r="F246">
        <v>2014</v>
      </c>
      <c r="G246">
        <v>10837944</v>
      </c>
      <c r="H246" s="1">
        <v>41893</v>
      </c>
      <c r="I246" s="1">
        <v>41907</v>
      </c>
      <c r="J246" s="1">
        <v>41907</v>
      </c>
      <c r="K246" s="1">
        <v>41997</v>
      </c>
      <c r="N246" s="5"/>
      <c r="O246" s="2">
        <v>5143.5200000000004</v>
      </c>
      <c r="P246">
        <v>251</v>
      </c>
      <c r="Q246" s="2">
        <v>1291023.52</v>
      </c>
      <c r="R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 s="1">
        <v>42382</v>
      </c>
      <c r="AC246" t="s">
        <v>53</v>
      </c>
      <c r="AD246" t="s">
        <v>53</v>
      </c>
      <c r="AK246">
        <v>0</v>
      </c>
      <c r="AU246" s="6">
        <v>42248</v>
      </c>
      <c r="AV246" s="6">
        <v>42248</v>
      </c>
      <c r="AW246" t="s">
        <v>54</v>
      </c>
      <c r="AX246" t="str">
        <f t="shared" si="18"/>
        <v>FOR</v>
      </c>
      <c r="AY246" t="s">
        <v>55</v>
      </c>
    </row>
    <row r="247" spans="1:51" hidden="1">
      <c r="A247">
        <v>100066</v>
      </c>
      <c r="B247" t="s">
        <v>69</v>
      </c>
      <c r="C247" t="str">
        <f t="shared" si="21"/>
        <v>12268050155</v>
      </c>
      <c r="D247" t="str">
        <f t="shared" si="22"/>
        <v>04785851009</v>
      </c>
      <c r="E247" t="s">
        <v>52</v>
      </c>
      <c r="F247">
        <v>2014</v>
      </c>
      <c r="G247">
        <v>10837945</v>
      </c>
      <c r="H247" s="1">
        <v>41893</v>
      </c>
      <c r="I247" s="1">
        <v>41907</v>
      </c>
      <c r="J247" s="1">
        <v>41907</v>
      </c>
      <c r="K247" s="1">
        <v>41997</v>
      </c>
      <c r="N247" s="5"/>
      <c r="O247" s="2">
        <v>2807.46</v>
      </c>
      <c r="P247">
        <v>251</v>
      </c>
      <c r="Q247" s="2">
        <v>704672.46</v>
      </c>
      <c r="R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 s="1">
        <v>42382</v>
      </c>
      <c r="AC247" t="s">
        <v>53</v>
      </c>
      <c r="AD247" t="s">
        <v>53</v>
      </c>
      <c r="AK247">
        <v>0</v>
      </c>
      <c r="AU247" s="6">
        <v>42248</v>
      </c>
      <c r="AV247" s="6">
        <v>42248</v>
      </c>
      <c r="AW247" t="s">
        <v>54</v>
      </c>
      <c r="AX247" t="str">
        <f t="shared" si="18"/>
        <v>FOR</v>
      </c>
      <c r="AY247" t="s">
        <v>55</v>
      </c>
    </row>
    <row r="248" spans="1:51" hidden="1">
      <c r="A248">
        <v>100066</v>
      </c>
      <c r="B248" t="s">
        <v>69</v>
      </c>
      <c r="C248" t="str">
        <f t="shared" si="21"/>
        <v>12268050155</v>
      </c>
      <c r="D248" t="str">
        <f t="shared" si="22"/>
        <v>04785851009</v>
      </c>
      <c r="E248" t="s">
        <v>52</v>
      </c>
      <c r="F248">
        <v>2014</v>
      </c>
      <c r="G248">
        <v>10838230</v>
      </c>
      <c r="H248" s="1">
        <v>41894</v>
      </c>
      <c r="I248" s="1">
        <v>41915</v>
      </c>
      <c r="J248" s="1">
        <v>41915</v>
      </c>
      <c r="K248" s="1">
        <v>42005</v>
      </c>
      <c r="N248" s="5"/>
      <c r="O248" s="2">
        <v>17315.61</v>
      </c>
      <c r="P248">
        <v>243</v>
      </c>
      <c r="Q248" s="2">
        <v>4207693.2300000004</v>
      </c>
      <c r="R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 s="1">
        <v>42382</v>
      </c>
      <c r="AC248" t="s">
        <v>53</v>
      </c>
      <c r="AD248" t="s">
        <v>53</v>
      </c>
      <c r="AK248">
        <v>0</v>
      </c>
      <c r="AU248" s="6">
        <v>42248</v>
      </c>
      <c r="AV248" s="6">
        <v>42248</v>
      </c>
      <c r="AW248" t="s">
        <v>54</v>
      </c>
      <c r="AX248" t="str">
        <f t="shared" si="18"/>
        <v>FOR</v>
      </c>
      <c r="AY248" t="s">
        <v>55</v>
      </c>
    </row>
    <row r="249" spans="1:51" hidden="1">
      <c r="A249">
        <v>100066</v>
      </c>
      <c r="B249" t="s">
        <v>69</v>
      </c>
      <c r="C249" t="str">
        <f t="shared" si="21"/>
        <v>12268050155</v>
      </c>
      <c r="D249" t="str">
        <f t="shared" si="22"/>
        <v>04785851009</v>
      </c>
      <c r="E249" t="s">
        <v>52</v>
      </c>
      <c r="F249">
        <v>2014</v>
      </c>
      <c r="G249">
        <v>10838232</v>
      </c>
      <c r="H249" s="1">
        <v>41894</v>
      </c>
      <c r="I249" s="1">
        <v>41915</v>
      </c>
      <c r="J249" s="1">
        <v>41915</v>
      </c>
      <c r="K249" s="1">
        <v>42005</v>
      </c>
      <c r="N249" s="5"/>
      <c r="O249" s="2">
        <v>38975.93</v>
      </c>
      <c r="P249">
        <v>243</v>
      </c>
      <c r="Q249" s="2">
        <v>9471150.9900000002</v>
      </c>
      <c r="R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 s="1">
        <v>42382</v>
      </c>
      <c r="AC249" t="s">
        <v>53</v>
      </c>
      <c r="AD249" t="s">
        <v>53</v>
      </c>
      <c r="AK249">
        <v>0</v>
      </c>
      <c r="AU249" s="6">
        <v>42248</v>
      </c>
      <c r="AV249" s="6">
        <v>42248</v>
      </c>
      <c r="AW249" t="s">
        <v>54</v>
      </c>
      <c r="AX249" t="str">
        <f t="shared" si="18"/>
        <v>FOR</v>
      </c>
      <c r="AY249" t="s">
        <v>55</v>
      </c>
    </row>
    <row r="250" spans="1:51" hidden="1">
      <c r="A250">
        <v>100066</v>
      </c>
      <c r="B250" t="s">
        <v>69</v>
      </c>
      <c r="C250" t="str">
        <f t="shared" si="21"/>
        <v>12268050155</v>
      </c>
      <c r="D250" t="str">
        <f t="shared" si="22"/>
        <v>04785851009</v>
      </c>
      <c r="E250" t="s">
        <v>52</v>
      </c>
      <c r="F250">
        <v>2014</v>
      </c>
      <c r="G250">
        <v>10838233</v>
      </c>
      <c r="H250" s="1">
        <v>41894</v>
      </c>
      <c r="I250" s="1">
        <v>41915</v>
      </c>
      <c r="J250" s="1">
        <v>41915</v>
      </c>
      <c r="K250" s="1">
        <v>42005</v>
      </c>
      <c r="N250" s="5"/>
      <c r="O250" s="2">
        <v>28500.42</v>
      </c>
      <c r="P250">
        <v>243</v>
      </c>
      <c r="Q250" s="2">
        <v>6925602.0599999996</v>
      </c>
      <c r="R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 s="1">
        <v>42382</v>
      </c>
      <c r="AC250" t="s">
        <v>53</v>
      </c>
      <c r="AD250" t="s">
        <v>53</v>
      </c>
      <c r="AK250">
        <v>0</v>
      </c>
      <c r="AU250" s="6">
        <v>42248</v>
      </c>
      <c r="AV250" s="6">
        <v>42248</v>
      </c>
      <c r="AW250" t="s">
        <v>54</v>
      </c>
      <c r="AX250" t="str">
        <f t="shared" si="18"/>
        <v>FOR</v>
      </c>
      <c r="AY250" t="s">
        <v>55</v>
      </c>
    </row>
    <row r="251" spans="1:51" hidden="1">
      <c r="A251">
        <v>100066</v>
      </c>
      <c r="B251" t="s">
        <v>69</v>
      </c>
      <c r="C251" t="str">
        <f t="shared" si="21"/>
        <v>12268050155</v>
      </c>
      <c r="D251" t="str">
        <f t="shared" si="22"/>
        <v>04785851009</v>
      </c>
      <c r="E251" t="s">
        <v>52</v>
      </c>
      <c r="F251">
        <v>2014</v>
      </c>
      <c r="G251">
        <v>10838234</v>
      </c>
      <c r="H251" s="1">
        <v>41894</v>
      </c>
      <c r="I251" s="1">
        <v>41915</v>
      </c>
      <c r="J251" s="1">
        <v>41915</v>
      </c>
      <c r="K251" s="1">
        <v>42005</v>
      </c>
      <c r="N251" s="5"/>
      <c r="O251" s="2">
        <v>29741.07</v>
      </c>
      <c r="P251">
        <v>243</v>
      </c>
      <c r="Q251" s="2">
        <v>7227080.0099999998</v>
      </c>
      <c r="R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 s="1">
        <v>42382</v>
      </c>
      <c r="AC251" t="s">
        <v>53</v>
      </c>
      <c r="AD251" t="s">
        <v>53</v>
      </c>
      <c r="AK251">
        <v>0</v>
      </c>
      <c r="AU251" s="6">
        <v>42248</v>
      </c>
      <c r="AV251" s="6">
        <v>42248</v>
      </c>
      <c r="AW251" t="s">
        <v>54</v>
      </c>
      <c r="AX251" t="str">
        <f t="shared" si="18"/>
        <v>FOR</v>
      </c>
      <c r="AY251" t="s">
        <v>55</v>
      </c>
    </row>
    <row r="252" spans="1:51" hidden="1">
      <c r="A252">
        <v>100066</v>
      </c>
      <c r="B252" t="s">
        <v>69</v>
      </c>
      <c r="C252" t="str">
        <f t="shared" si="21"/>
        <v>12268050155</v>
      </c>
      <c r="D252" t="str">
        <f t="shared" si="22"/>
        <v>04785851009</v>
      </c>
      <c r="E252" t="s">
        <v>52</v>
      </c>
      <c r="F252">
        <v>2014</v>
      </c>
      <c r="G252">
        <v>10839613</v>
      </c>
      <c r="H252" s="1">
        <v>41904</v>
      </c>
      <c r="I252" s="1">
        <v>41915</v>
      </c>
      <c r="J252" s="1">
        <v>41915</v>
      </c>
      <c r="K252" s="1">
        <v>42005</v>
      </c>
      <c r="N252" s="5"/>
      <c r="O252" s="2">
        <v>4066.66</v>
      </c>
      <c r="P252">
        <v>243</v>
      </c>
      <c r="Q252" s="2">
        <v>988198.38</v>
      </c>
      <c r="R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 s="1">
        <v>42382</v>
      </c>
      <c r="AC252" t="s">
        <v>53</v>
      </c>
      <c r="AD252" t="s">
        <v>53</v>
      </c>
      <c r="AK252">
        <v>0</v>
      </c>
      <c r="AU252" s="6">
        <v>42248</v>
      </c>
      <c r="AV252" s="6">
        <v>42248</v>
      </c>
      <c r="AW252" t="s">
        <v>54</v>
      </c>
      <c r="AX252" t="str">
        <f t="shared" si="18"/>
        <v>FOR</v>
      </c>
      <c r="AY252" t="s">
        <v>55</v>
      </c>
    </row>
    <row r="253" spans="1:51" hidden="1">
      <c r="A253">
        <v>100066</v>
      </c>
      <c r="B253" t="s">
        <v>69</v>
      </c>
      <c r="C253" t="str">
        <f t="shared" si="21"/>
        <v>12268050155</v>
      </c>
      <c r="D253" t="str">
        <f t="shared" si="22"/>
        <v>04785851009</v>
      </c>
      <c r="E253" t="s">
        <v>52</v>
      </c>
      <c r="F253">
        <v>2014</v>
      </c>
      <c r="G253">
        <v>10839614</v>
      </c>
      <c r="H253" s="1">
        <v>41904</v>
      </c>
      <c r="I253" s="1">
        <v>41915</v>
      </c>
      <c r="J253" s="1">
        <v>41915</v>
      </c>
      <c r="K253" s="1">
        <v>42005</v>
      </c>
      <c r="N253" s="5"/>
      <c r="O253" s="2">
        <v>36600</v>
      </c>
      <c r="P253">
        <v>243</v>
      </c>
      <c r="Q253" s="2">
        <v>8893800</v>
      </c>
      <c r="R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 s="1">
        <v>42382</v>
      </c>
      <c r="AC253" t="s">
        <v>53</v>
      </c>
      <c r="AD253" t="s">
        <v>53</v>
      </c>
      <c r="AK253">
        <v>0</v>
      </c>
      <c r="AU253" s="6">
        <v>42248</v>
      </c>
      <c r="AV253" s="6">
        <v>42248</v>
      </c>
      <c r="AW253" t="s">
        <v>54</v>
      </c>
      <c r="AX253" t="str">
        <f t="shared" si="18"/>
        <v>FOR</v>
      </c>
      <c r="AY253" t="s">
        <v>55</v>
      </c>
    </row>
    <row r="254" spans="1:51" hidden="1">
      <c r="A254">
        <v>100066</v>
      </c>
      <c r="B254" t="s">
        <v>69</v>
      </c>
      <c r="C254" t="str">
        <f t="shared" si="21"/>
        <v>12268050155</v>
      </c>
      <c r="D254" t="str">
        <f t="shared" si="22"/>
        <v>04785851009</v>
      </c>
      <c r="E254" t="s">
        <v>52</v>
      </c>
      <c r="F254">
        <v>2014</v>
      </c>
      <c r="G254">
        <v>10840025</v>
      </c>
      <c r="H254" s="1">
        <v>41905</v>
      </c>
      <c r="I254" s="1">
        <v>41920</v>
      </c>
      <c r="J254" s="1">
        <v>41920</v>
      </c>
      <c r="K254" s="1">
        <v>42010</v>
      </c>
      <c r="N254" s="5"/>
      <c r="O254" s="2">
        <v>3922.06</v>
      </c>
      <c r="P254">
        <v>238</v>
      </c>
      <c r="Q254" s="2">
        <v>933450.28</v>
      </c>
      <c r="R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 s="1">
        <v>42382</v>
      </c>
      <c r="AC254" t="s">
        <v>53</v>
      </c>
      <c r="AD254" t="s">
        <v>53</v>
      </c>
      <c r="AK254">
        <v>0</v>
      </c>
      <c r="AU254" s="6">
        <v>42248</v>
      </c>
      <c r="AV254" s="6">
        <v>42248</v>
      </c>
      <c r="AW254" t="s">
        <v>54</v>
      </c>
      <c r="AX254" t="str">
        <f t="shared" si="18"/>
        <v>FOR</v>
      </c>
      <c r="AY254" t="s">
        <v>55</v>
      </c>
    </row>
    <row r="255" spans="1:51" hidden="1">
      <c r="A255">
        <v>100066</v>
      </c>
      <c r="B255" t="s">
        <v>69</v>
      </c>
      <c r="C255" t="str">
        <f t="shared" si="21"/>
        <v>12268050155</v>
      </c>
      <c r="D255" t="str">
        <f t="shared" si="22"/>
        <v>04785851009</v>
      </c>
      <c r="E255" t="s">
        <v>52</v>
      </c>
      <c r="F255">
        <v>2014</v>
      </c>
      <c r="G255">
        <v>10842074</v>
      </c>
      <c r="H255" s="1">
        <v>41911</v>
      </c>
      <c r="I255" s="1">
        <v>41990</v>
      </c>
      <c r="J255" s="1">
        <v>41990</v>
      </c>
      <c r="K255" s="1">
        <v>42050</v>
      </c>
      <c r="N255" s="5"/>
      <c r="O255" s="2">
        <v>4148</v>
      </c>
      <c r="P255">
        <v>198</v>
      </c>
      <c r="Q255" s="2">
        <v>821304</v>
      </c>
      <c r="R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 s="1">
        <v>42382</v>
      </c>
      <c r="AC255" t="s">
        <v>53</v>
      </c>
      <c r="AD255" t="s">
        <v>53</v>
      </c>
      <c r="AK255">
        <v>0</v>
      </c>
      <c r="AU255" s="6">
        <v>42248</v>
      </c>
      <c r="AV255" s="6">
        <v>42248</v>
      </c>
      <c r="AW255" t="s">
        <v>54</v>
      </c>
      <c r="AX255" t="str">
        <f t="shared" si="18"/>
        <v>FOR</v>
      </c>
      <c r="AY255" t="s">
        <v>55</v>
      </c>
    </row>
    <row r="256" spans="1:51" hidden="1">
      <c r="A256">
        <v>100066</v>
      </c>
      <c r="B256" t="s">
        <v>69</v>
      </c>
      <c r="C256" t="str">
        <f t="shared" si="21"/>
        <v>12268050155</v>
      </c>
      <c r="D256" t="str">
        <f t="shared" si="22"/>
        <v>04785851009</v>
      </c>
      <c r="E256" t="s">
        <v>52</v>
      </c>
      <c r="F256">
        <v>2014</v>
      </c>
      <c r="G256">
        <v>10842583</v>
      </c>
      <c r="H256" s="1">
        <v>41913</v>
      </c>
      <c r="I256" s="1">
        <v>41929</v>
      </c>
      <c r="J256" s="1">
        <v>41929</v>
      </c>
      <c r="K256" s="1">
        <v>41989</v>
      </c>
      <c r="N256" s="5"/>
      <c r="O256" s="2">
        <v>2731.15</v>
      </c>
      <c r="P256">
        <v>288</v>
      </c>
      <c r="Q256" s="2">
        <v>786571.2</v>
      </c>
      <c r="R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 s="1">
        <v>42382</v>
      </c>
      <c r="AC256" t="s">
        <v>53</v>
      </c>
      <c r="AD256" t="s">
        <v>53</v>
      </c>
      <c r="AK256">
        <v>0</v>
      </c>
      <c r="AU256" s="6">
        <v>42277</v>
      </c>
      <c r="AV256" s="6">
        <v>42277</v>
      </c>
      <c r="AW256" t="s">
        <v>54</v>
      </c>
      <c r="AX256" t="str">
        <f t="shared" si="18"/>
        <v>FOR</v>
      </c>
      <c r="AY256" t="s">
        <v>55</v>
      </c>
    </row>
    <row r="257" spans="1:51" hidden="1">
      <c r="A257">
        <v>100066</v>
      </c>
      <c r="B257" t="s">
        <v>69</v>
      </c>
      <c r="C257" t="str">
        <f t="shared" si="21"/>
        <v>12268050155</v>
      </c>
      <c r="D257" t="str">
        <f t="shared" si="22"/>
        <v>04785851009</v>
      </c>
      <c r="E257" t="s">
        <v>52</v>
      </c>
      <c r="F257">
        <v>2014</v>
      </c>
      <c r="G257">
        <v>10842978</v>
      </c>
      <c r="H257" s="1">
        <v>41915</v>
      </c>
      <c r="I257" s="1">
        <v>41932</v>
      </c>
      <c r="J257" s="1">
        <v>41932</v>
      </c>
      <c r="K257" s="1">
        <v>41992</v>
      </c>
      <c r="N257" s="5"/>
      <c r="O257" s="2">
        <v>6000.45</v>
      </c>
      <c r="P257">
        <v>285</v>
      </c>
      <c r="Q257" s="2">
        <v>1710128.25</v>
      </c>
      <c r="R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 s="1">
        <v>42382</v>
      </c>
      <c r="AC257" t="s">
        <v>53</v>
      </c>
      <c r="AD257" t="s">
        <v>53</v>
      </c>
      <c r="AK257">
        <v>0</v>
      </c>
      <c r="AU257" s="6">
        <v>42277</v>
      </c>
      <c r="AV257" s="6">
        <v>42277</v>
      </c>
      <c r="AW257" t="s">
        <v>54</v>
      </c>
      <c r="AX257" t="str">
        <f t="shared" si="18"/>
        <v>FOR</v>
      </c>
      <c r="AY257" t="s">
        <v>55</v>
      </c>
    </row>
    <row r="258" spans="1:51" hidden="1">
      <c r="A258">
        <v>100066</v>
      </c>
      <c r="B258" t="s">
        <v>69</v>
      </c>
      <c r="C258" t="str">
        <f t="shared" si="21"/>
        <v>12268050155</v>
      </c>
      <c r="D258" t="str">
        <f t="shared" si="22"/>
        <v>04785851009</v>
      </c>
      <c r="E258" t="s">
        <v>52</v>
      </c>
      <c r="F258">
        <v>2014</v>
      </c>
      <c r="G258">
        <v>10843799</v>
      </c>
      <c r="H258" s="1">
        <v>41921</v>
      </c>
      <c r="I258" s="1">
        <v>41935</v>
      </c>
      <c r="J258" s="1">
        <v>41935</v>
      </c>
      <c r="K258" s="1">
        <v>41995</v>
      </c>
      <c r="N258" s="5"/>
      <c r="O258">
        <v>239.12</v>
      </c>
      <c r="P258">
        <v>282</v>
      </c>
      <c r="Q258" s="2">
        <v>67431.839999999997</v>
      </c>
      <c r="R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 s="1">
        <v>42382</v>
      </c>
      <c r="AC258" t="s">
        <v>53</v>
      </c>
      <c r="AD258" t="s">
        <v>53</v>
      </c>
      <c r="AK258">
        <v>0</v>
      </c>
      <c r="AU258" s="6">
        <v>42277</v>
      </c>
      <c r="AV258" s="6">
        <v>42277</v>
      </c>
      <c r="AW258" t="s">
        <v>54</v>
      </c>
      <c r="AX258" t="str">
        <f t="shared" si="18"/>
        <v>FOR</v>
      </c>
      <c r="AY258" t="s">
        <v>55</v>
      </c>
    </row>
    <row r="259" spans="1:51" hidden="1">
      <c r="A259">
        <v>100066</v>
      </c>
      <c r="B259" t="s">
        <v>69</v>
      </c>
      <c r="C259" t="str">
        <f t="shared" si="21"/>
        <v>12268050155</v>
      </c>
      <c r="D259" t="str">
        <f t="shared" si="22"/>
        <v>04785851009</v>
      </c>
      <c r="E259" t="s">
        <v>52</v>
      </c>
      <c r="F259">
        <v>2014</v>
      </c>
      <c r="G259">
        <v>10844512</v>
      </c>
      <c r="H259" s="1">
        <v>41926</v>
      </c>
      <c r="I259" s="1">
        <v>41939</v>
      </c>
      <c r="J259" s="1">
        <v>41939</v>
      </c>
      <c r="K259" s="1">
        <v>41999</v>
      </c>
      <c r="N259" s="5"/>
      <c r="O259" s="2">
        <v>3922.06</v>
      </c>
      <c r="P259">
        <v>278</v>
      </c>
      <c r="Q259" s="2">
        <v>1090332.68</v>
      </c>
      <c r="R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 s="1">
        <v>42382</v>
      </c>
      <c r="AC259" t="s">
        <v>53</v>
      </c>
      <c r="AD259" t="s">
        <v>53</v>
      </c>
      <c r="AK259">
        <v>0</v>
      </c>
      <c r="AU259" s="6">
        <v>42277</v>
      </c>
      <c r="AV259" s="6">
        <v>42277</v>
      </c>
      <c r="AW259" t="s">
        <v>54</v>
      </c>
      <c r="AX259" t="str">
        <f t="shared" ref="AX259:AX322" si="23">"FOR"</f>
        <v>FOR</v>
      </c>
      <c r="AY259" t="s">
        <v>55</v>
      </c>
    </row>
    <row r="260" spans="1:51" hidden="1">
      <c r="A260">
        <v>100066</v>
      </c>
      <c r="B260" t="s">
        <v>69</v>
      </c>
      <c r="C260" t="str">
        <f t="shared" si="21"/>
        <v>12268050155</v>
      </c>
      <c r="D260" t="str">
        <f t="shared" si="22"/>
        <v>04785851009</v>
      </c>
      <c r="E260" t="s">
        <v>52</v>
      </c>
      <c r="F260">
        <v>2014</v>
      </c>
      <c r="G260">
        <v>10845078</v>
      </c>
      <c r="H260" s="1">
        <v>41929</v>
      </c>
      <c r="I260" s="1">
        <v>41946</v>
      </c>
      <c r="J260" s="1">
        <v>41946</v>
      </c>
      <c r="K260" s="1">
        <v>42006</v>
      </c>
      <c r="N260" s="5"/>
      <c r="O260" s="2">
        <v>1156.56</v>
      </c>
      <c r="P260">
        <v>271</v>
      </c>
      <c r="Q260" s="2">
        <v>313427.76</v>
      </c>
      <c r="R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 s="1">
        <v>42382</v>
      </c>
      <c r="AC260" t="s">
        <v>53</v>
      </c>
      <c r="AD260" t="s">
        <v>53</v>
      </c>
      <c r="AK260">
        <v>0</v>
      </c>
      <c r="AU260" s="6">
        <v>42277</v>
      </c>
      <c r="AV260" s="6">
        <v>42277</v>
      </c>
      <c r="AW260" t="s">
        <v>54</v>
      </c>
      <c r="AX260" t="str">
        <f t="shared" si="23"/>
        <v>FOR</v>
      </c>
      <c r="AY260" t="s">
        <v>55</v>
      </c>
    </row>
    <row r="261" spans="1:51" hidden="1">
      <c r="A261">
        <v>100066</v>
      </c>
      <c r="B261" t="s">
        <v>69</v>
      </c>
      <c r="C261" t="str">
        <f t="shared" si="21"/>
        <v>12268050155</v>
      </c>
      <c r="D261" t="str">
        <f t="shared" si="22"/>
        <v>04785851009</v>
      </c>
      <c r="E261" t="s">
        <v>52</v>
      </c>
      <c r="F261">
        <v>2014</v>
      </c>
      <c r="G261">
        <v>10845401</v>
      </c>
      <c r="H261" s="1">
        <v>41933</v>
      </c>
      <c r="I261" s="1">
        <v>41948</v>
      </c>
      <c r="J261" s="1">
        <v>41948</v>
      </c>
      <c r="K261" s="1">
        <v>42008</v>
      </c>
      <c r="N261" s="5"/>
      <c r="O261" s="2">
        <v>8290.6299999999992</v>
      </c>
      <c r="P261">
        <v>269</v>
      </c>
      <c r="Q261" s="2">
        <v>2230179.4700000002</v>
      </c>
      <c r="R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 s="1">
        <v>42382</v>
      </c>
      <c r="AC261" t="s">
        <v>53</v>
      </c>
      <c r="AD261" t="s">
        <v>53</v>
      </c>
      <c r="AK261">
        <v>0</v>
      </c>
      <c r="AU261" s="6">
        <v>42277</v>
      </c>
      <c r="AV261" s="6">
        <v>42277</v>
      </c>
      <c r="AW261" t="s">
        <v>54</v>
      </c>
      <c r="AX261" t="str">
        <f t="shared" si="23"/>
        <v>FOR</v>
      </c>
      <c r="AY261" t="s">
        <v>55</v>
      </c>
    </row>
    <row r="262" spans="1:51" hidden="1">
      <c r="A262">
        <v>100066</v>
      </c>
      <c r="B262" t="s">
        <v>69</v>
      </c>
      <c r="C262" t="str">
        <f t="shared" si="21"/>
        <v>12268050155</v>
      </c>
      <c r="D262" t="str">
        <f t="shared" si="22"/>
        <v>04785851009</v>
      </c>
      <c r="E262" t="s">
        <v>52</v>
      </c>
      <c r="F262">
        <v>2014</v>
      </c>
      <c r="G262">
        <v>10845781</v>
      </c>
      <c r="H262" s="1">
        <v>41935</v>
      </c>
      <c r="I262" s="1">
        <v>41948</v>
      </c>
      <c r="J262" s="1">
        <v>41948</v>
      </c>
      <c r="K262" s="1">
        <v>42008</v>
      </c>
      <c r="N262" s="5"/>
      <c r="O262" s="2">
        <v>3721</v>
      </c>
      <c r="P262">
        <v>269</v>
      </c>
      <c r="Q262" s="2">
        <v>1000949</v>
      </c>
      <c r="R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 s="1">
        <v>42382</v>
      </c>
      <c r="AC262" t="s">
        <v>53</v>
      </c>
      <c r="AD262" t="s">
        <v>53</v>
      </c>
      <c r="AK262">
        <v>0</v>
      </c>
      <c r="AU262" s="6">
        <v>42277</v>
      </c>
      <c r="AV262" s="6">
        <v>42277</v>
      </c>
      <c r="AW262" t="s">
        <v>54</v>
      </c>
      <c r="AX262" t="str">
        <f t="shared" si="23"/>
        <v>FOR</v>
      </c>
      <c r="AY262" t="s">
        <v>55</v>
      </c>
    </row>
    <row r="263" spans="1:51" hidden="1">
      <c r="A263">
        <v>100066</v>
      </c>
      <c r="B263" t="s">
        <v>69</v>
      </c>
      <c r="C263" t="str">
        <f t="shared" si="21"/>
        <v>12268050155</v>
      </c>
      <c r="D263" t="str">
        <f t="shared" si="22"/>
        <v>04785851009</v>
      </c>
      <c r="E263" t="s">
        <v>52</v>
      </c>
      <c r="F263">
        <v>2014</v>
      </c>
      <c r="G263">
        <v>10845975</v>
      </c>
      <c r="H263" s="1">
        <v>41937</v>
      </c>
      <c r="I263" s="1">
        <v>41947</v>
      </c>
      <c r="J263" s="1">
        <v>41947</v>
      </c>
      <c r="K263" s="1">
        <v>42007</v>
      </c>
      <c r="N263" s="5"/>
      <c r="O263" s="2">
        <v>4066.66</v>
      </c>
      <c r="P263">
        <v>270</v>
      </c>
      <c r="Q263" s="2">
        <v>1097998.2</v>
      </c>
      <c r="R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 s="1">
        <v>42382</v>
      </c>
      <c r="AC263" t="s">
        <v>53</v>
      </c>
      <c r="AD263" t="s">
        <v>53</v>
      </c>
      <c r="AK263">
        <v>0</v>
      </c>
      <c r="AU263" s="6">
        <v>42277</v>
      </c>
      <c r="AV263" s="6">
        <v>42277</v>
      </c>
      <c r="AW263" t="s">
        <v>54</v>
      </c>
      <c r="AX263" t="str">
        <f t="shared" si="23"/>
        <v>FOR</v>
      </c>
      <c r="AY263" t="s">
        <v>55</v>
      </c>
    </row>
    <row r="264" spans="1:51" hidden="1">
      <c r="A264">
        <v>100066</v>
      </c>
      <c r="B264" t="s">
        <v>69</v>
      </c>
      <c r="C264" t="str">
        <f t="shared" si="21"/>
        <v>12268050155</v>
      </c>
      <c r="D264" t="str">
        <f t="shared" si="22"/>
        <v>04785851009</v>
      </c>
      <c r="E264" t="s">
        <v>52</v>
      </c>
      <c r="F264">
        <v>2014</v>
      </c>
      <c r="G264">
        <v>10845976</v>
      </c>
      <c r="H264" s="1">
        <v>41937</v>
      </c>
      <c r="I264" s="1">
        <v>41947</v>
      </c>
      <c r="J264" s="1">
        <v>41947</v>
      </c>
      <c r="K264" s="1">
        <v>42007</v>
      </c>
      <c r="N264" s="5"/>
      <c r="O264">
        <v>546.23</v>
      </c>
      <c r="P264">
        <v>270</v>
      </c>
      <c r="Q264" s="2">
        <v>147482.1</v>
      </c>
      <c r="R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 s="1">
        <v>42382</v>
      </c>
      <c r="AC264" t="s">
        <v>53</v>
      </c>
      <c r="AD264" t="s">
        <v>53</v>
      </c>
      <c r="AK264">
        <v>0</v>
      </c>
      <c r="AU264" s="6">
        <v>42277</v>
      </c>
      <c r="AV264" s="6">
        <v>42277</v>
      </c>
      <c r="AW264" t="s">
        <v>54</v>
      </c>
      <c r="AX264" t="str">
        <f t="shared" si="23"/>
        <v>FOR</v>
      </c>
      <c r="AY264" t="s">
        <v>55</v>
      </c>
    </row>
    <row r="265" spans="1:51" hidden="1">
      <c r="A265">
        <v>100066</v>
      </c>
      <c r="B265" t="s">
        <v>69</v>
      </c>
      <c r="C265" t="str">
        <f t="shared" si="21"/>
        <v>12268050155</v>
      </c>
      <c r="D265" t="str">
        <f t="shared" si="22"/>
        <v>04785851009</v>
      </c>
      <c r="E265" t="s">
        <v>52</v>
      </c>
      <c r="F265">
        <v>2014</v>
      </c>
      <c r="G265">
        <v>10846257</v>
      </c>
      <c r="H265" s="1">
        <v>41939</v>
      </c>
      <c r="I265" s="1">
        <v>41950</v>
      </c>
      <c r="J265" s="1">
        <v>41950</v>
      </c>
      <c r="K265" s="1">
        <v>42010</v>
      </c>
      <c r="N265" s="5"/>
      <c r="O265">
        <v>305</v>
      </c>
      <c r="P265">
        <v>267</v>
      </c>
      <c r="Q265" s="2">
        <v>81435</v>
      </c>
      <c r="R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 s="1">
        <v>42382</v>
      </c>
      <c r="AC265" t="s">
        <v>53</v>
      </c>
      <c r="AD265" t="s">
        <v>53</v>
      </c>
      <c r="AK265">
        <v>0</v>
      </c>
      <c r="AU265" s="6">
        <v>42277</v>
      </c>
      <c r="AV265" s="6">
        <v>42277</v>
      </c>
      <c r="AW265" t="s">
        <v>54</v>
      </c>
      <c r="AX265" t="str">
        <f t="shared" si="23"/>
        <v>FOR</v>
      </c>
      <c r="AY265" t="s">
        <v>55</v>
      </c>
    </row>
    <row r="266" spans="1:51">
      <c r="A266">
        <v>100066</v>
      </c>
      <c r="B266" t="s">
        <v>69</v>
      </c>
      <c r="C266" t="str">
        <f t="shared" si="21"/>
        <v>12268050155</v>
      </c>
      <c r="D266" t="str">
        <f t="shared" si="22"/>
        <v>04785851009</v>
      </c>
      <c r="E266" t="s">
        <v>52</v>
      </c>
      <c r="F266">
        <v>2014</v>
      </c>
      <c r="G266">
        <v>10847612</v>
      </c>
      <c r="H266" s="1">
        <v>41947</v>
      </c>
      <c r="I266" s="1">
        <v>41967</v>
      </c>
      <c r="J266" s="1">
        <v>41967</v>
      </c>
      <c r="K266" s="1">
        <v>42027</v>
      </c>
      <c r="L266" s="7">
        <v>1429.12</v>
      </c>
      <c r="M266" s="5">
        <v>277</v>
      </c>
      <c r="N266" s="7">
        <v>395866.24</v>
      </c>
      <c r="O266" s="2">
        <v>1429.12</v>
      </c>
      <c r="P266">
        <v>277</v>
      </c>
      <c r="Q266" s="2">
        <v>395866.24</v>
      </c>
      <c r="R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 s="1">
        <v>42382</v>
      </c>
      <c r="AC266" t="s">
        <v>53</v>
      </c>
      <c r="AD266" t="s">
        <v>53</v>
      </c>
      <c r="AK266">
        <v>0</v>
      </c>
      <c r="AU266" s="6">
        <v>42304</v>
      </c>
      <c r="AV266" s="6">
        <v>42304</v>
      </c>
      <c r="AW266" t="s">
        <v>54</v>
      </c>
      <c r="AX266" t="str">
        <f t="shared" si="23"/>
        <v>FOR</v>
      </c>
      <c r="AY266" t="s">
        <v>55</v>
      </c>
    </row>
    <row r="267" spans="1:51">
      <c r="A267">
        <v>100066</v>
      </c>
      <c r="B267" t="s">
        <v>69</v>
      </c>
      <c r="C267" t="str">
        <f t="shared" si="21"/>
        <v>12268050155</v>
      </c>
      <c r="D267" t="str">
        <f t="shared" si="22"/>
        <v>04785851009</v>
      </c>
      <c r="E267" t="s">
        <v>52</v>
      </c>
      <c r="F267">
        <v>2014</v>
      </c>
      <c r="G267">
        <v>10847613</v>
      </c>
      <c r="H267" s="1">
        <v>41947</v>
      </c>
      <c r="I267" s="1">
        <v>41967</v>
      </c>
      <c r="J267" s="1">
        <v>41967</v>
      </c>
      <c r="K267" s="1">
        <v>42027</v>
      </c>
      <c r="L267" s="7">
        <v>3290.84</v>
      </c>
      <c r="M267" s="5">
        <v>277</v>
      </c>
      <c r="N267" s="7">
        <v>911562.68</v>
      </c>
      <c r="O267" s="2">
        <v>3290.84</v>
      </c>
      <c r="P267">
        <v>277</v>
      </c>
      <c r="Q267" s="2">
        <v>911562.68</v>
      </c>
      <c r="R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 s="1">
        <v>42382</v>
      </c>
      <c r="AC267" t="s">
        <v>53</v>
      </c>
      <c r="AD267" t="s">
        <v>53</v>
      </c>
      <c r="AK267">
        <v>0</v>
      </c>
      <c r="AU267" s="6">
        <v>42304</v>
      </c>
      <c r="AV267" s="6">
        <v>42304</v>
      </c>
      <c r="AW267" t="s">
        <v>54</v>
      </c>
      <c r="AX267" t="str">
        <f t="shared" si="23"/>
        <v>FOR</v>
      </c>
      <c r="AY267" t="s">
        <v>55</v>
      </c>
    </row>
    <row r="268" spans="1:51">
      <c r="A268">
        <v>100066</v>
      </c>
      <c r="B268" t="s">
        <v>69</v>
      </c>
      <c r="C268" t="str">
        <f t="shared" si="21"/>
        <v>12268050155</v>
      </c>
      <c r="D268" t="str">
        <f t="shared" si="22"/>
        <v>04785851009</v>
      </c>
      <c r="E268" t="s">
        <v>52</v>
      </c>
      <c r="F268">
        <v>2014</v>
      </c>
      <c r="G268">
        <v>10848973</v>
      </c>
      <c r="H268" s="1">
        <v>41955</v>
      </c>
      <c r="I268" s="1">
        <v>41971</v>
      </c>
      <c r="J268" s="1">
        <v>41971</v>
      </c>
      <c r="K268" s="1">
        <v>42031</v>
      </c>
      <c r="L268" s="7">
        <v>2266.7600000000002</v>
      </c>
      <c r="M268" s="5">
        <v>273</v>
      </c>
      <c r="N268" s="7">
        <v>618825.48</v>
      </c>
      <c r="O268" s="2">
        <v>2266.7600000000002</v>
      </c>
      <c r="P268">
        <v>273</v>
      </c>
      <c r="Q268" s="2">
        <v>618825.48</v>
      </c>
      <c r="R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 s="1">
        <v>42382</v>
      </c>
      <c r="AC268" t="s">
        <v>53</v>
      </c>
      <c r="AD268" t="s">
        <v>53</v>
      </c>
      <c r="AK268">
        <v>0</v>
      </c>
      <c r="AU268" s="6">
        <v>42304</v>
      </c>
      <c r="AV268" s="6">
        <v>42304</v>
      </c>
      <c r="AW268" t="s">
        <v>54</v>
      </c>
      <c r="AX268" t="str">
        <f t="shared" si="23"/>
        <v>FOR</v>
      </c>
      <c r="AY268" t="s">
        <v>55</v>
      </c>
    </row>
    <row r="269" spans="1:51">
      <c r="A269">
        <v>100066</v>
      </c>
      <c r="B269" t="s">
        <v>69</v>
      </c>
      <c r="C269" t="str">
        <f t="shared" si="21"/>
        <v>12268050155</v>
      </c>
      <c r="D269" t="str">
        <f t="shared" si="22"/>
        <v>04785851009</v>
      </c>
      <c r="E269" t="s">
        <v>52</v>
      </c>
      <c r="F269">
        <v>2014</v>
      </c>
      <c r="G269">
        <v>10849514</v>
      </c>
      <c r="H269" s="1">
        <v>41960</v>
      </c>
      <c r="I269" s="1">
        <v>41976</v>
      </c>
      <c r="J269" s="1">
        <v>41976</v>
      </c>
      <c r="K269" s="1">
        <v>42036</v>
      </c>
      <c r="L269" s="7">
        <v>4542.3</v>
      </c>
      <c r="M269" s="5">
        <v>268</v>
      </c>
      <c r="N269" s="7">
        <v>1217336.3999999999</v>
      </c>
      <c r="O269" s="2">
        <v>4542.3</v>
      </c>
      <c r="P269">
        <v>268</v>
      </c>
      <c r="Q269" s="2">
        <v>1217336.3999999999</v>
      </c>
      <c r="R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 s="1">
        <v>42382</v>
      </c>
      <c r="AC269" t="s">
        <v>53</v>
      </c>
      <c r="AD269" t="s">
        <v>53</v>
      </c>
      <c r="AK269">
        <v>0</v>
      </c>
      <c r="AU269" s="6">
        <v>42304</v>
      </c>
      <c r="AV269" s="6">
        <v>42304</v>
      </c>
      <c r="AW269" t="s">
        <v>54</v>
      </c>
      <c r="AX269" t="str">
        <f t="shared" si="23"/>
        <v>FOR</v>
      </c>
      <c r="AY269" t="s">
        <v>55</v>
      </c>
    </row>
    <row r="270" spans="1:51">
      <c r="A270">
        <v>100066</v>
      </c>
      <c r="B270" t="s">
        <v>69</v>
      </c>
      <c r="C270" t="str">
        <f t="shared" si="21"/>
        <v>12268050155</v>
      </c>
      <c r="D270" t="str">
        <f t="shared" si="22"/>
        <v>04785851009</v>
      </c>
      <c r="E270" t="s">
        <v>52</v>
      </c>
      <c r="F270">
        <v>2014</v>
      </c>
      <c r="G270">
        <v>10849900</v>
      </c>
      <c r="H270" s="1">
        <v>41962</v>
      </c>
      <c r="I270" s="1">
        <v>41978</v>
      </c>
      <c r="J270" s="1">
        <v>41978</v>
      </c>
      <c r="K270" s="1">
        <v>42038</v>
      </c>
      <c r="L270" s="7">
        <v>3922.06</v>
      </c>
      <c r="M270" s="5">
        <v>266</v>
      </c>
      <c r="N270" s="7">
        <v>1043267.96</v>
      </c>
      <c r="O270" s="2">
        <v>3922.06</v>
      </c>
      <c r="P270">
        <v>266</v>
      </c>
      <c r="Q270" s="2">
        <v>1043267.96</v>
      </c>
      <c r="R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 s="1">
        <v>42382</v>
      </c>
      <c r="AC270" t="s">
        <v>53</v>
      </c>
      <c r="AD270" t="s">
        <v>53</v>
      </c>
      <c r="AK270">
        <v>0</v>
      </c>
      <c r="AU270" s="6">
        <v>42304</v>
      </c>
      <c r="AV270" s="6">
        <v>42304</v>
      </c>
      <c r="AW270" t="s">
        <v>54</v>
      </c>
      <c r="AX270" t="str">
        <f t="shared" si="23"/>
        <v>FOR</v>
      </c>
      <c r="AY270" t="s">
        <v>55</v>
      </c>
    </row>
    <row r="271" spans="1:51">
      <c r="A271">
        <v>100066</v>
      </c>
      <c r="B271" t="s">
        <v>69</v>
      </c>
      <c r="C271" t="str">
        <f t="shared" si="21"/>
        <v>12268050155</v>
      </c>
      <c r="D271" t="str">
        <f t="shared" si="22"/>
        <v>04785851009</v>
      </c>
      <c r="E271" t="s">
        <v>52</v>
      </c>
      <c r="F271">
        <v>2014</v>
      </c>
      <c r="G271">
        <v>10850111</v>
      </c>
      <c r="H271" s="1">
        <v>41963</v>
      </c>
      <c r="I271" s="1">
        <v>41978</v>
      </c>
      <c r="J271" s="1">
        <v>41978</v>
      </c>
      <c r="K271" s="1">
        <v>42038</v>
      </c>
      <c r="L271" s="7">
        <v>6035.44</v>
      </c>
      <c r="M271" s="5">
        <v>266</v>
      </c>
      <c r="N271" s="7">
        <v>1605427.04</v>
      </c>
      <c r="O271" s="2">
        <v>6035.44</v>
      </c>
      <c r="P271">
        <v>266</v>
      </c>
      <c r="Q271" s="2">
        <v>1605427.04</v>
      </c>
      <c r="R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 s="1">
        <v>42382</v>
      </c>
      <c r="AC271" t="s">
        <v>53</v>
      </c>
      <c r="AD271" t="s">
        <v>53</v>
      </c>
      <c r="AK271">
        <v>0</v>
      </c>
      <c r="AU271" s="6">
        <v>42304</v>
      </c>
      <c r="AV271" s="6">
        <v>42304</v>
      </c>
      <c r="AW271" t="s">
        <v>54</v>
      </c>
      <c r="AX271" t="str">
        <f t="shared" si="23"/>
        <v>FOR</v>
      </c>
      <c r="AY271" t="s">
        <v>55</v>
      </c>
    </row>
    <row r="272" spans="1:51">
      <c r="A272">
        <v>100066</v>
      </c>
      <c r="B272" t="s">
        <v>69</v>
      </c>
      <c r="C272" t="str">
        <f t="shared" si="21"/>
        <v>12268050155</v>
      </c>
      <c r="D272" t="str">
        <f t="shared" si="22"/>
        <v>04785851009</v>
      </c>
      <c r="E272" t="s">
        <v>52</v>
      </c>
      <c r="F272">
        <v>2014</v>
      </c>
      <c r="G272">
        <v>10850112</v>
      </c>
      <c r="H272" s="1">
        <v>41963</v>
      </c>
      <c r="I272" s="1">
        <v>41978</v>
      </c>
      <c r="J272" s="1">
        <v>41978</v>
      </c>
      <c r="K272" s="1">
        <v>42038</v>
      </c>
      <c r="L272" s="7">
        <v>1334.07</v>
      </c>
      <c r="M272" s="5">
        <v>266</v>
      </c>
      <c r="N272" s="7">
        <v>354862.62</v>
      </c>
      <c r="O272" s="2">
        <v>1334.07</v>
      </c>
      <c r="P272">
        <v>266</v>
      </c>
      <c r="Q272" s="2">
        <v>354862.62</v>
      </c>
      <c r="R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 s="1">
        <v>42382</v>
      </c>
      <c r="AC272" t="s">
        <v>53</v>
      </c>
      <c r="AD272" t="s">
        <v>53</v>
      </c>
      <c r="AK272">
        <v>0</v>
      </c>
      <c r="AU272" s="6">
        <v>42304</v>
      </c>
      <c r="AV272" s="6">
        <v>42304</v>
      </c>
      <c r="AW272" t="s">
        <v>54</v>
      </c>
      <c r="AX272" t="str">
        <f t="shared" si="23"/>
        <v>FOR</v>
      </c>
      <c r="AY272" t="s">
        <v>55</v>
      </c>
    </row>
    <row r="273" spans="1:51">
      <c r="A273">
        <v>100066</v>
      </c>
      <c r="B273" t="s">
        <v>69</v>
      </c>
      <c r="C273" t="str">
        <f t="shared" ref="C273:C304" si="24">"12268050155"</f>
        <v>12268050155</v>
      </c>
      <c r="D273" t="str">
        <f t="shared" ref="D273:D304" si="25">"04785851009"</f>
        <v>04785851009</v>
      </c>
      <c r="E273" t="s">
        <v>52</v>
      </c>
      <c r="F273">
        <v>2014</v>
      </c>
      <c r="G273">
        <v>10850113</v>
      </c>
      <c r="H273" s="1">
        <v>41963</v>
      </c>
      <c r="I273" s="1">
        <v>41978</v>
      </c>
      <c r="J273" s="1">
        <v>41978</v>
      </c>
      <c r="K273" s="1">
        <v>42038</v>
      </c>
      <c r="L273" s="7">
        <v>8899.2900000000009</v>
      </c>
      <c r="M273" s="5">
        <v>266</v>
      </c>
      <c r="N273" s="7">
        <v>2367211.14</v>
      </c>
      <c r="O273" s="2">
        <v>8899.2900000000009</v>
      </c>
      <c r="P273">
        <v>266</v>
      </c>
      <c r="Q273" s="2">
        <v>2367211.14</v>
      </c>
      <c r="R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 s="1">
        <v>42382</v>
      </c>
      <c r="AC273" t="s">
        <v>53</v>
      </c>
      <c r="AD273" t="s">
        <v>53</v>
      </c>
      <c r="AK273">
        <v>0</v>
      </c>
      <c r="AU273" s="6">
        <v>42304</v>
      </c>
      <c r="AV273" s="6">
        <v>42304</v>
      </c>
      <c r="AW273" t="s">
        <v>54</v>
      </c>
      <c r="AX273" t="str">
        <f t="shared" si="23"/>
        <v>FOR</v>
      </c>
      <c r="AY273" t="s">
        <v>55</v>
      </c>
    </row>
    <row r="274" spans="1:51">
      <c r="A274">
        <v>100066</v>
      </c>
      <c r="B274" t="s">
        <v>69</v>
      </c>
      <c r="C274" t="str">
        <f t="shared" si="24"/>
        <v>12268050155</v>
      </c>
      <c r="D274" t="str">
        <f t="shared" si="25"/>
        <v>04785851009</v>
      </c>
      <c r="E274" t="s">
        <v>52</v>
      </c>
      <c r="F274">
        <v>2014</v>
      </c>
      <c r="G274">
        <v>10850114</v>
      </c>
      <c r="H274" s="1">
        <v>41963</v>
      </c>
      <c r="I274" s="1">
        <v>41978</v>
      </c>
      <c r="J274" s="1">
        <v>41978</v>
      </c>
      <c r="K274" s="1">
        <v>42038</v>
      </c>
      <c r="L274" s="7">
        <v>14160.67</v>
      </c>
      <c r="M274" s="5">
        <v>266</v>
      </c>
      <c r="N274" s="7">
        <v>3766738.22</v>
      </c>
      <c r="O274" s="2">
        <v>14160.67</v>
      </c>
      <c r="P274">
        <v>266</v>
      </c>
      <c r="Q274" s="2">
        <v>3766738.22</v>
      </c>
      <c r="R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 s="1">
        <v>42382</v>
      </c>
      <c r="AC274" t="s">
        <v>53</v>
      </c>
      <c r="AD274" t="s">
        <v>53</v>
      </c>
      <c r="AK274">
        <v>0</v>
      </c>
      <c r="AU274" s="6">
        <v>42304</v>
      </c>
      <c r="AV274" s="6">
        <v>42304</v>
      </c>
      <c r="AW274" t="s">
        <v>54</v>
      </c>
      <c r="AX274" t="str">
        <f t="shared" si="23"/>
        <v>FOR</v>
      </c>
      <c r="AY274" t="s">
        <v>55</v>
      </c>
    </row>
    <row r="275" spans="1:51" hidden="1">
      <c r="A275">
        <v>100066</v>
      </c>
      <c r="B275" t="s">
        <v>69</v>
      </c>
      <c r="C275" t="str">
        <f t="shared" si="24"/>
        <v>12268050155</v>
      </c>
      <c r="D275" t="str">
        <f t="shared" si="25"/>
        <v>04785851009</v>
      </c>
      <c r="E275" t="s">
        <v>52</v>
      </c>
      <c r="F275">
        <v>2014</v>
      </c>
      <c r="G275">
        <v>10850326</v>
      </c>
      <c r="H275" s="1">
        <v>41967</v>
      </c>
      <c r="I275" s="1">
        <v>41988</v>
      </c>
      <c r="J275" s="1">
        <v>41988</v>
      </c>
      <c r="K275" s="1">
        <v>42048</v>
      </c>
      <c r="N275" s="5"/>
      <c r="O275" s="2">
        <v>4066.66</v>
      </c>
      <c r="P275">
        <v>229</v>
      </c>
      <c r="Q275" s="2">
        <v>931265.14</v>
      </c>
      <c r="R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 s="1">
        <v>42382</v>
      </c>
      <c r="AC275" t="s">
        <v>53</v>
      </c>
      <c r="AD275" t="s">
        <v>53</v>
      </c>
      <c r="AK275">
        <v>0</v>
      </c>
      <c r="AU275" s="6">
        <v>42277</v>
      </c>
      <c r="AV275" s="6">
        <v>42277</v>
      </c>
      <c r="AW275" t="s">
        <v>54</v>
      </c>
      <c r="AX275" t="str">
        <f t="shared" si="23"/>
        <v>FOR</v>
      </c>
      <c r="AY275" t="s">
        <v>55</v>
      </c>
    </row>
    <row r="276" spans="1:51" hidden="1">
      <c r="A276">
        <v>100066</v>
      </c>
      <c r="B276" t="s">
        <v>69</v>
      </c>
      <c r="C276" t="str">
        <f t="shared" si="24"/>
        <v>12268050155</v>
      </c>
      <c r="D276" t="str">
        <f t="shared" si="25"/>
        <v>04785851009</v>
      </c>
      <c r="E276" t="s">
        <v>52</v>
      </c>
      <c r="F276">
        <v>2014</v>
      </c>
      <c r="G276">
        <v>10850327</v>
      </c>
      <c r="H276" s="1">
        <v>41967</v>
      </c>
      <c r="I276" s="1">
        <v>41985</v>
      </c>
      <c r="J276" s="1">
        <v>41985</v>
      </c>
      <c r="K276" s="1">
        <v>42045</v>
      </c>
      <c r="N276" s="5"/>
      <c r="O276">
        <v>546.23</v>
      </c>
      <c r="P276">
        <v>232</v>
      </c>
      <c r="Q276" s="2">
        <v>126725.36</v>
      </c>
      <c r="R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 s="1">
        <v>42382</v>
      </c>
      <c r="AC276" t="s">
        <v>53</v>
      </c>
      <c r="AD276" t="s">
        <v>53</v>
      </c>
      <c r="AK276">
        <v>0</v>
      </c>
      <c r="AU276" s="6">
        <v>42277</v>
      </c>
      <c r="AV276" s="6">
        <v>42277</v>
      </c>
      <c r="AW276" t="s">
        <v>54</v>
      </c>
      <c r="AX276" t="str">
        <f t="shared" si="23"/>
        <v>FOR</v>
      </c>
      <c r="AY276" t="s">
        <v>55</v>
      </c>
    </row>
    <row r="277" spans="1:51">
      <c r="A277">
        <v>100066</v>
      </c>
      <c r="B277" t="s">
        <v>69</v>
      </c>
      <c r="C277" t="str">
        <f t="shared" si="24"/>
        <v>12268050155</v>
      </c>
      <c r="D277" t="str">
        <f t="shared" si="25"/>
        <v>04785851009</v>
      </c>
      <c r="E277" t="s">
        <v>52</v>
      </c>
      <c r="F277">
        <v>2014</v>
      </c>
      <c r="G277">
        <v>10850490</v>
      </c>
      <c r="H277" s="1">
        <v>41967</v>
      </c>
      <c r="I277" s="1">
        <v>41988</v>
      </c>
      <c r="J277" s="1">
        <v>41988</v>
      </c>
      <c r="K277" s="1">
        <v>42048</v>
      </c>
      <c r="L277" s="7">
        <v>762.5</v>
      </c>
      <c r="M277" s="5">
        <v>256</v>
      </c>
      <c r="N277" s="7">
        <v>195200</v>
      </c>
      <c r="O277">
        <v>762.5</v>
      </c>
      <c r="P277">
        <v>256</v>
      </c>
      <c r="Q277" s="2">
        <v>195200</v>
      </c>
      <c r="R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 s="1">
        <v>42382</v>
      </c>
      <c r="AC277" t="s">
        <v>53</v>
      </c>
      <c r="AD277" t="s">
        <v>53</v>
      </c>
      <c r="AK277">
        <v>0</v>
      </c>
      <c r="AU277" s="6">
        <v>42304</v>
      </c>
      <c r="AV277" s="6">
        <v>42304</v>
      </c>
      <c r="AW277" t="s">
        <v>54</v>
      </c>
      <c r="AX277" t="str">
        <f t="shared" si="23"/>
        <v>FOR</v>
      </c>
      <c r="AY277" t="s">
        <v>55</v>
      </c>
    </row>
    <row r="278" spans="1:51">
      <c r="A278">
        <v>100066</v>
      </c>
      <c r="B278" t="s">
        <v>69</v>
      </c>
      <c r="C278" t="str">
        <f t="shared" si="24"/>
        <v>12268050155</v>
      </c>
      <c r="D278" t="str">
        <f t="shared" si="25"/>
        <v>04785851009</v>
      </c>
      <c r="E278" t="s">
        <v>52</v>
      </c>
      <c r="F278">
        <v>2014</v>
      </c>
      <c r="G278">
        <v>10852429</v>
      </c>
      <c r="H278" s="1">
        <v>41975</v>
      </c>
      <c r="I278" s="1">
        <v>42002</v>
      </c>
      <c r="J278" s="1">
        <v>42002</v>
      </c>
      <c r="K278" s="1">
        <v>42062</v>
      </c>
      <c r="L278" s="7">
        <v>298.89999999999998</v>
      </c>
      <c r="M278" s="5">
        <v>278</v>
      </c>
      <c r="N278" s="7">
        <v>83094.2</v>
      </c>
      <c r="O278">
        <v>298.89999999999998</v>
      </c>
      <c r="P278">
        <v>278</v>
      </c>
      <c r="Q278" s="2">
        <v>83094.2</v>
      </c>
      <c r="R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 s="1">
        <v>42382</v>
      </c>
      <c r="AC278" t="s">
        <v>53</v>
      </c>
      <c r="AD278" t="s">
        <v>53</v>
      </c>
      <c r="AK278">
        <v>0</v>
      </c>
      <c r="AU278" s="6">
        <v>42340</v>
      </c>
      <c r="AV278" s="6">
        <v>42340</v>
      </c>
      <c r="AW278" t="s">
        <v>54</v>
      </c>
      <c r="AX278" t="str">
        <f t="shared" si="23"/>
        <v>FOR</v>
      </c>
      <c r="AY278" t="s">
        <v>55</v>
      </c>
    </row>
    <row r="279" spans="1:51">
      <c r="A279">
        <v>100066</v>
      </c>
      <c r="B279" t="s">
        <v>69</v>
      </c>
      <c r="C279" t="str">
        <f t="shared" si="24"/>
        <v>12268050155</v>
      </c>
      <c r="D279" t="str">
        <f t="shared" si="25"/>
        <v>04785851009</v>
      </c>
      <c r="E279" t="s">
        <v>52</v>
      </c>
      <c r="F279">
        <v>2014</v>
      </c>
      <c r="G279">
        <v>10852430</v>
      </c>
      <c r="H279" s="1">
        <v>41975</v>
      </c>
      <c r="I279" s="1">
        <v>41996</v>
      </c>
      <c r="J279" s="1">
        <v>41996</v>
      </c>
      <c r="K279" s="1">
        <v>42056</v>
      </c>
      <c r="L279" s="7">
        <v>1598.2</v>
      </c>
      <c r="M279" s="5">
        <v>284</v>
      </c>
      <c r="N279" s="7">
        <v>453888.8</v>
      </c>
      <c r="O279" s="2">
        <v>1598.2</v>
      </c>
      <c r="P279">
        <v>284</v>
      </c>
      <c r="Q279" s="2">
        <v>453888.8</v>
      </c>
      <c r="R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 s="1">
        <v>42382</v>
      </c>
      <c r="AC279" t="s">
        <v>53</v>
      </c>
      <c r="AD279" t="s">
        <v>53</v>
      </c>
      <c r="AK279">
        <v>0</v>
      </c>
      <c r="AU279" s="6">
        <v>42340</v>
      </c>
      <c r="AV279" s="6">
        <v>42340</v>
      </c>
      <c r="AW279" t="s">
        <v>54</v>
      </c>
      <c r="AX279" t="str">
        <f t="shared" si="23"/>
        <v>FOR</v>
      </c>
      <c r="AY279" t="s">
        <v>55</v>
      </c>
    </row>
    <row r="280" spans="1:51">
      <c r="A280">
        <v>100066</v>
      </c>
      <c r="B280" t="s">
        <v>69</v>
      </c>
      <c r="C280" t="str">
        <f t="shared" si="24"/>
        <v>12268050155</v>
      </c>
      <c r="D280" t="str">
        <f t="shared" si="25"/>
        <v>04785851009</v>
      </c>
      <c r="E280" t="s">
        <v>52</v>
      </c>
      <c r="F280">
        <v>2014</v>
      </c>
      <c r="G280">
        <v>10852873</v>
      </c>
      <c r="H280" s="1">
        <v>41977</v>
      </c>
      <c r="I280" s="1">
        <v>42002</v>
      </c>
      <c r="J280" s="1">
        <v>42002</v>
      </c>
      <c r="K280" s="1">
        <v>42062</v>
      </c>
      <c r="L280" s="7">
        <v>2271.15</v>
      </c>
      <c r="M280" s="5">
        <v>278</v>
      </c>
      <c r="N280" s="7">
        <v>631379.69999999995</v>
      </c>
      <c r="O280" s="2">
        <v>2271.15</v>
      </c>
      <c r="P280">
        <v>278</v>
      </c>
      <c r="Q280" s="2">
        <v>631379.69999999995</v>
      </c>
      <c r="R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 s="1">
        <v>42382</v>
      </c>
      <c r="AC280" t="s">
        <v>53</v>
      </c>
      <c r="AD280" t="s">
        <v>53</v>
      </c>
      <c r="AK280">
        <v>0</v>
      </c>
      <c r="AU280" s="6">
        <v>42340</v>
      </c>
      <c r="AV280" s="6">
        <v>42340</v>
      </c>
      <c r="AW280" t="s">
        <v>54</v>
      </c>
      <c r="AX280" t="str">
        <f t="shared" si="23"/>
        <v>FOR</v>
      </c>
      <c r="AY280" t="s">
        <v>55</v>
      </c>
    </row>
    <row r="281" spans="1:51">
      <c r="A281">
        <v>100066</v>
      </c>
      <c r="B281" t="s">
        <v>69</v>
      </c>
      <c r="C281" t="str">
        <f t="shared" si="24"/>
        <v>12268050155</v>
      </c>
      <c r="D281" t="str">
        <f t="shared" si="25"/>
        <v>04785851009</v>
      </c>
      <c r="E281" t="s">
        <v>52</v>
      </c>
      <c r="F281">
        <v>2014</v>
      </c>
      <c r="G281">
        <v>10853090</v>
      </c>
      <c r="H281" s="1">
        <v>41981</v>
      </c>
      <c r="I281" s="1">
        <v>42080</v>
      </c>
      <c r="J281" s="1">
        <v>42080</v>
      </c>
      <c r="K281" s="1">
        <v>42140</v>
      </c>
      <c r="L281" s="7">
        <v>1307.3499999999999</v>
      </c>
      <c r="M281" s="5">
        <v>200</v>
      </c>
      <c r="N281" s="7">
        <v>261470</v>
      </c>
      <c r="O281" s="2">
        <v>1307.3499999999999</v>
      </c>
      <c r="P281">
        <v>200</v>
      </c>
      <c r="Q281" s="2">
        <v>261470</v>
      </c>
      <c r="R281">
        <v>0</v>
      </c>
      <c r="V281">
        <v>0</v>
      </c>
      <c r="W281">
        <v>0</v>
      </c>
      <c r="X281">
        <v>0</v>
      </c>
      <c r="Y281">
        <v>0</v>
      </c>
      <c r="Z281" s="2">
        <v>1307.3499999999999</v>
      </c>
      <c r="AA281">
        <v>0</v>
      </c>
      <c r="AB281" s="1">
        <v>42382</v>
      </c>
      <c r="AC281" t="s">
        <v>53</v>
      </c>
      <c r="AD281" t="s">
        <v>53</v>
      </c>
      <c r="AK281">
        <v>0</v>
      </c>
      <c r="AU281" s="6">
        <v>42340</v>
      </c>
      <c r="AV281" s="6">
        <v>42340</v>
      </c>
      <c r="AW281" t="s">
        <v>54</v>
      </c>
      <c r="AX281" t="str">
        <f t="shared" si="23"/>
        <v>FOR</v>
      </c>
      <c r="AY281" t="s">
        <v>55</v>
      </c>
    </row>
    <row r="282" spans="1:51">
      <c r="A282">
        <v>100066</v>
      </c>
      <c r="B282" t="s">
        <v>69</v>
      </c>
      <c r="C282" t="str">
        <f t="shared" si="24"/>
        <v>12268050155</v>
      </c>
      <c r="D282" t="str">
        <f t="shared" si="25"/>
        <v>04785851009</v>
      </c>
      <c r="E282" t="s">
        <v>52</v>
      </c>
      <c r="F282">
        <v>2014</v>
      </c>
      <c r="G282">
        <v>10853325</v>
      </c>
      <c r="H282" s="1">
        <v>41982</v>
      </c>
      <c r="I282" s="1">
        <v>42002</v>
      </c>
      <c r="J282" s="1">
        <v>42002</v>
      </c>
      <c r="K282" s="1">
        <v>42062</v>
      </c>
      <c r="L282" s="7">
        <v>1044.32</v>
      </c>
      <c r="M282" s="5">
        <v>278</v>
      </c>
      <c r="N282" s="7">
        <v>290320.96000000002</v>
      </c>
      <c r="O282" s="2">
        <v>1044.32</v>
      </c>
      <c r="P282">
        <v>278</v>
      </c>
      <c r="Q282" s="2">
        <v>290320.96000000002</v>
      </c>
      <c r="R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 s="1">
        <v>42382</v>
      </c>
      <c r="AC282" t="s">
        <v>53</v>
      </c>
      <c r="AD282" t="s">
        <v>53</v>
      </c>
      <c r="AK282">
        <v>0</v>
      </c>
      <c r="AU282" s="6">
        <v>42340</v>
      </c>
      <c r="AV282" s="6">
        <v>42340</v>
      </c>
      <c r="AW282" t="s">
        <v>54</v>
      </c>
      <c r="AX282" t="str">
        <f t="shared" si="23"/>
        <v>FOR</v>
      </c>
      <c r="AY282" t="s">
        <v>55</v>
      </c>
    </row>
    <row r="283" spans="1:51">
      <c r="A283">
        <v>100066</v>
      </c>
      <c r="B283" t="s">
        <v>69</v>
      </c>
      <c r="C283" t="str">
        <f t="shared" si="24"/>
        <v>12268050155</v>
      </c>
      <c r="D283" t="str">
        <f t="shared" si="25"/>
        <v>04785851009</v>
      </c>
      <c r="E283" t="s">
        <v>52</v>
      </c>
      <c r="F283">
        <v>2014</v>
      </c>
      <c r="G283">
        <v>10853846</v>
      </c>
      <c r="H283" s="1">
        <v>41984</v>
      </c>
      <c r="I283" s="1">
        <v>42032</v>
      </c>
      <c r="J283" s="1">
        <v>42032</v>
      </c>
      <c r="K283" s="1">
        <v>42092</v>
      </c>
      <c r="L283" s="7">
        <v>4066.66</v>
      </c>
      <c r="M283" s="5">
        <v>248</v>
      </c>
      <c r="N283" s="7">
        <v>1008531.68</v>
      </c>
      <c r="O283" s="2">
        <v>4066.66</v>
      </c>
      <c r="P283">
        <v>248</v>
      </c>
      <c r="Q283" s="2">
        <v>1008531.68</v>
      </c>
      <c r="R283">
        <v>0</v>
      </c>
      <c r="V283">
        <v>0</v>
      </c>
      <c r="W283">
        <v>0</v>
      </c>
      <c r="X283">
        <v>0</v>
      </c>
      <c r="Y283">
        <v>0</v>
      </c>
      <c r="Z283" s="2">
        <v>4066.66</v>
      </c>
      <c r="AA283">
        <v>0</v>
      </c>
      <c r="AB283" s="1">
        <v>42382</v>
      </c>
      <c r="AC283" t="s">
        <v>53</v>
      </c>
      <c r="AD283" t="s">
        <v>53</v>
      </c>
      <c r="AK283">
        <v>0</v>
      </c>
      <c r="AU283" s="6">
        <v>42340</v>
      </c>
      <c r="AV283" s="6">
        <v>42340</v>
      </c>
      <c r="AW283" t="s">
        <v>54</v>
      </c>
      <c r="AX283" t="str">
        <f t="shared" si="23"/>
        <v>FOR</v>
      </c>
      <c r="AY283" t="s">
        <v>55</v>
      </c>
    </row>
    <row r="284" spans="1:51">
      <c r="A284">
        <v>100066</v>
      </c>
      <c r="B284" t="s">
        <v>69</v>
      </c>
      <c r="C284" t="str">
        <f t="shared" si="24"/>
        <v>12268050155</v>
      </c>
      <c r="D284" t="str">
        <f t="shared" si="25"/>
        <v>04785851009</v>
      </c>
      <c r="E284" t="s">
        <v>52</v>
      </c>
      <c r="F284">
        <v>2014</v>
      </c>
      <c r="G284">
        <v>10853847</v>
      </c>
      <c r="H284" s="1">
        <v>41984</v>
      </c>
      <c r="I284" s="1">
        <v>42032</v>
      </c>
      <c r="J284" s="1">
        <v>42032</v>
      </c>
      <c r="K284" s="1">
        <v>42092</v>
      </c>
      <c r="L284" s="7">
        <v>36600</v>
      </c>
      <c r="M284" s="5">
        <v>248</v>
      </c>
      <c r="N284" s="7">
        <v>9076800</v>
      </c>
      <c r="O284" s="2">
        <v>36600</v>
      </c>
      <c r="P284">
        <v>248</v>
      </c>
      <c r="Q284" s="2">
        <v>9076800</v>
      </c>
      <c r="R284">
        <v>0</v>
      </c>
      <c r="V284">
        <v>0</v>
      </c>
      <c r="W284">
        <v>0</v>
      </c>
      <c r="X284">
        <v>0</v>
      </c>
      <c r="Y284">
        <v>0</v>
      </c>
      <c r="Z284" s="2">
        <v>36600</v>
      </c>
      <c r="AA284">
        <v>0</v>
      </c>
      <c r="AB284" s="1">
        <v>42382</v>
      </c>
      <c r="AC284" t="s">
        <v>53</v>
      </c>
      <c r="AD284" t="s">
        <v>53</v>
      </c>
      <c r="AK284">
        <v>0</v>
      </c>
      <c r="AU284" s="6">
        <v>42340</v>
      </c>
      <c r="AV284" s="6">
        <v>42340</v>
      </c>
      <c r="AW284" t="s">
        <v>54</v>
      </c>
      <c r="AX284" t="str">
        <f t="shared" si="23"/>
        <v>FOR</v>
      </c>
      <c r="AY284" t="s">
        <v>55</v>
      </c>
    </row>
    <row r="285" spans="1:51">
      <c r="A285">
        <v>100066</v>
      </c>
      <c r="B285" t="s">
        <v>69</v>
      </c>
      <c r="C285" t="str">
        <f t="shared" si="24"/>
        <v>12268050155</v>
      </c>
      <c r="D285" t="str">
        <f t="shared" si="25"/>
        <v>04785851009</v>
      </c>
      <c r="E285" t="s">
        <v>52</v>
      </c>
      <c r="F285">
        <v>2014</v>
      </c>
      <c r="G285">
        <v>10853848</v>
      </c>
      <c r="H285" s="1">
        <v>41984</v>
      </c>
      <c r="I285" s="1">
        <v>42030</v>
      </c>
      <c r="J285" s="1">
        <v>42030</v>
      </c>
      <c r="K285" s="1">
        <v>42090</v>
      </c>
      <c r="L285" s="7">
        <v>546.23</v>
      </c>
      <c r="M285" s="5">
        <v>214</v>
      </c>
      <c r="N285" s="7">
        <v>116893.22</v>
      </c>
      <c r="O285">
        <v>546.23</v>
      </c>
      <c r="P285">
        <v>214</v>
      </c>
      <c r="Q285" s="2">
        <v>116893.22</v>
      </c>
      <c r="R285">
        <v>0</v>
      </c>
      <c r="V285">
        <v>0</v>
      </c>
      <c r="W285">
        <v>0</v>
      </c>
      <c r="X285">
        <v>0</v>
      </c>
      <c r="Y285">
        <v>0</v>
      </c>
      <c r="Z285">
        <v>546.23</v>
      </c>
      <c r="AA285">
        <v>0</v>
      </c>
      <c r="AB285" s="1">
        <v>42382</v>
      </c>
      <c r="AC285" t="s">
        <v>53</v>
      </c>
      <c r="AD285" t="s">
        <v>53</v>
      </c>
      <c r="AK285">
        <v>0</v>
      </c>
      <c r="AU285" s="6">
        <v>42304</v>
      </c>
      <c r="AV285" s="6">
        <v>42304</v>
      </c>
      <c r="AW285" t="s">
        <v>54</v>
      </c>
      <c r="AX285" t="str">
        <f t="shared" si="23"/>
        <v>FOR</v>
      </c>
      <c r="AY285" t="s">
        <v>55</v>
      </c>
    </row>
    <row r="286" spans="1:51">
      <c r="A286">
        <v>100066</v>
      </c>
      <c r="B286" t="s">
        <v>69</v>
      </c>
      <c r="C286" t="str">
        <f t="shared" si="24"/>
        <v>12268050155</v>
      </c>
      <c r="D286" t="str">
        <f t="shared" si="25"/>
        <v>04785851009</v>
      </c>
      <c r="E286" t="s">
        <v>52</v>
      </c>
      <c r="F286">
        <v>2014</v>
      </c>
      <c r="G286">
        <v>10854010</v>
      </c>
      <c r="H286" s="1">
        <v>41984</v>
      </c>
      <c r="I286" s="1">
        <v>42031</v>
      </c>
      <c r="J286" s="1">
        <v>42031</v>
      </c>
      <c r="K286" s="1">
        <v>42091</v>
      </c>
      <c r="L286" s="7">
        <v>3343.78</v>
      </c>
      <c r="M286" s="5">
        <v>249</v>
      </c>
      <c r="N286" s="7">
        <v>832601.22</v>
      </c>
      <c r="O286" s="2">
        <v>3343.78</v>
      </c>
      <c r="P286">
        <v>249</v>
      </c>
      <c r="Q286" s="2">
        <v>832601.22</v>
      </c>
      <c r="R286">
        <v>0</v>
      </c>
      <c r="V286">
        <v>0</v>
      </c>
      <c r="W286">
        <v>0</v>
      </c>
      <c r="X286">
        <v>0</v>
      </c>
      <c r="Y286">
        <v>0</v>
      </c>
      <c r="Z286" s="2">
        <v>3343.78</v>
      </c>
      <c r="AA286">
        <v>0</v>
      </c>
      <c r="AB286" s="1">
        <v>42382</v>
      </c>
      <c r="AC286" t="s">
        <v>53</v>
      </c>
      <c r="AD286" t="s">
        <v>53</v>
      </c>
      <c r="AK286">
        <v>0</v>
      </c>
      <c r="AU286" s="6">
        <v>42340</v>
      </c>
      <c r="AV286" s="6">
        <v>42340</v>
      </c>
      <c r="AW286" t="s">
        <v>54</v>
      </c>
      <c r="AX286" t="str">
        <f t="shared" si="23"/>
        <v>FOR</v>
      </c>
      <c r="AY286" t="s">
        <v>55</v>
      </c>
    </row>
    <row r="287" spans="1:51">
      <c r="A287">
        <v>100066</v>
      </c>
      <c r="B287" t="s">
        <v>69</v>
      </c>
      <c r="C287" t="str">
        <f t="shared" si="24"/>
        <v>12268050155</v>
      </c>
      <c r="D287" t="str">
        <f t="shared" si="25"/>
        <v>04785851009</v>
      </c>
      <c r="E287" t="s">
        <v>52</v>
      </c>
      <c r="F287">
        <v>2014</v>
      </c>
      <c r="G287">
        <v>10856198</v>
      </c>
      <c r="H287" s="1">
        <v>41991</v>
      </c>
      <c r="I287" s="1">
        <v>42033</v>
      </c>
      <c r="J287" s="1">
        <v>42033</v>
      </c>
      <c r="K287" s="1">
        <v>42093</v>
      </c>
      <c r="L287" s="7">
        <v>1114.5899999999999</v>
      </c>
      <c r="M287" s="5">
        <v>247</v>
      </c>
      <c r="N287" s="7">
        <v>275303.73</v>
      </c>
      <c r="O287" s="2">
        <v>1114.5899999999999</v>
      </c>
      <c r="P287">
        <v>247</v>
      </c>
      <c r="Q287" s="2">
        <v>275303.73</v>
      </c>
      <c r="R287">
        <v>0</v>
      </c>
      <c r="V287">
        <v>0</v>
      </c>
      <c r="W287">
        <v>0</v>
      </c>
      <c r="X287">
        <v>0</v>
      </c>
      <c r="Y287">
        <v>0</v>
      </c>
      <c r="Z287" s="2">
        <v>1114.5899999999999</v>
      </c>
      <c r="AA287">
        <v>0</v>
      </c>
      <c r="AB287" s="1">
        <v>42382</v>
      </c>
      <c r="AC287" t="s">
        <v>53</v>
      </c>
      <c r="AD287" t="s">
        <v>53</v>
      </c>
      <c r="AK287">
        <v>0</v>
      </c>
      <c r="AU287" s="6">
        <v>42340</v>
      </c>
      <c r="AV287" s="6">
        <v>42340</v>
      </c>
      <c r="AW287" t="s">
        <v>54</v>
      </c>
      <c r="AX287" t="str">
        <f t="shared" si="23"/>
        <v>FOR</v>
      </c>
      <c r="AY287" t="s">
        <v>55</v>
      </c>
    </row>
    <row r="288" spans="1:51">
      <c r="A288">
        <v>100066</v>
      </c>
      <c r="B288" t="s">
        <v>69</v>
      </c>
      <c r="C288" t="str">
        <f t="shared" si="24"/>
        <v>12268050155</v>
      </c>
      <c r="D288" t="str">
        <f t="shared" si="25"/>
        <v>04785851009</v>
      </c>
      <c r="E288" t="s">
        <v>52</v>
      </c>
      <c r="F288">
        <v>2014</v>
      </c>
      <c r="G288">
        <v>10856395</v>
      </c>
      <c r="H288" s="1">
        <v>41992</v>
      </c>
      <c r="I288" s="1">
        <v>42080</v>
      </c>
      <c r="J288" s="1">
        <v>42080</v>
      </c>
      <c r="K288" s="1">
        <v>42140</v>
      </c>
      <c r="L288" s="7">
        <v>4134.1899999999996</v>
      </c>
      <c r="M288" s="5">
        <v>200</v>
      </c>
      <c r="N288" s="7">
        <v>826838</v>
      </c>
      <c r="O288" s="2">
        <v>4134.1899999999996</v>
      </c>
      <c r="P288">
        <v>200</v>
      </c>
      <c r="Q288" s="2">
        <v>826838</v>
      </c>
      <c r="R288">
        <v>0</v>
      </c>
      <c r="V288">
        <v>0</v>
      </c>
      <c r="W288">
        <v>0</v>
      </c>
      <c r="X288">
        <v>0</v>
      </c>
      <c r="Y288">
        <v>0</v>
      </c>
      <c r="Z288" s="2">
        <v>4134.1899999999996</v>
      </c>
      <c r="AA288">
        <v>0</v>
      </c>
      <c r="AB288" s="1">
        <v>42382</v>
      </c>
      <c r="AC288" t="s">
        <v>53</v>
      </c>
      <c r="AD288" t="s">
        <v>53</v>
      </c>
      <c r="AK288">
        <v>0</v>
      </c>
      <c r="AU288" s="6">
        <v>42340</v>
      </c>
      <c r="AV288" s="6">
        <v>42340</v>
      </c>
      <c r="AW288" t="s">
        <v>54</v>
      </c>
      <c r="AX288" t="str">
        <f t="shared" si="23"/>
        <v>FOR</v>
      </c>
      <c r="AY288" t="s">
        <v>55</v>
      </c>
    </row>
    <row r="289" spans="1:51">
      <c r="A289">
        <v>100066</v>
      </c>
      <c r="B289" t="s">
        <v>69</v>
      </c>
      <c r="C289" t="str">
        <f t="shared" si="24"/>
        <v>12268050155</v>
      </c>
      <c r="D289" t="str">
        <f t="shared" si="25"/>
        <v>04785851009</v>
      </c>
      <c r="E289" t="s">
        <v>52</v>
      </c>
      <c r="F289">
        <v>2014</v>
      </c>
      <c r="G289">
        <v>10856396</v>
      </c>
      <c r="H289" s="1">
        <v>41992</v>
      </c>
      <c r="I289" s="1">
        <v>42018</v>
      </c>
      <c r="J289" s="1">
        <v>42018</v>
      </c>
      <c r="K289" s="1">
        <v>42078</v>
      </c>
      <c r="L289" s="7">
        <v>11712.71</v>
      </c>
      <c r="M289" s="5">
        <v>262</v>
      </c>
      <c r="N289" s="7">
        <v>3068730.02</v>
      </c>
      <c r="O289" s="2">
        <v>11712.71</v>
      </c>
      <c r="P289">
        <v>262</v>
      </c>
      <c r="Q289" s="2">
        <v>3068730.02</v>
      </c>
      <c r="R289">
        <v>0</v>
      </c>
      <c r="V289">
        <v>0</v>
      </c>
      <c r="W289">
        <v>0</v>
      </c>
      <c r="X289">
        <v>0</v>
      </c>
      <c r="Y289">
        <v>0</v>
      </c>
      <c r="Z289" s="2">
        <v>11712.71</v>
      </c>
      <c r="AA289">
        <v>0</v>
      </c>
      <c r="AB289" s="1">
        <v>42382</v>
      </c>
      <c r="AC289" t="s">
        <v>53</v>
      </c>
      <c r="AD289" t="s">
        <v>53</v>
      </c>
      <c r="AK289">
        <v>0</v>
      </c>
      <c r="AU289" s="6">
        <v>42340</v>
      </c>
      <c r="AV289" s="6">
        <v>42340</v>
      </c>
      <c r="AW289" t="s">
        <v>54</v>
      </c>
      <c r="AX289" t="str">
        <f t="shared" si="23"/>
        <v>FOR</v>
      </c>
      <c r="AY289" t="s">
        <v>55</v>
      </c>
    </row>
    <row r="290" spans="1:51">
      <c r="A290">
        <v>100066</v>
      </c>
      <c r="B290" t="s">
        <v>69</v>
      </c>
      <c r="C290" t="str">
        <f t="shared" si="24"/>
        <v>12268050155</v>
      </c>
      <c r="D290" t="str">
        <f t="shared" si="25"/>
        <v>04785851009</v>
      </c>
      <c r="E290" t="s">
        <v>52</v>
      </c>
      <c r="F290">
        <v>2014</v>
      </c>
      <c r="G290">
        <v>10856581</v>
      </c>
      <c r="H290" s="1">
        <v>41995</v>
      </c>
      <c r="I290" s="1">
        <v>42019</v>
      </c>
      <c r="J290" s="1">
        <v>42019</v>
      </c>
      <c r="K290" s="1">
        <v>42079</v>
      </c>
      <c r="L290" s="7">
        <v>1269.56</v>
      </c>
      <c r="M290" s="5">
        <v>261</v>
      </c>
      <c r="N290" s="7">
        <v>331355.15999999997</v>
      </c>
      <c r="O290" s="2">
        <v>1269.56</v>
      </c>
      <c r="P290">
        <v>261</v>
      </c>
      <c r="Q290" s="2">
        <v>331355.15999999997</v>
      </c>
      <c r="R290">
        <v>0</v>
      </c>
      <c r="V290">
        <v>0</v>
      </c>
      <c r="W290">
        <v>0</v>
      </c>
      <c r="X290">
        <v>0</v>
      </c>
      <c r="Y290">
        <v>0</v>
      </c>
      <c r="Z290" s="2">
        <v>1269.56</v>
      </c>
      <c r="AA290">
        <v>0</v>
      </c>
      <c r="AB290" s="1">
        <v>42382</v>
      </c>
      <c r="AC290" t="s">
        <v>53</v>
      </c>
      <c r="AD290" t="s">
        <v>53</v>
      </c>
      <c r="AK290">
        <v>0</v>
      </c>
      <c r="AU290" s="6">
        <v>42340</v>
      </c>
      <c r="AV290" s="6">
        <v>42340</v>
      </c>
      <c r="AW290" t="s">
        <v>54</v>
      </c>
      <c r="AX290" t="str">
        <f t="shared" si="23"/>
        <v>FOR</v>
      </c>
      <c r="AY290" t="s">
        <v>55</v>
      </c>
    </row>
    <row r="291" spans="1:51">
      <c r="A291">
        <v>100066</v>
      </c>
      <c r="B291" t="s">
        <v>69</v>
      </c>
      <c r="C291" t="str">
        <f t="shared" si="24"/>
        <v>12268050155</v>
      </c>
      <c r="D291" t="str">
        <f t="shared" si="25"/>
        <v>04785851009</v>
      </c>
      <c r="E291" t="s">
        <v>52</v>
      </c>
      <c r="F291">
        <v>2014</v>
      </c>
      <c r="G291">
        <v>10856582</v>
      </c>
      <c r="H291" s="1">
        <v>41995</v>
      </c>
      <c r="I291" s="1">
        <v>42018</v>
      </c>
      <c r="J291" s="1">
        <v>42018</v>
      </c>
      <c r="K291" s="1">
        <v>42078</v>
      </c>
      <c r="L291" s="7">
        <v>4849</v>
      </c>
      <c r="M291" s="5">
        <v>262</v>
      </c>
      <c r="N291" s="7">
        <v>1270438</v>
      </c>
      <c r="O291" s="2">
        <v>4849</v>
      </c>
      <c r="P291">
        <v>262</v>
      </c>
      <c r="Q291" s="2">
        <v>1270438</v>
      </c>
      <c r="R291">
        <v>0</v>
      </c>
      <c r="V291">
        <v>0</v>
      </c>
      <c r="W291">
        <v>0</v>
      </c>
      <c r="X291">
        <v>0</v>
      </c>
      <c r="Y291">
        <v>0</v>
      </c>
      <c r="Z291" s="2">
        <v>4849</v>
      </c>
      <c r="AA291">
        <v>0</v>
      </c>
      <c r="AB291" s="1">
        <v>42382</v>
      </c>
      <c r="AC291" t="s">
        <v>53</v>
      </c>
      <c r="AD291" t="s">
        <v>53</v>
      </c>
      <c r="AK291">
        <v>0</v>
      </c>
      <c r="AU291" s="6">
        <v>42340</v>
      </c>
      <c r="AV291" s="6">
        <v>42340</v>
      </c>
      <c r="AW291" t="s">
        <v>54</v>
      </c>
      <c r="AX291" t="str">
        <f t="shared" si="23"/>
        <v>FOR</v>
      </c>
      <c r="AY291" t="s">
        <v>55</v>
      </c>
    </row>
    <row r="292" spans="1:51">
      <c r="A292">
        <v>100066</v>
      </c>
      <c r="B292" t="s">
        <v>69</v>
      </c>
      <c r="C292" t="str">
        <f t="shared" si="24"/>
        <v>12268050155</v>
      </c>
      <c r="D292" t="str">
        <f t="shared" si="25"/>
        <v>04785851009</v>
      </c>
      <c r="E292" t="s">
        <v>52</v>
      </c>
      <c r="F292">
        <v>2015</v>
      </c>
      <c r="G292">
        <v>1010857538</v>
      </c>
      <c r="H292" s="1">
        <v>42005</v>
      </c>
      <c r="I292" s="1">
        <v>42027</v>
      </c>
      <c r="J292" s="1">
        <v>42027</v>
      </c>
      <c r="K292" s="1">
        <v>42087</v>
      </c>
      <c r="L292" s="7">
        <v>10000</v>
      </c>
      <c r="M292" s="5">
        <v>253</v>
      </c>
      <c r="N292" s="7">
        <v>2530000</v>
      </c>
      <c r="O292" s="2">
        <v>10000</v>
      </c>
      <c r="P292">
        <v>253</v>
      </c>
      <c r="Q292" s="2">
        <v>2530000</v>
      </c>
      <c r="R292" s="2">
        <v>2200</v>
      </c>
      <c r="V292">
        <v>0</v>
      </c>
      <c r="W292">
        <v>0</v>
      </c>
      <c r="X292">
        <v>0</v>
      </c>
      <c r="Y292">
        <v>0</v>
      </c>
      <c r="Z292" s="2">
        <v>12200</v>
      </c>
      <c r="AA292" s="2">
        <v>12200</v>
      </c>
      <c r="AB292" s="1">
        <v>42382</v>
      </c>
      <c r="AC292" t="s">
        <v>53</v>
      </c>
      <c r="AD292" t="s">
        <v>53</v>
      </c>
      <c r="AK292" s="2">
        <v>2200</v>
      </c>
      <c r="AU292" s="6">
        <v>42340</v>
      </c>
      <c r="AV292" s="6">
        <v>42340</v>
      </c>
      <c r="AW292" t="s">
        <v>54</v>
      </c>
      <c r="AX292" t="str">
        <f t="shared" si="23"/>
        <v>FOR</v>
      </c>
      <c r="AY292" t="s">
        <v>55</v>
      </c>
    </row>
    <row r="293" spans="1:51">
      <c r="A293">
        <v>100066</v>
      </c>
      <c r="B293" t="s">
        <v>69</v>
      </c>
      <c r="C293" t="str">
        <f t="shared" si="24"/>
        <v>12268050155</v>
      </c>
      <c r="D293" t="str">
        <f t="shared" si="25"/>
        <v>04785851009</v>
      </c>
      <c r="E293" t="s">
        <v>52</v>
      </c>
      <c r="F293">
        <v>2015</v>
      </c>
      <c r="G293">
        <v>1010858105</v>
      </c>
      <c r="H293" s="1">
        <v>42012</v>
      </c>
      <c r="I293" s="1">
        <v>42026</v>
      </c>
      <c r="J293" s="1">
        <v>42026</v>
      </c>
      <c r="K293" s="1">
        <v>42086</v>
      </c>
      <c r="L293" s="7">
        <v>36000</v>
      </c>
      <c r="M293" s="5">
        <v>270</v>
      </c>
      <c r="N293" s="7">
        <v>9720000</v>
      </c>
      <c r="O293" s="2">
        <v>36000</v>
      </c>
      <c r="P293">
        <v>270</v>
      </c>
      <c r="Q293" s="2">
        <v>9720000</v>
      </c>
      <c r="R293" s="2">
        <v>7920</v>
      </c>
      <c r="V293">
        <v>0</v>
      </c>
      <c r="W293">
        <v>0</v>
      </c>
      <c r="X293">
        <v>0</v>
      </c>
      <c r="Y293" s="2">
        <v>43920</v>
      </c>
      <c r="Z293" s="2">
        <v>43920</v>
      </c>
      <c r="AA293" s="2">
        <v>43920</v>
      </c>
      <c r="AB293" s="1">
        <v>42382</v>
      </c>
      <c r="AC293" t="s">
        <v>53</v>
      </c>
      <c r="AD293" t="s">
        <v>53</v>
      </c>
      <c r="AK293" s="2">
        <v>7920</v>
      </c>
      <c r="AU293" s="6">
        <v>42356</v>
      </c>
      <c r="AV293" s="6">
        <v>42356</v>
      </c>
      <c r="AW293" t="s">
        <v>54</v>
      </c>
      <c r="AX293" t="str">
        <f t="shared" si="23"/>
        <v>FOR</v>
      </c>
      <c r="AY293" t="s">
        <v>55</v>
      </c>
    </row>
    <row r="294" spans="1:51">
      <c r="A294">
        <v>100066</v>
      </c>
      <c r="B294" t="s">
        <v>69</v>
      </c>
      <c r="C294" t="str">
        <f t="shared" si="24"/>
        <v>12268050155</v>
      </c>
      <c r="D294" t="str">
        <f t="shared" si="25"/>
        <v>04785851009</v>
      </c>
      <c r="E294" t="s">
        <v>52</v>
      </c>
      <c r="F294">
        <v>2015</v>
      </c>
      <c r="G294">
        <v>1010858106</v>
      </c>
      <c r="H294" s="1">
        <v>42012</v>
      </c>
      <c r="I294" s="1">
        <v>42026</v>
      </c>
      <c r="J294" s="1">
        <v>42026</v>
      </c>
      <c r="K294" s="1">
        <v>42086</v>
      </c>
      <c r="L294" s="7">
        <v>9000</v>
      </c>
      <c r="M294" s="5">
        <v>270</v>
      </c>
      <c r="N294" s="7">
        <v>2430000</v>
      </c>
      <c r="O294" s="2">
        <v>9000</v>
      </c>
      <c r="P294">
        <v>270</v>
      </c>
      <c r="Q294" s="2">
        <v>2430000</v>
      </c>
      <c r="R294" s="2">
        <v>1980</v>
      </c>
      <c r="V294">
        <v>0</v>
      </c>
      <c r="W294">
        <v>0</v>
      </c>
      <c r="X294">
        <v>0</v>
      </c>
      <c r="Y294" s="2">
        <v>10980</v>
      </c>
      <c r="Z294" s="2">
        <v>10980</v>
      </c>
      <c r="AA294" s="2">
        <v>10980</v>
      </c>
      <c r="AB294" s="1">
        <v>42382</v>
      </c>
      <c r="AC294" t="s">
        <v>53</v>
      </c>
      <c r="AD294" t="s">
        <v>53</v>
      </c>
      <c r="AK294" s="2">
        <v>1980</v>
      </c>
      <c r="AU294" s="6">
        <v>42356</v>
      </c>
      <c r="AV294" s="6">
        <v>42356</v>
      </c>
      <c r="AW294" t="s">
        <v>54</v>
      </c>
      <c r="AX294" t="str">
        <f t="shared" si="23"/>
        <v>FOR</v>
      </c>
      <c r="AY294" t="s">
        <v>55</v>
      </c>
    </row>
    <row r="295" spans="1:51">
      <c r="A295">
        <v>100066</v>
      </c>
      <c r="B295" t="s">
        <v>69</v>
      </c>
      <c r="C295" t="str">
        <f t="shared" si="24"/>
        <v>12268050155</v>
      </c>
      <c r="D295" t="str">
        <f t="shared" si="25"/>
        <v>04785851009</v>
      </c>
      <c r="E295" t="s">
        <v>52</v>
      </c>
      <c r="F295">
        <v>2015</v>
      </c>
      <c r="G295">
        <v>1010858963</v>
      </c>
      <c r="H295" s="1">
        <v>42017</v>
      </c>
      <c r="I295" s="1">
        <v>42047</v>
      </c>
      <c r="J295" s="1">
        <v>42047</v>
      </c>
      <c r="K295" s="1">
        <v>42107</v>
      </c>
      <c r="L295" s="7">
        <v>28503.86</v>
      </c>
      <c r="M295" s="5">
        <v>249</v>
      </c>
      <c r="N295" s="7">
        <v>7097461.1399999997</v>
      </c>
      <c r="O295" s="2">
        <v>28503.86</v>
      </c>
      <c r="P295">
        <v>249</v>
      </c>
      <c r="Q295" s="2">
        <v>7097461.1399999997</v>
      </c>
      <c r="R295" s="2">
        <v>6270.85</v>
      </c>
      <c r="V295">
        <v>0</v>
      </c>
      <c r="W295">
        <v>0</v>
      </c>
      <c r="X295">
        <v>0</v>
      </c>
      <c r="Y295" s="2">
        <v>34774.71</v>
      </c>
      <c r="Z295" s="2">
        <v>34774.71</v>
      </c>
      <c r="AA295" s="2">
        <v>34774.71</v>
      </c>
      <c r="AB295" s="1">
        <v>42382</v>
      </c>
      <c r="AC295" t="s">
        <v>53</v>
      </c>
      <c r="AD295" t="s">
        <v>53</v>
      </c>
      <c r="AK295" s="2">
        <v>6270.85</v>
      </c>
      <c r="AU295" s="6">
        <v>42356</v>
      </c>
      <c r="AV295" s="6">
        <v>42356</v>
      </c>
      <c r="AW295" t="s">
        <v>54</v>
      </c>
      <c r="AX295" t="str">
        <f t="shared" si="23"/>
        <v>FOR</v>
      </c>
      <c r="AY295" t="s">
        <v>55</v>
      </c>
    </row>
    <row r="296" spans="1:51">
      <c r="A296">
        <v>100066</v>
      </c>
      <c r="B296" t="s">
        <v>69</v>
      </c>
      <c r="C296" t="str">
        <f t="shared" si="24"/>
        <v>12268050155</v>
      </c>
      <c r="D296" t="str">
        <f t="shared" si="25"/>
        <v>04785851009</v>
      </c>
      <c r="E296" t="s">
        <v>52</v>
      </c>
      <c r="F296">
        <v>2015</v>
      </c>
      <c r="G296">
        <v>1010858964</v>
      </c>
      <c r="H296" s="1">
        <v>42017</v>
      </c>
      <c r="I296" s="1">
        <v>42047</v>
      </c>
      <c r="J296" s="1">
        <v>42047</v>
      </c>
      <c r="K296" s="1">
        <v>42107</v>
      </c>
      <c r="L296" s="7">
        <v>54962.5</v>
      </c>
      <c r="M296" s="5">
        <v>249</v>
      </c>
      <c r="N296" s="7">
        <v>13685662.5</v>
      </c>
      <c r="O296" s="2">
        <v>54962.5</v>
      </c>
      <c r="P296">
        <v>249</v>
      </c>
      <c r="Q296" s="2">
        <v>13685662.5</v>
      </c>
      <c r="R296" s="2">
        <v>12091.75</v>
      </c>
      <c r="V296">
        <v>0</v>
      </c>
      <c r="W296">
        <v>0</v>
      </c>
      <c r="X296">
        <v>0</v>
      </c>
      <c r="Y296" s="2">
        <v>67054.25</v>
      </c>
      <c r="Z296" s="2">
        <v>67054.25</v>
      </c>
      <c r="AA296" s="2">
        <v>67054.25</v>
      </c>
      <c r="AB296" s="1">
        <v>42382</v>
      </c>
      <c r="AC296" t="s">
        <v>53</v>
      </c>
      <c r="AD296" t="s">
        <v>53</v>
      </c>
      <c r="AK296" s="2">
        <v>12091.75</v>
      </c>
      <c r="AU296" s="6">
        <v>42356</v>
      </c>
      <c r="AV296" s="6">
        <v>42356</v>
      </c>
      <c r="AW296" t="s">
        <v>54</v>
      </c>
      <c r="AX296" t="str">
        <f t="shared" si="23"/>
        <v>FOR</v>
      </c>
      <c r="AY296" t="s">
        <v>55</v>
      </c>
    </row>
    <row r="297" spans="1:51">
      <c r="A297">
        <v>100066</v>
      </c>
      <c r="B297" t="s">
        <v>69</v>
      </c>
      <c r="C297" t="str">
        <f t="shared" si="24"/>
        <v>12268050155</v>
      </c>
      <c r="D297" t="str">
        <f t="shared" si="25"/>
        <v>04785851009</v>
      </c>
      <c r="E297" t="s">
        <v>52</v>
      </c>
      <c r="F297">
        <v>2015</v>
      </c>
      <c r="G297">
        <v>1010858965</v>
      </c>
      <c r="H297" s="1">
        <v>42017</v>
      </c>
      <c r="I297" s="1">
        <v>42047</v>
      </c>
      <c r="J297" s="1">
        <v>42047</v>
      </c>
      <c r="K297" s="1">
        <v>42107</v>
      </c>
      <c r="L297" s="7">
        <v>15834.5</v>
      </c>
      <c r="M297" s="5">
        <v>249</v>
      </c>
      <c r="N297" s="7">
        <v>3942790.5</v>
      </c>
      <c r="O297" s="2">
        <v>15834.5</v>
      </c>
      <c r="P297">
        <v>249</v>
      </c>
      <c r="Q297" s="2">
        <v>3942790.5</v>
      </c>
      <c r="R297" s="2">
        <v>3483.59</v>
      </c>
      <c r="V297">
        <v>0</v>
      </c>
      <c r="W297">
        <v>0</v>
      </c>
      <c r="X297">
        <v>0</v>
      </c>
      <c r="Y297" s="2">
        <v>19318.09</v>
      </c>
      <c r="Z297" s="2">
        <v>19318.09</v>
      </c>
      <c r="AA297" s="2">
        <v>19318.09</v>
      </c>
      <c r="AB297" s="1">
        <v>42382</v>
      </c>
      <c r="AC297" t="s">
        <v>53</v>
      </c>
      <c r="AD297" t="s">
        <v>53</v>
      </c>
      <c r="AK297" s="2">
        <v>3483.59</v>
      </c>
      <c r="AU297" s="6">
        <v>42356</v>
      </c>
      <c r="AV297" s="6">
        <v>42356</v>
      </c>
      <c r="AW297" t="s">
        <v>54</v>
      </c>
      <c r="AX297" t="str">
        <f t="shared" si="23"/>
        <v>FOR</v>
      </c>
      <c r="AY297" t="s">
        <v>55</v>
      </c>
    </row>
    <row r="298" spans="1:51">
      <c r="A298">
        <v>100066</v>
      </c>
      <c r="B298" t="s">
        <v>69</v>
      </c>
      <c r="C298" t="str">
        <f t="shared" si="24"/>
        <v>12268050155</v>
      </c>
      <c r="D298" t="str">
        <f t="shared" si="25"/>
        <v>04785851009</v>
      </c>
      <c r="E298" t="s">
        <v>52</v>
      </c>
      <c r="F298">
        <v>2015</v>
      </c>
      <c r="G298">
        <v>1010858966</v>
      </c>
      <c r="H298" s="1">
        <v>42017</v>
      </c>
      <c r="I298" s="1">
        <v>42047</v>
      </c>
      <c r="J298" s="1">
        <v>42047</v>
      </c>
      <c r="K298" s="1">
        <v>42107</v>
      </c>
      <c r="L298" s="7">
        <v>31416.33</v>
      </c>
      <c r="M298" s="5">
        <v>249</v>
      </c>
      <c r="N298" s="7">
        <v>7822666.1699999999</v>
      </c>
      <c r="O298" s="2">
        <v>31416.33</v>
      </c>
      <c r="P298">
        <v>249</v>
      </c>
      <c r="Q298" s="2">
        <v>7822666.1699999999</v>
      </c>
      <c r="R298" s="2">
        <v>6911.59</v>
      </c>
      <c r="V298">
        <v>0</v>
      </c>
      <c r="W298">
        <v>0</v>
      </c>
      <c r="X298">
        <v>0</v>
      </c>
      <c r="Y298" s="2">
        <v>38327.919999999998</v>
      </c>
      <c r="Z298" s="2">
        <v>38327.919999999998</v>
      </c>
      <c r="AA298" s="2">
        <v>38327.919999999998</v>
      </c>
      <c r="AB298" s="1">
        <v>42382</v>
      </c>
      <c r="AC298" t="s">
        <v>53</v>
      </c>
      <c r="AD298" t="s">
        <v>53</v>
      </c>
      <c r="AK298" s="2">
        <v>6911.59</v>
      </c>
      <c r="AU298" s="6">
        <v>42356</v>
      </c>
      <c r="AV298" s="6">
        <v>42356</v>
      </c>
      <c r="AW298" t="s">
        <v>54</v>
      </c>
      <c r="AX298" t="str">
        <f t="shared" si="23"/>
        <v>FOR</v>
      </c>
      <c r="AY298" t="s">
        <v>55</v>
      </c>
    </row>
    <row r="299" spans="1:51">
      <c r="A299">
        <v>100066</v>
      </c>
      <c r="B299" t="s">
        <v>69</v>
      </c>
      <c r="C299" t="str">
        <f t="shared" si="24"/>
        <v>12268050155</v>
      </c>
      <c r="D299" t="str">
        <f t="shared" si="25"/>
        <v>04785851009</v>
      </c>
      <c r="E299" t="s">
        <v>52</v>
      </c>
      <c r="F299">
        <v>2015</v>
      </c>
      <c r="G299">
        <v>1010859188</v>
      </c>
      <c r="H299" s="1">
        <v>42018</v>
      </c>
      <c r="I299" s="1">
        <v>42040</v>
      </c>
      <c r="J299" s="1">
        <v>42040</v>
      </c>
      <c r="K299" s="1">
        <v>42100</v>
      </c>
      <c r="L299" s="7">
        <v>1450</v>
      </c>
      <c r="M299" s="5">
        <v>256</v>
      </c>
      <c r="N299" s="7">
        <v>371200</v>
      </c>
      <c r="O299" s="2">
        <v>1450</v>
      </c>
      <c r="P299">
        <v>256</v>
      </c>
      <c r="Q299" s="2">
        <v>371200</v>
      </c>
      <c r="R299">
        <v>319</v>
      </c>
      <c r="V299">
        <v>0</v>
      </c>
      <c r="W299">
        <v>0</v>
      </c>
      <c r="X299">
        <v>0</v>
      </c>
      <c r="Y299" s="2">
        <v>1769</v>
      </c>
      <c r="Z299" s="2">
        <v>1769</v>
      </c>
      <c r="AA299" s="2">
        <v>1769</v>
      </c>
      <c r="AB299" s="1">
        <v>42382</v>
      </c>
      <c r="AC299" t="s">
        <v>53</v>
      </c>
      <c r="AD299" t="s">
        <v>53</v>
      </c>
      <c r="AK299">
        <v>319</v>
      </c>
      <c r="AU299" s="6">
        <v>42356</v>
      </c>
      <c r="AV299" s="6">
        <v>42356</v>
      </c>
      <c r="AW299" t="s">
        <v>54</v>
      </c>
      <c r="AX299" t="str">
        <f t="shared" si="23"/>
        <v>FOR</v>
      </c>
      <c r="AY299" t="s">
        <v>55</v>
      </c>
    </row>
    <row r="300" spans="1:51">
      <c r="A300">
        <v>100066</v>
      </c>
      <c r="B300" t="s">
        <v>69</v>
      </c>
      <c r="C300" t="str">
        <f t="shared" si="24"/>
        <v>12268050155</v>
      </c>
      <c r="D300" t="str">
        <f t="shared" si="25"/>
        <v>04785851009</v>
      </c>
      <c r="E300" t="s">
        <v>52</v>
      </c>
      <c r="F300">
        <v>2015</v>
      </c>
      <c r="G300">
        <v>1010859427</v>
      </c>
      <c r="H300" s="1">
        <v>42019</v>
      </c>
      <c r="I300" s="1">
        <v>42040</v>
      </c>
      <c r="J300" s="1">
        <v>42040</v>
      </c>
      <c r="K300" s="1">
        <v>42100</v>
      </c>
      <c r="L300" s="7">
        <v>4350</v>
      </c>
      <c r="M300" s="5">
        <v>256</v>
      </c>
      <c r="N300" s="7">
        <v>1113600</v>
      </c>
      <c r="O300" s="2">
        <v>4350</v>
      </c>
      <c r="P300">
        <v>256</v>
      </c>
      <c r="Q300" s="2">
        <v>1113600</v>
      </c>
      <c r="R300">
        <v>957</v>
      </c>
      <c r="V300">
        <v>0</v>
      </c>
      <c r="W300">
        <v>0</v>
      </c>
      <c r="X300">
        <v>0</v>
      </c>
      <c r="Y300" s="2">
        <v>5307</v>
      </c>
      <c r="Z300" s="2">
        <v>5307</v>
      </c>
      <c r="AA300" s="2">
        <v>5307</v>
      </c>
      <c r="AB300" s="1">
        <v>42382</v>
      </c>
      <c r="AC300" t="s">
        <v>53</v>
      </c>
      <c r="AD300" t="s">
        <v>53</v>
      </c>
      <c r="AK300">
        <v>957</v>
      </c>
      <c r="AU300" s="6">
        <v>42356</v>
      </c>
      <c r="AV300" s="6">
        <v>42356</v>
      </c>
      <c r="AW300" t="s">
        <v>54</v>
      </c>
      <c r="AX300" t="str">
        <f t="shared" si="23"/>
        <v>FOR</v>
      </c>
      <c r="AY300" t="s">
        <v>55</v>
      </c>
    </row>
    <row r="301" spans="1:51">
      <c r="A301">
        <v>100066</v>
      </c>
      <c r="B301" t="s">
        <v>69</v>
      </c>
      <c r="C301" t="str">
        <f t="shared" si="24"/>
        <v>12268050155</v>
      </c>
      <c r="D301" t="str">
        <f t="shared" si="25"/>
        <v>04785851009</v>
      </c>
      <c r="E301" t="s">
        <v>52</v>
      </c>
      <c r="F301">
        <v>2015</v>
      </c>
      <c r="G301">
        <v>1010859428</v>
      </c>
      <c r="H301" s="1">
        <v>42019</v>
      </c>
      <c r="I301" s="1">
        <v>42039</v>
      </c>
      <c r="J301" s="1">
        <v>42039</v>
      </c>
      <c r="K301" s="1">
        <v>42099</v>
      </c>
      <c r="L301" s="7">
        <v>19099.240000000002</v>
      </c>
      <c r="M301" s="5">
        <v>257</v>
      </c>
      <c r="N301" s="7">
        <v>4908504.68</v>
      </c>
      <c r="O301" s="2">
        <v>19099.240000000002</v>
      </c>
      <c r="P301">
        <v>257</v>
      </c>
      <c r="Q301" s="2">
        <v>4908504.68</v>
      </c>
      <c r="R301" s="2">
        <v>4201.83</v>
      </c>
      <c r="V301">
        <v>0</v>
      </c>
      <c r="W301">
        <v>0</v>
      </c>
      <c r="X301">
        <v>0</v>
      </c>
      <c r="Y301" s="2">
        <v>23301.07</v>
      </c>
      <c r="Z301" s="2">
        <v>23301.07</v>
      </c>
      <c r="AA301" s="2">
        <v>23301.07</v>
      </c>
      <c r="AB301" s="1">
        <v>42382</v>
      </c>
      <c r="AC301" t="s">
        <v>53</v>
      </c>
      <c r="AD301" t="s">
        <v>53</v>
      </c>
      <c r="AK301" s="2">
        <v>4201.83</v>
      </c>
      <c r="AU301" s="6">
        <v>42356</v>
      </c>
      <c r="AV301" s="6">
        <v>42356</v>
      </c>
      <c r="AW301" t="s">
        <v>54</v>
      </c>
      <c r="AX301" t="str">
        <f t="shared" si="23"/>
        <v>FOR</v>
      </c>
      <c r="AY301" t="s">
        <v>55</v>
      </c>
    </row>
    <row r="302" spans="1:51">
      <c r="A302">
        <v>100066</v>
      </c>
      <c r="B302" t="s">
        <v>69</v>
      </c>
      <c r="C302" t="str">
        <f t="shared" si="24"/>
        <v>12268050155</v>
      </c>
      <c r="D302" t="str">
        <f t="shared" si="25"/>
        <v>04785851009</v>
      </c>
      <c r="E302" t="s">
        <v>52</v>
      </c>
      <c r="F302">
        <v>2015</v>
      </c>
      <c r="G302">
        <v>1010859429</v>
      </c>
      <c r="H302" s="1">
        <v>42019</v>
      </c>
      <c r="I302" s="1">
        <v>42040</v>
      </c>
      <c r="J302" s="1">
        <v>42040</v>
      </c>
      <c r="K302" s="1">
        <v>42100</v>
      </c>
      <c r="L302" s="7">
        <v>9120</v>
      </c>
      <c r="M302" s="5">
        <v>256</v>
      </c>
      <c r="N302" s="7">
        <v>2334720</v>
      </c>
      <c r="O302" s="2">
        <v>9120</v>
      </c>
      <c r="P302">
        <v>256</v>
      </c>
      <c r="Q302" s="2">
        <v>2334720</v>
      </c>
      <c r="R302" s="2">
        <v>2006.4</v>
      </c>
      <c r="V302">
        <v>0</v>
      </c>
      <c r="W302">
        <v>0</v>
      </c>
      <c r="X302">
        <v>0</v>
      </c>
      <c r="Y302" s="2">
        <v>11126.4</v>
      </c>
      <c r="Z302" s="2">
        <v>11126.4</v>
      </c>
      <c r="AA302" s="2">
        <v>11126.4</v>
      </c>
      <c r="AB302" s="1">
        <v>42382</v>
      </c>
      <c r="AC302" t="s">
        <v>53</v>
      </c>
      <c r="AD302" t="s">
        <v>53</v>
      </c>
      <c r="AK302" s="2">
        <v>2006.4</v>
      </c>
      <c r="AU302" s="6">
        <v>42356</v>
      </c>
      <c r="AV302" s="6">
        <v>42356</v>
      </c>
      <c r="AW302" t="s">
        <v>54</v>
      </c>
      <c r="AX302" t="str">
        <f t="shared" si="23"/>
        <v>FOR</v>
      </c>
      <c r="AY302" t="s">
        <v>55</v>
      </c>
    </row>
    <row r="303" spans="1:51">
      <c r="A303">
        <v>100066</v>
      </c>
      <c r="B303" t="s">
        <v>69</v>
      </c>
      <c r="C303" t="str">
        <f t="shared" si="24"/>
        <v>12268050155</v>
      </c>
      <c r="D303" t="str">
        <f t="shared" si="25"/>
        <v>04785851009</v>
      </c>
      <c r="E303" t="s">
        <v>52</v>
      </c>
      <c r="F303">
        <v>2015</v>
      </c>
      <c r="G303">
        <v>1010859939</v>
      </c>
      <c r="H303" s="1">
        <v>42023</v>
      </c>
      <c r="I303" s="1">
        <v>42047</v>
      </c>
      <c r="J303" s="1">
        <v>42047</v>
      </c>
      <c r="K303" s="1">
        <v>42107</v>
      </c>
      <c r="L303" s="7">
        <v>3400</v>
      </c>
      <c r="M303" s="5">
        <v>249</v>
      </c>
      <c r="N303" s="7">
        <v>846600</v>
      </c>
      <c r="O303" s="2">
        <v>3400</v>
      </c>
      <c r="P303">
        <v>249</v>
      </c>
      <c r="Q303" s="2">
        <v>846600</v>
      </c>
      <c r="R303">
        <v>748</v>
      </c>
      <c r="V303">
        <v>0</v>
      </c>
      <c r="W303">
        <v>0</v>
      </c>
      <c r="X303">
        <v>0</v>
      </c>
      <c r="Y303" s="2">
        <v>4148</v>
      </c>
      <c r="Z303" s="2">
        <v>4148</v>
      </c>
      <c r="AA303" s="2">
        <v>4148</v>
      </c>
      <c r="AB303" s="1">
        <v>42382</v>
      </c>
      <c r="AC303" t="s">
        <v>53</v>
      </c>
      <c r="AD303" t="s">
        <v>53</v>
      </c>
      <c r="AK303">
        <v>748</v>
      </c>
      <c r="AU303" s="6">
        <v>42356</v>
      </c>
      <c r="AV303" s="6">
        <v>42356</v>
      </c>
      <c r="AW303" t="s">
        <v>54</v>
      </c>
      <c r="AX303" t="str">
        <f t="shared" si="23"/>
        <v>FOR</v>
      </c>
      <c r="AY303" t="s">
        <v>55</v>
      </c>
    </row>
    <row r="304" spans="1:51">
      <c r="A304">
        <v>100066</v>
      </c>
      <c r="B304" t="s">
        <v>69</v>
      </c>
      <c r="C304" t="str">
        <f t="shared" si="24"/>
        <v>12268050155</v>
      </c>
      <c r="D304" t="str">
        <f t="shared" si="25"/>
        <v>04785851009</v>
      </c>
      <c r="E304" t="s">
        <v>52</v>
      </c>
      <c r="F304">
        <v>2015</v>
      </c>
      <c r="G304">
        <v>1010860224</v>
      </c>
      <c r="H304" s="1">
        <v>42024</v>
      </c>
      <c r="I304" s="1">
        <v>42053</v>
      </c>
      <c r="J304" s="1">
        <v>42053</v>
      </c>
      <c r="K304" s="1">
        <v>42113</v>
      </c>
      <c r="L304" s="7">
        <v>2740.8</v>
      </c>
      <c r="M304" s="5">
        <v>243</v>
      </c>
      <c r="N304" s="7">
        <v>666014.4</v>
      </c>
      <c r="O304" s="2">
        <v>2740.8</v>
      </c>
      <c r="P304">
        <v>243</v>
      </c>
      <c r="Q304" s="2">
        <v>666014.4</v>
      </c>
      <c r="R304">
        <v>602.98</v>
      </c>
      <c r="V304">
        <v>0</v>
      </c>
      <c r="W304">
        <v>0</v>
      </c>
      <c r="X304">
        <v>0</v>
      </c>
      <c r="Y304" s="2">
        <v>3343.78</v>
      </c>
      <c r="Z304" s="2">
        <v>3343.78</v>
      </c>
      <c r="AA304" s="2">
        <v>3343.78</v>
      </c>
      <c r="AB304" s="1">
        <v>42382</v>
      </c>
      <c r="AC304" t="s">
        <v>53</v>
      </c>
      <c r="AD304" t="s">
        <v>53</v>
      </c>
      <c r="AK304">
        <v>602.98</v>
      </c>
      <c r="AU304" s="6">
        <v>42356</v>
      </c>
      <c r="AV304" s="6">
        <v>42356</v>
      </c>
      <c r="AW304" t="s">
        <v>54</v>
      </c>
      <c r="AX304" t="str">
        <f t="shared" si="23"/>
        <v>FOR</v>
      </c>
      <c r="AY304" t="s">
        <v>55</v>
      </c>
    </row>
    <row r="305" spans="1:51">
      <c r="A305">
        <v>100066</v>
      </c>
      <c r="B305" t="s">
        <v>69</v>
      </c>
      <c r="C305" t="str">
        <f t="shared" ref="C305:C312" si="26">"12268050155"</f>
        <v>12268050155</v>
      </c>
      <c r="D305" t="str">
        <f t="shared" ref="D305:D312" si="27">"04785851009"</f>
        <v>04785851009</v>
      </c>
      <c r="E305" t="s">
        <v>52</v>
      </c>
      <c r="F305">
        <v>2015</v>
      </c>
      <c r="G305">
        <v>1010860473</v>
      </c>
      <c r="H305" s="1">
        <v>42025</v>
      </c>
      <c r="I305" s="1">
        <v>42047</v>
      </c>
      <c r="J305" s="1">
        <v>42047</v>
      </c>
      <c r="K305" s="1">
        <v>42107</v>
      </c>
      <c r="L305" s="7">
        <v>5550.4</v>
      </c>
      <c r="M305" s="5">
        <v>249</v>
      </c>
      <c r="N305" s="7">
        <v>1382049.6</v>
      </c>
      <c r="O305" s="2">
        <v>5550.4</v>
      </c>
      <c r="P305">
        <v>249</v>
      </c>
      <c r="Q305" s="2">
        <v>1382049.6</v>
      </c>
      <c r="R305" s="2">
        <v>1221.0899999999999</v>
      </c>
      <c r="V305">
        <v>0</v>
      </c>
      <c r="W305">
        <v>0</v>
      </c>
      <c r="X305">
        <v>0</v>
      </c>
      <c r="Y305" s="2">
        <v>6771.49</v>
      </c>
      <c r="Z305" s="2">
        <v>6771.49</v>
      </c>
      <c r="AA305" s="2">
        <v>6771.49</v>
      </c>
      <c r="AB305" s="1">
        <v>42382</v>
      </c>
      <c r="AC305" t="s">
        <v>53</v>
      </c>
      <c r="AD305" t="s">
        <v>53</v>
      </c>
      <c r="AK305" s="2">
        <v>1221.0899999999999</v>
      </c>
      <c r="AU305" s="6">
        <v>42356</v>
      </c>
      <c r="AV305" s="6">
        <v>42356</v>
      </c>
      <c r="AW305" t="s">
        <v>54</v>
      </c>
      <c r="AX305" t="str">
        <f t="shared" si="23"/>
        <v>FOR</v>
      </c>
      <c r="AY305" t="s">
        <v>55</v>
      </c>
    </row>
    <row r="306" spans="1:51">
      <c r="A306">
        <v>100066</v>
      </c>
      <c r="B306" t="s">
        <v>69</v>
      </c>
      <c r="C306" t="str">
        <f t="shared" si="26"/>
        <v>12268050155</v>
      </c>
      <c r="D306" t="str">
        <f t="shared" si="27"/>
        <v>04785851009</v>
      </c>
      <c r="E306" t="s">
        <v>52</v>
      </c>
      <c r="F306">
        <v>2015</v>
      </c>
      <c r="G306">
        <v>1010860666</v>
      </c>
      <c r="H306" s="1">
        <v>42026</v>
      </c>
      <c r="I306" s="1">
        <v>42044</v>
      </c>
      <c r="J306" s="1">
        <v>42044</v>
      </c>
      <c r="K306" s="1">
        <v>42104</v>
      </c>
      <c r="L306" s="7">
        <v>4286.3999999999996</v>
      </c>
      <c r="M306" s="5">
        <v>252</v>
      </c>
      <c r="N306" s="7">
        <v>1080172.8</v>
      </c>
      <c r="O306" s="2">
        <v>4286.3999999999996</v>
      </c>
      <c r="P306">
        <v>252</v>
      </c>
      <c r="Q306" s="2">
        <v>1080172.8</v>
      </c>
      <c r="R306">
        <v>943.01</v>
      </c>
      <c r="V306">
        <v>0</v>
      </c>
      <c r="W306">
        <v>0</v>
      </c>
      <c r="X306">
        <v>0</v>
      </c>
      <c r="Y306" s="2">
        <v>5229.41</v>
      </c>
      <c r="Z306" s="2">
        <v>5229.41</v>
      </c>
      <c r="AA306" s="2">
        <v>5229.41</v>
      </c>
      <c r="AB306" s="1">
        <v>42382</v>
      </c>
      <c r="AC306" t="s">
        <v>53</v>
      </c>
      <c r="AD306" t="s">
        <v>53</v>
      </c>
      <c r="AK306">
        <v>943.01</v>
      </c>
      <c r="AU306" s="6">
        <v>42356</v>
      </c>
      <c r="AV306" s="6">
        <v>42356</v>
      </c>
      <c r="AW306" t="s">
        <v>54</v>
      </c>
      <c r="AX306" t="str">
        <f t="shared" si="23"/>
        <v>FOR</v>
      </c>
      <c r="AY306" t="s">
        <v>55</v>
      </c>
    </row>
    <row r="307" spans="1:51">
      <c r="A307">
        <v>100066</v>
      </c>
      <c r="B307" t="s">
        <v>69</v>
      </c>
      <c r="C307" t="str">
        <f t="shared" si="26"/>
        <v>12268050155</v>
      </c>
      <c r="D307" t="str">
        <f t="shared" si="27"/>
        <v>04785851009</v>
      </c>
      <c r="E307" t="s">
        <v>52</v>
      </c>
      <c r="F307">
        <v>2015</v>
      </c>
      <c r="G307">
        <v>1010860885</v>
      </c>
      <c r="H307" s="1">
        <v>42027</v>
      </c>
      <c r="I307" s="1">
        <v>42044</v>
      </c>
      <c r="J307" s="1">
        <v>42044</v>
      </c>
      <c r="K307" s="1">
        <v>42104</v>
      </c>
      <c r="L307" s="7">
        <v>2000</v>
      </c>
      <c r="M307" s="5">
        <v>252</v>
      </c>
      <c r="N307" s="7">
        <v>504000</v>
      </c>
      <c r="O307" s="2">
        <v>2000</v>
      </c>
      <c r="P307">
        <v>252</v>
      </c>
      <c r="Q307" s="2">
        <v>504000</v>
      </c>
      <c r="R307">
        <v>440</v>
      </c>
      <c r="V307">
        <v>0</v>
      </c>
      <c r="W307">
        <v>0</v>
      </c>
      <c r="X307">
        <v>0</v>
      </c>
      <c r="Y307" s="2">
        <v>2440</v>
      </c>
      <c r="Z307" s="2">
        <v>2440</v>
      </c>
      <c r="AA307" s="2">
        <v>2440</v>
      </c>
      <c r="AB307" s="1">
        <v>42382</v>
      </c>
      <c r="AC307" t="s">
        <v>53</v>
      </c>
      <c r="AD307" t="s">
        <v>53</v>
      </c>
      <c r="AK307">
        <v>440</v>
      </c>
      <c r="AU307" s="6">
        <v>42356</v>
      </c>
      <c r="AV307" s="6">
        <v>42356</v>
      </c>
      <c r="AW307" t="s">
        <v>54</v>
      </c>
      <c r="AX307" t="str">
        <f t="shared" si="23"/>
        <v>FOR</v>
      </c>
      <c r="AY307" t="s">
        <v>55</v>
      </c>
    </row>
    <row r="308" spans="1:51">
      <c r="A308">
        <v>100066</v>
      </c>
      <c r="B308" t="s">
        <v>69</v>
      </c>
      <c r="C308" t="str">
        <f t="shared" si="26"/>
        <v>12268050155</v>
      </c>
      <c r="D308" t="str">
        <f t="shared" si="27"/>
        <v>04785851009</v>
      </c>
      <c r="E308" t="s">
        <v>52</v>
      </c>
      <c r="F308">
        <v>2015</v>
      </c>
      <c r="G308">
        <v>1010860886</v>
      </c>
      <c r="H308" s="1">
        <v>42027</v>
      </c>
      <c r="I308" s="1">
        <v>42044</v>
      </c>
      <c r="J308" s="1">
        <v>42044</v>
      </c>
      <c r="K308" s="1">
        <v>42104</v>
      </c>
      <c r="L308" s="7">
        <v>4162.8</v>
      </c>
      <c r="M308" s="5">
        <v>252</v>
      </c>
      <c r="N308" s="7">
        <v>1049025.6000000001</v>
      </c>
      <c r="O308" s="2">
        <v>4162.8</v>
      </c>
      <c r="P308">
        <v>252</v>
      </c>
      <c r="Q308" s="2">
        <v>1049025.6000000001</v>
      </c>
      <c r="R308">
        <v>915.82</v>
      </c>
      <c r="V308">
        <v>0</v>
      </c>
      <c r="W308">
        <v>0</v>
      </c>
      <c r="X308">
        <v>0</v>
      </c>
      <c r="Y308" s="2">
        <v>5078.62</v>
      </c>
      <c r="Z308" s="2">
        <v>5078.62</v>
      </c>
      <c r="AA308" s="2">
        <v>5078.62</v>
      </c>
      <c r="AB308" s="1">
        <v>42382</v>
      </c>
      <c r="AC308" t="s">
        <v>53</v>
      </c>
      <c r="AD308" t="s">
        <v>53</v>
      </c>
      <c r="AK308">
        <v>915.82</v>
      </c>
      <c r="AU308" s="6">
        <v>42356</v>
      </c>
      <c r="AV308" s="6">
        <v>42356</v>
      </c>
      <c r="AW308" t="s">
        <v>54</v>
      </c>
      <c r="AX308" t="str">
        <f t="shared" si="23"/>
        <v>FOR</v>
      </c>
      <c r="AY308" t="s">
        <v>55</v>
      </c>
    </row>
    <row r="309" spans="1:51">
      <c r="A309">
        <v>100066</v>
      </c>
      <c r="B309" t="s">
        <v>69</v>
      </c>
      <c r="C309" t="str">
        <f t="shared" si="26"/>
        <v>12268050155</v>
      </c>
      <c r="D309" t="str">
        <f t="shared" si="27"/>
        <v>04785851009</v>
      </c>
      <c r="E309" t="s">
        <v>52</v>
      </c>
      <c r="F309">
        <v>2015</v>
      </c>
      <c r="G309">
        <v>1010861182</v>
      </c>
      <c r="H309" s="1">
        <v>42030</v>
      </c>
      <c r="I309" s="1">
        <v>42044</v>
      </c>
      <c r="J309" s="1">
        <v>42044</v>
      </c>
      <c r="K309" s="1">
        <v>42104</v>
      </c>
      <c r="L309" s="7">
        <v>3688.8</v>
      </c>
      <c r="M309" s="5">
        <v>252</v>
      </c>
      <c r="N309" s="7">
        <v>929577.6</v>
      </c>
      <c r="O309" s="2">
        <v>3688.8</v>
      </c>
      <c r="P309">
        <v>252</v>
      </c>
      <c r="Q309" s="2">
        <v>929577.6</v>
      </c>
      <c r="R309">
        <v>811.54</v>
      </c>
      <c r="V309">
        <v>0</v>
      </c>
      <c r="W309">
        <v>0</v>
      </c>
      <c r="X309">
        <v>0</v>
      </c>
      <c r="Y309" s="2">
        <v>4500.34</v>
      </c>
      <c r="Z309" s="2">
        <v>4500.34</v>
      </c>
      <c r="AA309" s="2">
        <v>4500.34</v>
      </c>
      <c r="AB309" s="1">
        <v>42382</v>
      </c>
      <c r="AC309" t="s">
        <v>53</v>
      </c>
      <c r="AD309" t="s">
        <v>53</v>
      </c>
      <c r="AK309">
        <v>811.54</v>
      </c>
      <c r="AU309" s="6">
        <v>42356</v>
      </c>
      <c r="AV309" s="6">
        <v>42356</v>
      </c>
      <c r="AW309" t="s">
        <v>54</v>
      </c>
      <c r="AX309" t="str">
        <f t="shared" si="23"/>
        <v>FOR</v>
      </c>
      <c r="AY309" t="s">
        <v>55</v>
      </c>
    </row>
    <row r="310" spans="1:51">
      <c r="A310">
        <v>100066</v>
      </c>
      <c r="B310" t="s">
        <v>69</v>
      </c>
      <c r="C310" t="str">
        <f t="shared" si="26"/>
        <v>12268050155</v>
      </c>
      <c r="D310" t="str">
        <f t="shared" si="27"/>
        <v>04785851009</v>
      </c>
      <c r="E310" t="s">
        <v>52</v>
      </c>
      <c r="F310">
        <v>2015</v>
      </c>
      <c r="G310">
        <v>1010861426</v>
      </c>
      <c r="H310" s="1">
        <v>42031</v>
      </c>
      <c r="I310" s="1">
        <v>42044</v>
      </c>
      <c r="J310" s="1">
        <v>42044</v>
      </c>
      <c r="K310" s="1">
        <v>42104</v>
      </c>
      <c r="L310" s="7">
        <v>3214.8</v>
      </c>
      <c r="M310" s="5">
        <v>252</v>
      </c>
      <c r="N310" s="7">
        <v>810129.6</v>
      </c>
      <c r="O310" s="2">
        <v>3214.8</v>
      </c>
      <c r="P310">
        <v>252</v>
      </c>
      <c r="Q310" s="2">
        <v>810129.6</v>
      </c>
      <c r="R310">
        <v>707.26</v>
      </c>
      <c r="V310">
        <v>0</v>
      </c>
      <c r="W310">
        <v>0</v>
      </c>
      <c r="X310">
        <v>0</v>
      </c>
      <c r="Y310" s="2">
        <v>3922.06</v>
      </c>
      <c r="Z310" s="2">
        <v>3922.06</v>
      </c>
      <c r="AA310" s="2">
        <v>3922.06</v>
      </c>
      <c r="AB310" s="1">
        <v>42382</v>
      </c>
      <c r="AC310" t="s">
        <v>53</v>
      </c>
      <c r="AD310" t="s">
        <v>53</v>
      </c>
      <c r="AK310">
        <v>707.26</v>
      </c>
      <c r="AU310" s="6">
        <v>42356</v>
      </c>
      <c r="AV310" s="6">
        <v>42356</v>
      </c>
      <c r="AW310" t="s">
        <v>54</v>
      </c>
      <c r="AX310" t="str">
        <f t="shared" si="23"/>
        <v>FOR</v>
      </c>
      <c r="AY310" t="s">
        <v>55</v>
      </c>
    </row>
    <row r="311" spans="1:51">
      <c r="A311">
        <v>100066</v>
      </c>
      <c r="B311" t="s">
        <v>69</v>
      </c>
      <c r="C311" t="str">
        <f t="shared" si="26"/>
        <v>12268050155</v>
      </c>
      <c r="D311" t="str">
        <f t="shared" si="27"/>
        <v>04785851009</v>
      </c>
      <c r="E311" t="s">
        <v>52</v>
      </c>
      <c r="F311">
        <v>2015</v>
      </c>
      <c r="G311">
        <v>1010861599</v>
      </c>
      <c r="H311" s="1">
        <v>42031</v>
      </c>
      <c r="I311" s="1">
        <v>42044</v>
      </c>
      <c r="J311" s="1">
        <v>42044</v>
      </c>
      <c r="K311" s="1">
        <v>42104</v>
      </c>
      <c r="L311" s="7">
        <v>290.08</v>
      </c>
      <c r="M311" s="5">
        <v>252</v>
      </c>
      <c r="N311" s="7">
        <v>73100.160000000003</v>
      </c>
      <c r="O311">
        <v>290.08</v>
      </c>
      <c r="P311">
        <v>252</v>
      </c>
      <c r="Q311" s="2">
        <v>73100.160000000003</v>
      </c>
      <c r="R311">
        <v>63.82</v>
      </c>
      <c r="V311">
        <v>0</v>
      </c>
      <c r="W311">
        <v>0</v>
      </c>
      <c r="X311">
        <v>0</v>
      </c>
      <c r="Y311">
        <v>353.9</v>
      </c>
      <c r="Z311">
        <v>353.9</v>
      </c>
      <c r="AA311">
        <v>353.9</v>
      </c>
      <c r="AB311" s="1">
        <v>42382</v>
      </c>
      <c r="AC311" t="s">
        <v>53</v>
      </c>
      <c r="AD311" t="s">
        <v>53</v>
      </c>
      <c r="AK311">
        <v>63.82</v>
      </c>
      <c r="AU311" s="6">
        <v>42356</v>
      </c>
      <c r="AV311" s="6">
        <v>42356</v>
      </c>
      <c r="AW311" t="s">
        <v>54</v>
      </c>
      <c r="AX311" t="str">
        <f t="shared" si="23"/>
        <v>FOR</v>
      </c>
      <c r="AY311" t="s">
        <v>55</v>
      </c>
    </row>
    <row r="312" spans="1:51">
      <c r="A312">
        <v>100066</v>
      </c>
      <c r="B312" t="s">
        <v>69</v>
      </c>
      <c r="C312" t="str">
        <f t="shared" si="26"/>
        <v>12268050155</v>
      </c>
      <c r="D312" t="str">
        <f t="shared" si="27"/>
        <v>04785851009</v>
      </c>
      <c r="E312" t="s">
        <v>52</v>
      </c>
      <c r="F312">
        <v>2015</v>
      </c>
      <c r="G312">
        <v>1017518373</v>
      </c>
      <c r="H312" s="1">
        <v>42128</v>
      </c>
      <c r="I312" s="1">
        <v>42181</v>
      </c>
      <c r="J312" s="1">
        <v>42145</v>
      </c>
      <c r="K312" s="1">
        <v>42205</v>
      </c>
      <c r="L312" s="7">
        <v>-245</v>
      </c>
      <c r="M312" s="5">
        <v>151</v>
      </c>
      <c r="N312" s="7">
        <v>-36995</v>
      </c>
      <c r="O312">
        <v>-245</v>
      </c>
      <c r="P312">
        <v>151</v>
      </c>
      <c r="Q312" s="2">
        <v>-36995</v>
      </c>
      <c r="R312">
        <v>-53.9</v>
      </c>
      <c r="V312">
        <v>0</v>
      </c>
      <c r="W312">
        <v>0</v>
      </c>
      <c r="X312">
        <v>0</v>
      </c>
      <c r="Y312">
        <v>-298.89999999999998</v>
      </c>
      <c r="Z312">
        <v>-298.89999999999998</v>
      </c>
      <c r="AA312">
        <v>-298.89999999999998</v>
      </c>
      <c r="AB312" s="1">
        <v>42382</v>
      </c>
      <c r="AC312" t="s">
        <v>53</v>
      </c>
      <c r="AD312" t="s">
        <v>53</v>
      </c>
      <c r="AJ312">
        <v>-53.9</v>
      </c>
      <c r="AK312">
        <v>0</v>
      </c>
      <c r="AU312" s="6">
        <v>42356</v>
      </c>
      <c r="AV312" s="6">
        <v>42356</v>
      </c>
      <c r="AW312" t="s">
        <v>54</v>
      </c>
      <c r="AX312" t="str">
        <f t="shared" si="23"/>
        <v>FOR</v>
      </c>
      <c r="AY312" t="s">
        <v>55</v>
      </c>
    </row>
    <row r="313" spans="1:51">
      <c r="A313">
        <v>100069</v>
      </c>
      <c r="B313" t="s">
        <v>70</v>
      </c>
      <c r="C313" t="str">
        <f t="shared" ref="C313:D319" si="28">"04185110154"</f>
        <v>04185110154</v>
      </c>
      <c r="D313" t="str">
        <f t="shared" si="28"/>
        <v>04185110154</v>
      </c>
      <c r="E313" t="s">
        <v>52</v>
      </c>
      <c r="F313">
        <v>2014</v>
      </c>
      <c r="G313">
        <v>14043666</v>
      </c>
      <c r="H313" s="1">
        <v>41922</v>
      </c>
      <c r="I313" s="1">
        <v>41955</v>
      </c>
      <c r="J313" s="1">
        <v>41955</v>
      </c>
      <c r="K313" s="1">
        <v>42015</v>
      </c>
      <c r="L313" s="7">
        <v>7956.39</v>
      </c>
      <c r="M313" s="5">
        <v>267</v>
      </c>
      <c r="N313" s="7">
        <v>2124356.13</v>
      </c>
      <c r="O313" s="2">
        <v>7956.39</v>
      </c>
      <c r="P313">
        <v>267</v>
      </c>
      <c r="Q313" s="2">
        <v>2124356.13</v>
      </c>
      <c r="R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 s="1">
        <v>42382</v>
      </c>
      <c r="AC313" t="s">
        <v>53</v>
      </c>
      <c r="AD313" t="s">
        <v>53</v>
      </c>
      <c r="AK313">
        <v>0</v>
      </c>
      <c r="AU313" s="6">
        <v>42282</v>
      </c>
      <c r="AV313" s="6">
        <v>42282</v>
      </c>
      <c r="AW313" t="s">
        <v>54</v>
      </c>
      <c r="AX313" t="str">
        <f t="shared" si="23"/>
        <v>FOR</v>
      </c>
      <c r="AY313" t="s">
        <v>55</v>
      </c>
    </row>
    <row r="314" spans="1:51">
      <c r="A314">
        <v>100069</v>
      </c>
      <c r="B314" t="s">
        <v>70</v>
      </c>
      <c r="C314" t="str">
        <f t="shared" si="28"/>
        <v>04185110154</v>
      </c>
      <c r="D314" t="str">
        <f t="shared" si="28"/>
        <v>04185110154</v>
      </c>
      <c r="E314" t="s">
        <v>52</v>
      </c>
      <c r="F314">
        <v>2014</v>
      </c>
      <c r="G314">
        <v>14045273</v>
      </c>
      <c r="H314" s="1">
        <v>41934</v>
      </c>
      <c r="I314" s="1">
        <v>41955</v>
      </c>
      <c r="J314" s="1">
        <v>41955</v>
      </c>
      <c r="K314" s="1">
        <v>42015</v>
      </c>
      <c r="L314" s="7">
        <v>1210.73</v>
      </c>
      <c r="M314" s="5">
        <v>267</v>
      </c>
      <c r="N314" s="7">
        <v>323264.90999999997</v>
      </c>
      <c r="O314" s="2">
        <v>1210.73</v>
      </c>
      <c r="P314">
        <v>267</v>
      </c>
      <c r="Q314" s="2">
        <v>323264.90999999997</v>
      </c>
      <c r="R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 s="1">
        <v>42382</v>
      </c>
      <c r="AC314" t="s">
        <v>53</v>
      </c>
      <c r="AD314" t="s">
        <v>53</v>
      </c>
      <c r="AK314">
        <v>0</v>
      </c>
      <c r="AU314" s="6">
        <v>42282</v>
      </c>
      <c r="AV314" s="6">
        <v>42282</v>
      </c>
      <c r="AW314" t="s">
        <v>54</v>
      </c>
      <c r="AX314" t="str">
        <f t="shared" si="23"/>
        <v>FOR</v>
      </c>
      <c r="AY314" t="s">
        <v>55</v>
      </c>
    </row>
    <row r="315" spans="1:51">
      <c r="A315">
        <v>100069</v>
      </c>
      <c r="B315" t="s">
        <v>70</v>
      </c>
      <c r="C315" t="str">
        <f t="shared" si="28"/>
        <v>04185110154</v>
      </c>
      <c r="D315" t="str">
        <f t="shared" si="28"/>
        <v>04185110154</v>
      </c>
      <c r="E315" t="s">
        <v>52</v>
      </c>
      <c r="F315">
        <v>2014</v>
      </c>
      <c r="G315">
        <v>14046109</v>
      </c>
      <c r="H315" s="1">
        <v>41941</v>
      </c>
      <c r="I315" s="1">
        <v>41955</v>
      </c>
      <c r="J315" s="1">
        <v>41955</v>
      </c>
      <c r="K315" s="1">
        <v>42015</v>
      </c>
      <c r="L315" s="7">
        <v>534.36</v>
      </c>
      <c r="M315" s="5">
        <v>267</v>
      </c>
      <c r="N315" s="7">
        <v>142674.12</v>
      </c>
      <c r="O315">
        <v>534.36</v>
      </c>
      <c r="P315">
        <v>267</v>
      </c>
      <c r="Q315" s="2">
        <v>142674.12</v>
      </c>
      <c r="R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 s="1">
        <v>42382</v>
      </c>
      <c r="AC315" t="s">
        <v>53</v>
      </c>
      <c r="AD315" t="s">
        <v>53</v>
      </c>
      <c r="AK315">
        <v>0</v>
      </c>
      <c r="AU315" s="6">
        <v>42282</v>
      </c>
      <c r="AV315" s="6">
        <v>42282</v>
      </c>
      <c r="AW315" t="s">
        <v>54</v>
      </c>
      <c r="AX315" t="str">
        <f t="shared" si="23"/>
        <v>FOR</v>
      </c>
      <c r="AY315" t="s">
        <v>55</v>
      </c>
    </row>
    <row r="316" spans="1:51">
      <c r="A316">
        <v>100069</v>
      </c>
      <c r="B316" t="s">
        <v>70</v>
      </c>
      <c r="C316" t="str">
        <f t="shared" si="28"/>
        <v>04185110154</v>
      </c>
      <c r="D316" t="str">
        <f t="shared" si="28"/>
        <v>04185110154</v>
      </c>
      <c r="E316" t="s">
        <v>52</v>
      </c>
      <c r="F316">
        <v>2014</v>
      </c>
      <c r="G316">
        <v>14048004</v>
      </c>
      <c r="H316" s="1">
        <v>41950</v>
      </c>
      <c r="I316" s="1">
        <v>41967</v>
      </c>
      <c r="J316" s="1">
        <v>41967</v>
      </c>
      <c r="K316" s="1">
        <v>42027</v>
      </c>
      <c r="L316" s="7">
        <v>323.06</v>
      </c>
      <c r="M316" s="5">
        <v>278</v>
      </c>
      <c r="N316" s="7">
        <v>89810.68</v>
      </c>
      <c r="O316">
        <v>323.06</v>
      </c>
      <c r="P316">
        <v>278</v>
      </c>
      <c r="Q316" s="2">
        <v>89810.68</v>
      </c>
      <c r="R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 s="1">
        <v>42382</v>
      </c>
      <c r="AC316" t="s">
        <v>53</v>
      </c>
      <c r="AD316" t="s">
        <v>53</v>
      </c>
      <c r="AK316">
        <v>0</v>
      </c>
      <c r="AU316" s="6">
        <v>42305</v>
      </c>
      <c r="AV316" s="6">
        <v>42305</v>
      </c>
      <c r="AW316" t="s">
        <v>54</v>
      </c>
      <c r="AX316" t="str">
        <f t="shared" si="23"/>
        <v>FOR</v>
      </c>
      <c r="AY316" t="s">
        <v>55</v>
      </c>
    </row>
    <row r="317" spans="1:51">
      <c r="A317">
        <v>100069</v>
      </c>
      <c r="B317" t="s">
        <v>70</v>
      </c>
      <c r="C317" t="str">
        <f t="shared" si="28"/>
        <v>04185110154</v>
      </c>
      <c r="D317" t="str">
        <f t="shared" si="28"/>
        <v>04185110154</v>
      </c>
      <c r="E317" t="s">
        <v>52</v>
      </c>
      <c r="F317">
        <v>2015</v>
      </c>
      <c r="G317">
        <v>2015003268</v>
      </c>
      <c r="H317" s="1">
        <v>42025</v>
      </c>
      <c r="I317" s="1">
        <v>42047</v>
      </c>
      <c r="J317" s="1">
        <v>42047</v>
      </c>
      <c r="K317" s="1">
        <v>42107</v>
      </c>
      <c r="L317" s="7">
        <v>1488.6</v>
      </c>
      <c r="M317" s="5">
        <v>232</v>
      </c>
      <c r="N317" s="7">
        <v>345355.2</v>
      </c>
      <c r="O317" s="2">
        <v>1488.6</v>
      </c>
      <c r="P317">
        <v>232</v>
      </c>
      <c r="Q317" s="2">
        <v>345355.2</v>
      </c>
      <c r="R317">
        <v>327.49</v>
      </c>
      <c r="V317">
        <v>0</v>
      </c>
      <c r="W317">
        <v>0</v>
      </c>
      <c r="X317">
        <v>0</v>
      </c>
      <c r="Y317" s="2">
        <v>1816.09</v>
      </c>
      <c r="Z317" s="2">
        <v>1816.09</v>
      </c>
      <c r="AA317" s="2">
        <v>1816.09</v>
      </c>
      <c r="AB317" s="1">
        <v>42382</v>
      </c>
      <c r="AC317" t="s">
        <v>53</v>
      </c>
      <c r="AD317" t="s">
        <v>53</v>
      </c>
      <c r="AK317">
        <v>327.49</v>
      </c>
      <c r="AU317" s="6">
        <v>42339</v>
      </c>
      <c r="AV317" s="6">
        <v>42339</v>
      </c>
      <c r="AW317" t="s">
        <v>54</v>
      </c>
      <c r="AX317" t="str">
        <f t="shared" si="23"/>
        <v>FOR</v>
      </c>
      <c r="AY317" t="s">
        <v>55</v>
      </c>
    </row>
    <row r="318" spans="1:51">
      <c r="A318">
        <v>100069</v>
      </c>
      <c r="B318" t="s">
        <v>70</v>
      </c>
      <c r="C318" t="str">
        <f t="shared" si="28"/>
        <v>04185110154</v>
      </c>
      <c r="D318" t="str">
        <f t="shared" si="28"/>
        <v>04185110154</v>
      </c>
      <c r="E318" t="s">
        <v>52</v>
      </c>
      <c r="F318">
        <v>2015</v>
      </c>
      <c r="G318">
        <v>2015004884</v>
      </c>
      <c r="H318" s="1">
        <v>42032</v>
      </c>
      <c r="I318" s="1">
        <v>42052</v>
      </c>
      <c r="J318" s="1">
        <v>42052</v>
      </c>
      <c r="K318" s="1">
        <v>42112</v>
      </c>
      <c r="L318" s="7">
        <v>6098.1</v>
      </c>
      <c r="M318" s="5">
        <v>227</v>
      </c>
      <c r="N318" s="7">
        <v>1384268.7</v>
      </c>
      <c r="O318" s="2">
        <v>6098.1</v>
      </c>
      <c r="P318">
        <v>227</v>
      </c>
      <c r="Q318" s="2">
        <v>1384268.7</v>
      </c>
      <c r="R318" s="2">
        <v>1341.58</v>
      </c>
      <c r="V318">
        <v>0</v>
      </c>
      <c r="W318">
        <v>0</v>
      </c>
      <c r="X318">
        <v>0</v>
      </c>
      <c r="Y318" s="2">
        <v>7439.68</v>
      </c>
      <c r="Z318" s="2">
        <v>7439.68</v>
      </c>
      <c r="AA318" s="2">
        <v>7439.68</v>
      </c>
      <c r="AB318" s="1">
        <v>42382</v>
      </c>
      <c r="AC318" t="s">
        <v>53</v>
      </c>
      <c r="AD318" t="s">
        <v>53</v>
      </c>
      <c r="AK318" s="2">
        <v>1341.58</v>
      </c>
      <c r="AU318" s="6">
        <v>42339</v>
      </c>
      <c r="AV318" s="6">
        <v>42339</v>
      </c>
      <c r="AW318" t="s">
        <v>54</v>
      </c>
      <c r="AX318" t="str">
        <f t="shared" si="23"/>
        <v>FOR</v>
      </c>
      <c r="AY318" t="s">
        <v>55</v>
      </c>
    </row>
    <row r="319" spans="1:51">
      <c r="A319">
        <v>100069</v>
      </c>
      <c r="B319" t="s">
        <v>70</v>
      </c>
      <c r="C319" t="str">
        <f t="shared" si="28"/>
        <v>04185110154</v>
      </c>
      <c r="D319" t="str">
        <f t="shared" si="28"/>
        <v>04185110154</v>
      </c>
      <c r="E319" t="s">
        <v>52</v>
      </c>
      <c r="F319">
        <v>2015</v>
      </c>
      <c r="G319">
        <v>2015005596</v>
      </c>
      <c r="H319" s="1">
        <v>42034</v>
      </c>
      <c r="I319" s="1">
        <v>42052</v>
      </c>
      <c r="J319" s="1">
        <v>42052</v>
      </c>
      <c r="K319" s="1">
        <v>42112</v>
      </c>
      <c r="L319" s="7">
        <v>372</v>
      </c>
      <c r="M319" s="5">
        <v>227</v>
      </c>
      <c r="N319" s="7">
        <v>84444</v>
      </c>
      <c r="O319">
        <v>372</v>
      </c>
      <c r="P319">
        <v>227</v>
      </c>
      <c r="Q319" s="2">
        <v>84444</v>
      </c>
      <c r="R319">
        <v>81.84</v>
      </c>
      <c r="V319">
        <v>0</v>
      </c>
      <c r="W319">
        <v>0</v>
      </c>
      <c r="X319">
        <v>0</v>
      </c>
      <c r="Y319">
        <v>453.84</v>
      </c>
      <c r="Z319">
        <v>453.84</v>
      </c>
      <c r="AA319">
        <v>453.84</v>
      </c>
      <c r="AB319" s="1">
        <v>42382</v>
      </c>
      <c r="AC319" t="s">
        <v>53</v>
      </c>
      <c r="AD319" t="s">
        <v>53</v>
      </c>
      <c r="AK319">
        <v>81.84</v>
      </c>
      <c r="AU319" s="6">
        <v>42339</v>
      </c>
      <c r="AV319" s="6">
        <v>42339</v>
      </c>
      <c r="AW319" t="s">
        <v>54</v>
      </c>
      <c r="AX319" t="str">
        <f t="shared" si="23"/>
        <v>FOR</v>
      </c>
      <c r="AY319" t="s">
        <v>55</v>
      </c>
    </row>
    <row r="320" spans="1:51" hidden="1">
      <c r="A320">
        <v>100070</v>
      </c>
      <c r="B320" t="s">
        <v>71</v>
      </c>
      <c r="C320" t="str">
        <f t="shared" ref="C320:D322" si="29">"00807290150"</f>
        <v>00807290150</v>
      </c>
      <c r="D320" t="str">
        <f t="shared" si="29"/>
        <v>00807290150</v>
      </c>
      <c r="E320" t="s">
        <v>52</v>
      </c>
      <c r="F320">
        <v>2014</v>
      </c>
      <c r="G320">
        <v>299</v>
      </c>
      <c r="H320" s="1">
        <v>41695</v>
      </c>
      <c r="I320" s="1">
        <v>41711</v>
      </c>
      <c r="J320" s="1">
        <v>41711</v>
      </c>
      <c r="K320" s="1">
        <v>41801</v>
      </c>
      <c r="N320" s="5"/>
      <c r="O320">
        <v>95.22</v>
      </c>
      <c r="P320">
        <v>329</v>
      </c>
      <c r="Q320" s="2">
        <v>31327.38</v>
      </c>
      <c r="R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 s="1">
        <v>42382</v>
      </c>
      <c r="AC320" t="s">
        <v>53</v>
      </c>
      <c r="AD320" t="s">
        <v>53</v>
      </c>
      <c r="AK320">
        <v>0</v>
      </c>
      <c r="AU320" s="6">
        <v>42130</v>
      </c>
      <c r="AV320" s="6">
        <v>42130</v>
      </c>
      <c r="AW320" t="s">
        <v>54</v>
      </c>
      <c r="AX320" t="str">
        <f t="shared" si="23"/>
        <v>FOR</v>
      </c>
      <c r="AY320" t="s">
        <v>55</v>
      </c>
    </row>
    <row r="321" spans="1:51" hidden="1">
      <c r="A321">
        <v>100070</v>
      </c>
      <c r="B321" t="s">
        <v>71</v>
      </c>
      <c r="C321" t="str">
        <f t="shared" si="29"/>
        <v>00807290150</v>
      </c>
      <c r="D321" t="str">
        <f t="shared" si="29"/>
        <v>00807290150</v>
      </c>
      <c r="E321" t="s">
        <v>52</v>
      </c>
      <c r="F321">
        <v>2014</v>
      </c>
      <c r="G321">
        <v>326</v>
      </c>
      <c r="H321" s="1">
        <v>41697</v>
      </c>
      <c r="I321" s="1">
        <v>41711</v>
      </c>
      <c r="J321" s="1">
        <v>41711</v>
      </c>
      <c r="K321" s="1">
        <v>41801</v>
      </c>
      <c r="N321" s="5"/>
      <c r="O321">
        <v>95.22</v>
      </c>
      <c r="P321">
        <v>329</v>
      </c>
      <c r="Q321" s="2">
        <v>31327.38</v>
      </c>
      <c r="R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 s="1">
        <v>42382</v>
      </c>
      <c r="AC321" t="s">
        <v>53</v>
      </c>
      <c r="AD321" t="s">
        <v>53</v>
      </c>
      <c r="AK321">
        <v>0</v>
      </c>
      <c r="AU321" s="6">
        <v>42130</v>
      </c>
      <c r="AV321" s="6">
        <v>42130</v>
      </c>
      <c r="AW321" t="s">
        <v>54</v>
      </c>
      <c r="AX321" t="str">
        <f t="shared" si="23"/>
        <v>FOR</v>
      </c>
      <c r="AY321" t="s">
        <v>55</v>
      </c>
    </row>
    <row r="322" spans="1:51" hidden="1">
      <c r="A322">
        <v>100070</v>
      </c>
      <c r="B322" t="s">
        <v>71</v>
      </c>
      <c r="C322" t="str">
        <f t="shared" si="29"/>
        <v>00807290150</v>
      </c>
      <c r="D322" t="str">
        <f t="shared" si="29"/>
        <v>00807290150</v>
      </c>
      <c r="E322" t="s">
        <v>52</v>
      </c>
      <c r="F322">
        <v>2014</v>
      </c>
      <c r="G322">
        <v>1308</v>
      </c>
      <c r="H322" s="1">
        <v>41883</v>
      </c>
      <c r="I322" s="1">
        <v>41890</v>
      </c>
      <c r="J322" s="1">
        <v>41890</v>
      </c>
      <c r="K322" s="1">
        <v>41980</v>
      </c>
      <c r="N322" s="5"/>
      <c r="O322">
        <v>95.22</v>
      </c>
      <c r="P322">
        <v>150</v>
      </c>
      <c r="Q322" s="2">
        <v>14283</v>
      </c>
      <c r="R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 s="1">
        <v>42382</v>
      </c>
      <c r="AC322" t="s">
        <v>53</v>
      </c>
      <c r="AD322" t="s">
        <v>53</v>
      </c>
      <c r="AK322">
        <v>0</v>
      </c>
      <c r="AU322" s="6">
        <v>42130</v>
      </c>
      <c r="AV322" s="6">
        <v>42130</v>
      </c>
      <c r="AW322" t="s">
        <v>54</v>
      </c>
      <c r="AX322" t="str">
        <f t="shared" si="23"/>
        <v>FOR</v>
      </c>
      <c r="AY322" t="s">
        <v>55</v>
      </c>
    </row>
    <row r="323" spans="1:51" hidden="1">
      <c r="A323">
        <v>100072</v>
      </c>
      <c r="B323" t="s">
        <v>72</v>
      </c>
      <c r="C323" t="str">
        <f>"01469480634"</f>
        <v>01469480634</v>
      </c>
      <c r="D323" t="str">
        <f>"01469480634"</f>
        <v>01469480634</v>
      </c>
      <c r="E323" t="s">
        <v>52</v>
      </c>
      <c r="F323">
        <v>2014</v>
      </c>
      <c r="G323">
        <v>33</v>
      </c>
      <c r="H323" s="1">
        <v>41890</v>
      </c>
      <c r="I323" s="1">
        <v>41901</v>
      </c>
      <c r="J323" s="1">
        <v>41901</v>
      </c>
      <c r="K323" s="1">
        <v>41991</v>
      </c>
      <c r="N323" s="5"/>
      <c r="O323">
        <v>216.43</v>
      </c>
      <c r="P323">
        <v>145</v>
      </c>
      <c r="Q323" s="2">
        <v>31382.35</v>
      </c>
      <c r="R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 s="1">
        <v>42382</v>
      </c>
      <c r="AC323" t="s">
        <v>53</v>
      </c>
      <c r="AD323" t="s">
        <v>53</v>
      </c>
      <c r="AK323">
        <v>0</v>
      </c>
      <c r="AU323" s="6">
        <v>42136</v>
      </c>
      <c r="AV323" s="6">
        <v>42136</v>
      </c>
      <c r="AW323" t="s">
        <v>54</v>
      </c>
      <c r="AX323" t="str">
        <f t="shared" ref="AX323:AX386" si="30">"FOR"</f>
        <v>FOR</v>
      </c>
      <c r="AY323" t="s">
        <v>55</v>
      </c>
    </row>
    <row r="324" spans="1:51" hidden="1">
      <c r="A324">
        <v>100072</v>
      </c>
      <c r="B324" t="s">
        <v>72</v>
      </c>
      <c r="C324" t="str">
        <f>"01469480634"</f>
        <v>01469480634</v>
      </c>
      <c r="D324" t="str">
        <f>"01469480634"</f>
        <v>01469480634</v>
      </c>
      <c r="E324" t="s">
        <v>52</v>
      </c>
      <c r="F324">
        <v>2014</v>
      </c>
      <c r="G324">
        <v>34</v>
      </c>
      <c r="H324" s="1">
        <v>41890</v>
      </c>
      <c r="I324" s="1">
        <v>42117</v>
      </c>
      <c r="J324" s="1">
        <v>42117</v>
      </c>
      <c r="K324" s="1">
        <v>42177</v>
      </c>
      <c r="N324" s="5"/>
      <c r="O324" s="2">
        <v>1877.09</v>
      </c>
      <c r="P324">
        <v>-41</v>
      </c>
      <c r="Q324" s="2">
        <v>-76960.69</v>
      </c>
      <c r="R324">
        <v>0</v>
      </c>
      <c r="V324">
        <v>0</v>
      </c>
      <c r="W324">
        <v>0</v>
      </c>
      <c r="X324">
        <v>0</v>
      </c>
      <c r="Y324">
        <v>-217.77</v>
      </c>
      <c r="Z324" s="2">
        <v>1877.09</v>
      </c>
      <c r="AA324">
        <v>-217.77</v>
      </c>
      <c r="AB324" s="1">
        <v>42382</v>
      </c>
      <c r="AC324" t="s">
        <v>53</v>
      </c>
      <c r="AD324" t="s">
        <v>53</v>
      </c>
      <c r="AK324">
        <v>0</v>
      </c>
      <c r="AU324" s="6">
        <v>42136</v>
      </c>
      <c r="AV324" s="6">
        <v>42136</v>
      </c>
      <c r="AW324" t="s">
        <v>54</v>
      </c>
      <c r="AX324" t="str">
        <f t="shared" si="30"/>
        <v>FOR</v>
      </c>
      <c r="AY324" t="s">
        <v>55</v>
      </c>
    </row>
    <row r="325" spans="1:51">
      <c r="A325">
        <v>100073</v>
      </c>
      <c r="B325" t="s">
        <v>73</v>
      </c>
      <c r="C325" t="str">
        <f>"11496970150"</f>
        <v>11496970150</v>
      </c>
      <c r="D325" t="str">
        <f>"11496970150"</f>
        <v>11496970150</v>
      </c>
      <c r="E325" t="s">
        <v>52</v>
      </c>
      <c r="F325">
        <v>2014</v>
      </c>
      <c r="G325">
        <v>33883</v>
      </c>
      <c r="H325" s="1">
        <v>41985</v>
      </c>
      <c r="I325" s="1">
        <v>42004</v>
      </c>
      <c r="J325" s="1">
        <v>42004</v>
      </c>
      <c r="K325" s="1">
        <v>42064</v>
      </c>
      <c r="L325" s="7">
        <v>4196.5</v>
      </c>
      <c r="M325" s="5">
        <v>277</v>
      </c>
      <c r="N325" s="7">
        <v>1162430.5</v>
      </c>
      <c r="O325" s="2">
        <v>4196.5</v>
      </c>
      <c r="P325">
        <v>277</v>
      </c>
      <c r="Q325" s="2">
        <v>1162430.5</v>
      </c>
      <c r="R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 s="1">
        <v>42382</v>
      </c>
      <c r="AC325" t="s">
        <v>53</v>
      </c>
      <c r="AD325" t="s">
        <v>53</v>
      </c>
      <c r="AK325">
        <v>0</v>
      </c>
      <c r="AU325" s="6">
        <v>42341</v>
      </c>
      <c r="AV325" s="6">
        <v>42341</v>
      </c>
      <c r="AW325" t="s">
        <v>54</v>
      </c>
      <c r="AX325" t="str">
        <f t="shared" si="30"/>
        <v>FOR</v>
      </c>
      <c r="AY325" t="s">
        <v>55</v>
      </c>
    </row>
    <row r="326" spans="1:51" hidden="1">
      <c r="A326">
        <v>100077</v>
      </c>
      <c r="B326" t="s">
        <v>74</v>
      </c>
      <c r="C326" t="str">
        <f t="shared" ref="C326:D334" si="31">"00729220624"</f>
        <v>00729220624</v>
      </c>
      <c r="D326" t="str">
        <f t="shared" si="31"/>
        <v>00729220624</v>
      </c>
      <c r="E326" t="s">
        <v>52</v>
      </c>
      <c r="F326">
        <v>2014</v>
      </c>
      <c r="G326" t="s">
        <v>75</v>
      </c>
      <c r="H326" s="1">
        <v>41985</v>
      </c>
      <c r="I326" s="1">
        <v>41988</v>
      </c>
      <c r="J326" s="1">
        <v>41988</v>
      </c>
      <c r="K326" s="1">
        <v>42048</v>
      </c>
      <c r="N326" s="5"/>
      <c r="O326">
        <v>20</v>
      </c>
      <c r="P326">
        <v>-8</v>
      </c>
      <c r="Q326">
        <v>-160</v>
      </c>
      <c r="R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 s="1">
        <v>42382</v>
      </c>
      <c r="AC326" t="s">
        <v>53</v>
      </c>
      <c r="AD326" t="s">
        <v>53</v>
      </c>
      <c r="AK326">
        <v>0</v>
      </c>
      <c r="AU326" s="6">
        <v>42040</v>
      </c>
      <c r="AV326" s="6">
        <v>42040</v>
      </c>
      <c r="AW326" t="s">
        <v>54</v>
      </c>
      <c r="AX326" t="str">
        <f t="shared" si="30"/>
        <v>FOR</v>
      </c>
      <c r="AY326" t="s">
        <v>55</v>
      </c>
    </row>
    <row r="327" spans="1:51" hidden="1">
      <c r="A327">
        <v>100077</v>
      </c>
      <c r="B327" t="s">
        <v>74</v>
      </c>
      <c r="C327" t="str">
        <f t="shared" si="31"/>
        <v>00729220624</v>
      </c>
      <c r="D327" t="str">
        <f t="shared" si="31"/>
        <v>00729220624</v>
      </c>
      <c r="E327" t="s">
        <v>52</v>
      </c>
      <c r="F327">
        <v>2014</v>
      </c>
      <c r="G327" t="s">
        <v>76</v>
      </c>
      <c r="H327" s="1">
        <v>41988</v>
      </c>
      <c r="I327" s="1">
        <v>41991</v>
      </c>
      <c r="J327" s="1">
        <v>41991</v>
      </c>
      <c r="K327" s="1">
        <v>42051</v>
      </c>
      <c r="N327" s="5"/>
      <c r="O327">
        <v>100</v>
      </c>
      <c r="P327">
        <v>-11</v>
      </c>
      <c r="Q327" s="2">
        <v>-1100</v>
      </c>
      <c r="R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 s="1">
        <v>42382</v>
      </c>
      <c r="AC327" t="s">
        <v>53</v>
      </c>
      <c r="AD327" t="s">
        <v>53</v>
      </c>
      <c r="AK327">
        <v>0</v>
      </c>
      <c r="AU327" s="6">
        <v>42040</v>
      </c>
      <c r="AV327" s="6">
        <v>42040</v>
      </c>
      <c r="AW327" t="s">
        <v>54</v>
      </c>
      <c r="AX327" t="str">
        <f t="shared" si="30"/>
        <v>FOR</v>
      </c>
      <c r="AY327" t="s">
        <v>55</v>
      </c>
    </row>
    <row r="328" spans="1:51" hidden="1">
      <c r="A328">
        <v>100077</v>
      </c>
      <c r="B328" t="s">
        <v>74</v>
      </c>
      <c r="C328" t="str">
        <f t="shared" si="31"/>
        <v>00729220624</v>
      </c>
      <c r="D328" t="str">
        <f t="shared" si="31"/>
        <v>00729220624</v>
      </c>
      <c r="E328" t="s">
        <v>52</v>
      </c>
      <c r="F328">
        <v>2015</v>
      </c>
      <c r="G328" t="s">
        <v>77</v>
      </c>
      <c r="H328" s="1">
        <v>42020</v>
      </c>
      <c r="I328" s="1">
        <v>42025</v>
      </c>
      <c r="J328" s="1">
        <v>42025</v>
      </c>
      <c r="K328" s="1">
        <v>42085</v>
      </c>
      <c r="N328" s="5"/>
      <c r="O328">
        <v>90</v>
      </c>
      <c r="P328">
        <v>38</v>
      </c>
      <c r="Q328" s="2">
        <v>3420</v>
      </c>
      <c r="R328">
        <v>19.8</v>
      </c>
      <c r="V328">
        <v>0</v>
      </c>
      <c r="W328">
        <v>0</v>
      </c>
      <c r="X328">
        <v>0</v>
      </c>
      <c r="Y328">
        <v>109.8</v>
      </c>
      <c r="Z328">
        <v>109.8</v>
      </c>
      <c r="AA328">
        <v>109.8</v>
      </c>
      <c r="AB328" s="1">
        <v>42382</v>
      </c>
      <c r="AC328" t="s">
        <v>53</v>
      </c>
      <c r="AD328" t="s">
        <v>53</v>
      </c>
      <c r="AK328">
        <v>19.8</v>
      </c>
      <c r="AU328" s="6">
        <v>42123</v>
      </c>
      <c r="AV328" s="6">
        <v>42123</v>
      </c>
      <c r="AW328" t="s">
        <v>54</v>
      </c>
      <c r="AX328" t="str">
        <f t="shared" si="30"/>
        <v>FOR</v>
      </c>
      <c r="AY328" t="s">
        <v>55</v>
      </c>
    </row>
    <row r="329" spans="1:51" hidden="1">
      <c r="A329">
        <v>100077</v>
      </c>
      <c r="B329" t="s">
        <v>74</v>
      </c>
      <c r="C329" t="str">
        <f t="shared" si="31"/>
        <v>00729220624</v>
      </c>
      <c r="D329" t="str">
        <f t="shared" si="31"/>
        <v>00729220624</v>
      </c>
      <c r="E329" t="s">
        <v>52</v>
      </c>
      <c r="F329">
        <v>2015</v>
      </c>
      <c r="G329" t="s">
        <v>78</v>
      </c>
      <c r="H329" s="1">
        <v>42024</v>
      </c>
      <c r="I329" s="1">
        <v>42025</v>
      </c>
      <c r="J329" s="1">
        <v>42025</v>
      </c>
      <c r="K329" s="1">
        <v>42085</v>
      </c>
      <c r="N329" s="5"/>
      <c r="O329">
        <v>12</v>
      </c>
      <c r="P329">
        <v>38</v>
      </c>
      <c r="Q329">
        <v>456</v>
      </c>
      <c r="R329">
        <v>2.64</v>
      </c>
      <c r="V329">
        <v>0</v>
      </c>
      <c r="W329">
        <v>0</v>
      </c>
      <c r="X329">
        <v>0</v>
      </c>
      <c r="Y329">
        <v>14.64</v>
      </c>
      <c r="Z329">
        <v>14.64</v>
      </c>
      <c r="AA329">
        <v>14.64</v>
      </c>
      <c r="AB329" s="1">
        <v>42382</v>
      </c>
      <c r="AC329" t="s">
        <v>53</v>
      </c>
      <c r="AD329" t="s">
        <v>53</v>
      </c>
      <c r="AK329">
        <v>2.64</v>
      </c>
      <c r="AU329" s="6">
        <v>42123</v>
      </c>
      <c r="AV329" s="6">
        <v>42123</v>
      </c>
      <c r="AW329" t="s">
        <v>54</v>
      </c>
      <c r="AX329" t="str">
        <f t="shared" si="30"/>
        <v>FOR</v>
      </c>
      <c r="AY329" t="s">
        <v>55</v>
      </c>
    </row>
    <row r="330" spans="1:51" hidden="1">
      <c r="A330">
        <v>100077</v>
      </c>
      <c r="B330" t="s">
        <v>74</v>
      </c>
      <c r="C330" t="str">
        <f t="shared" si="31"/>
        <v>00729220624</v>
      </c>
      <c r="D330" t="str">
        <f t="shared" si="31"/>
        <v>00729220624</v>
      </c>
      <c r="E330" t="s">
        <v>52</v>
      </c>
      <c r="F330">
        <v>2015</v>
      </c>
      <c r="G330" t="s">
        <v>79</v>
      </c>
      <c r="H330" s="1">
        <v>42065</v>
      </c>
      <c r="I330" s="1">
        <v>42066</v>
      </c>
      <c r="J330" s="1">
        <v>42066</v>
      </c>
      <c r="K330" s="1">
        <v>42126</v>
      </c>
      <c r="N330" s="5"/>
      <c r="O330">
        <v>82.9</v>
      </c>
      <c r="P330">
        <v>-3</v>
      </c>
      <c r="Q330">
        <v>-248.7</v>
      </c>
      <c r="R330">
        <v>18.239999999999998</v>
      </c>
      <c r="V330">
        <v>0</v>
      </c>
      <c r="W330">
        <v>0</v>
      </c>
      <c r="X330">
        <v>0</v>
      </c>
      <c r="Y330">
        <v>101.14</v>
      </c>
      <c r="Z330">
        <v>101.14</v>
      </c>
      <c r="AA330">
        <v>101.14</v>
      </c>
      <c r="AB330" s="1">
        <v>42382</v>
      </c>
      <c r="AC330" t="s">
        <v>53</v>
      </c>
      <c r="AD330" t="s">
        <v>53</v>
      </c>
      <c r="AK330">
        <v>18.239999999999998</v>
      </c>
      <c r="AU330" s="6">
        <v>42123</v>
      </c>
      <c r="AV330" s="6">
        <v>42123</v>
      </c>
      <c r="AW330" t="s">
        <v>54</v>
      </c>
      <c r="AX330" t="str">
        <f t="shared" si="30"/>
        <v>FOR</v>
      </c>
      <c r="AY330" t="s">
        <v>55</v>
      </c>
    </row>
    <row r="331" spans="1:51">
      <c r="A331">
        <v>100077</v>
      </c>
      <c r="B331" t="s">
        <v>74</v>
      </c>
      <c r="C331" t="str">
        <f t="shared" si="31"/>
        <v>00729220624</v>
      </c>
      <c r="D331" t="str">
        <f t="shared" si="31"/>
        <v>00729220624</v>
      </c>
      <c r="E331" t="s">
        <v>52</v>
      </c>
      <c r="F331">
        <v>2015</v>
      </c>
      <c r="G331" t="s">
        <v>80</v>
      </c>
      <c r="H331" s="1">
        <v>42264</v>
      </c>
      <c r="I331" s="1">
        <v>42265</v>
      </c>
      <c r="J331" s="1">
        <v>42264</v>
      </c>
      <c r="K331" s="1">
        <v>42324</v>
      </c>
      <c r="L331" s="7">
        <v>650</v>
      </c>
      <c r="M331" s="5">
        <v>-40</v>
      </c>
      <c r="N331" s="7">
        <v>-26000</v>
      </c>
      <c r="O331">
        <v>650</v>
      </c>
      <c r="P331">
        <v>-40</v>
      </c>
      <c r="Q331" s="2">
        <v>-26000</v>
      </c>
      <c r="R331">
        <v>143</v>
      </c>
      <c r="V331">
        <v>0</v>
      </c>
      <c r="W331">
        <v>0</v>
      </c>
      <c r="X331">
        <v>0</v>
      </c>
      <c r="Y331">
        <v>793</v>
      </c>
      <c r="Z331">
        <v>793</v>
      </c>
      <c r="AA331">
        <v>793</v>
      </c>
      <c r="AB331" s="1">
        <v>42382</v>
      </c>
      <c r="AC331" t="s">
        <v>53</v>
      </c>
      <c r="AD331" t="s">
        <v>53</v>
      </c>
      <c r="AF331">
        <v>143</v>
      </c>
      <c r="AK331">
        <v>0</v>
      </c>
      <c r="AU331" s="6">
        <v>42284</v>
      </c>
      <c r="AV331" s="6">
        <v>42284</v>
      </c>
      <c r="AW331" t="s">
        <v>54</v>
      </c>
      <c r="AX331" t="str">
        <f t="shared" si="30"/>
        <v>FOR</v>
      </c>
      <c r="AY331" t="s">
        <v>55</v>
      </c>
    </row>
    <row r="332" spans="1:51">
      <c r="A332">
        <v>100077</v>
      </c>
      <c r="B332" t="s">
        <v>74</v>
      </c>
      <c r="C332" t="str">
        <f t="shared" si="31"/>
        <v>00729220624</v>
      </c>
      <c r="D332" t="str">
        <f t="shared" si="31"/>
        <v>00729220624</v>
      </c>
      <c r="E332" t="s">
        <v>52</v>
      </c>
      <c r="F332">
        <v>2015</v>
      </c>
      <c r="G332" t="s">
        <v>81</v>
      </c>
      <c r="H332" s="1">
        <v>42264</v>
      </c>
      <c r="I332" s="1">
        <v>42265</v>
      </c>
      <c r="J332" s="1">
        <v>42264</v>
      </c>
      <c r="K332" s="1">
        <v>42324</v>
      </c>
      <c r="L332" s="7">
        <v>130</v>
      </c>
      <c r="M332" s="5">
        <v>-40</v>
      </c>
      <c r="N332" s="7">
        <v>-5200</v>
      </c>
      <c r="O332">
        <v>130</v>
      </c>
      <c r="P332">
        <v>-40</v>
      </c>
      <c r="Q332" s="2">
        <v>-5200</v>
      </c>
      <c r="R332">
        <v>28.6</v>
      </c>
      <c r="V332">
        <v>0</v>
      </c>
      <c r="W332">
        <v>0</v>
      </c>
      <c r="X332">
        <v>0</v>
      </c>
      <c r="Y332">
        <v>158.6</v>
      </c>
      <c r="Z332">
        <v>158.6</v>
      </c>
      <c r="AA332">
        <v>158.6</v>
      </c>
      <c r="AB332" s="1">
        <v>42382</v>
      </c>
      <c r="AC332" t="s">
        <v>53</v>
      </c>
      <c r="AD332" t="s">
        <v>53</v>
      </c>
      <c r="AF332">
        <v>28.6</v>
      </c>
      <c r="AK332">
        <v>0</v>
      </c>
      <c r="AU332" s="6">
        <v>42284</v>
      </c>
      <c r="AV332" s="6">
        <v>42284</v>
      </c>
      <c r="AW332" t="s">
        <v>54</v>
      </c>
      <c r="AX332" t="str">
        <f t="shared" si="30"/>
        <v>FOR</v>
      </c>
      <c r="AY332" t="s">
        <v>55</v>
      </c>
    </row>
    <row r="333" spans="1:51">
      <c r="A333">
        <v>100077</v>
      </c>
      <c r="B333" t="s">
        <v>74</v>
      </c>
      <c r="C333" t="str">
        <f t="shared" si="31"/>
        <v>00729220624</v>
      </c>
      <c r="D333" t="str">
        <f t="shared" si="31"/>
        <v>00729220624</v>
      </c>
      <c r="E333" t="s">
        <v>52</v>
      </c>
      <c r="F333">
        <v>2015</v>
      </c>
      <c r="G333" t="s">
        <v>82</v>
      </c>
      <c r="H333" s="1">
        <v>42264</v>
      </c>
      <c r="I333" s="1">
        <v>42265</v>
      </c>
      <c r="J333" s="1">
        <v>42264</v>
      </c>
      <c r="K333" s="1">
        <v>42324</v>
      </c>
      <c r="L333" s="7">
        <v>320</v>
      </c>
      <c r="M333" s="5">
        <v>-40</v>
      </c>
      <c r="N333" s="7">
        <v>-12800</v>
      </c>
      <c r="O333">
        <v>320</v>
      </c>
      <c r="P333">
        <v>-40</v>
      </c>
      <c r="Q333" s="2">
        <v>-12800</v>
      </c>
      <c r="R333">
        <v>70.400000000000006</v>
      </c>
      <c r="V333">
        <v>0</v>
      </c>
      <c r="W333">
        <v>0</v>
      </c>
      <c r="X333">
        <v>0</v>
      </c>
      <c r="Y333">
        <v>390.4</v>
      </c>
      <c r="Z333">
        <v>390.4</v>
      </c>
      <c r="AA333">
        <v>390.4</v>
      </c>
      <c r="AB333" s="1">
        <v>42382</v>
      </c>
      <c r="AC333" t="s">
        <v>53</v>
      </c>
      <c r="AD333" t="s">
        <v>53</v>
      </c>
      <c r="AF333">
        <v>70.400000000000006</v>
      </c>
      <c r="AK333">
        <v>0</v>
      </c>
      <c r="AU333" s="6">
        <v>42284</v>
      </c>
      <c r="AV333" s="6">
        <v>42284</v>
      </c>
      <c r="AW333" t="s">
        <v>54</v>
      </c>
      <c r="AX333" t="str">
        <f t="shared" si="30"/>
        <v>FOR</v>
      </c>
      <c r="AY333" t="s">
        <v>55</v>
      </c>
    </row>
    <row r="334" spans="1:51" hidden="1">
      <c r="A334">
        <v>100077</v>
      </c>
      <c r="B334" t="s">
        <v>74</v>
      </c>
      <c r="C334" t="str">
        <f t="shared" si="31"/>
        <v>00729220624</v>
      </c>
      <c r="D334" t="str">
        <f t="shared" si="31"/>
        <v>00729220624</v>
      </c>
      <c r="E334" t="s">
        <v>52</v>
      </c>
      <c r="F334">
        <v>2015</v>
      </c>
      <c r="G334" t="s">
        <v>83</v>
      </c>
      <c r="H334" s="1">
        <v>42081</v>
      </c>
      <c r="I334" s="1">
        <v>42081</v>
      </c>
      <c r="J334" s="1">
        <v>42081</v>
      </c>
      <c r="K334" s="1">
        <v>42141</v>
      </c>
      <c r="N334" s="5"/>
      <c r="O334" s="2">
        <v>1289</v>
      </c>
      <c r="P334">
        <v>18</v>
      </c>
      <c r="Q334" s="2">
        <v>23202</v>
      </c>
      <c r="R334">
        <v>0</v>
      </c>
      <c r="V334">
        <v>0</v>
      </c>
      <c r="W334">
        <v>0</v>
      </c>
      <c r="X334">
        <v>0</v>
      </c>
      <c r="Y334" s="2">
        <v>1572.58</v>
      </c>
      <c r="Z334" s="2">
        <v>1572.58</v>
      </c>
      <c r="AA334" s="2">
        <v>1572.58</v>
      </c>
      <c r="AB334" s="1">
        <v>42382</v>
      </c>
      <c r="AC334" t="s">
        <v>53</v>
      </c>
      <c r="AD334" t="s">
        <v>53</v>
      </c>
      <c r="AK334">
        <v>0</v>
      </c>
      <c r="AU334" s="6">
        <v>42159</v>
      </c>
      <c r="AV334" s="6">
        <v>42159</v>
      </c>
      <c r="AW334" t="s">
        <v>54</v>
      </c>
      <c r="AX334" t="str">
        <f t="shared" si="30"/>
        <v>FOR</v>
      </c>
      <c r="AY334" t="s">
        <v>55</v>
      </c>
    </row>
    <row r="335" spans="1:51" hidden="1">
      <c r="A335">
        <v>100079</v>
      </c>
      <c r="B335" t="s">
        <v>84</v>
      </c>
      <c r="C335" t="str">
        <f>"00889160156"</f>
        <v>00889160156</v>
      </c>
      <c r="D335" t="str">
        <f>"00889160156"</f>
        <v>00889160156</v>
      </c>
      <c r="E335" t="s">
        <v>52</v>
      </c>
      <c r="F335">
        <v>2014</v>
      </c>
      <c r="G335">
        <v>14018727</v>
      </c>
      <c r="H335" s="1">
        <v>41870</v>
      </c>
      <c r="I335" s="1">
        <v>41890</v>
      </c>
      <c r="J335" s="1">
        <v>41890</v>
      </c>
      <c r="K335" s="1">
        <v>41980</v>
      </c>
      <c r="N335" s="5"/>
      <c r="O335">
        <v>776.69</v>
      </c>
      <c r="P335">
        <v>61</v>
      </c>
      <c r="Q335" s="2">
        <v>47378.09</v>
      </c>
      <c r="R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 s="1">
        <v>42382</v>
      </c>
      <c r="AC335" t="s">
        <v>53</v>
      </c>
      <c r="AD335" t="s">
        <v>53</v>
      </c>
      <c r="AK335">
        <v>0</v>
      </c>
      <c r="AU335" s="6">
        <v>42041</v>
      </c>
      <c r="AV335" s="6">
        <v>42041</v>
      </c>
      <c r="AW335" t="s">
        <v>54</v>
      </c>
      <c r="AX335" t="str">
        <f t="shared" si="30"/>
        <v>FOR</v>
      </c>
      <c r="AY335" t="s">
        <v>55</v>
      </c>
    </row>
    <row r="336" spans="1:51" hidden="1">
      <c r="A336">
        <v>100079</v>
      </c>
      <c r="B336" t="s">
        <v>84</v>
      </c>
      <c r="C336" t="str">
        <f>"00889160156"</f>
        <v>00889160156</v>
      </c>
      <c r="D336" t="str">
        <f>"00889160156"</f>
        <v>00889160156</v>
      </c>
      <c r="E336" t="s">
        <v>52</v>
      </c>
      <c r="F336">
        <v>2014</v>
      </c>
      <c r="G336">
        <v>14019901</v>
      </c>
      <c r="H336" s="1">
        <v>41885</v>
      </c>
      <c r="I336" s="1">
        <v>41904</v>
      </c>
      <c r="J336" s="1">
        <v>41904</v>
      </c>
      <c r="K336" s="1">
        <v>41994</v>
      </c>
      <c r="N336" s="5"/>
      <c r="O336" s="2">
        <v>1210.1300000000001</v>
      </c>
      <c r="P336">
        <v>47</v>
      </c>
      <c r="Q336" s="2">
        <v>56876.11</v>
      </c>
      <c r="R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 s="1">
        <v>42382</v>
      </c>
      <c r="AC336" t="s">
        <v>53</v>
      </c>
      <c r="AD336" t="s">
        <v>53</v>
      </c>
      <c r="AK336">
        <v>0</v>
      </c>
      <c r="AU336" s="6">
        <v>42041</v>
      </c>
      <c r="AV336" s="6">
        <v>42041</v>
      </c>
      <c r="AW336" t="s">
        <v>54</v>
      </c>
      <c r="AX336" t="str">
        <f t="shared" si="30"/>
        <v>FOR</v>
      </c>
      <c r="AY336" t="s">
        <v>55</v>
      </c>
    </row>
    <row r="337" spans="1:51" hidden="1">
      <c r="A337">
        <v>100082</v>
      </c>
      <c r="B337" t="s">
        <v>85</v>
      </c>
      <c r="C337" t="str">
        <f t="shared" ref="C337:D341" si="32">"01130960626"</f>
        <v>01130960626</v>
      </c>
      <c r="D337" t="str">
        <f t="shared" si="32"/>
        <v>01130960626</v>
      </c>
      <c r="E337" t="s">
        <v>52</v>
      </c>
      <c r="F337">
        <v>2014</v>
      </c>
      <c r="G337">
        <v>167</v>
      </c>
      <c r="H337" s="1">
        <v>41736</v>
      </c>
      <c r="I337" s="1">
        <v>41743</v>
      </c>
      <c r="J337" s="1">
        <v>41743</v>
      </c>
      <c r="K337" s="1">
        <v>41833</v>
      </c>
      <c r="N337" s="5"/>
      <c r="O337" s="2">
        <v>7970.66</v>
      </c>
      <c r="P337">
        <v>261</v>
      </c>
      <c r="Q337" s="2">
        <v>2080342.26</v>
      </c>
      <c r="R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 s="1">
        <v>42382</v>
      </c>
      <c r="AC337" t="s">
        <v>53</v>
      </c>
      <c r="AD337" t="s">
        <v>53</v>
      </c>
      <c r="AK337">
        <v>0</v>
      </c>
      <c r="AU337" s="6">
        <v>42094</v>
      </c>
      <c r="AV337" s="6">
        <v>42094</v>
      </c>
      <c r="AW337" t="s">
        <v>54</v>
      </c>
      <c r="AX337" t="str">
        <f t="shared" si="30"/>
        <v>FOR</v>
      </c>
      <c r="AY337" t="s">
        <v>55</v>
      </c>
    </row>
    <row r="338" spans="1:51" hidden="1">
      <c r="A338">
        <v>100082</v>
      </c>
      <c r="B338" t="s">
        <v>85</v>
      </c>
      <c r="C338" t="str">
        <f t="shared" si="32"/>
        <v>01130960626</v>
      </c>
      <c r="D338" t="str">
        <f t="shared" si="32"/>
        <v>01130960626</v>
      </c>
      <c r="E338" t="s">
        <v>52</v>
      </c>
      <c r="F338">
        <v>2014</v>
      </c>
      <c r="G338">
        <v>299</v>
      </c>
      <c r="H338" s="1">
        <v>41821</v>
      </c>
      <c r="I338" s="1">
        <v>41827</v>
      </c>
      <c r="J338" s="1">
        <v>41827</v>
      </c>
      <c r="K338" s="1">
        <v>41917</v>
      </c>
      <c r="N338" s="5"/>
      <c r="O338" s="2">
        <v>7970.66</v>
      </c>
      <c r="P338">
        <v>177</v>
      </c>
      <c r="Q338" s="2">
        <v>1410806.82</v>
      </c>
      <c r="R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 s="1">
        <v>42382</v>
      </c>
      <c r="AC338" t="s">
        <v>53</v>
      </c>
      <c r="AD338" t="s">
        <v>53</v>
      </c>
      <c r="AK338">
        <v>0</v>
      </c>
      <c r="AU338" s="6">
        <v>42094</v>
      </c>
      <c r="AV338" s="6">
        <v>42094</v>
      </c>
      <c r="AW338" t="s">
        <v>54</v>
      </c>
      <c r="AX338" t="str">
        <f t="shared" si="30"/>
        <v>FOR</v>
      </c>
      <c r="AY338" t="s">
        <v>55</v>
      </c>
    </row>
    <row r="339" spans="1:51" hidden="1">
      <c r="A339">
        <v>100082</v>
      </c>
      <c r="B339" t="s">
        <v>85</v>
      </c>
      <c r="C339" t="str">
        <f t="shared" si="32"/>
        <v>01130960626</v>
      </c>
      <c r="D339" t="str">
        <f t="shared" si="32"/>
        <v>01130960626</v>
      </c>
      <c r="E339" t="s">
        <v>52</v>
      </c>
      <c r="F339">
        <v>2014</v>
      </c>
      <c r="G339">
        <v>423</v>
      </c>
      <c r="H339" s="1">
        <v>41913</v>
      </c>
      <c r="I339" s="1">
        <v>41920</v>
      </c>
      <c r="J339" s="1">
        <v>41920</v>
      </c>
      <c r="K339" s="1">
        <v>42010</v>
      </c>
      <c r="N339" s="5"/>
      <c r="O339" s="2">
        <v>7970.66</v>
      </c>
      <c r="P339">
        <v>84</v>
      </c>
      <c r="Q339" s="2">
        <v>669535.43999999994</v>
      </c>
      <c r="R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 s="1">
        <v>42382</v>
      </c>
      <c r="AC339" t="s">
        <v>53</v>
      </c>
      <c r="AD339" t="s">
        <v>53</v>
      </c>
      <c r="AK339">
        <v>0</v>
      </c>
      <c r="AU339" s="6">
        <v>42094</v>
      </c>
      <c r="AV339" s="6">
        <v>42094</v>
      </c>
      <c r="AW339" t="s">
        <v>54</v>
      </c>
      <c r="AX339" t="str">
        <f t="shared" si="30"/>
        <v>FOR</v>
      </c>
      <c r="AY339" t="s">
        <v>55</v>
      </c>
    </row>
    <row r="340" spans="1:51">
      <c r="A340">
        <v>100082</v>
      </c>
      <c r="B340" t="s">
        <v>85</v>
      </c>
      <c r="C340" t="str">
        <f t="shared" si="32"/>
        <v>01130960626</v>
      </c>
      <c r="D340" t="str">
        <f t="shared" si="32"/>
        <v>01130960626</v>
      </c>
      <c r="E340" t="s">
        <v>52</v>
      </c>
      <c r="F340">
        <v>2015</v>
      </c>
      <c r="G340" t="s">
        <v>86</v>
      </c>
      <c r="H340" s="1">
        <v>42191</v>
      </c>
      <c r="I340" s="1">
        <v>42192</v>
      </c>
      <c r="J340" s="1">
        <v>42191</v>
      </c>
      <c r="K340" s="1">
        <v>42251</v>
      </c>
      <c r="L340" s="7">
        <v>6272</v>
      </c>
      <c r="M340" s="5">
        <v>105</v>
      </c>
      <c r="N340" s="7">
        <v>658560</v>
      </c>
      <c r="O340" s="2">
        <v>6272</v>
      </c>
      <c r="P340">
        <v>105</v>
      </c>
      <c r="Q340" s="2">
        <v>658560</v>
      </c>
      <c r="R340" s="2">
        <v>1379.84</v>
      </c>
      <c r="V340">
        <v>0</v>
      </c>
      <c r="W340">
        <v>0</v>
      </c>
      <c r="X340">
        <v>0</v>
      </c>
      <c r="Y340" s="2">
        <v>7651.84</v>
      </c>
      <c r="Z340" s="2">
        <v>7651.84</v>
      </c>
      <c r="AA340" s="2">
        <v>7651.84</v>
      </c>
      <c r="AB340" s="1">
        <v>42382</v>
      </c>
      <c r="AC340" t="s">
        <v>53</v>
      </c>
      <c r="AD340" t="s">
        <v>53</v>
      </c>
      <c r="AH340" s="2">
        <v>1379.84</v>
      </c>
      <c r="AK340">
        <v>0</v>
      </c>
      <c r="AU340" s="6">
        <v>42356</v>
      </c>
      <c r="AV340" s="6">
        <v>42356</v>
      </c>
      <c r="AW340" t="s">
        <v>54</v>
      </c>
      <c r="AX340" t="str">
        <f t="shared" si="30"/>
        <v>FOR</v>
      </c>
      <c r="AY340" t="s">
        <v>55</v>
      </c>
    </row>
    <row r="341" spans="1:51" hidden="1">
      <c r="A341">
        <v>100082</v>
      </c>
      <c r="B341" t="s">
        <v>85</v>
      </c>
      <c r="C341" t="str">
        <f t="shared" si="32"/>
        <v>01130960626</v>
      </c>
      <c r="D341" t="str">
        <f t="shared" si="32"/>
        <v>01130960626</v>
      </c>
      <c r="E341" t="s">
        <v>52</v>
      </c>
      <c r="F341">
        <v>2015</v>
      </c>
      <c r="G341" t="s">
        <v>87</v>
      </c>
      <c r="H341" s="1">
        <v>42107</v>
      </c>
      <c r="I341" s="1">
        <v>42116</v>
      </c>
      <c r="J341" s="1">
        <v>42110</v>
      </c>
      <c r="K341" s="1">
        <v>42170</v>
      </c>
      <c r="N341" s="5"/>
      <c r="O341" s="2">
        <v>6272</v>
      </c>
      <c r="P341">
        <v>105</v>
      </c>
      <c r="Q341" s="2">
        <v>658560</v>
      </c>
      <c r="R341">
        <v>0</v>
      </c>
      <c r="V341">
        <v>0</v>
      </c>
      <c r="W341">
        <v>0</v>
      </c>
      <c r="X341">
        <v>0</v>
      </c>
      <c r="Y341" s="2">
        <v>7651.84</v>
      </c>
      <c r="Z341" s="2">
        <v>7651.84</v>
      </c>
      <c r="AA341" s="2">
        <v>7651.84</v>
      </c>
      <c r="AB341" s="1">
        <v>42382</v>
      </c>
      <c r="AC341" t="s">
        <v>53</v>
      </c>
      <c r="AD341" t="s">
        <v>53</v>
      </c>
      <c r="AK341">
        <v>0</v>
      </c>
      <c r="AU341" s="6">
        <v>42275</v>
      </c>
      <c r="AV341" s="6">
        <v>42275</v>
      </c>
      <c r="AW341" t="s">
        <v>54</v>
      </c>
      <c r="AX341" t="str">
        <f t="shared" si="30"/>
        <v>FOR</v>
      </c>
      <c r="AY341" t="s">
        <v>55</v>
      </c>
    </row>
    <row r="342" spans="1:51" hidden="1">
      <c r="A342">
        <v>100086</v>
      </c>
      <c r="B342" t="s">
        <v>88</v>
      </c>
      <c r="C342" t="str">
        <f t="shared" ref="C342:D361" si="33">"00458450012"</f>
        <v>00458450012</v>
      </c>
      <c r="D342" t="str">
        <f t="shared" si="33"/>
        <v>00458450012</v>
      </c>
      <c r="E342" t="s">
        <v>52</v>
      </c>
      <c r="F342">
        <v>2014</v>
      </c>
      <c r="G342">
        <v>90410</v>
      </c>
      <c r="H342" s="1">
        <v>41691</v>
      </c>
      <c r="I342" s="1">
        <v>41703</v>
      </c>
      <c r="J342" s="1">
        <v>41703</v>
      </c>
      <c r="K342" s="1">
        <v>41793</v>
      </c>
      <c r="N342" s="5"/>
      <c r="O342" s="2">
        <v>2610.8000000000002</v>
      </c>
      <c r="P342">
        <v>308</v>
      </c>
      <c r="Q342" s="2">
        <v>804126.4</v>
      </c>
      <c r="R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 s="1">
        <v>42382</v>
      </c>
      <c r="AC342" t="s">
        <v>53</v>
      </c>
      <c r="AD342" t="s">
        <v>53</v>
      </c>
      <c r="AK342">
        <v>0</v>
      </c>
      <c r="AU342" s="6">
        <v>42101</v>
      </c>
      <c r="AV342" s="6">
        <v>42101</v>
      </c>
      <c r="AW342" t="s">
        <v>54</v>
      </c>
      <c r="AX342" t="str">
        <f t="shared" si="30"/>
        <v>FOR</v>
      </c>
      <c r="AY342" t="s">
        <v>55</v>
      </c>
    </row>
    <row r="343" spans="1:51" hidden="1">
      <c r="A343">
        <v>100086</v>
      </c>
      <c r="B343" t="s">
        <v>88</v>
      </c>
      <c r="C343" t="str">
        <f t="shared" si="33"/>
        <v>00458450012</v>
      </c>
      <c r="D343" t="str">
        <f t="shared" si="33"/>
        <v>00458450012</v>
      </c>
      <c r="E343" t="s">
        <v>52</v>
      </c>
      <c r="F343">
        <v>2014</v>
      </c>
      <c r="G343">
        <v>90411</v>
      </c>
      <c r="H343" s="1">
        <v>41691</v>
      </c>
      <c r="I343" s="1">
        <v>41703</v>
      </c>
      <c r="J343" s="1">
        <v>41703</v>
      </c>
      <c r="K343" s="1">
        <v>41793</v>
      </c>
      <c r="N343" s="5"/>
      <c r="O343" s="2">
        <v>2177.77</v>
      </c>
      <c r="P343">
        <v>308</v>
      </c>
      <c r="Q343" s="2">
        <v>670753.16</v>
      </c>
      <c r="R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 s="1">
        <v>42382</v>
      </c>
      <c r="AC343" t="s">
        <v>53</v>
      </c>
      <c r="AD343" t="s">
        <v>53</v>
      </c>
      <c r="AK343">
        <v>0</v>
      </c>
      <c r="AU343" s="6">
        <v>42101</v>
      </c>
      <c r="AV343" s="6">
        <v>42101</v>
      </c>
      <c r="AW343" t="s">
        <v>54</v>
      </c>
      <c r="AX343" t="str">
        <f t="shared" si="30"/>
        <v>FOR</v>
      </c>
      <c r="AY343" t="s">
        <v>55</v>
      </c>
    </row>
    <row r="344" spans="1:51" hidden="1">
      <c r="A344">
        <v>100086</v>
      </c>
      <c r="B344" t="s">
        <v>88</v>
      </c>
      <c r="C344" t="str">
        <f t="shared" si="33"/>
        <v>00458450012</v>
      </c>
      <c r="D344" t="str">
        <f t="shared" si="33"/>
        <v>00458450012</v>
      </c>
      <c r="E344" t="s">
        <v>52</v>
      </c>
      <c r="F344">
        <v>2014</v>
      </c>
      <c r="G344">
        <v>90542</v>
      </c>
      <c r="H344" s="1">
        <v>41698</v>
      </c>
      <c r="I344" s="1">
        <v>41712</v>
      </c>
      <c r="J344" s="1">
        <v>41712</v>
      </c>
      <c r="K344" s="1">
        <v>41802</v>
      </c>
      <c r="N344" s="5"/>
      <c r="O344" s="2">
        <v>4542.72</v>
      </c>
      <c r="P344">
        <v>299</v>
      </c>
      <c r="Q344" s="2">
        <v>1358273.28</v>
      </c>
      <c r="R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 s="1">
        <v>42382</v>
      </c>
      <c r="AC344" t="s">
        <v>53</v>
      </c>
      <c r="AD344" t="s">
        <v>53</v>
      </c>
      <c r="AK344">
        <v>0</v>
      </c>
      <c r="AU344" s="6">
        <v>42101</v>
      </c>
      <c r="AV344" s="6">
        <v>42101</v>
      </c>
      <c r="AW344" t="s">
        <v>54</v>
      </c>
      <c r="AX344" t="str">
        <f t="shared" si="30"/>
        <v>FOR</v>
      </c>
      <c r="AY344" t="s">
        <v>55</v>
      </c>
    </row>
    <row r="345" spans="1:51" hidden="1">
      <c r="A345">
        <v>100086</v>
      </c>
      <c r="B345" t="s">
        <v>88</v>
      </c>
      <c r="C345" t="str">
        <f t="shared" si="33"/>
        <v>00458450012</v>
      </c>
      <c r="D345" t="str">
        <f t="shared" si="33"/>
        <v>00458450012</v>
      </c>
      <c r="E345" t="s">
        <v>52</v>
      </c>
      <c r="F345">
        <v>2014</v>
      </c>
      <c r="G345">
        <v>91159</v>
      </c>
      <c r="H345" s="1">
        <v>41759</v>
      </c>
      <c r="I345" s="1">
        <v>41773</v>
      </c>
      <c r="J345" s="1">
        <v>41773</v>
      </c>
      <c r="K345" s="1">
        <v>41863</v>
      </c>
      <c r="N345" s="5"/>
      <c r="O345" s="2">
        <v>3407.04</v>
      </c>
      <c r="P345">
        <v>238</v>
      </c>
      <c r="Q345" s="2">
        <v>810875.52</v>
      </c>
      <c r="R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 s="1">
        <v>42382</v>
      </c>
      <c r="AC345" t="s">
        <v>53</v>
      </c>
      <c r="AD345" t="s">
        <v>53</v>
      </c>
      <c r="AK345">
        <v>0</v>
      </c>
      <c r="AU345" s="6">
        <v>42101</v>
      </c>
      <c r="AV345" s="6">
        <v>42101</v>
      </c>
      <c r="AW345" t="s">
        <v>54</v>
      </c>
      <c r="AX345" t="str">
        <f t="shared" si="30"/>
        <v>FOR</v>
      </c>
      <c r="AY345" t="s">
        <v>55</v>
      </c>
    </row>
    <row r="346" spans="1:51" hidden="1">
      <c r="A346">
        <v>100086</v>
      </c>
      <c r="B346" t="s">
        <v>88</v>
      </c>
      <c r="C346" t="str">
        <f t="shared" si="33"/>
        <v>00458450012</v>
      </c>
      <c r="D346" t="str">
        <f t="shared" si="33"/>
        <v>00458450012</v>
      </c>
      <c r="E346" t="s">
        <v>52</v>
      </c>
      <c r="F346">
        <v>2014</v>
      </c>
      <c r="G346">
        <v>91161</v>
      </c>
      <c r="H346" s="1">
        <v>41759</v>
      </c>
      <c r="I346" s="1">
        <v>41773</v>
      </c>
      <c r="J346" s="1">
        <v>41773</v>
      </c>
      <c r="K346" s="1">
        <v>41863</v>
      </c>
      <c r="N346" s="5"/>
      <c r="O346" s="2">
        <v>7353.76</v>
      </c>
      <c r="P346">
        <v>238</v>
      </c>
      <c r="Q346" s="2">
        <v>1750194.88</v>
      </c>
      <c r="R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 s="1">
        <v>42382</v>
      </c>
      <c r="AC346" t="s">
        <v>53</v>
      </c>
      <c r="AD346" t="s">
        <v>53</v>
      </c>
      <c r="AK346">
        <v>0</v>
      </c>
      <c r="AU346" s="6">
        <v>42101</v>
      </c>
      <c r="AV346" s="6">
        <v>42101</v>
      </c>
      <c r="AW346" t="s">
        <v>54</v>
      </c>
      <c r="AX346" t="str">
        <f t="shared" si="30"/>
        <v>FOR</v>
      </c>
      <c r="AY346" t="s">
        <v>55</v>
      </c>
    </row>
    <row r="347" spans="1:51" hidden="1">
      <c r="A347">
        <v>100086</v>
      </c>
      <c r="B347" t="s">
        <v>88</v>
      </c>
      <c r="C347" t="str">
        <f t="shared" si="33"/>
        <v>00458450012</v>
      </c>
      <c r="D347" t="str">
        <f t="shared" si="33"/>
        <v>00458450012</v>
      </c>
      <c r="E347" t="s">
        <v>52</v>
      </c>
      <c r="F347">
        <v>2014</v>
      </c>
      <c r="G347">
        <v>91180</v>
      </c>
      <c r="H347" s="1">
        <v>41768</v>
      </c>
      <c r="I347" s="1">
        <v>41788</v>
      </c>
      <c r="J347" s="1">
        <v>41788</v>
      </c>
      <c r="K347" s="1">
        <v>41878</v>
      </c>
      <c r="N347" s="5"/>
      <c r="O347" s="2">
        <v>1293.27</v>
      </c>
      <c r="P347">
        <v>252</v>
      </c>
      <c r="Q347" s="2">
        <v>325904.03999999998</v>
      </c>
      <c r="R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 s="1">
        <v>42382</v>
      </c>
      <c r="AC347" t="s">
        <v>53</v>
      </c>
      <c r="AD347" t="s">
        <v>53</v>
      </c>
      <c r="AK347">
        <v>0</v>
      </c>
      <c r="AU347" s="6">
        <v>42130</v>
      </c>
      <c r="AV347" s="6">
        <v>42130</v>
      </c>
      <c r="AW347" t="s">
        <v>54</v>
      </c>
      <c r="AX347" t="str">
        <f t="shared" si="30"/>
        <v>FOR</v>
      </c>
      <c r="AY347" t="s">
        <v>55</v>
      </c>
    </row>
    <row r="348" spans="1:51" hidden="1">
      <c r="A348">
        <v>100086</v>
      </c>
      <c r="B348" t="s">
        <v>88</v>
      </c>
      <c r="C348" t="str">
        <f t="shared" si="33"/>
        <v>00458450012</v>
      </c>
      <c r="D348" t="str">
        <f t="shared" si="33"/>
        <v>00458450012</v>
      </c>
      <c r="E348" t="s">
        <v>52</v>
      </c>
      <c r="F348">
        <v>2014</v>
      </c>
      <c r="G348">
        <v>91249</v>
      </c>
      <c r="H348" s="1">
        <v>41775</v>
      </c>
      <c r="I348" s="1">
        <v>41789</v>
      </c>
      <c r="J348" s="1">
        <v>41789</v>
      </c>
      <c r="K348" s="1">
        <v>41879</v>
      </c>
      <c r="N348" s="5"/>
      <c r="O348" s="2">
        <v>2995.2</v>
      </c>
      <c r="P348">
        <v>251</v>
      </c>
      <c r="Q348" s="2">
        <v>751795.19999999995</v>
      </c>
      <c r="R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 s="1">
        <v>42382</v>
      </c>
      <c r="AC348" t="s">
        <v>53</v>
      </c>
      <c r="AD348" t="s">
        <v>53</v>
      </c>
      <c r="AK348">
        <v>0</v>
      </c>
      <c r="AU348" s="6">
        <v>42130</v>
      </c>
      <c r="AV348" s="6">
        <v>42130</v>
      </c>
      <c r="AW348" t="s">
        <v>54</v>
      </c>
      <c r="AX348" t="str">
        <f t="shared" si="30"/>
        <v>FOR</v>
      </c>
      <c r="AY348" t="s">
        <v>55</v>
      </c>
    </row>
    <row r="349" spans="1:51" hidden="1">
      <c r="A349">
        <v>100086</v>
      </c>
      <c r="B349" t="s">
        <v>88</v>
      </c>
      <c r="C349" t="str">
        <f t="shared" si="33"/>
        <v>00458450012</v>
      </c>
      <c r="D349" t="str">
        <f t="shared" si="33"/>
        <v>00458450012</v>
      </c>
      <c r="E349" t="s">
        <v>52</v>
      </c>
      <c r="F349">
        <v>2014</v>
      </c>
      <c r="G349">
        <v>91250</v>
      </c>
      <c r="H349" s="1">
        <v>41775</v>
      </c>
      <c r="I349" s="1">
        <v>41789</v>
      </c>
      <c r="J349" s="1">
        <v>41789</v>
      </c>
      <c r="K349" s="1">
        <v>41879</v>
      </c>
      <c r="N349" s="5"/>
      <c r="O349">
        <v>998.4</v>
      </c>
      <c r="P349">
        <v>251</v>
      </c>
      <c r="Q349" s="2">
        <v>250598.39999999999</v>
      </c>
      <c r="R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 s="1">
        <v>42382</v>
      </c>
      <c r="AC349" t="s">
        <v>53</v>
      </c>
      <c r="AD349" t="s">
        <v>53</v>
      </c>
      <c r="AK349">
        <v>0</v>
      </c>
      <c r="AU349" s="6">
        <v>42130</v>
      </c>
      <c r="AV349" s="6">
        <v>42130</v>
      </c>
      <c r="AW349" t="s">
        <v>54</v>
      </c>
      <c r="AX349" t="str">
        <f t="shared" si="30"/>
        <v>FOR</v>
      </c>
      <c r="AY349" t="s">
        <v>55</v>
      </c>
    </row>
    <row r="350" spans="1:51" hidden="1">
      <c r="A350">
        <v>100086</v>
      </c>
      <c r="B350" t="s">
        <v>88</v>
      </c>
      <c r="C350" t="str">
        <f t="shared" si="33"/>
        <v>00458450012</v>
      </c>
      <c r="D350" t="str">
        <f t="shared" si="33"/>
        <v>00458450012</v>
      </c>
      <c r="E350" t="s">
        <v>52</v>
      </c>
      <c r="F350">
        <v>2014</v>
      </c>
      <c r="G350">
        <v>91327</v>
      </c>
      <c r="H350" s="1">
        <v>41782</v>
      </c>
      <c r="I350" s="1">
        <v>41796</v>
      </c>
      <c r="J350" s="1">
        <v>41796</v>
      </c>
      <c r="K350" s="1">
        <v>41886</v>
      </c>
      <c r="N350" s="5"/>
      <c r="O350" s="2">
        <v>1185.8399999999999</v>
      </c>
      <c r="P350">
        <v>244</v>
      </c>
      <c r="Q350" s="2">
        <v>289344.96000000002</v>
      </c>
      <c r="R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 s="1">
        <v>42382</v>
      </c>
      <c r="AC350" t="s">
        <v>53</v>
      </c>
      <c r="AD350" t="s">
        <v>53</v>
      </c>
      <c r="AK350">
        <v>0</v>
      </c>
      <c r="AU350" s="6">
        <v>42130</v>
      </c>
      <c r="AV350" s="6">
        <v>42130</v>
      </c>
      <c r="AW350" t="s">
        <v>54</v>
      </c>
      <c r="AX350" t="str">
        <f t="shared" si="30"/>
        <v>FOR</v>
      </c>
      <c r="AY350" t="s">
        <v>55</v>
      </c>
    </row>
    <row r="351" spans="1:51" hidden="1">
      <c r="A351">
        <v>100086</v>
      </c>
      <c r="B351" t="s">
        <v>88</v>
      </c>
      <c r="C351" t="str">
        <f t="shared" si="33"/>
        <v>00458450012</v>
      </c>
      <c r="D351" t="str">
        <f t="shared" si="33"/>
        <v>00458450012</v>
      </c>
      <c r="E351" t="s">
        <v>52</v>
      </c>
      <c r="F351">
        <v>2014</v>
      </c>
      <c r="G351">
        <v>91396</v>
      </c>
      <c r="H351" s="1">
        <v>41788</v>
      </c>
      <c r="I351" s="1">
        <v>41800</v>
      </c>
      <c r="J351" s="1">
        <v>41800</v>
      </c>
      <c r="K351" s="1">
        <v>41890</v>
      </c>
      <c r="N351" s="5"/>
      <c r="O351">
        <v>906.28</v>
      </c>
      <c r="P351">
        <v>269</v>
      </c>
      <c r="Q351" s="2">
        <v>243789.32</v>
      </c>
      <c r="R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 s="1">
        <v>42382</v>
      </c>
      <c r="AC351" t="s">
        <v>53</v>
      </c>
      <c r="AD351" t="s">
        <v>53</v>
      </c>
      <c r="AK351">
        <v>0</v>
      </c>
      <c r="AU351" s="6">
        <v>42159</v>
      </c>
      <c r="AV351" s="6">
        <v>42159</v>
      </c>
      <c r="AW351" t="s">
        <v>54</v>
      </c>
      <c r="AX351" t="str">
        <f t="shared" si="30"/>
        <v>FOR</v>
      </c>
      <c r="AY351" t="s">
        <v>55</v>
      </c>
    </row>
    <row r="352" spans="1:51" hidden="1">
      <c r="A352">
        <v>100086</v>
      </c>
      <c r="B352" t="s">
        <v>88</v>
      </c>
      <c r="C352" t="str">
        <f t="shared" si="33"/>
        <v>00458450012</v>
      </c>
      <c r="D352" t="str">
        <f t="shared" si="33"/>
        <v>00458450012</v>
      </c>
      <c r="E352" t="s">
        <v>52</v>
      </c>
      <c r="F352">
        <v>2014</v>
      </c>
      <c r="G352">
        <v>91512</v>
      </c>
      <c r="H352" s="1">
        <v>41802</v>
      </c>
      <c r="I352" s="1">
        <v>41827</v>
      </c>
      <c r="J352" s="1">
        <v>41827</v>
      </c>
      <c r="K352" s="1">
        <v>41917</v>
      </c>
      <c r="N352" s="5"/>
      <c r="O352" s="2">
        <v>3993.6</v>
      </c>
      <c r="P352">
        <v>242</v>
      </c>
      <c r="Q352" s="2">
        <v>966451.19999999995</v>
      </c>
      <c r="R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 s="1">
        <v>42382</v>
      </c>
      <c r="AC352" t="s">
        <v>53</v>
      </c>
      <c r="AD352" t="s">
        <v>53</v>
      </c>
      <c r="AK352">
        <v>0</v>
      </c>
      <c r="AU352" s="6">
        <v>42159</v>
      </c>
      <c r="AV352" s="6">
        <v>42159</v>
      </c>
      <c r="AW352" t="s">
        <v>54</v>
      </c>
      <c r="AX352" t="str">
        <f t="shared" si="30"/>
        <v>FOR</v>
      </c>
      <c r="AY352" t="s">
        <v>55</v>
      </c>
    </row>
    <row r="353" spans="1:51" hidden="1">
      <c r="A353">
        <v>100086</v>
      </c>
      <c r="B353" t="s">
        <v>88</v>
      </c>
      <c r="C353" t="str">
        <f t="shared" si="33"/>
        <v>00458450012</v>
      </c>
      <c r="D353" t="str">
        <f t="shared" si="33"/>
        <v>00458450012</v>
      </c>
      <c r="E353" t="s">
        <v>52</v>
      </c>
      <c r="F353">
        <v>2014</v>
      </c>
      <c r="G353">
        <v>91583</v>
      </c>
      <c r="H353" s="1">
        <v>41810</v>
      </c>
      <c r="I353" s="1">
        <v>41827</v>
      </c>
      <c r="J353" s="1">
        <v>41827</v>
      </c>
      <c r="K353" s="1">
        <v>41917</v>
      </c>
      <c r="N353" s="5"/>
      <c r="O353" s="2">
        <v>1996.8</v>
      </c>
      <c r="P353">
        <v>242</v>
      </c>
      <c r="Q353" s="2">
        <v>483225.59999999998</v>
      </c>
      <c r="R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 s="1">
        <v>42382</v>
      </c>
      <c r="AC353" t="s">
        <v>53</v>
      </c>
      <c r="AD353" t="s">
        <v>53</v>
      </c>
      <c r="AK353">
        <v>0</v>
      </c>
      <c r="AU353" s="6">
        <v>42159</v>
      </c>
      <c r="AV353" s="6">
        <v>42159</v>
      </c>
      <c r="AW353" t="s">
        <v>54</v>
      </c>
      <c r="AX353" t="str">
        <f t="shared" si="30"/>
        <v>FOR</v>
      </c>
      <c r="AY353" t="s">
        <v>55</v>
      </c>
    </row>
    <row r="354" spans="1:51" hidden="1">
      <c r="A354">
        <v>100086</v>
      </c>
      <c r="B354" t="s">
        <v>88</v>
      </c>
      <c r="C354" t="str">
        <f t="shared" si="33"/>
        <v>00458450012</v>
      </c>
      <c r="D354" t="str">
        <f t="shared" si="33"/>
        <v>00458450012</v>
      </c>
      <c r="E354" t="s">
        <v>52</v>
      </c>
      <c r="F354">
        <v>2014</v>
      </c>
      <c r="G354">
        <v>91584</v>
      </c>
      <c r="H354" s="1">
        <v>41810</v>
      </c>
      <c r="I354" s="1">
        <v>41827</v>
      </c>
      <c r="J354" s="1">
        <v>41827</v>
      </c>
      <c r="K354" s="1">
        <v>41917</v>
      </c>
      <c r="N354" s="5"/>
      <c r="O354" s="2">
        <v>2715.23</v>
      </c>
      <c r="P354">
        <v>242</v>
      </c>
      <c r="Q354" s="2">
        <v>657085.66</v>
      </c>
      <c r="R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 s="1">
        <v>42382</v>
      </c>
      <c r="AC354" t="s">
        <v>53</v>
      </c>
      <c r="AD354" t="s">
        <v>53</v>
      </c>
      <c r="AK354">
        <v>0</v>
      </c>
      <c r="AU354" s="6">
        <v>42159</v>
      </c>
      <c r="AV354" s="6">
        <v>42159</v>
      </c>
      <c r="AW354" t="s">
        <v>54</v>
      </c>
      <c r="AX354" t="str">
        <f t="shared" si="30"/>
        <v>FOR</v>
      </c>
      <c r="AY354" t="s">
        <v>55</v>
      </c>
    </row>
    <row r="355" spans="1:51" hidden="1">
      <c r="A355">
        <v>100086</v>
      </c>
      <c r="B355" t="s">
        <v>88</v>
      </c>
      <c r="C355" t="str">
        <f t="shared" si="33"/>
        <v>00458450012</v>
      </c>
      <c r="D355" t="str">
        <f t="shared" si="33"/>
        <v>00458450012</v>
      </c>
      <c r="E355" t="s">
        <v>52</v>
      </c>
      <c r="F355">
        <v>2014</v>
      </c>
      <c r="G355">
        <v>91585</v>
      </c>
      <c r="H355" s="1">
        <v>41810</v>
      </c>
      <c r="I355" s="1">
        <v>41827</v>
      </c>
      <c r="J355" s="1">
        <v>41827</v>
      </c>
      <c r="K355" s="1">
        <v>41917</v>
      </c>
      <c r="N355" s="5"/>
      <c r="O355" s="2">
        <v>49100.12</v>
      </c>
      <c r="P355">
        <v>215</v>
      </c>
      <c r="Q355" s="2">
        <v>10556525.800000001</v>
      </c>
      <c r="R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 s="1">
        <v>42382</v>
      </c>
      <c r="AC355" t="s">
        <v>53</v>
      </c>
      <c r="AD355" t="s">
        <v>53</v>
      </c>
      <c r="AK355">
        <v>0</v>
      </c>
      <c r="AU355" s="6">
        <v>42132</v>
      </c>
      <c r="AV355" s="6">
        <v>42132</v>
      </c>
      <c r="AW355" t="s">
        <v>54</v>
      </c>
      <c r="AX355" t="str">
        <f t="shared" si="30"/>
        <v>FOR</v>
      </c>
      <c r="AY355" t="s">
        <v>55</v>
      </c>
    </row>
    <row r="356" spans="1:51" hidden="1">
      <c r="A356">
        <v>100086</v>
      </c>
      <c r="B356" t="s">
        <v>88</v>
      </c>
      <c r="C356" t="str">
        <f t="shared" si="33"/>
        <v>00458450012</v>
      </c>
      <c r="D356" t="str">
        <f t="shared" si="33"/>
        <v>00458450012</v>
      </c>
      <c r="E356" t="s">
        <v>52</v>
      </c>
      <c r="F356">
        <v>2014</v>
      </c>
      <c r="G356">
        <v>91748</v>
      </c>
      <c r="H356" s="1">
        <v>41820</v>
      </c>
      <c r="I356" s="1">
        <v>41834</v>
      </c>
      <c r="J356" s="1">
        <v>41834</v>
      </c>
      <c r="K356" s="1">
        <v>41924</v>
      </c>
      <c r="N356" s="5"/>
      <c r="O356">
        <v>130.6</v>
      </c>
      <c r="P356">
        <v>235</v>
      </c>
      <c r="Q356" s="2">
        <v>30691</v>
      </c>
      <c r="R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 s="1">
        <v>42382</v>
      </c>
      <c r="AC356" t="s">
        <v>53</v>
      </c>
      <c r="AD356" t="s">
        <v>53</v>
      </c>
      <c r="AK356">
        <v>0</v>
      </c>
      <c r="AU356" s="6">
        <v>42159</v>
      </c>
      <c r="AV356" s="6">
        <v>42159</v>
      </c>
      <c r="AW356" t="s">
        <v>54</v>
      </c>
      <c r="AX356" t="str">
        <f t="shared" si="30"/>
        <v>FOR</v>
      </c>
      <c r="AY356" t="s">
        <v>55</v>
      </c>
    </row>
    <row r="357" spans="1:51" hidden="1">
      <c r="A357">
        <v>100086</v>
      </c>
      <c r="B357" t="s">
        <v>88</v>
      </c>
      <c r="C357" t="str">
        <f t="shared" si="33"/>
        <v>00458450012</v>
      </c>
      <c r="D357" t="str">
        <f t="shared" si="33"/>
        <v>00458450012</v>
      </c>
      <c r="E357" t="s">
        <v>52</v>
      </c>
      <c r="F357">
        <v>2014</v>
      </c>
      <c r="G357">
        <v>92103</v>
      </c>
      <c r="H357" s="1">
        <v>41859</v>
      </c>
      <c r="I357" s="1">
        <v>41886</v>
      </c>
      <c r="J357" s="1">
        <v>41886</v>
      </c>
      <c r="K357" s="1">
        <v>41976</v>
      </c>
      <c r="N357" s="5"/>
      <c r="O357" s="2">
        <v>2352.48</v>
      </c>
      <c r="P357">
        <v>208</v>
      </c>
      <c r="Q357" s="2">
        <v>489315.84000000003</v>
      </c>
      <c r="R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 s="1">
        <v>42382</v>
      </c>
      <c r="AC357" t="s">
        <v>53</v>
      </c>
      <c r="AD357" t="s">
        <v>53</v>
      </c>
      <c r="AK357">
        <v>0</v>
      </c>
      <c r="AU357" s="6">
        <v>42184</v>
      </c>
      <c r="AV357" s="6">
        <v>42184</v>
      </c>
      <c r="AW357" t="s">
        <v>54</v>
      </c>
      <c r="AX357" t="str">
        <f t="shared" si="30"/>
        <v>FOR</v>
      </c>
      <c r="AY357" t="s">
        <v>55</v>
      </c>
    </row>
    <row r="358" spans="1:51" hidden="1">
      <c r="A358">
        <v>100086</v>
      </c>
      <c r="B358" t="s">
        <v>88</v>
      </c>
      <c r="C358" t="str">
        <f t="shared" si="33"/>
        <v>00458450012</v>
      </c>
      <c r="D358" t="str">
        <f t="shared" si="33"/>
        <v>00458450012</v>
      </c>
      <c r="E358" t="s">
        <v>52</v>
      </c>
      <c r="F358">
        <v>2014</v>
      </c>
      <c r="G358">
        <v>92309</v>
      </c>
      <c r="H358" s="1">
        <v>41894</v>
      </c>
      <c r="I358" s="1">
        <v>41914</v>
      </c>
      <c r="J358" s="1">
        <v>41914</v>
      </c>
      <c r="K358" s="1">
        <v>42004</v>
      </c>
      <c r="N358" s="5"/>
      <c r="O358">
        <v>858.95</v>
      </c>
      <c r="P358">
        <v>245</v>
      </c>
      <c r="Q358" s="2">
        <v>210442.75</v>
      </c>
      <c r="R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 s="1">
        <v>42382</v>
      </c>
      <c r="AC358" t="s">
        <v>53</v>
      </c>
      <c r="AD358" t="s">
        <v>53</v>
      </c>
      <c r="AK358">
        <v>0</v>
      </c>
      <c r="AU358" s="6">
        <v>42249</v>
      </c>
      <c r="AV358" s="6">
        <v>42249</v>
      </c>
      <c r="AW358" t="s">
        <v>54</v>
      </c>
      <c r="AX358" t="str">
        <f t="shared" si="30"/>
        <v>FOR</v>
      </c>
      <c r="AY358" t="s">
        <v>55</v>
      </c>
    </row>
    <row r="359" spans="1:51">
      <c r="A359">
        <v>100086</v>
      </c>
      <c r="B359" t="s">
        <v>88</v>
      </c>
      <c r="C359" t="str">
        <f t="shared" si="33"/>
        <v>00458450012</v>
      </c>
      <c r="D359" t="str">
        <f t="shared" si="33"/>
        <v>00458450012</v>
      </c>
      <c r="E359" t="s">
        <v>52</v>
      </c>
      <c r="F359">
        <v>2014</v>
      </c>
      <c r="G359">
        <v>92627</v>
      </c>
      <c r="H359" s="1">
        <v>41929</v>
      </c>
      <c r="I359" s="1">
        <v>41941</v>
      </c>
      <c r="J359" s="1">
        <v>41941</v>
      </c>
      <c r="K359" s="1">
        <v>42001</v>
      </c>
      <c r="L359" s="7">
        <v>1996.8</v>
      </c>
      <c r="M359" s="5">
        <v>281</v>
      </c>
      <c r="N359" s="7">
        <v>561100.80000000005</v>
      </c>
      <c r="O359" s="2">
        <v>1996.8</v>
      </c>
      <c r="P359">
        <v>281</v>
      </c>
      <c r="Q359" s="2">
        <v>561100.80000000005</v>
      </c>
      <c r="R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 s="1">
        <v>42382</v>
      </c>
      <c r="AC359" t="s">
        <v>53</v>
      </c>
      <c r="AD359" t="s">
        <v>53</v>
      </c>
      <c r="AK359">
        <v>0</v>
      </c>
      <c r="AU359" s="6">
        <v>42282</v>
      </c>
      <c r="AV359" s="6">
        <v>42282</v>
      </c>
      <c r="AW359" t="s">
        <v>54</v>
      </c>
      <c r="AX359" t="str">
        <f t="shared" si="30"/>
        <v>FOR</v>
      </c>
      <c r="AY359" t="s">
        <v>55</v>
      </c>
    </row>
    <row r="360" spans="1:51">
      <c r="A360">
        <v>100086</v>
      </c>
      <c r="B360" t="s">
        <v>88</v>
      </c>
      <c r="C360" t="str">
        <f t="shared" si="33"/>
        <v>00458450012</v>
      </c>
      <c r="D360" t="str">
        <f t="shared" si="33"/>
        <v>00458450012</v>
      </c>
      <c r="E360" t="s">
        <v>52</v>
      </c>
      <c r="F360">
        <v>2015</v>
      </c>
      <c r="G360">
        <v>173</v>
      </c>
      <c r="H360" s="1">
        <v>42033</v>
      </c>
      <c r="I360" s="1">
        <v>42059</v>
      </c>
      <c r="J360" s="1">
        <v>42059</v>
      </c>
      <c r="K360" s="1">
        <v>42119</v>
      </c>
      <c r="L360" s="7">
        <v>3796.82</v>
      </c>
      <c r="M360" s="5">
        <v>236</v>
      </c>
      <c r="N360" s="7">
        <v>896049.52</v>
      </c>
      <c r="O360" s="2">
        <v>3796.82</v>
      </c>
      <c r="P360">
        <v>236</v>
      </c>
      <c r="Q360" s="2">
        <v>896049.52</v>
      </c>
      <c r="R360">
        <v>835.3</v>
      </c>
      <c r="V360">
        <v>0</v>
      </c>
      <c r="W360">
        <v>0</v>
      </c>
      <c r="X360">
        <v>0</v>
      </c>
      <c r="Y360" s="2">
        <v>4632.12</v>
      </c>
      <c r="Z360" s="2">
        <v>4632.12</v>
      </c>
      <c r="AA360" s="2">
        <v>4632.12</v>
      </c>
      <c r="AB360" s="1">
        <v>42382</v>
      </c>
      <c r="AC360" t="s">
        <v>53</v>
      </c>
      <c r="AD360" t="s">
        <v>53</v>
      </c>
      <c r="AK360">
        <v>835.3</v>
      </c>
      <c r="AU360" s="6">
        <v>42355</v>
      </c>
      <c r="AV360" s="6">
        <v>42355</v>
      </c>
      <c r="AW360" t="s">
        <v>54</v>
      </c>
      <c r="AX360" t="str">
        <f t="shared" si="30"/>
        <v>FOR</v>
      </c>
      <c r="AY360" t="s">
        <v>55</v>
      </c>
    </row>
    <row r="361" spans="1:51">
      <c r="A361">
        <v>100086</v>
      </c>
      <c r="B361" t="s">
        <v>88</v>
      </c>
      <c r="C361" t="str">
        <f t="shared" si="33"/>
        <v>00458450012</v>
      </c>
      <c r="D361" t="str">
        <f t="shared" si="33"/>
        <v>00458450012</v>
      </c>
      <c r="E361" t="s">
        <v>52</v>
      </c>
      <c r="F361">
        <v>2015</v>
      </c>
      <c r="G361">
        <v>174</v>
      </c>
      <c r="H361" s="1">
        <v>42033</v>
      </c>
      <c r="I361" s="1">
        <v>42059</v>
      </c>
      <c r="J361" s="1">
        <v>42059</v>
      </c>
      <c r="K361" s="1">
        <v>42119</v>
      </c>
      <c r="L361" s="7">
        <v>77</v>
      </c>
      <c r="M361" s="5">
        <v>236</v>
      </c>
      <c r="N361" s="7">
        <v>18172</v>
      </c>
      <c r="O361">
        <v>77</v>
      </c>
      <c r="P361">
        <v>236</v>
      </c>
      <c r="Q361" s="2">
        <v>18172</v>
      </c>
      <c r="R361">
        <v>16.940000000000001</v>
      </c>
      <c r="V361">
        <v>0</v>
      </c>
      <c r="W361">
        <v>0</v>
      </c>
      <c r="X361">
        <v>0</v>
      </c>
      <c r="Y361">
        <v>93.94</v>
      </c>
      <c r="Z361">
        <v>93.94</v>
      </c>
      <c r="AA361">
        <v>93.94</v>
      </c>
      <c r="AB361" s="1">
        <v>42382</v>
      </c>
      <c r="AC361" t="s">
        <v>53</v>
      </c>
      <c r="AD361" t="s">
        <v>53</v>
      </c>
      <c r="AK361">
        <v>16.940000000000001</v>
      </c>
      <c r="AU361" s="6">
        <v>42355</v>
      </c>
      <c r="AV361" s="6">
        <v>42355</v>
      </c>
      <c r="AW361" t="s">
        <v>54</v>
      </c>
      <c r="AX361" t="str">
        <f t="shared" si="30"/>
        <v>FOR</v>
      </c>
      <c r="AY361" t="s">
        <v>55</v>
      </c>
    </row>
    <row r="362" spans="1:51">
      <c r="A362">
        <v>100099</v>
      </c>
      <c r="B362" t="s">
        <v>89</v>
      </c>
      <c r="C362" t="str">
        <f>"06713240635"</f>
        <v>06713240635</v>
      </c>
      <c r="D362" t="str">
        <f>"06713240635"</f>
        <v>06713240635</v>
      </c>
      <c r="E362" t="s">
        <v>52</v>
      </c>
      <c r="F362">
        <v>2014</v>
      </c>
      <c r="G362">
        <v>1231</v>
      </c>
      <c r="H362" s="1">
        <v>42003</v>
      </c>
      <c r="I362" s="1">
        <v>42004</v>
      </c>
      <c r="J362" s="1">
        <v>42004</v>
      </c>
      <c r="K362" s="1">
        <v>42064</v>
      </c>
      <c r="L362" s="7">
        <v>207.4</v>
      </c>
      <c r="M362" s="5">
        <v>241</v>
      </c>
      <c r="N362" s="7">
        <v>49983.4</v>
      </c>
      <c r="O362">
        <v>207.4</v>
      </c>
      <c r="P362">
        <v>241</v>
      </c>
      <c r="Q362" s="2">
        <v>49983.4</v>
      </c>
      <c r="R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 s="1">
        <v>42382</v>
      </c>
      <c r="AC362" t="s">
        <v>53</v>
      </c>
      <c r="AD362" t="s">
        <v>53</v>
      </c>
      <c r="AK362">
        <v>0</v>
      </c>
      <c r="AU362" s="6">
        <v>42305</v>
      </c>
      <c r="AV362" s="6">
        <v>42305</v>
      </c>
      <c r="AW362" t="s">
        <v>54</v>
      </c>
      <c r="AX362" t="str">
        <f t="shared" si="30"/>
        <v>FOR</v>
      </c>
      <c r="AY362" t="s">
        <v>55</v>
      </c>
    </row>
    <row r="363" spans="1:51">
      <c r="A363">
        <v>100099</v>
      </c>
      <c r="B363" t="s">
        <v>89</v>
      </c>
      <c r="C363" t="str">
        <f>"06713240635"</f>
        <v>06713240635</v>
      </c>
      <c r="D363" t="str">
        <f>"06713240635"</f>
        <v>06713240635</v>
      </c>
      <c r="E363" t="s">
        <v>52</v>
      </c>
      <c r="F363">
        <v>2015</v>
      </c>
      <c r="G363">
        <v>52</v>
      </c>
      <c r="H363" s="1">
        <v>42025</v>
      </c>
      <c r="I363" s="1">
        <v>42038</v>
      </c>
      <c r="J363" s="1">
        <v>42038</v>
      </c>
      <c r="K363" s="1">
        <v>42098</v>
      </c>
      <c r="L363" s="7">
        <v>240</v>
      </c>
      <c r="M363" s="5">
        <v>242</v>
      </c>
      <c r="N363" s="7">
        <v>58080</v>
      </c>
      <c r="O363">
        <v>240</v>
      </c>
      <c r="P363">
        <v>242</v>
      </c>
      <c r="Q363" s="2">
        <v>58080</v>
      </c>
      <c r="R363">
        <v>52.8</v>
      </c>
      <c r="V363">
        <v>0</v>
      </c>
      <c r="W363">
        <v>0</v>
      </c>
      <c r="X363">
        <v>0</v>
      </c>
      <c r="Y363">
        <v>292.8</v>
      </c>
      <c r="Z363">
        <v>292.8</v>
      </c>
      <c r="AA363">
        <v>292.8</v>
      </c>
      <c r="AB363" s="1">
        <v>42382</v>
      </c>
      <c r="AC363" t="s">
        <v>53</v>
      </c>
      <c r="AD363" t="s">
        <v>53</v>
      </c>
      <c r="AK363">
        <v>52.8</v>
      </c>
      <c r="AU363" s="6">
        <v>42340</v>
      </c>
      <c r="AV363" s="6">
        <v>42340</v>
      </c>
      <c r="AW363" t="s">
        <v>54</v>
      </c>
      <c r="AX363" t="str">
        <f t="shared" si="30"/>
        <v>FOR</v>
      </c>
      <c r="AY363" t="s">
        <v>55</v>
      </c>
    </row>
    <row r="364" spans="1:51" hidden="1">
      <c r="A364">
        <v>100120</v>
      </c>
      <c r="B364" t="s">
        <v>90</v>
      </c>
      <c r="C364" t="str">
        <f>""</f>
        <v/>
      </c>
      <c r="D364" t="str">
        <f t="shared" ref="D364:D375" si="34">"MNCNNT62H53A783K"</f>
        <v>MNCNNT62H53A783K</v>
      </c>
      <c r="E364" t="s">
        <v>52</v>
      </c>
      <c r="F364">
        <v>2015</v>
      </c>
      <c r="G364">
        <v>120</v>
      </c>
      <c r="H364" s="1">
        <v>42024</v>
      </c>
      <c r="I364" s="1">
        <v>42025</v>
      </c>
      <c r="J364" s="1">
        <v>42025</v>
      </c>
      <c r="K364" s="1">
        <v>42085</v>
      </c>
      <c r="N364" s="5"/>
      <c r="O364">
        <v>350</v>
      </c>
      <c r="P364">
        <v>-60</v>
      </c>
      <c r="Q364" s="2">
        <v>-21000</v>
      </c>
      <c r="R364">
        <v>0</v>
      </c>
      <c r="V364">
        <v>0</v>
      </c>
      <c r="W364">
        <v>0</v>
      </c>
      <c r="X364">
        <v>0</v>
      </c>
      <c r="Y364">
        <v>350</v>
      </c>
      <c r="Z364">
        <v>350</v>
      </c>
      <c r="AA364">
        <v>350</v>
      </c>
      <c r="AB364" s="1">
        <v>42382</v>
      </c>
      <c r="AC364" t="s">
        <v>53</v>
      </c>
      <c r="AD364" t="s">
        <v>53</v>
      </c>
      <c r="AK364">
        <v>0</v>
      </c>
      <c r="AU364" s="6">
        <v>42025</v>
      </c>
      <c r="AV364" s="6">
        <v>42025</v>
      </c>
      <c r="AW364" t="s">
        <v>54</v>
      </c>
      <c r="AX364" t="str">
        <f t="shared" si="30"/>
        <v>FOR</v>
      </c>
      <c r="AY364" t="s">
        <v>55</v>
      </c>
    </row>
    <row r="365" spans="1:51" hidden="1">
      <c r="A365">
        <v>100120</v>
      </c>
      <c r="B365" t="s">
        <v>90</v>
      </c>
      <c r="C365" t="str">
        <f>""</f>
        <v/>
      </c>
      <c r="D365" t="str">
        <f t="shared" si="34"/>
        <v>MNCNNT62H53A783K</v>
      </c>
      <c r="E365" t="s">
        <v>52</v>
      </c>
      <c r="F365">
        <v>2015</v>
      </c>
      <c r="G365">
        <v>219</v>
      </c>
      <c r="H365" s="1">
        <v>42054</v>
      </c>
      <c r="I365" s="1">
        <v>42054</v>
      </c>
      <c r="J365" s="1">
        <v>42054</v>
      </c>
      <c r="K365" s="1">
        <v>42114</v>
      </c>
      <c r="N365" s="5"/>
      <c r="O365">
        <v>350</v>
      </c>
      <c r="P365">
        <v>-56</v>
      </c>
      <c r="Q365" s="2">
        <v>-19600</v>
      </c>
      <c r="R365">
        <v>0</v>
      </c>
      <c r="V365">
        <v>0</v>
      </c>
      <c r="W365">
        <v>0</v>
      </c>
      <c r="X365">
        <v>0</v>
      </c>
      <c r="Y365">
        <v>350</v>
      </c>
      <c r="Z365">
        <v>350</v>
      </c>
      <c r="AA365">
        <v>350</v>
      </c>
      <c r="AB365" s="1">
        <v>42382</v>
      </c>
      <c r="AC365" t="s">
        <v>53</v>
      </c>
      <c r="AD365" t="s">
        <v>53</v>
      </c>
      <c r="AK365">
        <v>0</v>
      </c>
      <c r="AU365" s="6">
        <v>42058</v>
      </c>
      <c r="AV365" s="6">
        <v>42058</v>
      </c>
      <c r="AW365" t="s">
        <v>54</v>
      </c>
      <c r="AX365" t="str">
        <f t="shared" si="30"/>
        <v>FOR</v>
      </c>
      <c r="AY365" t="s">
        <v>55</v>
      </c>
    </row>
    <row r="366" spans="1:51" hidden="1">
      <c r="A366">
        <v>100120</v>
      </c>
      <c r="B366" t="s">
        <v>90</v>
      </c>
      <c r="C366" t="str">
        <f>""</f>
        <v/>
      </c>
      <c r="D366" t="str">
        <f t="shared" si="34"/>
        <v>MNCNNT62H53A783K</v>
      </c>
      <c r="E366" t="s">
        <v>52</v>
      </c>
      <c r="F366">
        <v>2015</v>
      </c>
      <c r="G366">
        <v>320</v>
      </c>
      <c r="H366" s="1">
        <v>42083</v>
      </c>
      <c r="I366" s="1">
        <v>42086</v>
      </c>
      <c r="J366" s="1">
        <v>42086</v>
      </c>
      <c r="K366" s="1">
        <v>42146</v>
      </c>
      <c r="N366" s="5"/>
      <c r="O366">
        <v>350</v>
      </c>
      <c r="P366">
        <v>-60</v>
      </c>
      <c r="Q366" s="2">
        <v>-21000</v>
      </c>
      <c r="R366">
        <v>0</v>
      </c>
      <c r="V366">
        <v>0</v>
      </c>
      <c r="W366">
        <v>0</v>
      </c>
      <c r="X366">
        <v>0</v>
      </c>
      <c r="Y366">
        <v>350</v>
      </c>
      <c r="Z366">
        <v>350</v>
      </c>
      <c r="AA366">
        <v>350</v>
      </c>
      <c r="AB366" s="1">
        <v>42382</v>
      </c>
      <c r="AC366" t="s">
        <v>53</v>
      </c>
      <c r="AD366" t="s">
        <v>53</v>
      </c>
      <c r="AK366">
        <v>0</v>
      </c>
      <c r="AU366" s="6">
        <v>42086</v>
      </c>
      <c r="AV366" s="6">
        <v>42086</v>
      </c>
      <c r="AW366" t="s">
        <v>54</v>
      </c>
      <c r="AX366" t="str">
        <f t="shared" si="30"/>
        <v>FOR</v>
      </c>
      <c r="AY366" t="s">
        <v>55</v>
      </c>
    </row>
    <row r="367" spans="1:51" hidden="1">
      <c r="A367">
        <v>100120</v>
      </c>
      <c r="B367" t="s">
        <v>90</v>
      </c>
      <c r="C367" t="str">
        <f>""</f>
        <v/>
      </c>
      <c r="D367" t="str">
        <f t="shared" si="34"/>
        <v>MNCNNT62H53A783K</v>
      </c>
      <c r="E367" t="s">
        <v>52</v>
      </c>
      <c r="F367">
        <v>2015</v>
      </c>
      <c r="G367">
        <v>420</v>
      </c>
      <c r="H367" s="1">
        <v>42114</v>
      </c>
      <c r="I367" s="1">
        <v>42115</v>
      </c>
      <c r="J367" s="1">
        <v>42115</v>
      </c>
      <c r="K367" s="1">
        <v>42175</v>
      </c>
      <c r="N367" s="5"/>
      <c r="O367">
        <v>350</v>
      </c>
      <c r="P367">
        <v>-59</v>
      </c>
      <c r="Q367" s="2">
        <v>-20650</v>
      </c>
      <c r="R367">
        <v>0</v>
      </c>
      <c r="V367">
        <v>0</v>
      </c>
      <c r="W367">
        <v>0</v>
      </c>
      <c r="X367">
        <v>0</v>
      </c>
      <c r="Y367">
        <v>350</v>
      </c>
      <c r="Z367">
        <v>350</v>
      </c>
      <c r="AA367">
        <v>350</v>
      </c>
      <c r="AB367" s="1">
        <v>42382</v>
      </c>
      <c r="AC367" t="s">
        <v>53</v>
      </c>
      <c r="AD367" t="s">
        <v>53</v>
      </c>
      <c r="AK367">
        <v>0</v>
      </c>
      <c r="AU367" s="6">
        <v>42116</v>
      </c>
      <c r="AV367" s="6">
        <v>42116</v>
      </c>
      <c r="AW367" t="s">
        <v>54</v>
      </c>
      <c r="AX367" t="str">
        <f t="shared" si="30"/>
        <v>FOR</v>
      </c>
      <c r="AY367" t="s">
        <v>55</v>
      </c>
    </row>
    <row r="368" spans="1:51" hidden="1">
      <c r="A368">
        <v>100120</v>
      </c>
      <c r="B368" t="s">
        <v>90</v>
      </c>
      <c r="C368" t="str">
        <f>""</f>
        <v/>
      </c>
      <c r="D368" t="str">
        <f t="shared" si="34"/>
        <v>MNCNNT62H53A783K</v>
      </c>
      <c r="E368" t="s">
        <v>52</v>
      </c>
      <c r="F368">
        <v>2015</v>
      </c>
      <c r="G368">
        <v>520</v>
      </c>
      <c r="H368" s="1">
        <v>42144</v>
      </c>
      <c r="I368" s="1">
        <v>42144</v>
      </c>
      <c r="J368" s="1">
        <v>42144</v>
      </c>
      <c r="K368" s="1">
        <v>42204</v>
      </c>
      <c r="N368" s="5"/>
      <c r="O368">
        <v>350</v>
      </c>
      <c r="P368">
        <v>-60</v>
      </c>
      <c r="Q368" s="2">
        <v>-21000</v>
      </c>
      <c r="R368">
        <v>0</v>
      </c>
      <c r="V368">
        <v>0</v>
      </c>
      <c r="W368">
        <v>0</v>
      </c>
      <c r="X368">
        <v>0</v>
      </c>
      <c r="Y368">
        <v>350</v>
      </c>
      <c r="Z368">
        <v>350</v>
      </c>
      <c r="AA368">
        <v>350</v>
      </c>
      <c r="AB368" s="1">
        <v>42382</v>
      </c>
      <c r="AC368" t="s">
        <v>53</v>
      </c>
      <c r="AD368" t="s">
        <v>53</v>
      </c>
      <c r="AK368">
        <v>0</v>
      </c>
      <c r="AU368" s="6">
        <v>42144</v>
      </c>
      <c r="AV368" s="6">
        <v>42144</v>
      </c>
      <c r="AW368" t="s">
        <v>54</v>
      </c>
      <c r="AX368" t="str">
        <f t="shared" si="30"/>
        <v>FOR</v>
      </c>
      <c r="AY368" t="s">
        <v>55</v>
      </c>
    </row>
    <row r="369" spans="1:51" hidden="1">
      <c r="A369">
        <v>100120</v>
      </c>
      <c r="B369" t="s">
        <v>90</v>
      </c>
      <c r="C369" t="str">
        <f>""</f>
        <v/>
      </c>
      <c r="D369" t="str">
        <f t="shared" si="34"/>
        <v>MNCNNT62H53A783K</v>
      </c>
      <c r="E369" t="s">
        <v>52</v>
      </c>
      <c r="F369">
        <v>2015</v>
      </c>
      <c r="G369">
        <v>619</v>
      </c>
      <c r="H369" s="1">
        <v>42174</v>
      </c>
      <c r="I369" s="1">
        <v>42174</v>
      </c>
      <c r="J369" s="1">
        <v>42174</v>
      </c>
      <c r="K369" s="1">
        <v>42234</v>
      </c>
      <c r="N369" s="5"/>
      <c r="O369">
        <v>350</v>
      </c>
      <c r="P369">
        <v>-57</v>
      </c>
      <c r="Q369" s="2">
        <v>-19950</v>
      </c>
      <c r="R369">
        <v>0</v>
      </c>
      <c r="V369">
        <v>0</v>
      </c>
      <c r="W369">
        <v>0</v>
      </c>
      <c r="X369">
        <v>0</v>
      </c>
      <c r="Y369">
        <v>350</v>
      </c>
      <c r="Z369">
        <v>350</v>
      </c>
      <c r="AA369">
        <v>350</v>
      </c>
      <c r="AB369" s="1">
        <v>42382</v>
      </c>
      <c r="AC369" t="s">
        <v>53</v>
      </c>
      <c r="AD369" t="s">
        <v>53</v>
      </c>
      <c r="AK369">
        <v>0</v>
      </c>
      <c r="AU369" s="6">
        <v>42177</v>
      </c>
      <c r="AV369" s="6">
        <v>42177</v>
      </c>
      <c r="AW369" t="s">
        <v>54</v>
      </c>
      <c r="AX369" t="str">
        <f t="shared" si="30"/>
        <v>FOR</v>
      </c>
      <c r="AY369" t="s">
        <v>55</v>
      </c>
    </row>
    <row r="370" spans="1:51" hidden="1">
      <c r="A370">
        <v>100120</v>
      </c>
      <c r="B370" t="s">
        <v>90</v>
      </c>
      <c r="C370" t="str">
        <f>""</f>
        <v/>
      </c>
      <c r="D370" t="str">
        <f t="shared" si="34"/>
        <v>MNCNNT62H53A783K</v>
      </c>
      <c r="E370" t="s">
        <v>52</v>
      </c>
      <c r="F370">
        <v>2015</v>
      </c>
      <c r="G370">
        <v>721</v>
      </c>
      <c r="H370" s="1">
        <v>42206</v>
      </c>
      <c r="I370" s="1">
        <v>42206</v>
      </c>
      <c r="J370" s="1">
        <v>42206</v>
      </c>
      <c r="K370" s="1">
        <v>42266</v>
      </c>
      <c r="N370" s="5"/>
      <c r="O370">
        <v>350</v>
      </c>
      <c r="P370">
        <v>-60</v>
      </c>
      <c r="Q370" s="2">
        <v>-21000</v>
      </c>
      <c r="R370">
        <v>0</v>
      </c>
      <c r="V370">
        <v>0</v>
      </c>
      <c r="W370">
        <v>0</v>
      </c>
      <c r="X370">
        <v>0</v>
      </c>
      <c r="Y370">
        <v>350</v>
      </c>
      <c r="Z370">
        <v>350</v>
      </c>
      <c r="AA370">
        <v>350</v>
      </c>
      <c r="AB370" s="1">
        <v>42382</v>
      </c>
      <c r="AC370" t="s">
        <v>53</v>
      </c>
      <c r="AD370" t="s">
        <v>53</v>
      </c>
      <c r="AK370">
        <v>0</v>
      </c>
      <c r="AU370" s="6">
        <v>42206</v>
      </c>
      <c r="AV370" s="6">
        <v>42206</v>
      </c>
      <c r="AW370" t="s">
        <v>54</v>
      </c>
      <c r="AX370" t="str">
        <f t="shared" si="30"/>
        <v>FOR</v>
      </c>
      <c r="AY370" t="s">
        <v>55</v>
      </c>
    </row>
    <row r="371" spans="1:51" hidden="1">
      <c r="A371">
        <v>100120</v>
      </c>
      <c r="B371" t="s">
        <v>90</v>
      </c>
      <c r="C371" t="str">
        <f>""</f>
        <v/>
      </c>
      <c r="D371" t="str">
        <f t="shared" si="34"/>
        <v>MNCNNT62H53A783K</v>
      </c>
      <c r="E371" t="s">
        <v>52</v>
      </c>
      <c r="F371">
        <v>2015</v>
      </c>
      <c r="G371">
        <v>819</v>
      </c>
      <c r="H371" s="1">
        <v>42235</v>
      </c>
      <c r="I371" s="1">
        <v>42236</v>
      </c>
      <c r="J371" s="1">
        <v>42236</v>
      </c>
      <c r="K371" s="1">
        <v>42296</v>
      </c>
      <c r="N371" s="5"/>
      <c r="O371">
        <v>350</v>
      </c>
      <c r="P371">
        <v>-60</v>
      </c>
      <c r="Q371" s="2">
        <v>-21000</v>
      </c>
      <c r="R371">
        <v>0</v>
      </c>
      <c r="V371">
        <v>0</v>
      </c>
      <c r="W371">
        <v>0</v>
      </c>
      <c r="X371">
        <v>0</v>
      </c>
      <c r="Y371">
        <v>350</v>
      </c>
      <c r="Z371">
        <v>350</v>
      </c>
      <c r="AA371">
        <v>350</v>
      </c>
      <c r="AB371" s="1">
        <v>42382</v>
      </c>
      <c r="AC371" t="s">
        <v>53</v>
      </c>
      <c r="AD371" t="s">
        <v>53</v>
      </c>
      <c r="AK371">
        <v>0</v>
      </c>
      <c r="AU371" s="6">
        <v>42236</v>
      </c>
      <c r="AV371" s="6">
        <v>42236</v>
      </c>
      <c r="AW371" t="s">
        <v>54</v>
      </c>
      <c r="AX371" t="str">
        <f t="shared" si="30"/>
        <v>FOR</v>
      </c>
      <c r="AY371" t="s">
        <v>55</v>
      </c>
    </row>
    <row r="372" spans="1:51" hidden="1">
      <c r="A372">
        <v>100120</v>
      </c>
      <c r="B372" t="s">
        <v>90</v>
      </c>
      <c r="C372" t="str">
        <f>""</f>
        <v/>
      </c>
      <c r="D372" t="str">
        <f t="shared" si="34"/>
        <v>MNCNNT62H53A783K</v>
      </c>
      <c r="E372" t="s">
        <v>52</v>
      </c>
      <c r="F372">
        <v>2015</v>
      </c>
      <c r="G372">
        <v>918</v>
      </c>
      <c r="H372" s="1">
        <v>42265</v>
      </c>
      <c r="I372" s="1">
        <v>42268</v>
      </c>
      <c r="J372" s="1">
        <v>42268</v>
      </c>
      <c r="K372" s="1">
        <v>42328</v>
      </c>
      <c r="N372" s="5"/>
      <c r="O372">
        <v>350</v>
      </c>
      <c r="P372">
        <v>-58</v>
      </c>
      <c r="Q372" s="2">
        <v>-20300</v>
      </c>
      <c r="R372">
        <v>0</v>
      </c>
      <c r="V372">
        <v>0</v>
      </c>
      <c r="W372">
        <v>0</v>
      </c>
      <c r="X372">
        <v>0</v>
      </c>
      <c r="Y372">
        <v>350</v>
      </c>
      <c r="Z372">
        <v>350</v>
      </c>
      <c r="AA372">
        <v>350</v>
      </c>
      <c r="AB372" s="1">
        <v>42382</v>
      </c>
      <c r="AC372" t="s">
        <v>53</v>
      </c>
      <c r="AD372" t="s">
        <v>53</v>
      </c>
      <c r="AK372">
        <v>0</v>
      </c>
      <c r="AU372" s="6">
        <v>42270</v>
      </c>
      <c r="AV372" s="6">
        <v>42270</v>
      </c>
      <c r="AW372" t="s">
        <v>54</v>
      </c>
      <c r="AX372" t="str">
        <f t="shared" si="30"/>
        <v>FOR</v>
      </c>
      <c r="AY372" t="s">
        <v>55</v>
      </c>
    </row>
    <row r="373" spans="1:51" hidden="1">
      <c r="A373">
        <v>100120</v>
      </c>
      <c r="B373" t="s">
        <v>90</v>
      </c>
      <c r="C373" t="str">
        <f>""</f>
        <v/>
      </c>
      <c r="D373" t="str">
        <f t="shared" si="34"/>
        <v>MNCNNT62H53A783K</v>
      </c>
      <c r="E373" t="s">
        <v>52</v>
      </c>
      <c r="F373">
        <v>2015</v>
      </c>
      <c r="G373">
        <v>1021</v>
      </c>
      <c r="H373" s="1">
        <v>42298</v>
      </c>
      <c r="I373" s="1">
        <v>42268</v>
      </c>
      <c r="J373" s="1">
        <v>42268</v>
      </c>
      <c r="K373" s="1">
        <v>42328</v>
      </c>
      <c r="L373" s="5">
        <v>350</v>
      </c>
      <c r="M373" s="5">
        <v>-30</v>
      </c>
      <c r="N373" s="7">
        <v>-10500</v>
      </c>
      <c r="O373">
        <v>350</v>
      </c>
      <c r="P373">
        <v>-30</v>
      </c>
      <c r="Q373" s="2">
        <v>-10500</v>
      </c>
      <c r="R373">
        <v>0</v>
      </c>
      <c r="V373">
        <v>350</v>
      </c>
      <c r="W373">
        <v>0</v>
      </c>
      <c r="X373">
        <v>350</v>
      </c>
      <c r="Y373">
        <v>350</v>
      </c>
      <c r="Z373">
        <v>350</v>
      </c>
      <c r="AA373">
        <v>350</v>
      </c>
      <c r="AB373" s="1">
        <v>42382</v>
      </c>
      <c r="AC373" t="s">
        <v>53</v>
      </c>
      <c r="AD373" t="s">
        <v>53</v>
      </c>
      <c r="AK373">
        <v>0</v>
      </c>
      <c r="AU373" s="6">
        <v>42298</v>
      </c>
      <c r="AV373" s="6">
        <v>42298</v>
      </c>
      <c r="AW373" t="s">
        <v>54</v>
      </c>
      <c r="AX373" t="str">
        <f t="shared" si="30"/>
        <v>FOR</v>
      </c>
      <c r="AY373" t="s">
        <v>55</v>
      </c>
    </row>
    <row r="374" spans="1:51" hidden="1">
      <c r="A374">
        <v>100120</v>
      </c>
      <c r="B374" t="s">
        <v>90</v>
      </c>
      <c r="C374" t="str">
        <f>""</f>
        <v/>
      </c>
      <c r="D374" t="str">
        <f t="shared" si="34"/>
        <v>MNCNNT62H53A783K</v>
      </c>
      <c r="E374" t="s">
        <v>52</v>
      </c>
      <c r="F374">
        <v>2015</v>
      </c>
      <c r="G374">
        <v>1120</v>
      </c>
      <c r="H374" s="1">
        <v>42328</v>
      </c>
      <c r="I374" s="1">
        <v>42331</v>
      </c>
      <c r="J374" s="1">
        <v>42331</v>
      </c>
      <c r="K374" s="1">
        <v>42391</v>
      </c>
      <c r="L374" s="5">
        <v>350</v>
      </c>
      <c r="M374" s="5">
        <v>-58</v>
      </c>
      <c r="N374" s="7">
        <v>-20300</v>
      </c>
      <c r="O374">
        <v>350</v>
      </c>
      <c r="P374">
        <v>-58</v>
      </c>
      <c r="Q374" s="2">
        <v>-20300</v>
      </c>
      <c r="R374">
        <v>0</v>
      </c>
      <c r="V374">
        <v>350</v>
      </c>
      <c r="W374">
        <v>350</v>
      </c>
      <c r="X374">
        <v>350</v>
      </c>
      <c r="Y374">
        <v>350</v>
      </c>
      <c r="Z374">
        <v>350</v>
      </c>
      <c r="AA374">
        <v>350</v>
      </c>
      <c r="AB374" s="1">
        <v>42382</v>
      </c>
      <c r="AC374" t="s">
        <v>53</v>
      </c>
      <c r="AD374" t="s">
        <v>53</v>
      </c>
      <c r="AK374">
        <v>0</v>
      </c>
      <c r="AU374" s="6">
        <v>42333</v>
      </c>
      <c r="AV374" s="6">
        <v>42333</v>
      </c>
      <c r="AW374" t="s">
        <v>54</v>
      </c>
      <c r="AX374" t="str">
        <f t="shared" si="30"/>
        <v>FOR</v>
      </c>
      <c r="AY374" t="s">
        <v>55</v>
      </c>
    </row>
    <row r="375" spans="1:51" hidden="1">
      <c r="A375">
        <v>100120</v>
      </c>
      <c r="B375" t="s">
        <v>90</v>
      </c>
      <c r="C375" t="str">
        <f>""</f>
        <v/>
      </c>
      <c r="D375" t="str">
        <f t="shared" si="34"/>
        <v>MNCNNT62H53A783K</v>
      </c>
      <c r="E375" t="s">
        <v>52</v>
      </c>
      <c r="F375">
        <v>2015</v>
      </c>
      <c r="G375">
        <v>1211</v>
      </c>
      <c r="H375" s="1">
        <v>42349</v>
      </c>
      <c r="I375" s="1">
        <v>42349</v>
      </c>
      <c r="J375" s="1">
        <v>42349</v>
      </c>
      <c r="K375" s="1">
        <v>42409</v>
      </c>
      <c r="L375" s="5">
        <v>350</v>
      </c>
      <c r="M375" s="5">
        <v>-60</v>
      </c>
      <c r="N375" s="7">
        <v>-21000</v>
      </c>
      <c r="O375">
        <v>350</v>
      </c>
      <c r="P375">
        <v>-60</v>
      </c>
      <c r="Q375" s="2">
        <v>-21000</v>
      </c>
      <c r="R375">
        <v>0</v>
      </c>
      <c r="V375">
        <v>350</v>
      </c>
      <c r="W375">
        <v>350</v>
      </c>
      <c r="X375">
        <v>350</v>
      </c>
      <c r="Y375">
        <v>350</v>
      </c>
      <c r="Z375">
        <v>350</v>
      </c>
      <c r="AA375">
        <v>350</v>
      </c>
      <c r="AB375" s="1">
        <v>42382</v>
      </c>
      <c r="AC375" t="s">
        <v>53</v>
      </c>
      <c r="AD375" t="s">
        <v>53</v>
      </c>
      <c r="AK375">
        <v>0</v>
      </c>
      <c r="AU375" s="6">
        <v>42349</v>
      </c>
      <c r="AV375" s="6">
        <v>42349</v>
      </c>
      <c r="AW375" t="s">
        <v>54</v>
      </c>
      <c r="AX375" t="str">
        <f t="shared" si="30"/>
        <v>FOR</v>
      </c>
      <c r="AY375" t="s">
        <v>55</v>
      </c>
    </row>
    <row r="376" spans="1:51" hidden="1">
      <c r="A376">
        <v>100136</v>
      </c>
      <c r="B376" t="s">
        <v>91</v>
      </c>
      <c r="C376" t="str">
        <f t="shared" ref="C376:D395" si="35">"03615181009"</f>
        <v>03615181009</v>
      </c>
      <c r="D376" t="str">
        <f t="shared" si="35"/>
        <v>03615181009</v>
      </c>
      <c r="E376" t="s">
        <v>52</v>
      </c>
      <c r="F376">
        <v>2014</v>
      </c>
      <c r="G376">
        <v>36</v>
      </c>
      <c r="H376" s="1">
        <v>41670</v>
      </c>
      <c r="I376" s="1">
        <v>41725</v>
      </c>
      <c r="J376" s="1">
        <v>41725</v>
      </c>
      <c r="K376" s="1">
        <v>41815</v>
      </c>
      <c r="N376" s="5"/>
      <c r="O376" s="2">
        <v>3233</v>
      </c>
      <c r="P376">
        <v>224</v>
      </c>
      <c r="Q376" s="2">
        <v>724192</v>
      </c>
      <c r="R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 s="1">
        <v>42382</v>
      </c>
      <c r="AC376" t="s">
        <v>53</v>
      </c>
      <c r="AD376" t="s">
        <v>53</v>
      </c>
      <c r="AK376">
        <v>0</v>
      </c>
      <c r="AU376" s="6">
        <v>42039</v>
      </c>
      <c r="AV376" s="6">
        <v>42039</v>
      </c>
      <c r="AW376" t="s">
        <v>54</v>
      </c>
      <c r="AX376" t="str">
        <f t="shared" si="30"/>
        <v>FOR</v>
      </c>
      <c r="AY376" t="s">
        <v>55</v>
      </c>
    </row>
    <row r="377" spans="1:51" hidden="1">
      <c r="A377">
        <v>100136</v>
      </c>
      <c r="B377" t="s">
        <v>91</v>
      </c>
      <c r="C377" t="str">
        <f t="shared" si="35"/>
        <v>03615181009</v>
      </c>
      <c r="D377" t="str">
        <f t="shared" si="35"/>
        <v>03615181009</v>
      </c>
      <c r="E377" t="s">
        <v>52</v>
      </c>
      <c r="F377">
        <v>2014</v>
      </c>
      <c r="G377">
        <v>37</v>
      </c>
      <c r="H377" s="1">
        <v>41670</v>
      </c>
      <c r="I377" s="1">
        <v>41725</v>
      </c>
      <c r="J377" s="1">
        <v>41725</v>
      </c>
      <c r="K377" s="1">
        <v>41815</v>
      </c>
      <c r="N377" s="5"/>
      <c r="O377" s="2">
        <v>6466</v>
      </c>
      <c r="P377">
        <v>224</v>
      </c>
      <c r="Q377" s="2">
        <v>1448384</v>
      </c>
      <c r="R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 s="1">
        <v>42382</v>
      </c>
      <c r="AC377" t="s">
        <v>53</v>
      </c>
      <c r="AD377" t="s">
        <v>53</v>
      </c>
      <c r="AK377">
        <v>0</v>
      </c>
      <c r="AU377" s="6">
        <v>42039</v>
      </c>
      <c r="AV377" s="6">
        <v>42039</v>
      </c>
      <c r="AW377" t="s">
        <v>54</v>
      </c>
      <c r="AX377" t="str">
        <f t="shared" si="30"/>
        <v>FOR</v>
      </c>
      <c r="AY377" t="s">
        <v>55</v>
      </c>
    </row>
    <row r="378" spans="1:51" hidden="1">
      <c r="A378">
        <v>100136</v>
      </c>
      <c r="B378" t="s">
        <v>91</v>
      </c>
      <c r="C378" t="str">
        <f t="shared" si="35"/>
        <v>03615181009</v>
      </c>
      <c r="D378" t="str">
        <f t="shared" si="35"/>
        <v>03615181009</v>
      </c>
      <c r="E378" t="s">
        <v>52</v>
      </c>
      <c r="F378">
        <v>2014</v>
      </c>
      <c r="G378">
        <v>38</v>
      </c>
      <c r="H378" s="1">
        <v>41670</v>
      </c>
      <c r="I378" s="1">
        <v>41725</v>
      </c>
      <c r="J378" s="1">
        <v>41725</v>
      </c>
      <c r="K378" s="1">
        <v>41815</v>
      </c>
      <c r="N378" s="5"/>
      <c r="O378" s="2">
        <v>3233</v>
      </c>
      <c r="P378">
        <v>224</v>
      </c>
      <c r="Q378" s="2">
        <v>724192</v>
      </c>
      <c r="R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 s="1">
        <v>42382</v>
      </c>
      <c r="AC378" t="s">
        <v>53</v>
      </c>
      <c r="AD378" t="s">
        <v>53</v>
      </c>
      <c r="AK378">
        <v>0</v>
      </c>
      <c r="AU378" s="6">
        <v>42039</v>
      </c>
      <c r="AV378" s="6">
        <v>42039</v>
      </c>
      <c r="AW378" t="s">
        <v>54</v>
      </c>
      <c r="AX378" t="str">
        <f t="shared" si="30"/>
        <v>FOR</v>
      </c>
      <c r="AY378" t="s">
        <v>55</v>
      </c>
    </row>
    <row r="379" spans="1:51" hidden="1">
      <c r="A379">
        <v>100136</v>
      </c>
      <c r="B379" t="s">
        <v>91</v>
      </c>
      <c r="C379" t="str">
        <f t="shared" si="35"/>
        <v>03615181009</v>
      </c>
      <c r="D379" t="str">
        <f t="shared" si="35"/>
        <v>03615181009</v>
      </c>
      <c r="E379" t="s">
        <v>52</v>
      </c>
      <c r="F379">
        <v>2014</v>
      </c>
      <c r="G379">
        <v>108</v>
      </c>
      <c r="H379" s="1">
        <v>41698</v>
      </c>
      <c r="I379" s="1">
        <v>41736</v>
      </c>
      <c r="J379" s="1">
        <v>41736</v>
      </c>
      <c r="K379" s="1">
        <v>41826</v>
      </c>
      <c r="N379" s="5"/>
      <c r="O379" s="2">
        <v>6466</v>
      </c>
      <c r="P379">
        <v>213</v>
      </c>
      <c r="Q379" s="2">
        <v>1377258</v>
      </c>
      <c r="R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 s="1">
        <v>42382</v>
      </c>
      <c r="AC379" t="s">
        <v>53</v>
      </c>
      <c r="AD379" t="s">
        <v>53</v>
      </c>
      <c r="AK379">
        <v>0</v>
      </c>
      <c r="AU379" s="6">
        <v>42039</v>
      </c>
      <c r="AV379" s="6">
        <v>42039</v>
      </c>
      <c r="AW379" t="s">
        <v>54</v>
      </c>
      <c r="AX379" t="str">
        <f t="shared" si="30"/>
        <v>FOR</v>
      </c>
      <c r="AY379" t="s">
        <v>55</v>
      </c>
    </row>
    <row r="380" spans="1:51" hidden="1">
      <c r="A380">
        <v>100136</v>
      </c>
      <c r="B380" t="s">
        <v>91</v>
      </c>
      <c r="C380" t="str">
        <f t="shared" si="35"/>
        <v>03615181009</v>
      </c>
      <c r="D380" t="str">
        <f t="shared" si="35"/>
        <v>03615181009</v>
      </c>
      <c r="E380" t="s">
        <v>52</v>
      </c>
      <c r="F380">
        <v>2014</v>
      </c>
      <c r="G380">
        <v>124</v>
      </c>
      <c r="H380" s="1">
        <v>41698</v>
      </c>
      <c r="I380" s="1">
        <v>41736</v>
      </c>
      <c r="J380" s="1">
        <v>41736</v>
      </c>
      <c r="K380" s="1">
        <v>41826</v>
      </c>
      <c r="N380" s="5"/>
      <c r="O380" s="2">
        <v>3233</v>
      </c>
      <c r="P380">
        <v>213</v>
      </c>
      <c r="Q380" s="2">
        <v>688629</v>
      </c>
      <c r="R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 s="1">
        <v>42382</v>
      </c>
      <c r="AC380" t="s">
        <v>53</v>
      </c>
      <c r="AD380" t="s">
        <v>53</v>
      </c>
      <c r="AK380">
        <v>0</v>
      </c>
      <c r="AU380" s="6">
        <v>42039</v>
      </c>
      <c r="AV380" s="6">
        <v>42039</v>
      </c>
      <c r="AW380" t="s">
        <v>54</v>
      </c>
      <c r="AX380" t="str">
        <f t="shared" si="30"/>
        <v>FOR</v>
      </c>
      <c r="AY380" t="s">
        <v>55</v>
      </c>
    </row>
    <row r="381" spans="1:51" hidden="1">
      <c r="A381">
        <v>100136</v>
      </c>
      <c r="B381" t="s">
        <v>91</v>
      </c>
      <c r="C381" t="str">
        <f t="shared" si="35"/>
        <v>03615181009</v>
      </c>
      <c r="D381" t="str">
        <f t="shared" si="35"/>
        <v>03615181009</v>
      </c>
      <c r="E381" t="s">
        <v>52</v>
      </c>
      <c r="F381">
        <v>2014</v>
      </c>
      <c r="G381">
        <v>203</v>
      </c>
      <c r="H381" s="1">
        <v>41729</v>
      </c>
      <c r="I381" s="1">
        <v>41764</v>
      </c>
      <c r="J381" s="1">
        <v>41764</v>
      </c>
      <c r="K381" s="1">
        <v>41854</v>
      </c>
      <c r="N381" s="5"/>
      <c r="O381" s="2">
        <v>3233</v>
      </c>
      <c r="P381">
        <v>185</v>
      </c>
      <c r="Q381" s="2">
        <v>598105</v>
      </c>
      <c r="R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 s="1">
        <v>42382</v>
      </c>
      <c r="AC381" t="s">
        <v>53</v>
      </c>
      <c r="AD381" t="s">
        <v>53</v>
      </c>
      <c r="AK381">
        <v>0</v>
      </c>
      <c r="AU381" s="6">
        <v>42039</v>
      </c>
      <c r="AV381" s="6">
        <v>42039</v>
      </c>
      <c r="AW381" t="s">
        <v>54</v>
      </c>
      <c r="AX381" t="str">
        <f t="shared" si="30"/>
        <v>FOR</v>
      </c>
      <c r="AY381" t="s">
        <v>55</v>
      </c>
    </row>
    <row r="382" spans="1:51" hidden="1">
      <c r="A382">
        <v>100136</v>
      </c>
      <c r="B382" t="s">
        <v>91</v>
      </c>
      <c r="C382" t="str">
        <f t="shared" si="35"/>
        <v>03615181009</v>
      </c>
      <c r="D382" t="str">
        <f t="shared" si="35"/>
        <v>03615181009</v>
      </c>
      <c r="E382" t="s">
        <v>52</v>
      </c>
      <c r="F382">
        <v>2014</v>
      </c>
      <c r="G382">
        <v>204</v>
      </c>
      <c r="H382" s="1">
        <v>41729</v>
      </c>
      <c r="I382" s="1">
        <v>41764</v>
      </c>
      <c r="J382" s="1">
        <v>41764</v>
      </c>
      <c r="K382" s="1">
        <v>41854</v>
      </c>
      <c r="N382" s="5"/>
      <c r="O382" s="2">
        <v>6466</v>
      </c>
      <c r="P382">
        <v>185</v>
      </c>
      <c r="Q382" s="2">
        <v>1196210</v>
      </c>
      <c r="R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 s="1">
        <v>42382</v>
      </c>
      <c r="AC382" t="s">
        <v>53</v>
      </c>
      <c r="AD382" t="s">
        <v>53</v>
      </c>
      <c r="AK382">
        <v>0</v>
      </c>
      <c r="AU382" s="6">
        <v>42039</v>
      </c>
      <c r="AV382" s="6">
        <v>42039</v>
      </c>
      <c r="AW382" t="s">
        <v>54</v>
      </c>
      <c r="AX382" t="str">
        <f t="shared" si="30"/>
        <v>FOR</v>
      </c>
      <c r="AY382" t="s">
        <v>55</v>
      </c>
    </row>
    <row r="383" spans="1:51" hidden="1">
      <c r="A383">
        <v>100136</v>
      </c>
      <c r="B383" t="s">
        <v>91</v>
      </c>
      <c r="C383" t="str">
        <f t="shared" si="35"/>
        <v>03615181009</v>
      </c>
      <c r="D383" t="str">
        <f t="shared" si="35"/>
        <v>03615181009</v>
      </c>
      <c r="E383" t="s">
        <v>52</v>
      </c>
      <c r="F383">
        <v>2014</v>
      </c>
      <c r="G383">
        <v>205</v>
      </c>
      <c r="H383" s="1">
        <v>41729</v>
      </c>
      <c r="I383" s="1">
        <v>41764</v>
      </c>
      <c r="J383" s="1">
        <v>41764</v>
      </c>
      <c r="K383" s="1">
        <v>41854</v>
      </c>
      <c r="N383" s="5"/>
      <c r="O383" s="2">
        <v>3233</v>
      </c>
      <c r="P383">
        <v>185</v>
      </c>
      <c r="Q383" s="2">
        <v>598105</v>
      </c>
      <c r="R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 s="1">
        <v>42382</v>
      </c>
      <c r="AC383" t="s">
        <v>53</v>
      </c>
      <c r="AD383" t="s">
        <v>53</v>
      </c>
      <c r="AK383">
        <v>0</v>
      </c>
      <c r="AU383" s="6">
        <v>42039</v>
      </c>
      <c r="AV383" s="6">
        <v>42039</v>
      </c>
      <c r="AW383" t="s">
        <v>54</v>
      </c>
      <c r="AX383" t="str">
        <f t="shared" si="30"/>
        <v>FOR</v>
      </c>
      <c r="AY383" t="s">
        <v>55</v>
      </c>
    </row>
    <row r="384" spans="1:51" hidden="1">
      <c r="A384">
        <v>100136</v>
      </c>
      <c r="B384" t="s">
        <v>91</v>
      </c>
      <c r="C384" t="str">
        <f t="shared" si="35"/>
        <v>03615181009</v>
      </c>
      <c r="D384" t="str">
        <f t="shared" si="35"/>
        <v>03615181009</v>
      </c>
      <c r="E384" t="s">
        <v>52</v>
      </c>
      <c r="F384">
        <v>2014</v>
      </c>
      <c r="G384">
        <v>295</v>
      </c>
      <c r="H384" s="1">
        <v>41759</v>
      </c>
      <c r="I384" s="1">
        <v>41802</v>
      </c>
      <c r="J384" s="1">
        <v>41802</v>
      </c>
      <c r="K384" s="1">
        <v>41892</v>
      </c>
      <c r="N384" s="5"/>
      <c r="O384" s="2">
        <v>6466</v>
      </c>
      <c r="P384">
        <v>170</v>
      </c>
      <c r="Q384" s="2">
        <v>1099220</v>
      </c>
      <c r="R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 s="1">
        <v>42382</v>
      </c>
      <c r="AC384" t="s">
        <v>53</v>
      </c>
      <c r="AD384" t="s">
        <v>53</v>
      </c>
      <c r="AK384">
        <v>0</v>
      </c>
      <c r="AU384" s="6">
        <v>42062</v>
      </c>
      <c r="AV384" s="6">
        <v>42062</v>
      </c>
      <c r="AW384" t="s">
        <v>54</v>
      </c>
      <c r="AX384" t="str">
        <f t="shared" si="30"/>
        <v>FOR</v>
      </c>
      <c r="AY384" t="s">
        <v>55</v>
      </c>
    </row>
    <row r="385" spans="1:51" hidden="1">
      <c r="A385">
        <v>100136</v>
      </c>
      <c r="B385" t="s">
        <v>91</v>
      </c>
      <c r="C385" t="str">
        <f t="shared" si="35"/>
        <v>03615181009</v>
      </c>
      <c r="D385" t="str">
        <f t="shared" si="35"/>
        <v>03615181009</v>
      </c>
      <c r="E385" t="s">
        <v>52</v>
      </c>
      <c r="F385">
        <v>2014</v>
      </c>
      <c r="G385">
        <v>296</v>
      </c>
      <c r="H385" s="1">
        <v>41759</v>
      </c>
      <c r="I385" s="1">
        <v>41802</v>
      </c>
      <c r="J385" s="1">
        <v>41802</v>
      </c>
      <c r="K385" s="1">
        <v>41892</v>
      </c>
      <c r="N385" s="5"/>
      <c r="O385" s="2">
        <v>3233</v>
      </c>
      <c r="P385">
        <v>170</v>
      </c>
      <c r="Q385" s="2">
        <v>549610</v>
      </c>
      <c r="R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 s="1">
        <v>42382</v>
      </c>
      <c r="AC385" t="s">
        <v>53</v>
      </c>
      <c r="AD385" t="s">
        <v>53</v>
      </c>
      <c r="AK385">
        <v>0</v>
      </c>
      <c r="AU385" s="6">
        <v>42062</v>
      </c>
      <c r="AV385" s="6">
        <v>42062</v>
      </c>
      <c r="AW385" t="s">
        <v>54</v>
      </c>
      <c r="AX385" t="str">
        <f t="shared" si="30"/>
        <v>FOR</v>
      </c>
      <c r="AY385" t="s">
        <v>55</v>
      </c>
    </row>
    <row r="386" spans="1:51" hidden="1">
      <c r="A386">
        <v>100136</v>
      </c>
      <c r="B386" t="s">
        <v>91</v>
      </c>
      <c r="C386" t="str">
        <f t="shared" si="35"/>
        <v>03615181009</v>
      </c>
      <c r="D386" t="str">
        <f t="shared" si="35"/>
        <v>03615181009</v>
      </c>
      <c r="E386" t="s">
        <v>52</v>
      </c>
      <c r="F386">
        <v>2014</v>
      </c>
      <c r="G386">
        <v>358</v>
      </c>
      <c r="H386" s="1">
        <v>41790</v>
      </c>
      <c r="I386" s="1">
        <v>41820</v>
      </c>
      <c r="J386" s="1">
        <v>41820</v>
      </c>
      <c r="K386" s="1">
        <v>41910</v>
      </c>
      <c r="N386" s="5"/>
      <c r="O386" s="2">
        <v>3233</v>
      </c>
      <c r="P386">
        <v>192</v>
      </c>
      <c r="Q386" s="2">
        <v>620736</v>
      </c>
      <c r="R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 s="1">
        <v>42382</v>
      </c>
      <c r="AC386" t="s">
        <v>53</v>
      </c>
      <c r="AD386" t="s">
        <v>53</v>
      </c>
      <c r="AK386">
        <v>0</v>
      </c>
      <c r="AU386" s="6">
        <v>42102</v>
      </c>
      <c r="AV386" s="6">
        <v>42102</v>
      </c>
      <c r="AW386" t="s">
        <v>54</v>
      </c>
      <c r="AX386" t="str">
        <f t="shared" si="30"/>
        <v>FOR</v>
      </c>
      <c r="AY386" t="s">
        <v>55</v>
      </c>
    </row>
    <row r="387" spans="1:51" hidden="1">
      <c r="A387">
        <v>100136</v>
      </c>
      <c r="B387" t="s">
        <v>91</v>
      </c>
      <c r="C387" t="str">
        <f t="shared" si="35"/>
        <v>03615181009</v>
      </c>
      <c r="D387" t="str">
        <f t="shared" si="35"/>
        <v>03615181009</v>
      </c>
      <c r="E387" t="s">
        <v>52</v>
      </c>
      <c r="F387">
        <v>2014</v>
      </c>
      <c r="G387">
        <v>359</v>
      </c>
      <c r="H387" s="1">
        <v>41790</v>
      </c>
      <c r="I387" s="1">
        <v>41820</v>
      </c>
      <c r="J387" s="1">
        <v>41820</v>
      </c>
      <c r="K387" s="1">
        <v>41910</v>
      </c>
      <c r="N387" s="5"/>
      <c r="O387" s="2">
        <v>3233</v>
      </c>
      <c r="P387">
        <v>192</v>
      </c>
      <c r="Q387" s="2">
        <v>620736</v>
      </c>
      <c r="R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 s="1">
        <v>42382</v>
      </c>
      <c r="AC387" t="s">
        <v>53</v>
      </c>
      <c r="AD387" t="s">
        <v>53</v>
      </c>
      <c r="AK387">
        <v>0</v>
      </c>
      <c r="AU387" s="6">
        <v>42102</v>
      </c>
      <c r="AV387" s="6">
        <v>42102</v>
      </c>
      <c r="AW387" t="s">
        <v>54</v>
      </c>
      <c r="AX387" t="str">
        <f t="shared" ref="AX387:AX450" si="36">"FOR"</f>
        <v>FOR</v>
      </c>
      <c r="AY387" t="s">
        <v>55</v>
      </c>
    </row>
    <row r="388" spans="1:51" hidden="1">
      <c r="A388">
        <v>100136</v>
      </c>
      <c r="B388" t="s">
        <v>91</v>
      </c>
      <c r="C388" t="str">
        <f t="shared" si="35"/>
        <v>03615181009</v>
      </c>
      <c r="D388" t="str">
        <f t="shared" si="35"/>
        <v>03615181009</v>
      </c>
      <c r="E388" t="s">
        <v>52</v>
      </c>
      <c r="F388">
        <v>2014</v>
      </c>
      <c r="G388">
        <v>360</v>
      </c>
      <c r="H388" s="1">
        <v>41790</v>
      </c>
      <c r="I388" s="1">
        <v>41820</v>
      </c>
      <c r="J388" s="1">
        <v>41820</v>
      </c>
      <c r="K388" s="1">
        <v>41910</v>
      </c>
      <c r="N388" s="5"/>
      <c r="O388" s="2">
        <v>6466</v>
      </c>
      <c r="P388">
        <v>192</v>
      </c>
      <c r="Q388" s="2">
        <v>1241472</v>
      </c>
      <c r="R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 s="1">
        <v>42382</v>
      </c>
      <c r="AC388" t="s">
        <v>53</v>
      </c>
      <c r="AD388" t="s">
        <v>53</v>
      </c>
      <c r="AK388">
        <v>0</v>
      </c>
      <c r="AU388" s="6">
        <v>42102</v>
      </c>
      <c r="AV388" s="6">
        <v>42102</v>
      </c>
      <c r="AW388" t="s">
        <v>54</v>
      </c>
      <c r="AX388" t="str">
        <f t="shared" si="36"/>
        <v>FOR</v>
      </c>
      <c r="AY388" t="s">
        <v>55</v>
      </c>
    </row>
    <row r="389" spans="1:51" hidden="1">
      <c r="A389">
        <v>100136</v>
      </c>
      <c r="B389" t="s">
        <v>91</v>
      </c>
      <c r="C389" t="str">
        <f t="shared" si="35"/>
        <v>03615181009</v>
      </c>
      <c r="D389" t="str">
        <f t="shared" si="35"/>
        <v>03615181009</v>
      </c>
      <c r="E389" t="s">
        <v>52</v>
      </c>
      <c r="F389">
        <v>2014</v>
      </c>
      <c r="G389">
        <v>465</v>
      </c>
      <c r="H389" s="1">
        <v>41820</v>
      </c>
      <c r="I389" s="1">
        <v>41849</v>
      </c>
      <c r="J389" s="1">
        <v>41849</v>
      </c>
      <c r="K389" s="1">
        <v>41939</v>
      </c>
      <c r="N389" s="5"/>
      <c r="O389" s="2">
        <v>6466</v>
      </c>
      <c r="P389">
        <v>192</v>
      </c>
      <c r="Q389" s="2">
        <v>1241472</v>
      </c>
      <c r="R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 s="1">
        <v>42382</v>
      </c>
      <c r="AC389" t="s">
        <v>53</v>
      </c>
      <c r="AD389" t="s">
        <v>53</v>
      </c>
      <c r="AK389">
        <v>0</v>
      </c>
      <c r="AU389" s="6">
        <v>42131</v>
      </c>
      <c r="AV389" s="6">
        <v>42131</v>
      </c>
      <c r="AW389" t="s">
        <v>54</v>
      </c>
      <c r="AX389" t="str">
        <f t="shared" si="36"/>
        <v>FOR</v>
      </c>
      <c r="AY389" t="s">
        <v>55</v>
      </c>
    </row>
    <row r="390" spans="1:51" hidden="1">
      <c r="A390">
        <v>100136</v>
      </c>
      <c r="B390" t="s">
        <v>91</v>
      </c>
      <c r="C390" t="str">
        <f t="shared" si="35"/>
        <v>03615181009</v>
      </c>
      <c r="D390" t="str">
        <f t="shared" si="35"/>
        <v>03615181009</v>
      </c>
      <c r="E390" t="s">
        <v>52</v>
      </c>
      <c r="F390">
        <v>2014</v>
      </c>
      <c r="G390">
        <v>466</v>
      </c>
      <c r="H390" s="1">
        <v>41820</v>
      </c>
      <c r="I390" s="1">
        <v>41849</v>
      </c>
      <c r="J390" s="1">
        <v>41849</v>
      </c>
      <c r="K390" s="1">
        <v>41939</v>
      </c>
      <c r="N390" s="5"/>
      <c r="O390" s="2">
        <v>3233</v>
      </c>
      <c r="P390">
        <v>192</v>
      </c>
      <c r="Q390" s="2">
        <v>620736</v>
      </c>
      <c r="R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 s="1">
        <v>42382</v>
      </c>
      <c r="AC390" t="s">
        <v>53</v>
      </c>
      <c r="AD390" t="s">
        <v>53</v>
      </c>
      <c r="AK390">
        <v>0</v>
      </c>
      <c r="AU390" s="6">
        <v>42131</v>
      </c>
      <c r="AV390" s="6">
        <v>42131</v>
      </c>
      <c r="AW390" t="s">
        <v>54</v>
      </c>
      <c r="AX390" t="str">
        <f t="shared" si="36"/>
        <v>FOR</v>
      </c>
      <c r="AY390" t="s">
        <v>55</v>
      </c>
    </row>
    <row r="391" spans="1:51" hidden="1">
      <c r="A391">
        <v>100136</v>
      </c>
      <c r="B391" t="s">
        <v>91</v>
      </c>
      <c r="C391" t="str">
        <f t="shared" si="35"/>
        <v>03615181009</v>
      </c>
      <c r="D391" t="str">
        <f t="shared" si="35"/>
        <v>03615181009</v>
      </c>
      <c r="E391" t="s">
        <v>52</v>
      </c>
      <c r="F391">
        <v>2014</v>
      </c>
      <c r="G391">
        <v>552</v>
      </c>
      <c r="H391" s="1">
        <v>41851</v>
      </c>
      <c r="I391" s="1">
        <v>41883</v>
      </c>
      <c r="J391" s="1">
        <v>41883</v>
      </c>
      <c r="K391" s="1">
        <v>41973</v>
      </c>
      <c r="N391" s="5"/>
      <c r="O391" s="2">
        <v>3233</v>
      </c>
      <c r="P391">
        <v>190</v>
      </c>
      <c r="Q391" s="2">
        <v>614270</v>
      </c>
      <c r="R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 s="1">
        <v>42382</v>
      </c>
      <c r="AC391" t="s">
        <v>53</v>
      </c>
      <c r="AD391" t="s">
        <v>53</v>
      </c>
      <c r="AK391">
        <v>0</v>
      </c>
      <c r="AU391" s="6">
        <v>42163</v>
      </c>
      <c r="AV391" s="6">
        <v>42163</v>
      </c>
      <c r="AW391" t="s">
        <v>54</v>
      </c>
      <c r="AX391" t="str">
        <f t="shared" si="36"/>
        <v>FOR</v>
      </c>
      <c r="AY391" t="s">
        <v>55</v>
      </c>
    </row>
    <row r="392" spans="1:51" hidden="1">
      <c r="A392">
        <v>100136</v>
      </c>
      <c r="B392" t="s">
        <v>91</v>
      </c>
      <c r="C392" t="str">
        <f t="shared" si="35"/>
        <v>03615181009</v>
      </c>
      <c r="D392" t="str">
        <f t="shared" si="35"/>
        <v>03615181009</v>
      </c>
      <c r="E392" t="s">
        <v>52</v>
      </c>
      <c r="F392">
        <v>2014</v>
      </c>
      <c r="G392">
        <v>553</v>
      </c>
      <c r="H392" s="1">
        <v>41851</v>
      </c>
      <c r="I392" s="1">
        <v>41873</v>
      </c>
      <c r="J392" s="1">
        <v>41873</v>
      </c>
      <c r="K392" s="1">
        <v>41963</v>
      </c>
      <c r="N392" s="5"/>
      <c r="O392" s="2">
        <v>6466</v>
      </c>
      <c r="P392">
        <v>200</v>
      </c>
      <c r="Q392" s="2">
        <v>1293200</v>
      </c>
      <c r="R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 s="1">
        <v>42382</v>
      </c>
      <c r="AC392" t="s">
        <v>53</v>
      </c>
      <c r="AD392" t="s">
        <v>53</v>
      </c>
      <c r="AK392">
        <v>0</v>
      </c>
      <c r="AU392" s="6">
        <v>42163</v>
      </c>
      <c r="AV392" s="6">
        <v>42163</v>
      </c>
      <c r="AW392" t="s">
        <v>54</v>
      </c>
      <c r="AX392" t="str">
        <f t="shared" si="36"/>
        <v>FOR</v>
      </c>
      <c r="AY392" t="s">
        <v>55</v>
      </c>
    </row>
    <row r="393" spans="1:51" hidden="1">
      <c r="A393">
        <v>100136</v>
      </c>
      <c r="B393" t="s">
        <v>91</v>
      </c>
      <c r="C393" t="str">
        <f t="shared" si="35"/>
        <v>03615181009</v>
      </c>
      <c r="D393" t="str">
        <f t="shared" si="35"/>
        <v>03615181009</v>
      </c>
      <c r="E393" t="s">
        <v>52</v>
      </c>
      <c r="F393">
        <v>2014</v>
      </c>
      <c r="G393">
        <v>554</v>
      </c>
      <c r="H393" s="1">
        <v>41851</v>
      </c>
      <c r="I393" s="1">
        <v>41873</v>
      </c>
      <c r="J393" s="1">
        <v>41873</v>
      </c>
      <c r="K393" s="1">
        <v>41963</v>
      </c>
      <c r="N393" s="5"/>
      <c r="O393" s="2">
        <v>3233</v>
      </c>
      <c r="P393">
        <v>200</v>
      </c>
      <c r="Q393" s="2">
        <v>646600</v>
      </c>
      <c r="R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 s="1">
        <v>42382</v>
      </c>
      <c r="AC393" t="s">
        <v>53</v>
      </c>
      <c r="AD393" t="s">
        <v>53</v>
      </c>
      <c r="AK393">
        <v>0</v>
      </c>
      <c r="AU393" s="6">
        <v>42163</v>
      </c>
      <c r="AV393" s="6">
        <v>42163</v>
      </c>
      <c r="AW393" t="s">
        <v>54</v>
      </c>
      <c r="AX393" t="str">
        <f t="shared" si="36"/>
        <v>FOR</v>
      </c>
      <c r="AY393" t="s">
        <v>55</v>
      </c>
    </row>
    <row r="394" spans="1:51" hidden="1">
      <c r="A394">
        <v>100136</v>
      </c>
      <c r="B394" t="s">
        <v>91</v>
      </c>
      <c r="C394" t="str">
        <f t="shared" si="35"/>
        <v>03615181009</v>
      </c>
      <c r="D394" t="str">
        <f t="shared" si="35"/>
        <v>03615181009</v>
      </c>
      <c r="E394" t="s">
        <v>52</v>
      </c>
      <c r="F394">
        <v>2014</v>
      </c>
      <c r="G394">
        <v>606</v>
      </c>
      <c r="H394" s="1">
        <v>41882</v>
      </c>
      <c r="I394" s="1">
        <v>41908</v>
      </c>
      <c r="J394" s="1">
        <v>41908</v>
      </c>
      <c r="K394" s="1">
        <v>41998</v>
      </c>
      <c r="N394" s="5"/>
      <c r="O394" s="2">
        <v>3233</v>
      </c>
      <c r="P394">
        <v>186</v>
      </c>
      <c r="Q394" s="2">
        <v>601338</v>
      </c>
      <c r="R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 s="1">
        <v>42382</v>
      </c>
      <c r="AC394" t="s">
        <v>53</v>
      </c>
      <c r="AD394" t="s">
        <v>53</v>
      </c>
      <c r="AK394">
        <v>0</v>
      </c>
      <c r="AU394" s="6">
        <v>42184</v>
      </c>
      <c r="AV394" s="6">
        <v>42184</v>
      </c>
      <c r="AW394" t="s">
        <v>54</v>
      </c>
      <c r="AX394" t="str">
        <f t="shared" si="36"/>
        <v>FOR</v>
      </c>
      <c r="AY394" t="s">
        <v>55</v>
      </c>
    </row>
    <row r="395" spans="1:51" hidden="1">
      <c r="A395">
        <v>100136</v>
      </c>
      <c r="B395" t="s">
        <v>91</v>
      </c>
      <c r="C395" t="str">
        <f t="shared" si="35"/>
        <v>03615181009</v>
      </c>
      <c r="D395" t="str">
        <f t="shared" si="35"/>
        <v>03615181009</v>
      </c>
      <c r="E395" t="s">
        <v>52</v>
      </c>
      <c r="F395">
        <v>2014</v>
      </c>
      <c r="G395">
        <v>697</v>
      </c>
      <c r="H395" s="1">
        <v>41912</v>
      </c>
      <c r="I395" s="1">
        <v>41946</v>
      </c>
      <c r="J395" s="1">
        <v>41946</v>
      </c>
      <c r="K395" s="1">
        <v>42006</v>
      </c>
      <c r="N395" s="5"/>
      <c r="O395" s="2">
        <v>3233</v>
      </c>
      <c r="P395">
        <v>244</v>
      </c>
      <c r="Q395" s="2">
        <v>788852</v>
      </c>
      <c r="R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 s="1">
        <v>42382</v>
      </c>
      <c r="AC395" t="s">
        <v>53</v>
      </c>
      <c r="AD395" t="s">
        <v>53</v>
      </c>
      <c r="AK395">
        <v>0</v>
      </c>
      <c r="AU395" s="6">
        <v>42250</v>
      </c>
      <c r="AV395" s="6">
        <v>42250</v>
      </c>
      <c r="AW395" t="s">
        <v>54</v>
      </c>
      <c r="AX395" t="str">
        <f t="shared" si="36"/>
        <v>FOR</v>
      </c>
      <c r="AY395" t="s">
        <v>55</v>
      </c>
    </row>
    <row r="396" spans="1:51" hidden="1">
      <c r="A396">
        <v>100136</v>
      </c>
      <c r="B396" t="s">
        <v>91</v>
      </c>
      <c r="C396" t="str">
        <f t="shared" ref="C396:D409" si="37">"03615181009"</f>
        <v>03615181009</v>
      </c>
      <c r="D396" t="str">
        <f t="shared" si="37"/>
        <v>03615181009</v>
      </c>
      <c r="E396" t="s">
        <v>52</v>
      </c>
      <c r="F396">
        <v>2014</v>
      </c>
      <c r="G396">
        <v>698</v>
      </c>
      <c r="H396" s="1">
        <v>41912</v>
      </c>
      <c r="I396" s="1">
        <v>41946</v>
      </c>
      <c r="J396" s="1">
        <v>41946</v>
      </c>
      <c r="K396" s="1">
        <v>42006</v>
      </c>
      <c r="N396" s="5"/>
      <c r="O396" s="2">
        <v>6466</v>
      </c>
      <c r="P396">
        <v>244</v>
      </c>
      <c r="Q396" s="2">
        <v>1577704</v>
      </c>
      <c r="R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 s="1">
        <v>42382</v>
      </c>
      <c r="AC396" t="s">
        <v>53</v>
      </c>
      <c r="AD396" t="s">
        <v>53</v>
      </c>
      <c r="AK396">
        <v>0</v>
      </c>
      <c r="AU396" s="6">
        <v>42250</v>
      </c>
      <c r="AV396" s="6">
        <v>42250</v>
      </c>
      <c r="AW396" t="s">
        <v>54</v>
      </c>
      <c r="AX396" t="str">
        <f t="shared" si="36"/>
        <v>FOR</v>
      </c>
      <c r="AY396" t="s">
        <v>55</v>
      </c>
    </row>
    <row r="397" spans="1:51" hidden="1">
      <c r="A397">
        <v>100136</v>
      </c>
      <c r="B397" t="s">
        <v>91</v>
      </c>
      <c r="C397" t="str">
        <f t="shared" si="37"/>
        <v>03615181009</v>
      </c>
      <c r="D397" t="str">
        <f t="shared" si="37"/>
        <v>03615181009</v>
      </c>
      <c r="E397" t="s">
        <v>52</v>
      </c>
      <c r="F397">
        <v>2014</v>
      </c>
      <c r="G397">
        <v>699</v>
      </c>
      <c r="H397" s="1">
        <v>41912</v>
      </c>
      <c r="I397" s="1">
        <v>41946</v>
      </c>
      <c r="J397" s="1">
        <v>41946</v>
      </c>
      <c r="K397" s="1">
        <v>42006</v>
      </c>
      <c r="N397" s="5"/>
      <c r="O397" s="2">
        <v>3233</v>
      </c>
      <c r="P397">
        <v>244</v>
      </c>
      <c r="Q397" s="2">
        <v>788852</v>
      </c>
      <c r="R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 s="1">
        <v>42382</v>
      </c>
      <c r="AC397" t="s">
        <v>53</v>
      </c>
      <c r="AD397" t="s">
        <v>53</v>
      </c>
      <c r="AK397">
        <v>0</v>
      </c>
      <c r="AU397" s="6">
        <v>42250</v>
      </c>
      <c r="AV397" s="6">
        <v>42250</v>
      </c>
      <c r="AW397" t="s">
        <v>54</v>
      </c>
      <c r="AX397" t="str">
        <f t="shared" si="36"/>
        <v>FOR</v>
      </c>
      <c r="AY397" t="s">
        <v>55</v>
      </c>
    </row>
    <row r="398" spans="1:51" hidden="1">
      <c r="A398">
        <v>100136</v>
      </c>
      <c r="B398" t="s">
        <v>91</v>
      </c>
      <c r="C398" t="str">
        <f t="shared" si="37"/>
        <v>03615181009</v>
      </c>
      <c r="D398" t="str">
        <f t="shared" si="37"/>
        <v>03615181009</v>
      </c>
      <c r="E398" t="s">
        <v>52</v>
      </c>
      <c r="F398">
        <v>2014</v>
      </c>
      <c r="G398">
        <v>796</v>
      </c>
      <c r="H398" s="1">
        <v>41943</v>
      </c>
      <c r="I398" s="1">
        <v>42004</v>
      </c>
      <c r="J398" s="1">
        <v>42004</v>
      </c>
      <c r="K398" s="1">
        <v>42064</v>
      </c>
      <c r="N398" s="5"/>
      <c r="O398" s="2">
        <v>3233</v>
      </c>
      <c r="P398">
        <v>186</v>
      </c>
      <c r="Q398" s="2">
        <v>601338</v>
      </c>
      <c r="R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 s="1">
        <v>42382</v>
      </c>
      <c r="AC398" t="s">
        <v>53</v>
      </c>
      <c r="AD398" t="s">
        <v>53</v>
      </c>
      <c r="AK398">
        <v>0</v>
      </c>
      <c r="AU398" s="6">
        <v>42250</v>
      </c>
      <c r="AV398" s="6">
        <v>42250</v>
      </c>
      <c r="AW398" t="s">
        <v>54</v>
      </c>
      <c r="AX398" t="str">
        <f t="shared" si="36"/>
        <v>FOR</v>
      </c>
      <c r="AY398" t="s">
        <v>55</v>
      </c>
    </row>
    <row r="399" spans="1:51" hidden="1">
      <c r="A399">
        <v>100136</v>
      </c>
      <c r="B399" t="s">
        <v>91</v>
      </c>
      <c r="C399" t="str">
        <f t="shared" si="37"/>
        <v>03615181009</v>
      </c>
      <c r="D399" t="str">
        <f t="shared" si="37"/>
        <v>03615181009</v>
      </c>
      <c r="E399" t="s">
        <v>52</v>
      </c>
      <c r="F399">
        <v>2014</v>
      </c>
      <c r="G399">
        <v>797</v>
      </c>
      <c r="H399" s="1">
        <v>41943</v>
      </c>
      <c r="I399" s="1">
        <v>42004</v>
      </c>
      <c r="J399" s="1">
        <v>42004</v>
      </c>
      <c r="K399" s="1">
        <v>42064</v>
      </c>
      <c r="N399" s="5"/>
      <c r="O399" s="2">
        <v>6466</v>
      </c>
      <c r="P399">
        <v>186</v>
      </c>
      <c r="Q399" s="2">
        <v>1202676</v>
      </c>
      <c r="R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 s="1">
        <v>42382</v>
      </c>
      <c r="AC399" t="s">
        <v>53</v>
      </c>
      <c r="AD399" t="s">
        <v>53</v>
      </c>
      <c r="AK399">
        <v>0</v>
      </c>
      <c r="AU399" s="6">
        <v>42250</v>
      </c>
      <c r="AV399" s="6">
        <v>42250</v>
      </c>
      <c r="AW399" t="s">
        <v>54</v>
      </c>
      <c r="AX399" t="str">
        <f t="shared" si="36"/>
        <v>FOR</v>
      </c>
      <c r="AY399" t="s">
        <v>55</v>
      </c>
    </row>
    <row r="400" spans="1:51" hidden="1">
      <c r="A400">
        <v>100136</v>
      </c>
      <c r="B400" t="s">
        <v>91</v>
      </c>
      <c r="C400" t="str">
        <f t="shared" si="37"/>
        <v>03615181009</v>
      </c>
      <c r="D400" t="str">
        <f t="shared" si="37"/>
        <v>03615181009</v>
      </c>
      <c r="E400" t="s">
        <v>52</v>
      </c>
      <c r="F400">
        <v>2014</v>
      </c>
      <c r="G400">
        <v>885</v>
      </c>
      <c r="H400" s="1">
        <v>41973</v>
      </c>
      <c r="I400" s="1">
        <v>42004</v>
      </c>
      <c r="J400" s="1">
        <v>42004</v>
      </c>
      <c r="K400" s="1">
        <v>42064</v>
      </c>
      <c r="N400" s="5"/>
      <c r="O400" s="2">
        <v>3233</v>
      </c>
      <c r="P400">
        <v>186</v>
      </c>
      <c r="Q400" s="2">
        <v>601338</v>
      </c>
      <c r="R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 s="1">
        <v>42382</v>
      </c>
      <c r="AC400" t="s">
        <v>53</v>
      </c>
      <c r="AD400" t="s">
        <v>53</v>
      </c>
      <c r="AK400">
        <v>0</v>
      </c>
      <c r="AU400" s="6">
        <v>42250</v>
      </c>
      <c r="AV400" s="6">
        <v>42250</v>
      </c>
      <c r="AW400" t="s">
        <v>54</v>
      </c>
      <c r="AX400" t="str">
        <f t="shared" si="36"/>
        <v>FOR</v>
      </c>
      <c r="AY400" t="s">
        <v>55</v>
      </c>
    </row>
    <row r="401" spans="1:51" hidden="1">
      <c r="A401">
        <v>100136</v>
      </c>
      <c r="B401" t="s">
        <v>91</v>
      </c>
      <c r="C401" t="str">
        <f t="shared" si="37"/>
        <v>03615181009</v>
      </c>
      <c r="D401" t="str">
        <f t="shared" si="37"/>
        <v>03615181009</v>
      </c>
      <c r="E401" t="s">
        <v>52</v>
      </c>
      <c r="F401">
        <v>2014</v>
      </c>
      <c r="G401">
        <v>886</v>
      </c>
      <c r="H401" s="1">
        <v>41973</v>
      </c>
      <c r="I401" s="1">
        <v>42004</v>
      </c>
      <c r="J401" s="1">
        <v>42004</v>
      </c>
      <c r="K401" s="1">
        <v>42064</v>
      </c>
      <c r="N401" s="5"/>
      <c r="O401" s="2">
        <v>6466</v>
      </c>
      <c r="P401">
        <v>186</v>
      </c>
      <c r="Q401" s="2">
        <v>1202676</v>
      </c>
      <c r="R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 s="1">
        <v>42382</v>
      </c>
      <c r="AC401" t="s">
        <v>53</v>
      </c>
      <c r="AD401" t="s">
        <v>53</v>
      </c>
      <c r="AK401">
        <v>0</v>
      </c>
      <c r="AU401" s="6">
        <v>42250</v>
      </c>
      <c r="AV401" s="6">
        <v>42250</v>
      </c>
      <c r="AW401" t="s">
        <v>54</v>
      </c>
      <c r="AX401" t="str">
        <f t="shared" si="36"/>
        <v>FOR</v>
      </c>
      <c r="AY401" t="s">
        <v>55</v>
      </c>
    </row>
    <row r="402" spans="1:51" hidden="1">
      <c r="A402">
        <v>100136</v>
      </c>
      <c r="B402" t="s">
        <v>91</v>
      </c>
      <c r="C402" t="str">
        <f t="shared" si="37"/>
        <v>03615181009</v>
      </c>
      <c r="D402" t="str">
        <f t="shared" si="37"/>
        <v>03615181009</v>
      </c>
      <c r="E402" t="s">
        <v>52</v>
      </c>
      <c r="F402">
        <v>2014</v>
      </c>
      <c r="G402">
        <v>887</v>
      </c>
      <c r="H402" s="1">
        <v>41973</v>
      </c>
      <c r="I402" s="1">
        <v>42004</v>
      </c>
      <c r="J402" s="1">
        <v>42004</v>
      </c>
      <c r="K402" s="1">
        <v>42064</v>
      </c>
      <c r="N402" s="5"/>
      <c r="O402" s="2">
        <v>3233</v>
      </c>
      <c r="P402">
        <v>186</v>
      </c>
      <c r="Q402" s="2">
        <v>601338</v>
      </c>
      <c r="R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 s="1">
        <v>42382</v>
      </c>
      <c r="AC402" t="s">
        <v>53</v>
      </c>
      <c r="AD402" t="s">
        <v>53</v>
      </c>
      <c r="AK402">
        <v>0</v>
      </c>
      <c r="AU402" s="6">
        <v>42250</v>
      </c>
      <c r="AV402" s="6">
        <v>42250</v>
      </c>
      <c r="AW402" t="s">
        <v>54</v>
      </c>
      <c r="AX402" t="str">
        <f t="shared" si="36"/>
        <v>FOR</v>
      </c>
      <c r="AY402" t="s">
        <v>55</v>
      </c>
    </row>
    <row r="403" spans="1:51" hidden="1">
      <c r="A403">
        <v>100136</v>
      </c>
      <c r="B403" t="s">
        <v>91</v>
      </c>
      <c r="C403" t="str">
        <f t="shared" si="37"/>
        <v>03615181009</v>
      </c>
      <c r="D403" t="str">
        <f t="shared" si="37"/>
        <v>03615181009</v>
      </c>
      <c r="E403" t="s">
        <v>52</v>
      </c>
      <c r="F403">
        <v>2014</v>
      </c>
      <c r="G403">
        <v>994</v>
      </c>
      <c r="H403" s="1">
        <v>42004</v>
      </c>
      <c r="I403" s="1">
        <v>42037</v>
      </c>
      <c r="J403" s="1">
        <v>42037</v>
      </c>
      <c r="K403" s="1">
        <v>42097</v>
      </c>
      <c r="N403" s="5"/>
      <c r="O403" s="2">
        <v>3233</v>
      </c>
      <c r="P403">
        <v>153</v>
      </c>
      <c r="Q403" s="2">
        <v>494649</v>
      </c>
      <c r="R403">
        <v>0</v>
      </c>
      <c r="V403">
        <v>0</v>
      </c>
      <c r="W403">
        <v>0</v>
      </c>
      <c r="X403">
        <v>0</v>
      </c>
      <c r="Y403">
        <v>0</v>
      </c>
      <c r="Z403" s="2">
        <v>3233</v>
      </c>
      <c r="AA403">
        <v>0</v>
      </c>
      <c r="AB403" s="1">
        <v>42382</v>
      </c>
      <c r="AC403" t="s">
        <v>53</v>
      </c>
      <c r="AD403" t="s">
        <v>53</v>
      </c>
      <c r="AK403">
        <v>0</v>
      </c>
      <c r="AU403" s="6">
        <v>42250</v>
      </c>
      <c r="AV403" s="6">
        <v>42250</v>
      </c>
      <c r="AW403" t="s">
        <v>54</v>
      </c>
      <c r="AX403" t="str">
        <f t="shared" si="36"/>
        <v>FOR</v>
      </c>
      <c r="AY403" t="s">
        <v>55</v>
      </c>
    </row>
    <row r="404" spans="1:51" hidden="1">
      <c r="A404">
        <v>100136</v>
      </c>
      <c r="B404" t="s">
        <v>91</v>
      </c>
      <c r="C404" t="str">
        <f t="shared" si="37"/>
        <v>03615181009</v>
      </c>
      <c r="D404" t="str">
        <f t="shared" si="37"/>
        <v>03615181009</v>
      </c>
      <c r="E404" t="s">
        <v>52</v>
      </c>
      <c r="F404">
        <v>2014</v>
      </c>
      <c r="G404">
        <v>996</v>
      </c>
      <c r="H404" s="1">
        <v>42004</v>
      </c>
      <c r="I404" s="1">
        <v>42052</v>
      </c>
      <c r="J404" s="1">
        <v>42052</v>
      </c>
      <c r="K404" s="1">
        <v>42112</v>
      </c>
      <c r="N404" s="5"/>
      <c r="O404" s="2">
        <v>6466</v>
      </c>
      <c r="P404">
        <v>138</v>
      </c>
      <c r="Q404" s="2">
        <v>892308</v>
      </c>
      <c r="R404">
        <v>0</v>
      </c>
      <c r="V404">
        <v>0</v>
      </c>
      <c r="W404">
        <v>0</v>
      </c>
      <c r="X404">
        <v>0</v>
      </c>
      <c r="Y404">
        <v>0</v>
      </c>
      <c r="Z404" s="2">
        <v>6466</v>
      </c>
      <c r="AA404">
        <v>0</v>
      </c>
      <c r="AB404" s="1">
        <v>42382</v>
      </c>
      <c r="AC404" t="s">
        <v>53</v>
      </c>
      <c r="AD404" t="s">
        <v>53</v>
      </c>
      <c r="AK404">
        <v>0</v>
      </c>
      <c r="AU404" s="6">
        <v>42250</v>
      </c>
      <c r="AV404" s="6">
        <v>42250</v>
      </c>
      <c r="AW404" t="s">
        <v>54</v>
      </c>
      <c r="AX404" t="str">
        <f t="shared" si="36"/>
        <v>FOR</v>
      </c>
      <c r="AY404" t="s">
        <v>55</v>
      </c>
    </row>
    <row r="405" spans="1:51">
      <c r="A405">
        <v>100136</v>
      </c>
      <c r="B405" t="s">
        <v>91</v>
      </c>
      <c r="C405" t="str">
        <f t="shared" si="37"/>
        <v>03615181009</v>
      </c>
      <c r="D405" t="str">
        <f t="shared" si="37"/>
        <v>03615181009</v>
      </c>
      <c r="E405" t="s">
        <v>52</v>
      </c>
      <c r="F405">
        <v>2015</v>
      </c>
      <c r="G405">
        <v>73</v>
      </c>
      <c r="H405" s="1">
        <v>42035</v>
      </c>
      <c r="I405" s="1">
        <v>42066</v>
      </c>
      <c r="J405" s="1">
        <v>42066</v>
      </c>
      <c r="K405" s="1">
        <v>42126</v>
      </c>
      <c r="L405" s="7">
        <v>2650</v>
      </c>
      <c r="M405" s="5">
        <v>214</v>
      </c>
      <c r="N405" s="7">
        <v>567100</v>
      </c>
      <c r="O405" s="2">
        <v>2650</v>
      </c>
      <c r="P405">
        <v>214</v>
      </c>
      <c r="Q405" s="2">
        <v>567100</v>
      </c>
      <c r="R405">
        <v>583</v>
      </c>
      <c r="V405">
        <v>0</v>
      </c>
      <c r="W405">
        <v>0</v>
      </c>
      <c r="X405">
        <v>0</v>
      </c>
      <c r="Y405" s="2">
        <v>3233</v>
      </c>
      <c r="Z405" s="2">
        <v>3233</v>
      </c>
      <c r="AA405" s="2">
        <v>3233</v>
      </c>
      <c r="AB405" s="1">
        <v>42382</v>
      </c>
      <c r="AC405" t="s">
        <v>53</v>
      </c>
      <c r="AD405" t="s">
        <v>53</v>
      </c>
      <c r="AK405">
        <v>583</v>
      </c>
      <c r="AU405" s="6">
        <v>42340</v>
      </c>
      <c r="AV405" s="6">
        <v>42340</v>
      </c>
      <c r="AW405" t="s">
        <v>54</v>
      </c>
      <c r="AX405" t="str">
        <f t="shared" si="36"/>
        <v>FOR</v>
      </c>
      <c r="AY405" t="s">
        <v>55</v>
      </c>
    </row>
    <row r="406" spans="1:51">
      <c r="A406">
        <v>100136</v>
      </c>
      <c r="B406" t="s">
        <v>91</v>
      </c>
      <c r="C406" t="str">
        <f t="shared" si="37"/>
        <v>03615181009</v>
      </c>
      <c r="D406" t="str">
        <f t="shared" si="37"/>
        <v>03615181009</v>
      </c>
      <c r="E406" t="s">
        <v>52</v>
      </c>
      <c r="F406">
        <v>2015</v>
      </c>
      <c r="G406">
        <v>74</v>
      </c>
      <c r="H406" s="1">
        <v>42035</v>
      </c>
      <c r="I406" s="1">
        <v>42066</v>
      </c>
      <c r="J406" s="1">
        <v>42066</v>
      </c>
      <c r="K406" s="1">
        <v>42126</v>
      </c>
      <c r="L406" s="7">
        <v>5300</v>
      </c>
      <c r="M406" s="5">
        <v>214</v>
      </c>
      <c r="N406" s="7">
        <v>1134200</v>
      </c>
      <c r="O406" s="2">
        <v>5300</v>
      </c>
      <c r="P406">
        <v>214</v>
      </c>
      <c r="Q406" s="2">
        <v>1134200</v>
      </c>
      <c r="R406" s="2">
        <v>1166</v>
      </c>
      <c r="V406">
        <v>0</v>
      </c>
      <c r="W406">
        <v>0</v>
      </c>
      <c r="X406">
        <v>0</v>
      </c>
      <c r="Y406" s="2">
        <v>6466</v>
      </c>
      <c r="Z406" s="2">
        <v>6466</v>
      </c>
      <c r="AA406" s="2">
        <v>6466</v>
      </c>
      <c r="AB406" s="1">
        <v>42382</v>
      </c>
      <c r="AC406" t="s">
        <v>53</v>
      </c>
      <c r="AD406" t="s">
        <v>53</v>
      </c>
      <c r="AK406" s="2">
        <v>1166</v>
      </c>
      <c r="AU406" s="6">
        <v>42340</v>
      </c>
      <c r="AV406" s="6">
        <v>42340</v>
      </c>
      <c r="AW406" t="s">
        <v>54</v>
      </c>
      <c r="AX406" t="str">
        <f t="shared" si="36"/>
        <v>FOR</v>
      </c>
      <c r="AY406" t="s">
        <v>55</v>
      </c>
    </row>
    <row r="407" spans="1:51">
      <c r="A407">
        <v>100136</v>
      </c>
      <c r="B407" t="s">
        <v>91</v>
      </c>
      <c r="C407" t="str">
        <f t="shared" si="37"/>
        <v>03615181009</v>
      </c>
      <c r="D407" t="str">
        <f t="shared" si="37"/>
        <v>03615181009</v>
      </c>
      <c r="E407" t="s">
        <v>52</v>
      </c>
      <c r="F407">
        <v>2015</v>
      </c>
      <c r="G407">
        <v>75</v>
      </c>
      <c r="H407" s="1">
        <v>42035</v>
      </c>
      <c r="I407" s="1">
        <v>42066</v>
      </c>
      <c r="J407" s="1">
        <v>42066</v>
      </c>
      <c r="K407" s="1">
        <v>42126</v>
      </c>
      <c r="L407" s="7">
        <v>2650</v>
      </c>
      <c r="M407" s="5">
        <v>214</v>
      </c>
      <c r="N407" s="7">
        <v>567100</v>
      </c>
      <c r="O407" s="2">
        <v>2650</v>
      </c>
      <c r="P407">
        <v>214</v>
      </c>
      <c r="Q407" s="2">
        <v>567100</v>
      </c>
      <c r="R407">
        <v>583</v>
      </c>
      <c r="V407">
        <v>0</v>
      </c>
      <c r="W407">
        <v>0</v>
      </c>
      <c r="X407">
        <v>0</v>
      </c>
      <c r="Y407" s="2">
        <v>3233</v>
      </c>
      <c r="Z407" s="2">
        <v>3233</v>
      </c>
      <c r="AA407" s="2">
        <v>3233</v>
      </c>
      <c r="AB407" s="1">
        <v>42382</v>
      </c>
      <c r="AC407" t="s">
        <v>53</v>
      </c>
      <c r="AD407" t="s">
        <v>53</v>
      </c>
      <c r="AK407">
        <v>583</v>
      </c>
      <c r="AU407" s="6">
        <v>42340</v>
      </c>
      <c r="AV407" s="6">
        <v>42340</v>
      </c>
      <c r="AW407" t="s">
        <v>54</v>
      </c>
      <c r="AX407" t="str">
        <f t="shared" si="36"/>
        <v>FOR</v>
      </c>
      <c r="AY407" t="s">
        <v>55</v>
      </c>
    </row>
    <row r="408" spans="1:51">
      <c r="A408">
        <v>100136</v>
      </c>
      <c r="B408" t="s">
        <v>91</v>
      </c>
      <c r="C408" t="str">
        <f t="shared" si="37"/>
        <v>03615181009</v>
      </c>
      <c r="D408" t="str">
        <f t="shared" si="37"/>
        <v>03615181009</v>
      </c>
      <c r="E408" t="s">
        <v>52</v>
      </c>
      <c r="F408">
        <v>2015</v>
      </c>
      <c r="G408">
        <v>176</v>
      </c>
      <c r="H408" s="1">
        <v>42063</v>
      </c>
      <c r="I408" s="1">
        <v>42095</v>
      </c>
      <c r="J408" s="1">
        <v>42095</v>
      </c>
      <c r="K408" s="1">
        <v>42155</v>
      </c>
      <c r="L408" s="7">
        <v>2650</v>
      </c>
      <c r="M408" s="5">
        <v>200</v>
      </c>
      <c r="N408" s="7">
        <v>530000</v>
      </c>
      <c r="O408" s="2">
        <v>2650</v>
      </c>
      <c r="P408">
        <v>200</v>
      </c>
      <c r="Q408" s="2">
        <v>530000</v>
      </c>
      <c r="R408">
        <v>583</v>
      </c>
      <c r="V408">
        <v>0</v>
      </c>
      <c r="W408">
        <v>0</v>
      </c>
      <c r="X408">
        <v>0</v>
      </c>
      <c r="Y408" s="2">
        <v>3233</v>
      </c>
      <c r="Z408" s="2">
        <v>3233</v>
      </c>
      <c r="AA408" s="2">
        <v>3233</v>
      </c>
      <c r="AB408" s="1">
        <v>42382</v>
      </c>
      <c r="AC408" t="s">
        <v>53</v>
      </c>
      <c r="AD408" t="s">
        <v>53</v>
      </c>
      <c r="AK408">
        <v>583</v>
      </c>
      <c r="AU408" s="6">
        <v>42355</v>
      </c>
      <c r="AV408" s="6">
        <v>42355</v>
      </c>
      <c r="AW408" t="s">
        <v>54</v>
      </c>
      <c r="AX408" t="str">
        <f t="shared" si="36"/>
        <v>FOR</v>
      </c>
      <c r="AY408" t="s">
        <v>55</v>
      </c>
    </row>
    <row r="409" spans="1:51">
      <c r="A409">
        <v>100136</v>
      </c>
      <c r="B409" t="s">
        <v>91</v>
      </c>
      <c r="C409" t="str">
        <f t="shared" si="37"/>
        <v>03615181009</v>
      </c>
      <c r="D409" t="str">
        <f t="shared" si="37"/>
        <v>03615181009</v>
      </c>
      <c r="E409" t="s">
        <v>52</v>
      </c>
      <c r="F409">
        <v>2015</v>
      </c>
      <c r="G409">
        <v>177</v>
      </c>
      <c r="H409" s="1">
        <v>42063</v>
      </c>
      <c r="I409" s="1">
        <v>42095</v>
      </c>
      <c r="J409" s="1">
        <v>42095</v>
      </c>
      <c r="K409" s="1">
        <v>42155</v>
      </c>
      <c r="L409" s="7">
        <v>5300</v>
      </c>
      <c r="M409" s="5">
        <v>200</v>
      </c>
      <c r="N409" s="7">
        <v>1060000</v>
      </c>
      <c r="O409" s="2">
        <v>5300</v>
      </c>
      <c r="P409">
        <v>200</v>
      </c>
      <c r="Q409" s="2">
        <v>1060000</v>
      </c>
      <c r="R409" s="2">
        <v>1166</v>
      </c>
      <c r="V409">
        <v>0</v>
      </c>
      <c r="W409">
        <v>0</v>
      </c>
      <c r="X409">
        <v>0</v>
      </c>
      <c r="Y409" s="2">
        <v>6466</v>
      </c>
      <c r="Z409" s="2">
        <v>6466</v>
      </c>
      <c r="AA409" s="2">
        <v>6466</v>
      </c>
      <c r="AB409" s="1">
        <v>42382</v>
      </c>
      <c r="AC409" t="s">
        <v>53</v>
      </c>
      <c r="AD409" t="s">
        <v>53</v>
      </c>
      <c r="AK409" s="2">
        <v>1166</v>
      </c>
      <c r="AU409" s="6">
        <v>42355</v>
      </c>
      <c r="AV409" s="6">
        <v>42355</v>
      </c>
      <c r="AW409" t="s">
        <v>54</v>
      </c>
      <c r="AX409" t="str">
        <f t="shared" si="36"/>
        <v>FOR</v>
      </c>
      <c r="AY409" t="s">
        <v>55</v>
      </c>
    </row>
    <row r="410" spans="1:51" hidden="1">
      <c r="A410">
        <v>100148</v>
      </c>
      <c r="B410" t="s">
        <v>92</v>
      </c>
      <c r="C410" t="str">
        <f>"00040400624"</f>
        <v>00040400624</v>
      </c>
      <c r="D410" t="str">
        <f>"00040400624"</f>
        <v>00040400624</v>
      </c>
      <c r="E410" t="s">
        <v>52</v>
      </c>
      <c r="F410">
        <v>2014</v>
      </c>
      <c r="G410" t="s">
        <v>93</v>
      </c>
      <c r="H410" s="1">
        <v>41969</v>
      </c>
      <c r="I410" s="1">
        <v>41974</v>
      </c>
      <c r="J410" s="1">
        <v>41974</v>
      </c>
      <c r="K410" s="1">
        <v>42034</v>
      </c>
      <c r="N410" s="5"/>
      <c r="O410">
        <v>383.15</v>
      </c>
      <c r="P410">
        <v>6</v>
      </c>
      <c r="Q410" s="2">
        <v>2298.9</v>
      </c>
      <c r="R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 s="1">
        <v>42382</v>
      </c>
      <c r="AC410" t="s">
        <v>53</v>
      </c>
      <c r="AD410" t="s">
        <v>53</v>
      </c>
      <c r="AK410">
        <v>0</v>
      </c>
      <c r="AU410" s="6">
        <v>42040</v>
      </c>
      <c r="AV410" s="6">
        <v>42040</v>
      </c>
      <c r="AW410" t="s">
        <v>54</v>
      </c>
      <c r="AX410" t="str">
        <f t="shared" si="36"/>
        <v>FOR</v>
      </c>
      <c r="AY410" t="s">
        <v>55</v>
      </c>
    </row>
    <row r="411" spans="1:51" hidden="1">
      <c r="A411">
        <v>100157</v>
      </c>
      <c r="B411" t="s">
        <v>94</v>
      </c>
      <c r="C411" t="str">
        <f>"01883740647"</f>
        <v>01883740647</v>
      </c>
      <c r="D411" t="str">
        <f>"01883740647"</f>
        <v>01883740647</v>
      </c>
      <c r="E411" t="s">
        <v>52</v>
      </c>
      <c r="F411">
        <v>2014</v>
      </c>
      <c r="G411">
        <v>46249</v>
      </c>
      <c r="H411" s="1">
        <v>41967</v>
      </c>
      <c r="I411" s="1">
        <v>41978</v>
      </c>
      <c r="J411" s="1">
        <v>41978</v>
      </c>
      <c r="K411" s="1">
        <v>42038</v>
      </c>
      <c r="N411" s="5"/>
      <c r="O411">
        <v>303.77999999999997</v>
      </c>
      <c r="P411">
        <v>146</v>
      </c>
      <c r="Q411" s="2">
        <v>44351.88</v>
      </c>
      <c r="R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 s="1">
        <v>42382</v>
      </c>
      <c r="AC411" t="s">
        <v>53</v>
      </c>
      <c r="AD411" t="s">
        <v>53</v>
      </c>
      <c r="AK411">
        <v>0</v>
      </c>
      <c r="AU411" s="6">
        <v>42184</v>
      </c>
      <c r="AV411" s="6">
        <v>42184</v>
      </c>
      <c r="AW411" t="s">
        <v>54</v>
      </c>
      <c r="AX411" t="str">
        <f t="shared" si="36"/>
        <v>FOR</v>
      </c>
      <c r="AY411" t="s">
        <v>55</v>
      </c>
    </row>
    <row r="412" spans="1:51" hidden="1">
      <c r="A412">
        <v>100159</v>
      </c>
      <c r="B412" t="s">
        <v>95</v>
      </c>
      <c r="C412" t="str">
        <f>""</f>
        <v/>
      </c>
      <c r="D412" t="str">
        <f>"92034500626"</f>
        <v>92034500626</v>
      </c>
      <c r="E412" t="s">
        <v>52</v>
      </c>
      <c r="F412">
        <v>2015</v>
      </c>
      <c r="G412">
        <v>13</v>
      </c>
      <c r="H412" s="1">
        <v>42025</v>
      </c>
      <c r="I412" s="1">
        <v>42025</v>
      </c>
      <c r="J412" s="1">
        <v>42025</v>
      </c>
      <c r="K412" s="1">
        <v>42085</v>
      </c>
      <c r="N412" s="5"/>
      <c r="O412">
        <v>21.38</v>
      </c>
      <c r="P412">
        <v>-48</v>
      </c>
      <c r="Q412" s="2">
        <v>-1026.24</v>
      </c>
      <c r="R412">
        <v>0</v>
      </c>
      <c r="V412">
        <v>0</v>
      </c>
      <c r="W412">
        <v>0</v>
      </c>
      <c r="X412">
        <v>0</v>
      </c>
      <c r="Y412">
        <v>21.38</v>
      </c>
      <c r="Z412">
        <v>21.38</v>
      </c>
      <c r="AA412">
        <v>21.38</v>
      </c>
      <c r="AB412" s="1">
        <v>42382</v>
      </c>
      <c r="AC412" t="s">
        <v>53</v>
      </c>
      <c r="AD412" t="s">
        <v>53</v>
      </c>
      <c r="AK412">
        <v>0</v>
      </c>
      <c r="AU412" s="6">
        <v>42037</v>
      </c>
      <c r="AV412" s="6">
        <v>42037</v>
      </c>
      <c r="AW412" t="s">
        <v>54</v>
      </c>
      <c r="AX412" t="str">
        <f t="shared" si="36"/>
        <v>FOR</v>
      </c>
      <c r="AY412" t="s">
        <v>55</v>
      </c>
    </row>
    <row r="413" spans="1:51" hidden="1">
      <c r="A413">
        <v>100161</v>
      </c>
      <c r="B413" t="s">
        <v>96</v>
      </c>
      <c r="C413" t="str">
        <f t="shared" ref="C413:D423" si="38">"00801720152"</f>
        <v>00801720152</v>
      </c>
      <c r="D413" t="str">
        <f t="shared" si="38"/>
        <v>00801720152</v>
      </c>
      <c r="E413" t="s">
        <v>52</v>
      </c>
      <c r="F413">
        <v>2014</v>
      </c>
      <c r="G413">
        <v>21409046</v>
      </c>
      <c r="H413" s="1">
        <v>41722</v>
      </c>
      <c r="I413" s="1">
        <v>42075</v>
      </c>
      <c r="J413" s="1">
        <v>42075</v>
      </c>
      <c r="K413" s="1">
        <v>42135</v>
      </c>
      <c r="N413" s="5"/>
      <c r="O413">
        <v>890.6</v>
      </c>
      <c r="P413">
        <v>-40</v>
      </c>
      <c r="Q413" s="2">
        <v>-35624</v>
      </c>
      <c r="R413">
        <v>0</v>
      </c>
      <c r="V413">
        <v>0</v>
      </c>
      <c r="W413">
        <v>0</v>
      </c>
      <c r="X413">
        <v>0</v>
      </c>
      <c r="Y413">
        <v>0</v>
      </c>
      <c r="Z413">
        <v>890.6</v>
      </c>
      <c r="AA413">
        <v>0</v>
      </c>
      <c r="AB413" s="1">
        <v>42382</v>
      </c>
      <c r="AC413" t="s">
        <v>53</v>
      </c>
      <c r="AD413" t="s">
        <v>53</v>
      </c>
      <c r="AK413">
        <v>0</v>
      </c>
      <c r="AU413" s="6">
        <v>42095</v>
      </c>
      <c r="AV413" s="6">
        <v>42095</v>
      </c>
      <c r="AW413" t="s">
        <v>54</v>
      </c>
      <c r="AX413" t="str">
        <f t="shared" si="36"/>
        <v>FOR</v>
      </c>
      <c r="AY413" t="s">
        <v>55</v>
      </c>
    </row>
    <row r="414" spans="1:51" hidden="1">
      <c r="A414">
        <v>100161</v>
      </c>
      <c r="B414" t="s">
        <v>96</v>
      </c>
      <c r="C414" t="str">
        <f t="shared" si="38"/>
        <v>00801720152</v>
      </c>
      <c r="D414" t="str">
        <f t="shared" si="38"/>
        <v>00801720152</v>
      </c>
      <c r="E414" t="s">
        <v>52</v>
      </c>
      <c r="F414">
        <v>2014</v>
      </c>
      <c r="G414">
        <v>21419159</v>
      </c>
      <c r="H414" s="1">
        <v>41806</v>
      </c>
      <c r="I414" s="1">
        <v>42095</v>
      </c>
      <c r="J414" s="1">
        <v>42095</v>
      </c>
      <c r="K414" s="1">
        <v>42155</v>
      </c>
      <c r="N414" s="5"/>
      <c r="O414" s="2">
        <v>11284.95</v>
      </c>
      <c r="P414">
        <v>9</v>
      </c>
      <c r="Q414" s="2">
        <v>101564.55</v>
      </c>
      <c r="R414">
        <v>0</v>
      </c>
      <c r="V414">
        <v>0</v>
      </c>
      <c r="W414">
        <v>0</v>
      </c>
      <c r="X414">
        <v>0</v>
      </c>
      <c r="Y414">
        <v>0</v>
      </c>
      <c r="Z414" s="2">
        <v>11284.95</v>
      </c>
      <c r="AA414">
        <v>0</v>
      </c>
      <c r="AB414" s="1">
        <v>42382</v>
      </c>
      <c r="AC414" t="s">
        <v>53</v>
      </c>
      <c r="AD414" t="s">
        <v>53</v>
      </c>
      <c r="AK414">
        <v>0</v>
      </c>
      <c r="AU414" s="6">
        <v>42164</v>
      </c>
      <c r="AV414" s="6">
        <v>42164</v>
      </c>
      <c r="AW414" t="s">
        <v>54</v>
      </c>
      <c r="AX414" t="str">
        <f t="shared" si="36"/>
        <v>FOR</v>
      </c>
      <c r="AY414" t="s">
        <v>55</v>
      </c>
    </row>
    <row r="415" spans="1:51" hidden="1">
      <c r="A415">
        <v>100161</v>
      </c>
      <c r="B415" t="s">
        <v>96</v>
      </c>
      <c r="C415" t="str">
        <f t="shared" si="38"/>
        <v>00801720152</v>
      </c>
      <c r="D415" t="str">
        <f t="shared" si="38"/>
        <v>00801720152</v>
      </c>
      <c r="E415" t="s">
        <v>52</v>
      </c>
      <c r="F415">
        <v>2014</v>
      </c>
      <c r="G415">
        <v>21419160</v>
      </c>
      <c r="H415" s="1">
        <v>41806</v>
      </c>
      <c r="I415" s="1">
        <v>42095</v>
      </c>
      <c r="J415" s="1">
        <v>42095</v>
      </c>
      <c r="K415" s="1">
        <v>42155</v>
      </c>
      <c r="N415" s="5"/>
      <c r="O415" s="2">
        <v>2646.33</v>
      </c>
      <c r="P415">
        <v>9</v>
      </c>
      <c r="Q415" s="2">
        <v>23816.97</v>
      </c>
      <c r="R415">
        <v>0</v>
      </c>
      <c r="V415">
        <v>0</v>
      </c>
      <c r="W415">
        <v>0</v>
      </c>
      <c r="X415">
        <v>0</v>
      </c>
      <c r="Y415">
        <v>0</v>
      </c>
      <c r="Z415" s="2">
        <v>2646.33</v>
      </c>
      <c r="AA415">
        <v>0</v>
      </c>
      <c r="AB415" s="1">
        <v>42382</v>
      </c>
      <c r="AC415" t="s">
        <v>53</v>
      </c>
      <c r="AD415" t="s">
        <v>53</v>
      </c>
      <c r="AK415">
        <v>0</v>
      </c>
      <c r="AU415" s="6">
        <v>42164</v>
      </c>
      <c r="AV415" s="6">
        <v>42164</v>
      </c>
      <c r="AW415" t="s">
        <v>54</v>
      </c>
      <c r="AX415" t="str">
        <f t="shared" si="36"/>
        <v>FOR</v>
      </c>
      <c r="AY415" t="s">
        <v>55</v>
      </c>
    </row>
    <row r="416" spans="1:51" hidden="1">
      <c r="A416">
        <v>100161</v>
      </c>
      <c r="B416" t="s">
        <v>96</v>
      </c>
      <c r="C416" t="str">
        <f t="shared" si="38"/>
        <v>00801720152</v>
      </c>
      <c r="D416" t="str">
        <f t="shared" si="38"/>
        <v>00801720152</v>
      </c>
      <c r="E416" t="s">
        <v>52</v>
      </c>
      <c r="F416">
        <v>2014</v>
      </c>
      <c r="G416">
        <v>21423816</v>
      </c>
      <c r="H416" s="1">
        <v>41841</v>
      </c>
      <c r="I416" s="1">
        <v>41878</v>
      </c>
      <c r="J416" s="1">
        <v>41878</v>
      </c>
      <c r="K416" s="1">
        <v>41968</v>
      </c>
      <c r="N416" s="5"/>
      <c r="O416" s="2">
        <v>5734</v>
      </c>
      <c r="P416">
        <v>196</v>
      </c>
      <c r="Q416" s="2">
        <v>1123864</v>
      </c>
      <c r="R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 s="1">
        <v>42382</v>
      </c>
      <c r="AC416" t="s">
        <v>53</v>
      </c>
      <c r="AD416" t="s">
        <v>53</v>
      </c>
      <c r="AK416">
        <v>0</v>
      </c>
      <c r="AU416" s="6">
        <v>42164</v>
      </c>
      <c r="AV416" s="6">
        <v>42164</v>
      </c>
      <c r="AW416" t="s">
        <v>54</v>
      </c>
      <c r="AX416" t="str">
        <f t="shared" si="36"/>
        <v>FOR</v>
      </c>
      <c r="AY416" t="s">
        <v>55</v>
      </c>
    </row>
    <row r="417" spans="1:51" hidden="1">
      <c r="A417">
        <v>100161</v>
      </c>
      <c r="B417" t="s">
        <v>96</v>
      </c>
      <c r="C417" t="str">
        <f t="shared" si="38"/>
        <v>00801720152</v>
      </c>
      <c r="D417" t="str">
        <f t="shared" si="38"/>
        <v>00801720152</v>
      </c>
      <c r="E417" t="s">
        <v>52</v>
      </c>
      <c r="F417">
        <v>2014</v>
      </c>
      <c r="G417">
        <v>21425443</v>
      </c>
      <c r="H417" s="1">
        <v>41851</v>
      </c>
      <c r="I417" s="1">
        <v>41878</v>
      </c>
      <c r="J417" s="1">
        <v>41878</v>
      </c>
      <c r="K417" s="1">
        <v>41968</v>
      </c>
      <c r="N417" s="5"/>
      <c r="O417">
        <v>561.20000000000005</v>
      </c>
      <c r="P417">
        <v>196</v>
      </c>
      <c r="Q417" s="2">
        <v>109995.2</v>
      </c>
      <c r="R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 s="1">
        <v>42382</v>
      </c>
      <c r="AC417" t="s">
        <v>53</v>
      </c>
      <c r="AD417" t="s">
        <v>53</v>
      </c>
      <c r="AK417">
        <v>0</v>
      </c>
      <c r="AU417" s="6">
        <v>42164</v>
      </c>
      <c r="AV417" s="6">
        <v>42164</v>
      </c>
      <c r="AW417" t="s">
        <v>54</v>
      </c>
      <c r="AX417" t="str">
        <f t="shared" si="36"/>
        <v>FOR</v>
      </c>
      <c r="AY417" t="s">
        <v>55</v>
      </c>
    </row>
    <row r="418" spans="1:51" hidden="1">
      <c r="A418">
        <v>100161</v>
      </c>
      <c r="B418" t="s">
        <v>96</v>
      </c>
      <c r="C418" t="str">
        <f t="shared" si="38"/>
        <v>00801720152</v>
      </c>
      <c r="D418" t="str">
        <f t="shared" si="38"/>
        <v>00801720152</v>
      </c>
      <c r="E418" t="s">
        <v>52</v>
      </c>
      <c r="F418">
        <v>2014</v>
      </c>
      <c r="G418">
        <v>21428063</v>
      </c>
      <c r="H418" s="1">
        <v>41890</v>
      </c>
      <c r="I418" s="1">
        <v>41920</v>
      </c>
      <c r="J418" s="1">
        <v>41920</v>
      </c>
      <c r="K418" s="1">
        <v>42010</v>
      </c>
      <c r="N418" s="5"/>
      <c r="O418">
        <v>106.75</v>
      </c>
      <c r="P418">
        <v>238</v>
      </c>
      <c r="Q418" s="2">
        <v>25406.5</v>
      </c>
      <c r="R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 s="1">
        <v>42382</v>
      </c>
      <c r="AC418" t="s">
        <v>53</v>
      </c>
      <c r="AD418" t="s">
        <v>53</v>
      </c>
      <c r="AK418">
        <v>0</v>
      </c>
      <c r="AU418" s="6">
        <v>42248</v>
      </c>
      <c r="AV418" s="6">
        <v>42248</v>
      </c>
      <c r="AW418" t="s">
        <v>54</v>
      </c>
      <c r="AX418" t="str">
        <f t="shared" si="36"/>
        <v>FOR</v>
      </c>
      <c r="AY418" t="s">
        <v>55</v>
      </c>
    </row>
    <row r="419" spans="1:51" hidden="1">
      <c r="A419">
        <v>100161</v>
      </c>
      <c r="B419" t="s">
        <v>96</v>
      </c>
      <c r="C419" t="str">
        <f t="shared" si="38"/>
        <v>00801720152</v>
      </c>
      <c r="D419" t="str">
        <f t="shared" si="38"/>
        <v>00801720152</v>
      </c>
      <c r="E419" t="s">
        <v>52</v>
      </c>
      <c r="F419">
        <v>2014</v>
      </c>
      <c r="G419">
        <v>21431520</v>
      </c>
      <c r="H419" s="1">
        <v>41919</v>
      </c>
      <c r="I419" s="1">
        <v>41941</v>
      </c>
      <c r="J419" s="1">
        <v>41941</v>
      </c>
      <c r="K419" s="1">
        <v>42001</v>
      </c>
      <c r="N419" s="5"/>
      <c r="O419" s="2">
        <v>3014.82</v>
      </c>
      <c r="P419">
        <v>247</v>
      </c>
      <c r="Q419" s="2">
        <v>744660.54</v>
      </c>
      <c r="R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 s="1">
        <v>42382</v>
      </c>
      <c r="AC419" t="s">
        <v>53</v>
      </c>
      <c r="AD419" t="s">
        <v>53</v>
      </c>
      <c r="AK419">
        <v>0</v>
      </c>
      <c r="AU419" s="6">
        <v>42248</v>
      </c>
      <c r="AV419" s="6">
        <v>42248</v>
      </c>
      <c r="AW419" t="s">
        <v>54</v>
      </c>
      <c r="AX419" t="str">
        <f t="shared" si="36"/>
        <v>FOR</v>
      </c>
      <c r="AY419" t="s">
        <v>55</v>
      </c>
    </row>
    <row r="420" spans="1:51" hidden="1">
      <c r="A420">
        <v>100161</v>
      </c>
      <c r="B420" t="s">
        <v>96</v>
      </c>
      <c r="C420" t="str">
        <f t="shared" si="38"/>
        <v>00801720152</v>
      </c>
      <c r="D420" t="str">
        <f t="shared" si="38"/>
        <v>00801720152</v>
      </c>
      <c r="E420" t="s">
        <v>52</v>
      </c>
      <c r="F420">
        <v>2014</v>
      </c>
      <c r="G420">
        <v>21436008</v>
      </c>
      <c r="H420" s="1">
        <v>41960</v>
      </c>
      <c r="I420" s="1">
        <v>41984</v>
      </c>
      <c r="J420" s="1">
        <v>41984</v>
      </c>
      <c r="K420" s="1">
        <v>42044</v>
      </c>
      <c r="N420" s="5"/>
      <c r="O420" s="2">
        <v>5734</v>
      </c>
      <c r="P420">
        <v>204</v>
      </c>
      <c r="Q420" s="2">
        <v>1169736</v>
      </c>
      <c r="R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 s="1">
        <v>42382</v>
      </c>
      <c r="AC420" t="s">
        <v>53</v>
      </c>
      <c r="AD420" t="s">
        <v>53</v>
      </c>
      <c r="AK420">
        <v>0</v>
      </c>
      <c r="AU420" s="6">
        <v>42248</v>
      </c>
      <c r="AV420" s="6">
        <v>42248</v>
      </c>
      <c r="AW420" t="s">
        <v>54</v>
      </c>
      <c r="AX420" t="str">
        <f t="shared" si="36"/>
        <v>FOR</v>
      </c>
      <c r="AY420" t="s">
        <v>55</v>
      </c>
    </row>
    <row r="421" spans="1:51">
      <c r="A421">
        <v>100161</v>
      </c>
      <c r="B421" t="s">
        <v>96</v>
      </c>
      <c r="C421" t="str">
        <f t="shared" si="38"/>
        <v>00801720152</v>
      </c>
      <c r="D421" t="str">
        <f t="shared" si="38"/>
        <v>00801720152</v>
      </c>
      <c r="E421" t="s">
        <v>52</v>
      </c>
      <c r="F421">
        <v>2014</v>
      </c>
      <c r="G421">
        <v>21438610</v>
      </c>
      <c r="H421" s="1">
        <v>41982</v>
      </c>
      <c r="I421" s="1">
        <v>42002</v>
      </c>
      <c r="J421" s="1">
        <v>42002</v>
      </c>
      <c r="K421" s="1">
        <v>42062</v>
      </c>
      <c r="L421" s="7">
        <v>106.75</v>
      </c>
      <c r="M421" s="5">
        <v>216</v>
      </c>
      <c r="N421" s="7">
        <v>23058</v>
      </c>
      <c r="O421">
        <v>106.75</v>
      </c>
      <c r="P421">
        <v>216</v>
      </c>
      <c r="Q421" s="2">
        <v>23058</v>
      </c>
      <c r="R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 s="1">
        <v>42382</v>
      </c>
      <c r="AC421" t="s">
        <v>53</v>
      </c>
      <c r="AD421" t="s">
        <v>53</v>
      </c>
      <c r="AK421">
        <v>0</v>
      </c>
      <c r="AU421" s="6">
        <v>42278</v>
      </c>
      <c r="AV421" s="6">
        <v>42278</v>
      </c>
      <c r="AW421" t="s">
        <v>54</v>
      </c>
      <c r="AX421" t="str">
        <f t="shared" si="36"/>
        <v>FOR</v>
      </c>
      <c r="AY421" t="s">
        <v>55</v>
      </c>
    </row>
    <row r="422" spans="1:51">
      <c r="A422">
        <v>100161</v>
      </c>
      <c r="B422" t="s">
        <v>96</v>
      </c>
      <c r="C422" t="str">
        <f t="shared" si="38"/>
        <v>00801720152</v>
      </c>
      <c r="D422" t="str">
        <f t="shared" si="38"/>
        <v>00801720152</v>
      </c>
      <c r="E422" t="s">
        <v>52</v>
      </c>
      <c r="F422">
        <v>2014</v>
      </c>
      <c r="G422">
        <v>21438611</v>
      </c>
      <c r="H422" s="1">
        <v>41982</v>
      </c>
      <c r="I422" s="1">
        <v>42002</v>
      </c>
      <c r="J422" s="1">
        <v>42002</v>
      </c>
      <c r="K422" s="1">
        <v>42062</v>
      </c>
      <c r="L422" s="7">
        <v>11284.95</v>
      </c>
      <c r="M422" s="5">
        <v>216</v>
      </c>
      <c r="N422" s="7">
        <v>2437549.2000000002</v>
      </c>
      <c r="O422" s="2">
        <v>11284.95</v>
      </c>
      <c r="P422">
        <v>216</v>
      </c>
      <c r="Q422" s="2">
        <v>2437549.2000000002</v>
      </c>
      <c r="R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 s="1">
        <v>42382</v>
      </c>
      <c r="AC422" t="s">
        <v>53</v>
      </c>
      <c r="AD422" t="s">
        <v>53</v>
      </c>
      <c r="AK422">
        <v>0</v>
      </c>
      <c r="AU422" s="6">
        <v>42278</v>
      </c>
      <c r="AV422" s="6">
        <v>42278</v>
      </c>
      <c r="AW422" t="s">
        <v>54</v>
      </c>
      <c r="AX422" t="str">
        <f t="shared" si="36"/>
        <v>FOR</v>
      </c>
      <c r="AY422" t="s">
        <v>55</v>
      </c>
    </row>
    <row r="423" spans="1:51">
      <c r="A423">
        <v>100161</v>
      </c>
      <c r="B423" t="s">
        <v>96</v>
      </c>
      <c r="C423" t="str">
        <f t="shared" si="38"/>
        <v>00801720152</v>
      </c>
      <c r="D423" t="str">
        <f t="shared" si="38"/>
        <v>00801720152</v>
      </c>
      <c r="E423" t="s">
        <v>52</v>
      </c>
      <c r="F423">
        <v>2014</v>
      </c>
      <c r="G423">
        <v>21438612</v>
      </c>
      <c r="H423" s="1">
        <v>41982</v>
      </c>
      <c r="I423" s="1">
        <v>42002</v>
      </c>
      <c r="J423" s="1">
        <v>42002</v>
      </c>
      <c r="K423" s="1">
        <v>42062</v>
      </c>
      <c r="L423" s="7">
        <v>2646.33</v>
      </c>
      <c r="M423" s="5">
        <v>216</v>
      </c>
      <c r="N423" s="7">
        <v>571607.28</v>
      </c>
      <c r="O423" s="2">
        <v>2646.33</v>
      </c>
      <c r="P423">
        <v>216</v>
      </c>
      <c r="Q423" s="2">
        <v>571607.28</v>
      </c>
      <c r="R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 s="1">
        <v>42382</v>
      </c>
      <c r="AC423" t="s">
        <v>53</v>
      </c>
      <c r="AD423" t="s">
        <v>53</v>
      </c>
      <c r="AK423">
        <v>0</v>
      </c>
      <c r="AU423" s="6">
        <v>42278</v>
      </c>
      <c r="AV423" s="6">
        <v>42278</v>
      </c>
      <c r="AW423" t="s">
        <v>54</v>
      </c>
      <c r="AX423" t="str">
        <f t="shared" si="36"/>
        <v>FOR</v>
      </c>
      <c r="AY423" t="s">
        <v>55</v>
      </c>
    </row>
    <row r="424" spans="1:51" hidden="1">
      <c r="A424">
        <v>100164</v>
      </c>
      <c r="B424" t="s">
        <v>97</v>
      </c>
      <c r="C424" t="str">
        <f t="shared" ref="C424:D443" si="39">"00803890151"</f>
        <v>00803890151</v>
      </c>
      <c r="D424" t="str">
        <f t="shared" si="39"/>
        <v>00803890151</v>
      </c>
      <c r="E424" t="s">
        <v>52</v>
      </c>
      <c r="F424">
        <v>2013</v>
      </c>
      <c r="G424">
        <v>30049514</v>
      </c>
      <c r="H424" s="1">
        <v>41639</v>
      </c>
      <c r="I424" s="1">
        <v>41639</v>
      </c>
      <c r="J424" s="1">
        <v>41639</v>
      </c>
      <c r="K424" s="1">
        <v>41729</v>
      </c>
      <c r="N424" s="5"/>
      <c r="O424" s="2">
        <v>4270</v>
      </c>
      <c r="P424">
        <v>402</v>
      </c>
      <c r="Q424" s="2">
        <v>1716540</v>
      </c>
      <c r="R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 s="1">
        <v>42382</v>
      </c>
      <c r="AC424" t="s">
        <v>53</v>
      </c>
      <c r="AD424" t="s">
        <v>53</v>
      </c>
      <c r="AK424">
        <v>0</v>
      </c>
      <c r="AU424" s="6">
        <v>42131</v>
      </c>
      <c r="AV424" s="6">
        <v>42131</v>
      </c>
      <c r="AW424" t="s">
        <v>54</v>
      </c>
      <c r="AX424" t="str">
        <f t="shared" si="36"/>
        <v>FOR</v>
      </c>
      <c r="AY424" t="s">
        <v>55</v>
      </c>
    </row>
    <row r="425" spans="1:51" hidden="1">
      <c r="A425">
        <v>100164</v>
      </c>
      <c r="B425" t="s">
        <v>97</v>
      </c>
      <c r="C425" t="str">
        <f t="shared" si="39"/>
        <v>00803890151</v>
      </c>
      <c r="D425" t="str">
        <f t="shared" si="39"/>
        <v>00803890151</v>
      </c>
      <c r="E425" t="s">
        <v>52</v>
      </c>
      <c r="F425">
        <v>2013</v>
      </c>
      <c r="G425">
        <v>30049515</v>
      </c>
      <c r="H425" s="1">
        <v>41639</v>
      </c>
      <c r="I425" s="1">
        <v>41639</v>
      </c>
      <c r="J425" s="1">
        <v>41639</v>
      </c>
      <c r="K425" s="1">
        <v>41729</v>
      </c>
      <c r="N425" s="5"/>
      <c r="O425">
        <v>152.5</v>
      </c>
      <c r="P425">
        <v>402</v>
      </c>
      <c r="Q425" s="2">
        <v>61305</v>
      </c>
      <c r="R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 s="1">
        <v>42382</v>
      </c>
      <c r="AC425" t="s">
        <v>53</v>
      </c>
      <c r="AD425" t="s">
        <v>53</v>
      </c>
      <c r="AK425">
        <v>0</v>
      </c>
      <c r="AU425" s="6">
        <v>42131</v>
      </c>
      <c r="AV425" s="6">
        <v>42131</v>
      </c>
      <c r="AW425" t="s">
        <v>54</v>
      </c>
      <c r="AX425" t="str">
        <f t="shared" si="36"/>
        <v>FOR</v>
      </c>
      <c r="AY425" t="s">
        <v>55</v>
      </c>
    </row>
    <row r="426" spans="1:51" hidden="1">
      <c r="A426">
        <v>100164</v>
      </c>
      <c r="B426" t="s">
        <v>97</v>
      </c>
      <c r="C426" t="str">
        <f t="shared" si="39"/>
        <v>00803890151</v>
      </c>
      <c r="D426" t="str">
        <f t="shared" si="39"/>
        <v>00803890151</v>
      </c>
      <c r="E426" t="s">
        <v>52</v>
      </c>
      <c r="F426">
        <v>2014</v>
      </c>
      <c r="G426">
        <v>40003157</v>
      </c>
      <c r="H426" s="1">
        <v>41663</v>
      </c>
      <c r="I426" s="1">
        <v>41673</v>
      </c>
      <c r="J426" s="1">
        <v>41673</v>
      </c>
      <c r="K426" s="1">
        <v>41763</v>
      </c>
      <c r="N426" s="5"/>
      <c r="O426" s="2">
        <v>6174.42</v>
      </c>
      <c r="P426">
        <v>271</v>
      </c>
      <c r="Q426" s="2">
        <v>1673267.82</v>
      </c>
      <c r="R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 s="1">
        <v>42382</v>
      </c>
      <c r="AC426" t="s">
        <v>53</v>
      </c>
      <c r="AD426" t="s">
        <v>53</v>
      </c>
      <c r="AK426">
        <v>0</v>
      </c>
      <c r="AU426" s="6">
        <v>42034</v>
      </c>
      <c r="AV426" s="6">
        <v>42034</v>
      </c>
      <c r="AW426" t="s">
        <v>54</v>
      </c>
      <c r="AX426" t="str">
        <f t="shared" si="36"/>
        <v>FOR</v>
      </c>
      <c r="AY426" t="s">
        <v>55</v>
      </c>
    </row>
    <row r="427" spans="1:51" hidden="1">
      <c r="A427">
        <v>100164</v>
      </c>
      <c r="B427" t="s">
        <v>97</v>
      </c>
      <c r="C427" t="str">
        <f t="shared" si="39"/>
        <v>00803890151</v>
      </c>
      <c r="D427" t="str">
        <f t="shared" si="39"/>
        <v>00803890151</v>
      </c>
      <c r="E427" t="s">
        <v>52</v>
      </c>
      <c r="F427">
        <v>2014</v>
      </c>
      <c r="G427">
        <v>40003158</v>
      </c>
      <c r="H427" s="1">
        <v>41663</v>
      </c>
      <c r="I427" s="1">
        <v>41673</v>
      </c>
      <c r="J427" s="1">
        <v>41673</v>
      </c>
      <c r="K427" s="1">
        <v>41763</v>
      </c>
      <c r="N427" s="5"/>
      <c r="O427">
        <v>896.7</v>
      </c>
      <c r="P427">
        <v>271</v>
      </c>
      <c r="Q427" s="2">
        <v>243005.7</v>
      </c>
      <c r="R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 s="1">
        <v>42382</v>
      </c>
      <c r="AC427" t="s">
        <v>53</v>
      </c>
      <c r="AD427" t="s">
        <v>53</v>
      </c>
      <c r="AK427">
        <v>0</v>
      </c>
      <c r="AU427" s="6">
        <v>42034</v>
      </c>
      <c r="AV427" s="6">
        <v>42034</v>
      </c>
      <c r="AW427" t="s">
        <v>54</v>
      </c>
      <c r="AX427" t="str">
        <f t="shared" si="36"/>
        <v>FOR</v>
      </c>
      <c r="AY427" t="s">
        <v>55</v>
      </c>
    </row>
    <row r="428" spans="1:51" hidden="1">
      <c r="A428">
        <v>100164</v>
      </c>
      <c r="B428" t="s">
        <v>97</v>
      </c>
      <c r="C428" t="str">
        <f t="shared" si="39"/>
        <v>00803890151</v>
      </c>
      <c r="D428" t="str">
        <f t="shared" si="39"/>
        <v>00803890151</v>
      </c>
      <c r="E428" t="s">
        <v>52</v>
      </c>
      <c r="F428">
        <v>2014</v>
      </c>
      <c r="G428">
        <v>40003159</v>
      </c>
      <c r="H428" s="1">
        <v>41663</v>
      </c>
      <c r="I428" s="1">
        <v>41673</v>
      </c>
      <c r="J428" s="1">
        <v>41673</v>
      </c>
      <c r="K428" s="1">
        <v>41763</v>
      </c>
      <c r="N428" s="5"/>
      <c r="O428" s="2">
        <v>8808.7999999999993</v>
      </c>
      <c r="P428">
        <v>271</v>
      </c>
      <c r="Q428" s="2">
        <v>2387184.7999999998</v>
      </c>
      <c r="R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 s="1">
        <v>42382</v>
      </c>
      <c r="AC428" t="s">
        <v>53</v>
      </c>
      <c r="AD428" t="s">
        <v>53</v>
      </c>
      <c r="AK428">
        <v>0</v>
      </c>
      <c r="AU428" s="6">
        <v>42034</v>
      </c>
      <c r="AV428" s="6">
        <v>42034</v>
      </c>
      <c r="AW428" t="s">
        <v>54</v>
      </c>
      <c r="AX428" t="str">
        <f t="shared" si="36"/>
        <v>FOR</v>
      </c>
      <c r="AY428" t="s">
        <v>55</v>
      </c>
    </row>
    <row r="429" spans="1:51" hidden="1">
      <c r="A429">
        <v>100164</v>
      </c>
      <c r="B429" t="s">
        <v>97</v>
      </c>
      <c r="C429" t="str">
        <f t="shared" si="39"/>
        <v>00803890151</v>
      </c>
      <c r="D429" t="str">
        <f t="shared" si="39"/>
        <v>00803890151</v>
      </c>
      <c r="E429" t="s">
        <v>52</v>
      </c>
      <c r="F429">
        <v>2014</v>
      </c>
      <c r="G429">
        <v>40004336</v>
      </c>
      <c r="H429" s="1">
        <v>41675</v>
      </c>
      <c r="I429" s="1">
        <v>41684</v>
      </c>
      <c r="J429" s="1">
        <v>41684</v>
      </c>
      <c r="K429" s="1">
        <v>41774</v>
      </c>
      <c r="N429" s="5"/>
      <c r="O429">
        <v>536.79999999999995</v>
      </c>
      <c r="P429">
        <v>267</v>
      </c>
      <c r="Q429" s="2">
        <v>143325.6</v>
      </c>
      <c r="R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 s="1">
        <v>42382</v>
      </c>
      <c r="AC429" t="s">
        <v>53</v>
      </c>
      <c r="AD429" t="s">
        <v>53</v>
      </c>
      <c r="AK429">
        <v>0</v>
      </c>
      <c r="AU429" s="6">
        <v>42041</v>
      </c>
      <c r="AV429" s="6">
        <v>42041</v>
      </c>
      <c r="AW429" t="s">
        <v>54</v>
      </c>
      <c r="AX429" t="str">
        <f t="shared" si="36"/>
        <v>FOR</v>
      </c>
      <c r="AY429" t="s">
        <v>55</v>
      </c>
    </row>
    <row r="430" spans="1:51" hidden="1">
      <c r="A430">
        <v>100164</v>
      </c>
      <c r="B430" t="s">
        <v>97</v>
      </c>
      <c r="C430" t="str">
        <f t="shared" si="39"/>
        <v>00803890151</v>
      </c>
      <c r="D430" t="str">
        <f t="shared" si="39"/>
        <v>00803890151</v>
      </c>
      <c r="E430" t="s">
        <v>52</v>
      </c>
      <c r="F430">
        <v>2014</v>
      </c>
      <c r="G430">
        <v>40004772</v>
      </c>
      <c r="H430" s="1">
        <v>41675</v>
      </c>
      <c r="I430" s="1">
        <v>41684</v>
      </c>
      <c r="J430" s="1">
        <v>41684</v>
      </c>
      <c r="K430" s="1">
        <v>41774</v>
      </c>
      <c r="N430" s="5"/>
      <c r="O430">
        <v>6.34</v>
      </c>
      <c r="P430">
        <v>267</v>
      </c>
      <c r="Q430" s="2">
        <v>1692.78</v>
      </c>
      <c r="R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 s="1">
        <v>42382</v>
      </c>
      <c r="AC430" t="s">
        <v>53</v>
      </c>
      <c r="AD430" t="s">
        <v>53</v>
      </c>
      <c r="AK430">
        <v>0</v>
      </c>
      <c r="AU430" s="6">
        <v>42041</v>
      </c>
      <c r="AV430" s="6">
        <v>42041</v>
      </c>
      <c r="AW430" t="s">
        <v>54</v>
      </c>
      <c r="AX430" t="str">
        <f t="shared" si="36"/>
        <v>FOR</v>
      </c>
      <c r="AY430" t="s">
        <v>55</v>
      </c>
    </row>
    <row r="431" spans="1:51" hidden="1">
      <c r="A431">
        <v>100164</v>
      </c>
      <c r="B431" t="s">
        <v>97</v>
      </c>
      <c r="C431" t="str">
        <f t="shared" si="39"/>
        <v>00803890151</v>
      </c>
      <c r="D431" t="str">
        <f t="shared" si="39"/>
        <v>00803890151</v>
      </c>
      <c r="E431" t="s">
        <v>52</v>
      </c>
      <c r="F431">
        <v>2014</v>
      </c>
      <c r="G431">
        <v>40005273</v>
      </c>
      <c r="H431" s="1">
        <v>41677</v>
      </c>
      <c r="I431" s="1">
        <v>41691</v>
      </c>
      <c r="J431" s="1">
        <v>41691</v>
      </c>
      <c r="K431" s="1">
        <v>41781</v>
      </c>
      <c r="N431" s="5"/>
      <c r="O431">
        <v>36.6</v>
      </c>
      <c r="P431">
        <v>260</v>
      </c>
      <c r="Q431" s="2">
        <v>9516</v>
      </c>
      <c r="R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 s="1">
        <v>42382</v>
      </c>
      <c r="AC431" t="s">
        <v>53</v>
      </c>
      <c r="AD431" t="s">
        <v>53</v>
      </c>
      <c r="AK431">
        <v>0</v>
      </c>
      <c r="AU431" s="6">
        <v>42041</v>
      </c>
      <c r="AV431" s="6">
        <v>42041</v>
      </c>
      <c r="AW431" t="s">
        <v>54</v>
      </c>
      <c r="AX431" t="str">
        <f t="shared" si="36"/>
        <v>FOR</v>
      </c>
      <c r="AY431" t="s">
        <v>55</v>
      </c>
    </row>
    <row r="432" spans="1:51" hidden="1">
      <c r="A432">
        <v>100164</v>
      </c>
      <c r="B432" t="s">
        <v>97</v>
      </c>
      <c r="C432" t="str">
        <f t="shared" si="39"/>
        <v>00803890151</v>
      </c>
      <c r="D432" t="str">
        <f t="shared" si="39"/>
        <v>00803890151</v>
      </c>
      <c r="E432" t="s">
        <v>52</v>
      </c>
      <c r="F432">
        <v>2014</v>
      </c>
      <c r="G432">
        <v>40005274</v>
      </c>
      <c r="H432" s="1">
        <v>41677</v>
      </c>
      <c r="I432" s="1">
        <v>41691</v>
      </c>
      <c r="J432" s="1">
        <v>41691</v>
      </c>
      <c r="K432" s="1">
        <v>41781</v>
      </c>
      <c r="N432" s="5"/>
      <c r="O432">
        <v>21.96</v>
      </c>
      <c r="P432">
        <v>260</v>
      </c>
      <c r="Q432" s="2">
        <v>5709.6</v>
      </c>
      <c r="R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 s="1">
        <v>42382</v>
      </c>
      <c r="AC432" t="s">
        <v>53</v>
      </c>
      <c r="AD432" t="s">
        <v>53</v>
      </c>
      <c r="AK432">
        <v>0</v>
      </c>
      <c r="AU432" s="6">
        <v>42041</v>
      </c>
      <c r="AV432" s="6">
        <v>42041</v>
      </c>
      <c r="AW432" t="s">
        <v>54</v>
      </c>
      <c r="AX432" t="str">
        <f t="shared" si="36"/>
        <v>FOR</v>
      </c>
      <c r="AY432" t="s">
        <v>55</v>
      </c>
    </row>
    <row r="433" spans="1:51" hidden="1">
      <c r="A433">
        <v>100164</v>
      </c>
      <c r="B433" t="s">
        <v>97</v>
      </c>
      <c r="C433" t="str">
        <f t="shared" si="39"/>
        <v>00803890151</v>
      </c>
      <c r="D433" t="str">
        <f t="shared" si="39"/>
        <v>00803890151</v>
      </c>
      <c r="E433" t="s">
        <v>52</v>
      </c>
      <c r="F433">
        <v>2014</v>
      </c>
      <c r="G433">
        <v>40005944</v>
      </c>
      <c r="H433" s="1">
        <v>41682</v>
      </c>
      <c r="I433" s="1">
        <v>41691</v>
      </c>
      <c r="J433" s="1">
        <v>41691</v>
      </c>
      <c r="K433" s="1">
        <v>41781</v>
      </c>
      <c r="N433" s="5"/>
      <c r="O433" s="2">
        <v>6174.42</v>
      </c>
      <c r="P433">
        <v>260</v>
      </c>
      <c r="Q433" s="2">
        <v>1605349.2</v>
      </c>
      <c r="R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 s="1">
        <v>42382</v>
      </c>
      <c r="AC433" t="s">
        <v>53</v>
      </c>
      <c r="AD433" t="s">
        <v>53</v>
      </c>
      <c r="AK433">
        <v>0</v>
      </c>
      <c r="AU433" s="6">
        <v>42041</v>
      </c>
      <c r="AV433" s="6">
        <v>42041</v>
      </c>
      <c r="AW433" t="s">
        <v>54</v>
      </c>
      <c r="AX433" t="str">
        <f t="shared" si="36"/>
        <v>FOR</v>
      </c>
      <c r="AY433" t="s">
        <v>55</v>
      </c>
    </row>
    <row r="434" spans="1:51" hidden="1">
      <c r="A434">
        <v>100164</v>
      </c>
      <c r="B434" t="s">
        <v>97</v>
      </c>
      <c r="C434" t="str">
        <f t="shared" si="39"/>
        <v>00803890151</v>
      </c>
      <c r="D434" t="str">
        <f t="shared" si="39"/>
        <v>00803890151</v>
      </c>
      <c r="E434" t="s">
        <v>52</v>
      </c>
      <c r="F434">
        <v>2014</v>
      </c>
      <c r="G434">
        <v>40005945</v>
      </c>
      <c r="H434" s="1">
        <v>41682</v>
      </c>
      <c r="I434" s="1">
        <v>41691</v>
      </c>
      <c r="J434" s="1">
        <v>41691</v>
      </c>
      <c r="K434" s="1">
        <v>41781</v>
      </c>
      <c r="N434" s="5"/>
      <c r="O434">
        <v>965.63</v>
      </c>
      <c r="P434">
        <v>260</v>
      </c>
      <c r="Q434" s="2">
        <v>251063.8</v>
      </c>
      <c r="R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 s="1">
        <v>42382</v>
      </c>
      <c r="AC434" t="s">
        <v>53</v>
      </c>
      <c r="AD434" t="s">
        <v>53</v>
      </c>
      <c r="AK434">
        <v>0</v>
      </c>
      <c r="AU434" s="6">
        <v>42041</v>
      </c>
      <c r="AV434" s="6">
        <v>42041</v>
      </c>
      <c r="AW434" t="s">
        <v>54</v>
      </c>
      <c r="AX434" t="str">
        <f t="shared" si="36"/>
        <v>FOR</v>
      </c>
      <c r="AY434" t="s">
        <v>55</v>
      </c>
    </row>
    <row r="435" spans="1:51" hidden="1">
      <c r="A435">
        <v>100164</v>
      </c>
      <c r="B435" t="s">
        <v>97</v>
      </c>
      <c r="C435" t="str">
        <f t="shared" si="39"/>
        <v>00803890151</v>
      </c>
      <c r="D435" t="str">
        <f t="shared" si="39"/>
        <v>00803890151</v>
      </c>
      <c r="E435" t="s">
        <v>52</v>
      </c>
      <c r="F435">
        <v>2014</v>
      </c>
      <c r="G435">
        <v>40005946</v>
      </c>
      <c r="H435" s="1">
        <v>41682</v>
      </c>
      <c r="I435" s="1">
        <v>41691</v>
      </c>
      <c r="J435" s="1">
        <v>41691</v>
      </c>
      <c r="K435" s="1">
        <v>41781</v>
      </c>
      <c r="N435" s="5"/>
      <c r="O435" s="2">
        <v>7308.57</v>
      </c>
      <c r="P435">
        <v>260</v>
      </c>
      <c r="Q435" s="2">
        <v>1900228.2</v>
      </c>
      <c r="R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 s="1">
        <v>42382</v>
      </c>
      <c r="AC435" t="s">
        <v>53</v>
      </c>
      <c r="AD435" t="s">
        <v>53</v>
      </c>
      <c r="AK435">
        <v>0</v>
      </c>
      <c r="AU435" s="6">
        <v>42041</v>
      </c>
      <c r="AV435" s="6">
        <v>42041</v>
      </c>
      <c r="AW435" t="s">
        <v>54</v>
      </c>
      <c r="AX435" t="str">
        <f t="shared" si="36"/>
        <v>FOR</v>
      </c>
      <c r="AY435" t="s">
        <v>55</v>
      </c>
    </row>
    <row r="436" spans="1:51" hidden="1">
      <c r="A436">
        <v>100164</v>
      </c>
      <c r="B436" t="s">
        <v>97</v>
      </c>
      <c r="C436" t="str">
        <f t="shared" si="39"/>
        <v>00803890151</v>
      </c>
      <c r="D436" t="str">
        <f t="shared" si="39"/>
        <v>00803890151</v>
      </c>
      <c r="E436" t="s">
        <v>52</v>
      </c>
      <c r="F436">
        <v>2014</v>
      </c>
      <c r="G436">
        <v>40006374</v>
      </c>
      <c r="H436" s="1">
        <v>41684</v>
      </c>
      <c r="I436" s="1">
        <v>41691</v>
      </c>
      <c r="J436" s="1">
        <v>41691</v>
      </c>
      <c r="K436" s="1">
        <v>41781</v>
      </c>
      <c r="N436" s="5"/>
      <c r="O436" s="2">
        <v>5368</v>
      </c>
      <c r="P436">
        <v>260</v>
      </c>
      <c r="Q436" s="2">
        <v>1395680</v>
      </c>
      <c r="R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 s="1">
        <v>42382</v>
      </c>
      <c r="AC436" t="s">
        <v>53</v>
      </c>
      <c r="AD436" t="s">
        <v>53</v>
      </c>
      <c r="AK436">
        <v>0</v>
      </c>
      <c r="AU436" s="6">
        <v>42041</v>
      </c>
      <c r="AV436" s="6">
        <v>42041</v>
      </c>
      <c r="AW436" t="s">
        <v>54</v>
      </c>
      <c r="AX436" t="str">
        <f t="shared" si="36"/>
        <v>FOR</v>
      </c>
      <c r="AY436" t="s">
        <v>55</v>
      </c>
    </row>
    <row r="437" spans="1:51" hidden="1">
      <c r="A437">
        <v>100164</v>
      </c>
      <c r="B437" t="s">
        <v>97</v>
      </c>
      <c r="C437" t="str">
        <f t="shared" si="39"/>
        <v>00803890151</v>
      </c>
      <c r="D437" t="str">
        <f t="shared" si="39"/>
        <v>00803890151</v>
      </c>
      <c r="E437" t="s">
        <v>52</v>
      </c>
      <c r="F437">
        <v>2014</v>
      </c>
      <c r="G437">
        <v>40006652</v>
      </c>
      <c r="H437" s="1">
        <v>41687</v>
      </c>
      <c r="I437" s="1">
        <v>41691</v>
      </c>
      <c r="J437" s="1">
        <v>41691</v>
      </c>
      <c r="K437" s="1">
        <v>41781</v>
      </c>
      <c r="N437" s="5"/>
      <c r="O437">
        <v>134.19999999999999</v>
      </c>
      <c r="P437">
        <v>260</v>
      </c>
      <c r="Q437" s="2">
        <v>34892</v>
      </c>
      <c r="R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 s="1">
        <v>42382</v>
      </c>
      <c r="AC437" t="s">
        <v>53</v>
      </c>
      <c r="AD437" t="s">
        <v>53</v>
      </c>
      <c r="AK437">
        <v>0</v>
      </c>
      <c r="AU437" s="6">
        <v>42041</v>
      </c>
      <c r="AV437" s="6">
        <v>42041</v>
      </c>
      <c r="AW437" t="s">
        <v>54</v>
      </c>
      <c r="AX437" t="str">
        <f t="shared" si="36"/>
        <v>FOR</v>
      </c>
      <c r="AY437" t="s">
        <v>55</v>
      </c>
    </row>
    <row r="438" spans="1:51" hidden="1">
      <c r="A438">
        <v>100164</v>
      </c>
      <c r="B438" t="s">
        <v>97</v>
      </c>
      <c r="C438" t="str">
        <f t="shared" si="39"/>
        <v>00803890151</v>
      </c>
      <c r="D438" t="str">
        <f t="shared" si="39"/>
        <v>00803890151</v>
      </c>
      <c r="E438" t="s">
        <v>52</v>
      </c>
      <c r="F438">
        <v>2014</v>
      </c>
      <c r="G438">
        <v>40007961</v>
      </c>
      <c r="H438" s="1">
        <v>41696</v>
      </c>
      <c r="I438" s="1">
        <v>41703</v>
      </c>
      <c r="J438" s="1">
        <v>41703</v>
      </c>
      <c r="K438" s="1">
        <v>41793</v>
      </c>
      <c r="N438" s="5"/>
      <c r="O438">
        <v>21.96</v>
      </c>
      <c r="P438">
        <v>248</v>
      </c>
      <c r="Q438" s="2">
        <v>5446.08</v>
      </c>
      <c r="R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 s="1">
        <v>42382</v>
      </c>
      <c r="AC438" t="s">
        <v>53</v>
      </c>
      <c r="AD438" t="s">
        <v>53</v>
      </c>
      <c r="AK438">
        <v>0</v>
      </c>
      <c r="AU438" s="6">
        <v>42041</v>
      </c>
      <c r="AV438" s="6">
        <v>42041</v>
      </c>
      <c r="AW438" t="s">
        <v>54</v>
      </c>
      <c r="AX438" t="str">
        <f t="shared" si="36"/>
        <v>FOR</v>
      </c>
      <c r="AY438" t="s">
        <v>55</v>
      </c>
    </row>
    <row r="439" spans="1:51" hidden="1">
      <c r="A439">
        <v>100164</v>
      </c>
      <c r="B439" t="s">
        <v>97</v>
      </c>
      <c r="C439" t="str">
        <f t="shared" si="39"/>
        <v>00803890151</v>
      </c>
      <c r="D439" t="str">
        <f t="shared" si="39"/>
        <v>00803890151</v>
      </c>
      <c r="E439" t="s">
        <v>52</v>
      </c>
      <c r="F439">
        <v>2014</v>
      </c>
      <c r="G439">
        <v>40010120</v>
      </c>
      <c r="H439" s="1">
        <v>41710</v>
      </c>
      <c r="I439" s="1">
        <v>41716</v>
      </c>
      <c r="J439" s="1">
        <v>41716</v>
      </c>
      <c r="K439" s="1">
        <v>41806</v>
      </c>
      <c r="N439" s="5"/>
      <c r="O439" s="2">
        <v>5143.5200000000004</v>
      </c>
      <c r="P439">
        <v>288</v>
      </c>
      <c r="Q439" s="2">
        <v>1481333.76</v>
      </c>
      <c r="R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 s="1">
        <v>42382</v>
      </c>
      <c r="AC439" t="s">
        <v>53</v>
      </c>
      <c r="AD439" t="s">
        <v>53</v>
      </c>
      <c r="AK439">
        <v>0</v>
      </c>
      <c r="AU439" s="6">
        <v>42094</v>
      </c>
      <c r="AV439" s="6">
        <v>42094</v>
      </c>
      <c r="AW439" t="s">
        <v>54</v>
      </c>
      <c r="AX439" t="str">
        <f t="shared" si="36"/>
        <v>FOR</v>
      </c>
      <c r="AY439" t="s">
        <v>55</v>
      </c>
    </row>
    <row r="440" spans="1:51" hidden="1">
      <c r="A440">
        <v>100164</v>
      </c>
      <c r="B440" t="s">
        <v>97</v>
      </c>
      <c r="C440" t="str">
        <f t="shared" si="39"/>
        <v>00803890151</v>
      </c>
      <c r="D440" t="str">
        <f t="shared" si="39"/>
        <v>00803890151</v>
      </c>
      <c r="E440" t="s">
        <v>52</v>
      </c>
      <c r="F440">
        <v>2014</v>
      </c>
      <c r="G440">
        <v>40010870</v>
      </c>
      <c r="H440" s="1">
        <v>41715</v>
      </c>
      <c r="I440" s="1">
        <v>41722</v>
      </c>
      <c r="J440" s="1">
        <v>41722</v>
      </c>
      <c r="K440" s="1">
        <v>41812</v>
      </c>
      <c r="N440" s="5"/>
      <c r="O440" s="2">
        <v>1952</v>
      </c>
      <c r="P440">
        <v>282</v>
      </c>
      <c r="Q440" s="2">
        <v>550464</v>
      </c>
      <c r="R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 s="1">
        <v>42382</v>
      </c>
      <c r="AC440" t="s">
        <v>53</v>
      </c>
      <c r="AD440" t="s">
        <v>53</v>
      </c>
      <c r="AK440">
        <v>0</v>
      </c>
      <c r="AU440" s="6">
        <v>42094</v>
      </c>
      <c r="AV440" s="6">
        <v>42094</v>
      </c>
      <c r="AW440" t="s">
        <v>54</v>
      </c>
      <c r="AX440" t="str">
        <f t="shared" si="36"/>
        <v>FOR</v>
      </c>
      <c r="AY440" t="s">
        <v>55</v>
      </c>
    </row>
    <row r="441" spans="1:51" hidden="1">
      <c r="A441">
        <v>100164</v>
      </c>
      <c r="B441" t="s">
        <v>97</v>
      </c>
      <c r="C441" t="str">
        <f t="shared" si="39"/>
        <v>00803890151</v>
      </c>
      <c r="D441" t="str">
        <f t="shared" si="39"/>
        <v>00803890151</v>
      </c>
      <c r="E441" t="s">
        <v>52</v>
      </c>
      <c r="F441">
        <v>2014</v>
      </c>
      <c r="G441">
        <v>40011132</v>
      </c>
      <c r="H441" s="1">
        <v>41717</v>
      </c>
      <c r="I441" s="1">
        <v>41724</v>
      </c>
      <c r="J441" s="1">
        <v>41724</v>
      </c>
      <c r="K441" s="1">
        <v>41814</v>
      </c>
      <c r="N441" s="5"/>
      <c r="O441" s="2">
        <v>4410.3</v>
      </c>
      <c r="P441">
        <v>280</v>
      </c>
      <c r="Q441" s="2">
        <v>1234884</v>
      </c>
      <c r="R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 s="1">
        <v>42382</v>
      </c>
      <c r="AC441" t="s">
        <v>53</v>
      </c>
      <c r="AD441" t="s">
        <v>53</v>
      </c>
      <c r="AK441">
        <v>0</v>
      </c>
      <c r="AU441" s="6">
        <v>42094</v>
      </c>
      <c r="AV441" s="6">
        <v>42094</v>
      </c>
      <c r="AW441" t="s">
        <v>54</v>
      </c>
      <c r="AX441" t="str">
        <f t="shared" si="36"/>
        <v>FOR</v>
      </c>
      <c r="AY441" t="s">
        <v>55</v>
      </c>
    </row>
    <row r="442" spans="1:51" hidden="1">
      <c r="A442">
        <v>100164</v>
      </c>
      <c r="B442" t="s">
        <v>97</v>
      </c>
      <c r="C442" t="str">
        <f t="shared" si="39"/>
        <v>00803890151</v>
      </c>
      <c r="D442" t="str">
        <f t="shared" si="39"/>
        <v>00803890151</v>
      </c>
      <c r="E442" t="s">
        <v>52</v>
      </c>
      <c r="F442">
        <v>2014</v>
      </c>
      <c r="G442">
        <v>40011133</v>
      </c>
      <c r="H442" s="1">
        <v>41717</v>
      </c>
      <c r="I442" s="1">
        <v>41724</v>
      </c>
      <c r="J442" s="1">
        <v>41724</v>
      </c>
      <c r="K442" s="1">
        <v>41814</v>
      </c>
      <c r="N442" s="5"/>
      <c r="O442">
        <v>347.7</v>
      </c>
      <c r="P442">
        <v>280</v>
      </c>
      <c r="Q442" s="2">
        <v>97356</v>
      </c>
      <c r="R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 s="1">
        <v>42382</v>
      </c>
      <c r="AC442" t="s">
        <v>53</v>
      </c>
      <c r="AD442" t="s">
        <v>53</v>
      </c>
      <c r="AK442">
        <v>0</v>
      </c>
      <c r="AU442" s="6">
        <v>42094</v>
      </c>
      <c r="AV442" s="6">
        <v>42094</v>
      </c>
      <c r="AW442" t="s">
        <v>54</v>
      </c>
      <c r="AX442" t="str">
        <f t="shared" si="36"/>
        <v>FOR</v>
      </c>
      <c r="AY442" t="s">
        <v>55</v>
      </c>
    </row>
    <row r="443" spans="1:51" hidden="1">
      <c r="A443">
        <v>100164</v>
      </c>
      <c r="B443" t="s">
        <v>97</v>
      </c>
      <c r="C443" t="str">
        <f t="shared" si="39"/>
        <v>00803890151</v>
      </c>
      <c r="D443" t="str">
        <f t="shared" si="39"/>
        <v>00803890151</v>
      </c>
      <c r="E443" t="s">
        <v>52</v>
      </c>
      <c r="F443">
        <v>2014</v>
      </c>
      <c r="G443">
        <v>40011134</v>
      </c>
      <c r="H443" s="1">
        <v>41717</v>
      </c>
      <c r="I443" s="1">
        <v>41724</v>
      </c>
      <c r="J443" s="1">
        <v>41724</v>
      </c>
      <c r="K443" s="1">
        <v>41814</v>
      </c>
      <c r="N443" s="5"/>
      <c r="O443">
        <v>669.78</v>
      </c>
      <c r="P443">
        <v>280</v>
      </c>
      <c r="Q443" s="2">
        <v>187538.4</v>
      </c>
      <c r="R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 s="1">
        <v>42382</v>
      </c>
      <c r="AC443" t="s">
        <v>53</v>
      </c>
      <c r="AD443" t="s">
        <v>53</v>
      </c>
      <c r="AK443">
        <v>0</v>
      </c>
      <c r="AU443" s="6">
        <v>42094</v>
      </c>
      <c r="AV443" s="6">
        <v>42094</v>
      </c>
      <c r="AW443" t="s">
        <v>54</v>
      </c>
      <c r="AX443" t="str">
        <f t="shared" si="36"/>
        <v>FOR</v>
      </c>
      <c r="AY443" t="s">
        <v>55</v>
      </c>
    </row>
    <row r="444" spans="1:51" hidden="1">
      <c r="A444">
        <v>100164</v>
      </c>
      <c r="B444" t="s">
        <v>97</v>
      </c>
      <c r="C444" t="str">
        <f t="shared" ref="C444:D463" si="40">"00803890151"</f>
        <v>00803890151</v>
      </c>
      <c r="D444" t="str">
        <f t="shared" si="40"/>
        <v>00803890151</v>
      </c>
      <c r="E444" t="s">
        <v>52</v>
      </c>
      <c r="F444">
        <v>2014</v>
      </c>
      <c r="G444">
        <v>40011595</v>
      </c>
      <c r="H444" s="1">
        <v>41719</v>
      </c>
      <c r="I444" s="1">
        <v>41730</v>
      </c>
      <c r="J444" s="1">
        <v>41730</v>
      </c>
      <c r="K444" s="1">
        <v>41820</v>
      </c>
      <c r="N444" s="5"/>
      <c r="O444" s="2">
        <v>6823.28</v>
      </c>
      <c r="P444">
        <v>274</v>
      </c>
      <c r="Q444" s="2">
        <v>1869578.72</v>
      </c>
      <c r="R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 s="1">
        <v>42382</v>
      </c>
      <c r="AC444" t="s">
        <v>53</v>
      </c>
      <c r="AD444" t="s">
        <v>53</v>
      </c>
      <c r="AK444">
        <v>0</v>
      </c>
      <c r="AU444" s="6">
        <v>42094</v>
      </c>
      <c r="AV444" s="6">
        <v>42094</v>
      </c>
      <c r="AW444" t="s">
        <v>54</v>
      </c>
      <c r="AX444" t="str">
        <f t="shared" si="36"/>
        <v>FOR</v>
      </c>
      <c r="AY444" t="s">
        <v>55</v>
      </c>
    </row>
    <row r="445" spans="1:51" hidden="1">
      <c r="A445">
        <v>100164</v>
      </c>
      <c r="B445" t="s">
        <v>97</v>
      </c>
      <c r="C445" t="str">
        <f t="shared" si="40"/>
        <v>00803890151</v>
      </c>
      <c r="D445" t="str">
        <f t="shared" si="40"/>
        <v>00803890151</v>
      </c>
      <c r="E445" t="s">
        <v>52</v>
      </c>
      <c r="F445">
        <v>2014</v>
      </c>
      <c r="G445">
        <v>40012058</v>
      </c>
      <c r="H445" s="1">
        <v>41723</v>
      </c>
      <c r="I445" s="1">
        <v>41731</v>
      </c>
      <c r="J445" s="1">
        <v>41731</v>
      </c>
      <c r="K445" s="1">
        <v>41821</v>
      </c>
      <c r="N445" s="5"/>
      <c r="O445">
        <v>214.72</v>
      </c>
      <c r="P445">
        <v>273</v>
      </c>
      <c r="Q445" s="2">
        <v>58618.559999999998</v>
      </c>
      <c r="R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 s="1">
        <v>42382</v>
      </c>
      <c r="AC445" t="s">
        <v>53</v>
      </c>
      <c r="AD445" t="s">
        <v>53</v>
      </c>
      <c r="AK445">
        <v>0</v>
      </c>
      <c r="AU445" s="6">
        <v>42094</v>
      </c>
      <c r="AV445" s="6">
        <v>42094</v>
      </c>
      <c r="AW445" t="s">
        <v>54</v>
      </c>
      <c r="AX445" t="str">
        <f t="shared" si="36"/>
        <v>FOR</v>
      </c>
      <c r="AY445" t="s">
        <v>55</v>
      </c>
    </row>
    <row r="446" spans="1:51" hidden="1">
      <c r="A446">
        <v>100164</v>
      </c>
      <c r="B446" t="s">
        <v>97</v>
      </c>
      <c r="C446" t="str">
        <f t="shared" si="40"/>
        <v>00803890151</v>
      </c>
      <c r="D446" t="str">
        <f t="shared" si="40"/>
        <v>00803890151</v>
      </c>
      <c r="E446" t="s">
        <v>52</v>
      </c>
      <c r="F446">
        <v>2014</v>
      </c>
      <c r="G446">
        <v>40012059</v>
      </c>
      <c r="H446" s="1">
        <v>41723</v>
      </c>
      <c r="I446" s="1">
        <v>41731</v>
      </c>
      <c r="J446" s="1">
        <v>41731</v>
      </c>
      <c r="K446" s="1">
        <v>41821</v>
      </c>
      <c r="N446" s="5"/>
      <c r="O446">
        <v>214.72</v>
      </c>
      <c r="P446">
        <v>273</v>
      </c>
      <c r="Q446" s="2">
        <v>58618.559999999998</v>
      </c>
      <c r="R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 s="1">
        <v>42382</v>
      </c>
      <c r="AC446" t="s">
        <v>53</v>
      </c>
      <c r="AD446" t="s">
        <v>53</v>
      </c>
      <c r="AK446">
        <v>0</v>
      </c>
      <c r="AU446" s="6">
        <v>42094</v>
      </c>
      <c r="AV446" s="6">
        <v>42094</v>
      </c>
      <c r="AW446" t="s">
        <v>54</v>
      </c>
      <c r="AX446" t="str">
        <f t="shared" si="36"/>
        <v>FOR</v>
      </c>
      <c r="AY446" t="s">
        <v>55</v>
      </c>
    </row>
    <row r="447" spans="1:51" hidden="1">
      <c r="A447">
        <v>100164</v>
      </c>
      <c r="B447" t="s">
        <v>97</v>
      </c>
      <c r="C447" t="str">
        <f t="shared" si="40"/>
        <v>00803890151</v>
      </c>
      <c r="D447" t="str">
        <f t="shared" si="40"/>
        <v>00803890151</v>
      </c>
      <c r="E447" t="s">
        <v>52</v>
      </c>
      <c r="F447">
        <v>2014</v>
      </c>
      <c r="G447">
        <v>40012794</v>
      </c>
      <c r="H447" s="1">
        <v>41726</v>
      </c>
      <c r="I447" s="1">
        <v>41733</v>
      </c>
      <c r="J447" s="1">
        <v>41733</v>
      </c>
      <c r="K447" s="1">
        <v>41823</v>
      </c>
      <c r="N447" s="5"/>
      <c r="O447" s="2">
        <v>4270</v>
      </c>
      <c r="P447">
        <v>214</v>
      </c>
      <c r="Q447" s="2">
        <v>913780</v>
      </c>
      <c r="R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 s="1">
        <v>42382</v>
      </c>
      <c r="AC447" t="s">
        <v>53</v>
      </c>
      <c r="AD447" t="s">
        <v>53</v>
      </c>
      <c r="AK447">
        <v>0</v>
      </c>
      <c r="AU447" s="6">
        <v>42037</v>
      </c>
      <c r="AV447" s="6">
        <v>42037</v>
      </c>
      <c r="AW447" t="s">
        <v>54</v>
      </c>
      <c r="AX447" t="str">
        <f t="shared" si="36"/>
        <v>FOR</v>
      </c>
      <c r="AY447" t="s">
        <v>55</v>
      </c>
    </row>
    <row r="448" spans="1:51" hidden="1">
      <c r="A448">
        <v>100164</v>
      </c>
      <c r="B448" t="s">
        <v>97</v>
      </c>
      <c r="C448" t="str">
        <f t="shared" si="40"/>
        <v>00803890151</v>
      </c>
      <c r="D448" t="str">
        <f t="shared" si="40"/>
        <v>00803890151</v>
      </c>
      <c r="E448" t="s">
        <v>52</v>
      </c>
      <c r="F448">
        <v>2014</v>
      </c>
      <c r="G448">
        <v>40012795</v>
      </c>
      <c r="H448" s="1">
        <v>41726</v>
      </c>
      <c r="I448" s="1">
        <v>41733</v>
      </c>
      <c r="J448" s="1">
        <v>41733</v>
      </c>
      <c r="K448" s="1">
        <v>41823</v>
      </c>
      <c r="N448" s="5"/>
      <c r="O448">
        <v>152.5</v>
      </c>
      <c r="P448">
        <v>214</v>
      </c>
      <c r="Q448" s="2">
        <v>32635</v>
      </c>
      <c r="R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 s="1">
        <v>42382</v>
      </c>
      <c r="AC448" t="s">
        <v>53</v>
      </c>
      <c r="AD448" t="s">
        <v>53</v>
      </c>
      <c r="AK448">
        <v>0</v>
      </c>
      <c r="AU448" s="6">
        <v>42037</v>
      </c>
      <c r="AV448" s="6">
        <v>42037</v>
      </c>
      <c r="AW448" t="s">
        <v>54</v>
      </c>
      <c r="AX448" t="str">
        <f t="shared" si="36"/>
        <v>FOR</v>
      </c>
      <c r="AY448" t="s">
        <v>55</v>
      </c>
    </row>
    <row r="449" spans="1:51" hidden="1">
      <c r="A449">
        <v>100164</v>
      </c>
      <c r="B449" t="s">
        <v>97</v>
      </c>
      <c r="C449" t="str">
        <f t="shared" si="40"/>
        <v>00803890151</v>
      </c>
      <c r="D449" t="str">
        <f t="shared" si="40"/>
        <v>00803890151</v>
      </c>
      <c r="E449" t="s">
        <v>52</v>
      </c>
      <c r="F449">
        <v>2014</v>
      </c>
      <c r="G449">
        <v>40014577</v>
      </c>
      <c r="H449" s="1">
        <v>41736</v>
      </c>
      <c r="I449" s="1">
        <v>41743</v>
      </c>
      <c r="J449" s="1">
        <v>41743</v>
      </c>
      <c r="K449" s="1">
        <v>41833</v>
      </c>
      <c r="N449" s="5"/>
      <c r="O449">
        <v>268.39999999999998</v>
      </c>
      <c r="P449">
        <v>261</v>
      </c>
      <c r="Q449" s="2">
        <v>70052.399999999994</v>
      </c>
      <c r="R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 s="1">
        <v>42382</v>
      </c>
      <c r="AC449" t="s">
        <v>53</v>
      </c>
      <c r="AD449" t="s">
        <v>53</v>
      </c>
      <c r="AK449">
        <v>0</v>
      </c>
      <c r="AU449" s="6">
        <v>42094</v>
      </c>
      <c r="AV449" s="6">
        <v>42094</v>
      </c>
      <c r="AW449" t="s">
        <v>54</v>
      </c>
      <c r="AX449" t="str">
        <f t="shared" si="36"/>
        <v>FOR</v>
      </c>
      <c r="AY449" t="s">
        <v>55</v>
      </c>
    </row>
    <row r="450" spans="1:51" hidden="1">
      <c r="A450">
        <v>100164</v>
      </c>
      <c r="B450" t="s">
        <v>97</v>
      </c>
      <c r="C450" t="str">
        <f t="shared" si="40"/>
        <v>00803890151</v>
      </c>
      <c r="D450" t="str">
        <f t="shared" si="40"/>
        <v>00803890151</v>
      </c>
      <c r="E450" t="s">
        <v>52</v>
      </c>
      <c r="F450">
        <v>2014</v>
      </c>
      <c r="G450">
        <v>40014862</v>
      </c>
      <c r="H450" s="1">
        <v>41738</v>
      </c>
      <c r="I450" s="1">
        <v>41746</v>
      </c>
      <c r="J450" s="1">
        <v>41746</v>
      </c>
      <c r="K450" s="1">
        <v>41836</v>
      </c>
      <c r="N450" s="5"/>
      <c r="O450">
        <v>30.5</v>
      </c>
      <c r="P450">
        <v>258</v>
      </c>
      <c r="Q450" s="2">
        <v>7869</v>
      </c>
      <c r="R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 s="1">
        <v>42382</v>
      </c>
      <c r="AC450" t="s">
        <v>53</v>
      </c>
      <c r="AD450" t="s">
        <v>53</v>
      </c>
      <c r="AK450">
        <v>0</v>
      </c>
      <c r="AU450" s="6">
        <v>42094</v>
      </c>
      <c r="AV450" s="6">
        <v>42094</v>
      </c>
      <c r="AW450" t="s">
        <v>54</v>
      </c>
      <c r="AX450" t="str">
        <f t="shared" si="36"/>
        <v>FOR</v>
      </c>
      <c r="AY450" t="s">
        <v>55</v>
      </c>
    </row>
    <row r="451" spans="1:51" hidden="1">
      <c r="A451">
        <v>100164</v>
      </c>
      <c r="B451" t="s">
        <v>97</v>
      </c>
      <c r="C451" t="str">
        <f t="shared" si="40"/>
        <v>00803890151</v>
      </c>
      <c r="D451" t="str">
        <f t="shared" si="40"/>
        <v>00803890151</v>
      </c>
      <c r="E451" t="s">
        <v>52</v>
      </c>
      <c r="F451">
        <v>2014</v>
      </c>
      <c r="G451">
        <v>40014863</v>
      </c>
      <c r="H451" s="1">
        <v>41738</v>
      </c>
      <c r="I451" s="1">
        <v>41746</v>
      </c>
      <c r="J451" s="1">
        <v>41746</v>
      </c>
      <c r="K451" s="1">
        <v>41836</v>
      </c>
      <c r="N451" s="5"/>
      <c r="O451">
        <v>536.79999999999995</v>
      </c>
      <c r="P451">
        <v>258</v>
      </c>
      <c r="Q451" s="2">
        <v>138494.39999999999</v>
      </c>
      <c r="R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 s="1">
        <v>42382</v>
      </c>
      <c r="AC451" t="s">
        <v>53</v>
      </c>
      <c r="AD451" t="s">
        <v>53</v>
      </c>
      <c r="AK451">
        <v>0</v>
      </c>
      <c r="AU451" s="6">
        <v>42094</v>
      </c>
      <c r="AV451" s="6">
        <v>42094</v>
      </c>
      <c r="AW451" t="s">
        <v>54</v>
      </c>
      <c r="AX451" t="str">
        <f t="shared" ref="AX451:AX514" si="41">"FOR"</f>
        <v>FOR</v>
      </c>
      <c r="AY451" t="s">
        <v>55</v>
      </c>
    </row>
    <row r="452" spans="1:51" hidden="1">
      <c r="A452">
        <v>100164</v>
      </c>
      <c r="B452" t="s">
        <v>97</v>
      </c>
      <c r="C452" t="str">
        <f t="shared" si="40"/>
        <v>00803890151</v>
      </c>
      <c r="D452" t="str">
        <f t="shared" si="40"/>
        <v>00803890151</v>
      </c>
      <c r="E452" t="s">
        <v>52</v>
      </c>
      <c r="F452">
        <v>2014</v>
      </c>
      <c r="G452">
        <v>40016804</v>
      </c>
      <c r="H452" s="1">
        <v>41752</v>
      </c>
      <c r="I452" s="1">
        <v>41764</v>
      </c>
      <c r="J452" s="1">
        <v>41764</v>
      </c>
      <c r="K452" s="1">
        <v>41854</v>
      </c>
      <c r="N452" s="5"/>
      <c r="O452">
        <v>128.1</v>
      </c>
      <c r="P452">
        <v>240</v>
      </c>
      <c r="Q452" s="2">
        <v>30744</v>
      </c>
      <c r="R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 s="1">
        <v>42382</v>
      </c>
      <c r="AC452" t="s">
        <v>53</v>
      </c>
      <c r="AD452" t="s">
        <v>53</v>
      </c>
      <c r="AK452">
        <v>0</v>
      </c>
      <c r="AU452" s="6">
        <v>42094</v>
      </c>
      <c r="AV452" s="6">
        <v>42094</v>
      </c>
      <c r="AW452" t="s">
        <v>54</v>
      </c>
      <c r="AX452" t="str">
        <f t="shared" si="41"/>
        <v>FOR</v>
      </c>
      <c r="AY452" t="s">
        <v>55</v>
      </c>
    </row>
    <row r="453" spans="1:51" hidden="1">
      <c r="A453">
        <v>100164</v>
      </c>
      <c r="B453" t="s">
        <v>97</v>
      </c>
      <c r="C453" t="str">
        <f t="shared" si="40"/>
        <v>00803890151</v>
      </c>
      <c r="D453" t="str">
        <f t="shared" si="40"/>
        <v>00803890151</v>
      </c>
      <c r="E453" t="s">
        <v>52</v>
      </c>
      <c r="F453">
        <v>2014</v>
      </c>
      <c r="G453">
        <v>40017137</v>
      </c>
      <c r="H453" s="1">
        <v>41754</v>
      </c>
      <c r="I453" s="1">
        <v>41765</v>
      </c>
      <c r="J453" s="1">
        <v>41765</v>
      </c>
      <c r="K453" s="1">
        <v>41855</v>
      </c>
      <c r="N453" s="5"/>
      <c r="O453" s="2">
        <v>2017.64</v>
      </c>
      <c r="P453">
        <v>239</v>
      </c>
      <c r="Q453" s="2">
        <v>482215.96</v>
      </c>
      <c r="R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 s="1">
        <v>42382</v>
      </c>
      <c r="AC453" t="s">
        <v>53</v>
      </c>
      <c r="AD453" t="s">
        <v>53</v>
      </c>
      <c r="AK453">
        <v>0</v>
      </c>
      <c r="AU453" s="6">
        <v>42094</v>
      </c>
      <c r="AV453" s="6">
        <v>42094</v>
      </c>
      <c r="AW453" t="s">
        <v>54</v>
      </c>
      <c r="AX453" t="str">
        <f t="shared" si="41"/>
        <v>FOR</v>
      </c>
      <c r="AY453" t="s">
        <v>55</v>
      </c>
    </row>
    <row r="454" spans="1:51" hidden="1">
      <c r="A454">
        <v>100164</v>
      </c>
      <c r="B454" t="s">
        <v>97</v>
      </c>
      <c r="C454" t="str">
        <f t="shared" si="40"/>
        <v>00803890151</v>
      </c>
      <c r="D454" t="str">
        <f t="shared" si="40"/>
        <v>00803890151</v>
      </c>
      <c r="E454" t="s">
        <v>52</v>
      </c>
      <c r="F454">
        <v>2014</v>
      </c>
      <c r="G454">
        <v>40017138</v>
      </c>
      <c r="H454" s="1">
        <v>41754</v>
      </c>
      <c r="I454" s="1">
        <v>41765</v>
      </c>
      <c r="J454" s="1">
        <v>41765</v>
      </c>
      <c r="K454" s="1">
        <v>41855</v>
      </c>
      <c r="N454" s="5"/>
      <c r="O454" s="2">
        <v>5733.39</v>
      </c>
      <c r="P454">
        <v>239</v>
      </c>
      <c r="Q454" s="2">
        <v>1370280.21</v>
      </c>
      <c r="R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 s="1">
        <v>42382</v>
      </c>
      <c r="AC454" t="s">
        <v>53</v>
      </c>
      <c r="AD454" t="s">
        <v>53</v>
      </c>
      <c r="AK454">
        <v>0</v>
      </c>
      <c r="AU454" s="6">
        <v>42094</v>
      </c>
      <c r="AV454" s="6">
        <v>42094</v>
      </c>
      <c r="AW454" t="s">
        <v>54</v>
      </c>
      <c r="AX454" t="str">
        <f t="shared" si="41"/>
        <v>FOR</v>
      </c>
      <c r="AY454" t="s">
        <v>55</v>
      </c>
    </row>
    <row r="455" spans="1:51" hidden="1">
      <c r="A455">
        <v>100164</v>
      </c>
      <c r="B455" t="s">
        <v>97</v>
      </c>
      <c r="C455" t="str">
        <f t="shared" si="40"/>
        <v>00803890151</v>
      </c>
      <c r="D455" t="str">
        <f t="shared" si="40"/>
        <v>00803890151</v>
      </c>
      <c r="E455" t="s">
        <v>52</v>
      </c>
      <c r="F455">
        <v>2014</v>
      </c>
      <c r="G455">
        <v>40017139</v>
      </c>
      <c r="H455" s="1">
        <v>41754</v>
      </c>
      <c r="I455" s="1">
        <v>41765</v>
      </c>
      <c r="J455" s="1">
        <v>41765</v>
      </c>
      <c r="K455" s="1">
        <v>41855</v>
      </c>
      <c r="N455" s="5"/>
      <c r="O455" s="2">
        <v>3003.03</v>
      </c>
      <c r="P455">
        <v>239</v>
      </c>
      <c r="Q455" s="2">
        <v>717724.17</v>
      </c>
      <c r="R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 s="1">
        <v>42382</v>
      </c>
      <c r="AC455" t="s">
        <v>53</v>
      </c>
      <c r="AD455" t="s">
        <v>53</v>
      </c>
      <c r="AK455">
        <v>0</v>
      </c>
      <c r="AU455" s="6">
        <v>42094</v>
      </c>
      <c r="AV455" s="6">
        <v>42094</v>
      </c>
      <c r="AW455" t="s">
        <v>54</v>
      </c>
      <c r="AX455" t="str">
        <f t="shared" si="41"/>
        <v>FOR</v>
      </c>
      <c r="AY455" t="s">
        <v>55</v>
      </c>
    </row>
    <row r="456" spans="1:51" hidden="1">
      <c r="A456">
        <v>100164</v>
      </c>
      <c r="B456" t="s">
        <v>97</v>
      </c>
      <c r="C456" t="str">
        <f t="shared" si="40"/>
        <v>00803890151</v>
      </c>
      <c r="D456" t="str">
        <f t="shared" si="40"/>
        <v>00803890151</v>
      </c>
      <c r="E456" t="s">
        <v>52</v>
      </c>
      <c r="F456">
        <v>2014</v>
      </c>
      <c r="G456">
        <v>40017140</v>
      </c>
      <c r="H456" s="1">
        <v>41754</v>
      </c>
      <c r="I456" s="1">
        <v>41765</v>
      </c>
      <c r="J456" s="1">
        <v>41765</v>
      </c>
      <c r="K456" s="1">
        <v>41855</v>
      </c>
      <c r="N456" s="5"/>
      <c r="O456" s="2">
        <v>8455.11</v>
      </c>
      <c r="P456">
        <v>239</v>
      </c>
      <c r="Q456" s="2">
        <v>2020771.29</v>
      </c>
      <c r="R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 s="1">
        <v>42382</v>
      </c>
      <c r="AC456" t="s">
        <v>53</v>
      </c>
      <c r="AD456" t="s">
        <v>53</v>
      </c>
      <c r="AK456">
        <v>0</v>
      </c>
      <c r="AU456" s="6">
        <v>42094</v>
      </c>
      <c r="AV456" s="6">
        <v>42094</v>
      </c>
      <c r="AW456" t="s">
        <v>54</v>
      </c>
      <c r="AX456" t="str">
        <f t="shared" si="41"/>
        <v>FOR</v>
      </c>
      <c r="AY456" t="s">
        <v>55</v>
      </c>
    </row>
    <row r="457" spans="1:51" hidden="1">
      <c r="A457">
        <v>100164</v>
      </c>
      <c r="B457" t="s">
        <v>97</v>
      </c>
      <c r="C457" t="str">
        <f t="shared" si="40"/>
        <v>00803890151</v>
      </c>
      <c r="D457" t="str">
        <f t="shared" si="40"/>
        <v>00803890151</v>
      </c>
      <c r="E457" t="s">
        <v>52</v>
      </c>
      <c r="F457">
        <v>2014</v>
      </c>
      <c r="G457">
        <v>40018156</v>
      </c>
      <c r="H457" s="1">
        <v>41764</v>
      </c>
      <c r="I457" s="1">
        <v>41771</v>
      </c>
      <c r="J457" s="1">
        <v>41771</v>
      </c>
      <c r="K457" s="1">
        <v>41861</v>
      </c>
      <c r="N457" s="5"/>
      <c r="O457">
        <v>107.36</v>
      </c>
      <c r="P457">
        <v>270</v>
      </c>
      <c r="Q457" s="2">
        <v>28987.200000000001</v>
      </c>
      <c r="R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 s="1">
        <v>42382</v>
      </c>
      <c r="AC457" t="s">
        <v>53</v>
      </c>
      <c r="AD457" t="s">
        <v>53</v>
      </c>
      <c r="AK457">
        <v>0</v>
      </c>
      <c r="AU457" s="6">
        <v>42131</v>
      </c>
      <c r="AV457" s="6">
        <v>42131</v>
      </c>
      <c r="AW457" t="s">
        <v>54</v>
      </c>
      <c r="AX457" t="str">
        <f t="shared" si="41"/>
        <v>FOR</v>
      </c>
      <c r="AY457" t="s">
        <v>55</v>
      </c>
    </row>
    <row r="458" spans="1:51" hidden="1">
      <c r="A458">
        <v>100164</v>
      </c>
      <c r="B458" t="s">
        <v>97</v>
      </c>
      <c r="C458" t="str">
        <f t="shared" si="40"/>
        <v>00803890151</v>
      </c>
      <c r="D458" t="str">
        <f t="shared" si="40"/>
        <v>00803890151</v>
      </c>
      <c r="E458" t="s">
        <v>52</v>
      </c>
      <c r="F458">
        <v>2014</v>
      </c>
      <c r="G458">
        <v>40018306</v>
      </c>
      <c r="H458" s="1">
        <v>41765</v>
      </c>
      <c r="I458" s="1">
        <v>41771</v>
      </c>
      <c r="J458" s="1">
        <v>41771</v>
      </c>
      <c r="K458" s="1">
        <v>41861</v>
      </c>
      <c r="N458" s="5"/>
      <c r="O458">
        <v>307.82</v>
      </c>
      <c r="P458">
        <v>270</v>
      </c>
      <c r="Q458" s="2">
        <v>83111.399999999994</v>
      </c>
      <c r="R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 s="1">
        <v>42382</v>
      </c>
      <c r="AC458" t="s">
        <v>53</v>
      </c>
      <c r="AD458" t="s">
        <v>53</v>
      </c>
      <c r="AK458">
        <v>0</v>
      </c>
      <c r="AU458" s="6">
        <v>42131</v>
      </c>
      <c r="AV458" s="6">
        <v>42131</v>
      </c>
      <c r="AW458" t="s">
        <v>54</v>
      </c>
      <c r="AX458" t="str">
        <f t="shared" si="41"/>
        <v>FOR</v>
      </c>
      <c r="AY458" t="s">
        <v>55</v>
      </c>
    </row>
    <row r="459" spans="1:51" hidden="1">
      <c r="A459">
        <v>100164</v>
      </c>
      <c r="B459" t="s">
        <v>97</v>
      </c>
      <c r="C459" t="str">
        <f t="shared" si="40"/>
        <v>00803890151</v>
      </c>
      <c r="D459" t="str">
        <f t="shared" si="40"/>
        <v>00803890151</v>
      </c>
      <c r="E459" t="s">
        <v>52</v>
      </c>
      <c r="F459">
        <v>2014</v>
      </c>
      <c r="G459">
        <v>40018441</v>
      </c>
      <c r="H459" s="1">
        <v>41766</v>
      </c>
      <c r="I459" s="1">
        <v>41773</v>
      </c>
      <c r="J459" s="1">
        <v>41773</v>
      </c>
      <c r="K459" s="1">
        <v>41863</v>
      </c>
      <c r="N459" s="5"/>
      <c r="O459">
        <v>440.96</v>
      </c>
      <c r="P459">
        <v>268</v>
      </c>
      <c r="Q459" s="2">
        <v>118177.28</v>
      </c>
      <c r="R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 s="1">
        <v>42382</v>
      </c>
      <c r="AC459" t="s">
        <v>53</v>
      </c>
      <c r="AD459" t="s">
        <v>53</v>
      </c>
      <c r="AK459">
        <v>0</v>
      </c>
      <c r="AU459" s="6">
        <v>42131</v>
      </c>
      <c r="AV459" s="6">
        <v>42131</v>
      </c>
      <c r="AW459" t="s">
        <v>54</v>
      </c>
      <c r="AX459" t="str">
        <f t="shared" si="41"/>
        <v>FOR</v>
      </c>
      <c r="AY459" t="s">
        <v>55</v>
      </c>
    </row>
    <row r="460" spans="1:51" hidden="1">
      <c r="A460">
        <v>100164</v>
      </c>
      <c r="B460" t="s">
        <v>97</v>
      </c>
      <c r="C460" t="str">
        <f t="shared" si="40"/>
        <v>00803890151</v>
      </c>
      <c r="D460" t="str">
        <f t="shared" si="40"/>
        <v>00803890151</v>
      </c>
      <c r="E460" t="s">
        <v>52</v>
      </c>
      <c r="F460">
        <v>2014</v>
      </c>
      <c r="G460">
        <v>40018863</v>
      </c>
      <c r="H460" s="1">
        <v>41768</v>
      </c>
      <c r="I460" s="1">
        <v>41778</v>
      </c>
      <c r="J460" s="1">
        <v>41778</v>
      </c>
      <c r="K460" s="1">
        <v>41868</v>
      </c>
      <c r="N460" s="5"/>
      <c r="O460">
        <v>527.04</v>
      </c>
      <c r="P460">
        <v>263</v>
      </c>
      <c r="Q460" s="2">
        <v>138611.51999999999</v>
      </c>
      <c r="R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 s="1">
        <v>42382</v>
      </c>
      <c r="AC460" t="s">
        <v>53</v>
      </c>
      <c r="AD460" t="s">
        <v>53</v>
      </c>
      <c r="AK460">
        <v>0</v>
      </c>
      <c r="AU460" s="6">
        <v>42131</v>
      </c>
      <c r="AV460" s="6">
        <v>42131</v>
      </c>
      <c r="AW460" t="s">
        <v>54</v>
      </c>
      <c r="AX460" t="str">
        <f t="shared" si="41"/>
        <v>FOR</v>
      </c>
      <c r="AY460" t="s">
        <v>55</v>
      </c>
    </row>
    <row r="461" spans="1:51" hidden="1">
      <c r="A461">
        <v>100164</v>
      </c>
      <c r="B461" t="s">
        <v>97</v>
      </c>
      <c r="C461" t="str">
        <f t="shared" si="40"/>
        <v>00803890151</v>
      </c>
      <c r="D461" t="str">
        <f t="shared" si="40"/>
        <v>00803890151</v>
      </c>
      <c r="E461" t="s">
        <v>52</v>
      </c>
      <c r="F461">
        <v>2014</v>
      </c>
      <c r="G461">
        <v>40018864</v>
      </c>
      <c r="H461" s="1">
        <v>41768</v>
      </c>
      <c r="I461" s="1">
        <v>41778</v>
      </c>
      <c r="J461" s="1">
        <v>41778</v>
      </c>
      <c r="K461" s="1">
        <v>41868</v>
      </c>
      <c r="N461" s="5"/>
      <c r="O461" s="2">
        <v>2488.8000000000002</v>
      </c>
      <c r="P461">
        <v>263</v>
      </c>
      <c r="Q461" s="2">
        <v>654554.4</v>
      </c>
      <c r="R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 s="1">
        <v>42382</v>
      </c>
      <c r="AC461" t="s">
        <v>53</v>
      </c>
      <c r="AD461" t="s">
        <v>53</v>
      </c>
      <c r="AK461">
        <v>0</v>
      </c>
      <c r="AU461" s="6">
        <v>42131</v>
      </c>
      <c r="AV461" s="6">
        <v>42131</v>
      </c>
      <c r="AW461" t="s">
        <v>54</v>
      </c>
      <c r="AX461" t="str">
        <f t="shared" si="41"/>
        <v>FOR</v>
      </c>
      <c r="AY461" t="s">
        <v>55</v>
      </c>
    </row>
    <row r="462" spans="1:51" hidden="1">
      <c r="A462">
        <v>100164</v>
      </c>
      <c r="B462" t="s">
        <v>97</v>
      </c>
      <c r="C462" t="str">
        <f t="shared" si="40"/>
        <v>00803890151</v>
      </c>
      <c r="D462" t="str">
        <f t="shared" si="40"/>
        <v>00803890151</v>
      </c>
      <c r="E462" t="s">
        <v>52</v>
      </c>
      <c r="F462">
        <v>2014</v>
      </c>
      <c r="G462">
        <v>40019778</v>
      </c>
      <c r="H462" s="1">
        <v>41774</v>
      </c>
      <c r="I462" s="1">
        <v>41782</v>
      </c>
      <c r="J462" s="1">
        <v>41782</v>
      </c>
      <c r="K462" s="1">
        <v>41872</v>
      </c>
      <c r="N462" s="5"/>
      <c r="O462">
        <v>768.6</v>
      </c>
      <c r="P462">
        <v>259</v>
      </c>
      <c r="Q462" s="2">
        <v>199067.4</v>
      </c>
      <c r="R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 s="1">
        <v>42382</v>
      </c>
      <c r="AC462" t="s">
        <v>53</v>
      </c>
      <c r="AD462" t="s">
        <v>53</v>
      </c>
      <c r="AK462">
        <v>0</v>
      </c>
      <c r="AU462" s="6">
        <v>42131</v>
      </c>
      <c r="AV462" s="6">
        <v>42131</v>
      </c>
      <c r="AW462" t="s">
        <v>54</v>
      </c>
      <c r="AX462" t="str">
        <f t="shared" si="41"/>
        <v>FOR</v>
      </c>
      <c r="AY462" t="s">
        <v>55</v>
      </c>
    </row>
    <row r="463" spans="1:51" hidden="1">
      <c r="A463">
        <v>100164</v>
      </c>
      <c r="B463" t="s">
        <v>97</v>
      </c>
      <c r="C463" t="str">
        <f t="shared" si="40"/>
        <v>00803890151</v>
      </c>
      <c r="D463" t="str">
        <f t="shared" si="40"/>
        <v>00803890151</v>
      </c>
      <c r="E463" t="s">
        <v>52</v>
      </c>
      <c r="F463">
        <v>2014</v>
      </c>
      <c r="G463">
        <v>40019929</v>
      </c>
      <c r="H463" s="1">
        <v>41775</v>
      </c>
      <c r="I463" s="1">
        <v>41788</v>
      </c>
      <c r="J463" s="1">
        <v>41788</v>
      </c>
      <c r="K463" s="1">
        <v>41878</v>
      </c>
      <c r="N463" s="5"/>
      <c r="O463" s="2">
        <v>10143.69</v>
      </c>
      <c r="P463">
        <v>253</v>
      </c>
      <c r="Q463" s="2">
        <v>2566353.5699999998</v>
      </c>
      <c r="R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 s="1">
        <v>42382</v>
      </c>
      <c r="AC463" t="s">
        <v>53</v>
      </c>
      <c r="AD463" t="s">
        <v>53</v>
      </c>
      <c r="AK463">
        <v>0</v>
      </c>
      <c r="AU463" s="6">
        <v>42131</v>
      </c>
      <c r="AV463" s="6">
        <v>42131</v>
      </c>
      <c r="AW463" t="s">
        <v>54</v>
      </c>
      <c r="AX463" t="str">
        <f t="shared" si="41"/>
        <v>FOR</v>
      </c>
      <c r="AY463" t="s">
        <v>55</v>
      </c>
    </row>
    <row r="464" spans="1:51" hidden="1">
      <c r="A464">
        <v>100164</v>
      </c>
      <c r="B464" t="s">
        <v>97</v>
      </c>
      <c r="C464" t="str">
        <f t="shared" ref="C464:D483" si="42">"00803890151"</f>
        <v>00803890151</v>
      </c>
      <c r="D464" t="str">
        <f t="shared" si="42"/>
        <v>00803890151</v>
      </c>
      <c r="E464" t="s">
        <v>52</v>
      </c>
      <c r="F464">
        <v>2014</v>
      </c>
      <c r="G464">
        <v>40021383</v>
      </c>
      <c r="H464" s="1">
        <v>41787</v>
      </c>
      <c r="I464" s="1">
        <v>41795</v>
      </c>
      <c r="J464" s="1">
        <v>41795</v>
      </c>
      <c r="K464" s="1">
        <v>41885</v>
      </c>
      <c r="N464" s="5"/>
      <c r="O464" s="2">
        <v>9287.8799999999992</v>
      </c>
      <c r="P464">
        <v>246</v>
      </c>
      <c r="Q464" s="2">
        <v>2284818.48</v>
      </c>
      <c r="R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 s="1">
        <v>42382</v>
      </c>
      <c r="AC464" t="s">
        <v>53</v>
      </c>
      <c r="AD464" t="s">
        <v>53</v>
      </c>
      <c r="AK464">
        <v>0</v>
      </c>
      <c r="AU464" s="6">
        <v>42131</v>
      </c>
      <c r="AV464" s="6">
        <v>42131</v>
      </c>
      <c r="AW464" t="s">
        <v>54</v>
      </c>
      <c r="AX464" t="str">
        <f t="shared" si="41"/>
        <v>FOR</v>
      </c>
      <c r="AY464" t="s">
        <v>55</v>
      </c>
    </row>
    <row r="465" spans="1:51" hidden="1">
      <c r="A465">
        <v>100164</v>
      </c>
      <c r="B465" t="s">
        <v>97</v>
      </c>
      <c r="C465" t="str">
        <f t="shared" si="42"/>
        <v>00803890151</v>
      </c>
      <c r="D465" t="str">
        <f t="shared" si="42"/>
        <v>00803890151</v>
      </c>
      <c r="E465" t="s">
        <v>52</v>
      </c>
      <c r="F465">
        <v>2014</v>
      </c>
      <c r="G465">
        <v>40021384</v>
      </c>
      <c r="H465" s="1">
        <v>41787</v>
      </c>
      <c r="I465" s="1">
        <v>41795</v>
      </c>
      <c r="J465" s="1">
        <v>41795</v>
      </c>
      <c r="K465" s="1">
        <v>41885</v>
      </c>
      <c r="N465" s="5"/>
      <c r="O465">
        <v>80.52</v>
      </c>
      <c r="P465">
        <v>246</v>
      </c>
      <c r="Q465" s="2">
        <v>19807.919999999998</v>
      </c>
      <c r="R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 s="1">
        <v>42382</v>
      </c>
      <c r="AC465" t="s">
        <v>53</v>
      </c>
      <c r="AD465" t="s">
        <v>53</v>
      </c>
      <c r="AK465">
        <v>0</v>
      </c>
      <c r="AU465" s="6">
        <v>42131</v>
      </c>
      <c r="AV465" s="6">
        <v>42131</v>
      </c>
      <c r="AW465" t="s">
        <v>54</v>
      </c>
      <c r="AX465" t="str">
        <f t="shared" si="41"/>
        <v>FOR</v>
      </c>
      <c r="AY465" t="s">
        <v>55</v>
      </c>
    </row>
    <row r="466" spans="1:51" hidden="1">
      <c r="A466">
        <v>100164</v>
      </c>
      <c r="B466" t="s">
        <v>97</v>
      </c>
      <c r="C466" t="str">
        <f t="shared" si="42"/>
        <v>00803890151</v>
      </c>
      <c r="D466" t="str">
        <f t="shared" si="42"/>
        <v>00803890151</v>
      </c>
      <c r="E466" t="s">
        <v>52</v>
      </c>
      <c r="F466">
        <v>2014</v>
      </c>
      <c r="G466">
        <v>40022096</v>
      </c>
      <c r="H466" s="1">
        <v>41792</v>
      </c>
      <c r="I466" s="1">
        <v>41800</v>
      </c>
      <c r="J466" s="1">
        <v>41800</v>
      </c>
      <c r="K466" s="1">
        <v>41890</v>
      </c>
      <c r="N466" s="5"/>
      <c r="O466" s="2">
        <v>2562</v>
      </c>
      <c r="P466">
        <v>241</v>
      </c>
      <c r="Q466" s="2">
        <v>617442</v>
      </c>
      <c r="R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 s="1">
        <v>42382</v>
      </c>
      <c r="AC466" t="s">
        <v>53</v>
      </c>
      <c r="AD466" t="s">
        <v>53</v>
      </c>
      <c r="AK466">
        <v>0</v>
      </c>
      <c r="AU466" s="6">
        <v>42131</v>
      </c>
      <c r="AV466" s="6">
        <v>42131</v>
      </c>
      <c r="AW466" t="s">
        <v>54</v>
      </c>
      <c r="AX466" t="str">
        <f t="shared" si="41"/>
        <v>FOR</v>
      </c>
      <c r="AY466" t="s">
        <v>55</v>
      </c>
    </row>
    <row r="467" spans="1:51" hidden="1">
      <c r="A467">
        <v>100164</v>
      </c>
      <c r="B467" t="s">
        <v>97</v>
      </c>
      <c r="C467" t="str">
        <f t="shared" si="42"/>
        <v>00803890151</v>
      </c>
      <c r="D467" t="str">
        <f t="shared" si="42"/>
        <v>00803890151</v>
      </c>
      <c r="E467" t="s">
        <v>52</v>
      </c>
      <c r="F467">
        <v>2014</v>
      </c>
      <c r="G467">
        <v>40022392</v>
      </c>
      <c r="H467" s="1">
        <v>41794</v>
      </c>
      <c r="I467" s="1">
        <v>41802</v>
      </c>
      <c r="J467" s="1">
        <v>41802</v>
      </c>
      <c r="K467" s="1">
        <v>41892</v>
      </c>
      <c r="N467" s="5"/>
      <c r="O467">
        <v>109.8</v>
      </c>
      <c r="P467">
        <v>239</v>
      </c>
      <c r="Q467" s="2">
        <v>26242.2</v>
      </c>
      <c r="R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 s="1">
        <v>42382</v>
      </c>
      <c r="AC467" t="s">
        <v>53</v>
      </c>
      <c r="AD467" t="s">
        <v>53</v>
      </c>
      <c r="AK467">
        <v>0</v>
      </c>
      <c r="AU467" s="6">
        <v>42131</v>
      </c>
      <c r="AV467" s="6">
        <v>42131</v>
      </c>
      <c r="AW467" t="s">
        <v>54</v>
      </c>
      <c r="AX467" t="str">
        <f t="shared" si="41"/>
        <v>FOR</v>
      </c>
      <c r="AY467" t="s">
        <v>55</v>
      </c>
    </row>
    <row r="468" spans="1:51" hidden="1">
      <c r="A468">
        <v>100164</v>
      </c>
      <c r="B468" t="s">
        <v>97</v>
      </c>
      <c r="C468" t="str">
        <f t="shared" si="42"/>
        <v>00803890151</v>
      </c>
      <c r="D468" t="str">
        <f t="shared" si="42"/>
        <v>00803890151</v>
      </c>
      <c r="E468" t="s">
        <v>52</v>
      </c>
      <c r="F468">
        <v>2014</v>
      </c>
      <c r="G468">
        <v>40023101</v>
      </c>
      <c r="H468" s="1">
        <v>41800</v>
      </c>
      <c r="I468" s="1">
        <v>41808</v>
      </c>
      <c r="J468" s="1">
        <v>41808</v>
      </c>
      <c r="K468" s="1">
        <v>41898</v>
      </c>
      <c r="N468" s="5"/>
      <c r="O468" s="2">
        <v>4596.96</v>
      </c>
      <c r="P468">
        <v>233</v>
      </c>
      <c r="Q468" s="2">
        <v>1071091.68</v>
      </c>
      <c r="R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 s="1">
        <v>42382</v>
      </c>
      <c r="AC468" t="s">
        <v>53</v>
      </c>
      <c r="AD468" t="s">
        <v>53</v>
      </c>
      <c r="AK468">
        <v>0</v>
      </c>
      <c r="AU468" s="6">
        <v>42131</v>
      </c>
      <c r="AV468" s="6">
        <v>42131</v>
      </c>
      <c r="AW468" t="s">
        <v>54</v>
      </c>
      <c r="AX468" t="str">
        <f t="shared" si="41"/>
        <v>FOR</v>
      </c>
      <c r="AY468" t="s">
        <v>55</v>
      </c>
    </row>
    <row r="469" spans="1:51" hidden="1">
      <c r="A469">
        <v>100164</v>
      </c>
      <c r="B469" t="s">
        <v>97</v>
      </c>
      <c r="C469" t="str">
        <f t="shared" si="42"/>
        <v>00803890151</v>
      </c>
      <c r="D469" t="str">
        <f t="shared" si="42"/>
        <v>00803890151</v>
      </c>
      <c r="E469" t="s">
        <v>52</v>
      </c>
      <c r="F469">
        <v>2014</v>
      </c>
      <c r="G469">
        <v>40023787</v>
      </c>
      <c r="H469" s="1">
        <v>41803</v>
      </c>
      <c r="I469" s="1">
        <v>41814</v>
      </c>
      <c r="J469" s="1">
        <v>41814</v>
      </c>
      <c r="K469" s="1">
        <v>41904</v>
      </c>
      <c r="N469" s="5"/>
      <c r="O469">
        <v>167.75</v>
      </c>
      <c r="P469">
        <v>227</v>
      </c>
      <c r="Q469" s="2">
        <v>38079.25</v>
      </c>
      <c r="R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 s="1">
        <v>42382</v>
      </c>
      <c r="AC469" t="s">
        <v>53</v>
      </c>
      <c r="AD469" t="s">
        <v>53</v>
      </c>
      <c r="AK469">
        <v>0</v>
      </c>
      <c r="AU469" s="6">
        <v>42131</v>
      </c>
      <c r="AV469" s="6">
        <v>42131</v>
      </c>
      <c r="AW469" t="s">
        <v>54</v>
      </c>
      <c r="AX469" t="str">
        <f t="shared" si="41"/>
        <v>FOR</v>
      </c>
      <c r="AY469" t="s">
        <v>55</v>
      </c>
    </row>
    <row r="470" spans="1:51" hidden="1">
      <c r="A470">
        <v>100164</v>
      </c>
      <c r="B470" t="s">
        <v>97</v>
      </c>
      <c r="C470" t="str">
        <f t="shared" si="42"/>
        <v>00803890151</v>
      </c>
      <c r="D470" t="str">
        <f t="shared" si="42"/>
        <v>00803890151</v>
      </c>
      <c r="E470" t="s">
        <v>52</v>
      </c>
      <c r="F470">
        <v>2014</v>
      </c>
      <c r="G470">
        <v>40025100</v>
      </c>
      <c r="H470" s="1">
        <v>41813</v>
      </c>
      <c r="I470" s="1">
        <v>41820</v>
      </c>
      <c r="J470" s="1">
        <v>41820</v>
      </c>
      <c r="K470" s="1">
        <v>41910</v>
      </c>
      <c r="N470" s="5"/>
      <c r="O470">
        <v>268.39999999999998</v>
      </c>
      <c r="P470">
        <v>221</v>
      </c>
      <c r="Q470" s="2">
        <v>59316.4</v>
      </c>
      <c r="R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 s="1">
        <v>42382</v>
      </c>
      <c r="AC470" t="s">
        <v>53</v>
      </c>
      <c r="AD470" t="s">
        <v>53</v>
      </c>
      <c r="AK470">
        <v>0</v>
      </c>
      <c r="AU470" s="6">
        <v>42131</v>
      </c>
      <c r="AV470" s="6">
        <v>42131</v>
      </c>
      <c r="AW470" t="s">
        <v>54</v>
      </c>
      <c r="AX470" t="str">
        <f t="shared" si="41"/>
        <v>FOR</v>
      </c>
      <c r="AY470" t="s">
        <v>55</v>
      </c>
    </row>
    <row r="471" spans="1:51" hidden="1">
      <c r="A471">
        <v>100164</v>
      </c>
      <c r="B471" t="s">
        <v>97</v>
      </c>
      <c r="C471" t="str">
        <f t="shared" si="42"/>
        <v>00803890151</v>
      </c>
      <c r="D471" t="str">
        <f t="shared" si="42"/>
        <v>00803890151</v>
      </c>
      <c r="E471" t="s">
        <v>52</v>
      </c>
      <c r="F471">
        <v>2014</v>
      </c>
      <c r="G471">
        <v>40025473</v>
      </c>
      <c r="H471" s="1">
        <v>41815</v>
      </c>
      <c r="I471" s="1">
        <v>41821</v>
      </c>
      <c r="J471" s="1">
        <v>41821</v>
      </c>
      <c r="K471" s="1">
        <v>41911</v>
      </c>
      <c r="N471" s="5"/>
      <c r="O471">
        <v>268.39999999999998</v>
      </c>
      <c r="P471">
        <v>220</v>
      </c>
      <c r="Q471" s="2">
        <v>59048</v>
      </c>
      <c r="R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 s="1">
        <v>42382</v>
      </c>
      <c r="AC471" t="s">
        <v>53</v>
      </c>
      <c r="AD471" t="s">
        <v>53</v>
      </c>
      <c r="AK471">
        <v>0</v>
      </c>
      <c r="AU471" s="6">
        <v>42131</v>
      </c>
      <c r="AV471" s="6">
        <v>42131</v>
      </c>
      <c r="AW471" t="s">
        <v>54</v>
      </c>
      <c r="AX471" t="str">
        <f t="shared" si="41"/>
        <v>FOR</v>
      </c>
      <c r="AY471" t="s">
        <v>55</v>
      </c>
    </row>
    <row r="472" spans="1:51" hidden="1">
      <c r="A472">
        <v>100164</v>
      </c>
      <c r="B472" t="s">
        <v>97</v>
      </c>
      <c r="C472" t="str">
        <f t="shared" si="42"/>
        <v>00803890151</v>
      </c>
      <c r="D472" t="str">
        <f t="shared" si="42"/>
        <v>00803890151</v>
      </c>
      <c r="E472" t="s">
        <v>52</v>
      </c>
      <c r="F472">
        <v>2014</v>
      </c>
      <c r="G472">
        <v>40025996</v>
      </c>
      <c r="H472" s="1">
        <v>41817</v>
      </c>
      <c r="I472" s="1">
        <v>41827</v>
      </c>
      <c r="J472" s="1">
        <v>41827</v>
      </c>
      <c r="K472" s="1">
        <v>41917</v>
      </c>
      <c r="N472" s="5"/>
      <c r="O472" s="2">
        <v>4270</v>
      </c>
      <c r="P472">
        <v>214</v>
      </c>
      <c r="Q472" s="2">
        <v>913780</v>
      </c>
      <c r="R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 s="1">
        <v>42382</v>
      </c>
      <c r="AC472" t="s">
        <v>53</v>
      </c>
      <c r="AD472" t="s">
        <v>53</v>
      </c>
      <c r="AK472">
        <v>0</v>
      </c>
      <c r="AU472" s="6">
        <v>42131</v>
      </c>
      <c r="AV472" s="6">
        <v>42131</v>
      </c>
      <c r="AW472" t="s">
        <v>54</v>
      </c>
      <c r="AX472" t="str">
        <f t="shared" si="41"/>
        <v>FOR</v>
      </c>
      <c r="AY472" t="s">
        <v>55</v>
      </c>
    </row>
    <row r="473" spans="1:51" hidden="1">
      <c r="A473">
        <v>100164</v>
      </c>
      <c r="B473" t="s">
        <v>97</v>
      </c>
      <c r="C473" t="str">
        <f t="shared" si="42"/>
        <v>00803890151</v>
      </c>
      <c r="D473" t="str">
        <f t="shared" si="42"/>
        <v>00803890151</v>
      </c>
      <c r="E473" t="s">
        <v>52</v>
      </c>
      <c r="F473">
        <v>2014</v>
      </c>
      <c r="G473">
        <v>40025997</v>
      </c>
      <c r="H473" s="1">
        <v>41817</v>
      </c>
      <c r="I473" s="1">
        <v>41827</v>
      </c>
      <c r="J473" s="1">
        <v>41827</v>
      </c>
      <c r="K473" s="1">
        <v>41917</v>
      </c>
      <c r="N473" s="5"/>
      <c r="O473">
        <v>152.5</v>
      </c>
      <c r="P473">
        <v>214</v>
      </c>
      <c r="Q473" s="2">
        <v>32635</v>
      </c>
      <c r="R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 s="1">
        <v>42382</v>
      </c>
      <c r="AC473" t="s">
        <v>53</v>
      </c>
      <c r="AD473" t="s">
        <v>53</v>
      </c>
      <c r="AK473">
        <v>0</v>
      </c>
      <c r="AU473" s="6">
        <v>42131</v>
      </c>
      <c r="AV473" s="6">
        <v>42131</v>
      </c>
      <c r="AW473" t="s">
        <v>54</v>
      </c>
      <c r="AX473" t="str">
        <f t="shared" si="41"/>
        <v>FOR</v>
      </c>
      <c r="AY473" t="s">
        <v>55</v>
      </c>
    </row>
    <row r="474" spans="1:51" hidden="1">
      <c r="A474">
        <v>100164</v>
      </c>
      <c r="B474" t="s">
        <v>97</v>
      </c>
      <c r="C474" t="str">
        <f t="shared" si="42"/>
        <v>00803890151</v>
      </c>
      <c r="D474" t="str">
        <f t="shared" si="42"/>
        <v>00803890151</v>
      </c>
      <c r="E474" t="s">
        <v>52</v>
      </c>
      <c r="F474">
        <v>2014</v>
      </c>
      <c r="G474">
        <v>40026377</v>
      </c>
      <c r="H474" s="1">
        <v>41817</v>
      </c>
      <c r="I474" s="1">
        <v>41827</v>
      </c>
      <c r="J474" s="1">
        <v>41827</v>
      </c>
      <c r="K474" s="1">
        <v>41917</v>
      </c>
      <c r="N474" s="5"/>
      <c r="O474" s="2">
        <v>4851.33</v>
      </c>
      <c r="P474">
        <v>214</v>
      </c>
      <c r="Q474" s="2">
        <v>1038184.62</v>
      </c>
      <c r="R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 s="1">
        <v>42382</v>
      </c>
      <c r="AC474" t="s">
        <v>53</v>
      </c>
      <c r="AD474" t="s">
        <v>53</v>
      </c>
      <c r="AK474">
        <v>0</v>
      </c>
      <c r="AU474" s="6">
        <v>42131</v>
      </c>
      <c r="AV474" s="6">
        <v>42131</v>
      </c>
      <c r="AW474" t="s">
        <v>54</v>
      </c>
      <c r="AX474" t="str">
        <f t="shared" si="41"/>
        <v>FOR</v>
      </c>
      <c r="AY474" t="s">
        <v>55</v>
      </c>
    </row>
    <row r="475" spans="1:51" hidden="1">
      <c r="A475">
        <v>100164</v>
      </c>
      <c r="B475" t="s">
        <v>97</v>
      </c>
      <c r="C475" t="str">
        <f t="shared" si="42"/>
        <v>00803890151</v>
      </c>
      <c r="D475" t="str">
        <f t="shared" si="42"/>
        <v>00803890151</v>
      </c>
      <c r="E475" t="s">
        <v>52</v>
      </c>
      <c r="F475">
        <v>2014</v>
      </c>
      <c r="G475">
        <v>40027145</v>
      </c>
      <c r="H475" s="1">
        <v>41823</v>
      </c>
      <c r="I475" s="1">
        <v>41830</v>
      </c>
      <c r="J475" s="1">
        <v>41830</v>
      </c>
      <c r="K475" s="1">
        <v>41920</v>
      </c>
      <c r="N475" s="5"/>
      <c r="O475">
        <v>268.39999999999998</v>
      </c>
      <c r="P475">
        <v>280</v>
      </c>
      <c r="Q475" s="2">
        <v>75152</v>
      </c>
      <c r="R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 s="1">
        <v>42382</v>
      </c>
      <c r="AC475" t="s">
        <v>53</v>
      </c>
      <c r="AD475" t="s">
        <v>53</v>
      </c>
      <c r="AK475">
        <v>0</v>
      </c>
      <c r="AU475" s="6">
        <v>42200</v>
      </c>
      <c r="AV475" s="6">
        <v>42200</v>
      </c>
      <c r="AW475" t="s">
        <v>54</v>
      </c>
      <c r="AX475" t="str">
        <f t="shared" si="41"/>
        <v>FOR</v>
      </c>
      <c r="AY475" t="s">
        <v>55</v>
      </c>
    </row>
    <row r="476" spans="1:51" hidden="1">
      <c r="A476">
        <v>100164</v>
      </c>
      <c r="B476" t="s">
        <v>97</v>
      </c>
      <c r="C476" t="str">
        <f t="shared" si="42"/>
        <v>00803890151</v>
      </c>
      <c r="D476" t="str">
        <f t="shared" si="42"/>
        <v>00803890151</v>
      </c>
      <c r="E476" t="s">
        <v>52</v>
      </c>
      <c r="F476">
        <v>2014</v>
      </c>
      <c r="G476">
        <v>40028392</v>
      </c>
      <c r="H476" s="1">
        <v>41831</v>
      </c>
      <c r="I476" s="1">
        <v>41841</v>
      </c>
      <c r="J476" s="1">
        <v>41841</v>
      </c>
      <c r="K476" s="1">
        <v>41931</v>
      </c>
      <c r="N476" s="5"/>
      <c r="O476" s="2">
        <v>11102</v>
      </c>
      <c r="P476">
        <v>269</v>
      </c>
      <c r="Q476" s="2">
        <v>2986438</v>
      </c>
      <c r="R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 s="1">
        <v>42382</v>
      </c>
      <c r="AC476" t="s">
        <v>53</v>
      </c>
      <c r="AD476" t="s">
        <v>53</v>
      </c>
      <c r="AK476">
        <v>0</v>
      </c>
      <c r="AU476" s="6">
        <v>42200</v>
      </c>
      <c r="AV476" s="6">
        <v>42200</v>
      </c>
      <c r="AW476" t="s">
        <v>54</v>
      </c>
      <c r="AX476" t="str">
        <f t="shared" si="41"/>
        <v>FOR</v>
      </c>
      <c r="AY476" t="s">
        <v>55</v>
      </c>
    </row>
    <row r="477" spans="1:51" hidden="1">
      <c r="A477">
        <v>100164</v>
      </c>
      <c r="B477" t="s">
        <v>97</v>
      </c>
      <c r="C477" t="str">
        <f t="shared" si="42"/>
        <v>00803890151</v>
      </c>
      <c r="D477" t="str">
        <f t="shared" si="42"/>
        <v>00803890151</v>
      </c>
      <c r="E477" t="s">
        <v>52</v>
      </c>
      <c r="F477">
        <v>2014</v>
      </c>
      <c r="G477">
        <v>40028393</v>
      </c>
      <c r="H477" s="1">
        <v>41831</v>
      </c>
      <c r="I477" s="1">
        <v>41841</v>
      </c>
      <c r="J477" s="1">
        <v>41841</v>
      </c>
      <c r="K477" s="1">
        <v>41931</v>
      </c>
      <c r="N477" s="5"/>
      <c r="O477" s="2">
        <v>3074.4</v>
      </c>
      <c r="P477">
        <v>269</v>
      </c>
      <c r="Q477" s="2">
        <v>827013.6</v>
      </c>
      <c r="R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 s="1">
        <v>42382</v>
      </c>
      <c r="AC477" t="s">
        <v>53</v>
      </c>
      <c r="AD477" t="s">
        <v>53</v>
      </c>
      <c r="AK477">
        <v>0</v>
      </c>
      <c r="AU477" s="6">
        <v>42200</v>
      </c>
      <c r="AV477" s="6">
        <v>42200</v>
      </c>
      <c r="AW477" t="s">
        <v>54</v>
      </c>
      <c r="AX477" t="str">
        <f t="shared" si="41"/>
        <v>FOR</v>
      </c>
      <c r="AY477" t="s">
        <v>55</v>
      </c>
    </row>
    <row r="478" spans="1:51" hidden="1">
      <c r="A478">
        <v>100164</v>
      </c>
      <c r="B478" t="s">
        <v>97</v>
      </c>
      <c r="C478" t="str">
        <f t="shared" si="42"/>
        <v>00803890151</v>
      </c>
      <c r="D478" t="str">
        <f t="shared" si="42"/>
        <v>00803890151</v>
      </c>
      <c r="E478" t="s">
        <v>52</v>
      </c>
      <c r="F478">
        <v>2014</v>
      </c>
      <c r="G478">
        <v>40028394</v>
      </c>
      <c r="H478" s="1">
        <v>41831</v>
      </c>
      <c r="I478" s="1">
        <v>41841</v>
      </c>
      <c r="J478" s="1">
        <v>41841</v>
      </c>
      <c r="K478" s="1">
        <v>41931</v>
      </c>
      <c r="N478" s="5"/>
      <c r="O478" s="2">
        <v>10362.68</v>
      </c>
      <c r="P478">
        <v>269</v>
      </c>
      <c r="Q478" s="2">
        <v>2787560.92</v>
      </c>
      <c r="R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 s="1">
        <v>42382</v>
      </c>
      <c r="AC478" t="s">
        <v>53</v>
      </c>
      <c r="AD478" t="s">
        <v>53</v>
      </c>
      <c r="AK478">
        <v>0</v>
      </c>
      <c r="AU478" s="6">
        <v>42200</v>
      </c>
      <c r="AV478" s="6">
        <v>42200</v>
      </c>
      <c r="AW478" t="s">
        <v>54</v>
      </c>
      <c r="AX478" t="str">
        <f t="shared" si="41"/>
        <v>FOR</v>
      </c>
      <c r="AY478" t="s">
        <v>55</v>
      </c>
    </row>
    <row r="479" spans="1:51" hidden="1">
      <c r="A479">
        <v>100164</v>
      </c>
      <c r="B479" t="s">
        <v>97</v>
      </c>
      <c r="C479" t="str">
        <f t="shared" si="42"/>
        <v>00803890151</v>
      </c>
      <c r="D479" t="str">
        <f t="shared" si="42"/>
        <v>00803890151</v>
      </c>
      <c r="E479" t="s">
        <v>52</v>
      </c>
      <c r="F479">
        <v>2014</v>
      </c>
      <c r="G479">
        <v>40028395</v>
      </c>
      <c r="H479" s="1">
        <v>41831</v>
      </c>
      <c r="I479" s="1">
        <v>41841</v>
      </c>
      <c r="J479" s="1">
        <v>41841</v>
      </c>
      <c r="K479" s="1">
        <v>41931</v>
      </c>
      <c r="N479" s="5"/>
      <c r="O479" s="2">
        <v>2131.9499999999998</v>
      </c>
      <c r="P479">
        <v>269</v>
      </c>
      <c r="Q479" s="2">
        <v>573494.55000000005</v>
      </c>
      <c r="R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 s="1">
        <v>42382</v>
      </c>
      <c r="AC479" t="s">
        <v>53</v>
      </c>
      <c r="AD479" t="s">
        <v>53</v>
      </c>
      <c r="AK479">
        <v>0</v>
      </c>
      <c r="AU479" s="6">
        <v>42200</v>
      </c>
      <c r="AV479" s="6">
        <v>42200</v>
      </c>
      <c r="AW479" t="s">
        <v>54</v>
      </c>
      <c r="AX479" t="str">
        <f t="shared" si="41"/>
        <v>FOR</v>
      </c>
      <c r="AY479" t="s">
        <v>55</v>
      </c>
    </row>
    <row r="480" spans="1:51" hidden="1">
      <c r="A480">
        <v>100164</v>
      </c>
      <c r="B480" t="s">
        <v>97</v>
      </c>
      <c r="C480" t="str">
        <f t="shared" si="42"/>
        <v>00803890151</v>
      </c>
      <c r="D480" t="str">
        <f t="shared" si="42"/>
        <v>00803890151</v>
      </c>
      <c r="E480" t="s">
        <v>52</v>
      </c>
      <c r="F480">
        <v>2014</v>
      </c>
      <c r="G480">
        <v>40028396</v>
      </c>
      <c r="H480" s="1">
        <v>41831</v>
      </c>
      <c r="I480" s="1">
        <v>41841</v>
      </c>
      <c r="J480" s="1">
        <v>41841</v>
      </c>
      <c r="K480" s="1">
        <v>41931</v>
      </c>
      <c r="N480" s="5"/>
      <c r="O480" s="2">
        <v>4851.33</v>
      </c>
      <c r="P480">
        <v>269</v>
      </c>
      <c r="Q480" s="2">
        <v>1305007.77</v>
      </c>
      <c r="R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 s="1">
        <v>42382</v>
      </c>
      <c r="AC480" t="s">
        <v>53</v>
      </c>
      <c r="AD480" t="s">
        <v>53</v>
      </c>
      <c r="AK480">
        <v>0</v>
      </c>
      <c r="AU480" s="6">
        <v>42200</v>
      </c>
      <c r="AV480" s="6">
        <v>42200</v>
      </c>
      <c r="AW480" t="s">
        <v>54</v>
      </c>
      <c r="AX480" t="str">
        <f t="shared" si="41"/>
        <v>FOR</v>
      </c>
      <c r="AY480" t="s">
        <v>55</v>
      </c>
    </row>
    <row r="481" spans="1:51" hidden="1">
      <c r="A481">
        <v>100164</v>
      </c>
      <c r="B481" t="s">
        <v>97</v>
      </c>
      <c r="C481" t="str">
        <f t="shared" si="42"/>
        <v>00803890151</v>
      </c>
      <c r="D481" t="str">
        <f t="shared" si="42"/>
        <v>00803890151</v>
      </c>
      <c r="E481" t="s">
        <v>52</v>
      </c>
      <c r="F481">
        <v>2014</v>
      </c>
      <c r="G481">
        <v>40028744</v>
      </c>
      <c r="H481" s="1">
        <v>41834</v>
      </c>
      <c r="I481" s="1">
        <v>41841</v>
      </c>
      <c r="J481" s="1">
        <v>41841</v>
      </c>
      <c r="K481" s="1">
        <v>41931</v>
      </c>
      <c r="N481" s="5"/>
      <c r="O481">
        <v>414.8</v>
      </c>
      <c r="P481">
        <v>269</v>
      </c>
      <c r="Q481" s="2">
        <v>111581.2</v>
      </c>
      <c r="R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 s="1">
        <v>42382</v>
      </c>
      <c r="AC481" t="s">
        <v>53</v>
      </c>
      <c r="AD481" t="s">
        <v>53</v>
      </c>
      <c r="AK481">
        <v>0</v>
      </c>
      <c r="AU481" s="6">
        <v>42200</v>
      </c>
      <c r="AV481" s="6">
        <v>42200</v>
      </c>
      <c r="AW481" t="s">
        <v>54</v>
      </c>
      <c r="AX481" t="str">
        <f t="shared" si="41"/>
        <v>FOR</v>
      </c>
      <c r="AY481" t="s">
        <v>55</v>
      </c>
    </row>
    <row r="482" spans="1:51" hidden="1">
      <c r="A482">
        <v>100164</v>
      </c>
      <c r="B482" t="s">
        <v>97</v>
      </c>
      <c r="C482" t="str">
        <f t="shared" si="42"/>
        <v>00803890151</v>
      </c>
      <c r="D482" t="str">
        <f t="shared" si="42"/>
        <v>00803890151</v>
      </c>
      <c r="E482" t="s">
        <v>52</v>
      </c>
      <c r="F482">
        <v>2014</v>
      </c>
      <c r="G482">
        <v>40029444</v>
      </c>
      <c r="H482" s="1">
        <v>41838</v>
      </c>
      <c r="I482" s="1">
        <v>41849</v>
      </c>
      <c r="J482" s="1">
        <v>41849</v>
      </c>
      <c r="K482" s="1">
        <v>41939</v>
      </c>
      <c r="N482" s="5"/>
      <c r="O482">
        <v>6.34</v>
      </c>
      <c r="P482">
        <v>261</v>
      </c>
      <c r="Q482" s="2">
        <v>1654.74</v>
      </c>
      <c r="R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 s="1">
        <v>42382</v>
      </c>
      <c r="AC482" t="s">
        <v>53</v>
      </c>
      <c r="AD482" t="s">
        <v>53</v>
      </c>
      <c r="AK482">
        <v>0</v>
      </c>
      <c r="AU482" s="6">
        <v>42200</v>
      </c>
      <c r="AV482" s="6">
        <v>42200</v>
      </c>
      <c r="AW482" t="s">
        <v>54</v>
      </c>
      <c r="AX482" t="str">
        <f t="shared" si="41"/>
        <v>FOR</v>
      </c>
      <c r="AY482" t="s">
        <v>55</v>
      </c>
    </row>
    <row r="483" spans="1:51" hidden="1">
      <c r="A483">
        <v>100164</v>
      </c>
      <c r="B483" t="s">
        <v>97</v>
      </c>
      <c r="C483" t="str">
        <f t="shared" si="42"/>
        <v>00803890151</v>
      </c>
      <c r="D483" t="str">
        <f t="shared" si="42"/>
        <v>00803890151</v>
      </c>
      <c r="E483" t="s">
        <v>52</v>
      </c>
      <c r="F483">
        <v>2014</v>
      </c>
      <c r="G483">
        <v>40029445</v>
      </c>
      <c r="H483" s="1">
        <v>41838</v>
      </c>
      <c r="I483" s="1">
        <v>41849</v>
      </c>
      <c r="J483" s="1">
        <v>41849</v>
      </c>
      <c r="K483" s="1">
        <v>41939</v>
      </c>
      <c r="N483" s="5"/>
      <c r="O483" s="2">
        <v>9702.66</v>
      </c>
      <c r="P483">
        <v>261</v>
      </c>
      <c r="Q483" s="2">
        <v>2532394.2599999998</v>
      </c>
      <c r="R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 s="1">
        <v>42382</v>
      </c>
      <c r="AC483" t="s">
        <v>53</v>
      </c>
      <c r="AD483" t="s">
        <v>53</v>
      </c>
      <c r="AK483">
        <v>0</v>
      </c>
      <c r="AU483" s="6">
        <v>42200</v>
      </c>
      <c r="AV483" s="6">
        <v>42200</v>
      </c>
      <c r="AW483" t="s">
        <v>54</v>
      </c>
      <c r="AX483" t="str">
        <f t="shared" si="41"/>
        <v>FOR</v>
      </c>
      <c r="AY483" t="s">
        <v>55</v>
      </c>
    </row>
    <row r="484" spans="1:51" hidden="1">
      <c r="A484">
        <v>100164</v>
      </c>
      <c r="B484" t="s">
        <v>97</v>
      </c>
      <c r="C484" t="str">
        <f t="shared" ref="C484:D503" si="43">"00803890151"</f>
        <v>00803890151</v>
      </c>
      <c r="D484" t="str">
        <f t="shared" si="43"/>
        <v>00803890151</v>
      </c>
      <c r="E484" t="s">
        <v>52</v>
      </c>
      <c r="F484">
        <v>2014</v>
      </c>
      <c r="G484">
        <v>40030945</v>
      </c>
      <c r="H484" s="1">
        <v>41852</v>
      </c>
      <c r="I484" s="1">
        <v>41872</v>
      </c>
      <c r="J484" s="1">
        <v>41872</v>
      </c>
      <c r="K484" s="1">
        <v>41962</v>
      </c>
      <c r="N484" s="5"/>
      <c r="O484">
        <v>864.74</v>
      </c>
      <c r="P484">
        <v>238</v>
      </c>
      <c r="Q484" s="2">
        <v>205808.12</v>
      </c>
      <c r="R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 s="1">
        <v>42382</v>
      </c>
      <c r="AC484" t="s">
        <v>53</v>
      </c>
      <c r="AD484" t="s">
        <v>53</v>
      </c>
      <c r="AK484">
        <v>0</v>
      </c>
      <c r="AU484" s="6">
        <v>42200</v>
      </c>
      <c r="AV484" s="6">
        <v>42200</v>
      </c>
      <c r="AW484" t="s">
        <v>54</v>
      </c>
      <c r="AX484" t="str">
        <f t="shared" si="41"/>
        <v>FOR</v>
      </c>
      <c r="AY484" t="s">
        <v>55</v>
      </c>
    </row>
    <row r="485" spans="1:51" hidden="1">
      <c r="A485">
        <v>100164</v>
      </c>
      <c r="B485" t="s">
        <v>97</v>
      </c>
      <c r="C485" t="str">
        <f t="shared" si="43"/>
        <v>00803890151</v>
      </c>
      <c r="D485" t="str">
        <f t="shared" si="43"/>
        <v>00803890151</v>
      </c>
      <c r="E485" t="s">
        <v>52</v>
      </c>
      <c r="F485">
        <v>2014</v>
      </c>
      <c r="G485">
        <v>40031118</v>
      </c>
      <c r="H485" s="1">
        <v>41852</v>
      </c>
      <c r="I485" s="1">
        <v>41872</v>
      </c>
      <c r="J485" s="1">
        <v>41872</v>
      </c>
      <c r="K485" s="1">
        <v>41962</v>
      </c>
      <c r="N485" s="5"/>
      <c r="O485" s="2">
        <v>1281</v>
      </c>
      <c r="P485">
        <v>238</v>
      </c>
      <c r="Q485" s="2">
        <v>304878</v>
      </c>
      <c r="R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 s="1">
        <v>42382</v>
      </c>
      <c r="AC485" t="s">
        <v>53</v>
      </c>
      <c r="AD485" t="s">
        <v>53</v>
      </c>
      <c r="AK485">
        <v>0</v>
      </c>
      <c r="AU485" s="6">
        <v>42200</v>
      </c>
      <c r="AV485" s="6">
        <v>42200</v>
      </c>
      <c r="AW485" t="s">
        <v>54</v>
      </c>
      <c r="AX485" t="str">
        <f t="shared" si="41"/>
        <v>FOR</v>
      </c>
      <c r="AY485" t="s">
        <v>55</v>
      </c>
    </row>
    <row r="486" spans="1:51" hidden="1">
      <c r="A486">
        <v>100164</v>
      </c>
      <c r="B486" t="s">
        <v>97</v>
      </c>
      <c r="C486" t="str">
        <f t="shared" si="43"/>
        <v>00803890151</v>
      </c>
      <c r="D486" t="str">
        <f t="shared" si="43"/>
        <v>00803890151</v>
      </c>
      <c r="E486" t="s">
        <v>52</v>
      </c>
      <c r="F486">
        <v>2014</v>
      </c>
      <c r="G486">
        <v>40031958</v>
      </c>
      <c r="H486" s="1">
        <v>41857</v>
      </c>
      <c r="I486" s="1">
        <v>41876</v>
      </c>
      <c r="J486" s="1">
        <v>41876</v>
      </c>
      <c r="K486" s="1">
        <v>41966</v>
      </c>
      <c r="N486" s="5"/>
      <c r="O486">
        <v>536.79999999999995</v>
      </c>
      <c r="P486">
        <v>234</v>
      </c>
      <c r="Q486" s="2">
        <v>125611.2</v>
      </c>
      <c r="R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 s="1">
        <v>42382</v>
      </c>
      <c r="AC486" t="s">
        <v>53</v>
      </c>
      <c r="AD486" t="s">
        <v>53</v>
      </c>
      <c r="AK486">
        <v>0</v>
      </c>
      <c r="AU486" s="6">
        <v>42200</v>
      </c>
      <c r="AV486" s="6">
        <v>42200</v>
      </c>
      <c r="AW486" t="s">
        <v>54</v>
      </c>
      <c r="AX486" t="str">
        <f t="shared" si="41"/>
        <v>FOR</v>
      </c>
      <c r="AY486" t="s">
        <v>55</v>
      </c>
    </row>
    <row r="487" spans="1:51" hidden="1">
      <c r="A487">
        <v>100164</v>
      </c>
      <c r="B487" t="s">
        <v>97</v>
      </c>
      <c r="C487" t="str">
        <f t="shared" si="43"/>
        <v>00803890151</v>
      </c>
      <c r="D487" t="str">
        <f t="shared" si="43"/>
        <v>00803890151</v>
      </c>
      <c r="E487" t="s">
        <v>52</v>
      </c>
      <c r="F487">
        <v>2014</v>
      </c>
      <c r="G487">
        <v>40032058</v>
      </c>
      <c r="H487" s="1">
        <v>41857</v>
      </c>
      <c r="I487" s="1">
        <v>41876</v>
      </c>
      <c r="J487" s="1">
        <v>41876</v>
      </c>
      <c r="K487" s="1">
        <v>41966</v>
      </c>
      <c r="N487" s="5"/>
      <c r="O487" s="2">
        <v>2147.1999999999998</v>
      </c>
      <c r="P487">
        <v>234</v>
      </c>
      <c r="Q487" s="2">
        <v>502444.79999999999</v>
      </c>
      <c r="R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 s="1">
        <v>42382</v>
      </c>
      <c r="AC487" t="s">
        <v>53</v>
      </c>
      <c r="AD487" t="s">
        <v>53</v>
      </c>
      <c r="AK487">
        <v>0</v>
      </c>
      <c r="AU487" s="6">
        <v>42200</v>
      </c>
      <c r="AV487" s="6">
        <v>42200</v>
      </c>
      <c r="AW487" t="s">
        <v>54</v>
      </c>
      <c r="AX487" t="str">
        <f t="shared" si="41"/>
        <v>FOR</v>
      </c>
      <c r="AY487" t="s">
        <v>55</v>
      </c>
    </row>
    <row r="488" spans="1:51" hidden="1">
      <c r="A488">
        <v>100164</v>
      </c>
      <c r="B488" t="s">
        <v>97</v>
      </c>
      <c r="C488" t="str">
        <f t="shared" si="43"/>
        <v>00803890151</v>
      </c>
      <c r="D488" t="str">
        <f t="shared" si="43"/>
        <v>00803890151</v>
      </c>
      <c r="E488" t="s">
        <v>52</v>
      </c>
      <c r="F488">
        <v>2014</v>
      </c>
      <c r="G488">
        <v>40033219</v>
      </c>
      <c r="H488" s="1">
        <v>41876</v>
      </c>
      <c r="I488" s="1">
        <v>41883</v>
      </c>
      <c r="J488" s="1">
        <v>41883</v>
      </c>
      <c r="K488" s="1">
        <v>41973</v>
      </c>
      <c r="N488" s="5"/>
      <c r="O488" s="2">
        <v>3995.13</v>
      </c>
      <c r="P488">
        <v>227</v>
      </c>
      <c r="Q488" s="2">
        <v>906894.51</v>
      </c>
      <c r="R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 s="1">
        <v>42382</v>
      </c>
      <c r="AC488" t="s">
        <v>53</v>
      </c>
      <c r="AD488" t="s">
        <v>53</v>
      </c>
      <c r="AK488">
        <v>0</v>
      </c>
      <c r="AU488" s="6">
        <v>42200</v>
      </c>
      <c r="AV488" s="6">
        <v>42200</v>
      </c>
      <c r="AW488" t="s">
        <v>54</v>
      </c>
      <c r="AX488" t="str">
        <f t="shared" si="41"/>
        <v>FOR</v>
      </c>
      <c r="AY488" t="s">
        <v>55</v>
      </c>
    </row>
    <row r="489" spans="1:51" hidden="1">
      <c r="A489">
        <v>100164</v>
      </c>
      <c r="B489" t="s">
        <v>97</v>
      </c>
      <c r="C489" t="str">
        <f t="shared" si="43"/>
        <v>00803890151</v>
      </c>
      <c r="D489" t="str">
        <f t="shared" si="43"/>
        <v>00803890151</v>
      </c>
      <c r="E489" t="s">
        <v>52</v>
      </c>
      <c r="F489">
        <v>2014</v>
      </c>
      <c r="G489">
        <v>40034010</v>
      </c>
      <c r="H489" s="1">
        <v>41880</v>
      </c>
      <c r="I489" s="1">
        <v>41886</v>
      </c>
      <c r="J489" s="1">
        <v>41886</v>
      </c>
      <c r="K489" s="1">
        <v>41976</v>
      </c>
      <c r="N489" s="5"/>
      <c r="O489" s="2">
        <v>4851.33</v>
      </c>
      <c r="P489">
        <v>224</v>
      </c>
      <c r="Q489" s="2">
        <v>1086697.92</v>
      </c>
      <c r="R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 s="1">
        <v>42382</v>
      </c>
      <c r="AC489" t="s">
        <v>53</v>
      </c>
      <c r="AD489" t="s">
        <v>53</v>
      </c>
      <c r="AK489">
        <v>0</v>
      </c>
      <c r="AU489" s="6">
        <v>42200</v>
      </c>
      <c r="AV489" s="6">
        <v>42200</v>
      </c>
      <c r="AW489" t="s">
        <v>54</v>
      </c>
      <c r="AX489" t="str">
        <f t="shared" si="41"/>
        <v>FOR</v>
      </c>
      <c r="AY489" t="s">
        <v>55</v>
      </c>
    </row>
    <row r="490" spans="1:51" hidden="1">
      <c r="A490">
        <v>100164</v>
      </c>
      <c r="B490" t="s">
        <v>97</v>
      </c>
      <c r="C490" t="str">
        <f t="shared" si="43"/>
        <v>00803890151</v>
      </c>
      <c r="D490" t="str">
        <f t="shared" si="43"/>
        <v>00803890151</v>
      </c>
      <c r="E490" t="s">
        <v>52</v>
      </c>
      <c r="F490">
        <v>2014</v>
      </c>
      <c r="G490">
        <v>40034011</v>
      </c>
      <c r="H490" s="1">
        <v>41880</v>
      </c>
      <c r="I490" s="1">
        <v>41886</v>
      </c>
      <c r="J490" s="1">
        <v>41886</v>
      </c>
      <c r="K490" s="1">
        <v>41976</v>
      </c>
      <c r="N490" s="5"/>
      <c r="O490" s="2">
        <v>7375.67</v>
      </c>
      <c r="P490">
        <v>224</v>
      </c>
      <c r="Q490" s="2">
        <v>1652150.08</v>
      </c>
      <c r="R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 s="1">
        <v>42382</v>
      </c>
      <c r="AC490" t="s">
        <v>53</v>
      </c>
      <c r="AD490" t="s">
        <v>53</v>
      </c>
      <c r="AK490">
        <v>0</v>
      </c>
      <c r="AU490" s="6">
        <v>42200</v>
      </c>
      <c r="AV490" s="6">
        <v>42200</v>
      </c>
      <c r="AW490" t="s">
        <v>54</v>
      </c>
      <c r="AX490" t="str">
        <f t="shared" si="41"/>
        <v>FOR</v>
      </c>
      <c r="AY490" t="s">
        <v>55</v>
      </c>
    </row>
    <row r="491" spans="1:51" hidden="1">
      <c r="A491">
        <v>100164</v>
      </c>
      <c r="B491" t="s">
        <v>97</v>
      </c>
      <c r="C491" t="str">
        <f t="shared" si="43"/>
        <v>00803890151</v>
      </c>
      <c r="D491" t="str">
        <f t="shared" si="43"/>
        <v>00803890151</v>
      </c>
      <c r="E491" t="s">
        <v>52</v>
      </c>
      <c r="F491">
        <v>2014</v>
      </c>
      <c r="G491">
        <v>40034433</v>
      </c>
      <c r="H491" s="1">
        <v>41885</v>
      </c>
      <c r="I491" s="1">
        <v>41892</v>
      </c>
      <c r="J491" s="1">
        <v>41892</v>
      </c>
      <c r="K491" s="1">
        <v>41982</v>
      </c>
      <c r="N491" s="5"/>
      <c r="O491">
        <v>9.76</v>
      </c>
      <c r="P491">
        <v>218</v>
      </c>
      <c r="Q491" s="2">
        <v>2127.6799999999998</v>
      </c>
      <c r="R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 s="1">
        <v>42382</v>
      </c>
      <c r="AC491" t="s">
        <v>53</v>
      </c>
      <c r="AD491" t="s">
        <v>53</v>
      </c>
      <c r="AK491">
        <v>0</v>
      </c>
      <c r="AU491" s="6">
        <v>42200</v>
      </c>
      <c r="AV491" s="6">
        <v>42200</v>
      </c>
      <c r="AW491" t="s">
        <v>54</v>
      </c>
      <c r="AX491" t="str">
        <f t="shared" si="41"/>
        <v>FOR</v>
      </c>
      <c r="AY491" t="s">
        <v>55</v>
      </c>
    </row>
    <row r="492" spans="1:51" hidden="1">
      <c r="A492">
        <v>100164</v>
      </c>
      <c r="B492" t="s">
        <v>97</v>
      </c>
      <c r="C492" t="str">
        <f t="shared" si="43"/>
        <v>00803890151</v>
      </c>
      <c r="D492" t="str">
        <f t="shared" si="43"/>
        <v>00803890151</v>
      </c>
      <c r="E492" t="s">
        <v>52</v>
      </c>
      <c r="F492">
        <v>2014</v>
      </c>
      <c r="G492">
        <v>40035924</v>
      </c>
      <c r="H492" s="1">
        <v>41897</v>
      </c>
      <c r="I492" s="1">
        <v>41904</v>
      </c>
      <c r="J492" s="1">
        <v>41904</v>
      </c>
      <c r="K492" s="1">
        <v>41994</v>
      </c>
      <c r="N492" s="5"/>
      <c r="O492">
        <v>268.39999999999998</v>
      </c>
      <c r="P492">
        <v>206</v>
      </c>
      <c r="Q492" s="2">
        <v>55290.400000000001</v>
      </c>
      <c r="R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 s="1">
        <v>42382</v>
      </c>
      <c r="AC492" t="s">
        <v>53</v>
      </c>
      <c r="AD492" t="s">
        <v>53</v>
      </c>
      <c r="AK492">
        <v>0</v>
      </c>
      <c r="AU492" s="6">
        <v>42200</v>
      </c>
      <c r="AV492" s="6">
        <v>42200</v>
      </c>
      <c r="AW492" t="s">
        <v>54</v>
      </c>
      <c r="AX492" t="str">
        <f t="shared" si="41"/>
        <v>FOR</v>
      </c>
      <c r="AY492" t="s">
        <v>55</v>
      </c>
    </row>
    <row r="493" spans="1:51" hidden="1">
      <c r="A493">
        <v>100164</v>
      </c>
      <c r="B493" t="s">
        <v>97</v>
      </c>
      <c r="C493" t="str">
        <f t="shared" si="43"/>
        <v>00803890151</v>
      </c>
      <c r="D493" t="str">
        <f t="shared" si="43"/>
        <v>00803890151</v>
      </c>
      <c r="E493" t="s">
        <v>52</v>
      </c>
      <c r="F493">
        <v>2014</v>
      </c>
      <c r="G493">
        <v>40036024</v>
      </c>
      <c r="H493" s="1">
        <v>41898</v>
      </c>
      <c r="I493" s="1">
        <v>41907</v>
      </c>
      <c r="J493" s="1">
        <v>41907</v>
      </c>
      <c r="K493" s="1">
        <v>41997</v>
      </c>
      <c r="N493" s="5"/>
      <c r="O493">
        <v>536.79999999999995</v>
      </c>
      <c r="P493">
        <v>203</v>
      </c>
      <c r="Q493" s="2">
        <v>108970.4</v>
      </c>
      <c r="R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 s="1">
        <v>42382</v>
      </c>
      <c r="AC493" t="s">
        <v>53</v>
      </c>
      <c r="AD493" t="s">
        <v>53</v>
      </c>
      <c r="AK493">
        <v>0</v>
      </c>
      <c r="AU493" s="6">
        <v>42200</v>
      </c>
      <c r="AV493" s="6">
        <v>42200</v>
      </c>
      <c r="AW493" t="s">
        <v>54</v>
      </c>
      <c r="AX493" t="str">
        <f t="shared" si="41"/>
        <v>FOR</v>
      </c>
      <c r="AY493" t="s">
        <v>55</v>
      </c>
    </row>
    <row r="494" spans="1:51" hidden="1">
      <c r="A494">
        <v>100164</v>
      </c>
      <c r="B494" t="s">
        <v>97</v>
      </c>
      <c r="C494" t="str">
        <f t="shared" si="43"/>
        <v>00803890151</v>
      </c>
      <c r="D494" t="str">
        <f t="shared" si="43"/>
        <v>00803890151</v>
      </c>
      <c r="E494" t="s">
        <v>52</v>
      </c>
      <c r="F494">
        <v>2014</v>
      </c>
      <c r="G494">
        <v>40037269</v>
      </c>
      <c r="H494" s="1">
        <v>41906</v>
      </c>
      <c r="I494" s="1">
        <v>41914</v>
      </c>
      <c r="J494" s="1">
        <v>41914</v>
      </c>
      <c r="K494" s="1">
        <v>42004</v>
      </c>
      <c r="N494" s="5"/>
      <c r="O494" s="2">
        <v>4120.2700000000004</v>
      </c>
      <c r="P494">
        <v>196</v>
      </c>
      <c r="Q494" s="2">
        <v>807572.92</v>
      </c>
      <c r="R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 s="1">
        <v>42382</v>
      </c>
      <c r="AC494" t="s">
        <v>53</v>
      </c>
      <c r="AD494" t="s">
        <v>53</v>
      </c>
      <c r="AK494">
        <v>0</v>
      </c>
      <c r="AU494" s="6">
        <v>42200</v>
      </c>
      <c r="AV494" s="6">
        <v>42200</v>
      </c>
      <c r="AW494" t="s">
        <v>54</v>
      </c>
      <c r="AX494" t="str">
        <f t="shared" si="41"/>
        <v>FOR</v>
      </c>
      <c r="AY494" t="s">
        <v>55</v>
      </c>
    </row>
    <row r="495" spans="1:51" hidden="1">
      <c r="A495">
        <v>100164</v>
      </c>
      <c r="B495" t="s">
        <v>97</v>
      </c>
      <c r="C495" t="str">
        <f t="shared" si="43"/>
        <v>00803890151</v>
      </c>
      <c r="D495" t="str">
        <f t="shared" si="43"/>
        <v>00803890151</v>
      </c>
      <c r="E495" t="s">
        <v>52</v>
      </c>
      <c r="F495">
        <v>2014</v>
      </c>
      <c r="G495">
        <v>40037270</v>
      </c>
      <c r="H495" s="1">
        <v>41906</v>
      </c>
      <c r="I495" s="1">
        <v>41914</v>
      </c>
      <c r="J495" s="1">
        <v>41914</v>
      </c>
      <c r="K495" s="1">
        <v>42004</v>
      </c>
      <c r="N495" s="5"/>
      <c r="O495" s="2">
        <v>1457.9</v>
      </c>
      <c r="P495">
        <v>196</v>
      </c>
      <c r="Q495" s="2">
        <v>285748.40000000002</v>
      </c>
      <c r="R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 s="1">
        <v>42382</v>
      </c>
      <c r="AC495" t="s">
        <v>53</v>
      </c>
      <c r="AD495" t="s">
        <v>53</v>
      </c>
      <c r="AK495">
        <v>0</v>
      </c>
      <c r="AU495" s="6">
        <v>42200</v>
      </c>
      <c r="AV495" s="6">
        <v>42200</v>
      </c>
      <c r="AW495" t="s">
        <v>54</v>
      </c>
      <c r="AX495" t="str">
        <f t="shared" si="41"/>
        <v>FOR</v>
      </c>
      <c r="AY495" t="s">
        <v>55</v>
      </c>
    </row>
    <row r="496" spans="1:51" hidden="1">
      <c r="A496">
        <v>100164</v>
      </c>
      <c r="B496" t="s">
        <v>97</v>
      </c>
      <c r="C496" t="str">
        <f t="shared" si="43"/>
        <v>00803890151</v>
      </c>
      <c r="D496" t="str">
        <f t="shared" si="43"/>
        <v>00803890151</v>
      </c>
      <c r="E496" t="s">
        <v>52</v>
      </c>
      <c r="F496">
        <v>2014</v>
      </c>
      <c r="G496">
        <v>40037271</v>
      </c>
      <c r="H496" s="1">
        <v>41906</v>
      </c>
      <c r="I496" s="1">
        <v>41914</v>
      </c>
      <c r="J496" s="1">
        <v>41914</v>
      </c>
      <c r="K496" s="1">
        <v>42004</v>
      </c>
      <c r="N496" s="5"/>
      <c r="O496" s="2">
        <v>2991.44</v>
      </c>
      <c r="P496">
        <v>196</v>
      </c>
      <c r="Q496" s="2">
        <v>586322.24</v>
      </c>
      <c r="R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 s="1">
        <v>42382</v>
      </c>
      <c r="AC496" t="s">
        <v>53</v>
      </c>
      <c r="AD496" t="s">
        <v>53</v>
      </c>
      <c r="AK496">
        <v>0</v>
      </c>
      <c r="AU496" s="6">
        <v>42200</v>
      </c>
      <c r="AV496" s="6">
        <v>42200</v>
      </c>
      <c r="AW496" t="s">
        <v>54</v>
      </c>
      <c r="AX496" t="str">
        <f t="shared" si="41"/>
        <v>FOR</v>
      </c>
      <c r="AY496" t="s">
        <v>55</v>
      </c>
    </row>
    <row r="497" spans="1:51" hidden="1">
      <c r="A497">
        <v>100164</v>
      </c>
      <c r="B497" t="s">
        <v>97</v>
      </c>
      <c r="C497" t="str">
        <f t="shared" si="43"/>
        <v>00803890151</v>
      </c>
      <c r="D497" t="str">
        <f t="shared" si="43"/>
        <v>00803890151</v>
      </c>
      <c r="E497" t="s">
        <v>52</v>
      </c>
      <c r="F497">
        <v>2014</v>
      </c>
      <c r="G497">
        <v>40037272</v>
      </c>
      <c r="H497" s="1">
        <v>41906</v>
      </c>
      <c r="I497" s="1">
        <v>41914</v>
      </c>
      <c r="J497" s="1">
        <v>41914</v>
      </c>
      <c r="K497" s="1">
        <v>42004</v>
      </c>
      <c r="N497" s="5"/>
      <c r="O497">
        <v>541.67999999999995</v>
      </c>
      <c r="P497">
        <v>196</v>
      </c>
      <c r="Q497" s="2">
        <v>106169.28</v>
      </c>
      <c r="R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 s="1">
        <v>42382</v>
      </c>
      <c r="AC497" t="s">
        <v>53</v>
      </c>
      <c r="AD497" t="s">
        <v>53</v>
      </c>
      <c r="AK497">
        <v>0</v>
      </c>
      <c r="AU497" s="6">
        <v>42200</v>
      </c>
      <c r="AV497" s="6">
        <v>42200</v>
      </c>
      <c r="AW497" t="s">
        <v>54</v>
      </c>
      <c r="AX497" t="str">
        <f t="shared" si="41"/>
        <v>FOR</v>
      </c>
      <c r="AY497" t="s">
        <v>55</v>
      </c>
    </row>
    <row r="498" spans="1:51" hidden="1">
      <c r="A498">
        <v>100164</v>
      </c>
      <c r="B498" t="s">
        <v>97</v>
      </c>
      <c r="C498" t="str">
        <f t="shared" si="43"/>
        <v>00803890151</v>
      </c>
      <c r="D498" t="str">
        <f t="shared" si="43"/>
        <v>00803890151</v>
      </c>
      <c r="E498" t="s">
        <v>52</v>
      </c>
      <c r="F498">
        <v>2014</v>
      </c>
      <c r="G498">
        <v>40037742</v>
      </c>
      <c r="H498" s="1">
        <v>41908</v>
      </c>
      <c r="I498" s="1">
        <v>41915</v>
      </c>
      <c r="J498" s="1">
        <v>41915</v>
      </c>
      <c r="K498" s="1">
        <v>42005</v>
      </c>
      <c r="N498" s="5"/>
      <c r="O498" s="2">
        <v>4270</v>
      </c>
      <c r="P498">
        <v>195</v>
      </c>
      <c r="Q498" s="2">
        <v>832650</v>
      </c>
      <c r="R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 s="1">
        <v>42382</v>
      </c>
      <c r="AC498" t="s">
        <v>53</v>
      </c>
      <c r="AD498" t="s">
        <v>53</v>
      </c>
      <c r="AK498">
        <v>0</v>
      </c>
      <c r="AU498" s="6">
        <v>42200</v>
      </c>
      <c r="AV498" s="6">
        <v>42200</v>
      </c>
      <c r="AW498" t="s">
        <v>54</v>
      </c>
      <c r="AX498" t="str">
        <f t="shared" si="41"/>
        <v>FOR</v>
      </c>
      <c r="AY498" t="s">
        <v>55</v>
      </c>
    </row>
    <row r="499" spans="1:51" hidden="1">
      <c r="A499">
        <v>100164</v>
      </c>
      <c r="B499" t="s">
        <v>97</v>
      </c>
      <c r="C499" t="str">
        <f t="shared" si="43"/>
        <v>00803890151</v>
      </c>
      <c r="D499" t="str">
        <f t="shared" si="43"/>
        <v>00803890151</v>
      </c>
      <c r="E499" t="s">
        <v>52</v>
      </c>
      <c r="F499">
        <v>2014</v>
      </c>
      <c r="G499">
        <v>40037743</v>
      </c>
      <c r="H499" s="1">
        <v>41908</v>
      </c>
      <c r="I499" s="1">
        <v>41915</v>
      </c>
      <c r="J499" s="1">
        <v>41915</v>
      </c>
      <c r="K499" s="1">
        <v>42005</v>
      </c>
      <c r="N499" s="5"/>
      <c r="O499">
        <v>152.5</v>
      </c>
      <c r="P499">
        <v>195</v>
      </c>
      <c r="Q499" s="2">
        <v>29737.5</v>
      </c>
      <c r="R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 s="1">
        <v>42382</v>
      </c>
      <c r="AC499" t="s">
        <v>53</v>
      </c>
      <c r="AD499" t="s">
        <v>53</v>
      </c>
      <c r="AK499">
        <v>0</v>
      </c>
      <c r="AU499" s="6">
        <v>42200</v>
      </c>
      <c r="AV499" s="6">
        <v>42200</v>
      </c>
      <c r="AW499" t="s">
        <v>54</v>
      </c>
      <c r="AX499" t="str">
        <f t="shared" si="41"/>
        <v>FOR</v>
      </c>
      <c r="AY499" t="s">
        <v>55</v>
      </c>
    </row>
    <row r="500" spans="1:51" hidden="1">
      <c r="A500">
        <v>100164</v>
      </c>
      <c r="B500" t="s">
        <v>97</v>
      </c>
      <c r="C500" t="str">
        <f t="shared" si="43"/>
        <v>00803890151</v>
      </c>
      <c r="D500" t="str">
        <f t="shared" si="43"/>
        <v>00803890151</v>
      </c>
      <c r="E500" t="s">
        <v>52</v>
      </c>
      <c r="F500">
        <v>2014</v>
      </c>
      <c r="G500">
        <v>40038120</v>
      </c>
      <c r="H500" s="1">
        <v>41908</v>
      </c>
      <c r="I500" s="1">
        <v>41915</v>
      </c>
      <c r="J500" s="1">
        <v>41915</v>
      </c>
      <c r="K500" s="1">
        <v>42005</v>
      </c>
      <c r="N500" s="5"/>
      <c r="O500" s="2">
        <v>5292.36</v>
      </c>
      <c r="P500">
        <v>195</v>
      </c>
      <c r="Q500" s="2">
        <v>1032010.2</v>
      </c>
      <c r="R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 s="1">
        <v>42382</v>
      </c>
      <c r="AC500" t="s">
        <v>53</v>
      </c>
      <c r="AD500" t="s">
        <v>53</v>
      </c>
      <c r="AK500">
        <v>0</v>
      </c>
      <c r="AU500" s="6">
        <v>42200</v>
      </c>
      <c r="AV500" s="6">
        <v>42200</v>
      </c>
      <c r="AW500" t="s">
        <v>54</v>
      </c>
      <c r="AX500" t="str">
        <f t="shared" si="41"/>
        <v>FOR</v>
      </c>
      <c r="AY500" t="s">
        <v>55</v>
      </c>
    </row>
    <row r="501" spans="1:51" hidden="1">
      <c r="A501">
        <v>100164</v>
      </c>
      <c r="B501" t="s">
        <v>97</v>
      </c>
      <c r="C501" t="str">
        <f t="shared" si="43"/>
        <v>00803890151</v>
      </c>
      <c r="D501" t="str">
        <f t="shared" si="43"/>
        <v>00803890151</v>
      </c>
      <c r="E501" t="s">
        <v>52</v>
      </c>
      <c r="F501">
        <v>2014</v>
      </c>
      <c r="G501">
        <v>40038121</v>
      </c>
      <c r="H501" s="1">
        <v>41908</v>
      </c>
      <c r="I501" s="1">
        <v>41915</v>
      </c>
      <c r="J501" s="1">
        <v>41915</v>
      </c>
      <c r="K501" s="1">
        <v>42005</v>
      </c>
      <c r="N501" s="5"/>
      <c r="O501">
        <v>43.92</v>
      </c>
      <c r="P501">
        <v>195</v>
      </c>
      <c r="Q501" s="2">
        <v>8564.4</v>
      </c>
      <c r="R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 s="1">
        <v>42382</v>
      </c>
      <c r="AC501" t="s">
        <v>53</v>
      </c>
      <c r="AD501" t="s">
        <v>53</v>
      </c>
      <c r="AK501">
        <v>0</v>
      </c>
      <c r="AU501" s="6">
        <v>42200</v>
      </c>
      <c r="AV501" s="6">
        <v>42200</v>
      </c>
      <c r="AW501" t="s">
        <v>54</v>
      </c>
      <c r="AX501" t="str">
        <f t="shared" si="41"/>
        <v>FOR</v>
      </c>
      <c r="AY501" t="s">
        <v>55</v>
      </c>
    </row>
    <row r="502" spans="1:51" hidden="1">
      <c r="A502">
        <v>100164</v>
      </c>
      <c r="B502" t="s">
        <v>97</v>
      </c>
      <c r="C502" t="str">
        <f t="shared" si="43"/>
        <v>00803890151</v>
      </c>
      <c r="D502" t="str">
        <f t="shared" si="43"/>
        <v>00803890151</v>
      </c>
      <c r="E502" t="s">
        <v>52</v>
      </c>
      <c r="F502">
        <v>2014</v>
      </c>
      <c r="G502">
        <v>40039129</v>
      </c>
      <c r="H502" s="1">
        <v>41915</v>
      </c>
      <c r="I502" s="1">
        <v>41922</v>
      </c>
      <c r="J502" s="1">
        <v>41922</v>
      </c>
      <c r="K502" s="1">
        <v>42012</v>
      </c>
      <c r="N502" s="5"/>
      <c r="O502">
        <v>210.82</v>
      </c>
      <c r="P502">
        <v>209</v>
      </c>
      <c r="Q502" s="2">
        <v>44061.38</v>
      </c>
      <c r="R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 s="1">
        <v>42382</v>
      </c>
      <c r="AC502" t="s">
        <v>53</v>
      </c>
      <c r="AD502" t="s">
        <v>53</v>
      </c>
      <c r="AK502">
        <v>0</v>
      </c>
      <c r="AU502" s="6">
        <v>42221</v>
      </c>
      <c r="AV502" s="6">
        <v>42221</v>
      </c>
      <c r="AW502" t="s">
        <v>54</v>
      </c>
      <c r="AX502" t="str">
        <f t="shared" si="41"/>
        <v>FOR</v>
      </c>
      <c r="AY502" t="s">
        <v>55</v>
      </c>
    </row>
    <row r="503" spans="1:51" hidden="1">
      <c r="A503">
        <v>100164</v>
      </c>
      <c r="B503" t="s">
        <v>97</v>
      </c>
      <c r="C503" t="str">
        <f t="shared" si="43"/>
        <v>00803890151</v>
      </c>
      <c r="D503" t="str">
        <f t="shared" si="43"/>
        <v>00803890151</v>
      </c>
      <c r="E503" t="s">
        <v>52</v>
      </c>
      <c r="F503">
        <v>2014</v>
      </c>
      <c r="G503">
        <v>40040107</v>
      </c>
      <c r="H503" s="1">
        <v>41922</v>
      </c>
      <c r="I503" s="1">
        <v>41932</v>
      </c>
      <c r="J503" s="1">
        <v>41932</v>
      </c>
      <c r="K503" s="1">
        <v>41992</v>
      </c>
      <c r="N503" s="5"/>
      <c r="O503" s="2">
        <v>7497.51</v>
      </c>
      <c r="P503">
        <v>229</v>
      </c>
      <c r="Q503" s="2">
        <v>1716929.79</v>
      </c>
      <c r="R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 s="1">
        <v>42382</v>
      </c>
      <c r="AC503" t="s">
        <v>53</v>
      </c>
      <c r="AD503" t="s">
        <v>53</v>
      </c>
      <c r="AK503">
        <v>0</v>
      </c>
      <c r="AU503" s="6">
        <v>42221</v>
      </c>
      <c r="AV503" s="6">
        <v>42221</v>
      </c>
      <c r="AW503" t="s">
        <v>54</v>
      </c>
      <c r="AX503" t="str">
        <f t="shared" si="41"/>
        <v>FOR</v>
      </c>
      <c r="AY503" t="s">
        <v>55</v>
      </c>
    </row>
    <row r="504" spans="1:51" hidden="1">
      <c r="A504">
        <v>100164</v>
      </c>
      <c r="B504" t="s">
        <v>97</v>
      </c>
      <c r="C504" t="str">
        <f t="shared" ref="C504:D523" si="44">"00803890151"</f>
        <v>00803890151</v>
      </c>
      <c r="D504" t="str">
        <f t="shared" si="44"/>
        <v>00803890151</v>
      </c>
      <c r="E504" t="s">
        <v>52</v>
      </c>
      <c r="F504">
        <v>2014</v>
      </c>
      <c r="G504">
        <v>40040652</v>
      </c>
      <c r="H504" s="1">
        <v>41927</v>
      </c>
      <c r="I504" s="1">
        <v>41935</v>
      </c>
      <c r="J504" s="1">
        <v>41935</v>
      </c>
      <c r="K504" s="1">
        <v>41995</v>
      </c>
      <c r="N504" s="5"/>
      <c r="O504" s="2">
        <v>1259.6500000000001</v>
      </c>
      <c r="P504">
        <v>226</v>
      </c>
      <c r="Q504" s="2">
        <v>284680.90000000002</v>
      </c>
      <c r="R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 s="1">
        <v>42382</v>
      </c>
      <c r="AC504" t="s">
        <v>53</v>
      </c>
      <c r="AD504" t="s">
        <v>53</v>
      </c>
      <c r="AK504">
        <v>0</v>
      </c>
      <c r="AU504" s="6">
        <v>42221</v>
      </c>
      <c r="AV504" s="6">
        <v>42221</v>
      </c>
      <c r="AW504" t="s">
        <v>54</v>
      </c>
      <c r="AX504" t="str">
        <f t="shared" si="41"/>
        <v>FOR</v>
      </c>
      <c r="AY504" t="s">
        <v>55</v>
      </c>
    </row>
    <row r="505" spans="1:51" hidden="1">
      <c r="A505">
        <v>100164</v>
      </c>
      <c r="B505" t="s">
        <v>97</v>
      </c>
      <c r="C505" t="str">
        <f t="shared" si="44"/>
        <v>00803890151</v>
      </c>
      <c r="D505" t="str">
        <f t="shared" si="44"/>
        <v>00803890151</v>
      </c>
      <c r="E505" t="s">
        <v>52</v>
      </c>
      <c r="F505">
        <v>2014</v>
      </c>
      <c r="G505">
        <v>40040653</v>
      </c>
      <c r="H505" s="1">
        <v>41927</v>
      </c>
      <c r="I505" s="1">
        <v>41935</v>
      </c>
      <c r="J505" s="1">
        <v>41935</v>
      </c>
      <c r="K505" s="1">
        <v>41995</v>
      </c>
      <c r="N505" s="5"/>
      <c r="O505" s="2">
        <v>3256.79</v>
      </c>
      <c r="P505">
        <v>226</v>
      </c>
      <c r="Q505" s="2">
        <v>736034.54</v>
      </c>
      <c r="R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 s="1">
        <v>42382</v>
      </c>
      <c r="AC505" t="s">
        <v>53</v>
      </c>
      <c r="AD505" t="s">
        <v>53</v>
      </c>
      <c r="AK505">
        <v>0</v>
      </c>
      <c r="AU505" s="6">
        <v>42221</v>
      </c>
      <c r="AV505" s="6">
        <v>42221</v>
      </c>
      <c r="AW505" t="s">
        <v>54</v>
      </c>
      <c r="AX505" t="str">
        <f t="shared" si="41"/>
        <v>FOR</v>
      </c>
      <c r="AY505" t="s">
        <v>55</v>
      </c>
    </row>
    <row r="506" spans="1:51" hidden="1">
      <c r="A506">
        <v>100164</v>
      </c>
      <c r="B506" t="s">
        <v>97</v>
      </c>
      <c r="C506" t="str">
        <f t="shared" si="44"/>
        <v>00803890151</v>
      </c>
      <c r="D506" t="str">
        <f t="shared" si="44"/>
        <v>00803890151</v>
      </c>
      <c r="E506" t="s">
        <v>52</v>
      </c>
      <c r="F506">
        <v>2014</v>
      </c>
      <c r="G506">
        <v>40041344</v>
      </c>
      <c r="H506" s="1">
        <v>41932</v>
      </c>
      <c r="I506" s="1">
        <v>41939</v>
      </c>
      <c r="J506" s="1">
        <v>41939</v>
      </c>
      <c r="K506" s="1">
        <v>41999</v>
      </c>
      <c r="N506" s="5"/>
      <c r="O506" s="2">
        <v>2815.76</v>
      </c>
      <c r="P506">
        <v>222</v>
      </c>
      <c r="Q506" s="2">
        <v>625098.72</v>
      </c>
      <c r="R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 s="1">
        <v>42382</v>
      </c>
      <c r="AC506" t="s">
        <v>53</v>
      </c>
      <c r="AD506" t="s">
        <v>53</v>
      </c>
      <c r="AK506">
        <v>0</v>
      </c>
      <c r="AU506" s="6">
        <v>42221</v>
      </c>
      <c r="AV506" s="6">
        <v>42221</v>
      </c>
      <c r="AW506" t="s">
        <v>54</v>
      </c>
      <c r="AX506" t="str">
        <f t="shared" si="41"/>
        <v>FOR</v>
      </c>
      <c r="AY506" t="s">
        <v>55</v>
      </c>
    </row>
    <row r="507" spans="1:51" hidden="1">
      <c r="A507">
        <v>100164</v>
      </c>
      <c r="B507" t="s">
        <v>97</v>
      </c>
      <c r="C507" t="str">
        <f t="shared" si="44"/>
        <v>00803890151</v>
      </c>
      <c r="D507" t="str">
        <f t="shared" si="44"/>
        <v>00803890151</v>
      </c>
      <c r="E507" t="s">
        <v>52</v>
      </c>
      <c r="F507">
        <v>2014</v>
      </c>
      <c r="G507">
        <v>40041613</v>
      </c>
      <c r="H507" s="1">
        <v>41934</v>
      </c>
      <c r="I507" s="1">
        <v>41941</v>
      </c>
      <c r="J507" s="1">
        <v>41941</v>
      </c>
      <c r="K507" s="1">
        <v>42001</v>
      </c>
      <c r="N507" s="5"/>
      <c r="O507">
        <v>268.39999999999998</v>
      </c>
      <c r="P507">
        <v>220</v>
      </c>
      <c r="Q507" s="2">
        <v>59048</v>
      </c>
      <c r="R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 s="1">
        <v>42382</v>
      </c>
      <c r="AC507" t="s">
        <v>53</v>
      </c>
      <c r="AD507" t="s">
        <v>53</v>
      </c>
      <c r="AK507">
        <v>0</v>
      </c>
      <c r="AU507" s="6">
        <v>42221</v>
      </c>
      <c r="AV507" s="6">
        <v>42221</v>
      </c>
      <c r="AW507" t="s">
        <v>54</v>
      </c>
      <c r="AX507" t="str">
        <f t="shared" si="41"/>
        <v>FOR</v>
      </c>
      <c r="AY507" t="s">
        <v>55</v>
      </c>
    </row>
    <row r="508" spans="1:51" hidden="1">
      <c r="A508">
        <v>100164</v>
      </c>
      <c r="B508" t="s">
        <v>97</v>
      </c>
      <c r="C508" t="str">
        <f t="shared" si="44"/>
        <v>00803890151</v>
      </c>
      <c r="D508" t="str">
        <f t="shared" si="44"/>
        <v>00803890151</v>
      </c>
      <c r="E508" t="s">
        <v>52</v>
      </c>
      <c r="F508">
        <v>2014</v>
      </c>
      <c r="G508">
        <v>40044443</v>
      </c>
      <c r="H508" s="1">
        <v>41955</v>
      </c>
      <c r="I508" s="1">
        <v>41964</v>
      </c>
      <c r="J508" s="1">
        <v>41964</v>
      </c>
      <c r="K508" s="1">
        <v>42024</v>
      </c>
      <c r="N508" s="5"/>
      <c r="O508">
        <v>536.79999999999995</v>
      </c>
      <c r="P508">
        <v>197</v>
      </c>
      <c r="Q508" s="2">
        <v>105749.6</v>
      </c>
      <c r="R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 s="1">
        <v>42382</v>
      </c>
      <c r="AC508" t="s">
        <v>53</v>
      </c>
      <c r="AD508" t="s">
        <v>53</v>
      </c>
      <c r="AK508">
        <v>0</v>
      </c>
      <c r="AU508" s="6">
        <v>42221</v>
      </c>
      <c r="AV508" s="6">
        <v>42221</v>
      </c>
      <c r="AW508" t="s">
        <v>54</v>
      </c>
      <c r="AX508" t="str">
        <f t="shared" si="41"/>
        <v>FOR</v>
      </c>
      <c r="AY508" t="s">
        <v>55</v>
      </c>
    </row>
    <row r="509" spans="1:51" hidden="1">
      <c r="A509">
        <v>100164</v>
      </c>
      <c r="B509" t="s">
        <v>97</v>
      </c>
      <c r="C509" t="str">
        <f t="shared" si="44"/>
        <v>00803890151</v>
      </c>
      <c r="D509" t="str">
        <f t="shared" si="44"/>
        <v>00803890151</v>
      </c>
      <c r="E509" t="s">
        <v>52</v>
      </c>
      <c r="F509">
        <v>2014</v>
      </c>
      <c r="G509">
        <v>40044515</v>
      </c>
      <c r="H509" s="1">
        <v>41955</v>
      </c>
      <c r="I509" s="1">
        <v>41964</v>
      </c>
      <c r="J509" s="1">
        <v>41964</v>
      </c>
      <c r="K509" s="1">
        <v>42024</v>
      </c>
      <c r="N509" s="5"/>
      <c r="O509" s="2">
        <v>4889.67</v>
      </c>
      <c r="P509">
        <v>197</v>
      </c>
      <c r="Q509" s="2">
        <v>963264.99</v>
      </c>
      <c r="R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 s="1">
        <v>42382</v>
      </c>
      <c r="AC509" t="s">
        <v>53</v>
      </c>
      <c r="AD509" t="s">
        <v>53</v>
      </c>
      <c r="AK509">
        <v>0</v>
      </c>
      <c r="AU509" s="6">
        <v>42221</v>
      </c>
      <c r="AV509" s="6">
        <v>42221</v>
      </c>
      <c r="AW509" t="s">
        <v>54</v>
      </c>
      <c r="AX509" t="str">
        <f t="shared" si="41"/>
        <v>FOR</v>
      </c>
      <c r="AY509" t="s">
        <v>55</v>
      </c>
    </row>
    <row r="510" spans="1:51" hidden="1">
      <c r="A510">
        <v>100164</v>
      </c>
      <c r="B510" t="s">
        <v>97</v>
      </c>
      <c r="C510" t="str">
        <f t="shared" si="44"/>
        <v>00803890151</v>
      </c>
      <c r="D510" t="str">
        <f t="shared" si="44"/>
        <v>00803890151</v>
      </c>
      <c r="E510" t="s">
        <v>52</v>
      </c>
      <c r="F510">
        <v>2014</v>
      </c>
      <c r="G510">
        <v>40044516</v>
      </c>
      <c r="H510" s="1">
        <v>41955</v>
      </c>
      <c r="I510" s="1">
        <v>41964</v>
      </c>
      <c r="J510" s="1">
        <v>41964</v>
      </c>
      <c r="K510" s="1">
        <v>42024</v>
      </c>
      <c r="N510" s="5"/>
      <c r="O510" s="2">
        <v>7056.48</v>
      </c>
      <c r="P510">
        <v>197</v>
      </c>
      <c r="Q510" s="2">
        <v>1390126.56</v>
      </c>
      <c r="R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 s="1">
        <v>42382</v>
      </c>
      <c r="AC510" t="s">
        <v>53</v>
      </c>
      <c r="AD510" t="s">
        <v>53</v>
      </c>
      <c r="AK510">
        <v>0</v>
      </c>
      <c r="AU510" s="6">
        <v>42221</v>
      </c>
      <c r="AV510" s="6">
        <v>42221</v>
      </c>
      <c r="AW510" t="s">
        <v>54</v>
      </c>
      <c r="AX510" t="str">
        <f t="shared" si="41"/>
        <v>FOR</v>
      </c>
      <c r="AY510" t="s">
        <v>55</v>
      </c>
    </row>
    <row r="511" spans="1:51" hidden="1">
      <c r="A511">
        <v>100164</v>
      </c>
      <c r="B511" t="s">
        <v>97</v>
      </c>
      <c r="C511" t="str">
        <f t="shared" si="44"/>
        <v>00803890151</v>
      </c>
      <c r="D511" t="str">
        <f t="shared" si="44"/>
        <v>00803890151</v>
      </c>
      <c r="E511" t="s">
        <v>52</v>
      </c>
      <c r="F511">
        <v>2014</v>
      </c>
      <c r="G511">
        <v>40044959</v>
      </c>
      <c r="H511" s="1">
        <v>41957</v>
      </c>
      <c r="I511" s="1">
        <v>41967</v>
      </c>
      <c r="J511" s="1">
        <v>41967</v>
      </c>
      <c r="K511" s="1">
        <v>42027</v>
      </c>
      <c r="N511" s="5"/>
      <c r="O511">
        <v>70.03</v>
      </c>
      <c r="P511">
        <v>194</v>
      </c>
      <c r="Q511" s="2">
        <v>13585.82</v>
      </c>
      <c r="R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 s="1">
        <v>42382</v>
      </c>
      <c r="AC511" t="s">
        <v>53</v>
      </c>
      <c r="AD511" t="s">
        <v>53</v>
      </c>
      <c r="AK511">
        <v>0</v>
      </c>
      <c r="AU511" s="6">
        <v>42221</v>
      </c>
      <c r="AV511" s="6">
        <v>42221</v>
      </c>
      <c r="AW511" t="s">
        <v>54</v>
      </c>
      <c r="AX511" t="str">
        <f t="shared" si="41"/>
        <v>FOR</v>
      </c>
      <c r="AY511" t="s">
        <v>55</v>
      </c>
    </row>
    <row r="512" spans="1:51" hidden="1">
      <c r="A512">
        <v>100164</v>
      </c>
      <c r="B512" t="s">
        <v>97</v>
      </c>
      <c r="C512" t="str">
        <f t="shared" si="44"/>
        <v>00803890151</v>
      </c>
      <c r="D512" t="str">
        <f t="shared" si="44"/>
        <v>00803890151</v>
      </c>
      <c r="E512" t="s">
        <v>52</v>
      </c>
      <c r="F512">
        <v>2014</v>
      </c>
      <c r="G512">
        <v>40045263</v>
      </c>
      <c r="H512" s="1">
        <v>41960</v>
      </c>
      <c r="I512" s="1">
        <v>41967</v>
      </c>
      <c r="J512" s="1">
        <v>41967</v>
      </c>
      <c r="K512" s="1">
        <v>42027</v>
      </c>
      <c r="N512" s="5"/>
      <c r="O512">
        <v>82.96</v>
      </c>
      <c r="P512">
        <v>194</v>
      </c>
      <c r="Q512" s="2">
        <v>16094.24</v>
      </c>
      <c r="R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 s="1">
        <v>42382</v>
      </c>
      <c r="AC512" t="s">
        <v>53</v>
      </c>
      <c r="AD512" t="s">
        <v>53</v>
      </c>
      <c r="AK512">
        <v>0</v>
      </c>
      <c r="AU512" s="6">
        <v>42221</v>
      </c>
      <c r="AV512" s="6">
        <v>42221</v>
      </c>
      <c r="AW512" t="s">
        <v>54</v>
      </c>
      <c r="AX512" t="str">
        <f t="shared" si="41"/>
        <v>FOR</v>
      </c>
      <c r="AY512" t="s">
        <v>55</v>
      </c>
    </row>
    <row r="513" spans="1:51" hidden="1">
      <c r="A513">
        <v>100164</v>
      </c>
      <c r="B513" t="s">
        <v>97</v>
      </c>
      <c r="C513" t="str">
        <f t="shared" si="44"/>
        <v>00803890151</v>
      </c>
      <c r="D513" t="str">
        <f t="shared" si="44"/>
        <v>00803890151</v>
      </c>
      <c r="E513" t="s">
        <v>52</v>
      </c>
      <c r="F513">
        <v>2014</v>
      </c>
      <c r="G513">
        <v>40046460</v>
      </c>
      <c r="H513" s="1">
        <v>41969</v>
      </c>
      <c r="I513" s="1">
        <v>41976</v>
      </c>
      <c r="J513" s="1">
        <v>41976</v>
      </c>
      <c r="K513" s="1">
        <v>42036</v>
      </c>
      <c r="N513" s="5"/>
      <c r="O513" s="2">
        <v>4862.92</v>
      </c>
      <c r="P513">
        <v>185</v>
      </c>
      <c r="Q513" s="2">
        <v>899640.2</v>
      </c>
      <c r="R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 s="1">
        <v>42382</v>
      </c>
      <c r="AC513" t="s">
        <v>53</v>
      </c>
      <c r="AD513" t="s">
        <v>53</v>
      </c>
      <c r="AK513">
        <v>0</v>
      </c>
      <c r="AU513" s="6">
        <v>42221</v>
      </c>
      <c r="AV513" s="6">
        <v>42221</v>
      </c>
      <c r="AW513" t="s">
        <v>54</v>
      </c>
      <c r="AX513" t="str">
        <f t="shared" si="41"/>
        <v>FOR</v>
      </c>
      <c r="AY513" t="s">
        <v>55</v>
      </c>
    </row>
    <row r="514" spans="1:51" hidden="1">
      <c r="A514">
        <v>100164</v>
      </c>
      <c r="B514" t="s">
        <v>97</v>
      </c>
      <c r="C514" t="str">
        <f t="shared" si="44"/>
        <v>00803890151</v>
      </c>
      <c r="D514" t="str">
        <f t="shared" si="44"/>
        <v>00803890151</v>
      </c>
      <c r="E514" t="s">
        <v>52</v>
      </c>
      <c r="F514">
        <v>2014</v>
      </c>
      <c r="G514">
        <v>40046461</v>
      </c>
      <c r="H514" s="1">
        <v>41969</v>
      </c>
      <c r="I514" s="1">
        <v>41976</v>
      </c>
      <c r="J514" s="1">
        <v>41976</v>
      </c>
      <c r="K514" s="1">
        <v>42036</v>
      </c>
      <c r="N514" s="5"/>
      <c r="O514">
        <v>134.19999999999999</v>
      </c>
      <c r="P514">
        <v>185</v>
      </c>
      <c r="Q514" s="2">
        <v>24827</v>
      </c>
      <c r="R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 s="1">
        <v>42382</v>
      </c>
      <c r="AC514" t="s">
        <v>53</v>
      </c>
      <c r="AD514" t="s">
        <v>53</v>
      </c>
      <c r="AK514">
        <v>0</v>
      </c>
      <c r="AU514" s="6">
        <v>42221</v>
      </c>
      <c r="AV514" s="6">
        <v>42221</v>
      </c>
      <c r="AW514" t="s">
        <v>54</v>
      </c>
      <c r="AX514" t="str">
        <f t="shared" si="41"/>
        <v>FOR</v>
      </c>
      <c r="AY514" t="s">
        <v>55</v>
      </c>
    </row>
    <row r="515" spans="1:51" hidden="1">
      <c r="A515">
        <v>100164</v>
      </c>
      <c r="B515" t="s">
        <v>97</v>
      </c>
      <c r="C515" t="str">
        <f t="shared" si="44"/>
        <v>00803890151</v>
      </c>
      <c r="D515" t="str">
        <f t="shared" si="44"/>
        <v>00803890151</v>
      </c>
      <c r="E515" t="s">
        <v>52</v>
      </c>
      <c r="F515">
        <v>2014</v>
      </c>
      <c r="G515">
        <v>40046960</v>
      </c>
      <c r="H515" s="1">
        <v>41971</v>
      </c>
      <c r="I515" s="1">
        <v>41978</v>
      </c>
      <c r="J515" s="1">
        <v>41978</v>
      </c>
      <c r="K515" s="1">
        <v>42038</v>
      </c>
      <c r="N515" s="5"/>
      <c r="O515">
        <v>217.16</v>
      </c>
      <c r="P515">
        <v>183</v>
      </c>
      <c r="Q515" s="2">
        <v>39740.28</v>
      </c>
      <c r="R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 s="1">
        <v>42382</v>
      </c>
      <c r="AC515" t="s">
        <v>53</v>
      </c>
      <c r="AD515" t="s">
        <v>53</v>
      </c>
      <c r="AK515">
        <v>0</v>
      </c>
      <c r="AU515" s="6">
        <v>42221</v>
      </c>
      <c r="AV515" s="6">
        <v>42221</v>
      </c>
      <c r="AW515" t="s">
        <v>54</v>
      </c>
      <c r="AX515" t="str">
        <f t="shared" ref="AX515:AX578" si="45">"FOR"</f>
        <v>FOR</v>
      </c>
      <c r="AY515" t="s">
        <v>55</v>
      </c>
    </row>
    <row r="516" spans="1:51" hidden="1">
      <c r="A516">
        <v>100164</v>
      </c>
      <c r="B516" t="s">
        <v>97</v>
      </c>
      <c r="C516" t="str">
        <f t="shared" si="44"/>
        <v>00803890151</v>
      </c>
      <c r="D516" t="str">
        <f t="shared" si="44"/>
        <v>00803890151</v>
      </c>
      <c r="E516" t="s">
        <v>52</v>
      </c>
      <c r="F516">
        <v>2014</v>
      </c>
      <c r="G516">
        <v>40046961</v>
      </c>
      <c r="H516" s="1">
        <v>41971</v>
      </c>
      <c r="I516" s="1">
        <v>41978</v>
      </c>
      <c r="J516" s="1">
        <v>41978</v>
      </c>
      <c r="K516" s="1">
        <v>42038</v>
      </c>
      <c r="N516" s="5"/>
      <c r="O516" s="2">
        <v>1677.5</v>
      </c>
      <c r="P516">
        <v>183</v>
      </c>
      <c r="Q516" s="2">
        <v>306982.5</v>
      </c>
      <c r="R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 s="1">
        <v>42382</v>
      </c>
      <c r="AC516" t="s">
        <v>53</v>
      </c>
      <c r="AD516" t="s">
        <v>53</v>
      </c>
      <c r="AK516">
        <v>0</v>
      </c>
      <c r="AU516" s="6">
        <v>42221</v>
      </c>
      <c r="AV516" s="6">
        <v>42221</v>
      </c>
      <c r="AW516" t="s">
        <v>54</v>
      </c>
      <c r="AX516" t="str">
        <f t="shared" si="45"/>
        <v>FOR</v>
      </c>
      <c r="AY516" t="s">
        <v>55</v>
      </c>
    </row>
    <row r="517" spans="1:51" hidden="1">
      <c r="A517">
        <v>100164</v>
      </c>
      <c r="B517" t="s">
        <v>97</v>
      </c>
      <c r="C517" t="str">
        <f t="shared" si="44"/>
        <v>00803890151</v>
      </c>
      <c r="D517" t="str">
        <f t="shared" si="44"/>
        <v>00803890151</v>
      </c>
      <c r="E517" t="s">
        <v>52</v>
      </c>
      <c r="F517">
        <v>2014</v>
      </c>
      <c r="G517">
        <v>40048411</v>
      </c>
      <c r="H517" s="1">
        <v>41983</v>
      </c>
      <c r="I517" s="1">
        <v>41995</v>
      </c>
      <c r="J517" s="1">
        <v>41995</v>
      </c>
      <c r="K517" s="1">
        <v>42055</v>
      </c>
      <c r="N517" s="5"/>
      <c r="O517" s="2">
        <v>1520.12</v>
      </c>
      <c r="P517">
        <v>166</v>
      </c>
      <c r="Q517" s="2">
        <v>252339.92</v>
      </c>
      <c r="R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 s="1">
        <v>42382</v>
      </c>
      <c r="AC517" t="s">
        <v>53</v>
      </c>
      <c r="AD517" t="s">
        <v>53</v>
      </c>
      <c r="AK517">
        <v>0</v>
      </c>
      <c r="AU517" s="6">
        <v>42221</v>
      </c>
      <c r="AV517" s="6">
        <v>42221</v>
      </c>
      <c r="AW517" t="s">
        <v>54</v>
      </c>
      <c r="AX517" t="str">
        <f t="shared" si="45"/>
        <v>FOR</v>
      </c>
      <c r="AY517" t="s">
        <v>55</v>
      </c>
    </row>
    <row r="518" spans="1:51" hidden="1">
      <c r="A518">
        <v>100164</v>
      </c>
      <c r="B518" t="s">
        <v>97</v>
      </c>
      <c r="C518" t="str">
        <f t="shared" si="44"/>
        <v>00803890151</v>
      </c>
      <c r="D518" t="str">
        <f t="shared" si="44"/>
        <v>00803890151</v>
      </c>
      <c r="E518" t="s">
        <v>52</v>
      </c>
      <c r="F518">
        <v>2014</v>
      </c>
      <c r="G518">
        <v>40048773</v>
      </c>
      <c r="H518" s="1">
        <v>41985</v>
      </c>
      <c r="I518" s="1">
        <v>41995</v>
      </c>
      <c r="J518" s="1">
        <v>41995</v>
      </c>
      <c r="K518" s="1">
        <v>42055</v>
      </c>
      <c r="N518" s="5"/>
      <c r="O518" s="2">
        <v>7938.54</v>
      </c>
      <c r="P518">
        <v>166</v>
      </c>
      <c r="Q518" s="2">
        <v>1317797.6399999999</v>
      </c>
      <c r="R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 s="1">
        <v>42382</v>
      </c>
      <c r="AC518" t="s">
        <v>53</v>
      </c>
      <c r="AD518" t="s">
        <v>53</v>
      </c>
      <c r="AK518">
        <v>0</v>
      </c>
      <c r="AU518" s="6">
        <v>42221</v>
      </c>
      <c r="AV518" s="6">
        <v>42221</v>
      </c>
      <c r="AW518" t="s">
        <v>54</v>
      </c>
      <c r="AX518" t="str">
        <f t="shared" si="45"/>
        <v>FOR</v>
      </c>
      <c r="AY518" t="s">
        <v>55</v>
      </c>
    </row>
    <row r="519" spans="1:51" hidden="1">
      <c r="A519">
        <v>100164</v>
      </c>
      <c r="B519" t="s">
        <v>97</v>
      </c>
      <c r="C519" t="str">
        <f t="shared" si="44"/>
        <v>00803890151</v>
      </c>
      <c r="D519" t="str">
        <f t="shared" si="44"/>
        <v>00803890151</v>
      </c>
      <c r="E519" t="s">
        <v>52</v>
      </c>
      <c r="F519">
        <v>2014</v>
      </c>
      <c r="G519">
        <v>40049818</v>
      </c>
      <c r="H519" s="1">
        <v>41992</v>
      </c>
      <c r="I519" s="1">
        <v>42004</v>
      </c>
      <c r="J519" s="1">
        <v>42004</v>
      </c>
      <c r="K519" s="1">
        <v>42064</v>
      </c>
      <c r="N519" s="5"/>
      <c r="O519" s="2">
        <v>1244.4000000000001</v>
      </c>
      <c r="P519">
        <v>157</v>
      </c>
      <c r="Q519" s="2">
        <v>195370.8</v>
      </c>
      <c r="R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 s="1">
        <v>42382</v>
      </c>
      <c r="AC519" t="s">
        <v>53</v>
      </c>
      <c r="AD519" t="s">
        <v>53</v>
      </c>
      <c r="AK519">
        <v>0</v>
      </c>
      <c r="AU519" s="6">
        <v>42221</v>
      </c>
      <c r="AV519" s="6">
        <v>42221</v>
      </c>
      <c r="AW519" t="s">
        <v>54</v>
      </c>
      <c r="AX519" t="str">
        <f t="shared" si="45"/>
        <v>FOR</v>
      </c>
      <c r="AY519" t="s">
        <v>55</v>
      </c>
    </row>
    <row r="520" spans="1:51" hidden="1">
      <c r="A520">
        <v>100164</v>
      </c>
      <c r="B520" t="s">
        <v>97</v>
      </c>
      <c r="C520" t="str">
        <f t="shared" si="44"/>
        <v>00803890151</v>
      </c>
      <c r="D520" t="str">
        <f t="shared" si="44"/>
        <v>00803890151</v>
      </c>
      <c r="E520" t="s">
        <v>52</v>
      </c>
      <c r="F520">
        <v>2014</v>
      </c>
      <c r="G520">
        <v>40049819</v>
      </c>
      <c r="H520" s="1">
        <v>41992</v>
      </c>
      <c r="I520" s="1">
        <v>42004</v>
      </c>
      <c r="J520" s="1">
        <v>42004</v>
      </c>
      <c r="K520" s="1">
        <v>42064</v>
      </c>
      <c r="N520" s="5"/>
      <c r="O520" s="2">
        <v>4329.12</v>
      </c>
      <c r="P520">
        <v>157</v>
      </c>
      <c r="Q520" s="2">
        <v>679671.84</v>
      </c>
      <c r="R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 s="1">
        <v>42382</v>
      </c>
      <c r="AC520" t="s">
        <v>53</v>
      </c>
      <c r="AD520" t="s">
        <v>53</v>
      </c>
      <c r="AK520">
        <v>0</v>
      </c>
      <c r="AU520" s="6">
        <v>42221</v>
      </c>
      <c r="AV520" s="6">
        <v>42221</v>
      </c>
      <c r="AW520" t="s">
        <v>54</v>
      </c>
      <c r="AX520" t="str">
        <f t="shared" si="45"/>
        <v>FOR</v>
      </c>
      <c r="AY520" t="s">
        <v>55</v>
      </c>
    </row>
    <row r="521" spans="1:51" hidden="1">
      <c r="A521">
        <v>100164</v>
      </c>
      <c r="B521" t="s">
        <v>97</v>
      </c>
      <c r="C521" t="str">
        <f t="shared" si="44"/>
        <v>00803890151</v>
      </c>
      <c r="D521" t="str">
        <f t="shared" si="44"/>
        <v>00803890151</v>
      </c>
      <c r="E521" t="s">
        <v>52</v>
      </c>
      <c r="F521">
        <v>2014</v>
      </c>
      <c r="G521">
        <v>40050321</v>
      </c>
      <c r="H521" s="1">
        <v>41999</v>
      </c>
      <c r="I521" s="1">
        <v>42004</v>
      </c>
      <c r="J521" s="1">
        <v>42004</v>
      </c>
      <c r="K521" s="1">
        <v>42064</v>
      </c>
      <c r="N521" s="5"/>
      <c r="O521" s="2">
        <v>4270</v>
      </c>
      <c r="P521">
        <v>157</v>
      </c>
      <c r="Q521" s="2">
        <v>670390</v>
      </c>
      <c r="R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 s="1">
        <v>42382</v>
      </c>
      <c r="AC521" t="s">
        <v>53</v>
      </c>
      <c r="AD521" t="s">
        <v>53</v>
      </c>
      <c r="AK521">
        <v>0</v>
      </c>
      <c r="AU521" s="6">
        <v>42221</v>
      </c>
      <c r="AV521" s="6">
        <v>42221</v>
      </c>
      <c r="AW521" t="s">
        <v>54</v>
      </c>
      <c r="AX521" t="str">
        <f t="shared" si="45"/>
        <v>FOR</v>
      </c>
      <c r="AY521" t="s">
        <v>55</v>
      </c>
    </row>
    <row r="522" spans="1:51" hidden="1">
      <c r="A522">
        <v>100164</v>
      </c>
      <c r="B522" t="s">
        <v>97</v>
      </c>
      <c r="C522" t="str">
        <f t="shared" si="44"/>
        <v>00803890151</v>
      </c>
      <c r="D522" t="str">
        <f t="shared" si="44"/>
        <v>00803890151</v>
      </c>
      <c r="E522" t="s">
        <v>52</v>
      </c>
      <c r="F522">
        <v>2014</v>
      </c>
      <c r="G522">
        <v>40050322</v>
      </c>
      <c r="H522" s="1">
        <v>41999</v>
      </c>
      <c r="I522" s="1">
        <v>42004</v>
      </c>
      <c r="J522" s="1">
        <v>42004</v>
      </c>
      <c r="K522" s="1">
        <v>42064</v>
      </c>
      <c r="N522" s="5"/>
      <c r="O522">
        <v>152.5</v>
      </c>
      <c r="P522">
        <v>157</v>
      </c>
      <c r="Q522" s="2">
        <v>23942.5</v>
      </c>
      <c r="R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 s="1">
        <v>42382</v>
      </c>
      <c r="AC522" t="s">
        <v>53</v>
      </c>
      <c r="AD522" t="s">
        <v>53</v>
      </c>
      <c r="AK522">
        <v>0</v>
      </c>
      <c r="AU522" s="6">
        <v>42221</v>
      </c>
      <c r="AV522" s="6">
        <v>42221</v>
      </c>
      <c r="AW522" t="s">
        <v>54</v>
      </c>
      <c r="AX522" t="str">
        <f t="shared" si="45"/>
        <v>FOR</v>
      </c>
      <c r="AY522" t="s">
        <v>55</v>
      </c>
    </row>
    <row r="523" spans="1:51" hidden="1">
      <c r="A523">
        <v>100164</v>
      </c>
      <c r="B523" t="s">
        <v>97</v>
      </c>
      <c r="C523" t="str">
        <f t="shared" si="44"/>
        <v>00803890151</v>
      </c>
      <c r="D523" t="str">
        <f t="shared" si="44"/>
        <v>00803890151</v>
      </c>
      <c r="E523" t="s">
        <v>52</v>
      </c>
      <c r="F523">
        <v>2015</v>
      </c>
      <c r="G523">
        <v>150001225</v>
      </c>
      <c r="H523" s="1">
        <v>42018</v>
      </c>
      <c r="I523" s="1">
        <v>42025</v>
      </c>
      <c r="J523" s="1">
        <v>42025</v>
      </c>
      <c r="K523" s="1">
        <v>42085</v>
      </c>
      <c r="N523" s="5"/>
      <c r="O523" s="2">
        <v>8494.2999999999993</v>
      </c>
      <c r="P523">
        <v>165</v>
      </c>
      <c r="Q523" s="2">
        <v>1401559.5</v>
      </c>
      <c r="R523">
        <v>0</v>
      </c>
      <c r="V523">
        <v>0</v>
      </c>
      <c r="W523">
        <v>0</v>
      </c>
      <c r="X523">
        <v>0</v>
      </c>
      <c r="Y523" s="2">
        <v>10363.030000000001</v>
      </c>
      <c r="Z523" s="2">
        <v>10363.030000000001</v>
      </c>
      <c r="AA523" s="2">
        <v>10363.030000000001</v>
      </c>
      <c r="AB523" s="1">
        <v>42382</v>
      </c>
      <c r="AC523" t="s">
        <v>53</v>
      </c>
      <c r="AD523" t="s">
        <v>53</v>
      </c>
      <c r="AK523">
        <v>0</v>
      </c>
      <c r="AU523" s="6">
        <v>42250</v>
      </c>
      <c r="AV523" s="6">
        <v>42250</v>
      </c>
      <c r="AW523" t="s">
        <v>54</v>
      </c>
      <c r="AX523" t="str">
        <f t="shared" si="45"/>
        <v>FOR</v>
      </c>
      <c r="AY523" t="s">
        <v>55</v>
      </c>
    </row>
    <row r="524" spans="1:51" hidden="1">
      <c r="A524">
        <v>100164</v>
      </c>
      <c r="B524" t="s">
        <v>97</v>
      </c>
      <c r="C524" t="str">
        <f t="shared" ref="C524:D543" si="46">"00803890151"</f>
        <v>00803890151</v>
      </c>
      <c r="D524" t="str">
        <f t="shared" si="46"/>
        <v>00803890151</v>
      </c>
      <c r="E524" t="s">
        <v>52</v>
      </c>
      <c r="F524">
        <v>2015</v>
      </c>
      <c r="G524">
        <v>150001728</v>
      </c>
      <c r="H524" s="1">
        <v>42020</v>
      </c>
      <c r="I524" s="1">
        <v>42030</v>
      </c>
      <c r="J524" s="1">
        <v>42030</v>
      </c>
      <c r="K524" s="1">
        <v>42090</v>
      </c>
      <c r="N524" s="5"/>
      <c r="O524" s="2">
        <v>1735</v>
      </c>
      <c r="P524">
        <v>160</v>
      </c>
      <c r="Q524" s="2">
        <v>277600</v>
      </c>
      <c r="R524">
        <v>0</v>
      </c>
      <c r="V524">
        <v>0</v>
      </c>
      <c r="W524">
        <v>0</v>
      </c>
      <c r="X524">
        <v>0</v>
      </c>
      <c r="Y524" s="2">
        <v>2116.6999999999998</v>
      </c>
      <c r="Z524" s="2">
        <v>2116.6999999999998</v>
      </c>
      <c r="AA524" s="2">
        <v>2116.6999999999998</v>
      </c>
      <c r="AB524" s="1">
        <v>42382</v>
      </c>
      <c r="AC524" t="s">
        <v>53</v>
      </c>
      <c r="AD524" t="s">
        <v>53</v>
      </c>
      <c r="AK524">
        <v>0</v>
      </c>
      <c r="AU524" s="6">
        <v>42250</v>
      </c>
      <c r="AV524" s="6">
        <v>42250</v>
      </c>
      <c r="AW524" t="s">
        <v>54</v>
      </c>
      <c r="AX524" t="str">
        <f t="shared" si="45"/>
        <v>FOR</v>
      </c>
      <c r="AY524" t="s">
        <v>55</v>
      </c>
    </row>
    <row r="525" spans="1:51" hidden="1">
      <c r="A525">
        <v>100164</v>
      </c>
      <c r="B525" t="s">
        <v>97</v>
      </c>
      <c r="C525" t="str">
        <f t="shared" si="46"/>
        <v>00803890151</v>
      </c>
      <c r="D525" t="str">
        <f t="shared" si="46"/>
        <v>00803890151</v>
      </c>
      <c r="E525" t="s">
        <v>52</v>
      </c>
      <c r="F525">
        <v>2015</v>
      </c>
      <c r="G525">
        <v>150002598</v>
      </c>
      <c r="H525" s="1">
        <v>42027</v>
      </c>
      <c r="I525" s="1">
        <v>42037</v>
      </c>
      <c r="J525" s="1">
        <v>42037</v>
      </c>
      <c r="K525" s="1">
        <v>42097</v>
      </c>
      <c r="N525" s="5"/>
      <c r="O525">
        <v>440</v>
      </c>
      <c r="P525">
        <v>153</v>
      </c>
      <c r="Q525" s="2">
        <v>67320</v>
      </c>
      <c r="R525">
        <v>0</v>
      </c>
      <c r="V525">
        <v>0</v>
      </c>
      <c r="W525">
        <v>0</v>
      </c>
      <c r="X525">
        <v>0</v>
      </c>
      <c r="Y525">
        <v>536.79999999999995</v>
      </c>
      <c r="Z525">
        <v>536.79999999999995</v>
      </c>
      <c r="AA525">
        <v>536.79999999999995</v>
      </c>
      <c r="AB525" s="1">
        <v>42382</v>
      </c>
      <c r="AC525" t="s">
        <v>53</v>
      </c>
      <c r="AD525" t="s">
        <v>53</v>
      </c>
      <c r="AK525">
        <v>0</v>
      </c>
      <c r="AU525" s="6">
        <v>42250</v>
      </c>
      <c r="AV525" s="6">
        <v>42250</v>
      </c>
      <c r="AW525" t="s">
        <v>54</v>
      </c>
      <c r="AX525" t="str">
        <f t="shared" si="45"/>
        <v>FOR</v>
      </c>
      <c r="AY525" t="s">
        <v>55</v>
      </c>
    </row>
    <row r="526" spans="1:51" hidden="1">
      <c r="A526">
        <v>100164</v>
      </c>
      <c r="B526" t="s">
        <v>97</v>
      </c>
      <c r="C526" t="str">
        <f t="shared" si="46"/>
        <v>00803890151</v>
      </c>
      <c r="D526" t="str">
        <f t="shared" si="46"/>
        <v>00803890151</v>
      </c>
      <c r="E526" t="s">
        <v>52</v>
      </c>
      <c r="F526">
        <v>2015</v>
      </c>
      <c r="G526">
        <v>150002689</v>
      </c>
      <c r="H526" s="1">
        <v>42027</v>
      </c>
      <c r="I526" s="1">
        <v>42037</v>
      </c>
      <c r="J526" s="1">
        <v>42037</v>
      </c>
      <c r="K526" s="1">
        <v>42097</v>
      </c>
      <c r="N526" s="5"/>
      <c r="O526" s="2">
        <v>4896</v>
      </c>
      <c r="P526">
        <v>153</v>
      </c>
      <c r="Q526" s="2">
        <v>749088</v>
      </c>
      <c r="R526">
        <v>0</v>
      </c>
      <c r="V526">
        <v>0</v>
      </c>
      <c r="W526">
        <v>0</v>
      </c>
      <c r="X526">
        <v>0</v>
      </c>
      <c r="Y526" s="2">
        <v>5973.12</v>
      </c>
      <c r="Z526" s="2">
        <v>5973.12</v>
      </c>
      <c r="AA526" s="2">
        <v>5973.12</v>
      </c>
      <c r="AB526" s="1">
        <v>42382</v>
      </c>
      <c r="AC526" t="s">
        <v>53</v>
      </c>
      <c r="AD526" t="s">
        <v>53</v>
      </c>
      <c r="AK526">
        <v>0</v>
      </c>
      <c r="AU526" s="6">
        <v>42250</v>
      </c>
      <c r="AV526" s="6">
        <v>42250</v>
      </c>
      <c r="AW526" t="s">
        <v>54</v>
      </c>
      <c r="AX526" t="str">
        <f t="shared" si="45"/>
        <v>FOR</v>
      </c>
      <c r="AY526" t="s">
        <v>55</v>
      </c>
    </row>
    <row r="527" spans="1:51" hidden="1">
      <c r="A527">
        <v>100164</v>
      </c>
      <c r="B527" t="s">
        <v>97</v>
      </c>
      <c r="C527" t="str">
        <f t="shared" si="46"/>
        <v>00803890151</v>
      </c>
      <c r="D527" t="str">
        <f t="shared" si="46"/>
        <v>00803890151</v>
      </c>
      <c r="E527" t="s">
        <v>52</v>
      </c>
      <c r="F527">
        <v>2015</v>
      </c>
      <c r="G527">
        <v>150003077</v>
      </c>
      <c r="H527" s="1">
        <v>42031</v>
      </c>
      <c r="I527" s="1">
        <v>42037</v>
      </c>
      <c r="J527" s="1">
        <v>42037</v>
      </c>
      <c r="K527" s="1">
        <v>42097</v>
      </c>
      <c r="N527" s="5"/>
      <c r="O527">
        <v>68</v>
      </c>
      <c r="P527">
        <v>153</v>
      </c>
      <c r="Q527" s="2">
        <v>10404</v>
      </c>
      <c r="R527">
        <v>0</v>
      </c>
      <c r="V527">
        <v>0</v>
      </c>
      <c r="W527">
        <v>0</v>
      </c>
      <c r="X527">
        <v>0</v>
      </c>
      <c r="Y527">
        <v>82.96</v>
      </c>
      <c r="Z527">
        <v>82.96</v>
      </c>
      <c r="AA527">
        <v>82.96</v>
      </c>
      <c r="AB527" s="1">
        <v>42382</v>
      </c>
      <c r="AC527" t="s">
        <v>53</v>
      </c>
      <c r="AD527" t="s">
        <v>53</v>
      </c>
      <c r="AK527">
        <v>0</v>
      </c>
      <c r="AU527" s="6">
        <v>42250</v>
      </c>
      <c r="AV527" s="6">
        <v>42250</v>
      </c>
      <c r="AW527" t="s">
        <v>54</v>
      </c>
      <c r="AX527" t="str">
        <f t="shared" si="45"/>
        <v>FOR</v>
      </c>
      <c r="AY527" t="s">
        <v>55</v>
      </c>
    </row>
    <row r="528" spans="1:51" hidden="1">
      <c r="A528">
        <v>100164</v>
      </c>
      <c r="B528" t="s">
        <v>97</v>
      </c>
      <c r="C528" t="str">
        <f t="shared" si="46"/>
        <v>00803890151</v>
      </c>
      <c r="D528" t="str">
        <f t="shared" si="46"/>
        <v>00803890151</v>
      </c>
      <c r="E528" t="s">
        <v>52</v>
      </c>
      <c r="F528">
        <v>2015</v>
      </c>
      <c r="G528">
        <v>150003253</v>
      </c>
      <c r="H528" s="1">
        <v>42032</v>
      </c>
      <c r="I528" s="1">
        <v>42039</v>
      </c>
      <c r="J528" s="1">
        <v>42039</v>
      </c>
      <c r="K528" s="1">
        <v>42099</v>
      </c>
      <c r="N528" s="5"/>
      <c r="O528" s="2">
        <v>6145.5</v>
      </c>
      <c r="P528">
        <v>151</v>
      </c>
      <c r="Q528" s="2">
        <v>927970.5</v>
      </c>
      <c r="R528">
        <v>0</v>
      </c>
      <c r="V528">
        <v>0</v>
      </c>
      <c r="W528">
        <v>0</v>
      </c>
      <c r="X528">
        <v>0</v>
      </c>
      <c r="Y528" s="2">
        <v>7497.51</v>
      </c>
      <c r="Z528" s="2">
        <v>7497.51</v>
      </c>
      <c r="AA528" s="2">
        <v>7497.51</v>
      </c>
      <c r="AB528" s="1">
        <v>42382</v>
      </c>
      <c r="AC528" t="s">
        <v>53</v>
      </c>
      <c r="AD528" t="s">
        <v>53</v>
      </c>
      <c r="AK528">
        <v>0</v>
      </c>
      <c r="AU528" s="6">
        <v>42250</v>
      </c>
      <c r="AV528" s="6">
        <v>42250</v>
      </c>
      <c r="AW528" t="s">
        <v>54</v>
      </c>
      <c r="AX528" t="str">
        <f t="shared" si="45"/>
        <v>FOR</v>
      </c>
      <c r="AY528" t="s">
        <v>55</v>
      </c>
    </row>
    <row r="529" spans="1:51" hidden="1">
      <c r="A529">
        <v>100164</v>
      </c>
      <c r="B529" t="s">
        <v>97</v>
      </c>
      <c r="C529" t="str">
        <f t="shared" si="46"/>
        <v>00803890151</v>
      </c>
      <c r="D529" t="str">
        <f t="shared" si="46"/>
        <v>00803890151</v>
      </c>
      <c r="E529" t="s">
        <v>52</v>
      </c>
      <c r="F529">
        <v>2015</v>
      </c>
      <c r="G529">
        <v>150003254</v>
      </c>
      <c r="H529" s="1">
        <v>42032</v>
      </c>
      <c r="I529" s="1">
        <v>42039</v>
      </c>
      <c r="J529" s="1">
        <v>42039</v>
      </c>
      <c r="K529" s="1">
        <v>42099</v>
      </c>
      <c r="N529" s="5"/>
      <c r="O529">
        <v>394.8</v>
      </c>
      <c r="P529">
        <v>151</v>
      </c>
      <c r="Q529" s="2">
        <v>59614.8</v>
      </c>
      <c r="R529">
        <v>0</v>
      </c>
      <c r="V529">
        <v>0</v>
      </c>
      <c r="W529">
        <v>0</v>
      </c>
      <c r="X529">
        <v>0</v>
      </c>
      <c r="Y529">
        <v>481.66</v>
      </c>
      <c r="Z529">
        <v>481.66</v>
      </c>
      <c r="AA529">
        <v>481.66</v>
      </c>
      <c r="AB529" s="1">
        <v>42382</v>
      </c>
      <c r="AC529" t="s">
        <v>53</v>
      </c>
      <c r="AD529" t="s">
        <v>53</v>
      </c>
      <c r="AK529">
        <v>0</v>
      </c>
      <c r="AU529" s="6">
        <v>42250</v>
      </c>
      <c r="AV529" s="6">
        <v>42250</v>
      </c>
      <c r="AW529" t="s">
        <v>54</v>
      </c>
      <c r="AX529" t="str">
        <f t="shared" si="45"/>
        <v>FOR</v>
      </c>
      <c r="AY529" t="s">
        <v>55</v>
      </c>
    </row>
    <row r="530" spans="1:51" hidden="1">
      <c r="A530">
        <v>100164</v>
      </c>
      <c r="B530" t="s">
        <v>97</v>
      </c>
      <c r="C530" t="str">
        <f t="shared" si="46"/>
        <v>00803890151</v>
      </c>
      <c r="D530" t="str">
        <f t="shared" si="46"/>
        <v>00803890151</v>
      </c>
      <c r="E530" t="s">
        <v>52</v>
      </c>
      <c r="F530">
        <v>2015</v>
      </c>
      <c r="G530">
        <v>150005940</v>
      </c>
      <c r="H530" s="1">
        <v>42048</v>
      </c>
      <c r="I530" s="1">
        <v>42054</v>
      </c>
      <c r="J530" s="1">
        <v>42054</v>
      </c>
      <c r="K530" s="1">
        <v>42114</v>
      </c>
      <c r="N530" s="5"/>
      <c r="O530">
        <v>645</v>
      </c>
      <c r="P530">
        <v>163</v>
      </c>
      <c r="Q530" s="2">
        <v>105135</v>
      </c>
      <c r="R530">
        <v>0</v>
      </c>
      <c r="V530">
        <v>0</v>
      </c>
      <c r="W530">
        <v>0</v>
      </c>
      <c r="X530">
        <v>0</v>
      </c>
      <c r="Y530">
        <v>786.9</v>
      </c>
      <c r="Z530">
        <v>786.9</v>
      </c>
      <c r="AA530">
        <v>786.9</v>
      </c>
      <c r="AB530" s="1">
        <v>42382</v>
      </c>
      <c r="AC530" t="s">
        <v>53</v>
      </c>
      <c r="AD530" t="s">
        <v>53</v>
      </c>
      <c r="AK530">
        <v>0</v>
      </c>
      <c r="AU530" s="6">
        <v>42277</v>
      </c>
      <c r="AV530" s="6">
        <v>42277</v>
      </c>
      <c r="AW530" t="s">
        <v>54</v>
      </c>
      <c r="AX530" t="str">
        <f t="shared" si="45"/>
        <v>FOR</v>
      </c>
      <c r="AY530" t="s">
        <v>55</v>
      </c>
    </row>
    <row r="531" spans="1:51" hidden="1">
      <c r="A531">
        <v>100164</v>
      </c>
      <c r="B531" t="s">
        <v>97</v>
      </c>
      <c r="C531" t="str">
        <f t="shared" si="46"/>
        <v>00803890151</v>
      </c>
      <c r="D531" t="str">
        <f t="shared" si="46"/>
        <v>00803890151</v>
      </c>
      <c r="E531" t="s">
        <v>52</v>
      </c>
      <c r="F531">
        <v>2015</v>
      </c>
      <c r="G531">
        <v>150006709</v>
      </c>
      <c r="H531" s="1">
        <v>42055</v>
      </c>
      <c r="I531" s="1">
        <v>42061</v>
      </c>
      <c r="J531" s="1">
        <v>42061</v>
      </c>
      <c r="K531" s="1">
        <v>42121</v>
      </c>
      <c r="N531" s="5"/>
      <c r="O531" s="2">
        <v>4636.0600000000004</v>
      </c>
      <c r="P531">
        <v>156</v>
      </c>
      <c r="Q531" s="2">
        <v>723225.36</v>
      </c>
      <c r="R531">
        <v>0</v>
      </c>
      <c r="V531">
        <v>0</v>
      </c>
      <c r="W531">
        <v>0</v>
      </c>
      <c r="X531">
        <v>0</v>
      </c>
      <c r="Y531" s="2">
        <v>5656</v>
      </c>
      <c r="Z531" s="2">
        <v>5656</v>
      </c>
      <c r="AA531" s="2">
        <v>5656</v>
      </c>
      <c r="AB531" s="1">
        <v>42382</v>
      </c>
      <c r="AC531" t="s">
        <v>53</v>
      </c>
      <c r="AD531" t="s">
        <v>53</v>
      </c>
      <c r="AK531">
        <v>0</v>
      </c>
      <c r="AU531" s="6">
        <v>42277</v>
      </c>
      <c r="AV531" s="6">
        <v>42277</v>
      </c>
      <c r="AW531" t="s">
        <v>54</v>
      </c>
      <c r="AX531" t="str">
        <f t="shared" si="45"/>
        <v>FOR</v>
      </c>
      <c r="AY531" t="s">
        <v>55</v>
      </c>
    </row>
    <row r="532" spans="1:51" hidden="1">
      <c r="A532">
        <v>100164</v>
      </c>
      <c r="B532" t="s">
        <v>97</v>
      </c>
      <c r="C532" t="str">
        <f t="shared" si="46"/>
        <v>00803890151</v>
      </c>
      <c r="D532" t="str">
        <f t="shared" si="46"/>
        <v>00803890151</v>
      </c>
      <c r="E532" t="s">
        <v>52</v>
      </c>
      <c r="F532">
        <v>2015</v>
      </c>
      <c r="G532">
        <v>150006710</v>
      </c>
      <c r="H532" s="1">
        <v>42055</v>
      </c>
      <c r="I532" s="1">
        <v>42061</v>
      </c>
      <c r="J532" s="1">
        <v>42061</v>
      </c>
      <c r="K532" s="1">
        <v>42121</v>
      </c>
      <c r="N532" s="5"/>
      <c r="O532" s="2">
        <v>4338</v>
      </c>
      <c r="P532">
        <v>156</v>
      </c>
      <c r="Q532" s="2">
        <v>676728</v>
      </c>
      <c r="R532">
        <v>0</v>
      </c>
      <c r="V532">
        <v>0</v>
      </c>
      <c r="W532">
        <v>0</v>
      </c>
      <c r="X532">
        <v>0</v>
      </c>
      <c r="Y532" s="2">
        <v>5292.36</v>
      </c>
      <c r="Z532" s="2">
        <v>5292.36</v>
      </c>
      <c r="AA532" s="2">
        <v>5292.36</v>
      </c>
      <c r="AB532" s="1">
        <v>42382</v>
      </c>
      <c r="AC532" t="s">
        <v>53</v>
      </c>
      <c r="AD532" t="s">
        <v>53</v>
      </c>
      <c r="AK532">
        <v>0</v>
      </c>
      <c r="AU532" s="6">
        <v>42277</v>
      </c>
      <c r="AV532" s="6">
        <v>42277</v>
      </c>
      <c r="AW532" t="s">
        <v>54</v>
      </c>
      <c r="AX532" t="str">
        <f t="shared" si="45"/>
        <v>FOR</v>
      </c>
      <c r="AY532" t="s">
        <v>55</v>
      </c>
    </row>
    <row r="533" spans="1:51" hidden="1">
      <c r="A533">
        <v>100164</v>
      </c>
      <c r="B533" t="s">
        <v>97</v>
      </c>
      <c r="C533" t="str">
        <f t="shared" si="46"/>
        <v>00803890151</v>
      </c>
      <c r="D533" t="str">
        <f t="shared" si="46"/>
        <v>00803890151</v>
      </c>
      <c r="E533" t="s">
        <v>52</v>
      </c>
      <c r="F533">
        <v>2015</v>
      </c>
      <c r="G533">
        <v>150006711</v>
      </c>
      <c r="H533" s="1">
        <v>42055</v>
      </c>
      <c r="I533" s="1">
        <v>42061</v>
      </c>
      <c r="J533" s="1">
        <v>42061</v>
      </c>
      <c r="K533" s="1">
        <v>42121</v>
      </c>
      <c r="N533" s="5"/>
      <c r="O533" s="2">
        <v>1442</v>
      </c>
      <c r="P533">
        <v>156</v>
      </c>
      <c r="Q533" s="2">
        <v>224952</v>
      </c>
      <c r="R533">
        <v>0</v>
      </c>
      <c r="V533">
        <v>0</v>
      </c>
      <c r="W533">
        <v>0</v>
      </c>
      <c r="X533">
        <v>0</v>
      </c>
      <c r="Y533" s="2">
        <v>1759.24</v>
      </c>
      <c r="Z533" s="2">
        <v>1759.24</v>
      </c>
      <c r="AA533" s="2">
        <v>1759.24</v>
      </c>
      <c r="AB533" s="1">
        <v>42382</v>
      </c>
      <c r="AC533" t="s">
        <v>53</v>
      </c>
      <c r="AD533" t="s">
        <v>53</v>
      </c>
      <c r="AK533">
        <v>0</v>
      </c>
      <c r="AU533" s="6">
        <v>42277</v>
      </c>
      <c r="AV533" s="6">
        <v>42277</v>
      </c>
      <c r="AW533" t="s">
        <v>54</v>
      </c>
      <c r="AX533" t="str">
        <f t="shared" si="45"/>
        <v>FOR</v>
      </c>
      <c r="AY533" t="s">
        <v>55</v>
      </c>
    </row>
    <row r="534" spans="1:51" hidden="1">
      <c r="A534">
        <v>100164</v>
      </c>
      <c r="B534" t="s">
        <v>97</v>
      </c>
      <c r="C534" t="str">
        <f t="shared" si="46"/>
        <v>00803890151</v>
      </c>
      <c r="D534" t="str">
        <f t="shared" si="46"/>
        <v>00803890151</v>
      </c>
      <c r="E534" t="s">
        <v>52</v>
      </c>
      <c r="F534">
        <v>2015</v>
      </c>
      <c r="G534">
        <v>150006979</v>
      </c>
      <c r="H534" s="1">
        <v>42058</v>
      </c>
      <c r="I534" s="1">
        <v>42067</v>
      </c>
      <c r="J534" s="1">
        <v>42067</v>
      </c>
      <c r="K534" s="1">
        <v>42127</v>
      </c>
      <c r="N534" s="5"/>
      <c r="O534" s="2">
        <v>2108</v>
      </c>
      <c r="P534">
        <v>150</v>
      </c>
      <c r="Q534" s="2">
        <v>316200</v>
      </c>
      <c r="R534">
        <v>0</v>
      </c>
      <c r="V534">
        <v>0</v>
      </c>
      <c r="W534">
        <v>0</v>
      </c>
      <c r="X534">
        <v>0</v>
      </c>
      <c r="Y534" s="2">
        <v>2571.7600000000002</v>
      </c>
      <c r="Z534" s="2">
        <v>2571.7600000000002</v>
      </c>
      <c r="AA534" s="2">
        <v>2571.7600000000002</v>
      </c>
      <c r="AB534" s="1">
        <v>42382</v>
      </c>
      <c r="AC534" t="s">
        <v>53</v>
      </c>
      <c r="AD534" t="s">
        <v>53</v>
      </c>
      <c r="AK534">
        <v>0</v>
      </c>
      <c r="AU534" s="6">
        <v>42277</v>
      </c>
      <c r="AV534" s="6">
        <v>42277</v>
      </c>
      <c r="AW534" t="s">
        <v>54</v>
      </c>
      <c r="AX534" t="str">
        <f t="shared" si="45"/>
        <v>FOR</v>
      </c>
      <c r="AY534" t="s">
        <v>55</v>
      </c>
    </row>
    <row r="535" spans="1:51" hidden="1">
      <c r="A535">
        <v>100164</v>
      </c>
      <c r="B535" t="s">
        <v>97</v>
      </c>
      <c r="C535" t="str">
        <f t="shared" si="46"/>
        <v>00803890151</v>
      </c>
      <c r="D535" t="str">
        <f t="shared" si="46"/>
        <v>00803890151</v>
      </c>
      <c r="E535" t="s">
        <v>52</v>
      </c>
      <c r="F535">
        <v>2015</v>
      </c>
      <c r="G535">
        <v>150007177</v>
      </c>
      <c r="H535" s="1">
        <v>42060</v>
      </c>
      <c r="I535" s="1">
        <v>42068</v>
      </c>
      <c r="J535" s="1">
        <v>42068</v>
      </c>
      <c r="K535" s="1">
        <v>42128</v>
      </c>
      <c r="N535" s="5"/>
      <c r="O535" s="2">
        <v>2750</v>
      </c>
      <c r="P535">
        <v>149</v>
      </c>
      <c r="Q535" s="2">
        <v>409750</v>
      </c>
      <c r="R535">
        <v>0</v>
      </c>
      <c r="V535">
        <v>0</v>
      </c>
      <c r="W535">
        <v>0</v>
      </c>
      <c r="X535">
        <v>0</v>
      </c>
      <c r="Y535" s="2">
        <v>3355</v>
      </c>
      <c r="Z535" s="2">
        <v>3355</v>
      </c>
      <c r="AA535" s="2">
        <v>3355</v>
      </c>
      <c r="AB535" s="1">
        <v>42382</v>
      </c>
      <c r="AC535" t="s">
        <v>53</v>
      </c>
      <c r="AD535" t="s">
        <v>53</v>
      </c>
      <c r="AK535">
        <v>0</v>
      </c>
      <c r="AU535" s="6">
        <v>42277</v>
      </c>
      <c r="AV535" s="6">
        <v>42277</v>
      </c>
      <c r="AW535" t="s">
        <v>54</v>
      </c>
      <c r="AX535" t="str">
        <f t="shared" si="45"/>
        <v>FOR</v>
      </c>
      <c r="AY535" t="s">
        <v>55</v>
      </c>
    </row>
    <row r="536" spans="1:51" hidden="1">
      <c r="A536">
        <v>100164</v>
      </c>
      <c r="B536" t="s">
        <v>97</v>
      </c>
      <c r="C536" t="str">
        <f t="shared" si="46"/>
        <v>00803890151</v>
      </c>
      <c r="D536" t="str">
        <f t="shared" si="46"/>
        <v>00803890151</v>
      </c>
      <c r="E536" t="s">
        <v>52</v>
      </c>
      <c r="F536">
        <v>2015</v>
      </c>
      <c r="G536">
        <v>150007178</v>
      </c>
      <c r="H536" s="1">
        <v>42060</v>
      </c>
      <c r="I536" s="1">
        <v>42068</v>
      </c>
      <c r="J536" s="1">
        <v>42068</v>
      </c>
      <c r="K536" s="1">
        <v>42128</v>
      </c>
      <c r="N536" s="5"/>
      <c r="O536" s="2">
        <v>2040</v>
      </c>
      <c r="P536">
        <v>149</v>
      </c>
      <c r="Q536" s="2">
        <v>303960</v>
      </c>
      <c r="R536">
        <v>0</v>
      </c>
      <c r="V536">
        <v>0</v>
      </c>
      <c r="W536">
        <v>0</v>
      </c>
      <c r="X536">
        <v>0</v>
      </c>
      <c r="Y536" s="2">
        <v>2488.8000000000002</v>
      </c>
      <c r="Z536" s="2">
        <v>2488.8000000000002</v>
      </c>
      <c r="AA536" s="2">
        <v>2488.8000000000002</v>
      </c>
      <c r="AB536" s="1">
        <v>42382</v>
      </c>
      <c r="AC536" t="s">
        <v>53</v>
      </c>
      <c r="AD536" t="s">
        <v>53</v>
      </c>
      <c r="AK536">
        <v>0</v>
      </c>
      <c r="AU536" s="6">
        <v>42277</v>
      </c>
      <c r="AV536" s="6">
        <v>42277</v>
      </c>
      <c r="AW536" t="s">
        <v>54</v>
      </c>
      <c r="AX536" t="str">
        <f t="shared" si="45"/>
        <v>FOR</v>
      </c>
      <c r="AY536" t="s">
        <v>55</v>
      </c>
    </row>
    <row r="537" spans="1:51" hidden="1">
      <c r="A537">
        <v>100164</v>
      </c>
      <c r="B537" t="s">
        <v>97</v>
      </c>
      <c r="C537" t="str">
        <f t="shared" si="46"/>
        <v>00803890151</v>
      </c>
      <c r="D537" t="str">
        <f t="shared" si="46"/>
        <v>00803890151</v>
      </c>
      <c r="E537" t="s">
        <v>52</v>
      </c>
      <c r="F537">
        <v>2015</v>
      </c>
      <c r="G537">
        <v>150008859</v>
      </c>
      <c r="H537" s="1">
        <v>42072</v>
      </c>
      <c r="I537" s="1">
        <v>42087</v>
      </c>
      <c r="J537" s="1">
        <v>42087</v>
      </c>
      <c r="K537" s="1">
        <v>42147</v>
      </c>
      <c r="N537" s="5"/>
      <c r="O537" s="2">
        <v>3984</v>
      </c>
      <c r="P537">
        <v>130</v>
      </c>
      <c r="Q537" s="2">
        <v>517920</v>
      </c>
      <c r="R537">
        <v>0</v>
      </c>
      <c r="V537">
        <v>0</v>
      </c>
      <c r="W537">
        <v>0</v>
      </c>
      <c r="X537">
        <v>0</v>
      </c>
      <c r="Y537" s="2">
        <v>4860.4799999999996</v>
      </c>
      <c r="Z537" s="2">
        <v>4860.4799999999996</v>
      </c>
      <c r="AA537" s="2">
        <v>4860.4799999999996</v>
      </c>
      <c r="AB537" s="1">
        <v>42382</v>
      </c>
      <c r="AC537" t="s">
        <v>53</v>
      </c>
      <c r="AD537" t="s">
        <v>53</v>
      </c>
      <c r="AK537">
        <v>0</v>
      </c>
      <c r="AU537" s="6">
        <v>42277</v>
      </c>
      <c r="AV537" s="6">
        <v>42277</v>
      </c>
      <c r="AW537" t="s">
        <v>54</v>
      </c>
      <c r="AX537" t="str">
        <f t="shared" si="45"/>
        <v>FOR</v>
      </c>
      <c r="AY537" t="s">
        <v>55</v>
      </c>
    </row>
    <row r="538" spans="1:51" hidden="1">
      <c r="A538">
        <v>100164</v>
      </c>
      <c r="B538" t="s">
        <v>97</v>
      </c>
      <c r="C538" t="str">
        <f t="shared" si="46"/>
        <v>00803890151</v>
      </c>
      <c r="D538" t="str">
        <f t="shared" si="46"/>
        <v>00803890151</v>
      </c>
      <c r="E538" t="s">
        <v>52</v>
      </c>
      <c r="F538">
        <v>2015</v>
      </c>
      <c r="G538">
        <v>150009622</v>
      </c>
      <c r="H538" s="1">
        <v>42076</v>
      </c>
      <c r="I538" s="1">
        <v>42087</v>
      </c>
      <c r="J538" s="1">
        <v>42087</v>
      </c>
      <c r="K538" s="1">
        <v>42147</v>
      </c>
      <c r="N538" s="5"/>
      <c r="O538" s="2">
        <v>4394.5600000000004</v>
      </c>
      <c r="P538">
        <v>130</v>
      </c>
      <c r="Q538" s="2">
        <v>571292.80000000005</v>
      </c>
      <c r="R538">
        <v>0</v>
      </c>
      <c r="V538">
        <v>0</v>
      </c>
      <c r="W538">
        <v>0</v>
      </c>
      <c r="X538">
        <v>0</v>
      </c>
      <c r="Y538" s="2">
        <v>5361.36</v>
      </c>
      <c r="Z538" s="2">
        <v>5361.36</v>
      </c>
      <c r="AA538" s="2">
        <v>5361.36</v>
      </c>
      <c r="AB538" s="1">
        <v>42382</v>
      </c>
      <c r="AC538" t="s">
        <v>53</v>
      </c>
      <c r="AD538" t="s">
        <v>53</v>
      </c>
      <c r="AK538">
        <v>0</v>
      </c>
      <c r="AU538" s="6">
        <v>42277</v>
      </c>
      <c r="AV538" s="6">
        <v>42277</v>
      </c>
      <c r="AW538" t="s">
        <v>54</v>
      </c>
      <c r="AX538" t="str">
        <f t="shared" si="45"/>
        <v>FOR</v>
      </c>
      <c r="AY538" t="s">
        <v>55</v>
      </c>
    </row>
    <row r="539" spans="1:51" hidden="1">
      <c r="A539">
        <v>100164</v>
      </c>
      <c r="B539" t="s">
        <v>97</v>
      </c>
      <c r="C539" t="str">
        <f t="shared" si="46"/>
        <v>00803890151</v>
      </c>
      <c r="D539" t="str">
        <f t="shared" si="46"/>
        <v>00803890151</v>
      </c>
      <c r="E539" t="s">
        <v>52</v>
      </c>
      <c r="F539">
        <v>2015</v>
      </c>
      <c r="G539">
        <v>150009624</v>
      </c>
      <c r="H539" s="1">
        <v>42076</v>
      </c>
      <c r="I539" s="1">
        <v>42087</v>
      </c>
      <c r="J539" s="1">
        <v>42087</v>
      </c>
      <c r="K539" s="1">
        <v>42147</v>
      </c>
      <c r="N539" s="5"/>
      <c r="O539">
        <v>247.5</v>
      </c>
      <c r="P539">
        <v>130</v>
      </c>
      <c r="Q539" s="2">
        <v>32175</v>
      </c>
      <c r="R539">
        <v>0</v>
      </c>
      <c r="V539">
        <v>0</v>
      </c>
      <c r="W539">
        <v>0</v>
      </c>
      <c r="X539">
        <v>0</v>
      </c>
      <c r="Y539">
        <v>301.95</v>
      </c>
      <c r="Z539">
        <v>301.95</v>
      </c>
      <c r="AA539">
        <v>301.95</v>
      </c>
      <c r="AB539" s="1">
        <v>42382</v>
      </c>
      <c r="AC539" t="s">
        <v>53</v>
      </c>
      <c r="AD539" t="s">
        <v>53</v>
      </c>
      <c r="AK539">
        <v>0</v>
      </c>
      <c r="AU539" s="6">
        <v>42277</v>
      </c>
      <c r="AV539" s="6">
        <v>42277</v>
      </c>
      <c r="AW539" t="s">
        <v>54</v>
      </c>
      <c r="AX539" t="str">
        <f t="shared" si="45"/>
        <v>FOR</v>
      </c>
      <c r="AY539" t="s">
        <v>55</v>
      </c>
    </row>
    <row r="540" spans="1:51" hidden="1">
      <c r="A540">
        <v>100164</v>
      </c>
      <c r="B540" t="s">
        <v>97</v>
      </c>
      <c r="C540" t="str">
        <f t="shared" si="46"/>
        <v>00803890151</v>
      </c>
      <c r="D540" t="str">
        <f t="shared" si="46"/>
        <v>00803890151</v>
      </c>
      <c r="E540" t="s">
        <v>52</v>
      </c>
      <c r="F540">
        <v>2015</v>
      </c>
      <c r="G540">
        <v>150009625</v>
      </c>
      <c r="H540" s="1">
        <v>42076</v>
      </c>
      <c r="I540" s="1">
        <v>42087</v>
      </c>
      <c r="J540" s="1">
        <v>42087</v>
      </c>
      <c r="K540" s="1">
        <v>42147</v>
      </c>
      <c r="N540" s="5"/>
      <c r="O540" s="2">
        <v>3253.5</v>
      </c>
      <c r="P540">
        <v>130</v>
      </c>
      <c r="Q540" s="2">
        <v>422955</v>
      </c>
      <c r="R540">
        <v>0</v>
      </c>
      <c r="V540">
        <v>0</v>
      </c>
      <c r="W540">
        <v>0</v>
      </c>
      <c r="X540">
        <v>0</v>
      </c>
      <c r="Y540" s="2">
        <v>3969.27</v>
      </c>
      <c r="Z540" s="2">
        <v>3969.27</v>
      </c>
      <c r="AA540" s="2">
        <v>3969.27</v>
      </c>
      <c r="AB540" s="1">
        <v>42382</v>
      </c>
      <c r="AC540" t="s">
        <v>53</v>
      </c>
      <c r="AD540" t="s">
        <v>53</v>
      </c>
      <c r="AK540">
        <v>0</v>
      </c>
      <c r="AU540" s="6">
        <v>42277</v>
      </c>
      <c r="AV540" s="6">
        <v>42277</v>
      </c>
      <c r="AW540" t="s">
        <v>54</v>
      </c>
      <c r="AX540" t="str">
        <f t="shared" si="45"/>
        <v>FOR</v>
      </c>
      <c r="AY540" t="s">
        <v>55</v>
      </c>
    </row>
    <row r="541" spans="1:51" hidden="1">
      <c r="A541">
        <v>100164</v>
      </c>
      <c r="B541" t="s">
        <v>97</v>
      </c>
      <c r="C541" t="str">
        <f t="shared" si="46"/>
        <v>00803890151</v>
      </c>
      <c r="D541" t="str">
        <f t="shared" si="46"/>
        <v>00803890151</v>
      </c>
      <c r="E541" t="s">
        <v>52</v>
      </c>
      <c r="F541">
        <v>2015</v>
      </c>
      <c r="G541">
        <v>150010093</v>
      </c>
      <c r="H541" s="1">
        <v>42081</v>
      </c>
      <c r="I541" s="1">
        <v>42087</v>
      </c>
      <c r="J541" s="1">
        <v>42087</v>
      </c>
      <c r="K541" s="1">
        <v>42147</v>
      </c>
      <c r="N541" s="5"/>
      <c r="O541">
        <v>10.4</v>
      </c>
      <c r="P541">
        <v>130</v>
      </c>
      <c r="Q541" s="2">
        <v>1352</v>
      </c>
      <c r="R541">
        <v>0</v>
      </c>
      <c r="V541">
        <v>0</v>
      </c>
      <c r="W541">
        <v>0</v>
      </c>
      <c r="X541">
        <v>0</v>
      </c>
      <c r="Y541">
        <v>12.69</v>
      </c>
      <c r="Z541">
        <v>12.69</v>
      </c>
      <c r="AA541">
        <v>12.69</v>
      </c>
      <c r="AB541" s="1">
        <v>42382</v>
      </c>
      <c r="AC541" t="s">
        <v>53</v>
      </c>
      <c r="AD541" t="s">
        <v>53</v>
      </c>
      <c r="AK541">
        <v>0</v>
      </c>
      <c r="AU541" s="6">
        <v>42277</v>
      </c>
      <c r="AV541" s="6">
        <v>42277</v>
      </c>
      <c r="AW541" t="s">
        <v>54</v>
      </c>
      <c r="AX541" t="str">
        <f t="shared" si="45"/>
        <v>FOR</v>
      </c>
      <c r="AY541" t="s">
        <v>55</v>
      </c>
    </row>
    <row r="542" spans="1:51" hidden="1">
      <c r="A542">
        <v>100164</v>
      </c>
      <c r="B542" t="s">
        <v>97</v>
      </c>
      <c r="C542" t="str">
        <f t="shared" si="46"/>
        <v>00803890151</v>
      </c>
      <c r="D542" t="str">
        <f t="shared" si="46"/>
        <v>00803890151</v>
      </c>
      <c r="E542" t="s">
        <v>52</v>
      </c>
      <c r="F542">
        <v>2015</v>
      </c>
      <c r="G542">
        <v>150011496</v>
      </c>
      <c r="H542" s="1">
        <v>42090</v>
      </c>
      <c r="I542" s="1">
        <v>42096</v>
      </c>
      <c r="J542" s="1">
        <v>42096</v>
      </c>
      <c r="K542" s="1">
        <v>42156</v>
      </c>
      <c r="N542" s="5"/>
      <c r="O542" s="2">
        <v>3500</v>
      </c>
      <c r="P542">
        <v>121</v>
      </c>
      <c r="Q542" s="2">
        <v>423500</v>
      </c>
      <c r="R542">
        <v>0</v>
      </c>
      <c r="V542">
        <v>0</v>
      </c>
      <c r="W542">
        <v>0</v>
      </c>
      <c r="X542">
        <v>0</v>
      </c>
      <c r="Y542" s="2">
        <v>4270</v>
      </c>
      <c r="Z542" s="2">
        <v>4270</v>
      </c>
      <c r="AA542" s="2">
        <v>4270</v>
      </c>
      <c r="AB542" s="1">
        <v>42382</v>
      </c>
      <c r="AC542" t="s">
        <v>53</v>
      </c>
      <c r="AD542" t="s">
        <v>53</v>
      </c>
      <c r="AK542">
        <v>0</v>
      </c>
      <c r="AU542" s="6">
        <v>42277</v>
      </c>
      <c r="AV542" s="6">
        <v>42277</v>
      </c>
      <c r="AW542" t="s">
        <v>54</v>
      </c>
      <c r="AX542" t="str">
        <f t="shared" si="45"/>
        <v>FOR</v>
      </c>
      <c r="AY542" t="s">
        <v>55</v>
      </c>
    </row>
    <row r="543" spans="1:51" hidden="1">
      <c r="A543">
        <v>100164</v>
      </c>
      <c r="B543" t="s">
        <v>97</v>
      </c>
      <c r="C543" t="str">
        <f t="shared" si="46"/>
        <v>00803890151</v>
      </c>
      <c r="D543" t="str">
        <f t="shared" si="46"/>
        <v>00803890151</v>
      </c>
      <c r="E543" t="s">
        <v>52</v>
      </c>
      <c r="F543">
        <v>2015</v>
      </c>
      <c r="G543">
        <v>150011497</v>
      </c>
      <c r="H543" s="1">
        <v>42090</v>
      </c>
      <c r="I543" s="1">
        <v>42096</v>
      </c>
      <c r="J543" s="1">
        <v>42096</v>
      </c>
      <c r="K543" s="1">
        <v>42156</v>
      </c>
      <c r="N543" s="5"/>
      <c r="O543">
        <v>125</v>
      </c>
      <c r="P543">
        <v>121</v>
      </c>
      <c r="Q543" s="2">
        <v>15125</v>
      </c>
      <c r="R543">
        <v>0</v>
      </c>
      <c r="V543">
        <v>0</v>
      </c>
      <c r="W543">
        <v>0</v>
      </c>
      <c r="X543">
        <v>0</v>
      </c>
      <c r="Y543">
        <v>152.5</v>
      </c>
      <c r="Z543">
        <v>152.5</v>
      </c>
      <c r="AA543">
        <v>152.5</v>
      </c>
      <c r="AB543" s="1">
        <v>42382</v>
      </c>
      <c r="AC543" t="s">
        <v>53</v>
      </c>
      <c r="AD543" t="s">
        <v>53</v>
      </c>
      <c r="AK543">
        <v>0</v>
      </c>
      <c r="AU543" s="6">
        <v>42277</v>
      </c>
      <c r="AV543" s="6">
        <v>42277</v>
      </c>
      <c r="AW543" t="s">
        <v>54</v>
      </c>
      <c r="AX543" t="str">
        <f t="shared" si="45"/>
        <v>FOR</v>
      </c>
      <c r="AY543" t="s">
        <v>55</v>
      </c>
    </row>
    <row r="544" spans="1:51">
      <c r="A544">
        <v>100164</v>
      </c>
      <c r="B544" t="s">
        <v>97</v>
      </c>
      <c r="C544" t="str">
        <f t="shared" ref="C544:D563" si="47">"00803890151"</f>
        <v>00803890151</v>
      </c>
      <c r="D544" t="str">
        <f t="shared" si="47"/>
        <v>00803890151</v>
      </c>
      <c r="E544" t="s">
        <v>52</v>
      </c>
      <c r="F544">
        <v>2015</v>
      </c>
      <c r="G544">
        <v>152000555</v>
      </c>
      <c r="H544" s="1">
        <v>42095</v>
      </c>
      <c r="I544" s="1">
        <v>42121</v>
      </c>
      <c r="J544" s="1">
        <v>42120</v>
      </c>
      <c r="K544" s="1">
        <v>42180</v>
      </c>
      <c r="L544" s="7">
        <v>935</v>
      </c>
      <c r="M544" s="5">
        <v>159</v>
      </c>
      <c r="N544" s="7">
        <v>148665</v>
      </c>
      <c r="O544">
        <v>935</v>
      </c>
      <c r="P544">
        <v>159</v>
      </c>
      <c r="Q544" s="2">
        <v>148665</v>
      </c>
      <c r="R544">
        <v>205.7</v>
      </c>
      <c r="V544">
        <v>0</v>
      </c>
      <c r="W544">
        <v>0</v>
      </c>
      <c r="X544">
        <v>0</v>
      </c>
      <c r="Y544" s="2">
        <v>1140.7</v>
      </c>
      <c r="Z544" s="2">
        <v>1140.7</v>
      </c>
      <c r="AA544" s="2">
        <v>1140.7</v>
      </c>
      <c r="AB544" s="1">
        <v>42382</v>
      </c>
      <c r="AC544" t="s">
        <v>53</v>
      </c>
      <c r="AD544" t="s">
        <v>53</v>
      </c>
      <c r="AK544">
        <v>205.7</v>
      </c>
      <c r="AU544" s="6">
        <v>42339</v>
      </c>
      <c r="AV544" s="6">
        <v>42339</v>
      </c>
      <c r="AW544" t="s">
        <v>54</v>
      </c>
      <c r="AX544" t="str">
        <f t="shared" si="45"/>
        <v>FOR</v>
      </c>
      <c r="AY544" t="s">
        <v>55</v>
      </c>
    </row>
    <row r="545" spans="1:51">
      <c r="A545">
        <v>100164</v>
      </c>
      <c r="B545" t="s">
        <v>97</v>
      </c>
      <c r="C545" t="str">
        <f t="shared" si="47"/>
        <v>00803890151</v>
      </c>
      <c r="D545" t="str">
        <f t="shared" si="47"/>
        <v>00803890151</v>
      </c>
      <c r="E545" t="s">
        <v>52</v>
      </c>
      <c r="F545">
        <v>2015</v>
      </c>
      <c r="G545">
        <v>152000998</v>
      </c>
      <c r="H545" s="1">
        <v>42097</v>
      </c>
      <c r="I545" s="1">
        <v>42135</v>
      </c>
      <c r="J545" s="1">
        <v>42132</v>
      </c>
      <c r="K545" s="1">
        <v>42192</v>
      </c>
      <c r="L545" s="7">
        <v>230</v>
      </c>
      <c r="M545" s="5">
        <v>147</v>
      </c>
      <c r="N545" s="7">
        <v>33810</v>
      </c>
      <c r="O545">
        <v>230</v>
      </c>
      <c r="P545">
        <v>147</v>
      </c>
      <c r="Q545" s="2">
        <v>33810</v>
      </c>
      <c r="R545">
        <v>50.6</v>
      </c>
      <c r="V545">
        <v>0</v>
      </c>
      <c r="W545">
        <v>0</v>
      </c>
      <c r="X545">
        <v>0</v>
      </c>
      <c r="Y545">
        <v>280.60000000000002</v>
      </c>
      <c r="Z545">
        <v>280.60000000000002</v>
      </c>
      <c r="AA545">
        <v>280.60000000000002</v>
      </c>
      <c r="AB545" s="1">
        <v>42382</v>
      </c>
      <c r="AC545" t="s">
        <v>53</v>
      </c>
      <c r="AD545" t="s">
        <v>53</v>
      </c>
      <c r="AJ545">
        <v>50.6</v>
      </c>
      <c r="AK545">
        <v>0</v>
      </c>
      <c r="AU545" s="6">
        <v>42339</v>
      </c>
      <c r="AV545" s="6">
        <v>42339</v>
      </c>
      <c r="AW545" t="s">
        <v>54</v>
      </c>
      <c r="AX545" t="str">
        <f t="shared" si="45"/>
        <v>FOR</v>
      </c>
      <c r="AY545" t="s">
        <v>55</v>
      </c>
    </row>
    <row r="546" spans="1:51">
      <c r="A546">
        <v>100164</v>
      </c>
      <c r="B546" t="s">
        <v>97</v>
      </c>
      <c r="C546" t="str">
        <f t="shared" si="47"/>
        <v>00803890151</v>
      </c>
      <c r="D546" t="str">
        <f t="shared" si="47"/>
        <v>00803890151</v>
      </c>
      <c r="E546" t="s">
        <v>52</v>
      </c>
      <c r="F546">
        <v>2015</v>
      </c>
      <c r="G546">
        <v>152001333</v>
      </c>
      <c r="H546" s="1">
        <v>42102</v>
      </c>
      <c r="I546" s="1">
        <v>42107</v>
      </c>
      <c r="J546" s="1">
        <v>42103</v>
      </c>
      <c r="K546" s="1">
        <v>42163</v>
      </c>
      <c r="L546" s="7">
        <v>1440</v>
      </c>
      <c r="M546" s="5">
        <v>176</v>
      </c>
      <c r="N546" s="7">
        <v>253440</v>
      </c>
      <c r="O546" s="2">
        <v>1440</v>
      </c>
      <c r="P546">
        <v>176</v>
      </c>
      <c r="Q546" s="2">
        <v>253440</v>
      </c>
      <c r="R546">
        <v>316.8</v>
      </c>
      <c r="V546">
        <v>0</v>
      </c>
      <c r="W546">
        <v>0</v>
      </c>
      <c r="X546">
        <v>0</v>
      </c>
      <c r="Y546" s="2">
        <v>1756.8</v>
      </c>
      <c r="Z546" s="2">
        <v>1756.8</v>
      </c>
      <c r="AA546" s="2">
        <v>1756.8</v>
      </c>
      <c r="AB546" s="1">
        <v>42382</v>
      </c>
      <c r="AC546" t="s">
        <v>53</v>
      </c>
      <c r="AD546" t="s">
        <v>53</v>
      </c>
      <c r="AK546">
        <v>316.8</v>
      </c>
      <c r="AU546" s="6">
        <v>42339</v>
      </c>
      <c r="AV546" s="6">
        <v>42339</v>
      </c>
      <c r="AW546" t="s">
        <v>54</v>
      </c>
      <c r="AX546" t="str">
        <f t="shared" si="45"/>
        <v>FOR</v>
      </c>
      <c r="AY546" t="s">
        <v>55</v>
      </c>
    </row>
    <row r="547" spans="1:51">
      <c r="A547">
        <v>100164</v>
      </c>
      <c r="B547" t="s">
        <v>97</v>
      </c>
      <c r="C547" t="str">
        <f t="shared" si="47"/>
        <v>00803890151</v>
      </c>
      <c r="D547" t="str">
        <f t="shared" si="47"/>
        <v>00803890151</v>
      </c>
      <c r="E547" t="s">
        <v>52</v>
      </c>
      <c r="F547">
        <v>2015</v>
      </c>
      <c r="G547">
        <v>152001334</v>
      </c>
      <c r="H547" s="1">
        <v>42102</v>
      </c>
      <c r="I547" s="1">
        <v>42107</v>
      </c>
      <c r="J547" s="1">
        <v>42103</v>
      </c>
      <c r="K547" s="1">
        <v>42163</v>
      </c>
      <c r="L547" s="7">
        <v>600</v>
      </c>
      <c r="M547" s="5">
        <v>176</v>
      </c>
      <c r="N547" s="7">
        <v>105600</v>
      </c>
      <c r="O547">
        <v>600</v>
      </c>
      <c r="P547">
        <v>176</v>
      </c>
      <c r="Q547" s="2">
        <v>105600</v>
      </c>
      <c r="R547">
        <v>132</v>
      </c>
      <c r="V547">
        <v>0</v>
      </c>
      <c r="W547">
        <v>0</v>
      </c>
      <c r="X547">
        <v>0</v>
      </c>
      <c r="Y547">
        <v>732</v>
      </c>
      <c r="Z547">
        <v>732</v>
      </c>
      <c r="AA547">
        <v>732</v>
      </c>
      <c r="AB547" s="1">
        <v>42382</v>
      </c>
      <c r="AC547" t="s">
        <v>53</v>
      </c>
      <c r="AD547" t="s">
        <v>53</v>
      </c>
      <c r="AK547">
        <v>132</v>
      </c>
      <c r="AU547" s="6">
        <v>42339</v>
      </c>
      <c r="AV547" s="6">
        <v>42339</v>
      </c>
      <c r="AW547" t="s">
        <v>54</v>
      </c>
      <c r="AX547" t="str">
        <f t="shared" si="45"/>
        <v>FOR</v>
      </c>
      <c r="AY547" t="s">
        <v>55</v>
      </c>
    </row>
    <row r="548" spans="1:51">
      <c r="A548">
        <v>100164</v>
      </c>
      <c r="B548" t="s">
        <v>97</v>
      </c>
      <c r="C548" t="str">
        <f t="shared" si="47"/>
        <v>00803890151</v>
      </c>
      <c r="D548" t="str">
        <f t="shared" si="47"/>
        <v>00803890151</v>
      </c>
      <c r="E548" t="s">
        <v>52</v>
      </c>
      <c r="F548">
        <v>2015</v>
      </c>
      <c r="G548">
        <v>152001335</v>
      </c>
      <c r="H548" s="1">
        <v>42102</v>
      </c>
      <c r="I548" s="1">
        <v>42107</v>
      </c>
      <c r="J548" s="1">
        <v>42103</v>
      </c>
      <c r="K548" s="1">
        <v>42163</v>
      </c>
      <c r="L548" s="7">
        <v>7768.38</v>
      </c>
      <c r="M548" s="5">
        <v>176</v>
      </c>
      <c r="N548" s="7">
        <v>1367234.88</v>
      </c>
      <c r="O548" s="2">
        <v>7768.38</v>
      </c>
      <c r="P548">
        <v>176</v>
      </c>
      <c r="Q548" s="2">
        <v>1367234.88</v>
      </c>
      <c r="R548" s="2">
        <v>1709.04</v>
      </c>
      <c r="V548">
        <v>0</v>
      </c>
      <c r="W548">
        <v>0</v>
      </c>
      <c r="X548">
        <v>0</v>
      </c>
      <c r="Y548" s="2">
        <v>9477.42</v>
      </c>
      <c r="Z548" s="2">
        <v>9477.42</v>
      </c>
      <c r="AA548" s="2">
        <v>9477.42</v>
      </c>
      <c r="AB548" s="1">
        <v>42382</v>
      </c>
      <c r="AC548" t="s">
        <v>53</v>
      </c>
      <c r="AD548" t="s">
        <v>53</v>
      </c>
      <c r="AK548" s="2">
        <v>1709.04</v>
      </c>
      <c r="AU548" s="6">
        <v>42339</v>
      </c>
      <c r="AV548" s="6">
        <v>42339</v>
      </c>
      <c r="AW548" t="s">
        <v>54</v>
      </c>
      <c r="AX548" t="str">
        <f t="shared" si="45"/>
        <v>FOR</v>
      </c>
      <c r="AY548" t="s">
        <v>55</v>
      </c>
    </row>
    <row r="549" spans="1:51">
      <c r="A549">
        <v>100164</v>
      </c>
      <c r="B549" t="s">
        <v>97</v>
      </c>
      <c r="C549" t="str">
        <f t="shared" si="47"/>
        <v>00803890151</v>
      </c>
      <c r="D549" t="str">
        <f t="shared" si="47"/>
        <v>00803890151</v>
      </c>
      <c r="E549" t="s">
        <v>52</v>
      </c>
      <c r="F549">
        <v>2015</v>
      </c>
      <c r="G549">
        <v>152002259</v>
      </c>
      <c r="H549" s="1">
        <v>42109</v>
      </c>
      <c r="I549" s="1">
        <v>42115</v>
      </c>
      <c r="J549" s="1">
        <v>42110</v>
      </c>
      <c r="K549" s="1">
        <v>42170</v>
      </c>
      <c r="L549" s="7">
        <v>120</v>
      </c>
      <c r="M549" s="5">
        <v>169</v>
      </c>
      <c r="N549" s="7">
        <v>20280</v>
      </c>
      <c r="O549">
        <v>120</v>
      </c>
      <c r="P549">
        <v>169</v>
      </c>
      <c r="Q549" s="2">
        <v>20280</v>
      </c>
      <c r="R549">
        <v>26.4</v>
      </c>
      <c r="V549">
        <v>0</v>
      </c>
      <c r="W549">
        <v>0</v>
      </c>
      <c r="X549">
        <v>0</v>
      </c>
      <c r="Y549">
        <v>146.4</v>
      </c>
      <c r="Z549">
        <v>146.4</v>
      </c>
      <c r="AA549">
        <v>146.4</v>
      </c>
      <c r="AB549" s="1">
        <v>42382</v>
      </c>
      <c r="AC549" t="s">
        <v>53</v>
      </c>
      <c r="AD549" t="s">
        <v>53</v>
      </c>
      <c r="AK549">
        <v>26.4</v>
      </c>
      <c r="AU549" s="6">
        <v>42339</v>
      </c>
      <c r="AV549" s="6">
        <v>42339</v>
      </c>
      <c r="AW549" t="s">
        <v>54</v>
      </c>
      <c r="AX549" t="str">
        <f t="shared" si="45"/>
        <v>FOR</v>
      </c>
      <c r="AY549" t="s">
        <v>55</v>
      </c>
    </row>
    <row r="550" spans="1:51">
      <c r="A550">
        <v>100164</v>
      </c>
      <c r="B550" t="s">
        <v>97</v>
      </c>
      <c r="C550" t="str">
        <f t="shared" si="47"/>
        <v>00803890151</v>
      </c>
      <c r="D550" t="str">
        <f t="shared" si="47"/>
        <v>00803890151</v>
      </c>
      <c r="E550" t="s">
        <v>52</v>
      </c>
      <c r="F550">
        <v>2015</v>
      </c>
      <c r="G550">
        <v>152003124</v>
      </c>
      <c r="H550" s="1">
        <v>42115</v>
      </c>
      <c r="I550" s="1">
        <v>42135</v>
      </c>
      <c r="J550" s="1">
        <v>42132</v>
      </c>
      <c r="K550" s="1">
        <v>42192</v>
      </c>
      <c r="L550" s="7">
        <v>70</v>
      </c>
      <c r="M550" s="5">
        <v>147</v>
      </c>
      <c r="N550" s="7">
        <v>10290</v>
      </c>
      <c r="O550">
        <v>70</v>
      </c>
      <c r="P550">
        <v>147</v>
      </c>
      <c r="Q550" s="2">
        <v>10290</v>
      </c>
      <c r="R550">
        <v>15.4</v>
      </c>
      <c r="V550">
        <v>0</v>
      </c>
      <c r="W550">
        <v>0</v>
      </c>
      <c r="X550">
        <v>0</v>
      </c>
      <c r="Y550">
        <v>85.4</v>
      </c>
      <c r="Z550">
        <v>85.4</v>
      </c>
      <c r="AA550">
        <v>85.4</v>
      </c>
      <c r="AB550" s="1">
        <v>42382</v>
      </c>
      <c r="AC550" t="s">
        <v>53</v>
      </c>
      <c r="AD550" t="s">
        <v>53</v>
      </c>
      <c r="AJ550">
        <v>15.4</v>
      </c>
      <c r="AK550">
        <v>0</v>
      </c>
      <c r="AU550" s="6">
        <v>42339</v>
      </c>
      <c r="AV550" s="6">
        <v>42339</v>
      </c>
      <c r="AW550" t="s">
        <v>54</v>
      </c>
      <c r="AX550" t="str">
        <f t="shared" si="45"/>
        <v>FOR</v>
      </c>
      <c r="AY550" t="s">
        <v>55</v>
      </c>
    </row>
    <row r="551" spans="1:51">
      <c r="A551">
        <v>100164</v>
      </c>
      <c r="B551" t="s">
        <v>97</v>
      </c>
      <c r="C551" t="str">
        <f t="shared" si="47"/>
        <v>00803890151</v>
      </c>
      <c r="D551" t="str">
        <f t="shared" si="47"/>
        <v>00803890151</v>
      </c>
      <c r="E551" t="s">
        <v>52</v>
      </c>
      <c r="F551">
        <v>2015</v>
      </c>
      <c r="G551">
        <v>152003125</v>
      </c>
      <c r="H551" s="1">
        <v>42115</v>
      </c>
      <c r="I551" s="1">
        <v>42135</v>
      </c>
      <c r="J551" s="1">
        <v>42132</v>
      </c>
      <c r="K551" s="1">
        <v>42192</v>
      </c>
      <c r="L551" s="7">
        <v>350</v>
      </c>
      <c r="M551" s="5">
        <v>147</v>
      </c>
      <c r="N551" s="7">
        <v>51450</v>
      </c>
      <c r="O551">
        <v>350</v>
      </c>
      <c r="P551">
        <v>147</v>
      </c>
      <c r="Q551" s="2">
        <v>51450</v>
      </c>
      <c r="R551">
        <v>77</v>
      </c>
      <c r="V551">
        <v>0</v>
      </c>
      <c r="W551">
        <v>0</v>
      </c>
      <c r="X551">
        <v>0</v>
      </c>
      <c r="Y551">
        <v>427</v>
      </c>
      <c r="Z551">
        <v>427</v>
      </c>
      <c r="AA551">
        <v>427</v>
      </c>
      <c r="AB551" s="1">
        <v>42382</v>
      </c>
      <c r="AC551" t="s">
        <v>53</v>
      </c>
      <c r="AD551" t="s">
        <v>53</v>
      </c>
      <c r="AJ551">
        <v>77</v>
      </c>
      <c r="AK551">
        <v>0</v>
      </c>
      <c r="AU551" s="6">
        <v>42339</v>
      </c>
      <c r="AV551" s="6">
        <v>42339</v>
      </c>
      <c r="AW551" t="s">
        <v>54</v>
      </c>
      <c r="AX551" t="str">
        <f t="shared" si="45"/>
        <v>FOR</v>
      </c>
      <c r="AY551" t="s">
        <v>55</v>
      </c>
    </row>
    <row r="552" spans="1:51">
      <c r="A552">
        <v>100164</v>
      </c>
      <c r="B552" t="s">
        <v>97</v>
      </c>
      <c r="C552" t="str">
        <f t="shared" si="47"/>
        <v>00803890151</v>
      </c>
      <c r="D552" t="str">
        <f t="shared" si="47"/>
        <v>00803890151</v>
      </c>
      <c r="E552" t="s">
        <v>52</v>
      </c>
      <c r="F552">
        <v>2015</v>
      </c>
      <c r="G552">
        <v>152003869</v>
      </c>
      <c r="H552" s="1">
        <v>42118</v>
      </c>
      <c r="I552" s="1">
        <v>42121</v>
      </c>
      <c r="J552" s="1">
        <v>42120</v>
      </c>
      <c r="K552" s="1">
        <v>42180</v>
      </c>
      <c r="L552" s="7">
        <v>65</v>
      </c>
      <c r="M552" s="5">
        <v>159</v>
      </c>
      <c r="N552" s="7">
        <v>10335</v>
      </c>
      <c r="O552">
        <v>65</v>
      </c>
      <c r="P552">
        <v>159</v>
      </c>
      <c r="Q552" s="2">
        <v>10335</v>
      </c>
      <c r="R552">
        <v>14.3</v>
      </c>
      <c r="V552">
        <v>0</v>
      </c>
      <c r="W552">
        <v>0</v>
      </c>
      <c r="X552">
        <v>0</v>
      </c>
      <c r="Y552">
        <v>79.3</v>
      </c>
      <c r="Z552">
        <v>79.3</v>
      </c>
      <c r="AA552">
        <v>79.3</v>
      </c>
      <c r="AB552" s="1">
        <v>42382</v>
      </c>
      <c r="AC552" t="s">
        <v>53</v>
      </c>
      <c r="AD552" t="s">
        <v>53</v>
      </c>
      <c r="AK552">
        <v>14.3</v>
      </c>
      <c r="AU552" s="6">
        <v>42339</v>
      </c>
      <c r="AV552" s="6">
        <v>42339</v>
      </c>
      <c r="AW552" t="s">
        <v>54</v>
      </c>
      <c r="AX552" t="str">
        <f t="shared" si="45"/>
        <v>FOR</v>
      </c>
      <c r="AY552" t="s">
        <v>55</v>
      </c>
    </row>
    <row r="553" spans="1:51">
      <c r="A553">
        <v>100164</v>
      </c>
      <c r="B553" t="s">
        <v>97</v>
      </c>
      <c r="C553" t="str">
        <f t="shared" si="47"/>
        <v>00803890151</v>
      </c>
      <c r="D553" t="str">
        <f t="shared" si="47"/>
        <v>00803890151</v>
      </c>
      <c r="E553" t="s">
        <v>52</v>
      </c>
      <c r="F553">
        <v>2015</v>
      </c>
      <c r="G553">
        <v>152003870</v>
      </c>
      <c r="H553" s="1">
        <v>42118</v>
      </c>
      <c r="I553" s="1">
        <v>42121</v>
      </c>
      <c r="J553" s="1">
        <v>42120</v>
      </c>
      <c r="K553" s="1">
        <v>42180</v>
      </c>
      <c r="L553" s="7">
        <v>904.2</v>
      </c>
      <c r="M553" s="5">
        <v>159</v>
      </c>
      <c r="N553" s="7">
        <v>143767.79999999999</v>
      </c>
      <c r="O553">
        <v>904.2</v>
      </c>
      <c r="P553">
        <v>159</v>
      </c>
      <c r="Q553" s="2">
        <v>143767.79999999999</v>
      </c>
      <c r="R553">
        <v>198.92</v>
      </c>
      <c r="V553">
        <v>0</v>
      </c>
      <c r="W553">
        <v>0</v>
      </c>
      <c r="X553">
        <v>0</v>
      </c>
      <c r="Y553" s="2">
        <v>1103.1199999999999</v>
      </c>
      <c r="Z553" s="2">
        <v>1103.1199999999999</v>
      </c>
      <c r="AA553" s="2">
        <v>1103.1199999999999</v>
      </c>
      <c r="AB553" s="1">
        <v>42382</v>
      </c>
      <c r="AC553" t="s">
        <v>53</v>
      </c>
      <c r="AD553" t="s">
        <v>53</v>
      </c>
      <c r="AK553">
        <v>198.92</v>
      </c>
      <c r="AU553" s="6">
        <v>42339</v>
      </c>
      <c r="AV553" s="6">
        <v>42339</v>
      </c>
      <c r="AW553" t="s">
        <v>54</v>
      </c>
      <c r="AX553" t="str">
        <f t="shared" si="45"/>
        <v>FOR</v>
      </c>
      <c r="AY553" t="s">
        <v>55</v>
      </c>
    </row>
    <row r="554" spans="1:51">
      <c r="A554">
        <v>100164</v>
      </c>
      <c r="B554" t="s">
        <v>97</v>
      </c>
      <c r="C554" t="str">
        <f t="shared" si="47"/>
        <v>00803890151</v>
      </c>
      <c r="D554" t="str">
        <f t="shared" si="47"/>
        <v>00803890151</v>
      </c>
      <c r="E554" t="s">
        <v>52</v>
      </c>
      <c r="F554">
        <v>2015</v>
      </c>
      <c r="G554">
        <v>152003872</v>
      </c>
      <c r="H554" s="1">
        <v>42118</v>
      </c>
      <c r="I554" s="1">
        <v>42121</v>
      </c>
      <c r="J554" s="1">
        <v>42120</v>
      </c>
      <c r="K554" s="1">
        <v>42180</v>
      </c>
      <c r="L554" s="7">
        <v>560</v>
      </c>
      <c r="M554" s="5">
        <v>159</v>
      </c>
      <c r="N554" s="7">
        <v>89040</v>
      </c>
      <c r="O554">
        <v>560</v>
      </c>
      <c r="P554">
        <v>159</v>
      </c>
      <c r="Q554" s="2">
        <v>89040</v>
      </c>
      <c r="R554">
        <v>123.2</v>
      </c>
      <c r="V554">
        <v>0</v>
      </c>
      <c r="W554">
        <v>0</v>
      </c>
      <c r="X554">
        <v>0</v>
      </c>
      <c r="Y554">
        <v>683.2</v>
      </c>
      <c r="Z554">
        <v>683.2</v>
      </c>
      <c r="AA554">
        <v>683.2</v>
      </c>
      <c r="AB554" s="1">
        <v>42382</v>
      </c>
      <c r="AC554" t="s">
        <v>53</v>
      </c>
      <c r="AD554" t="s">
        <v>53</v>
      </c>
      <c r="AK554">
        <v>123.2</v>
      </c>
      <c r="AU554" s="6">
        <v>42339</v>
      </c>
      <c r="AV554" s="6">
        <v>42339</v>
      </c>
      <c r="AW554" t="s">
        <v>54</v>
      </c>
      <c r="AX554" t="str">
        <f t="shared" si="45"/>
        <v>FOR</v>
      </c>
      <c r="AY554" t="s">
        <v>55</v>
      </c>
    </row>
    <row r="555" spans="1:51">
      <c r="A555">
        <v>100164</v>
      </c>
      <c r="B555" t="s">
        <v>97</v>
      </c>
      <c r="C555" t="str">
        <f t="shared" si="47"/>
        <v>00803890151</v>
      </c>
      <c r="D555" t="str">
        <f t="shared" si="47"/>
        <v>00803890151</v>
      </c>
      <c r="E555" t="s">
        <v>52</v>
      </c>
      <c r="F555">
        <v>2015</v>
      </c>
      <c r="G555">
        <v>152003873</v>
      </c>
      <c r="H555" s="1">
        <v>42118</v>
      </c>
      <c r="I555" s="1">
        <v>42121</v>
      </c>
      <c r="J555" s="1">
        <v>42120</v>
      </c>
      <c r="K555" s="1">
        <v>42180</v>
      </c>
      <c r="L555" s="7">
        <v>9760.5</v>
      </c>
      <c r="M555" s="5">
        <v>159</v>
      </c>
      <c r="N555" s="7">
        <v>1551919.5</v>
      </c>
      <c r="O555" s="2">
        <v>9760.5</v>
      </c>
      <c r="P555">
        <v>159</v>
      </c>
      <c r="Q555" s="2">
        <v>1551919.5</v>
      </c>
      <c r="R555" s="2">
        <v>2147.31</v>
      </c>
      <c r="V555">
        <v>0</v>
      </c>
      <c r="W555">
        <v>0</v>
      </c>
      <c r="X555">
        <v>0</v>
      </c>
      <c r="Y555" s="2">
        <v>11907.81</v>
      </c>
      <c r="Z555" s="2">
        <v>11907.81</v>
      </c>
      <c r="AA555" s="2">
        <v>11907.81</v>
      </c>
      <c r="AB555" s="1">
        <v>42382</v>
      </c>
      <c r="AC555" t="s">
        <v>53</v>
      </c>
      <c r="AD555" t="s">
        <v>53</v>
      </c>
      <c r="AK555" s="2">
        <v>2147.31</v>
      </c>
      <c r="AU555" s="6">
        <v>42339</v>
      </c>
      <c r="AV555" s="6">
        <v>42339</v>
      </c>
      <c r="AW555" t="s">
        <v>54</v>
      </c>
      <c r="AX555" t="str">
        <f t="shared" si="45"/>
        <v>FOR</v>
      </c>
      <c r="AY555" t="s">
        <v>55</v>
      </c>
    </row>
    <row r="556" spans="1:51">
      <c r="A556">
        <v>100164</v>
      </c>
      <c r="B556" t="s">
        <v>97</v>
      </c>
      <c r="C556" t="str">
        <f t="shared" si="47"/>
        <v>00803890151</v>
      </c>
      <c r="D556" t="str">
        <f t="shared" si="47"/>
        <v>00803890151</v>
      </c>
      <c r="E556" t="s">
        <v>52</v>
      </c>
      <c r="F556">
        <v>2015</v>
      </c>
      <c r="G556">
        <v>152004048</v>
      </c>
      <c r="H556" s="1">
        <v>42125</v>
      </c>
      <c r="I556" s="1">
        <v>42128</v>
      </c>
      <c r="J556" s="1">
        <v>42125</v>
      </c>
      <c r="K556" s="1">
        <v>42185</v>
      </c>
      <c r="L556" s="7">
        <v>264</v>
      </c>
      <c r="M556" s="5">
        <v>154</v>
      </c>
      <c r="N556" s="7">
        <v>40656</v>
      </c>
      <c r="O556">
        <v>264</v>
      </c>
      <c r="P556">
        <v>154</v>
      </c>
      <c r="Q556" s="2">
        <v>40656</v>
      </c>
      <c r="R556">
        <v>58.08</v>
      </c>
      <c r="V556">
        <v>0</v>
      </c>
      <c r="W556">
        <v>0</v>
      </c>
      <c r="X556">
        <v>0</v>
      </c>
      <c r="Y556">
        <v>322.08</v>
      </c>
      <c r="Z556">
        <v>322.08</v>
      </c>
      <c r="AA556">
        <v>322.08</v>
      </c>
      <c r="AB556" s="1">
        <v>42382</v>
      </c>
      <c r="AC556" t="s">
        <v>53</v>
      </c>
      <c r="AD556" t="s">
        <v>53</v>
      </c>
      <c r="AK556">
        <v>58.08</v>
      </c>
      <c r="AU556" s="6">
        <v>42339</v>
      </c>
      <c r="AV556" s="6">
        <v>42339</v>
      </c>
      <c r="AW556" t="s">
        <v>54</v>
      </c>
      <c r="AX556" t="str">
        <f t="shared" si="45"/>
        <v>FOR</v>
      </c>
      <c r="AY556" t="s">
        <v>55</v>
      </c>
    </row>
    <row r="557" spans="1:51">
      <c r="A557">
        <v>100164</v>
      </c>
      <c r="B557" t="s">
        <v>97</v>
      </c>
      <c r="C557" t="str">
        <f t="shared" si="47"/>
        <v>00803890151</v>
      </c>
      <c r="D557" t="str">
        <f t="shared" si="47"/>
        <v>00803890151</v>
      </c>
      <c r="E557" t="s">
        <v>52</v>
      </c>
      <c r="F557">
        <v>2015</v>
      </c>
      <c r="G557">
        <v>152004083</v>
      </c>
      <c r="H557" s="1">
        <v>42125</v>
      </c>
      <c r="I557" s="1">
        <v>42128</v>
      </c>
      <c r="J557" s="1">
        <v>42125</v>
      </c>
      <c r="K557" s="1">
        <v>42185</v>
      </c>
      <c r="L557" s="7">
        <v>1200</v>
      </c>
      <c r="M557" s="5">
        <v>154</v>
      </c>
      <c r="N557" s="7">
        <v>184800</v>
      </c>
      <c r="O557" s="2">
        <v>1200</v>
      </c>
      <c r="P557">
        <v>154</v>
      </c>
      <c r="Q557" s="2">
        <v>184800</v>
      </c>
      <c r="R557">
        <v>264</v>
      </c>
      <c r="V557">
        <v>0</v>
      </c>
      <c r="W557">
        <v>0</v>
      </c>
      <c r="X557">
        <v>0</v>
      </c>
      <c r="Y557" s="2">
        <v>1464</v>
      </c>
      <c r="Z557" s="2">
        <v>1464</v>
      </c>
      <c r="AA557" s="2">
        <v>1464</v>
      </c>
      <c r="AB557" s="1">
        <v>42382</v>
      </c>
      <c r="AC557" t="s">
        <v>53</v>
      </c>
      <c r="AD557" t="s">
        <v>53</v>
      </c>
      <c r="AK557">
        <v>264</v>
      </c>
      <c r="AU557" s="6">
        <v>42339</v>
      </c>
      <c r="AV557" s="6">
        <v>42339</v>
      </c>
      <c r="AW557" t="s">
        <v>54</v>
      </c>
      <c r="AX557" t="str">
        <f t="shared" si="45"/>
        <v>FOR</v>
      </c>
      <c r="AY557" t="s">
        <v>55</v>
      </c>
    </row>
    <row r="558" spans="1:51">
      <c r="A558">
        <v>100164</v>
      </c>
      <c r="B558" t="s">
        <v>97</v>
      </c>
      <c r="C558" t="str">
        <f t="shared" si="47"/>
        <v>00803890151</v>
      </c>
      <c r="D558" t="str">
        <f t="shared" si="47"/>
        <v>00803890151</v>
      </c>
      <c r="E558" t="s">
        <v>52</v>
      </c>
      <c r="F558">
        <v>2015</v>
      </c>
      <c r="G558">
        <v>152004419</v>
      </c>
      <c r="H558" s="1">
        <v>42125</v>
      </c>
      <c r="I558" s="1">
        <v>42128</v>
      </c>
      <c r="J558" s="1">
        <v>42125</v>
      </c>
      <c r="K558" s="1">
        <v>42185</v>
      </c>
      <c r="L558" s="7">
        <v>53</v>
      </c>
      <c r="M558" s="5">
        <v>154</v>
      </c>
      <c r="N558" s="7">
        <v>8162</v>
      </c>
      <c r="O558">
        <v>53</v>
      </c>
      <c r="P558">
        <v>154</v>
      </c>
      <c r="Q558" s="2">
        <v>8162</v>
      </c>
      <c r="R558">
        <v>11.66</v>
      </c>
      <c r="V558">
        <v>0</v>
      </c>
      <c r="W558">
        <v>0</v>
      </c>
      <c r="X558">
        <v>0</v>
      </c>
      <c r="Y558">
        <v>64.66</v>
      </c>
      <c r="Z558">
        <v>64.66</v>
      </c>
      <c r="AA558">
        <v>64.66</v>
      </c>
      <c r="AB558" s="1">
        <v>42382</v>
      </c>
      <c r="AC558" t="s">
        <v>53</v>
      </c>
      <c r="AD558" t="s">
        <v>53</v>
      </c>
      <c r="AK558">
        <v>11.66</v>
      </c>
      <c r="AU558" s="6">
        <v>42339</v>
      </c>
      <c r="AV558" s="6">
        <v>42339</v>
      </c>
      <c r="AW558" t="s">
        <v>54</v>
      </c>
      <c r="AX558" t="str">
        <f t="shared" si="45"/>
        <v>FOR</v>
      </c>
      <c r="AY558" t="s">
        <v>55</v>
      </c>
    </row>
    <row r="559" spans="1:51">
      <c r="A559">
        <v>100164</v>
      </c>
      <c r="B559" t="s">
        <v>97</v>
      </c>
      <c r="C559" t="str">
        <f t="shared" si="47"/>
        <v>00803890151</v>
      </c>
      <c r="D559" t="str">
        <f t="shared" si="47"/>
        <v>00803890151</v>
      </c>
      <c r="E559" t="s">
        <v>52</v>
      </c>
      <c r="F559">
        <v>2015</v>
      </c>
      <c r="G559">
        <v>152004420</v>
      </c>
      <c r="H559" s="1">
        <v>42125</v>
      </c>
      <c r="I559" s="1">
        <v>42142</v>
      </c>
      <c r="J559" s="1">
        <v>42137</v>
      </c>
      <c r="K559" s="1">
        <v>42197</v>
      </c>
      <c r="L559" s="7">
        <v>5101.4399999999996</v>
      </c>
      <c r="M559" s="5">
        <v>142</v>
      </c>
      <c r="N559" s="7">
        <v>724404.48</v>
      </c>
      <c r="O559" s="2">
        <v>5101.4399999999996</v>
      </c>
      <c r="P559">
        <v>142</v>
      </c>
      <c r="Q559" s="2">
        <v>724404.48</v>
      </c>
      <c r="R559" s="2">
        <v>1122.31</v>
      </c>
      <c r="V559">
        <v>0</v>
      </c>
      <c r="W559">
        <v>0</v>
      </c>
      <c r="X559">
        <v>0</v>
      </c>
      <c r="Y559" s="2">
        <v>6223.75</v>
      </c>
      <c r="Z559" s="2">
        <v>6223.75</v>
      </c>
      <c r="AA559" s="2">
        <v>6223.75</v>
      </c>
      <c r="AB559" s="1">
        <v>42382</v>
      </c>
      <c r="AC559" t="s">
        <v>53</v>
      </c>
      <c r="AD559" t="s">
        <v>53</v>
      </c>
      <c r="AJ559" s="2">
        <v>1122.31</v>
      </c>
      <c r="AK559">
        <v>0</v>
      </c>
      <c r="AU559" s="6">
        <v>42339</v>
      </c>
      <c r="AV559" s="6">
        <v>42339</v>
      </c>
      <c r="AW559" t="s">
        <v>54</v>
      </c>
      <c r="AX559" t="str">
        <f t="shared" si="45"/>
        <v>FOR</v>
      </c>
      <c r="AY559" t="s">
        <v>55</v>
      </c>
    </row>
    <row r="560" spans="1:51">
      <c r="A560">
        <v>100164</v>
      </c>
      <c r="B560" t="s">
        <v>97</v>
      </c>
      <c r="C560" t="str">
        <f t="shared" si="47"/>
        <v>00803890151</v>
      </c>
      <c r="D560" t="str">
        <f t="shared" si="47"/>
        <v>00803890151</v>
      </c>
      <c r="E560" t="s">
        <v>52</v>
      </c>
      <c r="F560">
        <v>2015</v>
      </c>
      <c r="G560">
        <v>152004973</v>
      </c>
      <c r="H560" s="1">
        <v>42129</v>
      </c>
      <c r="I560" s="1">
        <v>42131</v>
      </c>
      <c r="J560" s="1">
        <v>42130</v>
      </c>
      <c r="K560" s="1">
        <v>42190</v>
      </c>
      <c r="L560" s="7">
        <v>480</v>
      </c>
      <c r="M560" s="5">
        <v>149</v>
      </c>
      <c r="N560" s="7">
        <v>71520</v>
      </c>
      <c r="O560">
        <v>480</v>
      </c>
      <c r="P560">
        <v>149</v>
      </c>
      <c r="Q560" s="2">
        <v>71520</v>
      </c>
      <c r="R560">
        <v>105.6</v>
      </c>
      <c r="V560">
        <v>0</v>
      </c>
      <c r="W560">
        <v>0</v>
      </c>
      <c r="X560">
        <v>0</v>
      </c>
      <c r="Y560">
        <v>585.6</v>
      </c>
      <c r="Z560">
        <v>585.6</v>
      </c>
      <c r="AA560">
        <v>585.6</v>
      </c>
      <c r="AB560" s="1">
        <v>42382</v>
      </c>
      <c r="AC560" t="s">
        <v>53</v>
      </c>
      <c r="AD560" t="s">
        <v>53</v>
      </c>
      <c r="AJ560">
        <v>105.6</v>
      </c>
      <c r="AK560">
        <v>0</v>
      </c>
      <c r="AU560" s="6">
        <v>42339</v>
      </c>
      <c r="AV560" s="6">
        <v>42339</v>
      </c>
      <c r="AW560" t="s">
        <v>54</v>
      </c>
      <c r="AX560" t="str">
        <f t="shared" si="45"/>
        <v>FOR</v>
      </c>
      <c r="AY560" t="s">
        <v>55</v>
      </c>
    </row>
    <row r="561" spans="1:51">
      <c r="A561">
        <v>100164</v>
      </c>
      <c r="B561" t="s">
        <v>97</v>
      </c>
      <c r="C561" t="str">
        <f t="shared" si="47"/>
        <v>00803890151</v>
      </c>
      <c r="D561" t="str">
        <f t="shared" si="47"/>
        <v>00803890151</v>
      </c>
      <c r="E561" t="s">
        <v>52</v>
      </c>
      <c r="F561">
        <v>2015</v>
      </c>
      <c r="G561">
        <v>152006833</v>
      </c>
      <c r="H561" s="1">
        <v>42143</v>
      </c>
      <c r="I561" s="1">
        <v>42158</v>
      </c>
      <c r="J561" s="1">
        <v>42144</v>
      </c>
      <c r="K561" s="1">
        <v>42204</v>
      </c>
      <c r="L561" s="7">
        <v>2338</v>
      </c>
      <c r="M561" s="5">
        <v>135</v>
      </c>
      <c r="N561" s="7">
        <v>315630</v>
      </c>
      <c r="O561" s="2">
        <v>2338</v>
      </c>
      <c r="P561">
        <v>135</v>
      </c>
      <c r="Q561" s="2">
        <v>315630</v>
      </c>
      <c r="R561">
        <v>514.36</v>
      </c>
      <c r="V561">
        <v>0</v>
      </c>
      <c r="W561">
        <v>0</v>
      </c>
      <c r="X561">
        <v>0</v>
      </c>
      <c r="Y561" s="2">
        <v>2852.36</v>
      </c>
      <c r="Z561" s="2">
        <v>2852.36</v>
      </c>
      <c r="AA561" s="2">
        <v>2852.36</v>
      </c>
      <c r="AB561" s="1">
        <v>42382</v>
      </c>
      <c r="AC561" t="s">
        <v>53</v>
      </c>
      <c r="AD561" t="s">
        <v>53</v>
      </c>
      <c r="AJ561">
        <v>514.36</v>
      </c>
      <c r="AK561">
        <v>0</v>
      </c>
      <c r="AU561" s="6">
        <v>42339</v>
      </c>
      <c r="AV561" s="6">
        <v>42339</v>
      </c>
      <c r="AW561" t="s">
        <v>54</v>
      </c>
      <c r="AX561" t="str">
        <f t="shared" si="45"/>
        <v>FOR</v>
      </c>
      <c r="AY561" t="s">
        <v>55</v>
      </c>
    </row>
    <row r="562" spans="1:51">
      <c r="A562">
        <v>100164</v>
      </c>
      <c r="B562" t="s">
        <v>97</v>
      </c>
      <c r="C562" t="str">
        <f t="shared" si="47"/>
        <v>00803890151</v>
      </c>
      <c r="D562" t="str">
        <f t="shared" si="47"/>
        <v>00803890151</v>
      </c>
      <c r="E562" t="s">
        <v>52</v>
      </c>
      <c r="F562">
        <v>2015</v>
      </c>
      <c r="G562">
        <v>152007014</v>
      </c>
      <c r="H562" s="1">
        <v>42144</v>
      </c>
      <c r="I562" s="1">
        <v>42160</v>
      </c>
      <c r="J562" s="1">
        <v>42144</v>
      </c>
      <c r="K562" s="1">
        <v>42204</v>
      </c>
      <c r="L562" s="7">
        <v>900</v>
      </c>
      <c r="M562" s="5">
        <v>135</v>
      </c>
      <c r="N562" s="7">
        <v>121500</v>
      </c>
      <c r="O562">
        <v>900</v>
      </c>
      <c r="P562">
        <v>135</v>
      </c>
      <c r="Q562" s="2">
        <v>121500</v>
      </c>
      <c r="R562">
        <v>198</v>
      </c>
      <c r="V562">
        <v>0</v>
      </c>
      <c r="W562">
        <v>0</v>
      </c>
      <c r="X562">
        <v>0</v>
      </c>
      <c r="Y562" s="2">
        <v>1098</v>
      </c>
      <c r="Z562" s="2">
        <v>1098</v>
      </c>
      <c r="AA562" s="2">
        <v>1098</v>
      </c>
      <c r="AB562" s="1">
        <v>42382</v>
      </c>
      <c r="AC562" t="s">
        <v>53</v>
      </c>
      <c r="AD562" t="s">
        <v>53</v>
      </c>
      <c r="AJ562">
        <v>198</v>
      </c>
      <c r="AK562">
        <v>0</v>
      </c>
      <c r="AU562" s="6">
        <v>42339</v>
      </c>
      <c r="AV562" s="6">
        <v>42339</v>
      </c>
      <c r="AW562" t="s">
        <v>54</v>
      </c>
      <c r="AX562" t="str">
        <f t="shared" si="45"/>
        <v>FOR</v>
      </c>
      <c r="AY562" t="s">
        <v>55</v>
      </c>
    </row>
    <row r="563" spans="1:51">
      <c r="A563">
        <v>100164</v>
      </c>
      <c r="B563" t="s">
        <v>97</v>
      </c>
      <c r="C563" t="str">
        <f t="shared" si="47"/>
        <v>00803890151</v>
      </c>
      <c r="D563" t="str">
        <f t="shared" si="47"/>
        <v>00803890151</v>
      </c>
      <c r="E563" t="s">
        <v>52</v>
      </c>
      <c r="F563">
        <v>2015</v>
      </c>
      <c r="G563">
        <v>152007217</v>
      </c>
      <c r="H563" s="1">
        <v>42145</v>
      </c>
      <c r="I563" s="1">
        <v>42160</v>
      </c>
      <c r="J563" s="1">
        <v>42145</v>
      </c>
      <c r="K563" s="1">
        <v>42205</v>
      </c>
      <c r="L563" s="7">
        <v>72</v>
      </c>
      <c r="M563" s="5">
        <v>134</v>
      </c>
      <c r="N563" s="7">
        <v>9648</v>
      </c>
      <c r="O563">
        <v>72</v>
      </c>
      <c r="P563">
        <v>134</v>
      </c>
      <c r="Q563" s="2">
        <v>9648</v>
      </c>
      <c r="R563">
        <v>15.84</v>
      </c>
      <c r="V563">
        <v>0</v>
      </c>
      <c r="W563">
        <v>0</v>
      </c>
      <c r="X563">
        <v>0</v>
      </c>
      <c r="Y563">
        <v>87.84</v>
      </c>
      <c r="Z563">
        <v>87.84</v>
      </c>
      <c r="AA563">
        <v>87.84</v>
      </c>
      <c r="AB563" s="1">
        <v>42382</v>
      </c>
      <c r="AC563" t="s">
        <v>53</v>
      </c>
      <c r="AD563" t="s">
        <v>53</v>
      </c>
      <c r="AJ563">
        <v>15.84</v>
      </c>
      <c r="AK563">
        <v>0</v>
      </c>
      <c r="AU563" s="6">
        <v>42339</v>
      </c>
      <c r="AV563" s="6">
        <v>42339</v>
      </c>
      <c r="AW563" t="s">
        <v>54</v>
      </c>
      <c r="AX563" t="str">
        <f t="shared" si="45"/>
        <v>FOR</v>
      </c>
      <c r="AY563" t="s">
        <v>55</v>
      </c>
    </row>
    <row r="564" spans="1:51">
      <c r="A564">
        <v>100164</v>
      </c>
      <c r="B564" t="s">
        <v>97</v>
      </c>
      <c r="C564" t="str">
        <f t="shared" ref="C564:D587" si="48">"00803890151"</f>
        <v>00803890151</v>
      </c>
      <c r="D564" t="str">
        <f t="shared" si="48"/>
        <v>00803890151</v>
      </c>
      <c r="E564" t="s">
        <v>52</v>
      </c>
      <c r="F564">
        <v>2015</v>
      </c>
      <c r="G564">
        <v>152007970</v>
      </c>
      <c r="H564" s="1">
        <v>42151</v>
      </c>
      <c r="I564" s="1">
        <v>42160</v>
      </c>
      <c r="J564" s="1">
        <v>42152</v>
      </c>
      <c r="K564" s="1">
        <v>42212</v>
      </c>
      <c r="L564" s="7">
        <v>300</v>
      </c>
      <c r="M564" s="5">
        <v>127</v>
      </c>
      <c r="N564" s="7">
        <v>38100</v>
      </c>
      <c r="O564">
        <v>300</v>
      </c>
      <c r="P564">
        <v>127</v>
      </c>
      <c r="Q564" s="2">
        <v>38100</v>
      </c>
      <c r="R564">
        <v>66</v>
      </c>
      <c r="V564">
        <v>0</v>
      </c>
      <c r="W564">
        <v>0</v>
      </c>
      <c r="X564">
        <v>0</v>
      </c>
      <c r="Y564">
        <v>366</v>
      </c>
      <c r="Z564">
        <v>366</v>
      </c>
      <c r="AA564">
        <v>366</v>
      </c>
      <c r="AB564" s="1">
        <v>42382</v>
      </c>
      <c r="AC564" t="s">
        <v>53</v>
      </c>
      <c r="AD564" t="s">
        <v>53</v>
      </c>
      <c r="AJ564">
        <v>66</v>
      </c>
      <c r="AK564">
        <v>0</v>
      </c>
      <c r="AU564" s="6">
        <v>42339</v>
      </c>
      <c r="AV564" s="6">
        <v>42339</v>
      </c>
      <c r="AW564" t="s">
        <v>54</v>
      </c>
      <c r="AX564" t="str">
        <f t="shared" si="45"/>
        <v>FOR</v>
      </c>
      <c r="AY564" t="s">
        <v>55</v>
      </c>
    </row>
    <row r="565" spans="1:51">
      <c r="A565">
        <v>100164</v>
      </c>
      <c r="B565" t="s">
        <v>97</v>
      </c>
      <c r="C565" t="str">
        <f t="shared" si="48"/>
        <v>00803890151</v>
      </c>
      <c r="D565" t="str">
        <f t="shared" si="48"/>
        <v>00803890151</v>
      </c>
      <c r="E565" t="s">
        <v>52</v>
      </c>
      <c r="F565">
        <v>2015</v>
      </c>
      <c r="G565">
        <v>152008945</v>
      </c>
      <c r="H565" s="1">
        <v>42159</v>
      </c>
      <c r="I565" s="1">
        <v>42163</v>
      </c>
      <c r="J565" s="1">
        <v>42159</v>
      </c>
      <c r="K565" s="1">
        <v>42219</v>
      </c>
      <c r="L565" s="7">
        <v>212</v>
      </c>
      <c r="M565" s="5">
        <v>120</v>
      </c>
      <c r="N565" s="7">
        <v>25440</v>
      </c>
      <c r="O565">
        <v>212</v>
      </c>
      <c r="P565">
        <v>120</v>
      </c>
      <c r="Q565" s="2">
        <v>25440</v>
      </c>
      <c r="R565">
        <v>46.64</v>
      </c>
      <c r="V565">
        <v>0</v>
      </c>
      <c r="W565">
        <v>0</v>
      </c>
      <c r="X565">
        <v>0</v>
      </c>
      <c r="Y565">
        <v>258.64</v>
      </c>
      <c r="Z565">
        <v>258.64</v>
      </c>
      <c r="AA565">
        <v>258.64</v>
      </c>
      <c r="AB565" s="1">
        <v>42382</v>
      </c>
      <c r="AC565" t="s">
        <v>53</v>
      </c>
      <c r="AD565" t="s">
        <v>53</v>
      </c>
      <c r="AI565">
        <v>46.64</v>
      </c>
      <c r="AK565">
        <v>0</v>
      </c>
      <c r="AU565" s="6">
        <v>42339</v>
      </c>
      <c r="AV565" s="6">
        <v>42339</v>
      </c>
      <c r="AW565" t="s">
        <v>54</v>
      </c>
      <c r="AX565" t="str">
        <f t="shared" si="45"/>
        <v>FOR</v>
      </c>
      <c r="AY565" t="s">
        <v>55</v>
      </c>
    </row>
    <row r="566" spans="1:51">
      <c r="A566">
        <v>100164</v>
      </c>
      <c r="B566" t="s">
        <v>97</v>
      </c>
      <c r="C566" t="str">
        <f t="shared" si="48"/>
        <v>00803890151</v>
      </c>
      <c r="D566" t="str">
        <f t="shared" si="48"/>
        <v>00803890151</v>
      </c>
      <c r="E566" t="s">
        <v>52</v>
      </c>
      <c r="F566">
        <v>2015</v>
      </c>
      <c r="G566">
        <v>152009745</v>
      </c>
      <c r="H566" s="1">
        <v>42165</v>
      </c>
      <c r="I566" s="1">
        <v>42166</v>
      </c>
      <c r="J566" s="1">
        <v>42166</v>
      </c>
      <c r="K566" s="1">
        <v>42226</v>
      </c>
      <c r="L566" s="7">
        <v>10682.12</v>
      </c>
      <c r="M566" s="5">
        <v>113</v>
      </c>
      <c r="N566" s="7">
        <v>1207079.56</v>
      </c>
      <c r="O566" s="2">
        <v>10682.12</v>
      </c>
      <c r="P566">
        <v>113</v>
      </c>
      <c r="Q566" s="2">
        <v>1207079.56</v>
      </c>
      <c r="R566" s="2">
        <v>2350.0500000000002</v>
      </c>
      <c r="V566">
        <v>0</v>
      </c>
      <c r="W566">
        <v>0</v>
      </c>
      <c r="X566">
        <v>0</v>
      </c>
      <c r="Y566" s="2">
        <v>13032.17</v>
      </c>
      <c r="Z566" s="2">
        <v>13032.17</v>
      </c>
      <c r="AA566" s="2">
        <v>13032.17</v>
      </c>
      <c r="AB566" s="1">
        <v>42382</v>
      </c>
      <c r="AC566" t="s">
        <v>53</v>
      </c>
      <c r="AD566" t="s">
        <v>53</v>
      </c>
      <c r="AI566" s="2">
        <v>2350.0500000000002</v>
      </c>
      <c r="AK566">
        <v>0</v>
      </c>
      <c r="AU566" s="6">
        <v>42339</v>
      </c>
      <c r="AV566" s="6">
        <v>42339</v>
      </c>
      <c r="AW566" t="s">
        <v>54</v>
      </c>
      <c r="AX566" t="str">
        <f t="shared" si="45"/>
        <v>FOR</v>
      </c>
      <c r="AY566" t="s">
        <v>55</v>
      </c>
    </row>
    <row r="567" spans="1:51">
      <c r="A567">
        <v>100164</v>
      </c>
      <c r="B567" t="s">
        <v>97</v>
      </c>
      <c r="C567" t="str">
        <f t="shared" si="48"/>
        <v>00803890151</v>
      </c>
      <c r="D567" t="str">
        <f t="shared" si="48"/>
        <v>00803890151</v>
      </c>
      <c r="E567" t="s">
        <v>52</v>
      </c>
      <c r="F567">
        <v>2015</v>
      </c>
      <c r="G567">
        <v>152009746</v>
      </c>
      <c r="H567" s="1">
        <v>42165</v>
      </c>
      <c r="I567" s="1">
        <v>42166</v>
      </c>
      <c r="J567" s="1">
        <v>42166</v>
      </c>
      <c r="K567" s="1">
        <v>42226</v>
      </c>
      <c r="L567" s="7">
        <v>7953</v>
      </c>
      <c r="M567" s="5">
        <v>113</v>
      </c>
      <c r="N567" s="7">
        <v>898689</v>
      </c>
      <c r="O567" s="2">
        <v>7953</v>
      </c>
      <c r="P567">
        <v>113</v>
      </c>
      <c r="Q567" s="2">
        <v>898689</v>
      </c>
      <c r="R567" s="2">
        <v>1749.66</v>
      </c>
      <c r="V567">
        <v>0</v>
      </c>
      <c r="W567">
        <v>0</v>
      </c>
      <c r="X567">
        <v>0</v>
      </c>
      <c r="Y567" s="2">
        <v>9702.66</v>
      </c>
      <c r="Z567" s="2">
        <v>9702.66</v>
      </c>
      <c r="AA567" s="2">
        <v>9702.66</v>
      </c>
      <c r="AB567" s="1">
        <v>42382</v>
      </c>
      <c r="AC567" t="s">
        <v>53</v>
      </c>
      <c r="AD567" t="s">
        <v>53</v>
      </c>
      <c r="AI567" s="2">
        <v>1749.66</v>
      </c>
      <c r="AK567">
        <v>0</v>
      </c>
      <c r="AU567" s="6">
        <v>42339</v>
      </c>
      <c r="AV567" s="6">
        <v>42339</v>
      </c>
      <c r="AW567" t="s">
        <v>54</v>
      </c>
      <c r="AX567" t="str">
        <f t="shared" si="45"/>
        <v>FOR</v>
      </c>
      <c r="AY567" t="s">
        <v>55</v>
      </c>
    </row>
    <row r="568" spans="1:51">
      <c r="A568">
        <v>100164</v>
      </c>
      <c r="B568" t="s">
        <v>97</v>
      </c>
      <c r="C568" t="str">
        <f t="shared" si="48"/>
        <v>00803890151</v>
      </c>
      <c r="D568" t="str">
        <f t="shared" si="48"/>
        <v>00803890151</v>
      </c>
      <c r="E568" t="s">
        <v>52</v>
      </c>
      <c r="F568">
        <v>2015</v>
      </c>
      <c r="G568">
        <v>152010149</v>
      </c>
      <c r="H568" s="1">
        <v>42167</v>
      </c>
      <c r="I568" s="1">
        <v>42170</v>
      </c>
      <c r="J568" s="1">
        <v>42168</v>
      </c>
      <c r="K568" s="1">
        <v>42228</v>
      </c>
      <c r="L568" s="7">
        <v>120.3</v>
      </c>
      <c r="M568" s="5">
        <v>111</v>
      </c>
      <c r="N568" s="7">
        <v>13353.3</v>
      </c>
      <c r="O568">
        <v>120.3</v>
      </c>
      <c r="P568">
        <v>111</v>
      </c>
      <c r="Q568" s="2">
        <v>13353.3</v>
      </c>
      <c r="R568">
        <v>26.47</v>
      </c>
      <c r="V568">
        <v>0</v>
      </c>
      <c r="W568">
        <v>0</v>
      </c>
      <c r="X568">
        <v>0</v>
      </c>
      <c r="Y568">
        <v>146.77000000000001</v>
      </c>
      <c r="Z568">
        <v>146.77000000000001</v>
      </c>
      <c r="AA568">
        <v>146.77000000000001</v>
      </c>
      <c r="AB568" s="1">
        <v>42382</v>
      </c>
      <c r="AC568" t="s">
        <v>53</v>
      </c>
      <c r="AD568" t="s">
        <v>53</v>
      </c>
      <c r="AI568">
        <v>26.47</v>
      </c>
      <c r="AK568">
        <v>0</v>
      </c>
      <c r="AU568" s="6">
        <v>42339</v>
      </c>
      <c r="AV568" s="6">
        <v>42339</v>
      </c>
      <c r="AW568" t="s">
        <v>54</v>
      </c>
      <c r="AX568" t="str">
        <f t="shared" si="45"/>
        <v>FOR</v>
      </c>
      <c r="AY568" t="s">
        <v>55</v>
      </c>
    </row>
    <row r="569" spans="1:51">
      <c r="A569">
        <v>100164</v>
      </c>
      <c r="B569" t="s">
        <v>97</v>
      </c>
      <c r="C569" t="str">
        <f t="shared" si="48"/>
        <v>00803890151</v>
      </c>
      <c r="D569" t="str">
        <f t="shared" si="48"/>
        <v>00803890151</v>
      </c>
      <c r="E569" t="s">
        <v>52</v>
      </c>
      <c r="F569">
        <v>2015</v>
      </c>
      <c r="G569">
        <v>152010310</v>
      </c>
      <c r="H569" s="1">
        <v>42170</v>
      </c>
      <c r="I569" s="1">
        <v>42171</v>
      </c>
      <c r="J569" s="1">
        <v>42170</v>
      </c>
      <c r="K569" s="1">
        <v>42230</v>
      </c>
      <c r="L569" s="7">
        <v>440</v>
      </c>
      <c r="M569" s="5">
        <v>109</v>
      </c>
      <c r="N569" s="7">
        <v>47960</v>
      </c>
      <c r="O569">
        <v>440</v>
      </c>
      <c r="P569">
        <v>109</v>
      </c>
      <c r="Q569" s="2">
        <v>47960</v>
      </c>
      <c r="R569">
        <v>96.8</v>
      </c>
      <c r="V569">
        <v>0</v>
      </c>
      <c r="W569">
        <v>0</v>
      </c>
      <c r="X569">
        <v>0</v>
      </c>
      <c r="Y569">
        <v>536.79999999999995</v>
      </c>
      <c r="Z569">
        <v>536.79999999999995</v>
      </c>
      <c r="AA569">
        <v>536.79999999999995</v>
      </c>
      <c r="AB569" s="1">
        <v>42382</v>
      </c>
      <c r="AC569" t="s">
        <v>53</v>
      </c>
      <c r="AD569" t="s">
        <v>53</v>
      </c>
      <c r="AI569">
        <v>96.8</v>
      </c>
      <c r="AK569">
        <v>0</v>
      </c>
      <c r="AU569" s="6">
        <v>42339</v>
      </c>
      <c r="AV569" s="6">
        <v>42339</v>
      </c>
      <c r="AW569" t="s">
        <v>54</v>
      </c>
      <c r="AX569" t="str">
        <f t="shared" si="45"/>
        <v>FOR</v>
      </c>
      <c r="AY569" t="s">
        <v>55</v>
      </c>
    </row>
    <row r="570" spans="1:51">
      <c r="A570">
        <v>100164</v>
      </c>
      <c r="B570" t="s">
        <v>97</v>
      </c>
      <c r="C570" t="str">
        <f t="shared" si="48"/>
        <v>00803890151</v>
      </c>
      <c r="D570" t="str">
        <f t="shared" si="48"/>
        <v>00803890151</v>
      </c>
      <c r="E570" t="s">
        <v>52</v>
      </c>
      <c r="F570">
        <v>2015</v>
      </c>
      <c r="G570">
        <v>152011790</v>
      </c>
      <c r="H570" s="1">
        <v>42179</v>
      </c>
      <c r="I570" s="1">
        <v>42185</v>
      </c>
      <c r="J570" s="1">
        <v>42181</v>
      </c>
      <c r="K570" s="1">
        <v>42241</v>
      </c>
      <c r="L570" s="7">
        <v>1500</v>
      </c>
      <c r="M570" s="5">
        <v>98</v>
      </c>
      <c r="N570" s="7">
        <v>147000</v>
      </c>
      <c r="O570" s="2">
        <v>1500</v>
      </c>
      <c r="P570">
        <v>98</v>
      </c>
      <c r="Q570" s="2">
        <v>147000</v>
      </c>
      <c r="R570">
        <v>330</v>
      </c>
      <c r="V570">
        <v>0</v>
      </c>
      <c r="W570">
        <v>0</v>
      </c>
      <c r="X570">
        <v>0</v>
      </c>
      <c r="Y570" s="2">
        <v>1830</v>
      </c>
      <c r="Z570" s="2">
        <v>1830</v>
      </c>
      <c r="AA570" s="2">
        <v>1830</v>
      </c>
      <c r="AB570" s="1">
        <v>42382</v>
      </c>
      <c r="AC570" t="s">
        <v>53</v>
      </c>
      <c r="AD570" t="s">
        <v>53</v>
      </c>
      <c r="AI570">
        <v>330</v>
      </c>
      <c r="AK570">
        <v>0</v>
      </c>
      <c r="AU570" s="6">
        <v>42339</v>
      </c>
      <c r="AV570" s="6">
        <v>42339</v>
      </c>
      <c r="AW570" t="s">
        <v>54</v>
      </c>
      <c r="AX570" t="str">
        <f t="shared" si="45"/>
        <v>FOR</v>
      </c>
      <c r="AY570" t="s">
        <v>55</v>
      </c>
    </row>
    <row r="571" spans="1:51">
      <c r="A571">
        <v>100164</v>
      </c>
      <c r="B571" t="s">
        <v>97</v>
      </c>
      <c r="C571" t="str">
        <f t="shared" si="48"/>
        <v>00803890151</v>
      </c>
      <c r="D571" t="str">
        <f t="shared" si="48"/>
        <v>00803890151</v>
      </c>
      <c r="E571" t="s">
        <v>52</v>
      </c>
      <c r="F571">
        <v>2015</v>
      </c>
      <c r="G571">
        <v>152011791</v>
      </c>
      <c r="H571" s="1">
        <v>42179</v>
      </c>
      <c r="I571" s="1">
        <v>42185</v>
      </c>
      <c r="J571" s="1">
        <v>42181</v>
      </c>
      <c r="K571" s="1">
        <v>42241</v>
      </c>
      <c r="L571" s="7">
        <v>780</v>
      </c>
      <c r="M571" s="5">
        <v>98</v>
      </c>
      <c r="N571" s="7">
        <v>76440</v>
      </c>
      <c r="O571">
        <v>780</v>
      </c>
      <c r="P571">
        <v>98</v>
      </c>
      <c r="Q571" s="2">
        <v>76440</v>
      </c>
      <c r="R571">
        <v>171.6</v>
      </c>
      <c r="V571">
        <v>0</v>
      </c>
      <c r="W571">
        <v>0</v>
      </c>
      <c r="X571">
        <v>0</v>
      </c>
      <c r="Y571">
        <v>951.6</v>
      </c>
      <c r="Z571">
        <v>951.6</v>
      </c>
      <c r="AA571">
        <v>951.6</v>
      </c>
      <c r="AB571" s="1">
        <v>42382</v>
      </c>
      <c r="AC571" t="s">
        <v>53</v>
      </c>
      <c r="AD571" t="s">
        <v>53</v>
      </c>
      <c r="AI571">
        <v>171.6</v>
      </c>
      <c r="AK571">
        <v>0</v>
      </c>
      <c r="AU571" s="6">
        <v>42339</v>
      </c>
      <c r="AV571" s="6">
        <v>42339</v>
      </c>
      <c r="AW571" t="s">
        <v>54</v>
      </c>
      <c r="AX571" t="str">
        <f t="shared" si="45"/>
        <v>FOR</v>
      </c>
      <c r="AY571" t="s">
        <v>55</v>
      </c>
    </row>
    <row r="572" spans="1:51">
      <c r="A572">
        <v>100164</v>
      </c>
      <c r="B572" t="s">
        <v>97</v>
      </c>
      <c r="C572" t="str">
        <f t="shared" si="48"/>
        <v>00803890151</v>
      </c>
      <c r="D572" t="str">
        <f t="shared" si="48"/>
        <v>00803890151</v>
      </c>
      <c r="E572" t="s">
        <v>52</v>
      </c>
      <c r="F572">
        <v>2015</v>
      </c>
      <c r="G572">
        <v>152012248</v>
      </c>
      <c r="H572" s="1">
        <v>42181</v>
      </c>
      <c r="I572" s="1">
        <v>42186</v>
      </c>
      <c r="J572" s="1">
        <v>42182</v>
      </c>
      <c r="K572" s="1">
        <v>42242</v>
      </c>
      <c r="L572" s="7">
        <v>125</v>
      </c>
      <c r="M572" s="5">
        <v>97</v>
      </c>
      <c r="N572" s="7">
        <v>12125</v>
      </c>
      <c r="O572">
        <v>125</v>
      </c>
      <c r="P572">
        <v>97</v>
      </c>
      <c r="Q572" s="2">
        <v>12125</v>
      </c>
      <c r="R572">
        <v>27.5</v>
      </c>
      <c r="V572">
        <v>0</v>
      </c>
      <c r="W572">
        <v>0</v>
      </c>
      <c r="X572">
        <v>0</v>
      </c>
      <c r="Y572">
        <v>152.5</v>
      </c>
      <c r="Z572">
        <v>152.5</v>
      </c>
      <c r="AA572">
        <v>152.5</v>
      </c>
      <c r="AB572" s="1">
        <v>42382</v>
      </c>
      <c r="AC572" t="s">
        <v>53</v>
      </c>
      <c r="AD572" t="s">
        <v>53</v>
      </c>
      <c r="AI572">
        <v>27.5</v>
      </c>
      <c r="AK572">
        <v>0</v>
      </c>
      <c r="AU572" s="6">
        <v>42339</v>
      </c>
      <c r="AV572" s="6">
        <v>42339</v>
      </c>
      <c r="AW572" t="s">
        <v>54</v>
      </c>
      <c r="AX572" t="str">
        <f t="shared" si="45"/>
        <v>FOR</v>
      </c>
      <c r="AY572" t="s">
        <v>55</v>
      </c>
    </row>
    <row r="573" spans="1:51">
      <c r="A573">
        <v>100164</v>
      </c>
      <c r="B573" t="s">
        <v>97</v>
      </c>
      <c r="C573" t="str">
        <f t="shared" si="48"/>
        <v>00803890151</v>
      </c>
      <c r="D573" t="str">
        <f t="shared" si="48"/>
        <v>00803890151</v>
      </c>
      <c r="E573" t="s">
        <v>52</v>
      </c>
      <c r="F573">
        <v>2015</v>
      </c>
      <c r="G573">
        <v>152012249</v>
      </c>
      <c r="H573" s="1">
        <v>42181</v>
      </c>
      <c r="I573" s="1">
        <v>42186</v>
      </c>
      <c r="J573" s="1">
        <v>42182</v>
      </c>
      <c r="K573" s="1">
        <v>42242</v>
      </c>
      <c r="L573" s="7">
        <v>3500</v>
      </c>
      <c r="M573" s="5">
        <v>97</v>
      </c>
      <c r="N573" s="7">
        <v>339500</v>
      </c>
      <c r="O573" s="2">
        <v>3500</v>
      </c>
      <c r="P573">
        <v>97</v>
      </c>
      <c r="Q573" s="2">
        <v>339500</v>
      </c>
      <c r="R573">
        <v>770</v>
      </c>
      <c r="V573">
        <v>0</v>
      </c>
      <c r="W573">
        <v>0</v>
      </c>
      <c r="X573">
        <v>0</v>
      </c>
      <c r="Y573" s="2">
        <v>4270</v>
      </c>
      <c r="Z573" s="2">
        <v>4270</v>
      </c>
      <c r="AA573" s="2">
        <v>4270</v>
      </c>
      <c r="AB573" s="1">
        <v>42382</v>
      </c>
      <c r="AC573" t="s">
        <v>53</v>
      </c>
      <c r="AD573" t="s">
        <v>53</v>
      </c>
      <c r="AI573">
        <v>770</v>
      </c>
      <c r="AK573">
        <v>0</v>
      </c>
      <c r="AU573" s="6">
        <v>42339</v>
      </c>
      <c r="AV573" s="6">
        <v>42339</v>
      </c>
      <c r="AW573" t="s">
        <v>54</v>
      </c>
      <c r="AX573" t="str">
        <f t="shared" si="45"/>
        <v>FOR</v>
      </c>
      <c r="AY573" t="s">
        <v>55</v>
      </c>
    </row>
    <row r="574" spans="1:51">
      <c r="A574">
        <v>100164</v>
      </c>
      <c r="B574" t="s">
        <v>97</v>
      </c>
      <c r="C574" t="str">
        <f t="shared" si="48"/>
        <v>00803890151</v>
      </c>
      <c r="D574" t="str">
        <f t="shared" si="48"/>
        <v>00803890151</v>
      </c>
      <c r="E574" t="s">
        <v>52</v>
      </c>
      <c r="F574">
        <v>2015</v>
      </c>
      <c r="G574">
        <v>152012607</v>
      </c>
      <c r="H574" s="1">
        <v>42181</v>
      </c>
      <c r="I574" s="1">
        <v>42186</v>
      </c>
      <c r="J574" s="1">
        <v>42182</v>
      </c>
      <c r="K574" s="1">
        <v>42242</v>
      </c>
      <c r="L574" s="7">
        <v>45</v>
      </c>
      <c r="M574" s="5">
        <v>97</v>
      </c>
      <c r="N574" s="7">
        <v>4365</v>
      </c>
      <c r="O574">
        <v>45</v>
      </c>
      <c r="P574">
        <v>97</v>
      </c>
      <c r="Q574" s="2">
        <v>4365</v>
      </c>
      <c r="R574">
        <v>9.9</v>
      </c>
      <c r="V574">
        <v>0</v>
      </c>
      <c r="W574">
        <v>0</v>
      </c>
      <c r="X574">
        <v>0</v>
      </c>
      <c r="Y574">
        <v>54.9</v>
      </c>
      <c r="Z574">
        <v>54.9</v>
      </c>
      <c r="AA574">
        <v>54.9</v>
      </c>
      <c r="AB574" s="1">
        <v>42382</v>
      </c>
      <c r="AC574" t="s">
        <v>53</v>
      </c>
      <c r="AD574" t="s">
        <v>53</v>
      </c>
      <c r="AI574">
        <v>9.9</v>
      </c>
      <c r="AK574">
        <v>0</v>
      </c>
      <c r="AU574" s="6">
        <v>42339</v>
      </c>
      <c r="AV574" s="6">
        <v>42339</v>
      </c>
      <c r="AW574" t="s">
        <v>54</v>
      </c>
      <c r="AX574" t="str">
        <f t="shared" si="45"/>
        <v>FOR</v>
      </c>
      <c r="AY574" t="s">
        <v>55</v>
      </c>
    </row>
    <row r="575" spans="1:51">
      <c r="A575">
        <v>100164</v>
      </c>
      <c r="B575" t="s">
        <v>97</v>
      </c>
      <c r="C575" t="str">
        <f t="shared" si="48"/>
        <v>00803890151</v>
      </c>
      <c r="D575" t="str">
        <f t="shared" si="48"/>
        <v>00803890151</v>
      </c>
      <c r="E575" t="s">
        <v>52</v>
      </c>
      <c r="F575">
        <v>2015</v>
      </c>
      <c r="G575">
        <v>152013792</v>
      </c>
      <c r="H575" s="1">
        <v>42191</v>
      </c>
      <c r="I575" s="1">
        <v>42191</v>
      </c>
      <c r="J575" s="1">
        <v>42191</v>
      </c>
      <c r="K575" s="1">
        <v>42251</v>
      </c>
      <c r="L575" s="7">
        <v>1090</v>
      </c>
      <c r="M575" s="5">
        <v>88</v>
      </c>
      <c r="N575" s="7">
        <v>95920</v>
      </c>
      <c r="O575" s="2">
        <v>1090</v>
      </c>
      <c r="P575">
        <v>88</v>
      </c>
      <c r="Q575" s="2">
        <v>95920</v>
      </c>
      <c r="R575">
        <v>239.8</v>
      </c>
      <c r="V575">
        <v>0</v>
      </c>
      <c r="W575">
        <v>0</v>
      </c>
      <c r="X575">
        <v>0</v>
      </c>
      <c r="Y575" s="2">
        <v>1329.8</v>
      </c>
      <c r="Z575" s="2">
        <v>1329.8</v>
      </c>
      <c r="AA575" s="2">
        <v>1329.8</v>
      </c>
      <c r="AB575" s="1">
        <v>42382</v>
      </c>
      <c r="AC575" t="s">
        <v>53</v>
      </c>
      <c r="AD575" t="s">
        <v>53</v>
      </c>
      <c r="AH575">
        <v>239.8</v>
      </c>
      <c r="AK575">
        <v>0</v>
      </c>
      <c r="AU575" s="6">
        <v>42339</v>
      </c>
      <c r="AV575" s="6">
        <v>42339</v>
      </c>
      <c r="AW575" t="s">
        <v>54</v>
      </c>
      <c r="AX575" t="str">
        <f t="shared" si="45"/>
        <v>FOR</v>
      </c>
      <c r="AY575" t="s">
        <v>55</v>
      </c>
    </row>
    <row r="576" spans="1:51">
      <c r="A576">
        <v>100164</v>
      </c>
      <c r="B576" t="s">
        <v>97</v>
      </c>
      <c r="C576" t="str">
        <f t="shared" si="48"/>
        <v>00803890151</v>
      </c>
      <c r="D576" t="str">
        <f t="shared" si="48"/>
        <v>00803890151</v>
      </c>
      <c r="E576" t="s">
        <v>52</v>
      </c>
      <c r="F576">
        <v>2015</v>
      </c>
      <c r="G576">
        <v>152014005</v>
      </c>
      <c r="H576" s="1">
        <v>42192</v>
      </c>
      <c r="I576" s="1">
        <v>42193</v>
      </c>
      <c r="J576" s="1">
        <v>42193</v>
      </c>
      <c r="K576" s="1">
        <v>42253</v>
      </c>
      <c r="L576" s="7">
        <v>260</v>
      </c>
      <c r="M576" s="5">
        <v>86</v>
      </c>
      <c r="N576" s="7">
        <v>22360</v>
      </c>
      <c r="O576">
        <v>260</v>
      </c>
      <c r="P576">
        <v>86</v>
      </c>
      <c r="Q576" s="2">
        <v>22360</v>
      </c>
      <c r="R576">
        <v>57.2</v>
      </c>
      <c r="V576">
        <v>0</v>
      </c>
      <c r="W576">
        <v>0</v>
      </c>
      <c r="X576">
        <v>0</v>
      </c>
      <c r="Y576">
        <v>317.2</v>
      </c>
      <c r="Z576">
        <v>317.2</v>
      </c>
      <c r="AA576">
        <v>317.2</v>
      </c>
      <c r="AB576" s="1">
        <v>42382</v>
      </c>
      <c r="AC576" t="s">
        <v>53</v>
      </c>
      <c r="AD576" t="s">
        <v>53</v>
      </c>
      <c r="AH576">
        <v>57.2</v>
      </c>
      <c r="AK576">
        <v>0</v>
      </c>
      <c r="AU576" s="6">
        <v>42339</v>
      </c>
      <c r="AV576" s="6">
        <v>42339</v>
      </c>
      <c r="AW576" t="s">
        <v>54</v>
      </c>
      <c r="AX576" t="str">
        <f t="shared" si="45"/>
        <v>FOR</v>
      </c>
      <c r="AY576" t="s">
        <v>55</v>
      </c>
    </row>
    <row r="577" spans="1:51">
      <c r="A577">
        <v>100164</v>
      </c>
      <c r="B577" t="s">
        <v>97</v>
      </c>
      <c r="C577" t="str">
        <f t="shared" si="48"/>
        <v>00803890151</v>
      </c>
      <c r="D577" t="str">
        <f t="shared" si="48"/>
        <v>00803890151</v>
      </c>
      <c r="E577" t="s">
        <v>52</v>
      </c>
      <c r="F577">
        <v>2015</v>
      </c>
      <c r="G577">
        <v>152014006</v>
      </c>
      <c r="H577" s="1">
        <v>42192</v>
      </c>
      <c r="I577" s="1">
        <v>42193</v>
      </c>
      <c r="J577" s="1">
        <v>42193</v>
      </c>
      <c r="K577" s="1">
        <v>42253</v>
      </c>
      <c r="L577" s="7">
        <v>827.54</v>
      </c>
      <c r="M577" s="5">
        <v>86</v>
      </c>
      <c r="N577" s="7">
        <v>71168.44</v>
      </c>
      <c r="O577">
        <v>827.54</v>
      </c>
      <c r="P577">
        <v>86</v>
      </c>
      <c r="Q577" s="2">
        <v>71168.44</v>
      </c>
      <c r="R577">
        <v>182.05</v>
      </c>
      <c r="V577">
        <v>0</v>
      </c>
      <c r="W577">
        <v>0</v>
      </c>
      <c r="X577">
        <v>0</v>
      </c>
      <c r="Y577" s="2">
        <v>1009.59</v>
      </c>
      <c r="Z577" s="2">
        <v>1009.59</v>
      </c>
      <c r="AA577" s="2">
        <v>1009.59</v>
      </c>
      <c r="AB577" s="1">
        <v>42382</v>
      </c>
      <c r="AC577" t="s">
        <v>53</v>
      </c>
      <c r="AD577" t="s">
        <v>53</v>
      </c>
      <c r="AH577">
        <v>182.05</v>
      </c>
      <c r="AK577">
        <v>0</v>
      </c>
      <c r="AU577" s="6">
        <v>42339</v>
      </c>
      <c r="AV577" s="6">
        <v>42339</v>
      </c>
      <c r="AW577" t="s">
        <v>54</v>
      </c>
      <c r="AX577" t="str">
        <f t="shared" si="45"/>
        <v>FOR</v>
      </c>
      <c r="AY577" t="s">
        <v>55</v>
      </c>
    </row>
    <row r="578" spans="1:51">
      <c r="A578">
        <v>100164</v>
      </c>
      <c r="B578" t="s">
        <v>97</v>
      </c>
      <c r="C578" t="str">
        <f t="shared" si="48"/>
        <v>00803890151</v>
      </c>
      <c r="D578" t="str">
        <f t="shared" si="48"/>
        <v>00803890151</v>
      </c>
      <c r="E578" t="s">
        <v>52</v>
      </c>
      <c r="F578">
        <v>2015</v>
      </c>
      <c r="G578">
        <v>152014007</v>
      </c>
      <c r="H578" s="1">
        <v>42192</v>
      </c>
      <c r="I578" s="1">
        <v>42193</v>
      </c>
      <c r="J578" s="1">
        <v>42193</v>
      </c>
      <c r="K578" s="1">
        <v>42253</v>
      </c>
      <c r="L578" s="7">
        <v>3976.5</v>
      </c>
      <c r="M578" s="5">
        <v>86</v>
      </c>
      <c r="N578" s="7">
        <v>341979</v>
      </c>
      <c r="O578" s="2">
        <v>3976.5</v>
      </c>
      <c r="P578">
        <v>86</v>
      </c>
      <c r="Q578" s="2">
        <v>341979</v>
      </c>
      <c r="R578">
        <v>874.83</v>
      </c>
      <c r="V578">
        <v>0</v>
      </c>
      <c r="W578">
        <v>0</v>
      </c>
      <c r="X578">
        <v>0</v>
      </c>
      <c r="Y578" s="2">
        <v>4851.33</v>
      </c>
      <c r="Z578" s="2">
        <v>4851.33</v>
      </c>
      <c r="AA578" s="2">
        <v>4851.33</v>
      </c>
      <c r="AB578" s="1">
        <v>42382</v>
      </c>
      <c r="AC578" t="s">
        <v>53</v>
      </c>
      <c r="AD578" t="s">
        <v>53</v>
      </c>
      <c r="AH578">
        <v>874.83</v>
      </c>
      <c r="AK578">
        <v>0</v>
      </c>
      <c r="AU578" s="6">
        <v>42339</v>
      </c>
      <c r="AV578" s="6">
        <v>42339</v>
      </c>
      <c r="AW578" t="s">
        <v>54</v>
      </c>
      <c r="AX578" t="str">
        <f t="shared" si="45"/>
        <v>FOR</v>
      </c>
      <c r="AY578" t="s">
        <v>55</v>
      </c>
    </row>
    <row r="579" spans="1:51">
      <c r="A579">
        <v>100164</v>
      </c>
      <c r="B579" t="s">
        <v>97</v>
      </c>
      <c r="C579" t="str">
        <f t="shared" si="48"/>
        <v>00803890151</v>
      </c>
      <c r="D579" t="str">
        <f t="shared" si="48"/>
        <v>00803890151</v>
      </c>
      <c r="E579" t="s">
        <v>52</v>
      </c>
      <c r="F579">
        <v>2015</v>
      </c>
      <c r="G579">
        <v>152014223</v>
      </c>
      <c r="H579" s="1">
        <v>42193</v>
      </c>
      <c r="I579" s="1">
        <v>42195</v>
      </c>
      <c r="J579" s="1">
        <v>42194</v>
      </c>
      <c r="K579" s="1">
        <v>42254</v>
      </c>
      <c r="L579" s="7">
        <v>660</v>
      </c>
      <c r="M579" s="5">
        <v>85</v>
      </c>
      <c r="N579" s="7">
        <v>56100</v>
      </c>
      <c r="O579">
        <v>660</v>
      </c>
      <c r="P579">
        <v>85</v>
      </c>
      <c r="Q579" s="2">
        <v>56100</v>
      </c>
      <c r="R579">
        <v>145.19999999999999</v>
      </c>
      <c r="V579">
        <v>0</v>
      </c>
      <c r="W579">
        <v>0</v>
      </c>
      <c r="X579">
        <v>0</v>
      </c>
      <c r="Y579">
        <v>805.2</v>
      </c>
      <c r="Z579">
        <v>805.2</v>
      </c>
      <c r="AA579">
        <v>805.2</v>
      </c>
      <c r="AB579" s="1">
        <v>42382</v>
      </c>
      <c r="AC579" t="s">
        <v>53</v>
      </c>
      <c r="AD579" t="s">
        <v>53</v>
      </c>
      <c r="AH579">
        <v>145.19999999999999</v>
      </c>
      <c r="AK579">
        <v>0</v>
      </c>
      <c r="AU579" s="6">
        <v>42339</v>
      </c>
      <c r="AV579" s="6">
        <v>42339</v>
      </c>
      <c r="AW579" t="s">
        <v>54</v>
      </c>
      <c r="AX579" t="str">
        <f t="shared" ref="AX579:AX642" si="49">"FOR"</f>
        <v>FOR</v>
      </c>
      <c r="AY579" t="s">
        <v>55</v>
      </c>
    </row>
    <row r="580" spans="1:51">
      <c r="A580">
        <v>100164</v>
      </c>
      <c r="B580" t="s">
        <v>97</v>
      </c>
      <c r="C580" t="str">
        <f t="shared" si="48"/>
        <v>00803890151</v>
      </c>
      <c r="D580" t="str">
        <f t="shared" si="48"/>
        <v>00803890151</v>
      </c>
      <c r="E580" t="s">
        <v>52</v>
      </c>
      <c r="F580">
        <v>2015</v>
      </c>
      <c r="G580">
        <v>152014431</v>
      </c>
      <c r="H580" s="1">
        <v>42194</v>
      </c>
      <c r="I580" s="1">
        <v>42195</v>
      </c>
      <c r="J580" s="1">
        <v>42195</v>
      </c>
      <c r="K580" s="1">
        <v>42255</v>
      </c>
      <c r="L580" s="7">
        <v>210</v>
      </c>
      <c r="M580" s="5">
        <v>84</v>
      </c>
      <c r="N580" s="7">
        <v>17640</v>
      </c>
      <c r="O580">
        <v>210</v>
      </c>
      <c r="P580">
        <v>84</v>
      </c>
      <c r="Q580" s="2">
        <v>17640</v>
      </c>
      <c r="R580">
        <v>46.2</v>
      </c>
      <c r="V580">
        <v>0</v>
      </c>
      <c r="W580">
        <v>0</v>
      </c>
      <c r="X580">
        <v>0</v>
      </c>
      <c r="Y580">
        <v>256.2</v>
      </c>
      <c r="Z580">
        <v>256.2</v>
      </c>
      <c r="AA580">
        <v>256.2</v>
      </c>
      <c r="AB580" s="1">
        <v>42382</v>
      </c>
      <c r="AC580" t="s">
        <v>53</v>
      </c>
      <c r="AD580" t="s">
        <v>53</v>
      </c>
      <c r="AH580">
        <v>46.2</v>
      </c>
      <c r="AK580">
        <v>0</v>
      </c>
      <c r="AU580" s="6">
        <v>42339</v>
      </c>
      <c r="AV580" s="6">
        <v>42339</v>
      </c>
      <c r="AW580" t="s">
        <v>54</v>
      </c>
      <c r="AX580" t="str">
        <f t="shared" si="49"/>
        <v>FOR</v>
      </c>
      <c r="AY580" t="s">
        <v>55</v>
      </c>
    </row>
    <row r="581" spans="1:51">
      <c r="A581">
        <v>100164</v>
      </c>
      <c r="B581" t="s">
        <v>97</v>
      </c>
      <c r="C581" t="str">
        <f t="shared" si="48"/>
        <v>00803890151</v>
      </c>
      <c r="D581" t="str">
        <f t="shared" si="48"/>
        <v>00803890151</v>
      </c>
      <c r="E581" t="s">
        <v>52</v>
      </c>
      <c r="F581">
        <v>2015</v>
      </c>
      <c r="G581">
        <v>152014634</v>
      </c>
      <c r="H581" s="1">
        <v>42195</v>
      </c>
      <c r="I581" s="1">
        <v>42198</v>
      </c>
      <c r="J581" s="1">
        <v>42196</v>
      </c>
      <c r="K581" s="1">
        <v>42256</v>
      </c>
      <c r="L581" s="7">
        <v>70</v>
      </c>
      <c r="M581" s="5">
        <v>83</v>
      </c>
      <c r="N581" s="7">
        <v>5810</v>
      </c>
      <c r="O581">
        <v>70</v>
      </c>
      <c r="P581">
        <v>83</v>
      </c>
      <c r="Q581" s="2">
        <v>5810</v>
      </c>
      <c r="R581">
        <v>15.4</v>
      </c>
      <c r="V581">
        <v>0</v>
      </c>
      <c r="W581">
        <v>0</v>
      </c>
      <c r="X581">
        <v>0</v>
      </c>
      <c r="Y581">
        <v>85.4</v>
      </c>
      <c r="Z581">
        <v>85.4</v>
      </c>
      <c r="AA581">
        <v>85.4</v>
      </c>
      <c r="AB581" s="1">
        <v>42382</v>
      </c>
      <c r="AC581" t="s">
        <v>53</v>
      </c>
      <c r="AD581" t="s">
        <v>53</v>
      </c>
      <c r="AH581">
        <v>15.4</v>
      </c>
      <c r="AK581">
        <v>0</v>
      </c>
      <c r="AU581" s="6">
        <v>42339</v>
      </c>
      <c r="AV581" s="6">
        <v>42339</v>
      </c>
      <c r="AW581" t="s">
        <v>54</v>
      </c>
      <c r="AX581" t="str">
        <f t="shared" si="49"/>
        <v>FOR</v>
      </c>
      <c r="AY581" t="s">
        <v>55</v>
      </c>
    </row>
    <row r="582" spans="1:51">
      <c r="A582">
        <v>100164</v>
      </c>
      <c r="B582" t="s">
        <v>97</v>
      </c>
      <c r="C582" t="str">
        <f t="shared" si="48"/>
        <v>00803890151</v>
      </c>
      <c r="D582" t="str">
        <f t="shared" si="48"/>
        <v>00803890151</v>
      </c>
      <c r="E582" t="s">
        <v>52</v>
      </c>
      <c r="F582">
        <v>2015</v>
      </c>
      <c r="G582">
        <v>152016114</v>
      </c>
      <c r="H582" s="1">
        <v>42207</v>
      </c>
      <c r="I582" s="1">
        <v>42209</v>
      </c>
      <c r="J582" s="1">
        <v>42207</v>
      </c>
      <c r="K582" s="1">
        <v>42267</v>
      </c>
      <c r="L582" s="7">
        <v>827.54</v>
      </c>
      <c r="M582" s="5">
        <v>72</v>
      </c>
      <c r="N582" s="7">
        <v>59582.879999999997</v>
      </c>
      <c r="O582">
        <v>827.54</v>
      </c>
      <c r="P582">
        <v>72</v>
      </c>
      <c r="Q582" s="2">
        <v>59582.879999999997</v>
      </c>
      <c r="R582">
        <v>182.06</v>
      </c>
      <c r="V582">
        <v>0</v>
      </c>
      <c r="W582">
        <v>0</v>
      </c>
      <c r="X582">
        <v>0</v>
      </c>
      <c r="Y582" s="2">
        <v>1009.6</v>
      </c>
      <c r="Z582" s="2">
        <v>1009.6</v>
      </c>
      <c r="AA582" s="2">
        <v>1009.6</v>
      </c>
      <c r="AB582" s="1">
        <v>42382</v>
      </c>
      <c r="AC582" t="s">
        <v>53</v>
      </c>
      <c r="AD582" t="s">
        <v>53</v>
      </c>
      <c r="AH582">
        <v>182.06</v>
      </c>
      <c r="AK582">
        <v>0</v>
      </c>
      <c r="AU582" s="6">
        <v>42339</v>
      </c>
      <c r="AV582" s="6">
        <v>42339</v>
      </c>
      <c r="AW582" t="s">
        <v>54</v>
      </c>
      <c r="AX582" t="str">
        <f t="shared" si="49"/>
        <v>FOR</v>
      </c>
      <c r="AY582" t="s">
        <v>55</v>
      </c>
    </row>
    <row r="583" spans="1:51">
      <c r="A583">
        <v>100164</v>
      </c>
      <c r="B583" t="s">
        <v>97</v>
      </c>
      <c r="C583" t="str">
        <f t="shared" si="48"/>
        <v>00803890151</v>
      </c>
      <c r="D583" t="str">
        <f t="shared" si="48"/>
        <v>00803890151</v>
      </c>
      <c r="E583" t="s">
        <v>52</v>
      </c>
      <c r="F583">
        <v>2015</v>
      </c>
      <c r="G583">
        <v>152016500</v>
      </c>
      <c r="H583" s="1">
        <v>42209</v>
      </c>
      <c r="I583" s="1">
        <v>42215</v>
      </c>
      <c r="J583" s="1">
        <v>42213</v>
      </c>
      <c r="K583" s="1">
        <v>42273</v>
      </c>
      <c r="L583" s="7">
        <v>8314.5</v>
      </c>
      <c r="M583" s="5">
        <v>66</v>
      </c>
      <c r="N583" s="7">
        <v>548757</v>
      </c>
      <c r="O583" s="2">
        <v>8314.5</v>
      </c>
      <c r="P583">
        <v>66</v>
      </c>
      <c r="Q583" s="2">
        <v>548757</v>
      </c>
      <c r="R583" s="2">
        <v>1829.19</v>
      </c>
      <c r="V583">
        <v>0</v>
      </c>
      <c r="W583">
        <v>0</v>
      </c>
      <c r="X583">
        <v>0</v>
      </c>
      <c r="Y583" s="2">
        <v>10143.69</v>
      </c>
      <c r="Z583" s="2">
        <v>10143.69</v>
      </c>
      <c r="AA583" s="2">
        <v>10143.69</v>
      </c>
      <c r="AB583" s="1">
        <v>42382</v>
      </c>
      <c r="AC583" t="s">
        <v>53</v>
      </c>
      <c r="AD583" t="s">
        <v>53</v>
      </c>
      <c r="AH583" s="2">
        <v>1829.19</v>
      </c>
      <c r="AK583">
        <v>0</v>
      </c>
      <c r="AU583" s="6">
        <v>42339</v>
      </c>
      <c r="AV583" s="6">
        <v>42339</v>
      </c>
      <c r="AW583" t="s">
        <v>54</v>
      </c>
      <c r="AX583" t="str">
        <f t="shared" si="49"/>
        <v>FOR</v>
      </c>
      <c r="AY583" t="s">
        <v>55</v>
      </c>
    </row>
    <row r="584" spans="1:51">
      <c r="A584">
        <v>100164</v>
      </c>
      <c r="B584" t="s">
        <v>97</v>
      </c>
      <c r="C584" t="str">
        <f t="shared" si="48"/>
        <v>00803890151</v>
      </c>
      <c r="D584" t="str">
        <f t="shared" si="48"/>
        <v>00803890151</v>
      </c>
      <c r="E584" t="s">
        <v>52</v>
      </c>
      <c r="F584">
        <v>2015</v>
      </c>
      <c r="G584">
        <v>152016501</v>
      </c>
      <c r="H584" s="1">
        <v>42209</v>
      </c>
      <c r="I584" s="1">
        <v>42215</v>
      </c>
      <c r="J584" s="1">
        <v>42213</v>
      </c>
      <c r="K584" s="1">
        <v>42273</v>
      </c>
      <c r="L584" s="7">
        <v>1375</v>
      </c>
      <c r="M584" s="5">
        <v>66</v>
      </c>
      <c r="N584" s="7">
        <v>90750</v>
      </c>
      <c r="O584" s="2">
        <v>1375</v>
      </c>
      <c r="P584">
        <v>66</v>
      </c>
      <c r="Q584" s="2">
        <v>90750</v>
      </c>
      <c r="R584">
        <v>302.5</v>
      </c>
      <c r="V584">
        <v>0</v>
      </c>
      <c r="W584">
        <v>0</v>
      </c>
      <c r="X584">
        <v>0</v>
      </c>
      <c r="Y584" s="2">
        <v>1677.5</v>
      </c>
      <c r="Z584" s="2">
        <v>1677.5</v>
      </c>
      <c r="AA584" s="2">
        <v>1677.5</v>
      </c>
      <c r="AB584" s="1">
        <v>42382</v>
      </c>
      <c r="AC584" t="s">
        <v>53</v>
      </c>
      <c r="AD584" t="s">
        <v>53</v>
      </c>
      <c r="AH584">
        <v>302.5</v>
      </c>
      <c r="AK584">
        <v>0</v>
      </c>
      <c r="AU584" s="6">
        <v>42339</v>
      </c>
      <c r="AV584" s="6">
        <v>42339</v>
      </c>
      <c r="AW584" t="s">
        <v>54</v>
      </c>
      <c r="AX584" t="str">
        <f t="shared" si="49"/>
        <v>FOR</v>
      </c>
      <c r="AY584" t="s">
        <v>55</v>
      </c>
    </row>
    <row r="585" spans="1:51">
      <c r="A585">
        <v>100164</v>
      </c>
      <c r="B585" t="s">
        <v>97</v>
      </c>
      <c r="C585" t="str">
        <f t="shared" si="48"/>
        <v>00803890151</v>
      </c>
      <c r="D585" t="str">
        <f t="shared" si="48"/>
        <v>00803890151</v>
      </c>
      <c r="E585" t="s">
        <v>52</v>
      </c>
      <c r="F585">
        <v>2015</v>
      </c>
      <c r="G585">
        <v>152016502</v>
      </c>
      <c r="H585" s="1">
        <v>42209</v>
      </c>
      <c r="I585" s="1">
        <v>42215</v>
      </c>
      <c r="J585" s="1">
        <v>42213</v>
      </c>
      <c r="K585" s="1">
        <v>42273</v>
      </c>
      <c r="L585" s="7">
        <v>4337.3999999999996</v>
      </c>
      <c r="M585" s="5">
        <v>66</v>
      </c>
      <c r="N585" s="7">
        <v>286268.40000000002</v>
      </c>
      <c r="O585" s="2">
        <v>4337.3999999999996</v>
      </c>
      <c r="P585">
        <v>66</v>
      </c>
      <c r="Q585" s="2">
        <v>286268.40000000002</v>
      </c>
      <c r="R585">
        <v>954.23</v>
      </c>
      <c r="V585">
        <v>0</v>
      </c>
      <c r="W585">
        <v>0</v>
      </c>
      <c r="X585">
        <v>0</v>
      </c>
      <c r="Y585" s="2">
        <v>5291.63</v>
      </c>
      <c r="Z585" s="2">
        <v>5291.63</v>
      </c>
      <c r="AA585" s="2">
        <v>5291.63</v>
      </c>
      <c r="AB585" s="1">
        <v>42382</v>
      </c>
      <c r="AC585" t="s">
        <v>53</v>
      </c>
      <c r="AD585" t="s">
        <v>53</v>
      </c>
      <c r="AH585">
        <v>954.23</v>
      </c>
      <c r="AK585">
        <v>0</v>
      </c>
      <c r="AU585" s="6">
        <v>42339</v>
      </c>
      <c r="AV585" s="6">
        <v>42339</v>
      </c>
      <c r="AW585" t="s">
        <v>54</v>
      </c>
      <c r="AX585" t="str">
        <f t="shared" si="49"/>
        <v>FOR</v>
      </c>
      <c r="AY585" t="s">
        <v>55</v>
      </c>
    </row>
    <row r="586" spans="1:51">
      <c r="A586">
        <v>100164</v>
      </c>
      <c r="B586" t="s">
        <v>97</v>
      </c>
      <c r="C586" t="str">
        <f t="shared" si="48"/>
        <v>00803890151</v>
      </c>
      <c r="D586" t="str">
        <f t="shared" si="48"/>
        <v>00803890151</v>
      </c>
      <c r="E586" t="s">
        <v>52</v>
      </c>
      <c r="F586">
        <v>2015</v>
      </c>
      <c r="G586">
        <v>152016846</v>
      </c>
      <c r="H586" s="1">
        <v>42213</v>
      </c>
      <c r="I586" s="1">
        <v>42215</v>
      </c>
      <c r="J586" s="1">
        <v>42214</v>
      </c>
      <c r="K586" s="1">
        <v>42274</v>
      </c>
      <c r="L586" s="7">
        <v>1440</v>
      </c>
      <c r="M586" s="5">
        <v>65</v>
      </c>
      <c r="N586" s="7">
        <v>93600</v>
      </c>
      <c r="O586" s="2">
        <v>1440</v>
      </c>
      <c r="P586">
        <v>65</v>
      </c>
      <c r="Q586" s="2">
        <v>93600</v>
      </c>
      <c r="R586">
        <v>316.8</v>
      </c>
      <c r="V586">
        <v>0</v>
      </c>
      <c r="W586">
        <v>0</v>
      </c>
      <c r="X586">
        <v>0</v>
      </c>
      <c r="Y586" s="2">
        <v>1756.8</v>
      </c>
      <c r="Z586" s="2">
        <v>1756.8</v>
      </c>
      <c r="AA586" s="2">
        <v>1756.8</v>
      </c>
      <c r="AB586" s="1">
        <v>42382</v>
      </c>
      <c r="AC586" t="s">
        <v>53</v>
      </c>
      <c r="AD586" t="s">
        <v>53</v>
      </c>
      <c r="AH586">
        <v>316.8</v>
      </c>
      <c r="AK586">
        <v>0</v>
      </c>
      <c r="AU586" s="6">
        <v>42339</v>
      </c>
      <c r="AV586" s="6">
        <v>42339</v>
      </c>
      <c r="AW586" t="s">
        <v>54</v>
      </c>
      <c r="AX586" t="str">
        <f t="shared" si="49"/>
        <v>FOR</v>
      </c>
      <c r="AY586" t="s">
        <v>55</v>
      </c>
    </row>
    <row r="587" spans="1:51">
      <c r="A587">
        <v>100164</v>
      </c>
      <c r="B587" t="s">
        <v>97</v>
      </c>
      <c r="C587" t="str">
        <f t="shared" si="48"/>
        <v>00803890151</v>
      </c>
      <c r="D587" t="str">
        <f t="shared" si="48"/>
        <v>00803890151</v>
      </c>
      <c r="E587" t="s">
        <v>52</v>
      </c>
      <c r="F587">
        <v>2015</v>
      </c>
      <c r="G587">
        <v>152017050</v>
      </c>
      <c r="H587" s="1">
        <v>42214</v>
      </c>
      <c r="I587" s="1">
        <v>42214</v>
      </c>
      <c r="J587" s="1">
        <v>42214</v>
      </c>
      <c r="K587" s="1">
        <v>42274</v>
      </c>
      <c r="L587" s="7">
        <v>60</v>
      </c>
      <c r="M587" s="5">
        <v>65</v>
      </c>
      <c r="N587" s="7">
        <v>3900</v>
      </c>
      <c r="O587">
        <v>60</v>
      </c>
      <c r="P587">
        <v>65</v>
      </c>
      <c r="Q587" s="2">
        <v>3900</v>
      </c>
      <c r="R587">
        <v>13.2</v>
      </c>
      <c r="V587">
        <v>0</v>
      </c>
      <c r="W587">
        <v>0</v>
      </c>
      <c r="X587">
        <v>0</v>
      </c>
      <c r="Y587">
        <v>73.2</v>
      </c>
      <c r="Z587">
        <v>73.2</v>
      </c>
      <c r="AA587">
        <v>73.2</v>
      </c>
      <c r="AB587" s="1">
        <v>42382</v>
      </c>
      <c r="AC587" t="s">
        <v>53</v>
      </c>
      <c r="AD587" t="s">
        <v>53</v>
      </c>
      <c r="AH587">
        <v>13.2</v>
      </c>
      <c r="AK587">
        <v>0</v>
      </c>
      <c r="AU587" s="6">
        <v>42339</v>
      </c>
      <c r="AV587" s="6">
        <v>42339</v>
      </c>
      <c r="AW587" t="s">
        <v>54</v>
      </c>
      <c r="AX587" t="str">
        <f t="shared" si="49"/>
        <v>FOR</v>
      </c>
      <c r="AY587" t="s">
        <v>55</v>
      </c>
    </row>
    <row r="588" spans="1:51" hidden="1">
      <c r="A588">
        <v>100166</v>
      </c>
      <c r="B588" t="s">
        <v>98</v>
      </c>
      <c r="C588" t="str">
        <f t="shared" ref="C588:D595" si="50">"03231270236"</f>
        <v>03231270236</v>
      </c>
      <c r="D588" t="str">
        <f t="shared" si="50"/>
        <v>03231270236</v>
      </c>
      <c r="E588" t="s">
        <v>52</v>
      </c>
      <c r="F588">
        <v>2015</v>
      </c>
      <c r="G588">
        <v>120</v>
      </c>
      <c r="H588" s="1">
        <v>42024</v>
      </c>
      <c r="I588" s="1">
        <v>42025</v>
      </c>
      <c r="J588" s="1">
        <v>42025</v>
      </c>
      <c r="K588" s="1">
        <v>42085</v>
      </c>
      <c r="N588" s="5"/>
      <c r="O588">
        <v>171.05</v>
      </c>
      <c r="P588">
        <v>-60</v>
      </c>
      <c r="Q588" s="2">
        <v>-10263</v>
      </c>
      <c r="R588">
        <v>0</v>
      </c>
      <c r="V588">
        <v>0</v>
      </c>
      <c r="W588">
        <v>0</v>
      </c>
      <c r="X588">
        <v>0</v>
      </c>
      <c r="Y588">
        <v>171.05</v>
      </c>
      <c r="Z588">
        <v>171.05</v>
      </c>
      <c r="AA588">
        <v>171.05</v>
      </c>
      <c r="AB588" s="1">
        <v>42382</v>
      </c>
      <c r="AC588" t="s">
        <v>53</v>
      </c>
      <c r="AD588" t="s">
        <v>53</v>
      </c>
      <c r="AK588">
        <v>0</v>
      </c>
      <c r="AU588" s="6">
        <v>42025</v>
      </c>
      <c r="AV588" s="6">
        <v>42025</v>
      </c>
      <c r="AW588" t="s">
        <v>54</v>
      </c>
      <c r="AX588" t="str">
        <f t="shared" si="49"/>
        <v>FOR</v>
      </c>
      <c r="AY588" t="s">
        <v>55</v>
      </c>
    </row>
    <row r="589" spans="1:51" hidden="1">
      <c r="A589">
        <v>100166</v>
      </c>
      <c r="B589" t="s">
        <v>98</v>
      </c>
      <c r="C589" t="str">
        <f t="shared" si="50"/>
        <v>03231270236</v>
      </c>
      <c r="D589" t="str">
        <f t="shared" si="50"/>
        <v>03231270236</v>
      </c>
      <c r="E589" t="s">
        <v>52</v>
      </c>
      <c r="F589">
        <v>2015</v>
      </c>
      <c r="G589">
        <v>219</v>
      </c>
      <c r="H589" s="1">
        <v>42054</v>
      </c>
      <c r="I589" s="1">
        <v>42054</v>
      </c>
      <c r="J589" s="1">
        <v>42054</v>
      </c>
      <c r="K589" s="1">
        <v>42114</v>
      </c>
      <c r="N589" s="5"/>
      <c r="O589">
        <v>171.05</v>
      </c>
      <c r="P589">
        <v>-56</v>
      </c>
      <c r="Q589" s="2">
        <v>-9578.7999999999993</v>
      </c>
      <c r="R589">
        <v>0</v>
      </c>
      <c r="V589">
        <v>0</v>
      </c>
      <c r="W589">
        <v>0</v>
      </c>
      <c r="X589">
        <v>0</v>
      </c>
      <c r="Y589">
        <v>171.05</v>
      </c>
      <c r="Z589">
        <v>171.05</v>
      </c>
      <c r="AA589">
        <v>171.05</v>
      </c>
      <c r="AB589" s="1">
        <v>42382</v>
      </c>
      <c r="AC589" t="s">
        <v>53</v>
      </c>
      <c r="AD589" t="s">
        <v>53</v>
      </c>
      <c r="AK589">
        <v>0</v>
      </c>
      <c r="AU589" s="6">
        <v>42058</v>
      </c>
      <c r="AV589" s="6">
        <v>42058</v>
      </c>
      <c r="AW589" t="s">
        <v>54</v>
      </c>
      <c r="AX589" t="str">
        <f t="shared" si="49"/>
        <v>FOR</v>
      </c>
      <c r="AY589" t="s">
        <v>55</v>
      </c>
    </row>
    <row r="590" spans="1:51" hidden="1">
      <c r="A590">
        <v>100166</v>
      </c>
      <c r="B590" t="s">
        <v>98</v>
      </c>
      <c r="C590" t="str">
        <f t="shared" si="50"/>
        <v>03231270236</v>
      </c>
      <c r="D590" t="str">
        <f t="shared" si="50"/>
        <v>03231270236</v>
      </c>
      <c r="E590" t="s">
        <v>52</v>
      </c>
      <c r="F590">
        <v>2015</v>
      </c>
      <c r="G590">
        <v>320</v>
      </c>
      <c r="H590" s="1">
        <v>42083</v>
      </c>
      <c r="I590" s="1">
        <v>42086</v>
      </c>
      <c r="J590" s="1">
        <v>42086</v>
      </c>
      <c r="K590" s="1">
        <v>42146</v>
      </c>
      <c r="N590" s="5"/>
      <c r="O590">
        <v>171.05</v>
      </c>
      <c r="P590">
        <v>-60</v>
      </c>
      <c r="Q590" s="2">
        <v>-10263</v>
      </c>
      <c r="R590">
        <v>0</v>
      </c>
      <c r="V590">
        <v>0</v>
      </c>
      <c r="W590">
        <v>0</v>
      </c>
      <c r="X590">
        <v>0</v>
      </c>
      <c r="Y590">
        <v>171.05</v>
      </c>
      <c r="Z590">
        <v>171.05</v>
      </c>
      <c r="AA590">
        <v>171.05</v>
      </c>
      <c r="AB590" s="1">
        <v>42382</v>
      </c>
      <c r="AC590" t="s">
        <v>53</v>
      </c>
      <c r="AD590" t="s">
        <v>53</v>
      </c>
      <c r="AK590">
        <v>0</v>
      </c>
      <c r="AU590" s="6">
        <v>42086</v>
      </c>
      <c r="AV590" s="6">
        <v>42086</v>
      </c>
      <c r="AW590" t="s">
        <v>54</v>
      </c>
      <c r="AX590" t="str">
        <f t="shared" si="49"/>
        <v>FOR</v>
      </c>
      <c r="AY590" t="s">
        <v>55</v>
      </c>
    </row>
    <row r="591" spans="1:51" hidden="1">
      <c r="A591">
        <v>100166</v>
      </c>
      <c r="B591" t="s">
        <v>98</v>
      </c>
      <c r="C591" t="str">
        <f t="shared" si="50"/>
        <v>03231270236</v>
      </c>
      <c r="D591" t="str">
        <f t="shared" si="50"/>
        <v>03231270236</v>
      </c>
      <c r="E591" t="s">
        <v>52</v>
      </c>
      <c r="F591">
        <v>2015</v>
      </c>
      <c r="G591">
        <v>420</v>
      </c>
      <c r="H591" s="1">
        <v>42114</v>
      </c>
      <c r="I591" s="1">
        <v>42115</v>
      </c>
      <c r="J591" s="1">
        <v>42115</v>
      </c>
      <c r="K591" s="1">
        <v>42175</v>
      </c>
      <c r="N591" s="5"/>
      <c r="O591">
        <v>171.05</v>
      </c>
      <c r="P591">
        <v>-59</v>
      </c>
      <c r="Q591" s="2">
        <v>-10091.950000000001</v>
      </c>
      <c r="R591">
        <v>0</v>
      </c>
      <c r="V591">
        <v>0</v>
      </c>
      <c r="W591">
        <v>0</v>
      </c>
      <c r="X591">
        <v>0</v>
      </c>
      <c r="Y591">
        <v>171.05</v>
      </c>
      <c r="Z591">
        <v>171.05</v>
      </c>
      <c r="AA591">
        <v>171.05</v>
      </c>
      <c r="AB591" s="1">
        <v>42382</v>
      </c>
      <c r="AC591" t="s">
        <v>53</v>
      </c>
      <c r="AD591" t="s">
        <v>53</v>
      </c>
      <c r="AK591">
        <v>0</v>
      </c>
      <c r="AU591" s="6">
        <v>42116</v>
      </c>
      <c r="AV591" s="6">
        <v>42116</v>
      </c>
      <c r="AW591" t="s">
        <v>54</v>
      </c>
      <c r="AX591" t="str">
        <f t="shared" si="49"/>
        <v>FOR</v>
      </c>
      <c r="AY591" t="s">
        <v>55</v>
      </c>
    </row>
    <row r="592" spans="1:51" hidden="1">
      <c r="A592">
        <v>100166</v>
      </c>
      <c r="B592" t="s">
        <v>98</v>
      </c>
      <c r="C592" t="str">
        <f t="shared" si="50"/>
        <v>03231270236</v>
      </c>
      <c r="D592" t="str">
        <f t="shared" si="50"/>
        <v>03231270236</v>
      </c>
      <c r="E592" t="s">
        <v>52</v>
      </c>
      <c r="F592">
        <v>2015</v>
      </c>
      <c r="G592">
        <v>520</v>
      </c>
      <c r="H592" s="1">
        <v>42144</v>
      </c>
      <c r="I592" s="1">
        <v>42144</v>
      </c>
      <c r="J592" s="1">
        <v>42144</v>
      </c>
      <c r="K592" s="1">
        <v>42204</v>
      </c>
      <c r="N592" s="5"/>
      <c r="O592">
        <v>171.05</v>
      </c>
      <c r="P592">
        <v>-60</v>
      </c>
      <c r="Q592" s="2">
        <v>-10263</v>
      </c>
      <c r="R592">
        <v>0</v>
      </c>
      <c r="V592">
        <v>0</v>
      </c>
      <c r="W592">
        <v>0</v>
      </c>
      <c r="X592">
        <v>0</v>
      </c>
      <c r="Y592">
        <v>171.05</v>
      </c>
      <c r="Z592">
        <v>171.05</v>
      </c>
      <c r="AA592">
        <v>171.05</v>
      </c>
      <c r="AB592" s="1">
        <v>42382</v>
      </c>
      <c r="AC592" t="s">
        <v>53</v>
      </c>
      <c r="AD592" t="s">
        <v>53</v>
      </c>
      <c r="AK592">
        <v>0</v>
      </c>
      <c r="AU592" s="6">
        <v>42144</v>
      </c>
      <c r="AV592" s="6">
        <v>42144</v>
      </c>
      <c r="AW592" t="s">
        <v>54</v>
      </c>
      <c r="AX592" t="str">
        <f t="shared" si="49"/>
        <v>FOR</v>
      </c>
      <c r="AY592" t="s">
        <v>55</v>
      </c>
    </row>
    <row r="593" spans="1:51" hidden="1">
      <c r="A593">
        <v>100166</v>
      </c>
      <c r="B593" t="s">
        <v>98</v>
      </c>
      <c r="C593" t="str">
        <f t="shared" si="50"/>
        <v>03231270236</v>
      </c>
      <c r="D593" t="str">
        <f t="shared" si="50"/>
        <v>03231270236</v>
      </c>
      <c r="E593" t="s">
        <v>52</v>
      </c>
      <c r="F593">
        <v>2015</v>
      </c>
      <c r="G593">
        <v>619</v>
      </c>
      <c r="H593" s="1">
        <v>42174</v>
      </c>
      <c r="I593" s="1">
        <v>42174</v>
      </c>
      <c r="J593" s="1">
        <v>42174</v>
      </c>
      <c r="K593" s="1">
        <v>42234</v>
      </c>
      <c r="N593" s="5"/>
      <c r="O593">
        <v>171.05</v>
      </c>
      <c r="P593">
        <v>-57</v>
      </c>
      <c r="Q593" s="2">
        <v>-9749.85</v>
      </c>
      <c r="R593">
        <v>0</v>
      </c>
      <c r="V593">
        <v>0</v>
      </c>
      <c r="W593">
        <v>0</v>
      </c>
      <c r="X593">
        <v>0</v>
      </c>
      <c r="Y593">
        <v>171.05</v>
      </c>
      <c r="Z593">
        <v>171.05</v>
      </c>
      <c r="AA593">
        <v>171.05</v>
      </c>
      <c r="AB593" s="1">
        <v>42382</v>
      </c>
      <c r="AC593" t="s">
        <v>53</v>
      </c>
      <c r="AD593" t="s">
        <v>53</v>
      </c>
      <c r="AK593">
        <v>0</v>
      </c>
      <c r="AU593" s="6">
        <v>42177</v>
      </c>
      <c r="AV593" s="6">
        <v>42177</v>
      </c>
      <c r="AW593" t="s">
        <v>54</v>
      </c>
      <c r="AX593" t="str">
        <f t="shared" si="49"/>
        <v>FOR</v>
      </c>
      <c r="AY593" t="s">
        <v>55</v>
      </c>
    </row>
    <row r="594" spans="1:51" hidden="1">
      <c r="A594">
        <v>100166</v>
      </c>
      <c r="B594" t="s">
        <v>98</v>
      </c>
      <c r="C594" t="str">
        <f t="shared" si="50"/>
        <v>03231270236</v>
      </c>
      <c r="D594" t="str">
        <f t="shared" si="50"/>
        <v>03231270236</v>
      </c>
      <c r="E594" t="s">
        <v>52</v>
      </c>
      <c r="F594">
        <v>2015</v>
      </c>
      <c r="G594">
        <v>721</v>
      </c>
      <c r="H594" s="1">
        <v>42206</v>
      </c>
      <c r="I594" s="1">
        <v>42206</v>
      </c>
      <c r="J594" s="1">
        <v>42206</v>
      </c>
      <c r="K594" s="1">
        <v>42266</v>
      </c>
      <c r="N594" s="5"/>
      <c r="O594">
        <v>171.05</v>
      </c>
      <c r="P594">
        <v>-60</v>
      </c>
      <c r="Q594" s="2">
        <v>-10263</v>
      </c>
      <c r="R594">
        <v>0</v>
      </c>
      <c r="V594">
        <v>0</v>
      </c>
      <c r="W594">
        <v>0</v>
      </c>
      <c r="X594">
        <v>0</v>
      </c>
      <c r="Y594">
        <v>171.05</v>
      </c>
      <c r="Z594">
        <v>171.05</v>
      </c>
      <c r="AA594">
        <v>171.05</v>
      </c>
      <c r="AB594" s="1">
        <v>42382</v>
      </c>
      <c r="AC594" t="s">
        <v>53</v>
      </c>
      <c r="AD594" t="s">
        <v>53</v>
      </c>
      <c r="AK594">
        <v>0</v>
      </c>
      <c r="AU594" s="6">
        <v>42206</v>
      </c>
      <c r="AV594" s="6">
        <v>42206</v>
      </c>
      <c r="AW594" t="s">
        <v>54</v>
      </c>
      <c r="AX594" t="str">
        <f t="shared" si="49"/>
        <v>FOR</v>
      </c>
      <c r="AY594" t="s">
        <v>55</v>
      </c>
    </row>
    <row r="595" spans="1:51" hidden="1">
      <c r="A595">
        <v>100166</v>
      </c>
      <c r="B595" t="s">
        <v>98</v>
      </c>
      <c r="C595" t="str">
        <f t="shared" si="50"/>
        <v>03231270236</v>
      </c>
      <c r="D595" t="str">
        <f t="shared" si="50"/>
        <v>03231270236</v>
      </c>
      <c r="E595" t="s">
        <v>52</v>
      </c>
      <c r="F595">
        <v>2015</v>
      </c>
      <c r="G595">
        <v>819</v>
      </c>
      <c r="H595" s="1">
        <v>42235</v>
      </c>
      <c r="I595" s="1">
        <v>42236</v>
      </c>
      <c r="J595" s="1">
        <v>42236</v>
      </c>
      <c r="K595" s="1">
        <v>42296</v>
      </c>
      <c r="N595" s="5"/>
      <c r="O595">
        <v>171.05</v>
      </c>
      <c r="P595">
        <v>-60</v>
      </c>
      <c r="Q595" s="2">
        <v>-10263</v>
      </c>
      <c r="R595">
        <v>0</v>
      </c>
      <c r="V595">
        <v>0</v>
      </c>
      <c r="W595">
        <v>0</v>
      </c>
      <c r="X595">
        <v>0</v>
      </c>
      <c r="Y595">
        <v>171.05</v>
      </c>
      <c r="Z595">
        <v>171.05</v>
      </c>
      <c r="AA595">
        <v>171.05</v>
      </c>
      <c r="AB595" s="1">
        <v>42382</v>
      </c>
      <c r="AC595" t="s">
        <v>53</v>
      </c>
      <c r="AD595" t="s">
        <v>53</v>
      </c>
      <c r="AK595">
        <v>0</v>
      </c>
      <c r="AU595" s="6">
        <v>42236</v>
      </c>
      <c r="AV595" s="6">
        <v>42236</v>
      </c>
      <c r="AW595" t="s">
        <v>54</v>
      </c>
      <c r="AX595" t="str">
        <f t="shared" si="49"/>
        <v>FOR</v>
      </c>
      <c r="AY595" t="s">
        <v>55</v>
      </c>
    </row>
    <row r="596" spans="1:51" hidden="1">
      <c r="A596">
        <v>100187</v>
      </c>
      <c r="B596" t="s">
        <v>99</v>
      </c>
      <c r="C596" t="str">
        <f t="shared" ref="C596:D599" si="51">"00970310397"</f>
        <v>00970310397</v>
      </c>
      <c r="D596" t="str">
        <f t="shared" si="51"/>
        <v>00970310397</v>
      </c>
      <c r="E596" t="s">
        <v>52</v>
      </c>
      <c r="F596">
        <v>2014</v>
      </c>
      <c r="G596">
        <v>74</v>
      </c>
      <c r="H596" s="1">
        <v>41698</v>
      </c>
      <c r="I596" s="1">
        <v>41715</v>
      </c>
      <c r="J596" s="1">
        <v>41715</v>
      </c>
      <c r="K596" s="1">
        <v>41805</v>
      </c>
      <c r="N596" s="5"/>
      <c r="O596" s="2">
        <v>4754.6499999999996</v>
      </c>
      <c r="P596">
        <v>232</v>
      </c>
      <c r="Q596" s="2">
        <v>1103078.8</v>
      </c>
      <c r="R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 s="1">
        <v>42382</v>
      </c>
      <c r="AC596" t="s">
        <v>53</v>
      </c>
      <c r="AD596" t="s">
        <v>53</v>
      </c>
      <c r="AK596">
        <v>0</v>
      </c>
      <c r="AU596" s="6">
        <v>42037</v>
      </c>
      <c r="AV596" s="6">
        <v>42037</v>
      </c>
      <c r="AW596" t="s">
        <v>54</v>
      </c>
      <c r="AX596" t="str">
        <f t="shared" si="49"/>
        <v>FOR</v>
      </c>
      <c r="AY596" t="s">
        <v>55</v>
      </c>
    </row>
    <row r="597" spans="1:51" hidden="1">
      <c r="A597">
        <v>100187</v>
      </c>
      <c r="B597" t="s">
        <v>99</v>
      </c>
      <c r="C597" t="str">
        <f t="shared" si="51"/>
        <v>00970310397</v>
      </c>
      <c r="D597" t="str">
        <f t="shared" si="51"/>
        <v>00970310397</v>
      </c>
      <c r="E597" t="s">
        <v>52</v>
      </c>
      <c r="F597">
        <v>2014</v>
      </c>
      <c r="G597">
        <v>365</v>
      </c>
      <c r="H597" s="1">
        <v>41881</v>
      </c>
      <c r="I597" s="1">
        <v>41901</v>
      </c>
      <c r="J597" s="1">
        <v>41901</v>
      </c>
      <c r="K597" s="1">
        <v>41991</v>
      </c>
      <c r="N597" s="5"/>
      <c r="O597" s="2">
        <v>4655.5200000000004</v>
      </c>
      <c r="P597">
        <v>193</v>
      </c>
      <c r="Q597" s="2">
        <v>898515.36</v>
      </c>
      <c r="R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 s="1">
        <v>42382</v>
      </c>
      <c r="AC597" t="s">
        <v>53</v>
      </c>
      <c r="AD597" t="s">
        <v>53</v>
      </c>
      <c r="AK597">
        <v>0</v>
      </c>
      <c r="AU597" s="6">
        <v>42184</v>
      </c>
      <c r="AV597" s="6">
        <v>42184</v>
      </c>
      <c r="AW597" t="s">
        <v>54</v>
      </c>
      <c r="AX597" t="str">
        <f t="shared" si="49"/>
        <v>FOR</v>
      </c>
      <c r="AY597" t="s">
        <v>55</v>
      </c>
    </row>
    <row r="598" spans="1:51" hidden="1">
      <c r="A598">
        <v>100187</v>
      </c>
      <c r="B598" t="s">
        <v>99</v>
      </c>
      <c r="C598" t="str">
        <f t="shared" si="51"/>
        <v>00970310397</v>
      </c>
      <c r="D598" t="str">
        <f t="shared" si="51"/>
        <v>00970310397</v>
      </c>
      <c r="E598" t="s">
        <v>52</v>
      </c>
      <c r="F598">
        <v>2014</v>
      </c>
      <c r="G598">
        <v>366</v>
      </c>
      <c r="H598" s="1">
        <v>41881</v>
      </c>
      <c r="I598" s="1">
        <v>41901</v>
      </c>
      <c r="J598" s="1">
        <v>41901</v>
      </c>
      <c r="K598" s="1">
        <v>41991</v>
      </c>
      <c r="N598" s="5"/>
      <c r="O598" s="2">
        <v>2456.23</v>
      </c>
      <c r="P598">
        <v>193</v>
      </c>
      <c r="Q598" s="2">
        <v>474052.39</v>
      </c>
      <c r="R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 s="1">
        <v>42382</v>
      </c>
      <c r="AC598" t="s">
        <v>53</v>
      </c>
      <c r="AD598" t="s">
        <v>53</v>
      </c>
      <c r="AK598">
        <v>0</v>
      </c>
      <c r="AU598" s="6">
        <v>42184</v>
      </c>
      <c r="AV598" s="6">
        <v>42184</v>
      </c>
      <c r="AW598" t="s">
        <v>54</v>
      </c>
      <c r="AX598" t="str">
        <f t="shared" si="49"/>
        <v>FOR</v>
      </c>
      <c r="AY598" t="s">
        <v>55</v>
      </c>
    </row>
    <row r="599" spans="1:51">
      <c r="A599">
        <v>100187</v>
      </c>
      <c r="B599" t="s">
        <v>99</v>
      </c>
      <c r="C599" t="str">
        <f t="shared" si="51"/>
        <v>00970310397</v>
      </c>
      <c r="D599" t="str">
        <f t="shared" si="51"/>
        <v>00970310397</v>
      </c>
      <c r="E599" t="s">
        <v>52</v>
      </c>
      <c r="F599">
        <v>2014</v>
      </c>
      <c r="G599">
        <v>464</v>
      </c>
      <c r="H599" s="1">
        <v>41943</v>
      </c>
      <c r="I599" s="1">
        <v>41967</v>
      </c>
      <c r="J599" s="1">
        <v>41967</v>
      </c>
      <c r="K599" s="1">
        <v>42027</v>
      </c>
      <c r="L599" s="7">
        <v>2727.31</v>
      </c>
      <c r="M599" s="5">
        <v>256</v>
      </c>
      <c r="N599" s="7">
        <v>698191.35999999999</v>
      </c>
      <c r="O599" s="2">
        <v>2727.31</v>
      </c>
      <c r="P599">
        <v>256</v>
      </c>
      <c r="Q599" s="2">
        <v>698191.35999999999</v>
      </c>
      <c r="R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 s="1">
        <v>42382</v>
      </c>
      <c r="AC599" t="s">
        <v>53</v>
      </c>
      <c r="AD599" t="s">
        <v>53</v>
      </c>
      <c r="AK599">
        <v>0</v>
      </c>
      <c r="AU599" s="6">
        <v>42283</v>
      </c>
      <c r="AV599" s="6">
        <v>42283</v>
      </c>
      <c r="AW599" t="s">
        <v>54</v>
      </c>
      <c r="AX599" t="str">
        <f t="shared" si="49"/>
        <v>FOR</v>
      </c>
      <c r="AY599" t="s">
        <v>55</v>
      </c>
    </row>
    <row r="600" spans="1:51" hidden="1">
      <c r="A600">
        <v>100202</v>
      </c>
      <c r="B600" t="s">
        <v>100</v>
      </c>
      <c r="C600" t="str">
        <f t="shared" ref="C600:D615" si="52">"07022780634"</f>
        <v>07022780634</v>
      </c>
      <c r="D600" t="str">
        <f t="shared" si="52"/>
        <v>07022780634</v>
      </c>
      <c r="E600" t="s">
        <v>52</v>
      </c>
      <c r="F600">
        <v>2014</v>
      </c>
      <c r="G600">
        <v>18</v>
      </c>
      <c r="H600" s="1">
        <v>41691</v>
      </c>
      <c r="I600" s="1">
        <v>41711</v>
      </c>
      <c r="J600" s="1">
        <v>41711</v>
      </c>
      <c r="K600" s="1">
        <v>41801</v>
      </c>
      <c r="N600" s="5"/>
      <c r="O600" s="2">
        <v>4928.8</v>
      </c>
      <c r="P600">
        <v>236</v>
      </c>
      <c r="Q600" s="2">
        <v>1163196.8</v>
      </c>
      <c r="R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 s="1">
        <v>42382</v>
      </c>
      <c r="AC600" t="s">
        <v>53</v>
      </c>
      <c r="AD600" t="s">
        <v>53</v>
      </c>
      <c r="AK600">
        <v>0</v>
      </c>
      <c r="AU600" s="6">
        <v>42037</v>
      </c>
      <c r="AV600" s="6">
        <v>42037</v>
      </c>
      <c r="AW600" t="s">
        <v>54</v>
      </c>
      <c r="AX600" t="str">
        <f t="shared" si="49"/>
        <v>FOR</v>
      </c>
      <c r="AY600" t="s">
        <v>55</v>
      </c>
    </row>
    <row r="601" spans="1:51" hidden="1">
      <c r="A601">
        <v>100202</v>
      </c>
      <c r="B601" t="s">
        <v>100</v>
      </c>
      <c r="C601" t="str">
        <f t="shared" si="52"/>
        <v>07022780634</v>
      </c>
      <c r="D601" t="str">
        <f t="shared" si="52"/>
        <v>07022780634</v>
      </c>
      <c r="E601" t="s">
        <v>52</v>
      </c>
      <c r="F601">
        <v>2014</v>
      </c>
      <c r="G601">
        <v>19</v>
      </c>
      <c r="H601" s="1">
        <v>41691</v>
      </c>
      <c r="I601" s="1">
        <v>41711</v>
      </c>
      <c r="J601" s="1">
        <v>41711</v>
      </c>
      <c r="K601" s="1">
        <v>41801</v>
      </c>
      <c r="N601" s="5"/>
      <c r="O601">
        <v>195.2</v>
      </c>
      <c r="P601">
        <v>236</v>
      </c>
      <c r="Q601" s="2">
        <v>46067.199999999997</v>
      </c>
      <c r="R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 s="1">
        <v>42382</v>
      </c>
      <c r="AC601" t="s">
        <v>53</v>
      </c>
      <c r="AD601" t="s">
        <v>53</v>
      </c>
      <c r="AK601">
        <v>0</v>
      </c>
      <c r="AU601" s="6">
        <v>42037</v>
      </c>
      <c r="AV601" s="6">
        <v>42037</v>
      </c>
      <c r="AW601" t="s">
        <v>54</v>
      </c>
      <c r="AX601" t="str">
        <f t="shared" si="49"/>
        <v>FOR</v>
      </c>
      <c r="AY601" t="s">
        <v>55</v>
      </c>
    </row>
    <row r="602" spans="1:51" hidden="1">
      <c r="A602">
        <v>100202</v>
      </c>
      <c r="B602" t="s">
        <v>100</v>
      </c>
      <c r="C602" t="str">
        <f t="shared" si="52"/>
        <v>07022780634</v>
      </c>
      <c r="D602" t="str">
        <f t="shared" si="52"/>
        <v>07022780634</v>
      </c>
      <c r="E602" t="s">
        <v>52</v>
      </c>
      <c r="F602">
        <v>2014</v>
      </c>
      <c r="G602">
        <v>29</v>
      </c>
      <c r="H602" s="1">
        <v>41715</v>
      </c>
      <c r="I602" s="1">
        <v>41757</v>
      </c>
      <c r="J602" s="1">
        <v>41757</v>
      </c>
      <c r="K602" s="1">
        <v>41847</v>
      </c>
      <c r="N602" s="5"/>
      <c r="O602">
        <v>195.2</v>
      </c>
      <c r="P602">
        <v>283</v>
      </c>
      <c r="Q602" s="2">
        <v>55241.599999999999</v>
      </c>
      <c r="R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 s="1">
        <v>42382</v>
      </c>
      <c r="AC602" t="s">
        <v>53</v>
      </c>
      <c r="AD602" t="s">
        <v>53</v>
      </c>
      <c r="AK602">
        <v>0</v>
      </c>
      <c r="AU602" s="6">
        <v>42130</v>
      </c>
      <c r="AV602" s="6">
        <v>42130</v>
      </c>
      <c r="AW602" t="s">
        <v>54</v>
      </c>
      <c r="AX602" t="str">
        <f t="shared" si="49"/>
        <v>FOR</v>
      </c>
      <c r="AY602" t="s">
        <v>55</v>
      </c>
    </row>
    <row r="603" spans="1:51" hidden="1">
      <c r="A603">
        <v>100202</v>
      </c>
      <c r="B603" t="s">
        <v>100</v>
      </c>
      <c r="C603" t="str">
        <f t="shared" si="52"/>
        <v>07022780634</v>
      </c>
      <c r="D603" t="str">
        <f t="shared" si="52"/>
        <v>07022780634</v>
      </c>
      <c r="E603" t="s">
        <v>52</v>
      </c>
      <c r="F603">
        <v>2014</v>
      </c>
      <c r="G603">
        <v>30</v>
      </c>
      <c r="H603" s="1">
        <v>41717</v>
      </c>
      <c r="I603" s="1">
        <v>41757</v>
      </c>
      <c r="J603" s="1">
        <v>41757</v>
      </c>
      <c r="K603" s="1">
        <v>41847</v>
      </c>
      <c r="N603" s="5"/>
      <c r="O603" s="2">
        <v>3977.2</v>
      </c>
      <c r="P603">
        <v>283</v>
      </c>
      <c r="Q603" s="2">
        <v>1125547.6000000001</v>
      </c>
      <c r="R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 s="1">
        <v>42382</v>
      </c>
      <c r="AC603" t="s">
        <v>53</v>
      </c>
      <c r="AD603" t="s">
        <v>53</v>
      </c>
      <c r="AK603">
        <v>0</v>
      </c>
      <c r="AU603" s="6">
        <v>42130</v>
      </c>
      <c r="AV603" s="6">
        <v>42130</v>
      </c>
      <c r="AW603" t="s">
        <v>54</v>
      </c>
      <c r="AX603" t="str">
        <f t="shared" si="49"/>
        <v>FOR</v>
      </c>
      <c r="AY603" t="s">
        <v>55</v>
      </c>
    </row>
    <row r="604" spans="1:51" hidden="1">
      <c r="A604">
        <v>100202</v>
      </c>
      <c r="B604" t="s">
        <v>100</v>
      </c>
      <c r="C604" t="str">
        <f t="shared" si="52"/>
        <v>07022780634</v>
      </c>
      <c r="D604" t="str">
        <f t="shared" si="52"/>
        <v>07022780634</v>
      </c>
      <c r="E604" t="s">
        <v>52</v>
      </c>
      <c r="F604">
        <v>2014</v>
      </c>
      <c r="G604">
        <v>47</v>
      </c>
      <c r="H604" s="1">
        <v>41759</v>
      </c>
      <c r="I604" s="1">
        <v>41800</v>
      </c>
      <c r="J604" s="1">
        <v>41800</v>
      </c>
      <c r="K604" s="1">
        <v>41890</v>
      </c>
      <c r="N604" s="5"/>
      <c r="O604" s="2">
        <v>1220</v>
      </c>
      <c r="P604">
        <v>240</v>
      </c>
      <c r="Q604" s="2">
        <v>292800</v>
      </c>
      <c r="R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 s="1">
        <v>42382</v>
      </c>
      <c r="AC604" t="s">
        <v>53</v>
      </c>
      <c r="AD604" t="s">
        <v>53</v>
      </c>
      <c r="AK604">
        <v>0</v>
      </c>
      <c r="AU604" s="6">
        <v>42130</v>
      </c>
      <c r="AV604" s="6">
        <v>42130</v>
      </c>
      <c r="AW604" t="s">
        <v>54</v>
      </c>
      <c r="AX604" t="str">
        <f t="shared" si="49"/>
        <v>FOR</v>
      </c>
      <c r="AY604" t="s">
        <v>55</v>
      </c>
    </row>
    <row r="605" spans="1:51" hidden="1">
      <c r="A605">
        <v>100202</v>
      </c>
      <c r="B605" t="s">
        <v>100</v>
      </c>
      <c r="C605" t="str">
        <f t="shared" si="52"/>
        <v>07022780634</v>
      </c>
      <c r="D605" t="str">
        <f t="shared" si="52"/>
        <v>07022780634</v>
      </c>
      <c r="E605" t="s">
        <v>52</v>
      </c>
      <c r="F605">
        <v>2014</v>
      </c>
      <c r="G605">
        <v>53</v>
      </c>
      <c r="H605" s="1">
        <v>41774</v>
      </c>
      <c r="I605" s="1">
        <v>41800</v>
      </c>
      <c r="J605" s="1">
        <v>41800</v>
      </c>
      <c r="K605" s="1">
        <v>41890</v>
      </c>
      <c r="N605" s="5"/>
      <c r="O605">
        <v>390.4</v>
      </c>
      <c r="P605">
        <v>240</v>
      </c>
      <c r="Q605" s="2">
        <v>93696</v>
      </c>
      <c r="R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 s="1">
        <v>42382</v>
      </c>
      <c r="AC605" t="s">
        <v>53</v>
      </c>
      <c r="AD605" t="s">
        <v>53</v>
      </c>
      <c r="AK605">
        <v>0</v>
      </c>
      <c r="AU605" s="6">
        <v>42130</v>
      </c>
      <c r="AV605" s="6">
        <v>42130</v>
      </c>
      <c r="AW605" t="s">
        <v>54</v>
      </c>
      <c r="AX605" t="str">
        <f t="shared" si="49"/>
        <v>FOR</v>
      </c>
      <c r="AY605" t="s">
        <v>55</v>
      </c>
    </row>
    <row r="606" spans="1:51" hidden="1">
      <c r="A606">
        <v>100202</v>
      </c>
      <c r="B606" t="s">
        <v>100</v>
      </c>
      <c r="C606" t="str">
        <f t="shared" si="52"/>
        <v>07022780634</v>
      </c>
      <c r="D606" t="str">
        <f t="shared" si="52"/>
        <v>07022780634</v>
      </c>
      <c r="E606" t="s">
        <v>52</v>
      </c>
      <c r="F606">
        <v>2014</v>
      </c>
      <c r="G606">
        <v>54</v>
      </c>
      <c r="H606" s="1">
        <v>41774</v>
      </c>
      <c r="I606" s="1">
        <v>41800</v>
      </c>
      <c r="J606" s="1">
        <v>41800</v>
      </c>
      <c r="K606" s="1">
        <v>41890</v>
      </c>
      <c r="N606" s="5"/>
      <c r="O606" s="2">
        <v>4636</v>
      </c>
      <c r="P606">
        <v>240</v>
      </c>
      <c r="Q606" s="2">
        <v>1112640</v>
      </c>
      <c r="R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 s="1">
        <v>42382</v>
      </c>
      <c r="AC606" t="s">
        <v>53</v>
      </c>
      <c r="AD606" t="s">
        <v>53</v>
      </c>
      <c r="AK606">
        <v>0</v>
      </c>
      <c r="AU606" s="6">
        <v>42130</v>
      </c>
      <c r="AV606" s="6">
        <v>42130</v>
      </c>
      <c r="AW606" t="s">
        <v>54</v>
      </c>
      <c r="AX606" t="str">
        <f t="shared" si="49"/>
        <v>FOR</v>
      </c>
      <c r="AY606" t="s">
        <v>55</v>
      </c>
    </row>
    <row r="607" spans="1:51" hidden="1">
      <c r="A607">
        <v>100202</v>
      </c>
      <c r="B607" t="s">
        <v>100</v>
      </c>
      <c r="C607" t="str">
        <f t="shared" si="52"/>
        <v>07022780634</v>
      </c>
      <c r="D607" t="str">
        <f t="shared" si="52"/>
        <v>07022780634</v>
      </c>
      <c r="E607" t="s">
        <v>52</v>
      </c>
      <c r="F607">
        <v>2014</v>
      </c>
      <c r="G607">
        <v>80</v>
      </c>
      <c r="H607" s="1">
        <v>41810</v>
      </c>
      <c r="I607" s="1">
        <v>41817</v>
      </c>
      <c r="J607" s="1">
        <v>41817</v>
      </c>
      <c r="K607" s="1">
        <v>41907</v>
      </c>
      <c r="N607" s="5"/>
      <c r="O607" s="2">
        <v>4880</v>
      </c>
      <c r="P607">
        <v>252</v>
      </c>
      <c r="Q607" s="2">
        <v>1229760</v>
      </c>
      <c r="R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 s="1">
        <v>42382</v>
      </c>
      <c r="AC607" t="s">
        <v>53</v>
      </c>
      <c r="AD607" t="s">
        <v>53</v>
      </c>
      <c r="AK607">
        <v>0</v>
      </c>
      <c r="AU607" s="6">
        <v>42159</v>
      </c>
      <c r="AV607" s="6">
        <v>42159</v>
      </c>
      <c r="AW607" t="s">
        <v>54</v>
      </c>
      <c r="AX607" t="str">
        <f t="shared" si="49"/>
        <v>FOR</v>
      </c>
      <c r="AY607" t="s">
        <v>55</v>
      </c>
    </row>
    <row r="608" spans="1:51" hidden="1">
      <c r="A608">
        <v>100202</v>
      </c>
      <c r="B608" t="s">
        <v>100</v>
      </c>
      <c r="C608" t="str">
        <f t="shared" si="52"/>
        <v>07022780634</v>
      </c>
      <c r="D608" t="str">
        <f t="shared" si="52"/>
        <v>07022780634</v>
      </c>
      <c r="E608" t="s">
        <v>52</v>
      </c>
      <c r="F608">
        <v>2014</v>
      </c>
      <c r="G608">
        <v>81</v>
      </c>
      <c r="H608" s="1">
        <v>41810</v>
      </c>
      <c r="I608" s="1">
        <v>41817</v>
      </c>
      <c r="J608" s="1">
        <v>41817</v>
      </c>
      <c r="K608" s="1">
        <v>41907</v>
      </c>
      <c r="N608" s="5"/>
      <c r="O608" s="2">
        <v>2745</v>
      </c>
      <c r="P608">
        <v>252</v>
      </c>
      <c r="Q608" s="2">
        <v>691740</v>
      </c>
      <c r="R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 s="1">
        <v>42382</v>
      </c>
      <c r="AC608" t="s">
        <v>53</v>
      </c>
      <c r="AD608" t="s">
        <v>53</v>
      </c>
      <c r="AK608">
        <v>0</v>
      </c>
      <c r="AU608" s="6">
        <v>42159</v>
      </c>
      <c r="AV608" s="6">
        <v>42159</v>
      </c>
      <c r="AW608" t="s">
        <v>54</v>
      </c>
      <c r="AX608" t="str">
        <f t="shared" si="49"/>
        <v>FOR</v>
      </c>
      <c r="AY608" t="s">
        <v>55</v>
      </c>
    </row>
    <row r="609" spans="1:51" hidden="1">
      <c r="A609">
        <v>100202</v>
      </c>
      <c r="B609" t="s">
        <v>100</v>
      </c>
      <c r="C609" t="str">
        <f t="shared" si="52"/>
        <v>07022780634</v>
      </c>
      <c r="D609" t="str">
        <f t="shared" si="52"/>
        <v>07022780634</v>
      </c>
      <c r="E609" t="s">
        <v>52</v>
      </c>
      <c r="F609">
        <v>2014</v>
      </c>
      <c r="G609">
        <v>82</v>
      </c>
      <c r="H609" s="1">
        <v>41810</v>
      </c>
      <c r="I609" s="1">
        <v>41817</v>
      </c>
      <c r="J609" s="1">
        <v>41817</v>
      </c>
      <c r="K609" s="1">
        <v>41907</v>
      </c>
      <c r="N609" s="5"/>
      <c r="O609">
        <v>390.4</v>
      </c>
      <c r="P609">
        <v>252</v>
      </c>
      <c r="Q609" s="2">
        <v>98380.800000000003</v>
      </c>
      <c r="R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 s="1">
        <v>42382</v>
      </c>
      <c r="AC609" t="s">
        <v>53</v>
      </c>
      <c r="AD609" t="s">
        <v>53</v>
      </c>
      <c r="AK609">
        <v>0</v>
      </c>
      <c r="AU609" s="6">
        <v>42159</v>
      </c>
      <c r="AV609" s="6">
        <v>42159</v>
      </c>
      <c r="AW609" t="s">
        <v>54</v>
      </c>
      <c r="AX609" t="str">
        <f t="shared" si="49"/>
        <v>FOR</v>
      </c>
      <c r="AY609" t="s">
        <v>55</v>
      </c>
    </row>
    <row r="610" spans="1:51" hidden="1">
      <c r="A610">
        <v>100202</v>
      </c>
      <c r="B610" t="s">
        <v>100</v>
      </c>
      <c r="C610" t="str">
        <f t="shared" si="52"/>
        <v>07022780634</v>
      </c>
      <c r="D610" t="str">
        <f t="shared" si="52"/>
        <v>07022780634</v>
      </c>
      <c r="E610" t="s">
        <v>52</v>
      </c>
      <c r="F610">
        <v>2014</v>
      </c>
      <c r="G610">
        <v>97</v>
      </c>
      <c r="H610" s="1">
        <v>41835</v>
      </c>
      <c r="I610" s="1">
        <v>41841</v>
      </c>
      <c r="J610" s="1">
        <v>41841</v>
      </c>
      <c r="K610" s="1">
        <v>41931</v>
      </c>
      <c r="N610" s="5"/>
      <c r="O610" s="2">
        <v>1171.2</v>
      </c>
      <c r="P610">
        <v>260</v>
      </c>
      <c r="Q610" s="2">
        <v>304512</v>
      </c>
      <c r="R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 s="1">
        <v>42382</v>
      </c>
      <c r="AC610" t="s">
        <v>53</v>
      </c>
      <c r="AD610" t="s">
        <v>53</v>
      </c>
      <c r="AK610">
        <v>0</v>
      </c>
      <c r="AU610" s="6">
        <v>42191</v>
      </c>
      <c r="AV610" s="6">
        <v>42191</v>
      </c>
      <c r="AW610" t="s">
        <v>54</v>
      </c>
      <c r="AX610" t="str">
        <f t="shared" si="49"/>
        <v>FOR</v>
      </c>
      <c r="AY610" t="s">
        <v>55</v>
      </c>
    </row>
    <row r="611" spans="1:51" hidden="1">
      <c r="A611">
        <v>100202</v>
      </c>
      <c r="B611" t="s">
        <v>100</v>
      </c>
      <c r="C611" t="str">
        <f t="shared" si="52"/>
        <v>07022780634</v>
      </c>
      <c r="D611" t="str">
        <f t="shared" si="52"/>
        <v>07022780634</v>
      </c>
      <c r="E611" t="s">
        <v>52</v>
      </c>
      <c r="F611">
        <v>2014</v>
      </c>
      <c r="G611">
        <v>115</v>
      </c>
      <c r="H611" s="1">
        <v>41890</v>
      </c>
      <c r="I611" s="1">
        <v>41936</v>
      </c>
      <c r="J611" s="1">
        <v>41936</v>
      </c>
      <c r="K611" s="1">
        <v>41996</v>
      </c>
      <c r="N611" s="5"/>
      <c r="O611" s="2">
        <v>5200</v>
      </c>
      <c r="P611">
        <v>253</v>
      </c>
      <c r="Q611" s="2">
        <v>1315600</v>
      </c>
      <c r="R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 s="1">
        <v>42382</v>
      </c>
      <c r="AC611" t="s">
        <v>53</v>
      </c>
      <c r="AD611" t="s">
        <v>53</v>
      </c>
      <c r="AK611">
        <v>0</v>
      </c>
      <c r="AU611" s="6">
        <v>42249</v>
      </c>
      <c r="AV611" s="6">
        <v>42249</v>
      </c>
      <c r="AW611" t="s">
        <v>54</v>
      </c>
      <c r="AX611" t="str">
        <f t="shared" si="49"/>
        <v>FOR</v>
      </c>
      <c r="AY611" t="s">
        <v>55</v>
      </c>
    </row>
    <row r="612" spans="1:51" hidden="1">
      <c r="A612">
        <v>100202</v>
      </c>
      <c r="B612" t="s">
        <v>100</v>
      </c>
      <c r="C612" t="str">
        <f t="shared" si="52"/>
        <v>07022780634</v>
      </c>
      <c r="D612" t="str">
        <f t="shared" si="52"/>
        <v>07022780634</v>
      </c>
      <c r="E612" t="s">
        <v>52</v>
      </c>
      <c r="F612">
        <v>2014</v>
      </c>
      <c r="G612">
        <v>121</v>
      </c>
      <c r="H612" s="1">
        <v>41898</v>
      </c>
      <c r="I612" s="1">
        <v>41936</v>
      </c>
      <c r="J612" s="1">
        <v>41936</v>
      </c>
      <c r="K612" s="1">
        <v>41996</v>
      </c>
      <c r="N612" s="5"/>
      <c r="O612" s="2">
        <v>4575</v>
      </c>
      <c r="P612">
        <v>253</v>
      </c>
      <c r="Q612" s="2">
        <v>1157475</v>
      </c>
      <c r="R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 s="1">
        <v>42382</v>
      </c>
      <c r="AC612" t="s">
        <v>53</v>
      </c>
      <c r="AD612" t="s">
        <v>53</v>
      </c>
      <c r="AK612">
        <v>0</v>
      </c>
      <c r="AU612" s="6">
        <v>42249</v>
      </c>
      <c r="AV612" s="6">
        <v>42249</v>
      </c>
      <c r="AW612" t="s">
        <v>54</v>
      </c>
      <c r="AX612" t="str">
        <f t="shared" si="49"/>
        <v>FOR</v>
      </c>
      <c r="AY612" t="s">
        <v>55</v>
      </c>
    </row>
    <row r="613" spans="1:51">
      <c r="A613">
        <v>100202</v>
      </c>
      <c r="B613" t="s">
        <v>100</v>
      </c>
      <c r="C613" t="str">
        <f t="shared" si="52"/>
        <v>07022780634</v>
      </c>
      <c r="D613" t="str">
        <f t="shared" si="52"/>
        <v>07022780634</v>
      </c>
      <c r="E613" t="s">
        <v>52</v>
      </c>
      <c r="F613">
        <v>2014</v>
      </c>
      <c r="G613">
        <v>158</v>
      </c>
      <c r="H613" s="1">
        <v>41961</v>
      </c>
      <c r="I613" s="1">
        <v>41971</v>
      </c>
      <c r="J613" s="1">
        <v>41971</v>
      </c>
      <c r="K613" s="1">
        <v>42030</v>
      </c>
      <c r="L613" s="7">
        <v>1708</v>
      </c>
      <c r="M613" s="5">
        <v>269</v>
      </c>
      <c r="N613" s="7">
        <v>459452</v>
      </c>
      <c r="O613" s="2">
        <v>1708</v>
      </c>
      <c r="P613">
        <v>269</v>
      </c>
      <c r="Q613" s="2">
        <v>459452</v>
      </c>
      <c r="R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 s="1">
        <v>42382</v>
      </c>
      <c r="AC613" t="s">
        <v>53</v>
      </c>
      <c r="AD613" t="s">
        <v>53</v>
      </c>
      <c r="AK613">
        <v>0</v>
      </c>
      <c r="AU613" s="6">
        <v>42299</v>
      </c>
      <c r="AV613" s="6">
        <v>42299</v>
      </c>
      <c r="AW613" t="s">
        <v>54</v>
      </c>
      <c r="AX613" t="str">
        <f t="shared" si="49"/>
        <v>FOR</v>
      </c>
      <c r="AY613" t="s">
        <v>55</v>
      </c>
    </row>
    <row r="614" spans="1:51">
      <c r="A614">
        <v>100202</v>
      </c>
      <c r="B614" t="s">
        <v>100</v>
      </c>
      <c r="C614" t="str">
        <f t="shared" si="52"/>
        <v>07022780634</v>
      </c>
      <c r="D614" t="str">
        <f t="shared" si="52"/>
        <v>07022780634</v>
      </c>
      <c r="E614" t="s">
        <v>52</v>
      </c>
      <c r="F614">
        <v>2014</v>
      </c>
      <c r="G614">
        <v>163</v>
      </c>
      <c r="H614" s="1">
        <v>41974</v>
      </c>
      <c r="I614" s="1">
        <v>42002</v>
      </c>
      <c r="J614" s="1">
        <v>42002</v>
      </c>
      <c r="K614" s="1">
        <v>42062</v>
      </c>
      <c r="L614" s="7">
        <v>585.6</v>
      </c>
      <c r="M614" s="5">
        <v>237</v>
      </c>
      <c r="N614" s="7">
        <v>138787.20000000001</v>
      </c>
      <c r="O614">
        <v>585.6</v>
      </c>
      <c r="P614">
        <v>237</v>
      </c>
      <c r="Q614" s="2">
        <v>138787.20000000001</v>
      </c>
      <c r="R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 s="1">
        <v>42382</v>
      </c>
      <c r="AC614" t="s">
        <v>53</v>
      </c>
      <c r="AD614" t="s">
        <v>53</v>
      </c>
      <c r="AK614">
        <v>0</v>
      </c>
      <c r="AU614" s="6">
        <v>42299</v>
      </c>
      <c r="AV614" s="6">
        <v>42299</v>
      </c>
      <c r="AW614" t="s">
        <v>54</v>
      </c>
      <c r="AX614" t="str">
        <f t="shared" si="49"/>
        <v>FOR</v>
      </c>
      <c r="AY614" t="s">
        <v>55</v>
      </c>
    </row>
    <row r="615" spans="1:51">
      <c r="A615">
        <v>100202</v>
      </c>
      <c r="B615" t="s">
        <v>100</v>
      </c>
      <c r="C615" t="str">
        <f t="shared" si="52"/>
        <v>07022780634</v>
      </c>
      <c r="D615" t="str">
        <f t="shared" si="52"/>
        <v>07022780634</v>
      </c>
      <c r="E615" t="s">
        <v>52</v>
      </c>
      <c r="F615">
        <v>2015</v>
      </c>
      <c r="G615">
        <v>4</v>
      </c>
      <c r="H615" s="1">
        <v>42032</v>
      </c>
      <c r="I615" s="1">
        <v>42072</v>
      </c>
      <c r="J615" s="1">
        <v>42072</v>
      </c>
      <c r="K615" s="1">
        <v>42132</v>
      </c>
      <c r="L615" s="7">
        <v>800</v>
      </c>
      <c r="M615" s="5">
        <v>223</v>
      </c>
      <c r="N615" s="7">
        <v>178400</v>
      </c>
      <c r="O615">
        <v>800</v>
      </c>
      <c r="P615">
        <v>223</v>
      </c>
      <c r="Q615" s="2">
        <v>178400</v>
      </c>
      <c r="R615">
        <v>176</v>
      </c>
      <c r="V615">
        <v>0</v>
      </c>
      <c r="W615">
        <v>0</v>
      </c>
      <c r="X615">
        <v>0</v>
      </c>
      <c r="Y615">
        <v>976</v>
      </c>
      <c r="Z615">
        <v>976</v>
      </c>
      <c r="AA615">
        <v>976</v>
      </c>
      <c r="AB615" s="1">
        <v>42382</v>
      </c>
      <c r="AC615" t="s">
        <v>53</v>
      </c>
      <c r="AD615" t="s">
        <v>53</v>
      </c>
      <c r="AK615">
        <v>176</v>
      </c>
      <c r="AU615" s="6">
        <v>42355</v>
      </c>
      <c r="AV615" s="6">
        <v>42355</v>
      </c>
      <c r="AW615" t="s">
        <v>54</v>
      </c>
      <c r="AX615" t="str">
        <f t="shared" si="49"/>
        <v>FOR</v>
      </c>
      <c r="AY615" t="s">
        <v>55</v>
      </c>
    </row>
    <row r="616" spans="1:51" hidden="1">
      <c r="A616">
        <v>100204</v>
      </c>
      <c r="B616" t="s">
        <v>101</v>
      </c>
      <c r="C616" t="str">
        <f>"03281501217"</f>
        <v>03281501217</v>
      </c>
      <c r="D616" t="str">
        <f>"03281501217"</f>
        <v>03281501217</v>
      </c>
      <c r="E616" t="s">
        <v>52</v>
      </c>
      <c r="F616">
        <v>2013</v>
      </c>
      <c r="G616">
        <v>1111</v>
      </c>
      <c r="H616" s="1">
        <v>41608</v>
      </c>
      <c r="I616" s="1">
        <v>41618</v>
      </c>
      <c r="J616" s="1">
        <v>41618</v>
      </c>
      <c r="K616" s="1">
        <v>41708</v>
      </c>
      <c r="N616" s="5"/>
      <c r="O616" s="2">
        <v>1683.6</v>
      </c>
      <c r="P616">
        <v>451</v>
      </c>
      <c r="Q616" s="2">
        <v>759303.6</v>
      </c>
      <c r="R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 s="1">
        <v>42382</v>
      </c>
      <c r="AC616" t="s">
        <v>53</v>
      </c>
      <c r="AD616" t="s">
        <v>53</v>
      </c>
      <c r="AK616">
        <v>0</v>
      </c>
      <c r="AU616" s="6">
        <v>42159</v>
      </c>
      <c r="AV616" s="6">
        <v>42159</v>
      </c>
      <c r="AW616" t="s">
        <v>54</v>
      </c>
      <c r="AX616" t="str">
        <f t="shared" si="49"/>
        <v>FOR</v>
      </c>
      <c r="AY616" t="s">
        <v>55</v>
      </c>
    </row>
    <row r="617" spans="1:51" hidden="1">
      <c r="A617">
        <v>100209</v>
      </c>
      <c r="B617" t="s">
        <v>102</v>
      </c>
      <c r="C617" t="str">
        <f>"01498810280"</f>
        <v>01498810280</v>
      </c>
      <c r="D617" t="str">
        <f>"01498810280"</f>
        <v>01498810280</v>
      </c>
      <c r="E617" t="s">
        <v>52</v>
      </c>
      <c r="F617">
        <v>2014</v>
      </c>
      <c r="G617">
        <v>159</v>
      </c>
      <c r="H617" s="1">
        <v>41698</v>
      </c>
      <c r="I617" s="1">
        <v>41712</v>
      </c>
      <c r="J617" s="1">
        <v>41712</v>
      </c>
      <c r="K617" s="1">
        <v>41802</v>
      </c>
      <c r="N617" s="5"/>
      <c r="O617" s="2">
        <v>3130.62</v>
      </c>
      <c r="P617">
        <v>357</v>
      </c>
      <c r="Q617" s="2">
        <v>1117631.3400000001</v>
      </c>
      <c r="R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 s="1">
        <v>42382</v>
      </c>
      <c r="AC617" t="s">
        <v>53</v>
      </c>
      <c r="AD617" t="s">
        <v>53</v>
      </c>
      <c r="AK617">
        <v>0</v>
      </c>
      <c r="AU617" s="6">
        <v>42159</v>
      </c>
      <c r="AV617" s="6">
        <v>42159</v>
      </c>
      <c r="AW617" t="s">
        <v>54</v>
      </c>
      <c r="AX617" t="str">
        <f t="shared" si="49"/>
        <v>FOR</v>
      </c>
      <c r="AY617" t="s">
        <v>55</v>
      </c>
    </row>
    <row r="618" spans="1:51" hidden="1">
      <c r="A618">
        <v>100210</v>
      </c>
      <c r="B618" t="s">
        <v>103</v>
      </c>
      <c r="C618" t="str">
        <f t="shared" ref="C618:D637" si="53">"08082461008"</f>
        <v>08082461008</v>
      </c>
      <c r="D618" t="str">
        <f t="shared" si="53"/>
        <v>08082461008</v>
      </c>
      <c r="E618" t="s">
        <v>52</v>
      </c>
      <c r="F618">
        <v>2013</v>
      </c>
      <c r="G618">
        <v>12725106</v>
      </c>
      <c r="H618" s="1">
        <v>41585</v>
      </c>
      <c r="I618" s="1">
        <v>41598</v>
      </c>
      <c r="J618" s="1">
        <v>41598</v>
      </c>
      <c r="K618" s="1">
        <v>41688</v>
      </c>
      <c r="N618" s="5"/>
      <c r="O618" s="2">
        <v>1653.1</v>
      </c>
      <c r="P618">
        <v>353</v>
      </c>
      <c r="Q618" s="2">
        <v>583544.30000000005</v>
      </c>
      <c r="R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 s="1">
        <v>42382</v>
      </c>
      <c r="AC618" t="s">
        <v>53</v>
      </c>
      <c r="AD618" t="s">
        <v>53</v>
      </c>
      <c r="AK618">
        <v>0</v>
      </c>
      <c r="AU618" s="6">
        <v>42041</v>
      </c>
      <c r="AV618" s="6">
        <v>42041</v>
      </c>
      <c r="AW618" t="s">
        <v>54</v>
      </c>
      <c r="AX618" t="str">
        <f t="shared" si="49"/>
        <v>FOR</v>
      </c>
      <c r="AY618" t="s">
        <v>55</v>
      </c>
    </row>
    <row r="619" spans="1:51" hidden="1">
      <c r="A619">
        <v>100210</v>
      </c>
      <c r="B619" t="s">
        <v>103</v>
      </c>
      <c r="C619" t="str">
        <f t="shared" si="53"/>
        <v>08082461008</v>
      </c>
      <c r="D619" t="str">
        <f t="shared" si="53"/>
        <v>08082461008</v>
      </c>
      <c r="E619" t="s">
        <v>52</v>
      </c>
      <c r="F619">
        <v>2013</v>
      </c>
      <c r="G619">
        <v>13158650</v>
      </c>
      <c r="H619" s="1">
        <v>41548</v>
      </c>
      <c r="I619" s="1">
        <v>41556</v>
      </c>
      <c r="J619" s="1">
        <v>41556</v>
      </c>
      <c r="K619" s="1">
        <v>41646</v>
      </c>
      <c r="N619" s="5"/>
      <c r="O619">
        <v>281.67</v>
      </c>
      <c r="P619">
        <v>395</v>
      </c>
      <c r="Q619" s="2">
        <v>111259.65</v>
      </c>
      <c r="R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 s="1">
        <v>42382</v>
      </c>
      <c r="AC619" t="s">
        <v>53</v>
      </c>
      <c r="AD619" t="s">
        <v>53</v>
      </c>
      <c r="AK619">
        <v>0</v>
      </c>
      <c r="AU619" s="6">
        <v>42041</v>
      </c>
      <c r="AV619" s="6">
        <v>42041</v>
      </c>
      <c r="AW619" t="s">
        <v>54</v>
      </c>
      <c r="AX619" t="str">
        <f t="shared" si="49"/>
        <v>FOR</v>
      </c>
      <c r="AY619" t="s">
        <v>55</v>
      </c>
    </row>
    <row r="620" spans="1:51" hidden="1">
      <c r="A620">
        <v>100210</v>
      </c>
      <c r="B620" t="s">
        <v>103</v>
      </c>
      <c r="C620" t="str">
        <f t="shared" si="53"/>
        <v>08082461008</v>
      </c>
      <c r="D620" t="str">
        <f t="shared" si="53"/>
        <v>08082461008</v>
      </c>
      <c r="E620" t="s">
        <v>52</v>
      </c>
      <c r="F620">
        <v>2013</v>
      </c>
      <c r="G620">
        <v>13158651</v>
      </c>
      <c r="H620" s="1">
        <v>41548</v>
      </c>
      <c r="I620" s="1">
        <v>41556</v>
      </c>
      <c r="J620" s="1">
        <v>41556</v>
      </c>
      <c r="K620" s="1">
        <v>41646</v>
      </c>
      <c r="N620" s="5"/>
      <c r="O620">
        <v>866.2</v>
      </c>
      <c r="P620">
        <v>393</v>
      </c>
      <c r="Q620" s="2">
        <v>340416.6</v>
      </c>
      <c r="R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 s="1">
        <v>42382</v>
      </c>
      <c r="AC620" t="s">
        <v>53</v>
      </c>
      <c r="AD620" t="s">
        <v>53</v>
      </c>
      <c r="AK620">
        <v>0</v>
      </c>
      <c r="AU620" s="6">
        <v>42039</v>
      </c>
      <c r="AV620" s="6">
        <v>42039</v>
      </c>
      <c r="AW620" t="s">
        <v>54</v>
      </c>
      <c r="AX620" t="str">
        <f t="shared" si="49"/>
        <v>FOR</v>
      </c>
      <c r="AY620" t="s">
        <v>55</v>
      </c>
    </row>
    <row r="621" spans="1:51" hidden="1">
      <c r="A621">
        <v>100210</v>
      </c>
      <c r="B621" t="s">
        <v>103</v>
      </c>
      <c r="C621" t="str">
        <f t="shared" si="53"/>
        <v>08082461008</v>
      </c>
      <c r="D621" t="str">
        <f t="shared" si="53"/>
        <v>08082461008</v>
      </c>
      <c r="E621" t="s">
        <v>52</v>
      </c>
      <c r="F621">
        <v>2013</v>
      </c>
      <c r="G621">
        <v>13159287</v>
      </c>
      <c r="H621" s="1">
        <v>41549</v>
      </c>
      <c r="I621" s="1">
        <v>41561</v>
      </c>
      <c r="J621" s="1">
        <v>41561</v>
      </c>
      <c r="K621" s="1">
        <v>41651</v>
      </c>
      <c r="N621" s="5"/>
      <c r="O621">
        <v>114.4</v>
      </c>
      <c r="P621">
        <v>388</v>
      </c>
      <c r="Q621" s="2">
        <v>44387.199999999997</v>
      </c>
      <c r="R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 s="1">
        <v>42382</v>
      </c>
      <c r="AC621" t="s">
        <v>53</v>
      </c>
      <c r="AD621" t="s">
        <v>53</v>
      </c>
      <c r="AK621">
        <v>0</v>
      </c>
      <c r="AU621" s="6">
        <v>42039</v>
      </c>
      <c r="AV621" s="6">
        <v>42039</v>
      </c>
      <c r="AW621" t="s">
        <v>54</v>
      </c>
      <c r="AX621" t="str">
        <f t="shared" si="49"/>
        <v>FOR</v>
      </c>
      <c r="AY621" t="s">
        <v>55</v>
      </c>
    </row>
    <row r="622" spans="1:51" hidden="1">
      <c r="A622">
        <v>100210</v>
      </c>
      <c r="B622" t="s">
        <v>103</v>
      </c>
      <c r="C622" t="str">
        <f t="shared" si="53"/>
        <v>08082461008</v>
      </c>
      <c r="D622" t="str">
        <f t="shared" si="53"/>
        <v>08082461008</v>
      </c>
      <c r="E622" t="s">
        <v>52</v>
      </c>
      <c r="F622">
        <v>2013</v>
      </c>
      <c r="G622">
        <v>13159288</v>
      </c>
      <c r="H622" s="1">
        <v>41549</v>
      </c>
      <c r="I622" s="1">
        <v>41561</v>
      </c>
      <c r="J622" s="1">
        <v>41561</v>
      </c>
      <c r="K622" s="1">
        <v>41651</v>
      </c>
      <c r="N622" s="5"/>
      <c r="O622">
        <v>114.4</v>
      </c>
      <c r="P622">
        <v>388</v>
      </c>
      <c r="Q622" s="2">
        <v>44387.199999999997</v>
      </c>
      <c r="R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 s="1">
        <v>42382</v>
      </c>
      <c r="AC622" t="s">
        <v>53</v>
      </c>
      <c r="AD622" t="s">
        <v>53</v>
      </c>
      <c r="AK622">
        <v>0</v>
      </c>
      <c r="AU622" s="6">
        <v>42039</v>
      </c>
      <c r="AV622" s="6">
        <v>42039</v>
      </c>
      <c r="AW622" t="s">
        <v>54</v>
      </c>
      <c r="AX622" t="str">
        <f t="shared" si="49"/>
        <v>FOR</v>
      </c>
      <c r="AY622" t="s">
        <v>55</v>
      </c>
    </row>
    <row r="623" spans="1:51" hidden="1">
      <c r="A623">
        <v>100210</v>
      </c>
      <c r="B623" t="s">
        <v>103</v>
      </c>
      <c r="C623" t="str">
        <f t="shared" si="53"/>
        <v>08082461008</v>
      </c>
      <c r="D623" t="str">
        <f t="shared" si="53"/>
        <v>08082461008</v>
      </c>
      <c r="E623" t="s">
        <v>52</v>
      </c>
      <c r="F623">
        <v>2013</v>
      </c>
      <c r="G623">
        <v>13159289</v>
      </c>
      <c r="H623" s="1">
        <v>41549</v>
      </c>
      <c r="I623" s="1">
        <v>41561</v>
      </c>
      <c r="J623" s="1">
        <v>41561</v>
      </c>
      <c r="K623" s="1">
        <v>41651</v>
      </c>
      <c r="N623" s="5"/>
      <c r="O623">
        <v>451.88</v>
      </c>
      <c r="P623">
        <v>388</v>
      </c>
      <c r="Q623" s="2">
        <v>175329.44</v>
      </c>
      <c r="R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 s="1">
        <v>42382</v>
      </c>
      <c r="AC623" t="s">
        <v>53</v>
      </c>
      <c r="AD623" t="s">
        <v>53</v>
      </c>
      <c r="AK623">
        <v>0</v>
      </c>
      <c r="AU623" s="6">
        <v>42039</v>
      </c>
      <c r="AV623" s="6">
        <v>42039</v>
      </c>
      <c r="AW623" t="s">
        <v>54</v>
      </c>
      <c r="AX623" t="str">
        <f t="shared" si="49"/>
        <v>FOR</v>
      </c>
      <c r="AY623" t="s">
        <v>55</v>
      </c>
    </row>
    <row r="624" spans="1:51" hidden="1">
      <c r="A624">
        <v>100210</v>
      </c>
      <c r="B624" t="s">
        <v>103</v>
      </c>
      <c r="C624" t="str">
        <f t="shared" si="53"/>
        <v>08082461008</v>
      </c>
      <c r="D624" t="str">
        <f t="shared" si="53"/>
        <v>08082461008</v>
      </c>
      <c r="E624" t="s">
        <v>52</v>
      </c>
      <c r="F624">
        <v>2013</v>
      </c>
      <c r="G624">
        <v>13159290</v>
      </c>
      <c r="H624" s="1">
        <v>41549</v>
      </c>
      <c r="I624" s="1">
        <v>41561</v>
      </c>
      <c r="J624" s="1">
        <v>41561</v>
      </c>
      <c r="K624" s="1">
        <v>41651</v>
      </c>
      <c r="N624" s="5"/>
      <c r="O624">
        <v>451.88</v>
      </c>
      <c r="P624">
        <v>388</v>
      </c>
      <c r="Q624" s="2">
        <v>175329.44</v>
      </c>
      <c r="R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 s="1">
        <v>42382</v>
      </c>
      <c r="AC624" t="s">
        <v>53</v>
      </c>
      <c r="AD624" t="s">
        <v>53</v>
      </c>
      <c r="AK624">
        <v>0</v>
      </c>
      <c r="AU624" s="6">
        <v>42039</v>
      </c>
      <c r="AV624" s="6">
        <v>42039</v>
      </c>
      <c r="AW624" t="s">
        <v>54</v>
      </c>
      <c r="AX624" t="str">
        <f t="shared" si="49"/>
        <v>FOR</v>
      </c>
      <c r="AY624" t="s">
        <v>55</v>
      </c>
    </row>
    <row r="625" spans="1:51" hidden="1">
      <c r="A625">
        <v>100210</v>
      </c>
      <c r="B625" t="s">
        <v>103</v>
      </c>
      <c r="C625" t="str">
        <f t="shared" si="53"/>
        <v>08082461008</v>
      </c>
      <c r="D625" t="str">
        <f t="shared" si="53"/>
        <v>08082461008</v>
      </c>
      <c r="E625" t="s">
        <v>52</v>
      </c>
      <c r="F625">
        <v>2013</v>
      </c>
      <c r="G625">
        <v>13159291</v>
      </c>
      <c r="H625" s="1">
        <v>41549</v>
      </c>
      <c r="I625" s="1">
        <v>41561</v>
      </c>
      <c r="J625" s="1">
        <v>41561</v>
      </c>
      <c r="K625" s="1">
        <v>41651</v>
      </c>
      <c r="N625" s="5"/>
      <c r="O625">
        <v>451.88</v>
      </c>
      <c r="P625">
        <v>388</v>
      </c>
      <c r="Q625" s="2">
        <v>175329.44</v>
      </c>
      <c r="R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 s="1">
        <v>42382</v>
      </c>
      <c r="AC625" t="s">
        <v>53</v>
      </c>
      <c r="AD625" t="s">
        <v>53</v>
      </c>
      <c r="AK625">
        <v>0</v>
      </c>
      <c r="AU625" s="6">
        <v>42039</v>
      </c>
      <c r="AV625" s="6">
        <v>42039</v>
      </c>
      <c r="AW625" t="s">
        <v>54</v>
      </c>
      <c r="AX625" t="str">
        <f t="shared" si="49"/>
        <v>FOR</v>
      </c>
      <c r="AY625" t="s">
        <v>55</v>
      </c>
    </row>
    <row r="626" spans="1:51" hidden="1">
      <c r="A626">
        <v>100210</v>
      </c>
      <c r="B626" t="s">
        <v>103</v>
      </c>
      <c r="C626" t="str">
        <f t="shared" si="53"/>
        <v>08082461008</v>
      </c>
      <c r="D626" t="str">
        <f t="shared" si="53"/>
        <v>08082461008</v>
      </c>
      <c r="E626" t="s">
        <v>52</v>
      </c>
      <c r="F626">
        <v>2013</v>
      </c>
      <c r="G626">
        <v>13159292</v>
      </c>
      <c r="H626" s="1">
        <v>41549</v>
      </c>
      <c r="I626" s="1">
        <v>41561</v>
      </c>
      <c r="J626" s="1">
        <v>41561</v>
      </c>
      <c r="K626" s="1">
        <v>41651</v>
      </c>
      <c r="N626" s="5"/>
      <c r="O626">
        <v>451.88</v>
      </c>
      <c r="P626">
        <v>388</v>
      </c>
      <c r="Q626" s="2">
        <v>175329.44</v>
      </c>
      <c r="R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 s="1">
        <v>42382</v>
      </c>
      <c r="AC626" t="s">
        <v>53</v>
      </c>
      <c r="AD626" t="s">
        <v>53</v>
      </c>
      <c r="AK626">
        <v>0</v>
      </c>
      <c r="AU626" s="6">
        <v>42039</v>
      </c>
      <c r="AV626" s="6">
        <v>42039</v>
      </c>
      <c r="AW626" t="s">
        <v>54</v>
      </c>
      <c r="AX626" t="str">
        <f t="shared" si="49"/>
        <v>FOR</v>
      </c>
      <c r="AY626" t="s">
        <v>55</v>
      </c>
    </row>
    <row r="627" spans="1:51" hidden="1">
      <c r="A627">
        <v>100210</v>
      </c>
      <c r="B627" t="s">
        <v>103</v>
      </c>
      <c r="C627" t="str">
        <f t="shared" si="53"/>
        <v>08082461008</v>
      </c>
      <c r="D627" t="str">
        <f t="shared" si="53"/>
        <v>08082461008</v>
      </c>
      <c r="E627" t="s">
        <v>52</v>
      </c>
      <c r="F627">
        <v>2013</v>
      </c>
      <c r="G627">
        <v>13159293</v>
      </c>
      <c r="H627" s="1">
        <v>41549</v>
      </c>
      <c r="I627" s="1">
        <v>41561</v>
      </c>
      <c r="J627" s="1">
        <v>41561</v>
      </c>
      <c r="K627" s="1">
        <v>41651</v>
      </c>
      <c r="N627" s="5"/>
      <c r="O627">
        <v>45.76</v>
      </c>
      <c r="P627">
        <v>388</v>
      </c>
      <c r="Q627" s="2">
        <v>17754.88</v>
      </c>
      <c r="R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 s="1">
        <v>42382</v>
      </c>
      <c r="AC627" t="s">
        <v>53</v>
      </c>
      <c r="AD627" t="s">
        <v>53</v>
      </c>
      <c r="AK627">
        <v>0</v>
      </c>
      <c r="AU627" s="6">
        <v>42039</v>
      </c>
      <c r="AV627" s="6">
        <v>42039</v>
      </c>
      <c r="AW627" t="s">
        <v>54</v>
      </c>
      <c r="AX627" t="str">
        <f t="shared" si="49"/>
        <v>FOR</v>
      </c>
      <c r="AY627" t="s">
        <v>55</v>
      </c>
    </row>
    <row r="628" spans="1:51" hidden="1">
      <c r="A628">
        <v>100210</v>
      </c>
      <c r="B628" t="s">
        <v>103</v>
      </c>
      <c r="C628" t="str">
        <f t="shared" si="53"/>
        <v>08082461008</v>
      </c>
      <c r="D628" t="str">
        <f t="shared" si="53"/>
        <v>08082461008</v>
      </c>
      <c r="E628" t="s">
        <v>52</v>
      </c>
      <c r="F628">
        <v>2013</v>
      </c>
      <c r="G628">
        <v>13159294</v>
      </c>
      <c r="H628" s="1">
        <v>41549</v>
      </c>
      <c r="I628" s="1">
        <v>41561</v>
      </c>
      <c r="J628" s="1">
        <v>41561</v>
      </c>
      <c r="K628" s="1">
        <v>41651</v>
      </c>
      <c r="N628" s="5"/>
      <c r="O628">
        <v>45.76</v>
      </c>
      <c r="P628">
        <v>388</v>
      </c>
      <c r="Q628" s="2">
        <v>17754.88</v>
      </c>
      <c r="R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 s="1">
        <v>42382</v>
      </c>
      <c r="AC628" t="s">
        <v>53</v>
      </c>
      <c r="AD628" t="s">
        <v>53</v>
      </c>
      <c r="AK628">
        <v>0</v>
      </c>
      <c r="AU628" s="6">
        <v>42039</v>
      </c>
      <c r="AV628" s="6">
        <v>42039</v>
      </c>
      <c r="AW628" t="s">
        <v>54</v>
      </c>
      <c r="AX628" t="str">
        <f t="shared" si="49"/>
        <v>FOR</v>
      </c>
      <c r="AY628" t="s">
        <v>55</v>
      </c>
    </row>
    <row r="629" spans="1:51" hidden="1">
      <c r="A629">
        <v>100210</v>
      </c>
      <c r="B629" t="s">
        <v>103</v>
      </c>
      <c r="C629" t="str">
        <f t="shared" si="53"/>
        <v>08082461008</v>
      </c>
      <c r="D629" t="str">
        <f t="shared" si="53"/>
        <v>08082461008</v>
      </c>
      <c r="E629" t="s">
        <v>52</v>
      </c>
      <c r="F629">
        <v>2013</v>
      </c>
      <c r="G629">
        <v>13159296</v>
      </c>
      <c r="H629" s="1">
        <v>41549</v>
      </c>
      <c r="I629" s="1">
        <v>41561</v>
      </c>
      <c r="J629" s="1">
        <v>41561</v>
      </c>
      <c r="K629" s="1">
        <v>41651</v>
      </c>
      <c r="N629" s="5"/>
      <c r="O629">
        <v>45.76</v>
      </c>
      <c r="P629">
        <v>388</v>
      </c>
      <c r="Q629" s="2">
        <v>17754.88</v>
      </c>
      <c r="R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 s="1">
        <v>42382</v>
      </c>
      <c r="AC629" t="s">
        <v>53</v>
      </c>
      <c r="AD629" t="s">
        <v>53</v>
      </c>
      <c r="AK629">
        <v>0</v>
      </c>
      <c r="AU629" s="6">
        <v>42039</v>
      </c>
      <c r="AV629" s="6">
        <v>42039</v>
      </c>
      <c r="AW629" t="s">
        <v>54</v>
      </c>
      <c r="AX629" t="str">
        <f t="shared" si="49"/>
        <v>FOR</v>
      </c>
      <c r="AY629" t="s">
        <v>55</v>
      </c>
    </row>
    <row r="630" spans="1:51" hidden="1">
      <c r="A630">
        <v>100210</v>
      </c>
      <c r="B630" t="s">
        <v>103</v>
      </c>
      <c r="C630" t="str">
        <f t="shared" si="53"/>
        <v>08082461008</v>
      </c>
      <c r="D630" t="str">
        <f t="shared" si="53"/>
        <v>08082461008</v>
      </c>
      <c r="E630" t="s">
        <v>52</v>
      </c>
      <c r="F630">
        <v>2013</v>
      </c>
      <c r="G630">
        <v>13159297</v>
      </c>
      <c r="H630" s="1">
        <v>41549</v>
      </c>
      <c r="I630" s="1">
        <v>41561</v>
      </c>
      <c r="J630" s="1">
        <v>41561</v>
      </c>
      <c r="K630" s="1">
        <v>41651</v>
      </c>
      <c r="N630" s="5"/>
      <c r="O630">
        <v>45.76</v>
      </c>
      <c r="P630">
        <v>388</v>
      </c>
      <c r="Q630" s="2">
        <v>17754.88</v>
      </c>
      <c r="R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 s="1">
        <v>42382</v>
      </c>
      <c r="AC630" t="s">
        <v>53</v>
      </c>
      <c r="AD630" t="s">
        <v>53</v>
      </c>
      <c r="AK630">
        <v>0</v>
      </c>
      <c r="AU630" s="6">
        <v>42039</v>
      </c>
      <c r="AV630" s="6">
        <v>42039</v>
      </c>
      <c r="AW630" t="s">
        <v>54</v>
      </c>
      <c r="AX630" t="str">
        <f t="shared" si="49"/>
        <v>FOR</v>
      </c>
      <c r="AY630" t="s">
        <v>55</v>
      </c>
    </row>
    <row r="631" spans="1:51" hidden="1">
      <c r="A631">
        <v>100210</v>
      </c>
      <c r="B631" t="s">
        <v>103</v>
      </c>
      <c r="C631" t="str">
        <f t="shared" si="53"/>
        <v>08082461008</v>
      </c>
      <c r="D631" t="str">
        <f t="shared" si="53"/>
        <v>08082461008</v>
      </c>
      <c r="E631" t="s">
        <v>52</v>
      </c>
      <c r="F631">
        <v>2013</v>
      </c>
      <c r="G631">
        <v>13162753</v>
      </c>
      <c r="H631" s="1">
        <v>41555</v>
      </c>
      <c r="I631" s="1">
        <v>41563</v>
      </c>
      <c r="J631" s="1">
        <v>41563</v>
      </c>
      <c r="K631" s="1">
        <v>41653</v>
      </c>
      <c r="N631" s="5"/>
      <c r="O631" s="2">
        <v>1352.74</v>
      </c>
      <c r="P631">
        <v>388</v>
      </c>
      <c r="Q631" s="2">
        <v>524863.12</v>
      </c>
      <c r="R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 s="1">
        <v>42382</v>
      </c>
      <c r="AC631" t="s">
        <v>53</v>
      </c>
      <c r="AD631" t="s">
        <v>53</v>
      </c>
      <c r="AK631">
        <v>0</v>
      </c>
      <c r="AU631" s="6">
        <v>42041</v>
      </c>
      <c r="AV631" s="6">
        <v>42041</v>
      </c>
      <c r="AW631" t="s">
        <v>54</v>
      </c>
      <c r="AX631" t="str">
        <f t="shared" si="49"/>
        <v>FOR</v>
      </c>
      <c r="AY631" t="s">
        <v>55</v>
      </c>
    </row>
    <row r="632" spans="1:51" hidden="1">
      <c r="A632">
        <v>100210</v>
      </c>
      <c r="B632" t="s">
        <v>103</v>
      </c>
      <c r="C632" t="str">
        <f t="shared" si="53"/>
        <v>08082461008</v>
      </c>
      <c r="D632" t="str">
        <f t="shared" si="53"/>
        <v>08082461008</v>
      </c>
      <c r="E632" t="s">
        <v>52</v>
      </c>
      <c r="F632">
        <v>2013</v>
      </c>
      <c r="G632">
        <v>13162868</v>
      </c>
      <c r="H632" s="1">
        <v>41555</v>
      </c>
      <c r="I632" s="1">
        <v>41563</v>
      </c>
      <c r="J632" s="1">
        <v>41563</v>
      </c>
      <c r="K632" s="1">
        <v>41653</v>
      </c>
      <c r="N632" s="5"/>
      <c r="O632" s="2">
        <v>1352.74</v>
      </c>
      <c r="P632">
        <v>388</v>
      </c>
      <c r="Q632" s="2">
        <v>524863.12</v>
      </c>
      <c r="R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 s="1">
        <v>42382</v>
      </c>
      <c r="AC632" t="s">
        <v>53</v>
      </c>
      <c r="AD632" t="s">
        <v>53</v>
      </c>
      <c r="AK632">
        <v>0</v>
      </c>
      <c r="AU632" s="6">
        <v>42041</v>
      </c>
      <c r="AV632" s="6">
        <v>42041</v>
      </c>
      <c r="AW632" t="s">
        <v>54</v>
      </c>
      <c r="AX632" t="str">
        <f t="shared" si="49"/>
        <v>FOR</v>
      </c>
      <c r="AY632" t="s">
        <v>55</v>
      </c>
    </row>
    <row r="633" spans="1:51" hidden="1">
      <c r="A633">
        <v>100210</v>
      </c>
      <c r="B633" t="s">
        <v>103</v>
      </c>
      <c r="C633" t="str">
        <f t="shared" si="53"/>
        <v>08082461008</v>
      </c>
      <c r="D633" t="str">
        <f t="shared" si="53"/>
        <v>08082461008</v>
      </c>
      <c r="E633" t="s">
        <v>52</v>
      </c>
      <c r="F633">
        <v>2013</v>
      </c>
      <c r="G633">
        <v>13163610</v>
      </c>
      <c r="H633" s="1">
        <v>41556</v>
      </c>
      <c r="I633" s="1">
        <v>41570</v>
      </c>
      <c r="J633" s="1">
        <v>41570</v>
      </c>
      <c r="K633" s="1">
        <v>41660</v>
      </c>
      <c r="N633" s="5"/>
      <c r="O633" s="2">
        <v>2657.29</v>
      </c>
      <c r="P633">
        <v>381</v>
      </c>
      <c r="Q633" s="2">
        <v>1012427.49</v>
      </c>
      <c r="R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 s="1">
        <v>42382</v>
      </c>
      <c r="AC633" t="s">
        <v>53</v>
      </c>
      <c r="AD633" t="s">
        <v>53</v>
      </c>
      <c r="AK633">
        <v>0</v>
      </c>
      <c r="AU633" s="6">
        <v>42041</v>
      </c>
      <c r="AV633" s="6">
        <v>42041</v>
      </c>
      <c r="AW633" t="s">
        <v>54</v>
      </c>
      <c r="AX633" t="str">
        <f t="shared" si="49"/>
        <v>FOR</v>
      </c>
      <c r="AY633" t="s">
        <v>55</v>
      </c>
    </row>
    <row r="634" spans="1:51" hidden="1">
      <c r="A634">
        <v>100210</v>
      </c>
      <c r="B634" t="s">
        <v>103</v>
      </c>
      <c r="C634" t="str">
        <f t="shared" si="53"/>
        <v>08082461008</v>
      </c>
      <c r="D634" t="str">
        <f t="shared" si="53"/>
        <v>08082461008</v>
      </c>
      <c r="E634" t="s">
        <v>52</v>
      </c>
      <c r="F634">
        <v>2013</v>
      </c>
      <c r="G634">
        <v>13165371</v>
      </c>
      <c r="H634" s="1">
        <v>41561</v>
      </c>
      <c r="I634" s="1">
        <v>41570</v>
      </c>
      <c r="J634" s="1">
        <v>41570</v>
      </c>
      <c r="K634" s="1">
        <v>41660</v>
      </c>
      <c r="N634" s="5"/>
      <c r="O634">
        <v>114.4</v>
      </c>
      <c r="P634">
        <v>381</v>
      </c>
      <c r="Q634" s="2">
        <v>43586.400000000001</v>
      </c>
      <c r="R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 s="1">
        <v>42382</v>
      </c>
      <c r="AC634" t="s">
        <v>53</v>
      </c>
      <c r="AD634" t="s">
        <v>53</v>
      </c>
      <c r="AK634">
        <v>0</v>
      </c>
      <c r="AU634" s="6">
        <v>42041</v>
      </c>
      <c r="AV634" s="6">
        <v>42041</v>
      </c>
      <c r="AW634" t="s">
        <v>54</v>
      </c>
      <c r="AX634" t="str">
        <f t="shared" si="49"/>
        <v>FOR</v>
      </c>
      <c r="AY634" t="s">
        <v>55</v>
      </c>
    </row>
    <row r="635" spans="1:51" hidden="1">
      <c r="A635">
        <v>100210</v>
      </c>
      <c r="B635" t="s">
        <v>103</v>
      </c>
      <c r="C635" t="str">
        <f t="shared" si="53"/>
        <v>08082461008</v>
      </c>
      <c r="D635" t="str">
        <f t="shared" si="53"/>
        <v>08082461008</v>
      </c>
      <c r="E635" t="s">
        <v>52</v>
      </c>
      <c r="F635">
        <v>2013</v>
      </c>
      <c r="G635">
        <v>13165910</v>
      </c>
      <c r="H635" s="1">
        <v>41561</v>
      </c>
      <c r="I635" s="1">
        <v>41570</v>
      </c>
      <c r="J635" s="1">
        <v>41570</v>
      </c>
      <c r="K635" s="1">
        <v>41660</v>
      </c>
      <c r="N635" s="5"/>
      <c r="O635" s="2">
        <v>4226.8500000000004</v>
      </c>
      <c r="P635">
        <v>381</v>
      </c>
      <c r="Q635" s="2">
        <v>1610429.85</v>
      </c>
      <c r="R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 s="1">
        <v>42382</v>
      </c>
      <c r="AC635" t="s">
        <v>53</v>
      </c>
      <c r="AD635" t="s">
        <v>53</v>
      </c>
      <c r="AK635">
        <v>0</v>
      </c>
      <c r="AU635" s="6">
        <v>42041</v>
      </c>
      <c r="AV635" s="6">
        <v>42041</v>
      </c>
      <c r="AW635" t="s">
        <v>54</v>
      </c>
      <c r="AX635" t="str">
        <f t="shared" si="49"/>
        <v>FOR</v>
      </c>
      <c r="AY635" t="s">
        <v>55</v>
      </c>
    </row>
    <row r="636" spans="1:51" hidden="1">
      <c r="A636">
        <v>100210</v>
      </c>
      <c r="B636" t="s">
        <v>103</v>
      </c>
      <c r="C636" t="str">
        <f t="shared" si="53"/>
        <v>08082461008</v>
      </c>
      <c r="D636" t="str">
        <f t="shared" si="53"/>
        <v>08082461008</v>
      </c>
      <c r="E636" t="s">
        <v>52</v>
      </c>
      <c r="F636">
        <v>2013</v>
      </c>
      <c r="G636">
        <v>13165963</v>
      </c>
      <c r="H636" s="1">
        <v>41562</v>
      </c>
      <c r="I636" s="1">
        <v>41575</v>
      </c>
      <c r="J636" s="1">
        <v>41575</v>
      </c>
      <c r="K636" s="1">
        <v>41665</v>
      </c>
      <c r="N636" s="5"/>
      <c r="O636">
        <v>451.88</v>
      </c>
      <c r="P636">
        <v>376</v>
      </c>
      <c r="Q636" s="2">
        <v>169906.88</v>
      </c>
      <c r="R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 s="1">
        <v>42382</v>
      </c>
      <c r="AC636" t="s">
        <v>53</v>
      </c>
      <c r="AD636" t="s">
        <v>53</v>
      </c>
      <c r="AK636">
        <v>0</v>
      </c>
      <c r="AU636" s="6">
        <v>42041</v>
      </c>
      <c r="AV636" s="6">
        <v>42041</v>
      </c>
      <c r="AW636" t="s">
        <v>54</v>
      </c>
      <c r="AX636" t="str">
        <f t="shared" si="49"/>
        <v>FOR</v>
      </c>
      <c r="AY636" t="s">
        <v>55</v>
      </c>
    </row>
    <row r="637" spans="1:51" hidden="1">
      <c r="A637">
        <v>100210</v>
      </c>
      <c r="B637" t="s">
        <v>103</v>
      </c>
      <c r="C637" t="str">
        <f t="shared" si="53"/>
        <v>08082461008</v>
      </c>
      <c r="D637" t="str">
        <f t="shared" si="53"/>
        <v>08082461008</v>
      </c>
      <c r="E637" t="s">
        <v>52</v>
      </c>
      <c r="F637">
        <v>2013</v>
      </c>
      <c r="G637">
        <v>13165964</v>
      </c>
      <c r="H637" s="1">
        <v>41562</v>
      </c>
      <c r="I637" s="1">
        <v>41575</v>
      </c>
      <c r="J637" s="1">
        <v>41575</v>
      </c>
      <c r="K637" s="1">
        <v>41665</v>
      </c>
      <c r="N637" s="5"/>
      <c r="O637">
        <v>451.88</v>
      </c>
      <c r="P637">
        <v>376</v>
      </c>
      <c r="Q637" s="2">
        <v>169906.88</v>
      </c>
      <c r="R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 s="1">
        <v>42382</v>
      </c>
      <c r="AC637" t="s">
        <v>53</v>
      </c>
      <c r="AD637" t="s">
        <v>53</v>
      </c>
      <c r="AK637">
        <v>0</v>
      </c>
      <c r="AU637" s="6">
        <v>42041</v>
      </c>
      <c r="AV637" s="6">
        <v>42041</v>
      </c>
      <c r="AW637" t="s">
        <v>54</v>
      </c>
      <c r="AX637" t="str">
        <f t="shared" si="49"/>
        <v>FOR</v>
      </c>
      <c r="AY637" t="s">
        <v>55</v>
      </c>
    </row>
    <row r="638" spans="1:51" hidden="1">
      <c r="A638">
        <v>100210</v>
      </c>
      <c r="B638" t="s">
        <v>103</v>
      </c>
      <c r="C638" t="str">
        <f t="shared" ref="C638:D657" si="54">"08082461008"</f>
        <v>08082461008</v>
      </c>
      <c r="D638" t="str">
        <f t="shared" si="54"/>
        <v>08082461008</v>
      </c>
      <c r="E638" t="s">
        <v>52</v>
      </c>
      <c r="F638">
        <v>2013</v>
      </c>
      <c r="G638">
        <v>13165965</v>
      </c>
      <c r="H638" s="1">
        <v>41562</v>
      </c>
      <c r="I638" s="1">
        <v>41575</v>
      </c>
      <c r="J638" s="1">
        <v>41575</v>
      </c>
      <c r="K638" s="1">
        <v>41665</v>
      </c>
      <c r="N638" s="5"/>
      <c r="O638">
        <v>451.88</v>
      </c>
      <c r="P638">
        <v>376</v>
      </c>
      <c r="Q638" s="2">
        <v>169906.88</v>
      </c>
      <c r="R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 s="1">
        <v>42382</v>
      </c>
      <c r="AC638" t="s">
        <v>53</v>
      </c>
      <c r="AD638" t="s">
        <v>53</v>
      </c>
      <c r="AK638">
        <v>0</v>
      </c>
      <c r="AU638" s="6">
        <v>42041</v>
      </c>
      <c r="AV638" s="6">
        <v>42041</v>
      </c>
      <c r="AW638" t="s">
        <v>54</v>
      </c>
      <c r="AX638" t="str">
        <f t="shared" si="49"/>
        <v>FOR</v>
      </c>
      <c r="AY638" t="s">
        <v>55</v>
      </c>
    </row>
    <row r="639" spans="1:51" hidden="1">
      <c r="A639">
        <v>100210</v>
      </c>
      <c r="B639" t="s">
        <v>103</v>
      </c>
      <c r="C639" t="str">
        <f t="shared" si="54"/>
        <v>08082461008</v>
      </c>
      <c r="D639" t="str">
        <f t="shared" si="54"/>
        <v>08082461008</v>
      </c>
      <c r="E639" t="s">
        <v>52</v>
      </c>
      <c r="F639">
        <v>2013</v>
      </c>
      <c r="G639">
        <v>13165966</v>
      </c>
      <c r="H639" s="1">
        <v>41562</v>
      </c>
      <c r="I639" s="1">
        <v>41575</v>
      </c>
      <c r="J639" s="1">
        <v>41575</v>
      </c>
      <c r="K639" s="1">
        <v>41665</v>
      </c>
      <c r="N639" s="5"/>
      <c r="O639">
        <v>451.88</v>
      </c>
      <c r="P639">
        <v>376</v>
      </c>
      <c r="Q639" s="2">
        <v>169906.88</v>
      </c>
      <c r="R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 s="1">
        <v>42382</v>
      </c>
      <c r="AC639" t="s">
        <v>53</v>
      </c>
      <c r="AD639" t="s">
        <v>53</v>
      </c>
      <c r="AK639">
        <v>0</v>
      </c>
      <c r="AU639" s="6">
        <v>42041</v>
      </c>
      <c r="AV639" s="6">
        <v>42041</v>
      </c>
      <c r="AW639" t="s">
        <v>54</v>
      </c>
      <c r="AX639" t="str">
        <f t="shared" si="49"/>
        <v>FOR</v>
      </c>
      <c r="AY639" t="s">
        <v>55</v>
      </c>
    </row>
    <row r="640" spans="1:51" hidden="1">
      <c r="A640">
        <v>100210</v>
      </c>
      <c r="B640" t="s">
        <v>103</v>
      </c>
      <c r="C640" t="str">
        <f t="shared" si="54"/>
        <v>08082461008</v>
      </c>
      <c r="D640" t="str">
        <f t="shared" si="54"/>
        <v>08082461008</v>
      </c>
      <c r="E640" t="s">
        <v>52</v>
      </c>
      <c r="F640">
        <v>2013</v>
      </c>
      <c r="G640">
        <v>13165967</v>
      </c>
      <c r="H640" s="1">
        <v>41562</v>
      </c>
      <c r="I640" s="1">
        <v>41575</v>
      </c>
      <c r="J640" s="1">
        <v>41575</v>
      </c>
      <c r="K640" s="1">
        <v>41665</v>
      </c>
      <c r="N640" s="5"/>
      <c r="O640">
        <v>451.88</v>
      </c>
      <c r="P640">
        <v>376</v>
      </c>
      <c r="Q640" s="2">
        <v>169906.88</v>
      </c>
      <c r="R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 s="1">
        <v>42382</v>
      </c>
      <c r="AC640" t="s">
        <v>53</v>
      </c>
      <c r="AD640" t="s">
        <v>53</v>
      </c>
      <c r="AK640">
        <v>0</v>
      </c>
      <c r="AU640" s="6">
        <v>42041</v>
      </c>
      <c r="AV640" s="6">
        <v>42041</v>
      </c>
      <c r="AW640" t="s">
        <v>54</v>
      </c>
      <c r="AX640" t="str">
        <f t="shared" si="49"/>
        <v>FOR</v>
      </c>
      <c r="AY640" t="s">
        <v>55</v>
      </c>
    </row>
    <row r="641" spans="1:51" hidden="1">
      <c r="A641">
        <v>100210</v>
      </c>
      <c r="B641" t="s">
        <v>103</v>
      </c>
      <c r="C641" t="str">
        <f t="shared" si="54"/>
        <v>08082461008</v>
      </c>
      <c r="D641" t="str">
        <f t="shared" si="54"/>
        <v>08082461008</v>
      </c>
      <c r="E641" t="s">
        <v>52</v>
      </c>
      <c r="F641">
        <v>2013</v>
      </c>
      <c r="G641">
        <v>13165968</v>
      </c>
      <c r="H641" s="1">
        <v>41562</v>
      </c>
      <c r="I641" s="1">
        <v>41575</v>
      </c>
      <c r="J641" s="1">
        <v>41575</v>
      </c>
      <c r="K641" s="1">
        <v>41665</v>
      </c>
      <c r="N641" s="5"/>
      <c r="O641">
        <v>306.02</v>
      </c>
      <c r="P641">
        <v>376</v>
      </c>
      <c r="Q641" s="2">
        <v>115063.52</v>
      </c>
      <c r="R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 s="1">
        <v>42382</v>
      </c>
      <c r="AC641" t="s">
        <v>53</v>
      </c>
      <c r="AD641" t="s">
        <v>53</v>
      </c>
      <c r="AK641">
        <v>0</v>
      </c>
      <c r="AU641" s="6">
        <v>42041</v>
      </c>
      <c r="AV641" s="6">
        <v>42041</v>
      </c>
      <c r="AW641" t="s">
        <v>54</v>
      </c>
      <c r="AX641" t="str">
        <f t="shared" si="49"/>
        <v>FOR</v>
      </c>
      <c r="AY641" t="s">
        <v>55</v>
      </c>
    </row>
    <row r="642" spans="1:51" hidden="1">
      <c r="A642">
        <v>100210</v>
      </c>
      <c r="B642" t="s">
        <v>103</v>
      </c>
      <c r="C642" t="str">
        <f t="shared" si="54"/>
        <v>08082461008</v>
      </c>
      <c r="D642" t="str">
        <f t="shared" si="54"/>
        <v>08082461008</v>
      </c>
      <c r="E642" t="s">
        <v>52</v>
      </c>
      <c r="F642">
        <v>2013</v>
      </c>
      <c r="G642">
        <v>13165969</v>
      </c>
      <c r="H642" s="1">
        <v>41562</v>
      </c>
      <c r="I642" s="1">
        <v>41575</v>
      </c>
      <c r="J642" s="1">
        <v>41575</v>
      </c>
      <c r="K642" s="1">
        <v>41665</v>
      </c>
      <c r="N642" s="5"/>
      <c r="O642">
        <v>45.76</v>
      </c>
      <c r="P642">
        <v>376</v>
      </c>
      <c r="Q642" s="2">
        <v>17205.759999999998</v>
      </c>
      <c r="R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 s="1">
        <v>42382</v>
      </c>
      <c r="AC642" t="s">
        <v>53</v>
      </c>
      <c r="AD642" t="s">
        <v>53</v>
      </c>
      <c r="AK642">
        <v>0</v>
      </c>
      <c r="AU642" s="6">
        <v>42041</v>
      </c>
      <c r="AV642" s="6">
        <v>42041</v>
      </c>
      <c r="AW642" t="s">
        <v>54</v>
      </c>
      <c r="AX642" t="str">
        <f t="shared" si="49"/>
        <v>FOR</v>
      </c>
      <c r="AY642" t="s">
        <v>55</v>
      </c>
    </row>
    <row r="643" spans="1:51" hidden="1">
      <c r="A643">
        <v>100210</v>
      </c>
      <c r="B643" t="s">
        <v>103</v>
      </c>
      <c r="C643" t="str">
        <f t="shared" si="54"/>
        <v>08082461008</v>
      </c>
      <c r="D643" t="str">
        <f t="shared" si="54"/>
        <v>08082461008</v>
      </c>
      <c r="E643" t="s">
        <v>52</v>
      </c>
      <c r="F643">
        <v>2013</v>
      </c>
      <c r="G643">
        <v>13165970</v>
      </c>
      <c r="H643" s="1">
        <v>41562</v>
      </c>
      <c r="I643" s="1">
        <v>41575</v>
      </c>
      <c r="J643" s="1">
        <v>41575</v>
      </c>
      <c r="K643" s="1">
        <v>41665</v>
      </c>
      <c r="N643" s="5"/>
      <c r="O643">
        <v>45.76</v>
      </c>
      <c r="P643">
        <v>376</v>
      </c>
      <c r="Q643" s="2">
        <v>17205.759999999998</v>
      </c>
      <c r="R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 s="1">
        <v>42382</v>
      </c>
      <c r="AC643" t="s">
        <v>53</v>
      </c>
      <c r="AD643" t="s">
        <v>53</v>
      </c>
      <c r="AK643">
        <v>0</v>
      </c>
      <c r="AU643" s="6">
        <v>42041</v>
      </c>
      <c r="AV643" s="6">
        <v>42041</v>
      </c>
      <c r="AW643" t="s">
        <v>54</v>
      </c>
      <c r="AX643" t="str">
        <f t="shared" ref="AX643:AX706" si="55">"FOR"</f>
        <v>FOR</v>
      </c>
      <c r="AY643" t="s">
        <v>55</v>
      </c>
    </row>
    <row r="644" spans="1:51" hidden="1">
      <c r="A644">
        <v>100210</v>
      </c>
      <c r="B644" t="s">
        <v>103</v>
      </c>
      <c r="C644" t="str">
        <f t="shared" si="54"/>
        <v>08082461008</v>
      </c>
      <c r="D644" t="str">
        <f t="shared" si="54"/>
        <v>08082461008</v>
      </c>
      <c r="E644" t="s">
        <v>52</v>
      </c>
      <c r="F644">
        <v>2013</v>
      </c>
      <c r="G644">
        <v>13165971</v>
      </c>
      <c r="H644" s="1">
        <v>41562</v>
      </c>
      <c r="I644" s="1">
        <v>41575</v>
      </c>
      <c r="J644" s="1">
        <v>41575</v>
      </c>
      <c r="K644" s="1">
        <v>41665</v>
      </c>
      <c r="N644" s="5"/>
      <c r="O644">
        <v>45.76</v>
      </c>
      <c r="P644">
        <v>376</v>
      </c>
      <c r="Q644" s="2">
        <v>17205.759999999998</v>
      </c>
      <c r="R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 s="1">
        <v>42382</v>
      </c>
      <c r="AC644" t="s">
        <v>53</v>
      </c>
      <c r="AD644" t="s">
        <v>53</v>
      </c>
      <c r="AK644">
        <v>0</v>
      </c>
      <c r="AU644" s="6">
        <v>42041</v>
      </c>
      <c r="AV644" s="6">
        <v>42041</v>
      </c>
      <c r="AW644" t="s">
        <v>54</v>
      </c>
      <c r="AX644" t="str">
        <f t="shared" si="55"/>
        <v>FOR</v>
      </c>
      <c r="AY644" t="s">
        <v>55</v>
      </c>
    </row>
    <row r="645" spans="1:51" hidden="1">
      <c r="A645">
        <v>100210</v>
      </c>
      <c r="B645" t="s">
        <v>103</v>
      </c>
      <c r="C645" t="str">
        <f t="shared" si="54"/>
        <v>08082461008</v>
      </c>
      <c r="D645" t="str">
        <f t="shared" si="54"/>
        <v>08082461008</v>
      </c>
      <c r="E645" t="s">
        <v>52</v>
      </c>
      <c r="F645">
        <v>2013</v>
      </c>
      <c r="G645">
        <v>13165972</v>
      </c>
      <c r="H645" s="1">
        <v>41562</v>
      </c>
      <c r="I645" s="1">
        <v>41575</v>
      </c>
      <c r="J645" s="1">
        <v>41575</v>
      </c>
      <c r="K645" s="1">
        <v>41665</v>
      </c>
      <c r="N645" s="5"/>
      <c r="O645">
        <v>45.76</v>
      </c>
      <c r="P645">
        <v>376</v>
      </c>
      <c r="Q645" s="2">
        <v>17205.759999999998</v>
      </c>
      <c r="R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 s="1">
        <v>42382</v>
      </c>
      <c r="AC645" t="s">
        <v>53</v>
      </c>
      <c r="AD645" t="s">
        <v>53</v>
      </c>
      <c r="AK645">
        <v>0</v>
      </c>
      <c r="AU645" s="6">
        <v>42041</v>
      </c>
      <c r="AV645" s="6">
        <v>42041</v>
      </c>
      <c r="AW645" t="s">
        <v>54</v>
      </c>
      <c r="AX645" t="str">
        <f t="shared" si="55"/>
        <v>FOR</v>
      </c>
      <c r="AY645" t="s">
        <v>55</v>
      </c>
    </row>
    <row r="646" spans="1:51" hidden="1">
      <c r="A646">
        <v>100210</v>
      </c>
      <c r="B646" t="s">
        <v>103</v>
      </c>
      <c r="C646" t="str">
        <f t="shared" si="54"/>
        <v>08082461008</v>
      </c>
      <c r="D646" t="str">
        <f t="shared" si="54"/>
        <v>08082461008</v>
      </c>
      <c r="E646" t="s">
        <v>52</v>
      </c>
      <c r="F646">
        <v>2013</v>
      </c>
      <c r="G646">
        <v>13165973</v>
      </c>
      <c r="H646" s="1">
        <v>41562</v>
      </c>
      <c r="I646" s="1">
        <v>41575</v>
      </c>
      <c r="J646" s="1">
        <v>41575</v>
      </c>
      <c r="K646" s="1">
        <v>41665</v>
      </c>
      <c r="N646" s="5"/>
      <c r="O646">
        <v>45.76</v>
      </c>
      <c r="P646">
        <v>376</v>
      </c>
      <c r="Q646" s="2">
        <v>17205.759999999998</v>
      </c>
      <c r="R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 s="1">
        <v>42382</v>
      </c>
      <c r="AC646" t="s">
        <v>53</v>
      </c>
      <c r="AD646" t="s">
        <v>53</v>
      </c>
      <c r="AK646">
        <v>0</v>
      </c>
      <c r="AU646" s="6">
        <v>42041</v>
      </c>
      <c r="AV646" s="6">
        <v>42041</v>
      </c>
      <c r="AW646" t="s">
        <v>54</v>
      </c>
      <c r="AX646" t="str">
        <f t="shared" si="55"/>
        <v>FOR</v>
      </c>
      <c r="AY646" t="s">
        <v>55</v>
      </c>
    </row>
    <row r="647" spans="1:51" hidden="1">
      <c r="A647">
        <v>100210</v>
      </c>
      <c r="B647" t="s">
        <v>103</v>
      </c>
      <c r="C647" t="str">
        <f t="shared" si="54"/>
        <v>08082461008</v>
      </c>
      <c r="D647" t="str">
        <f t="shared" si="54"/>
        <v>08082461008</v>
      </c>
      <c r="E647" t="s">
        <v>52</v>
      </c>
      <c r="F647">
        <v>2013</v>
      </c>
      <c r="G647">
        <v>13165974</v>
      </c>
      <c r="H647" s="1">
        <v>41562</v>
      </c>
      <c r="I647" s="1">
        <v>41575</v>
      </c>
      <c r="J647" s="1">
        <v>41575</v>
      </c>
      <c r="K647" s="1">
        <v>41665</v>
      </c>
      <c r="N647" s="5"/>
      <c r="O647">
        <v>45.76</v>
      </c>
      <c r="P647">
        <v>376</v>
      </c>
      <c r="Q647" s="2">
        <v>17205.759999999998</v>
      </c>
      <c r="R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 s="1">
        <v>42382</v>
      </c>
      <c r="AC647" t="s">
        <v>53</v>
      </c>
      <c r="AD647" t="s">
        <v>53</v>
      </c>
      <c r="AK647">
        <v>0</v>
      </c>
      <c r="AU647" s="6">
        <v>42041</v>
      </c>
      <c r="AV647" s="6">
        <v>42041</v>
      </c>
      <c r="AW647" t="s">
        <v>54</v>
      </c>
      <c r="AX647" t="str">
        <f t="shared" si="55"/>
        <v>FOR</v>
      </c>
      <c r="AY647" t="s">
        <v>55</v>
      </c>
    </row>
    <row r="648" spans="1:51" hidden="1">
      <c r="A648">
        <v>100210</v>
      </c>
      <c r="B648" t="s">
        <v>103</v>
      </c>
      <c r="C648" t="str">
        <f t="shared" si="54"/>
        <v>08082461008</v>
      </c>
      <c r="D648" t="str">
        <f t="shared" si="54"/>
        <v>08082461008</v>
      </c>
      <c r="E648" t="s">
        <v>52</v>
      </c>
      <c r="F648">
        <v>2013</v>
      </c>
      <c r="G648">
        <v>13167482</v>
      </c>
      <c r="H648" s="1">
        <v>41563</v>
      </c>
      <c r="I648" s="1">
        <v>41572</v>
      </c>
      <c r="J648" s="1">
        <v>41572</v>
      </c>
      <c r="K648" s="1">
        <v>41662</v>
      </c>
      <c r="N648" s="5"/>
      <c r="O648" s="2">
        <v>8930.4</v>
      </c>
      <c r="P648">
        <v>379</v>
      </c>
      <c r="Q648" s="2">
        <v>3384621.6</v>
      </c>
      <c r="R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 s="1">
        <v>42382</v>
      </c>
      <c r="AC648" t="s">
        <v>53</v>
      </c>
      <c r="AD648" t="s">
        <v>53</v>
      </c>
      <c r="AK648">
        <v>0</v>
      </c>
      <c r="AU648" s="6">
        <v>42041</v>
      </c>
      <c r="AV648" s="6">
        <v>42041</v>
      </c>
      <c r="AW648" t="s">
        <v>54</v>
      </c>
      <c r="AX648" t="str">
        <f t="shared" si="55"/>
        <v>FOR</v>
      </c>
      <c r="AY648" t="s">
        <v>55</v>
      </c>
    </row>
    <row r="649" spans="1:51" hidden="1">
      <c r="A649">
        <v>100210</v>
      </c>
      <c r="B649" t="s">
        <v>103</v>
      </c>
      <c r="C649" t="str">
        <f t="shared" si="54"/>
        <v>08082461008</v>
      </c>
      <c r="D649" t="str">
        <f t="shared" si="54"/>
        <v>08082461008</v>
      </c>
      <c r="E649" t="s">
        <v>52</v>
      </c>
      <c r="F649">
        <v>2013</v>
      </c>
      <c r="G649">
        <v>13167496</v>
      </c>
      <c r="H649" s="1">
        <v>41563</v>
      </c>
      <c r="I649" s="1">
        <v>41572</v>
      </c>
      <c r="J649" s="1">
        <v>41572</v>
      </c>
      <c r="K649" s="1">
        <v>41662</v>
      </c>
      <c r="N649" s="5"/>
      <c r="O649">
        <v>217.4</v>
      </c>
      <c r="P649">
        <v>379</v>
      </c>
      <c r="Q649" s="2">
        <v>82394.600000000006</v>
      </c>
      <c r="R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 s="1">
        <v>42382</v>
      </c>
      <c r="AC649" t="s">
        <v>53</v>
      </c>
      <c r="AD649" t="s">
        <v>53</v>
      </c>
      <c r="AK649">
        <v>0</v>
      </c>
      <c r="AU649" s="6">
        <v>42041</v>
      </c>
      <c r="AV649" s="6">
        <v>42041</v>
      </c>
      <c r="AW649" t="s">
        <v>54</v>
      </c>
      <c r="AX649" t="str">
        <f t="shared" si="55"/>
        <v>FOR</v>
      </c>
      <c r="AY649" t="s">
        <v>55</v>
      </c>
    </row>
    <row r="650" spans="1:51" hidden="1">
      <c r="A650">
        <v>100210</v>
      </c>
      <c r="B650" t="s">
        <v>103</v>
      </c>
      <c r="C650" t="str">
        <f t="shared" si="54"/>
        <v>08082461008</v>
      </c>
      <c r="D650" t="str">
        <f t="shared" si="54"/>
        <v>08082461008</v>
      </c>
      <c r="E650" t="s">
        <v>52</v>
      </c>
      <c r="F650">
        <v>2013</v>
      </c>
      <c r="G650">
        <v>13170002</v>
      </c>
      <c r="H650" s="1">
        <v>41568</v>
      </c>
      <c r="I650" s="1">
        <v>41578</v>
      </c>
      <c r="J650" s="1">
        <v>41578</v>
      </c>
      <c r="K650" s="1">
        <v>41668</v>
      </c>
      <c r="N650" s="5"/>
      <c r="O650" s="2">
        <v>2560.09</v>
      </c>
      <c r="P650">
        <v>371</v>
      </c>
      <c r="Q650" s="2">
        <v>949793.39</v>
      </c>
      <c r="R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 s="1">
        <v>42382</v>
      </c>
      <c r="AC650" t="s">
        <v>53</v>
      </c>
      <c r="AD650" t="s">
        <v>53</v>
      </c>
      <c r="AK650">
        <v>0</v>
      </c>
      <c r="AU650" s="6">
        <v>42039</v>
      </c>
      <c r="AV650" s="6">
        <v>42039</v>
      </c>
      <c r="AW650" t="s">
        <v>54</v>
      </c>
      <c r="AX650" t="str">
        <f t="shared" si="55"/>
        <v>FOR</v>
      </c>
      <c r="AY650" t="s">
        <v>55</v>
      </c>
    </row>
    <row r="651" spans="1:51" hidden="1">
      <c r="A651">
        <v>100210</v>
      </c>
      <c r="B651" t="s">
        <v>103</v>
      </c>
      <c r="C651" t="str">
        <f t="shared" si="54"/>
        <v>08082461008</v>
      </c>
      <c r="D651" t="str">
        <f t="shared" si="54"/>
        <v>08082461008</v>
      </c>
      <c r="E651" t="s">
        <v>52</v>
      </c>
      <c r="F651">
        <v>2013</v>
      </c>
      <c r="G651">
        <v>13170006</v>
      </c>
      <c r="H651" s="1">
        <v>41568</v>
      </c>
      <c r="I651" s="1">
        <v>41578</v>
      </c>
      <c r="J651" s="1">
        <v>41578</v>
      </c>
      <c r="K651" s="1">
        <v>41668</v>
      </c>
      <c r="N651" s="5"/>
      <c r="O651">
        <v>305.68</v>
      </c>
      <c r="P651">
        <v>371</v>
      </c>
      <c r="Q651" s="2">
        <v>113407.28</v>
      </c>
      <c r="R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 s="1">
        <v>42382</v>
      </c>
      <c r="AC651" t="s">
        <v>53</v>
      </c>
      <c r="AD651" t="s">
        <v>53</v>
      </c>
      <c r="AK651">
        <v>0</v>
      </c>
      <c r="AU651" s="6">
        <v>42039</v>
      </c>
      <c r="AV651" s="6">
        <v>42039</v>
      </c>
      <c r="AW651" t="s">
        <v>54</v>
      </c>
      <c r="AX651" t="str">
        <f t="shared" si="55"/>
        <v>FOR</v>
      </c>
      <c r="AY651" t="s">
        <v>55</v>
      </c>
    </row>
    <row r="652" spans="1:51" hidden="1">
      <c r="A652">
        <v>100210</v>
      </c>
      <c r="B652" t="s">
        <v>103</v>
      </c>
      <c r="C652" t="str">
        <f t="shared" si="54"/>
        <v>08082461008</v>
      </c>
      <c r="D652" t="str">
        <f t="shared" si="54"/>
        <v>08082461008</v>
      </c>
      <c r="E652" t="s">
        <v>52</v>
      </c>
      <c r="F652">
        <v>2013</v>
      </c>
      <c r="G652">
        <v>13170312</v>
      </c>
      <c r="H652" s="1">
        <v>41569</v>
      </c>
      <c r="I652" s="1">
        <v>41578</v>
      </c>
      <c r="J652" s="1">
        <v>41578</v>
      </c>
      <c r="K652" s="1">
        <v>41668</v>
      </c>
      <c r="N652" s="5"/>
      <c r="O652">
        <v>563.35</v>
      </c>
      <c r="P652">
        <v>371</v>
      </c>
      <c r="Q652" s="2">
        <v>209002.85</v>
      </c>
      <c r="R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 s="1">
        <v>42382</v>
      </c>
      <c r="AC652" t="s">
        <v>53</v>
      </c>
      <c r="AD652" t="s">
        <v>53</v>
      </c>
      <c r="AK652">
        <v>0</v>
      </c>
      <c r="AU652" s="6">
        <v>42039</v>
      </c>
      <c r="AV652" s="6">
        <v>42039</v>
      </c>
      <c r="AW652" t="s">
        <v>54</v>
      </c>
      <c r="AX652" t="str">
        <f t="shared" si="55"/>
        <v>FOR</v>
      </c>
      <c r="AY652" t="s">
        <v>55</v>
      </c>
    </row>
    <row r="653" spans="1:51" hidden="1">
      <c r="A653">
        <v>100210</v>
      </c>
      <c r="B653" t="s">
        <v>103</v>
      </c>
      <c r="C653" t="str">
        <f t="shared" si="54"/>
        <v>08082461008</v>
      </c>
      <c r="D653" t="str">
        <f t="shared" si="54"/>
        <v>08082461008</v>
      </c>
      <c r="E653" t="s">
        <v>52</v>
      </c>
      <c r="F653">
        <v>2013</v>
      </c>
      <c r="G653">
        <v>13172178</v>
      </c>
      <c r="H653" s="1">
        <v>41571</v>
      </c>
      <c r="I653" s="1">
        <v>41585</v>
      </c>
      <c r="J653" s="1">
        <v>41585</v>
      </c>
      <c r="K653" s="1">
        <v>41675</v>
      </c>
      <c r="N653" s="5"/>
      <c r="O653">
        <v>728</v>
      </c>
      <c r="P653">
        <v>364</v>
      </c>
      <c r="Q653" s="2">
        <v>264992</v>
      </c>
      <c r="R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 s="1">
        <v>42382</v>
      </c>
      <c r="AC653" t="s">
        <v>53</v>
      </c>
      <c r="AD653" t="s">
        <v>53</v>
      </c>
      <c r="AK653">
        <v>0</v>
      </c>
      <c r="AU653" s="6">
        <v>42039</v>
      </c>
      <c r="AV653" s="6">
        <v>42039</v>
      </c>
      <c r="AW653" t="s">
        <v>54</v>
      </c>
      <c r="AX653" t="str">
        <f t="shared" si="55"/>
        <v>FOR</v>
      </c>
      <c r="AY653" t="s">
        <v>55</v>
      </c>
    </row>
    <row r="654" spans="1:51" hidden="1">
      <c r="A654">
        <v>100210</v>
      </c>
      <c r="B654" t="s">
        <v>103</v>
      </c>
      <c r="C654" t="str">
        <f t="shared" si="54"/>
        <v>08082461008</v>
      </c>
      <c r="D654" t="str">
        <f t="shared" si="54"/>
        <v>08082461008</v>
      </c>
      <c r="E654" t="s">
        <v>52</v>
      </c>
      <c r="F654">
        <v>2013</v>
      </c>
      <c r="G654">
        <v>13172259</v>
      </c>
      <c r="H654" s="1">
        <v>41571</v>
      </c>
      <c r="I654" s="1">
        <v>41585</v>
      </c>
      <c r="J654" s="1">
        <v>41585</v>
      </c>
      <c r="K654" s="1">
        <v>41675</v>
      </c>
      <c r="N654" s="5"/>
      <c r="O654">
        <v>114.4</v>
      </c>
      <c r="P654">
        <v>364</v>
      </c>
      <c r="Q654" s="2">
        <v>41641.599999999999</v>
      </c>
      <c r="R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 s="1">
        <v>42382</v>
      </c>
      <c r="AC654" t="s">
        <v>53</v>
      </c>
      <c r="AD654" t="s">
        <v>53</v>
      </c>
      <c r="AK654">
        <v>0</v>
      </c>
      <c r="AU654" s="6">
        <v>42039</v>
      </c>
      <c r="AV654" s="6">
        <v>42039</v>
      </c>
      <c r="AW654" t="s">
        <v>54</v>
      </c>
      <c r="AX654" t="str">
        <f t="shared" si="55"/>
        <v>FOR</v>
      </c>
      <c r="AY654" t="s">
        <v>55</v>
      </c>
    </row>
    <row r="655" spans="1:51" hidden="1">
      <c r="A655">
        <v>100210</v>
      </c>
      <c r="B655" t="s">
        <v>103</v>
      </c>
      <c r="C655" t="str">
        <f t="shared" si="54"/>
        <v>08082461008</v>
      </c>
      <c r="D655" t="str">
        <f t="shared" si="54"/>
        <v>08082461008</v>
      </c>
      <c r="E655" t="s">
        <v>52</v>
      </c>
      <c r="F655">
        <v>2013</v>
      </c>
      <c r="G655">
        <v>13172261</v>
      </c>
      <c r="H655" s="1">
        <v>41571</v>
      </c>
      <c r="I655" s="1">
        <v>41585</v>
      </c>
      <c r="J655" s="1">
        <v>41585</v>
      </c>
      <c r="K655" s="1">
        <v>41675</v>
      </c>
      <c r="N655" s="5"/>
      <c r="O655">
        <v>114.4</v>
      </c>
      <c r="P655">
        <v>364</v>
      </c>
      <c r="Q655" s="2">
        <v>41641.599999999999</v>
      </c>
      <c r="R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 s="1">
        <v>42382</v>
      </c>
      <c r="AC655" t="s">
        <v>53</v>
      </c>
      <c r="AD655" t="s">
        <v>53</v>
      </c>
      <c r="AK655">
        <v>0</v>
      </c>
      <c r="AU655" s="6">
        <v>42039</v>
      </c>
      <c r="AV655" s="6">
        <v>42039</v>
      </c>
      <c r="AW655" t="s">
        <v>54</v>
      </c>
      <c r="AX655" t="str">
        <f t="shared" si="55"/>
        <v>FOR</v>
      </c>
      <c r="AY655" t="s">
        <v>55</v>
      </c>
    </row>
    <row r="656" spans="1:51" hidden="1">
      <c r="A656">
        <v>100210</v>
      </c>
      <c r="B656" t="s">
        <v>103</v>
      </c>
      <c r="C656" t="str">
        <f t="shared" si="54"/>
        <v>08082461008</v>
      </c>
      <c r="D656" t="str">
        <f t="shared" si="54"/>
        <v>08082461008</v>
      </c>
      <c r="E656" t="s">
        <v>52</v>
      </c>
      <c r="F656">
        <v>2013</v>
      </c>
      <c r="G656">
        <v>13172264</v>
      </c>
      <c r="H656" s="1">
        <v>41571</v>
      </c>
      <c r="I656" s="1">
        <v>41585</v>
      </c>
      <c r="J656" s="1">
        <v>41585</v>
      </c>
      <c r="K656" s="1">
        <v>41675</v>
      </c>
      <c r="N656" s="5"/>
      <c r="O656">
        <v>451.88</v>
      </c>
      <c r="P656">
        <v>364</v>
      </c>
      <c r="Q656" s="2">
        <v>164484.32</v>
      </c>
      <c r="R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 s="1">
        <v>42382</v>
      </c>
      <c r="AC656" t="s">
        <v>53</v>
      </c>
      <c r="AD656" t="s">
        <v>53</v>
      </c>
      <c r="AK656">
        <v>0</v>
      </c>
      <c r="AU656" s="6">
        <v>42039</v>
      </c>
      <c r="AV656" s="6">
        <v>42039</v>
      </c>
      <c r="AW656" t="s">
        <v>54</v>
      </c>
      <c r="AX656" t="str">
        <f t="shared" si="55"/>
        <v>FOR</v>
      </c>
      <c r="AY656" t="s">
        <v>55</v>
      </c>
    </row>
    <row r="657" spans="1:51" hidden="1">
      <c r="A657">
        <v>100210</v>
      </c>
      <c r="B657" t="s">
        <v>103</v>
      </c>
      <c r="C657" t="str">
        <f t="shared" si="54"/>
        <v>08082461008</v>
      </c>
      <c r="D657" t="str">
        <f t="shared" si="54"/>
        <v>08082461008</v>
      </c>
      <c r="E657" t="s">
        <v>52</v>
      </c>
      <c r="F657">
        <v>2013</v>
      </c>
      <c r="G657">
        <v>13172266</v>
      </c>
      <c r="H657" s="1">
        <v>41571</v>
      </c>
      <c r="I657" s="1">
        <v>41585</v>
      </c>
      <c r="J657" s="1">
        <v>41585</v>
      </c>
      <c r="K657" s="1">
        <v>41675</v>
      </c>
      <c r="N657" s="5"/>
      <c r="O657">
        <v>451.88</v>
      </c>
      <c r="P657">
        <v>364</v>
      </c>
      <c r="Q657" s="2">
        <v>164484.32</v>
      </c>
      <c r="R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 s="1">
        <v>42382</v>
      </c>
      <c r="AC657" t="s">
        <v>53</v>
      </c>
      <c r="AD657" t="s">
        <v>53</v>
      </c>
      <c r="AK657">
        <v>0</v>
      </c>
      <c r="AU657" s="6">
        <v>42039</v>
      </c>
      <c r="AV657" s="6">
        <v>42039</v>
      </c>
      <c r="AW657" t="s">
        <v>54</v>
      </c>
      <c r="AX657" t="str">
        <f t="shared" si="55"/>
        <v>FOR</v>
      </c>
      <c r="AY657" t="s">
        <v>55</v>
      </c>
    </row>
    <row r="658" spans="1:51" hidden="1">
      <c r="A658">
        <v>100210</v>
      </c>
      <c r="B658" t="s">
        <v>103</v>
      </c>
      <c r="C658" t="str">
        <f t="shared" ref="C658:D677" si="56">"08082461008"</f>
        <v>08082461008</v>
      </c>
      <c r="D658" t="str">
        <f t="shared" si="56"/>
        <v>08082461008</v>
      </c>
      <c r="E658" t="s">
        <v>52</v>
      </c>
      <c r="F658">
        <v>2013</v>
      </c>
      <c r="G658">
        <v>13172267</v>
      </c>
      <c r="H658" s="1">
        <v>41571</v>
      </c>
      <c r="I658" s="1">
        <v>41585</v>
      </c>
      <c r="J658" s="1">
        <v>41585</v>
      </c>
      <c r="K658" s="1">
        <v>41675</v>
      </c>
      <c r="N658" s="5"/>
      <c r="O658">
        <v>45.76</v>
      </c>
      <c r="P658">
        <v>364</v>
      </c>
      <c r="Q658" s="2">
        <v>16656.64</v>
      </c>
      <c r="R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 s="1">
        <v>42382</v>
      </c>
      <c r="AC658" t="s">
        <v>53</v>
      </c>
      <c r="AD658" t="s">
        <v>53</v>
      </c>
      <c r="AK658">
        <v>0</v>
      </c>
      <c r="AU658" s="6">
        <v>42039</v>
      </c>
      <c r="AV658" s="6">
        <v>42039</v>
      </c>
      <c r="AW658" t="s">
        <v>54</v>
      </c>
      <c r="AX658" t="str">
        <f t="shared" si="55"/>
        <v>FOR</v>
      </c>
      <c r="AY658" t="s">
        <v>55</v>
      </c>
    </row>
    <row r="659" spans="1:51" hidden="1">
      <c r="A659">
        <v>100210</v>
      </c>
      <c r="B659" t="s">
        <v>103</v>
      </c>
      <c r="C659" t="str">
        <f t="shared" si="56"/>
        <v>08082461008</v>
      </c>
      <c r="D659" t="str">
        <f t="shared" si="56"/>
        <v>08082461008</v>
      </c>
      <c r="E659" t="s">
        <v>52</v>
      </c>
      <c r="F659">
        <v>2013</v>
      </c>
      <c r="G659">
        <v>13172268</v>
      </c>
      <c r="H659" s="1">
        <v>41571</v>
      </c>
      <c r="I659" s="1">
        <v>41585</v>
      </c>
      <c r="J659" s="1">
        <v>41585</v>
      </c>
      <c r="K659" s="1">
        <v>41675</v>
      </c>
      <c r="N659" s="5"/>
      <c r="O659">
        <v>45.76</v>
      </c>
      <c r="P659">
        <v>364</v>
      </c>
      <c r="Q659" s="2">
        <v>16656.64</v>
      </c>
      <c r="R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 s="1">
        <v>42382</v>
      </c>
      <c r="AC659" t="s">
        <v>53</v>
      </c>
      <c r="AD659" t="s">
        <v>53</v>
      </c>
      <c r="AK659">
        <v>0</v>
      </c>
      <c r="AU659" s="6">
        <v>42039</v>
      </c>
      <c r="AV659" s="6">
        <v>42039</v>
      </c>
      <c r="AW659" t="s">
        <v>54</v>
      </c>
      <c r="AX659" t="str">
        <f t="shared" si="55"/>
        <v>FOR</v>
      </c>
      <c r="AY659" t="s">
        <v>55</v>
      </c>
    </row>
    <row r="660" spans="1:51" hidden="1">
      <c r="A660">
        <v>100210</v>
      </c>
      <c r="B660" t="s">
        <v>103</v>
      </c>
      <c r="C660" t="str">
        <f t="shared" si="56"/>
        <v>08082461008</v>
      </c>
      <c r="D660" t="str">
        <f t="shared" si="56"/>
        <v>08082461008</v>
      </c>
      <c r="E660" t="s">
        <v>52</v>
      </c>
      <c r="F660">
        <v>2013</v>
      </c>
      <c r="G660">
        <v>13172269</v>
      </c>
      <c r="H660" s="1">
        <v>41571</v>
      </c>
      <c r="I660" s="1">
        <v>41585</v>
      </c>
      <c r="J660" s="1">
        <v>41585</v>
      </c>
      <c r="K660" s="1">
        <v>41675</v>
      </c>
      <c r="N660" s="5"/>
      <c r="O660">
        <v>45.76</v>
      </c>
      <c r="P660">
        <v>364</v>
      </c>
      <c r="Q660" s="2">
        <v>16656.64</v>
      </c>
      <c r="R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 s="1">
        <v>42382</v>
      </c>
      <c r="AC660" t="s">
        <v>53</v>
      </c>
      <c r="AD660" t="s">
        <v>53</v>
      </c>
      <c r="AK660">
        <v>0</v>
      </c>
      <c r="AU660" s="6">
        <v>42039</v>
      </c>
      <c r="AV660" s="6">
        <v>42039</v>
      </c>
      <c r="AW660" t="s">
        <v>54</v>
      </c>
      <c r="AX660" t="str">
        <f t="shared" si="55"/>
        <v>FOR</v>
      </c>
      <c r="AY660" t="s">
        <v>55</v>
      </c>
    </row>
    <row r="661" spans="1:51" hidden="1">
      <c r="A661">
        <v>100210</v>
      </c>
      <c r="B661" t="s">
        <v>103</v>
      </c>
      <c r="C661" t="str">
        <f t="shared" si="56"/>
        <v>08082461008</v>
      </c>
      <c r="D661" t="str">
        <f t="shared" si="56"/>
        <v>08082461008</v>
      </c>
      <c r="E661" t="s">
        <v>52</v>
      </c>
      <c r="F661">
        <v>2013</v>
      </c>
      <c r="G661">
        <v>13172270</v>
      </c>
      <c r="H661" s="1">
        <v>41571</v>
      </c>
      <c r="I661" s="1">
        <v>41585</v>
      </c>
      <c r="J661" s="1">
        <v>41585</v>
      </c>
      <c r="K661" s="1">
        <v>41675</v>
      </c>
      <c r="N661" s="5"/>
      <c r="O661">
        <v>45.76</v>
      </c>
      <c r="P661">
        <v>364</v>
      </c>
      <c r="Q661" s="2">
        <v>16656.64</v>
      </c>
      <c r="R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 s="1">
        <v>42382</v>
      </c>
      <c r="AC661" t="s">
        <v>53</v>
      </c>
      <c r="AD661" t="s">
        <v>53</v>
      </c>
      <c r="AK661">
        <v>0</v>
      </c>
      <c r="AU661" s="6">
        <v>42039</v>
      </c>
      <c r="AV661" s="6">
        <v>42039</v>
      </c>
      <c r="AW661" t="s">
        <v>54</v>
      </c>
      <c r="AX661" t="str">
        <f t="shared" si="55"/>
        <v>FOR</v>
      </c>
      <c r="AY661" t="s">
        <v>55</v>
      </c>
    </row>
    <row r="662" spans="1:51" hidden="1">
      <c r="A662">
        <v>100210</v>
      </c>
      <c r="B662" t="s">
        <v>103</v>
      </c>
      <c r="C662" t="str">
        <f t="shared" si="56"/>
        <v>08082461008</v>
      </c>
      <c r="D662" t="str">
        <f t="shared" si="56"/>
        <v>08082461008</v>
      </c>
      <c r="E662" t="s">
        <v>52</v>
      </c>
      <c r="F662">
        <v>2013</v>
      </c>
      <c r="G662">
        <v>13172271</v>
      </c>
      <c r="H662" s="1">
        <v>41571</v>
      </c>
      <c r="I662" s="1">
        <v>41585</v>
      </c>
      <c r="J662" s="1">
        <v>41585</v>
      </c>
      <c r="K662" s="1">
        <v>41675</v>
      </c>
      <c r="N662" s="5"/>
      <c r="O662">
        <v>451.88</v>
      </c>
      <c r="P662">
        <v>364</v>
      </c>
      <c r="Q662" s="2">
        <v>164484.32</v>
      </c>
      <c r="R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 s="1">
        <v>42382</v>
      </c>
      <c r="AC662" t="s">
        <v>53</v>
      </c>
      <c r="AD662" t="s">
        <v>53</v>
      </c>
      <c r="AK662">
        <v>0</v>
      </c>
      <c r="AU662" s="6">
        <v>42039</v>
      </c>
      <c r="AV662" s="6">
        <v>42039</v>
      </c>
      <c r="AW662" t="s">
        <v>54</v>
      </c>
      <c r="AX662" t="str">
        <f t="shared" si="55"/>
        <v>FOR</v>
      </c>
      <c r="AY662" t="s">
        <v>55</v>
      </c>
    </row>
    <row r="663" spans="1:51" hidden="1">
      <c r="A663">
        <v>100210</v>
      </c>
      <c r="B663" t="s">
        <v>103</v>
      </c>
      <c r="C663" t="str">
        <f t="shared" si="56"/>
        <v>08082461008</v>
      </c>
      <c r="D663" t="str">
        <f t="shared" si="56"/>
        <v>08082461008</v>
      </c>
      <c r="E663" t="s">
        <v>52</v>
      </c>
      <c r="F663">
        <v>2013</v>
      </c>
      <c r="G663">
        <v>13172272</v>
      </c>
      <c r="H663" s="1">
        <v>41571</v>
      </c>
      <c r="I663" s="1">
        <v>41585</v>
      </c>
      <c r="J663" s="1">
        <v>41585</v>
      </c>
      <c r="K663" s="1">
        <v>41675</v>
      </c>
      <c r="N663" s="5"/>
      <c r="O663">
        <v>451.88</v>
      </c>
      <c r="P663">
        <v>364</v>
      </c>
      <c r="Q663" s="2">
        <v>164484.32</v>
      </c>
      <c r="R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 s="1">
        <v>42382</v>
      </c>
      <c r="AC663" t="s">
        <v>53</v>
      </c>
      <c r="AD663" t="s">
        <v>53</v>
      </c>
      <c r="AK663">
        <v>0</v>
      </c>
      <c r="AU663" s="6">
        <v>42039</v>
      </c>
      <c r="AV663" s="6">
        <v>42039</v>
      </c>
      <c r="AW663" t="s">
        <v>54</v>
      </c>
      <c r="AX663" t="str">
        <f t="shared" si="55"/>
        <v>FOR</v>
      </c>
      <c r="AY663" t="s">
        <v>55</v>
      </c>
    </row>
    <row r="664" spans="1:51" hidden="1">
      <c r="A664">
        <v>100210</v>
      </c>
      <c r="B664" t="s">
        <v>103</v>
      </c>
      <c r="C664" t="str">
        <f t="shared" si="56"/>
        <v>08082461008</v>
      </c>
      <c r="D664" t="str">
        <f t="shared" si="56"/>
        <v>08082461008</v>
      </c>
      <c r="E664" t="s">
        <v>52</v>
      </c>
      <c r="F664">
        <v>2013</v>
      </c>
      <c r="G664">
        <v>13172792</v>
      </c>
      <c r="H664" s="1">
        <v>41571</v>
      </c>
      <c r="I664" s="1">
        <v>41585</v>
      </c>
      <c r="J664" s="1">
        <v>41585</v>
      </c>
      <c r="K664" s="1">
        <v>41675</v>
      </c>
      <c r="N664" s="5"/>
      <c r="O664">
        <v>976</v>
      </c>
      <c r="P664">
        <v>364</v>
      </c>
      <c r="Q664" s="2">
        <v>355264</v>
      </c>
      <c r="R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 s="1">
        <v>42382</v>
      </c>
      <c r="AC664" t="s">
        <v>53</v>
      </c>
      <c r="AD664" t="s">
        <v>53</v>
      </c>
      <c r="AK664">
        <v>0</v>
      </c>
      <c r="AU664" s="6">
        <v>42039</v>
      </c>
      <c r="AV664" s="6">
        <v>42039</v>
      </c>
      <c r="AW664" t="s">
        <v>54</v>
      </c>
      <c r="AX664" t="str">
        <f t="shared" si="55"/>
        <v>FOR</v>
      </c>
      <c r="AY664" t="s">
        <v>55</v>
      </c>
    </row>
    <row r="665" spans="1:51" hidden="1">
      <c r="A665">
        <v>100210</v>
      </c>
      <c r="B665" t="s">
        <v>103</v>
      </c>
      <c r="C665" t="str">
        <f t="shared" si="56"/>
        <v>08082461008</v>
      </c>
      <c r="D665" t="str">
        <f t="shared" si="56"/>
        <v>08082461008</v>
      </c>
      <c r="E665" t="s">
        <v>52</v>
      </c>
      <c r="F665">
        <v>2013</v>
      </c>
      <c r="G665">
        <v>13173455</v>
      </c>
      <c r="H665" s="1">
        <v>41572</v>
      </c>
      <c r="I665" s="1">
        <v>41585</v>
      </c>
      <c r="J665" s="1">
        <v>41585</v>
      </c>
      <c r="K665" s="1">
        <v>41675</v>
      </c>
      <c r="N665" s="5"/>
      <c r="O665" s="2">
        <v>9672</v>
      </c>
      <c r="P665">
        <v>364</v>
      </c>
      <c r="Q665" s="2">
        <v>3520608</v>
      </c>
      <c r="R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 s="1">
        <v>42382</v>
      </c>
      <c r="AC665" t="s">
        <v>53</v>
      </c>
      <c r="AD665" t="s">
        <v>53</v>
      </c>
      <c r="AK665">
        <v>0</v>
      </c>
      <c r="AU665" s="6">
        <v>42039</v>
      </c>
      <c r="AV665" s="6">
        <v>42039</v>
      </c>
      <c r="AW665" t="s">
        <v>54</v>
      </c>
      <c r="AX665" t="str">
        <f t="shared" si="55"/>
        <v>FOR</v>
      </c>
      <c r="AY665" t="s">
        <v>55</v>
      </c>
    </row>
    <row r="666" spans="1:51" hidden="1">
      <c r="A666">
        <v>100210</v>
      </c>
      <c r="B666" t="s">
        <v>103</v>
      </c>
      <c r="C666" t="str">
        <f t="shared" si="56"/>
        <v>08082461008</v>
      </c>
      <c r="D666" t="str">
        <f t="shared" si="56"/>
        <v>08082461008</v>
      </c>
      <c r="E666" t="s">
        <v>52</v>
      </c>
      <c r="F666">
        <v>2013</v>
      </c>
      <c r="G666">
        <v>13174857</v>
      </c>
      <c r="H666" s="1">
        <v>41575</v>
      </c>
      <c r="I666" s="1">
        <v>41585</v>
      </c>
      <c r="J666" s="1">
        <v>41585</v>
      </c>
      <c r="K666" s="1">
        <v>41675</v>
      </c>
      <c r="N666" s="5"/>
      <c r="O666" s="2">
        <v>5914.56</v>
      </c>
      <c r="P666">
        <v>364</v>
      </c>
      <c r="Q666" s="2">
        <v>2152899.84</v>
      </c>
      <c r="R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 s="1">
        <v>42382</v>
      </c>
      <c r="AC666" t="s">
        <v>53</v>
      </c>
      <c r="AD666" t="s">
        <v>53</v>
      </c>
      <c r="AK666">
        <v>0</v>
      </c>
      <c r="AU666" s="6">
        <v>42039</v>
      </c>
      <c r="AV666" s="6">
        <v>42039</v>
      </c>
      <c r="AW666" t="s">
        <v>54</v>
      </c>
      <c r="AX666" t="str">
        <f t="shared" si="55"/>
        <v>FOR</v>
      </c>
      <c r="AY666" t="s">
        <v>55</v>
      </c>
    </row>
    <row r="667" spans="1:51" hidden="1">
      <c r="A667">
        <v>100210</v>
      </c>
      <c r="B667" t="s">
        <v>103</v>
      </c>
      <c r="C667" t="str">
        <f t="shared" si="56"/>
        <v>08082461008</v>
      </c>
      <c r="D667" t="str">
        <f t="shared" si="56"/>
        <v>08082461008</v>
      </c>
      <c r="E667" t="s">
        <v>52</v>
      </c>
      <c r="F667">
        <v>2013</v>
      </c>
      <c r="G667">
        <v>13179656</v>
      </c>
      <c r="H667" s="1">
        <v>41585</v>
      </c>
      <c r="I667" s="1">
        <v>41597</v>
      </c>
      <c r="J667" s="1">
        <v>41597</v>
      </c>
      <c r="K667" s="1">
        <v>41687</v>
      </c>
      <c r="N667" s="5"/>
      <c r="O667">
        <v>45.76</v>
      </c>
      <c r="P667">
        <v>354</v>
      </c>
      <c r="Q667" s="2">
        <v>16199.04</v>
      </c>
      <c r="R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 s="1">
        <v>42382</v>
      </c>
      <c r="AC667" t="s">
        <v>53</v>
      </c>
      <c r="AD667" t="s">
        <v>53</v>
      </c>
      <c r="AK667">
        <v>0</v>
      </c>
      <c r="AU667" s="6">
        <v>42041</v>
      </c>
      <c r="AV667" s="6">
        <v>42041</v>
      </c>
      <c r="AW667" t="s">
        <v>54</v>
      </c>
      <c r="AX667" t="str">
        <f t="shared" si="55"/>
        <v>FOR</v>
      </c>
      <c r="AY667" t="s">
        <v>55</v>
      </c>
    </row>
    <row r="668" spans="1:51" hidden="1">
      <c r="A668">
        <v>100210</v>
      </c>
      <c r="B668" t="s">
        <v>103</v>
      </c>
      <c r="C668" t="str">
        <f t="shared" si="56"/>
        <v>08082461008</v>
      </c>
      <c r="D668" t="str">
        <f t="shared" si="56"/>
        <v>08082461008</v>
      </c>
      <c r="E668" t="s">
        <v>52</v>
      </c>
      <c r="F668">
        <v>2013</v>
      </c>
      <c r="G668">
        <v>13179658</v>
      </c>
      <c r="H668" s="1">
        <v>41585</v>
      </c>
      <c r="I668" s="1">
        <v>41597</v>
      </c>
      <c r="J668" s="1">
        <v>41597</v>
      </c>
      <c r="K668" s="1">
        <v>41687</v>
      </c>
      <c r="N668" s="5"/>
      <c r="O668">
        <v>194.48</v>
      </c>
      <c r="P668">
        <v>354</v>
      </c>
      <c r="Q668" s="2">
        <v>68845.919999999998</v>
      </c>
      <c r="R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 s="1">
        <v>42382</v>
      </c>
      <c r="AC668" t="s">
        <v>53</v>
      </c>
      <c r="AD668" t="s">
        <v>53</v>
      </c>
      <c r="AK668">
        <v>0</v>
      </c>
      <c r="AU668" s="6">
        <v>42041</v>
      </c>
      <c r="AV668" s="6">
        <v>42041</v>
      </c>
      <c r="AW668" t="s">
        <v>54</v>
      </c>
      <c r="AX668" t="str">
        <f t="shared" si="55"/>
        <v>FOR</v>
      </c>
      <c r="AY668" t="s">
        <v>55</v>
      </c>
    </row>
    <row r="669" spans="1:51" hidden="1">
      <c r="A669">
        <v>100210</v>
      </c>
      <c r="B669" t="s">
        <v>103</v>
      </c>
      <c r="C669" t="str">
        <f t="shared" si="56"/>
        <v>08082461008</v>
      </c>
      <c r="D669" t="str">
        <f t="shared" si="56"/>
        <v>08082461008</v>
      </c>
      <c r="E669" t="s">
        <v>52</v>
      </c>
      <c r="F669">
        <v>2013</v>
      </c>
      <c r="G669">
        <v>13179660</v>
      </c>
      <c r="H669" s="1">
        <v>41585</v>
      </c>
      <c r="I669" s="1">
        <v>41597</v>
      </c>
      <c r="J669" s="1">
        <v>41597</v>
      </c>
      <c r="K669" s="1">
        <v>41687</v>
      </c>
      <c r="N669" s="5"/>
      <c r="O669">
        <v>451.88</v>
      </c>
      <c r="P669">
        <v>354</v>
      </c>
      <c r="Q669" s="2">
        <v>159965.51999999999</v>
      </c>
      <c r="R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 s="1">
        <v>42382</v>
      </c>
      <c r="AC669" t="s">
        <v>53</v>
      </c>
      <c r="AD669" t="s">
        <v>53</v>
      </c>
      <c r="AK669">
        <v>0</v>
      </c>
      <c r="AU669" s="6">
        <v>42041</v>
      </c>
      <c r="AV669" s="6">
        <v>42041</v>
      </c>
      <c r="AW669" t="s">
        <v>54</v>
      </c>
      <c r="AX669" t="str">
        <f t="shared" si="55"/>
        <v>FOR</v>
      </c>
      <c r="AY669" t="s">
        <v>55</v>
      </c>
    </row>
    <row r="670" spans="1:51" hidden="1">
      <c r="A670">
        <v>100210</v>
      </c>
      <c r="B670" t="s">
        <v>103</v>
      </c>
      <c r="C670" t="str">
        <f t="shared" si="56"/>
        <v>08082461008</v>
      </c>
      <c r="D670" t="str">
        <f t="shared" si="56"/>
        <v>08082461008</v>
      </c>
      <c r="E670" t="s">
        <v>52</v>
      </c>
      <c r="F670">
        <v>2013</v>
      </c>
      <c r="G670">
        <v>13179661</v>
      </c>
      <c r="H670" s="1">
        <v>41585</v>
      </c>
      <c r="I670" s="1">
        <v>41597</v>
      </c>
      <c r="J670" s="1">
        <v>41597</v>
      </c>
      <c r="K670" s="1">
        <v>41687</v>
      </c>
      <c r="N670" s="5"/>
      <c r="O670">
        <v>451.88</v>
      </c>
      <c r="P670">
        <v>354</v>
      </c>
      <c r="Q670" s="2">
        <v>159965.51999999999</v>
      </c>
      <c r="R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 s="1">
        <v>42382</v>
      </c>
      <c r="AC670" t="s">
        <v>53</v>
      </c>
      <c r="AD670" t="s">
        <v>53</v>
      </c>
      <c r="AK670">
        <v>0</v>
      </c>
      <c r="AU670" s="6">
        <v>42041</v>
      </c>
      <c r="AV670" s="6">
        <v>42041</v>
      </c>
      <c r="AW670" t="s">
        <v>54</v>
      </c>
      <c r="AX670" t="str">
        <f t="shared" si="55"/>
        <v>FOR</v>
      </c>
      <c r="AY670" t="s">
        <v>55</v>
      </c>
    </row>
    <row r="671" spans="1:51" hidden="1">
      <c r="A671">
        <v>100210</v>
      </c>
      <c r="B671" t="s">
        <v>103</v>
      </c>
      <c r="C671" t="str">
        <f t="shared" si="56"/>
        <v>08082461008</v>
      </c>
      <c r="D671" t="str">
        <f t="shared" si="56"/>
        <v>08082461008</v>
      </c>
      <c r="E671" t="s">
        <v>52</v>
      </c>
      <c r="F671">
        <v>2013</v>
      </c>
      <c r="G671">
        <v>13179662</v>
      </c>
      <c r="H671" s="1">
        <v>41585</v>
      </c>
      <c r="I671" s="1">
        <v>41597</v>
      </c>
      <c r="J671" s="1">
        <v>41597</v>
      </c>
      <c r="K671" s="1">
        <v>41687</v>
      </c>
      <c r="N671" s="5"/>
      <c r="O671">
        <v>451.88</v>
      </c>
      <c r="P671">
        <v>354</v>
      </c>
      <c r="Q671" s="2">
        <v>159965.51999999999</v>
      </c>
      <c r="R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 s="1">
        <v>42382</v>
      </c>
      <c r="AC671" t="s">
        <v>53</v>
      </c>
      <c r="AD671" t="s">
        <v>53</v>
      </c>
      <c r="AK671">
        <v>0</v>
      </c>
      <c r="AU671" s="6">
        <v>42041</v>
      </c>
      <c r="AV671" s="6">
        <v>42041</v>
      </c>
      <c r="AW671" t="s">
        <v>54</v>
      </c>
      <c r="AX671" t="str">
        <f t="shared" si="55"/>
        <v>FOR</v>
      </c>
      <c r="AY671" t="s">
        <v>55</v>
      </c>
    </row>
    <row r="672" spans="1:51" hidden="1">
      <c r="A672">
        <v>100210</v>
      </c>
      <c r="B672" t="s">
        <v>103</v>
      </c>
      <c r="C672" t="str">
        <f t="shared" si="56"/>
        <v>08082461008</v>
      </c>
      <c r="D672" t="str">
        <f t="shared" si="56"/>
        <v>08082461008</v>
      </c>
      <c r="E672" t="s">
        <v>52</v>
      </c>
      <c r="F672">
        <v>2013</v>
      </c>
      <c r="G672">
        <v>13179663</v>
      </c>
      <c r="H672" s="1">
        <v>41585</v>
      </c>
      <c r="I672" s="1">
        <v>41597</v>
      </c>
      <c r="J672" s="1">
        <v>41597</v>
      </c>
      <c r="K672" s="1">
        <v>41687</v>
      </c>
      <c r="N672" s="5"/>
      <c r="O672">
        <v>45.76</v>
      </c>
      <c r="P672">
        <v>354</v>
      </c>
      <c r="Q672" s="2">
        <v>16199.04</v>
      </c>
      <c r="R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 s="1">
        <v>42382</v>
      </c>
      <c r="AC672" t="s">
        <v>53</v>
      </c>
      <c r="AD672" t="s">
        <v>53</v>
      </c>
      <c r="AK672">
        <v>0</v>
      </c>
      <c r="AU672" s="6">
        <v>42041</v>
      </c>
      <c r="AV672" s="6">
        <v>42041</v>
      </c>
      <c r="AW672" t="s">
        <v>54</v>
      </c>
      <c r="AX672" t="str">
        <f t="shared" si="55"/>
        <v>FOR</v>
      </c>
      <c r="AY672" t="s">
        <v>55</v>
      </c>
    </row>
    <row r="673" spans="1:51" hidden="1">
      <c r="A673">
        <v>100210</v>
      </c>
      <c r="B673" t="s">
        <v>103</v>
      </c>
      <c r="C673" t="str">
        <f t="shared" si="56"/>
        <v>08082461008</v>
      </c>
      <c r="D673" t="str">
        <f t="shared" si="56"/>
        <v>08082461008</v>
      </c>
      <c r="E673" t="s">
        <v>52</v>
      </c>
      <c r="F673">
        <v>2013</v>
      </c>
      <c r="G673">
        <v>13179665</v>
      </c>
      <c r="H673" s="1">
        <v>41585</v>
      </c>
      <c r="I673" s="1">
        <v>41597</v>
      </c>
      <c r="J673" s="1">
        <v>41597</v>
      </c>
      <c r="K673" s="1">
        <v>41687</v>
      </c>
      <c r="N673" s="5"/>
      <c r="O673">
        <v>45.76</v>
      </c>
      <c r="P673">
        <v>354</v>
      </c>
      <c r="Q673" s="2">
        <v>16199.04</v>
      </c>
      <c r="R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 s="1">
        <v>42382</v>
      </c>
      <c r="AC673" t="s">
        <v>53</v>
      </c>
      <c r="AD673" t="s">
        <v>53</v>
      </c>
      <c r="AK673">
        <v>0</v>
      </c>
      <c r="AU673" s="6">
        <v>42041</v>
      </c>
      <c r="AV673" s="6">
        <v>42041</v>
      </c>
      <c r="AW673" t="s">
        <v>54</v>
      </c>
      <c r="AX673" t="str">
        <f t="shared" si="55"/>
        <v>FOR</v>
      </c>
      <c r="AY673" t="s">
        <v>55</v>
      </c>
    </row>
    <row r="674" spans="1:51" hidden="1">
      <c r="A674">
        <v>100210</v>
      </c>
      <c r="B674" t="s">
        <v>103</v>
      </c>
      <c r="C674" t="str">
        <f t="shared" si="56"/>
        <v>08082461008</v>
      </c>
      <c r="D674" t="str">
        <f t="shared" si="56"/>
        <v>08082461008</v>
      </c>
      <c r="E674" t="s">
        <v>52</v>
      </c>
      <c r="F674">
        <v>2013</v>
      </c>
      <c r="G674">
        <v>13179666</v>
      </c>
      <c r="H674" s="1">
        <v>41585</v>
      </c>
      <c r="I674" s="1">
        <v>41597</v>
      </c>
      <c r="J674" s="1">
        <v>41597</v>
      </c>
      <c r="K674" s="1">
        <v>41687</v>
      </c>
      <c r="N674" s="5"/>
      <c r="O674">
        <v>45.76</v>
      </c>
      <c r="P674">
        <v>354</v>
      </c>
      <c r="Q674" s="2">
        <v>16199.04</v>
      </c>
      <c r="R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 s="1">
        <v>42382</v>
      </c>
      <c r="AC674" t="s">
        <v>53</v>
      </c>
      <c r="AD674" t="s">
        <v>53</v>
      </c>
      <c r="AK674">
        <v>0</v>
      </c>
      <c r="AU674" s="6">
        <v>42041</v>
      </c>
      <c r="AV674" s="6">
        <v>42041</v>
      </c>
      <c r="AW674" t="s">
        <v>54</v>
      </c>
      <c r="AX674" t="str">
        <f t="shared" si="55"/>
        <v>FOR</v>
      </c>
      <c r="AY674" t="s">
        <v>55</v>
      </c>
    </row>
    <row r="675" spans="1:51" hidden="1">
      <c r="A675">
        <v>100210</v>
      </c>
      <c r="B675" t="s">
        <v>103</v>
      </c>
      <c r="C675" t="str">
        <f t="shared" si="56"/>
        <v>08082461008</v>
      </c>
      <c r="D675" t="str">
        <f t="shared" si="56"/>
        <v>08082461008</v>
      </c>
      <c r="E675" t="s">
        <v>52</v>
      </c>
      <c r="F675">
        <v>2013</v>
      </c>
      <c r="G675">
        <v>13179668</v>
      </c>
      <c r="H675" s="1">
        <v>41585</v>
      </c>
      <c r="I675" s="1">
        <v>41597</v>
      </c>
      <c r="J675" s="1">
        <v>41597</v>
      </c>
      <c r="K675" s="1">
        <v>41687</v>
      </c>
      <c r="N675" s="5"/>
      <c r="O675">
        <v>45.76</v>
      </c>
      <c r="P675">
        <v>354</v>
      </c>
      <c r="Q675" s="2">
        <v>16199.04</v>
      </c>
      <c r="R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 s="1">
        <v>42382</v>
      </c>
      <c r="AC675" t="s">
        <v>53</v>
      </c>
      <c r="AD675" t="s">
        <v>53</v>
      </c>
      <c r="AK675">
        <v>0</v>
      </c>
      <c r="AU675" s="6">
        <v>42041</v>
      </c>
      <c r="AV675" s="6">
        <v>42041</v>
      </c>
      <c r="AW675" t="s">
        <v>54</v>
      </c>
      <c r="AX675" t="str">
        <f t="shared" si="55"/>
        <v>FOR</v>
      </c>
      <c r="AY675" t="s">
        <v>55</v>
      </c>
    </row>
    <row r="676" spans="1:51" hidden="1">
      <c r="A676">
        <v>100210</v>
      </c>
      <c r="B676" t="s">
        <v>103</v>
      </c>
      <c r="C676" t="str">
        <f t="shared" si="56"/>
        <v>08082461008</v>
      </c>
      <c r="D676" t="str">
        <f t="shared" si="56"/>
        <v>08082461008</v>
      </c>
      <c r="E676" t="s">
        <v>52</v>
      </c>
      <c r="F676">
        <v>2013</v>
      </c>
      <c r="G676">
        <v>13180327</v>
      </c>
      <c r="H676" s="1">
        <v>41586</v>
      </c>
      <c r="I676" s="1">
        <v>41598</v>
      </c>
      <c r="J676" s="1">
        <v>41598</v>
      </c>
      <c r="K676" s="1">
        <v>41688</v>
      </c>
      <c r="N676" s="5"/>
      <c r="O676">
        <v>45.76</v>
      </c>
      <c r="P676">
        <v>353</v>
      </c>
      <c r="Q676" s="2">
        <v>16153.28</v>
      </c>
      <c r="R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 s="1">
        <v>42382</v>
      </c>
      <c r="AC676" t="s">
        <v>53</v>
      </c>
      <c r="AD676" t="s">
        <v>53</v>
      </c>
      <c r="AK676">
        <v>0</v>
      </c>
      <c r="AU676" s="6">
        <v>42041</v>
      </c>
      <c r="AV676" s="6">
        <v>42041</v>
      </c>
      <c r="AW676" t="s">
        <v>54</v>
      </c>
      <c r="AX676" t="str">
        <f t="shared" si="55"/>
        <v>FOR</v>
      </c>
      <c r="AY676" t="s">
        <v>55</v>
      </c>
    </row>
    <row r="677" spans="1:51" hidden="1">
      <c r="A677">
        <v>100210</v>
      </c>
      <c r="B677" t="s">
        <v>103</v>
      </c>
      <c r="C677" t="str">
        <f t="shared" si="56"/>
        <v>08082461008</v>
      </c>
      <c r="D677" t="str">
        <f t="shared" si="56"/>
        <v>08082461008</v>
      </c>
      <c r="E677" t="s">
        <v>52</v>
      </c>
      <c r="F677">
        <v>2013</v>
      </c>
      <c r="G677">
        <v>13180329</v>
      </c>
      <c r="H677" s="1">
        <v>41586</v>
      </c>
      <c r="I677" s="1">
        <v>41598</v>
      </c>
      <c r="J677" s="1">
        <v>41598</v>
      </c>
      <c r="K677" s="1">
        <v>41688</v>
      </c>
      <c r="N677" s="5"/>
      <c r="O677">
        <v>45.76</v>
      </c>
      <c r="P677">
        <v>353</v>
      </c>
      <c r="Q677" s="2">
        <v>16153.28</v>
      </c>
      <c r="R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 s="1">
        <v>42382</v>
      </c>
      <c r="AC677" t="s">
        <v>53</v>
      </c>
      <c r="AD677" t="s">
        <v>53</v>
      </c>
      <c r="AK677">
        <v>0</v>
      </c>
      <c r="AU677" s="6">
        <v>42041</v>
      </c>
      <c r="AV677" s="6">
        <v>42041</v>
      </c>
      <c r="AW677" t="s">
        <v>54</v>
      </c>
      <c r="AX677" t="str">
        <f t="shared" si="55"/>
        <v>FOR</v>
      </c>
      <c r="AY677" t="s">
        <v>55</v>
      </c>
    </row>
    <row r="678" spans="1:51" hidden="1">
      <c r="A678">
        <v>100210</v>
      </c>
      <c r="B678" t="s">
        <v>103</v>
      </c>
      <c r="C678" t="str">
        <f t="shared" ref="C678:D697" si="57">"08082461008"</f>
        <v>08082461008</v>
      </c>
      <c r="D678" t="str">
        <f t="shared" si="57"/>
        <v>08082461008</v>
      </c>
      <c r="E678" t="s">
        <v>52</v>
      </c>
      <c r="F678">
        <v>2013</v>
      </c>
      <c r="G678">
        <v>13180331</v>
      </c>
      <c r="H678" s="1">
        <v>41586</v>
      </c>
      <c r="I678" s="1">
        <v>41598</v>
      </c>
      <c r="J678" s="1">
        <v>41598</v>
      </c>
      <c r="K678" s="1">
        <v>41688</v>
      </c>
      <c r="N678" s="5"/>
      <c r="O678">
        <v>45.76</v>
      </c>
      <c r="P678">
        <v>353</v>
      </c>
      <c r="Q678" s="2">
        <v>16153.28</v>
      </c>
      <c r="R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 s="1">
        <v>42382</v>
      </c>
      <c r="AC678" t="s">
        <v>53</v>
      </c>
      <c r="AD678" t="s">
        <v>53</v>
      </c>
      <c r="AK678">
        <v>0</v>
      </c>
      <c r="AU678" s="6">
        <v>42041</v>
      </c>
      <c r="AV678" s="6">
        <v>42041</v>
      </c>
      <c r="AW678" t="s">
        <v>54</v>
      </c>
      <c r="AX678" t="str">
        <f t="shared" si="55"/>
        <v>FOR</v>
      </c>
      <c r="AY678" t="s">
        <v>55</v>
      </c>
    </row>
    <row r="679" spans="1:51" hidden="1">
      <c r="A679">
        <v>100210</v>
      </c>
      <c r="B679" t="s">
        <v>103</v>
      </c>
      <c r="C679" t="str">
        <f t="shared" si="57"/>
        <v>08082461008</v>
      </c>
      <c r="D679" t="str">
        <f t="shared" si="57"/>
        <v>08082461008</v>
      </c>
      <c r="E679" t="s">
        <v>52</v>
      </c>
      <c r="F679">
        <v>2013</v>
      </c>
      <c r="G679">
        <v>13180334</v>
      </c>
      <c r="H679" s="1">
        <v>41586</v>
      </c>
      <c r="I679" s="1">
        <v>41598</v>
      </c>
      <c r="J679" s="1">
        <v>41598</v>
      </c>
      <c r="K679" s="1">
        <v>41688</v>
      </c>
      <c r="N679" s="5"/>
      <c r="O679">
        <v>194.48</v>
      </c>
      <c r="P679">
        <v>353</v>
      </c>
      <c r="Q679" s="2">
        <v>68651.44</v>
      </c>
      <c r="R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 s="1">
        <v>42382</v>
      </c>
      <c r="AC679" t="s">
        <v>53</v>
      </c>
      <c r="AD679" t="s">
        <v>53</v>
      </c>
      <c r="AK679">
        <v>0</v>
      </c>
      <c r="AU679" s="6">
        <v>42041</v>
      </c>
      <c r="AV679" s="6">
        <v>42041</v>
      </c>
      <c r="AW679" t="s">
        <v>54</v>
      </c>
      <c r="AX679" t="str">
        <f t="shared" si="55"/>
        <v>FOR</v>
      </c>
      <c r="AY679" t="s">
        <v>55</v>
      </c>
    </row>
    <row r="680" spans="1:51" hidden="1">
      <c r="A680">
        <v>100210</v>
      </c>
      <c r="B680" t="s">
        <v>103</v>
      </c>
      <c r="C680" t="str">
        <f t="shared" si="57"/>
        <v>08082461008</v>
      </c>
      <c r="D680" t="str">
        <f t="shared" si="57"/>
        <v>08082461008</v>
      </c>
      <c r="E680" t="s">
        <v>52</v>
      </c>
      <c r="F680">
        <v>2013</v>
      </c>
      <c r="G680">
        <v>13180973</v>
      </c>
      <c r="H680" s="1">
        <v>41586</v>
      </c>
      <c r="I680" s="1">
        <v>41598</v>
      </c>
      <c r="J680" s="1">
        <v>41598</v>
      </c>
      <c r="K680" s="1">
        <v>41688</v>
      </c>
      <c r="N680" s="5"/>
      <c r="O680">
        <v>732</v>
      </c>
      <c r="P680">
        <v>353</v>
      </c>
      <c r="Q680" s="2">
        <v>258396</v>
      </c>
      <c r="R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 s="1">
        <v>42382</v>
      </c>
      <c r="AC680" t="s">
        <v>53</v>
      </c>
      <c r="AD680" t="s">
        <v>53</v>
      </c>
      <c r="AK680">
        <v>0</v>
      </c>
      <c r="AU680" s="6">
        <v>42041</v>
      </c>
      <c r="AV680" s="6">
        <v>42041</v>
      </c>
      <c r="AW680" t="s">
        <v>54</v>
      </c>
      <c r="AX680" t="str">
        <f t="shared" si="55"/>
        <v>FOR</v>
      </c>
      <c r="AY680" t="s">
        <v>55</v>
      </c>
    </row>
    <row r="681" spans="1:51" hidden="1">
      <c r="A681">
        <v>100210</v>
      </c>
      <c r="B681" t="s">
        <v>103</v>
      </c>
      <c r="C681" t="str">
        <f t="shared" si="57"/>
        <v>08082461008</v>
      </c>
      <c r="D681" t="str">
        <f t="shared" si="57"/>
        <v>08082461008</v>
      </c>
      <c r="E681" t="s">
        <v>52</v>
      </c>
      <c r="F681">
        <v>2013</v>
      </c>
      <c r="G681">
        <v>13181080</v>
      </c>
      <c r="H681" s="1">
        <v>41589</v>
      </c>
      <c r="I681" s="1">
        <v>41598</v>
      </c>
      <c r="J681" s="1">
        <v>41598</v>
      </c>
      <c r="K681" s="1">
        <v>41688</v>
      </c>
      <c r="N681" s="5"/>
      <c r="O681" s="2">
        <v>2087.8000000000002</v>
      </c>
      <c r="P681">
        <v>353</v>
      </c>
      <c r="Q681" s="2">
        <v>736993.4</v>
      </c>
      <c r="R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 s="1">
        <v>42382</v>
      </c>
      <c r="AC681" t="s">
        <v>53</v>
      </c>
      <c r="AD681" t="s">
        <v>53</v>
      </c>
      <c r="AK681">
        <v>0</v>
      </c>
      <c r="AU681" s="6">
        <v>42041</v>
      </c>
      <c r="AV681" s="6">
        <v>42041</v>
      </c>
      <c r="AW681" t="s">
        <v>54</v>
      </c>
      <c r="AX681" t="str">
        <f t="shared" si="55"/>
        <v>FOR</v>
      </c>
      <c r="AY681" t="s">
        <v>55</v>
      </c>
    </row>
    <row r="682" spans="1:51" hidden="1">
      <c r="A682">
        <v>100210</v>
      </c>
      <c r="B682" t="s">
        <v>103</v>
      </c>
      <c r="C682" t="str">
        <f t="shared" si="57"/>
        <v>08082461008</v>
      </c>
      <c r="D682" t="str">
        <f t="shared" si="57"/>
        <v>08082461008</v>
      </c>
      <c r="E682" t="s">
        <v>52</v>
      </c>
      <c r="F682">
        <v>2013</v>
      </c>
      <c r="G682">
        <v>13181314</v>
      </c>
      <c r="H682" s="1">
        <v>41589</v>
      </c>
      <c r="I682" s="1">
        <v>41598</v>
      </c>
      <c r="J682" s="1">
        <v>41598</v>
      </c>
      <c r="K682" s="1">
        <v>41688</v>
      </c>
      <c r="N682" s="5"/>
      <c r="O682" s="2">
        <v>2898.72</v>
      </c>
      <c r="P682">
        <v>353</v>
      </c>
      <c r="Q682" s="2">
        <v>1023248.16</v>
      </c>
      <c r="R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 s="1">
        <v>42382</v>
      </c>
      <c r="AC682" t="s">
        <v>53</v>
      </c>
      <c r="AD682" t="s">
        <v>53</v>
      </c>
      <c r="AK682">
        <v>0</v>
      </c>
      <c r="AU682" s="6">
        <v>42041</v>
      </c>
      <c r="AV682" s="6">
        <v>42041</v>
      </c>
      <c r="AW682" t="s">
        <v>54</v>
      </c>
      <c r="AX682" t="str">
        <f t="shared" si="55"/>
        <v>FOR</v>
      </c>
      <c r="AY682" t="s">
        <v>55</v>
      </c>
    </row>
    <row r="683" spans="1:51" hidden="1">
      <c r="A683">
        <v>100210</v>
      </c>
      <c r="B683" t="s">
        <v>103</v>
      </c>
      <c r="C683" t="str">
        <f t="shared" si="57"/>
        <v>08082461008</v>
      </c>
      <c r="D683" t="str">
        <f t="shared" si="57"/>
        <v>08082461008</v>
      </c>
      <c r="E683" t="s">
        <v>52</v>
      </c>
      <c r="F683">
        <v>2013</v>
      </c>
      <c r="G683">
        <v>13181510</v>
      </c>
      <c r="H683" s="1">
        <v>41589</v>
      </c>
      <c r="I683" s="1">
        <v>41598</v>
      </c>
      <c r="J683" s="1">
        <v>41598</v>
      </c>
      <c r="K683" s="1">
        <v>41688</v>
      </c>
      <c r="N683" s="5"/>
      <c r="O683" s="2">
        <v>4721.3999999999996</v>
      </c>
      <c r="P683">
        <v>353</v>
      </c>
      <c r="Q683" s="2">
        <v>1666654.2</v>
      </c>
      <c r="R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 s="1">
        <v>42382</v>
      </c>
      <c r="AC683" t="s">
        <v>53</v>
      </c>
      <c r="AD683" t="s">
        <v>53</v>
      </c>
      <c r="AK683">
        <v>0</v>
      </c>
      <c r="AU683" s="6">
        <v>42041</v>
      </c>
      <c r="AV683" s="6">
        <v>42041</v>
      </c>
      <c r="AW683" t="s">
        <v>54</v>
      </c>
      <c r="AX683" t="str">
        <f t="shared" si="55"/>
        <v>FOR</v>
      </c>
      <c r="AY683" t="s">
        <v>55</v>
      </c>
    </row>
    <row r="684" spans="1:51" hidden="1">
      <c r="A684">
        <v>100210</v>
      </c>
      <c r="B684" t="s">
        <v>103</v>
      </c>
      <c r="C684" t="str">
        <f t="shared" si="57"/>
        <v>08082461008</v>
      </c>
      <c r="D684" t="str">
        <f t="shared" si="57"/>
        <v>08082461008</v>
      </c>
      <c r="E684" t="s">
        <v>52</v>
      </c>
      <c r="F684">
        <v>2013</v>
      </c>
      <c r="G684">
        <v>13181516</v>
      </c>
      <c r="H684" s="1">
        <v>41589</v>
      </c>
      <c r="I684" s="1">
        <v>41598</v>
      </c>
      <c r="J684" s="1">
        <v>41598</v>
      </c>
      <c r="K684" s="1">
        <v>41688</v>
      </c>
      <c r="N684" s="5"/>
      <c r="O684" s="2">
        <v>18410.669999999998</v>
      </c>
      <c r="P684">
        <v>353</v>
      </c>
      <c r="Q684" s="2">
        <v>6498966.5099999998</v>
      </c>
      <c r="R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 s="1">
        <v>42382</v>
      </c>
      <c r="AC684" t="s">
        <v>53</v>
      </c>
      <c r="AD684" t="s">
        <v>53</v>
      </c>
      <c r="AK684">
        <v>0</v>
      </c>
      <c r="AU684" s="6">
        <v>42041</v>
      </c>
      <c r="AV684" s="6">
        <v>42041</v>
      </c>
      <c r="AW684" t="s">
        <v>54</v>
      </c>
      <c r="AX684" t="str">
        <f t="shared" si="55"/>
        <v>FOR</v>
      </c>
      <c r="AY684" t="s">
        <v>55</v>
      </c>
    </row>
    <row r="685" spans="1:51" hidden="1">
      <c r="A685">
        <v>100210</v>
      </c>
      <c r="B685" t="s">
        <v>103</v>
      </c>
      <c r="C685" t="str">
        <f t="shared" si="57"/>
        <v>08082461008</v>
      </c>
      <c r="D685" t="str">
        <f t="shared" si="57"/>
        <v>08082461008</v>
      </c>
      <c r="E685" t="s">
        <v>52</v>
      </c>
      <c r="F685">
        <v>2013</v>
      </c>
      <c r="G685">
        <v>13181522</v>
      </c>
      <c r="H685" s="1">
        <v>41589</v>
      </c>
      <c r="I685" s="1">
        <v>41598</v>
      </c>
      <c r="J685" s="1">
        <v>41598</v>
      </c>
      <c r="K685" s="1">
        <v>41688</v>
      </c>
      <c r="N685" s="5"/>
      <c r="O685" s="2">
        <v>3952</v>
      </c>
      <c r="P685">
        <v>353</v>
      </c>
      <c r="Q685" s="2">
        <v>1395056</v>
      </c>
      <c r="R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 s="1">
        <v>42382</v>
      </c>
      <c r="AC685" t="s">
        <v>53</v>
      </c>
      <c r="AD685" t="s">
        <v>53</v>
      </c>
      <c r="AK685">
        <v>0</v>
      </c>
      <c r="AU685" s="6">
        <v>42041</v>
      </c>
      <c r="AV685" s="6">
        <v>42041</v>
      </c>
      <c r="AW685" t="s">
        <v>54</v>
      </c>
      <c r="AX685" t="str">
        <f t="shared" si="55"/>
        <v>FOR</v>
      </c>
      <c r="AY685" t="s">
        <v>55</v>
      </c>
    </row>
    <row r="686" spans="1:51" hidden="1">
      <c r="A686">
        <v>100210</v>
      </c>
      <c r="B686" t="s">
        <v>103</v>
      </c>
      <c r="C686" t="str">
        <f t="shared" si="57"/>
        <v>08082461008</v>
      </c>
      <c r="D686" t="str">
        <f t="shared" si="57"/>
        <v>08082461008</v>
      </c>
      <c r="E686" t="s">
        <v>52</v>
      </c>
      <c r="F686">
        <v>2013</v>
      </c>
      <c r="G686">
        <v>13182499</v>
      </c>
      <c r="H686" s="1">
        <v>41590</v>
      </c>
      <c r="I686" s="1">
        <v>41603</v>
      </c>
      <c r="J686" s="1">
        <v>41603</v>
      </c>
      <c r="K686" s="1">
        <v>41693</v>
      </c>
      <c r="N686" s="5"/>
      <c r="O686">
        <v>691.74</v>
      </c>
      <c r="P686">
        <v>348</v>
      </c>
      <c r="Q686" s="2">
        <v>240725.52</v>
      </c>
      <c r="R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 s="1">
        <v>42382</v>
      </c>
      <c r="AC686" t="s">
        <v>53</v>
      </c>
      <c r="AD686" t="s">
        <v>53</v>
      </c>
      <c r="AK686">
        <v>0</v>
      </c>
      <c r="AU686" s="6">
        <v>42041</v>
      </c>
      <c r="AV686" s="6">
        <v>42041</v>
      </c>
      <c r="AW686" t="s">
        <v>54</v>
      </c>
      <c r="AX686" t="str">
        <f t="shared" si="55"/>
        <v>FOR</v>
      </c>
      <c r="AY686" t="s">
        <v>55</v>
      </c>
    </row>
    <row r="687" spans="1:51" hidden="1">
      <c r="A687">
        <v>100210</v>
      </c>
      <c r="B687" t="s">
        <v>103</v>
      </c>
      <c r="C687" t="str">
        <f t="shared" si="57"/>
        <v>08082461008</v>
      </c>
      <c r="D687" t="str">
        <f t="shared" si="57"/>
        <v>08082461008</v>
      </c>
      <c r="E687" t="s">
        <v>52</v>
      </c>
      <c r="F687">
        <v>2013</v>
      </c>
      <c r="G687">
        <v>13182559</v>
      </c>
      <c r="H687" s="1">
        <v>41590</v>
      </c>
      <c r="I687" s="1">
        <v>41603</v>
      </c>
      <c r="J687" s="1">
        <v>41603</v>
      </c>
      <c r="K687" s="1">
        <v>41693</v>
      </c>
      <c r="N687" s="5"/>
      <c r="O687" s="2">
        <v>3660</v>
      </c>
      <c r="P687">
        <v>348</v>
      </c>
      <c r="Q687" s="2">
        <v>1273680</v>
      </c>
      <c r="R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 s="1">
        <v>42382</v>
      </c>
      <c r="AC687" t="s">
        <v>53</v>
      </c>
      <c r="AD687" t="s">
        <v>53</v>
      </c>
      <c r="AK687">
        <v>0</v>
      </c>
      <c r="AU687" s="6">
        <v>42041</v>
      </c>
      <c r="AV687" s="6">
        <v>42041</v>
      </c>
      <c r="AW687" t="s">
        <v>54</v>
      </c>
      <c r="AX687" t="str">
        <f t="shared" si="55"/>
        <v>FOR</v>
      </c>
      <c r="AY687" t="s">
        <v>55</v>
      </c>
    </row>
    <row r="688" spans="1:51" hidden="1">
      <c r="A688">
        <v>100210</v>
      </c>
      <c r="B688" t="s">
        <v>103</v>
      </c>
      <c r="C688" t="str">
        <f t="shared" si="57"/>
        <v>08082461008</v>
      </c>
      <c r="D688" t="str">
        <f t="shared" si="57"/>
        <v>08082461008</v>
      </c>
      <c r="E688" t="s">
        <v>52</v>
      </c>
      <c r="F688">
        <v>2013</v>
      </c>
      <c r="G688">
        <v>13183703</v>
      </c>
      <c r="H688" s="1">
        <v>41592</v>
      </c>
      <c r="I688" s="1">
        <v>41607</v>
      </c>
      <c r="J688" s="1">
        <v>41607</v>
      </c>
      <c r="K688" s="1">
        <v>41697</v>
      </c>
      <c r="N688" s="5"/>
      <c r="O688">
        <v>728</v>
      </c>
      <c r="P688">
        <v>344</v>
      </c>
      <c r="Q688" s="2">
        <v>250432</v>
      </c>
      <c r="R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 s="1">
        <v>42382</v>
      </c>
      <c r="AC688" t="s">
        <v>53</v>
      </c>
      <c r="AD688" t="s">
        <v>53</v>
      </c>
      <c r="AK688">
        <v>0</v>
      </c>
      <c r="AU688" s="6">
        <v>42041</v>
      </c>
      <c r="AV688" s="6">
        <v>42041</v>
      </c>
      <c r="AW688" t="s">
        <v>54</v>
      </c>
      <c r="AX688" t="str">
        <f t="shared" si="55"/>
        <v>FOR</v>
      </c>
      <c r="AY688" t="s">
        <v>55</v>
      </c>
    </row>
    <row r="689" spans="1:51" hidden="1">
      <c r="A689">
        <v>100210</v>
      </c>
      <c r="B689" t="s">
        <v>103</v>
      </c>
      <c r="C689" t="str">
        <f t="shared" si="57"/>
        <v>08082461008</v>
      </c>
      <c r="D689" t="str">
        <f t="shared" si="57"/>
        <v>08082461008</v>
      </c>
      <c r="E689" t="s">
        <v>52</v>
      </c>
      <c r="F689">
        <v>2013</v>
      </c>
      <c r="G689">
        <v>13186451</v>
      </c>
      <c r="H689" s="1">
        <v>41597</v>
      </c>
      <c r="I689" s="1">
        <v>41610</v>
      </c>
      <c r="J689" s="1">
        <v>41610</v>
      </c>
      <c r="K689" s="1">
        <v>41700</v>
      </c>
      <c r="N689" s="5"/>
      <c r="O689">
        <v>685.14</v>
      </c>
      <c r="P689">
        <v>341</v>
      </c>
      <c r="Q689" s="2">
        <v>233632.74</v>
      </c>
      <c r="R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 s="1">
        <v>42382</v>
      </c>
      <c r="AC689" t="s">
        <v>53</v>
      </c>
      <c r="AD689" t="s">
        <v>53</v>
      </c>
      <c r="AK689">
        <v>0</v>
      </c>
      <c r="AU689" s="6">
        <v>42041</v>
      </c>
      <c r="AV689" s="6">
        <v>42041</v>
      </c>
      <c r="AW689" t="s">
        <v>54</v>
      </c>
      <c r="AX689" t="str">
        <f t="shared" si="55"/>
        <v>FOR</v>
      </c>
      <c r="AY689" t="s">
        <v>55</v>
      </c>
    </row>
    <row r="690" spans="1:51" hidden="1">
      <c r="A690">
        <v>100210</v>
      </c>
      <c r="B690" t="s">
        <v>103</v>
      </c>
      <c r="C690" t="str">
        <f t="shared" si="57"/>
        <v>08082461008</v>
      </c>
      <c r="D690" t="str">
        <f t="shared" si="57"/>
        <v>08082461008</v>
      </c>
      <c r="E690" t="s">
        <v>52</v>
      </c>
      <c r="F690">
        <v>2013</v>
      </c>
      <c r="G690">
        <v>13186753</v>
      </c>
      <c r="H690" s="1">
        <v>41597</v>
      </c>
      <c r="I690" s="1">
        <v>41610</v>
      </c>
      <c r="J690" s="1">
        <v>41610</v>
      </c>
      <c r="K690" s="1">
        <v>41700</v>
      </c>
      <c r="N690" s="5"/>
      <c r="O690" s="2">
        <v>2515.96</v>
      </c>
      <c r="P690">
        <v>341</v>
      </c>
      <c r="Q690" s="2">
        <v>857942.36</v>
      </c>
      <c r="R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 s="1">
        <v>42382</v>
      </c>
      <c r="AC690" t="s">
        <v>53</v>
      </c>
      <c r="AD690" t="s">
        <v>53</v>
      </c>
      <c r="AK690">
        <v>0</v>
      </c>
      <c r="AU690" s="6">
        <v>42041</v>
      </c>
      <c r="AV690" s="6">
        <v>42041</v>
      </c>
      <c r="AW690" t="s">
        <v>54</v>
      </c>
      <c r="AX690" t="str">
        <f t="shared" si="55"/>
        <v>FOR</v>
      </c>
      <c r="AY690" t="s">
        <v>55</v>
      </c>
    </row>
    <row r="691" spans="1:51" hidden="1">
      <c r="A691">
        <v>100210</v>
      </c>
      <c r="B691" t="s">
        <v>103</v>
      </c>
      <c r="C691" t="str">
        <f t="shared" si="57"/>
        <v>08082461008</v>
      </c>
      <c r="D691" t="str">
        <f t="shared" si="57"/>
        <v>08082461008</v>
      </c>
      <c r="E691" t="s">
        <v>52</v>
      </c>
      <c r="F691">
        <v>2013</v>
      </c>
      <c r="G691">
        <v>13187455</v>
      </c>
      <c r="H691" s="1">
        <v>41598</v>
      </c>
      <c r="I691" s="1">
        <v>41614</v>
      </c>
      <c r="J691" s="1">
        <v>41614</v>
      </c>
      <c r="K691" s="1">
        <v>41704</v>
      </c>
      <c r="N691" s="5"/>
      <c r="O691" s="2">
        <v>1950.3</v>
      </c>
      <c r="P691">
        <v>337</v>
      </c>
      <c r="Q691" s="2">
        <v>657251.1</v>
      </c>
      <c r="R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 s="1">
        <v>42382</v>
      </c>
      <c r="AC691" t="s">
        <v>53</v>
      </c>
      <c r="AD691" t="s">
        <v>53</v>
      </c>
      <c r="AK691">
        <v>0</v>
      </c>
      <c r="AU691" s="6">
        <v>42041</v>
      </c>
      <c r="AV691" s="6">
        <v>42041</v>
      </c>
      <c r="AW691" t="s">
        <v>54</v>
      </c>
      <c r="AX691" t="str">
        <f t="shared" si="55"/>
        <v>FOR</v>
      </c>
      <c r="AY691" t="s">
        <v>55</v>
      </c>
    </row>
    <row r="692" spans="1:51" hidden="1">
      <c r="A692">
        <v>100210</v>
      </c>
      <c r="B692" t="s">
        <v>103</v>
      </c>
      <c r="C692" t="str">
        <f t="shared" si="57"/>
        <v>08082461008</v>
      </c>
      <c r="D692" t="str">
        <f t="shared" si="57"/>
        <v>08082461008</v>
      </c>
      <c r="E692" t="s">
        <v>52</v>
      </c>
      <c r="F692">
        <v>2013</v>
      </c>
      <c r="G692">
        <v>13187693</v>
      </c>
      <c r="H692" s="1">
        <v>41598</v>
      </c>
      <c r="I692" s="1">
        <v>41614</v>
      </c>
      <c r="J692" s="1">
        <v>41614</v>
      </c>
      <c r="K692" s="1">
        <v>41704</v>
      </c>
      <c r="N692" s="5"/>
      <c r="O692" s="2">
        <v>6697.8</v>
      </c>
      <c r="P692">
        <v>337</v>
      </c>
      <c r="Q692" s="2">
        <v>2257158.6</v>
      </c>
      <c r="R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 s="1">
        <v>42382</v>
      </c>
      <c r="AC692" t="s">
        <v>53</v>
      </c>
      <c r="AD692" t="s">
        <v>53</v>
      </c>
      <c r="AK692">
        <v>0</v>
      </c>
      <c r="AU692" s="6">
        <v>42041</v>
      </c>
      <c r="AV692" s="6">
        <v>42041</v>
      </c>
      <c r="AW692" t="s">
        <v>54</v>
      </c>
      <c r="AX692" t="str">
        <f t="shared" si="55"/>
        <v>FOR</v>
      </c>
      <c r="AY692" t="s">
        <v>55</v>
      </c>
    </row>
    <row r="693" spans="1:51" hidden="1">
      <c r="A693">
        <v>100210</v>
      </c>
      <c r="B693" t="s">
        <v>103</v>
      </c>
      <c r="C693" t="str">
        <f t="shared" si="57"/>
        <v>08082461008</v>
      </c>
      <c r="D693" t="str">
        <f t="shared" si="57"/>
        <v>08082461008</v>
      </c>
      <c r="E693" t="s">
        <v>52</v>
      </c>
      <c r="F693">
        <v>2013</v>
      </c>
      <c r="G693">
        <v>13190733</v>
      </c>
      <c r="H693" s="1">
        <v>41603</v>
      </c>
      <c r="I693" s="1">
        <v>41614</v>
      </c>
      <c r="J693" s="1">
        <v>41614</v>
      </c>
      <c r="K693" s="1">
        <v>41704</v>
      </c>
      <c r="N693" s="5"/>
      <c r="O693">
        <v>295.14</v>
      </c>
      <c r="P693">
        <v>337</v>
      </c>
      <c r="Q693" s="2">
        <v>99462.18</v>
      </c>
      <c r="R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 s="1">
        <v>42382</v>
      </c>
      <c r="AC693" t="s">
        <v>53</v>
      </c>
      <c r="AD693" t="s">
        <v>53</v>
      </c>
      <c r="AK693">
        <v>0</v>
      </c>
      <c r="AU693" s="6">
        <v>42041</v>
      </c>
      <c r="AV693" s="6">
        <v>42041</v>
      </c>
      <c r="AW693" t="s">
        <v>54</v>
      </c>
      <c r="AX693" t="str">
        <f t="shared" si="55"/>
        <v>FOR</v>
      </c>
      <c r="AY693" t="s">
        <v>55</v>
      </c>
    </row>
    <row r="694" spans="1:51" hidden="1">
      <c r="A694">
        <v>100210</v>
      </c>
      <c r="B694" t="s">
        <v>103</v>
      </c>
      <c r="C694" t="str">
        <f t="shared" si="57"/>
        <v>08082461008</v>
      </c>
      <c r="D694" t="str">
        <f t="shared" si="57"/>
        <v>08082461008</v>
      </c>
      <c r="E694" t="s">
        <v>52</v>
      </c>
      <c r="F694">
        <v>2013</v>
      </c>
      <c r="G694">
        <v>13191508</v>
      </c>
      <c r="H694" s="1">
        <v>41604</v>
      </c>
      <c r="I694" s="1">
        <v>41617</v>
      </c>
      <c r="J694" s="1">
        <v>41617</v>
      </c>
      <c r="K694" s="1">
        <v>41707</v>
      </c>
      <c r="N694" s="5"/>
      <c r="O694">
        <v>728</v>
      </c>
      <c r="P694">
        <v>334</v>
      </c>
      <c r="Q694" s="2">
        <v>243152</v>
      </c>
      <c r="R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 s="1">
        <v>42382</v>
      </c>
      <c r="AC694" t="s">
        <v>53</v>
      </c>
      <c r="AD694" t="s">
        <v>53</v>
      </c>
      <c r="AK694">
        <v>0</v>
      </c>
      <c r="AU694" s="6">
        <v>42041</v>
      </c>
      <c r="AV694" s="6">
        <v>42041</v>
      </c>
      <c r="AW694" t="s">
        <v>54</v>
      </c>
      <c r="AX694" t="str">
        <f t="shared" si="55"/>
        <v>FOR</v>
      </c>
      <c r="AY694" t="s">
        <v>55</v>
      </c>
    </row>
    <row r="695" spans="1:51" hidden="1">
      <c r="A695">
        <v>100210</v>
      </c>
      <c r="B695" t="s">
        <v>103</v>
      </c>
      <c r="C695" t="str">
        <f t="shared" si="57"/>
        <v>08082461008</v>
      </c>
      <c r="D695" t="str">
        <f t="shared" si="57"/>
        <v>08082461008</v>
      </c>
      <c r="E695" t="s">
        <v>52</v>
      </c>
      <c r="F695">
        <v>2013</v>
      </c>
      <c r="G695">
        <v>13194042</v>
      </c>
      <c r="H695" s="1">
        <v>41607</v>
      </c>
      <c r="I695" s="1">
        <v>41619</v>
      </c>
      <c r="J695" s="1">
        <v>41619</v>
      </c>
      <c r="K695" s="1">
        <v>41709</v>
      </c>
      <c r="N695" s="5"/>
      <c r="O695" s="2">
        <v>9201.92</v>
      </c>
      <c r="P695">
        <v>332</v>
      </c>
      <c r="Q695" s="2">
        <v>3055037.44</v>
      </c>
      <c r="R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 s="1">
        <v>42382</v>
      </c>
      <c r="AC695" t="s">
        <v>53</v>
      </c>
      <c r="AD695" t="s">
        <v>53</v>
      </c>
      <c r="AK695">
        <v>0</v>
      </c>
      <c r="AU695" s="6">
        <v>42041</v>
      </c>
      <c r="AV695" s="6">
        <v>42041</v>
      </c>
      <c r="AW695" t="s">
        <v>54</v>
      </c>
      <c r="AX695" t="str">
        <f t="shared" si="55"/>
        <v>FOR</v>
      </c>
      <c r="AY695" t="s">
        <v>55</v>
      </c>
    </row>
    <row r="696" spans="1:51" hidden="1">
      <c r="A696">
        <v>100210</v>
      </c>
      <c r="B696" t="s">
        <v>103</v>
      </c>
      <c r="C696" t="str">
        <f t="shared" si="57"/>
        <v>08082461008</v>
      </c>
      <c r="D696" t="str">
        <f t="shared" si="57"/>
        <v>08082461008</v>
      </c>
      <c r="E696" t="s">
        <v>52</v>
      </c>
      <c r="F696">
        <v>2013</v>
      </c>
      <c r="G696">
        <v>13195884</v>
      </c>
      <c r="H696" s="1">
        <v>41611</v>
      </c>
      <c r="I696" s="1">
        <v>41624</v>
      </c>
      <c r="J696" s="1">
        <v>41624</v>
      </c>
      <c r="K696" s="1">
        <v>41714</v>
      </c>
      <c r="N696" s="5"/>
      <c r="O696" s="2">
        <v>5914.56</v>
      </c>
      <c r="P696">
        <v>327</v>
      </c>
      <c r="Q696" s="2">
        <v>1934061.12</v>
      </c>
      <c r="R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 s="1">
        <v>42382</v>
      </c>
      <c r="AC696" t="s">
        <v>53</v>
      </c>
      <c r="AD696" t="s">
        <v>53</v>
      </c>
      <c r="AK696">
        <v>0</v>
      </c>
      <c r="AU696" s="6">
        <v>42041</v>
      </c>
      <c r="AV696" s="6">
        <v>42041</v>
      </c>
      <c r="AW696" t="s">
        <v>54</v>
      </c>
      <c r="AX696" t="str">
        <f t="shared" si="55"/>
        <v>FOR</v>
      </c>
      <c r="AY696" t="s">
        <v>55</v>
      </c>
    </row>
    <row r="697" spans="1:51" hidden="1">
      <c r="A697">
        <v>100210</v>
      </c>
      <c r="B697" t="s">
        <v>103</v>
      </c>
      <c r="C697" t="str">
        <f t="shared" si="57"/>
        <v>08082461008</v>
      </c>
      <c r="D697" t="str">
        <f t="shared" si="57"/>
        <v>08082461008</v>
      </c>
      <c r="E697" t="s">
        <v>52</v>
      </c>
      <c r="F697">
        <v>2013</v>
      </c>
      <c r="G697">
        <v>13195928</v>
      </c>
      <c r="H697" s="1">
        <v>41611</v>
      </c>
      <c r="I697" s="1">
        <v>41624</v>
      </c>
      <c r="J697" s="1">
        <v>41624</v>
      </c>
      <c r="K697" s="1">
        <v>41714</v>
      </c>
      <c r="N697" s="5"/>
      <c r="O697" s="2">
        <v>3197.95</v>
      </c>
      <c r="P697">
        <v>327</v>
      </c>
      <c r="Q697" s="2">
        <v>1045729.65</v>
      </c>
      <c r="R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 s="1">
        <v>42382</v>
      </c>
      <c r="AC697" t="s">
        <v>53</v>
      </c>
      <c r="AD697" t="s">
        <v>53</v>
      </c>
      <c r="AK697">
        <v>0</v>
      </c>
      <c r="AU697" s="6">
        <v>42041</v>
      </c>
      <c r="AV697" s="6">
        <v>42041</v>
      </c>
      <c r="AW697" t="s">
        <v>54</v>
      </c>
      <c r="AX697" t="str">
        <f t="shared" si="55"/>
        <v>FOR</v>
      </c>
      <c r="AY697" t="s">
        <v>55</v>
      </c>
    </row>
    <row r="698" spans="1:51" hidden="1">
      <c r="A698">
        <v>100210</v>
      </c>
      <c r="B698" t="s">
        <v>103</v>
      </c>
      <c r="C698" t="str">
        <f t="shared" ref="C698:D717" si="58">"08082461008"</f>
        <v>08082461008</v>
      </c>
      <c r="D698" t="str">
        <f t="shared" si="58"/>
        <v>08082461008</v>
      </c>
      <c r="E698" t="s">
        <v>52</v>
      </c>
      <c r="F698">
        <v>2013</v>
      </c>
      <c r="G698">
        <v>13199002</v>
      </c>
      <c r="H698" s="1">
        <v>41617</v>
      </c>
      <c r="I698" s="1">
        <v>41628</v>
      </c>
      <c r="J698" s="1">
        <v>41628</v>
      </c>
      <c r="K698" s="1">
        <v>41718</v>
      </c>
      <c r="N698" s="5"/>
      <c r="O698" s="2">
        <v>1049.25</v>
      </c>
      <c r="P698">
        <v>323</v>
      </c>
      <c r="Q698" s="2">
        <v>338907.75</v>
      </c>
      <c r="R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 s="1">
        <v>42382</v>
      </c>
      <c r="AC698" t="s">
        <v>53</v>
      </c>
      <c r="AD698" t="s">
        <v>53</v>
      </c>
      <c r="AK698">
        <v>0</v>
      </c>
      <c r="AU698" s="6">
        <v>42041</v>
      </c>
      <c r="AV698" s="6">
        <v>42041</v>
      </c>
      <c r="AW698" t="s">
        <v>54</v>
      </c>
      <c r="AX698" t="str">
        <f t="shared" si="55"/>
        <v>FOR</v>
      </c>
      <c r="AY698" t="s">
        <v>55</v>
      </c>
    </row>
    <row r="699" spans="1:51" hidden="1">
      <c r="A699">
        <v>100210</v>
      </c>
      <c r="B699" t="s">
        <v>103</v>
      </c>
      <c r="C699" t="str">
        <f t="shared" si="58"/>
        <v>08082461008</v>
      </c>
      <c r="D699" t="str">
        <f t="shared" si="58"/>
        <v>08082461008</v>
      </c>
      <c r="E699" t="s">
        <v>52</v>
      </c>
      <c r="F699">
        <v>2013</v>
      </c>
      <c r="G699">
        <v>13201231</v>
      </c>
      <c r="H699" s="1">
        <v>41620</v>
      </c>
      <c r="I699" s="1">
        <v>41635</v>
      </c>
      <c r="J699" s="1">
        <v>41635</v>
      </c>
      <c r="K699" s="1">
        <v>41725</v>
      </c>
      <c r="N699" s="5"/>
      <c r="O699" s="2">
        <v>8147.16</v>
      </c>
      <c r="P699">
        <v>316</v>
      </c>
      <c r="Q699" s="2">
        <v>2574502.56</v>
      </c>
      <c r="R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 s="1">
        <v>42382</v>
      </c>
      <c r="AC699" t="s">
        <v>53</v>
      </c>
      <c r="AD699" t="s">
        <v>53</v>
      </c>
      <c r="AK699">
        <v>0</v>
      </c>
      <c r="AU699" s="6">
        <v>42041</v>
      </c>
      <c r="AV699" s="6">
        <v>42041</v>
      </c>
      <c r="AW699" t="s">
        <v>54</v>
      </c>
      <c r="AX699" t="str">
        <f t="shared" si="55"/>
        <v>FOR</v>
      </c>
      <c r="AY699" t="s">
        <v>55</v>
      </c>
    </row>
    <row r="700" spans="1:51" hidden="1">
      <c r="A700">
        <v>100210</v>
      </c>
      <c r="B700" t="s">
        <v>103</v>
      </c>
      <c r="C700" t="str">
        <f t="shared" si="58"/>
        <v>08082461008</v>
      </c>
      <c r="D700" t="str">
        <f t="shared" si="58"/>
        <v>08082461008</v>
      </c>
      <c r="E700" t="s">
        <v>52</v>
      </c>
      <c r="F700">
        <v>2013</v>
      </c>
      <c r="G700">
        <v>13206843</v>
      </c>
      <c r="H700" s="1">
        <v>41627</v>
      </c>
      <c r="I700" s="1">
        <v>41639</v>
      </c>
      <c r="J700" s="1">
        <v>41639</v>
      </c>
      <c r="K700" s="1">
        <v>41729</v>
      </c>
      <c r="N700" s="5"/>
      <c r="O700" s="2">
        <v>13534.68</v>
      </c>
      <c r="P700">
        <v>312</v>
      </c>
      <c r="Q700" s="2">
        <v>4222820.16</v>
      </c>
      <c r="R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 s="1">
        <v>42382</v>
      </c>
      <c r="AC700" t="s">
        <v>53</v>
      </c>
      <c r="AD700" t="s">
        <v>53</v>
      </c>
      <c r="AK700">
        <v>0</v>
      </c>
      <c r="AU700" s="6">
        <v>42041</v>
      </c>
      <c r="AV700" s="6">
        <v>42041</v>
      </c>
      <c r="AW700" t="s">
        <v>54</v>
      </c>
      <c r="AX700" t="str">
        <f t="shared" si="55"/>
        <v>FOR</v>
      </c>
      <c r="AY700" t="s">
        <v>55</v>
      </c>
    </row>
    <row r="701" spans="1:51" hidden="1">
      <c r="A701">
        <v>100210</v>
      </c>
      <c r="B701" t="s">
        <v>103</v>
      </c>
      <c r="C701" t="str">
        <f t="shared" si="58"/>
        <v>08082461008</v>
      </c>
      <c r="D701" t="str">
        <f t="shared" si="58"/>
        <v>08082461008</v>
      </c>
      <c r="E701" t="s">
        <v>52</v>
      </c>
      <c r="F701">
        <v>2013</v>
      </c>
      <c r="G701">
        <v>13208138</v>
      </c>
      <c r="H701" s="1">
        <v>41631</v>
      </c>
      <c r="I701" s="1">
        <v>41639</v>
      </c>
      <c r="J701" s="1">
        <v>41639</v>
      </c>
      <c r="K701" s="1">
        <v>41729</v>
      </c>
      <c r="N701" s="5"/>
      <c r="O701">
        <v>728</v>
      </c>
      <c r="P701">
        <v>312</v>
      </c>
      <c r="Q701" s="2">
        <v>227136</v>
      </c>
      <c r="R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 s="1">
        <v>42382</v>
      </c>
      <c r="AC701" t="s">
        <v>53</v>
      </c>
      <c r="AD701" t="s">
        <v>53</v>
      </c>
      <c r="AK701">
        <v>0</v>
      </c>
      <c r="AU701" s="6">
        <v>42041</v>
      </c>
      <c r="AV701" s="6">
        <v>42041</v>
      </c>
      <c r="AW701" t="s">
        <v>54</v>
      </c>
      <c r="AX701" t="str">
        <f t="shared" si="55"/>
        <v>FOR</v>
      </c>
      <c r="AY701" t="s">
        <v>55</v>
      </c>
    </row>
    <row r="702" spans="1:51" hidden="1">
      <c r="A702">
        <v>100210</v>
      </c>
      <c r="B702" t="s">
        <v>103</v>
      </c>
      <c r="C702" t="str">
        <f t="shared" si="58"/>
        <v>08082461008</v>
      </c>
      <c r="D702" t="str">
        <f t="shared" si="58"/>
        <v>08082461008</v>
      </c>
      <c r="E702" t="s">
        <v>52</v>
      </c>
      <c r="F702">
        <v>2013</v>
      </c>
      <c r="G702">
        <v>13208141</v>
      </c>
      <c r="H702" s="1">
        <v>41631</v>
      </c>
      <c r="I702" s="1">
        <v>41639</v>
      </c>
      <c r="J702" s="1">
        <v>41639</v>
      </c>
      <c r="K702" s="1">
        <v>41729</v>
      </c>
      <c r="N702" s="5"/>
      <c r="O702">
        <v>728</v>
      </c>
      <c r="P702">
        <v>312</v>
      </c>
      <c r="Q702" s="2">
        <v>227136</v>
      </c>
      <c r="R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 s="1">
        <v>42382</v>
      </c>
      <c r="AC702" t="s">
        <v>53</v>
      </c>
      <c r="AD702" t="s">
        <v>53</v>
      </c>
      <c r="AK702">
        <v>0</v>
      </c>
      <c r="AU702" s="6">
        <v>42041</v>
      </c>
      <c r="AV702" s="6">
        <v>42041</v>
      </c>
      <c r="AW702" t="s">
        <v>54</v>
      </c>
      <c r="AX702" t="str">
        <f t="shared" si="55"/>
        <v>FOR</v>
      </c>
      <c r="AY702" t="s">
        <v>55</v>
      </c>
    </row>
    <row r="703" spans="1:51" hidden="1">
      <c r="A703">
        <v>100210</v>
      </c>
      <c r="B703" t="s">
        <v>103</v>
      </c>
      <c r="C703" t="str">
        <f t="shared" si="58"/>
        <v>08082461008</v>
      </c>
      <c r="D703" t="str">
        <f t="shared" si="58"/>
        <v>08082461008</v>
      </c>
      <c r="E703" t="s">
        <v>52</v>
      </c>
      <c r="F703">
        <v>2013</v>
      </c>
      <c r="G703">
        <v>13723914</v>
      </c>
      <c r="H703" s="1">
        <v>41571</v>
      </c>
      <c r="I703" s="1">
        <v>41585</v>
      </c>
      <c r="J703" s="1">
        <v>41585</v>
      </c>
      <c r="K703" s="1">
        <v>41675</v>
      </c>
      <c r="N703" s="5"/>
      <c r="O703" s="2">
        <v>29441</v>
      </c>
      <c r="P703">
        <v>364</v>
      </c>
      <c r="Q703" s="2">
        <v>10716524</v>
      </c>
      <c r="R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 s="1">
        <v>42382</v>
      </c>
      <c r="AC703" t="s">
        <v>53</v>
      </c>
      <c r="AD703" t="s">
        <v>53</v>
      </c>
      <c r="AK703">
        <v>0</v>
      </c>
      <c r="AU703" s="6">
        <v>42039</v>
      </c>
      <c r="AV703" s="6">
        <v>42039</v>
      </c>
      <c r="AW703" t="s">
        <v>54</v>
      </c>
      <c r="AX703" t="str">
        <f t="shared" si="55"/>
        <v>FOR</v>
      </c>
      <c r="AY703" t="s">
        <v>55</v>
      </c>
    </row>
    <row r="704" spans="1:51" hidden="1">
      <c r="A704">
        <v>100210</v>
      </c>
      <c r="B704" t="s">
        <v>103</v>
      </c>
      <c r="C704" t="str">
        <f t="shared" si="58"/>
        <v>08082461008</v>
      </c>
      <c r="D704" t="str">
        <f t="shared" si="58"/>
        <v>08082461008</v>
      </c>
      <c r="E704" t="s">
        <v>52</v>
      </c>
      <c r="F704">
        <v>2013</v>
      </c>
      <c r="G704">
        <v>13727704</v>
      </c>
      <c r="H704" s="1">
        <v>41625</v>
      </c>
      <c r="I704" s="1">
        <v>41662</v>
      </c>
      <c r="J704" s="1">
        <v>41662</v>
      </c>
      <c r="K704" s="1">
        <v>41752</v>
      </c>
      <c r="N704" s="5"/>
      <c r="O704" s="2">
        <v>1653.1</v>
      </c>
      <c r="P704">
        <v>289</v>
      </c>
      <c r="Q704" s="2">
        <v>477745.9</v>
      </c>
      <c r="R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 s="1">
        <v>42382</v>
      </c>
      <c r="AC704" t="s">
        <v>53</v>
      </c>
      <c r="AD704" t="s">
        <v>53</v>
      </c>
      <c r="AK704">
        <v>0</v>
      </c>
      <c r="AU704" s="6">
        <v>42041</v>
      </c>
      <c r="AV704" s="6">
        <v>42041</v>
      </c>
      <c r="AW704" t="s">
        <v>54</v>
      </c>
      <c r="AX704" t="str">
        <f t="shared" si="55"/>
        <v>FOR</v>
      </c>
      <c r="AY704" t="s">
        <v>55</v>
      </c>
    </row>
    <row r="705" spans="1:51" hidden="1">
      <c r="A705">
        <v>100210</v>
      </c>
      <c r="B705" t="s">
        <v>103</v>
      </c>
      <c r="C705" t="str">
        <f t="shared" si="58"/>
        <v>08082461008</v>
      </c>
      <c r="D705" t="str">
        <f t="shared" si="58"/>
        <v>08082461008</v>
      </c>
      <c r="E705" t="s">
        <v>52</v>
      </c>
      <c r="F705">
        <v>2014</v>
      </c>
      <c r="G705">
        <v>10131488</v>
      </c>
      <c r="H705" s="1">
        <v>41856</v>
      </c>
      <c r="I705" s="1">
        <v>41876</v>
      </c>
      <c r="J705" s="1">
        <v>41876</v>
      </c>
      <c r="K705" s="1">
        <v>41966</v>
      </c>
      <c r="N705" s="5"/>
      <c r="O705">
        <v>732</v>
      </c>
      <c r="P705">
        <v>284</v>
      </c>
      <c r="Q705" s="2">
        <v>207888</v>
      </c>
      <c r="R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 s="1">
        <v>42382</v>
      </c>
      <c r="AC705" t="s">
        <v>53</v>
      </c>
      <c r="AD705" t="s">
        <v>53</v>
      </c>
      <c r="AK705">
        <v>0</v>
      </c>
      <c r="AU705" s="6">
        <v>42250</v>
      </c>
      <c r="AV705" s="6">
        <v>42250</v>
      </c>
      <c r="AW705" t="s">
        <v>54</v>
      </c>
      <c r="AX705" t="str">
        <f t="shared" si="55"/>
        <v>FOR</v>
      </c>
      <c r="AY705" t="s">
        <v>55</v>
      </c>
    </row>
    <row r="706" spans="1:51" hidden="1">
      <c r="A706">
        <v>100210</v>
      </c>
      <c r="B706" t="s">
        <v>103</v>
      </c>
      <c r="C706" t="str">
        <f t="shared" si="58"/>
        <v>08082461008</v>
      </c>
      <c r="D706" t="str">
        <f t="shared" si="58"/>
        <v>08082461008</v>
      </c>
      <c r="E706" t="s">
        <v>52</v>
      </c>
      <c r="F706">
        <v>2014</v>
      </c>
      <c r="G706">
        <v>14007374</v>
      </c>
      <c r="H706" s="1">
        <v>41656</v>
      </c>
      <c r="I706" s="1">
        <v>41669</v>
      </c>
      <c r="J706" s="1">
        <v>41669</v>
      </c>
      <c r="K706" s="1">
        <v>41759</v>
      </c>
      <c r="N706" s="5"/>
      <c r="O706" s="2">
        <v>2766.96</v>
      </c>
      <c r="P706">
        <v>302</v>
      </c>
      <c r="Q706" s="2">
        <v>835621.92</v>
      </c>
      <c r="R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 s="1">
        <v>42382</v>
      </c>
      <c r="AC706" t="s">
        <v>53</v>
      </c>
      <c r="AD706" t="s">
        <v>53</v>
      </c>
      <c r="AK706">
        <v>0</v>
      </c>
      <c r="AU706" s="6">
        <v>42061</v>
      </c>
      <c r="AV706" s="6">
        <v>42061</v>
      </c>
      <c r="AW706" t="s">
        <v>54</v>
      </c>
      <c r="AX706" t="str">
        <f t="shared" si="55"/>
        <v>FOR</v>
      </c>
      <c r="AY706" t="s">
        <v>55</v>
      </c>
    </row>
    <row r="707" spans="1:51" hidden="1">
      <c r="A707">
        <v>100210</v>
      </c>
      <c r="B707" t="s">
        <v>103</v>
      </c>
      <c r="C707" t="str">
        <f t="shared" si="58"/>
        <v>08082461008</v>
      </c>
      <c r="D707" t="str">
        <f t="shared" si="58"/>
        <v>08082461008</v>
      </c>
      <c r="E707" t="s">
        <v>52</v>
      </c>
      <c r="F707">
        <v>2014</v>
      </c>
      <c r="G707">
        <v>14009662</v>
      </c>
      <c r="H707" s="1">
        <v>41660</v>
      </c>
      <c r="I707" s="1">
        <v>41673</v>
      </c>
      <c r="J707" s="1">
        <v>41673</v>
      </c>
      <c r="K707" s="1">
        <v>41763</v>
      </c>
      <c r="N707" s="5"/>
      <c r="O707" s="2">
        <v>7891.33</v>
      </c>
      <c r="P707">
        <v>298</v>
      </c>
      <c r="Q707" s="2">
        <v>2351616.34</v>
      </c>
      <c r="R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 s="1">
        <v>42382</v>
      </c>
      <c r="AC707" t="s">
        <v>53</v>
      </c>
      <c r="AD707" t="s">
        <v>53</v>
      </c>
      <c r="AK707">
        <v>0</v>
      </c>
      <c r="AU707" s="6">
        <v>42061</v>
      </c>
      <c r="AV707" s="6">
        <v>42061</v>
      </c>
      <c r="AW707" t="s">
        <v>54</v>
      </c>
      <c r="AX707" t="str">
        <f t="shared" ref="AX707:AX770" si="59">"FOR"</f>
        <v>FOR</v>
      </c>
      <c r="AY707" t="s">
        <v>55</v>
      </c>
    </row>
    <row r="708" spans="1:51" hidden="1">
      <c r="A708">
        <v>100210</v>
      </c>
      <c r="B708" t="s">
        <v>103</v>
      </c>
      <c r="C708" t="str">
        <f t="shared" si="58"/>
        <v>08082461008</v>
      </c>
      <c r="D708" t="str">
        <f t="shared" si="58"/>
        <v>08082461008</v>
      </c>
      <c r="E708" t="s">
        <v>52</v>
      </c>
      <c r="F708">
        <v>2014</v>
      </c>
      <c r="G708">
        <v>14009666</v>
      </c>
      <c r="H708" s="1">
        <v>41660</v>
      </c>
      <c r="I708" s="1">
        <v>41673</v>
      </c>
      <c r="J708" s="1">
        <v>41673</v>
      </c>
      <c r="K708" s="1">
        <v>41763</v>
      </c>
      <c r="N708" s="5"/>
      <c r="O708" s="2">
        <v>11612.46</v>
      </c>
      <c r="P708">
        <v>298</v>
      </c>
      <c r="Q708" s="2">
        <v>3460513.08</v>
      </c>
      <c r="R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 s="1">
        <v>42382</v>
      </c>
      <c r="AC708" t="s">
        <v>53</v>
      </c>
      <c r="AD708" t="s">
        <v>53</v>
      </c>
      <c r="AK708">
        <v>0</v>
      </c>
      <c r="AU708" s="6">
        <v>42061</v>
      </c>
      <c r="AV708" s="6">
        <v>42061</v>
      </c>
      <c r="AW708" t="s">
        <v>54</v>
      </c>
      <c r="AX708" t="str">
        <f t="shared" si="59"/>
        <v>FOR</v>
      </c>
      <c r="AY708" t="s">
        <v>55</v>
      </c>
    </row>
    <row r="709" spans="1:51" hidden="1">
      <c r="A709">
        <v>100210</v>
      </c>
      <c r="B709" t="s">
        <v>103</v>
      </c>
      <c r="C709" t="str">
        <f t="shared" si="58"/>
        <v>08082461008</v>
      </c>
      <c r="D709" t="str">
        <f t="shared" si="58"/>
        <v>08082461008</v>
      </c>
      <c r="E709" t="s">
        <v>52</v>
      </c>
      <c r="F709">
        <v>2014</v>
      </c>
      <c r="G709">
        <v>14009668</v>
      </c>
      <c r="H709" s="1">
        <v>41660</v>
      </c>
      <c r="I709" s="1">
        <v>41673</v>
      </c>
      <c r="J709" s="1">
        <v>41673</v>
      </c>
      <c r="K709" s="1">
        <v>41763</v>
      </c>
      <c r="N709" s="5"/>
      <c r="O709" s="2">
        <v>2347.4899999999998</v>
      </c>
      <c r="P709">
        <v>298</v>
      </c>
      <c r="Q709" s="2">
        <v>699552.02</v>
      </c>
      <c r="R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 s="1">
        <v>42382</v>
      </c>
      <c r="AC709" t="s">
        <v>53</v>
      </c>
      <c r="AD709" t="s">
        <v>53</v>
      </c>
      <c r="AK709">
        <v>0</v>
      </c>
      <c r="AU709" s="6">
        <v>42061</v>
      </c>
      <c r="AV709" s="6">
        <v>42061</v>
      </c>
      <c r="AW709" t="s">
        <v>54</v>
      </c>
      <c r="AX709" t="str">
        <f t="shared" si="59"/>
        <v>FOR</v>
      </c>
      <c r="AY709" t="s">
        <v>55</v>
      </c>
    </row>
    <row r="710" spans="1:51" hidden="1">
      <c r="A710">
        <v>100210</v>
      </c>
      <c r="B710" t="s">
        <v>103</v>
      </c>
      <c r="C710" t="str">
        <f t="shared" si="58"/>
        <v>08082461008</v>
      </c>
      <c r="D710" t="str">
        <f t="shared" si="58"/>
        <v>08082461008</v>
      </c>
      <c r="E710" t="s">
        <v>52</v>
      </c>
      <c r="F710">
        <v>2014</v>
      </c>
      <c r="G710">
        <v>14009903</v>
      </c>
      <c r="H710" s="1">
        <v>41661</v>
      </c>
      <c r="I710" s="1">
        <v>41673</v>
      </c>
      <c r="J710" s="1">
        <v>41673</v>
      </c>
      <c r="K710" s="1">
        <v>41763</v>
      </c>
      <c r="N710" s="5"/>
      <c r="O710">
        <v>728</v>
      </c>
      <c r="P710">
        <v>298</v>
      </c>
      <c r="Q710" s="2">
        <v>216944</v>
      </c>
      <c r="R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 s="1">
        <v>42382</v>
      </c>
      <c r="AC710" t="s">
        <v>53</v>
      </c>
      <c r="AD710" t="s">
        <v>53</v>
      </c>
      <c r="AK710">
        <v>0</v>
      </c>
      <c r="AU710" s="6">
        <v>42061</v>
      </c>
      <c r="AV710" s="6">
        <v>42061</v>
      </c>
      <c r="AW710" t="s">
        <v>54</v>
      </c>
      <c r="AX710" t="str">
        <f t="shared" si="59"/>
        <v>FOR</v>
      </c>
      <c r="AY710" t="s">
        <v>55</v>
      </c>
    </row>
    <row r="711" spans="1:51" hidden="1">
      <c r="A711">
        <v>100210</v>
      </c>
      <c r="B711" t="s">
        <v>103</v>
      </c>
      <c r="C711" t="str">
        <f t="shared" si="58"/>
        <v>08082461008</v>
      </c>
      <c r="D711" t="str">
        <f t="shared" si="58"/>
        <v>08082461008</v>
      </c>
      <c r="E711" t="s">
        <v>52</v>
      </c>
      <c r="F711">
        <v>2014</v>
      </c>
      <c r="G711">
        <v>14009998</v>
      </c>
      <c r="H711" s="1">
        <v>41661</v>
      </c>
      <c r="I711" s="1">
        <v>41673</v>
      </c>
      <c r="J711" s="1">
        <v>41673</v>
      </c>
      <c r="K711" s="1">
        <v>41763</v>
      </c>
      <c r="N711" s="5"/>
      <c r="O711" s="2">
        <v>1185.8399999999999</v>
      </c>
      <c r="P711">
        <v>298</v>
      </c>
      <c r="Q711" s="2">
        <v>353380.32</v>
      </c>
      <c r="R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 s="1">
        <v>42382</v>
      </c>
      <c r="AC711" t="s">
        <v>53</v>
      </c>
      <c r="AD711" t="s">
        <v>53</v>
      </c>
      <c r="AK711">
        <v>0</v>
      </c>
      <c r="AU711" s="6">
        <v>42061</v>
      </c>
      <c r="AV711" s="6">
        <v>42061</v>
      </c>
      <c r="AW711" t="s">
        <v>54</v>
      </c>
      <c r="AX711" t="str">
        <f t="shared" si="59"/>
        <v>FOR</v>
      </c>
      <c r="AY711" t="s">
        <v>55</v>
      </c>
    </row>
    <row r="712" spans="1:51" hidden="1">
      <c r="A712">
        <v>100210</v>
      </c>
      <c r="B712" t="s">
        <v>103</v>
      </c>
      <c r="C712" t="str">
        <f t="shared" si="58"/>
        <v>08082461008</v>
      </c>
      <c r="D712" t="str">
        <f t="shared" si="58"/>
        <v>08082461008</v>
      </c>
      <c r="E712" t="s">
        <v>52</v>
      </c>
      <c r="F712">
        <v>2014</v>
      </c>
      <c r="G712">
        <v>14010178</v>
      </c>
      <c r="H712" s="1">
        <v>41661</v>
      </c>
      <c r="I712" s="1">
        <v>41673</v>
      </c>
      <c r="J712" s="1">
        <v>41673</v>
      </c>
      <c r="K712" s="1">
        <v>41763</v>
      </c>
      <c r="N712" s="5"/>
      <c r="O712">
        <v>430.42</v>
      </c>
      <c r="P712">
        <v>298</v>
      </c>
      <c r="Q712" s="2">
        <v>128265.16</v>
      </c>
      <c r="R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 s="1">
        <v>42382</v>
      </c>
      <c r="AC712" t="s">
        <v>53</v>
      </c>
      <c r="AD712" t="s">
        <v>53</v>
      </c>
      <c r="AK712">
        <v>0</v>
      </c>
      <c r="AU712" s="6">
        <v>42061</v>
      </c>
      <c r="AV712" s="6">
        <v>42061</v>
      </c>
      <c r="AW712" t="s">
        <v>54</v>
      </c>
      <c r="AX712" t="str">
        <f t="shared" si="59"/>
        <v>FOR</v>
      </c>
      <c r="AY712" t="s">
        <v>55</v>
      </c>
    </row>
    <row r="713" spans="1:51" hidden="1">
      <c r="A713">
        <v>100210</v>
      </c>
      <c r="B713" t="s">
        <v>103</v>
      </c>
      <c r="C713" t="str">
        <f t="shared" si="58"/>
        <v>08082461008</v>
      </c>
      <c r="D713" t="str">
        <f t="shared" si="58"/>
        <v>08082461008</v>
      </c>
      <c r="E713" t="s">
        <v>52</v>
      </c>
      <c r="F713">
        <v>2014</v>
      </c>
      <c r="G713">
        <v>14013800</v>
      </c>
      <c r="H713" s="1">
        <v>41666</v>
      </c>
      <c r="I713" s="1">
        <v>41675</v>
      </c>
      <c r="J713" s="1">
        <v>41675</v>
      </c>
      <c r="K713" s="1">
        <v>41765</v>
      </c>
      <c r="N713" s="5"/>
      <c r="O713" s="2">
        <v>6134.76</v>
      </c>
      <c r="P713">
        <v>296</v>
      </c>
      <c r="Q713" s="2">
        <v>1815888.96</v>
      </c>
      <c r="R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 s="1">
        <v>42382</v>
      </c>
      <c r="AC713" t="s">
        <v>53</v>
      </c>
      <c r="AD713" t="s">
        <v>53</v>
      </c>
      <c r="AK713">
        <v>0</v>
      </c>
      <c r="AU713" s="6">
        <v>42061</v>
      </c>
      <c r="AV713" s="6">
        <v>42061</v>
      </c>
      <c r="AW713" t="s">
        <v>54</v>
      </c>
      <c r="AX713" t="str">
        <f t="shared" si="59"/>
        <v>FOR</v>
      </c>
      <c r="AY713" t="s">
        <v>55</v>
      </c>
    </row>
    <row r="714" spans="1:51" hidden="1">
      <c r="A714">
        <v>100210</v>
      </c>
      <c r="B714" t="s">
        <v>103</v>
      </c>
      <c r="C714" t="str">
        <f t="shared" si="58"/>
        <v>08082461008</v>
      </c>
      <c r="D714" t="str">
        <f t="shared" si="58"/>
        <v>08082461008</v>
      </c>
      <c r="E714" t="s">
        <v>52</v>
      </c>
      <c r="F714">
        <v>2014</v>
      </c>
      <c r="G714">
        <v>14013801</v>
      </c>
      <c r="H714" s="1">
        <v>41666</v>
      </c>
      <c r="I714" s="1">
        <v>41675</v>
      </c>
      <c r="J714" s="1">
        <v>41675</v>
      </c>
      <c r="K714" s="1">
        <v>41765</v>
      </c>
      <c r="N714" s="5"/>
      <c r="O714" s="2">
        <v>5054.1000000000004</v>
      </c>
      <c r="P714">
        <v>296</v>
      </c>
      <c r="Q714" s="2">
        <v>1496013.6</v>
      </c>
      <c r="R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 s="1">
        <v>42382</v>
      </c>
      <c r="AC714" t="s">
        <v>53</v>
      </c>
      <c r="AD714" t="s">
        <v>53</v>
      </c>
      <c r="AK714">
        <v>0</v>
      </c>
      <c r="AU714" s="6">
        <v>42061</v>
      </c>
      <c r="AV714" s="6">
        <v>42061</v>
      </c>
      <c r="AW714" t="s">
        <v>54</v>
      </c>
      <c r="AX714" t="str">
        <f t="shared" si="59"/>
        <v>FOR</v>
      </c>
      <c r="AY714" t="s">
        <v>55</v>
      </c>
    </row>
    <row r="715" spans="1:51" hidden="1">
      <c r="A715">
        <v>100210</v>
      </c>
      <c r="B715" t="s">
        <v>103</v>
      </c>
      <c r="C715" t="str">
        <f t="shared" si="58"/>
        <v>08082461008</v>
      </c>
      <c r="D715" t="str">
        <f t="shared" si="58"/>
        <v>08082461008</v>
      </c>
      <c r="E715" t="s">
        <v>52</v>
      </c>
      <c r="F715">
        <v>2014</v>
      </c>
      <c r="G715">
        <v>14013803</v>
      </c>
      <c r="H715" s="1">
        <v>41666</v>
      </c>
      <c r="I715" s="1">
        <v>41675</v>
      </c>
      <c r="J715" s="1">
        <v>41675</v>
      </c>
      <c r="K715" s="1">
        <v>41765</v>
      </c>
      <c r="N715" s="5"/>
      <c r="O715" s="2">
        <v>2020.32</v>
      </c>
      <c r="P715">
        <v>296</v>
      </c>
      <c r="Q715" s="2">
        <v>598014.71999999997</v>
      </c>
      <c r="R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 s="1">
        <v>42382</v>
      </c>
      <c r="AC715" t="s">
        <v>53</v>
      </c>
      <c r="AD715" t="s">
        <v>53</v>
      </c>
      <c r="AK715">
        <v>0</v>
      </c>
      <c r="AU715" s="6">
        <v>42061</v>
      </c>
      <c r="AV715" s="6">
        <v>42061</v>
      </c>
      <c r="AW715" t="s">
        <v>54</v>
      </c>
      <c r="AX715" t="str">
        <f t="shared" si="59"/>
        <v>FOR</v>
      </c>
      <c r="AY715" t="s">
        <v>55</v>
      </c>
    </row>
    <row r="716" spans="1:51" hidden="1">
      <c r="A716">
        <v>100210</v>
      </c>
      <c r="B716" t="s">
        <v>103</v>
      </c>
      <c r="C716" t="str">
        <f t="shared" si="58"/>
        <v>08082461008</v>
      </c>
      <c r="D716" t="str">
        <f t="shared" si="58"/>
        <v>08082461008</v>
      </c>
      <c r="E716" t="s">
        <v>52</v>
      </c>
      <c r="F716">
        <v>2014</v>
      </c>
      <c r="G716">
        <v>14013804</v>
      </c>
      <c r="H716" s="1">
        <v>41666</v>
      </c>
      <c r="I716" s="1">
        <v>41675</v>
      </c>
      <c r="J716" s="1">
        <v>41675</v>
      </c>
      <c r="K716" s="1">
        <v>41765</v>
      </c>
      <c r="N716" s="5"/>
      <c r="O716" s="2">
        <v>1069.45</v>
      </c>
      <c r="P716">
        <v>296</v>
      </c>
      <c r="Q716" s="2">
        <v>316557.2</v>
      </c>
      <c r="R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 s="1">
        <v>42382</v>
      </c>
      <c r="AC716" t="s">
        <v>53</v>
      </c>
      <c r="AD716" t="s">
        <v>53</v>
      </c>
      <c r="AK716">
        <v>0</v>
      </c>
      <c r="AU716" s="6">
        <v>42061</v>
      </c>
      <c r="AV716" s="6">
        <v>42061</v>
      </c>
      <c r="AW716" t="s">
        <v>54</v>
      </c>
      <c r="AX716" t="str">
        <f t="shared" si="59"/>
        <v>FOR</v>
      </c>
      <c r="AY716" t="s">
        <v>55</v>
      </c>
    </row>
    <row r="717" spans="1:51" hidden="1">
      <c r="A717">
        <v>100210</v>
      </c>
      <c r="B717" t="s">
        <v>103</v>
      </c>
      <c r="C717" t="str">
        <f t="shared" si="58"/>
        <v>08082461008</v>
      </c>
      <c r="D717" t="str">
        <f t="shared" si="58"/>
        <v>08082461008</v>
      </c>
      <c r="E717" t="s">
        <v>52</v>
      </c>
      <c r="F717">
        <v>2014</v>
      </c>
      <c r="G717">
        <v>14013805</v>
      </c>
      <c r="H717" s="1">
        <v>41666</v>
      </c>
      <c r="I717" s="1">
        <v>41675</v>
      </c>
      <c r="J717" s="1">
        <v>41675</v>
      </c>
      <c r="K717" s="1">
        <v>41765</v>
      </c>
      <c r="N717" s="5"/>
      <c r="O717">
        <v>790.33</v>
      </c>
      <c r="P717">
        <v>296</v>
      </c>
      <c r="Q717" s="2">
        <v>233937.68</v>
      </c>
      <c r="R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 s="1">
        <v>42382</v>
      </c>
      <c r="AC717" t="s">
        <v>53</v>
      </c>
      <c r="AD717" t="s">
        <v>53</v>
      </c>
      <c r="AK717">
        <v>0</v>
      </c>
      <c r="AU717" s="6">
        <v>42061</v>
      </c>
      <c r="AV717" s="6">
        <v>42061</v>
      </c>
      <c r="AW717" t="s">
        <v>54</v>
      </c>
      <c r="AX717" t="str">
        <f t="shared" si="59"/>
        <v>FOR</v>
      </c>
      <c r="AY717" t="s">
        <v>55</v>
      </c>
    </row>
    <row r="718" spans="1:51" hidden="1">
      <c r="A718">
        <v>100210</v>
      </c>
      <c r="B718" t="s">
        <v>103</v>
      </c>
      <c r="C718" t="str">
        <f t="shared" ref="C718:D737" si="60">"08082461008"</f>
        <v>08082461008</v>
      </c>
      <c r="D718" t="str">
        <f t="shared" si="60"/>
        <v>08082461008</v>
      </c>
      <c r="E718" t="s">
        <v>52</v>
      </c>
      <c r="F718">
        <v>2014</v>
      </c>
      <c r="G718">
        <v>14014424</v>
      </c>
      <c r="H718" s="1">
        <v>41667</v>
      </c>
      <c r="I718" s="1">
        <v>41691</v>
      </c>
      <c r="J718" s="1">
        <v>41691</v>
      </c>
      <c r="K718" s="1">
        <v>41781</v>
      </c>
      <c r="N718" s="5"/>
      <c r="O718">
        <v>295.14</v>
      </c>
      <c r="P718">
        <v>280</v>
      </c>
      <c r="Q718" s="2">
        <v>82639.199999999997</v>
      </c>
      <c r="R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 s="1">
        <v>42382</v>
      </c>
      <c r="AC718" t="s">
        <v>53</v>
      </c>
      <c r="AD718" t="s">
        <v>53</v>
      </c>
      <c r="AK718">
        <v>0</v>
      </c>
      <c r="AU718" s="6">
        <v>42061</v>
      </c>
      <c r="AV718" s="6">
        <v>42061</v>
      </c>
      <c r="AW718" t="s">
        <v>54</v>
      </c>
      <c r="AX718" t="str">
        <f t="shared" si="59"/>
        <v>FOR</v>
      </c>
      <c r="AY718" t="s">
        <v>55</v>
      </c>
    </row>
    <row r="719" spans="1:51" hidden="1">
      <c r="A719">
        <v>100210</v>
      </c>
      <c r="B719" t="s">
        <v>103</v>
      </c>
      <c r="C719" t="str">
        <f t="shared" si="60"/>
        <v>08082461008</v>
      </c>
      <c r="D719" t="str">
        <f t="shared" si="60"/>
        <v>08082461008</v>
      </c>
      <c r="E719" t="s">
        <v>52</v>
      </c>
      <c r="F719">
        <v>2014</v>
      </c>
      <c r="G719">
        <v>14014427</v>
      </c>
      <c r="H719" s="1">
        <v>41667</v>
      </c>
      <c r="I719" s="1">
        <v>41691</v>
      </c>
      <c r="J719" s="1">
        <v>41691</v>
      </c>
      <c r="K719" s="1">
        <v>41781</v>
      </c>
      <c r="N719" s="5"/>
      <c r="O719">
        <v>488.24</v>
      </c>
      <c r="P719">
        <v>280</v>
      </c>
      <c r="Q719" s="2">
        <v>136707.20000000001</v>
      </c>
      <c r="R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 s="1">
        <v>42382</v>
      </c>
      <c r="AC719" t="s">
        <v>53</v>
      </c>
      <c r="AD719" t="s">
        <v>53</v>
      </c>
      <c r="AK719">
        <v>0</v>
      </c>
      <c r="AU719" s="6">
        <v>42061</v>
      </c>
      <c r="AV719" s="6">
        <v>42061</v>
      </c>
      <c r="AW719" t="s">
        <v>54</v>
      </c>
      <c r="AX719" t="str">
        <f t="shared" si="59"/>
        <v>FOR</v>
      </c>
      <c r="AY719" t="s">
        <v>55</v>
      </c>
    </row>
    <row r="720" spans="1:51" hidden="1">
      <c r="A720">
        <v>100210</v>
      </c>
      <c r="B720" t="s">
        <v>103</v>
      </c>
      <c r="C720" t="str">
        <f t="shared" si="60"/>
        <v>08082461008</v>
      </c>
      <c r="D720" t="str">
        <f t="shared" si="60"/>
        <v>08082461008</v>
      </c>
      <c r="E720" t="s">
        <v>52</v>
      </c>
      <c r="F720">
        <v>2014</v>
      </c>
      <c r="G720">
        <v>14014430</v>
      </c>
      <c r="H720" s="1">
        <v>41667</v>
      </c>
      <c r="I720" s="1">
        <v>41691</v>
      </c>
      <c r="J720" s="1">
        <v>41691</v>
      </c>
      <c r="K720" s="1">
        <v>41781</v>
      </c>
      <c r="N720" s="5"/>
      <c r="O720">
        <v>228.38</v>
      </c>
      <c r="P720">
        <v>280</v>
      </c>
      <c r="Q720" s="2">
        <v>63946.400000000001</v>
      </c>
      <c r="R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 s="1">
        <v>42382</v>
      </c>
      <c r="AC720" t="s">
        <v>53</v>
      </c>
      <c r="AD720" t="s">
        <v>53</v>
      </c>
      <c r="AK720">
        <v>0</v>
      </c>
      <c r="AU720" s="6">
        <v>42061</v>
      </c>
      <c r="AV720" s="6">
        <v>42061</v>
      </c>
      <c r="AW720" t="s">
        <v>54</v>
      </c>
      <c r="AX720" t="str">
        <f t="shared" si="59"/>
        <v>FOR</v>
      </c>
      <c r="AY720" t="s">
        <v>55</v>
      </c>
    </row>
    <row r="721" spans="1:51" hidden="1">
      <c r="A721">
        <v>100210</v>
      </c>
      <c r="B721" t="s">
        <v>103</v>
      </c>
      <c r="C721" t="str">
        <f t="shared" si="60"/>
        <v>08082461008</v>
      </c>
      <c r="D721" t="str">
        <f t="shared" si="60"/>
        <v>08082461008</v>
      </c>
      <c r="E721" t="s">
        <v>52</v>
      </c>
      <c r="F721">
        <v>2014</v>
      </c>
      <c r="G721">
        <v>14014859</v>
      </c>
      <c r="H721" s="1">
        <v>41667</v>
      </c>
      <c r="I721" s="1">
        <v>41691</v>
      </c>
      <c r="J721" s="1">
        <v>41691</v>
      </c>
      <c r="K721" s="1">
        <v>41781</v>
      </c>
      <c r="N721" s="5"/>
      <c r="O721" s="2">
        <v>18403.84</v>
      </c>
      <c r="P721">
        <v>280</v>
      </c>
      <c r="Q721" s="2">
        <v>5153075.2000000002</v>
      </c>
      <c r="R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 s="1">
        <v>42382</v>
      </c>
      <c r="AC721" t="s">
        <v>53</v>
      </c>
      <c r="AD721" t="s">
        <v>53</v>
      </c>
      <c r="AK721">
        <v>0</v>
      </c>
      <c r="AU721" s="6">
        <v>42061</v>
      </c>
      <c r="AV721" s="6">
        <v>42061</v>
      </c>
      <c r="AW721" t="s">
        <v>54</v>
      </c>
      <c r="AX721" t="str">
        <f t="shared" si="59"/>
        <v>FOR</v>
      </c>
      <c r="AY721" t="s">
        <v>55</v>
      </c>
    </row>
    <row r="722" spans="1:51" hidden="1">
      <c r="A722">
        <v>100210</v>
      </c>
      <c r="B722" t="s">
        <v>103</v>
      </c>
      <c r="C722" t="str">
        <f t="shared" si="60"/>
        <v>08082461008</v>
      </c>
      <c r="D722" t="str">
        <f t="shared" si="60"/>
        <v>08082461008</v>
      </c>
      <c r="E722" t="s">
        <v>52</v>
      </c>
      <c r="F722">
        <v>2014</v>
      </c>
      <c r="G722">
        <v>14015181</v>
      </c>
      <c r="H722" s="1">
        <v>41668</v>
      </c>
      <c r="I722" s="1">
        <v>41684</v>
      </c>
      <c r="J722" s="1">
        <v>41684</v>
      </c>
      <c r="K722" s="1">
        <v>41774</v>
      </c>
      <c r="N722" s="5"/>
      <c r="O722">
        <v>371.86</v>
      </c>
      <c r="P722">
        <v>287</v>
      </c>
      <c r="Q722" s="2">
        <v>106723.82</v>
      </c>
      <c r="R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 s="1">
        <v>42382</v>
      </c>
      <c r="AC722" t="s">
        <v>53</v>
      </c>
      <c r="AD722" t="s">
        <v>53</v>
      </c>
      <c r="AK722">
        <v>0</v>
      </c>
      <c r="AU722" s="6">
        <v>42061</v>
      </c>
      <c r="AV722" s="6">
        <v>42061</v>
      </c>
      <c r="AW722" t="s">
        <v>54</v>
      </c>
      <c r="AX722" t="str">
        <f t="shared" si="59"/>
        <v>FOR</v>
      </c>
      <c r="AY722" t="s">
        <v>55</v>
      </c>
    </row>
    <row r="723" spans="1:51" hidden="1">
      <c r="A723">
        <v>100210</v>
      </c>
      <c r="B723" t="s">
        <v>103</v>
      </c>
      <c r="C723" t="str">
        <f t="shared" si="60"/>
        <v>08082461008</v>
      </c>
      <c r="D723" t="str">
        <f t="shared" si="60"/>
        <v>08082461008</v>
      </c>
      <c r="E723" t="s">
        <v>52</v>
      </c>
      <c r="F723">
        <v>2014</v>
      </c>
      <c r="G723">
        <v>14015931</v>
      </c>
      <c r="H723" s="1">
        <v>41669</v>
      </c>
      <c r="I723" s="1">
        <v>41684</v>
      </c>
      <c r="J723" s="1">
        <v>41684</v>
      </c>
      <c r="K723" s="1">
        <v>41774</v>
      </c>
      <c r="N723" s="5"/>
      <c r="O723">
        <v>663.19</v>
      </c>
      <c r="P723">
        <v>287</v>
      </c>
      <c r="Q723" s="2">
        <v>190335.53</v>
      </c>
      <c r="R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 s="1">
        <v>42382</v>
      </c>
      <c r="AC723" t="s">
        <v>53</v>
      </c>
      <c r="AD723" t="s">
        <v>53</v>
      </c>
      <c r="AK723">
        <v>0</v>
      </c>
      <c r="AU723" s="6">
        <v>42061</v>
      </c>
      <c r="AV723" s="6">
        <v>42061</v>
      </c>
      <c r="AW723" t="s">
        <v>54</v>
      </c>
      <c r="AX723" t="str">
        <f t="shared" si="59"/>
        <v>FOR</v>
      </c>
      <c r="AY723" t="s">
        <v>55</v>
      </c>
    </row>
    <row r="724" spans="1:51" hidden="1">
      <c r="A724">
        <v>100210</v>
      </c>
      <c r="B724" t="s">
        <v>103</v>
      </c>
      <c r="C724" t="str">
        <f t="shared" si="60"/>
        <v>08082461008</v>
      </c>
      <c r="D724" t="str">
        <f t="shared" si="60"/>
        <v>08082461008</v>
      </c>
      <c r="E724" t="s">
        <v>52</v>
      </c>
      <c r="F724">
        <v>2014</v>
      </c>
      <c r="G724">
        <v>14015932</v>
      </c>
      <c r="H724" s="1">
        <v>41669</v>
      </c>
      <c r="I724" s="1">
        <v>41684</v>
      </c>
      <c r="J724" s="1">
        <v>41684</v>
      </c>
      <c r="K724" s="1">
        <v>41774</v>
      </c>
      <c r="N724" s="5"/>
      <c r="O724">
        <v>282.19</v>
      </c>
      <c r="P724">
        <v>287</v>
      </c>
      <c r="Q724" s="2">
        <v>80988.53</v>
      </c>
      <c r="R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 s="1">
        <v>42382</v>
      </c>
      <c r="AC724" t="s">
        <v>53</v>
      </c>
      <c r="AD724" t="s">
        <v>53</v>
      </c>
      <c r="AK724">
        <v>0</v>
      </c>
      <c r="AU724" s="6">
        <v>42061</v>
      </c>
      <c r="AV724" s="6">
        <v>42061</v>
      </c>
      <c r="AW724" t="s">
        <v>54</v>
      </c>
      <c r="AX724" t="str">
        <f t="shared" si="59"/>
        <v>FOR</v>
      </c>
      <c r="AY724" t="s">
        <v>55</v>
      </c>
    </row>
    <row r="725" spans="1:51" hidden="1">
      <c r="A725">
        <v>100210</v>
      </c>
      <c r="B725" t="s">
        <v>103</v>
      </c>
      <c r="C725" t="str">
        <f t="shared" si="60"/>
        <v>08082461008</v>
      </c>
      <c r="D725" t="str">
        <f t="shared" si="60"/>
        <v>08082461008</v>
      </c>
      <c r="E725" t="s">
        <v>52</v>
      </c>
      <c r="F725">
        <v>2014</v>
      </c>
      <c r="G725">
        <v>14015934</v>
      </c>
      <c r="H725" s="1">
        <v>41669</v>
      </c>
      <c r="I725" s="1">
        <v>41684</v>
      </c>
      <c r="J725" s="1">
        <v>41684</v>
      </c>
      <c r="K725" s="1">
        <v>41774</v>
      </c>
      <c r="N725" s="5"/>
      <c r="O725">
        <v>663.19</v>
      </c>
      <c r="P725">
        <v>287</v>
      </c>
      <c r="Q725" s="2">
        <v>190335.53</v>
      </c>
      <c r="R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 s="1">
        <v>42382</v>
      </c>
      <c r="AC725" t="s">
        <v>53</v>
      </c>
      <c r="AD725" t="s">
        <v>53</v>
      </c>
      <c r="AK725">
        <v>0</v>
      </c>
      <c r="AU725" s="6">
        <v>42061</v>
      </c>
      <c r="AV725" s="6">
        <v>42061</v>
      </c>
      <c r="AW725" t="s">
        <v>54</v>
      </c>
      <c r="AX725" t="str">
        <f t="shared" si="59"/>
        <v>FOR</v>
      </c>
      <c r="AY725" t="s">
        <v>55</v>
      </c>
    </row>
    <row r="726" spans="1:51" hidden="1">
      <c r="A726">
        <v>100210</v>
      </c>
      <c r="B726" t="s">
        <v>103</v>
      </c>
      <c r="C726" t="str">
        <f t="shared" si="60"/>
        <v>08082461008</v>
      </c>
      <c r="D726" t="str">
        <f t="shared" si="60"/>
        <v>08082461008</v>
      </c>
      <c r="E726" t="s">
        <v>52</v>
      </c>
      <c r="F726">
        <v>2014</v>
      </c>
      <c r="G726">
        <v>14015935</v>
      </c>
      <c r="H726" s="1">
        <v>41669</v>
      </c>
      <c r="I726" s="1">
        <v>41684</v>
      </c>
      <c r="J726" s="1">
        <v>41684</v>
      </c>
      <c r="K726" s="1">
        <v>41774</v>
      </c>
      <c r="N726" s="5"/>
      <c r="O726">
        <v>317.69</v>
      </c>
      <c r="P726">
        <v>287</v>
      </c>
      <c r="Q726" s="2">
        <v>91177.03</v>
      </c>
      <c r="R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 s="1">
        <v>42382</v>
      </c>
      <c r="AC726" t="s">
        <v>53</v>
      </c>
      <c r="AD726" t="s">
        <v>53</v>
      </c>
      <c r="AK726">
        <v>0</v>
      </c>
      <c r="AU726" s="6">
        <v>42061</v>
      </c>
      <c r="AV726" s="6">
        <v>42061</v>
      </c>
      <c r="AW726" t="s">
        <v>54</v>
      </c>
      <c r="AX726" t="str">
        <f t="shared" si="59"/>
        <v>FOR</v>
      </c>
      <c r="AY726" t="s">
        <v>55</v>
      </c>
    </row>
    <row r="727" spans="1:51" hidden="1">
      <c r="A727">
        <v>100210</v>
      </c>
      <c r="B727" t="s">
        <v>103</v>
      </c>
      <c r="C727" t="str">
        <f t="shared" si="60"/>
        <v>08082461008</v>
      </c>
      <c r="D727" t="str">
        <f t="shared" si="60"/>
        <v>08082461008</v>
      </c>
      <c r="E727" t="s">
        <v>52</v>
      </c>
      <c r="F727">
        <v>2014</v>
      </c>
      <c r="G727">
        <v>14016237</v>
      </c>
      <c r="H727" s="1">
        <v>41669</v>
      </c>
      <c r="I727" s="1">
        <v>41684</v>
      </c>
      <c r="J727" s="1">
        <v>41684</v>
      </c>
      <c r="K727" s="1">
        <v>41774</v>
      </c>
      <c r="N727" s="5"/>
      <c r="O727" s="2">
        <v>6639.24</v>
      </c>
      <c r="P727">
        <v>287</v>
      </c>
      <c r="Q727" s="2">
        <v>1905461.88</v>
      </c>
      <c r="R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 s="1">
        <v>42382</v>
      </c>
      <c r="AC727" t="s">
        <v>53</v>
      </c>
      <c r="AD727" t="s">
        <v>53</v>
      </c>
      <c r="AK727">
        <v>0</v>
      </c>
      <c r="AU727" s="6">
        <v>42061</v>
      </c>
      <c r="AV727" s="6">
        <v>42061</v>
      </c>
      <c r="AW727" t="s">
        <v>54</v>
      </c>
      <c r="AX727" t="str">
        <f t="shared" si="59"/>
        <v>FOR</v>
      </c>
      <c r="AY727" t="s">
        <v>55</v>
      </c>
    </row>
    <row r="728" spans="1:51" hidden="1">
      <c r="A728">
        <v>100210</v>
      </c>
      <c r="B728" t="s">
        <v>103</v>
      </c>
      <c r="C728" t="str">
        <f t="shared" si="60"/>
        <v>08082461008</v>
      </c>
      <c r="D728" t="str">
        <f t="shared" si="60"/>
        <v>08082461008</v>
      </c>
      <c r="E728" t="s">
        <v>52</v>
      </c>
      <c r="F728">
        <v>2014</v>
      </c>
      <c r="G728">
        <v>14016819</v>
      </c>
      <c r="H728" s="1">
        <v>41670</v>
      </c>
      <c r="I728" s="1">
        <v>41687</v>
      </c>
      <c r="J728" s="1">
        <v>41687</v>
      </c>
      <c r="K728" s="1">
        <v>41774</v>
      </c>
      <c r="N728" s="5"/>
      <c r="O728">
        <v>196.76</v>
      </c>
      <c r="P728">
        <v>287</v>
      </c>
      <c r="Q728" s="2">
        <v>56470.12</v>
      </c>
      <c r="R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 s="1">
        <v>42382</v>
      </c>
      <c r="AC728" t="s">
        <v>53</v>
      </c>
      <c r="AD728" t="s">
        <v>53</v>
      </c>
      <c r="AK728">
        <v>0</v>
      </c>
      <c r="AU728" s="6">
        <v>42061</v>
      </c>
      <c r="AV728" s="6">
        <v>42061</v>
      </c>
      <c r="AW728" t="s">
        <v>54</v>
      </c>
      <c r="AX728" t="str">
        <f t="shared" si="59"/>
        <v>FOR</v>
      </c>
      <c r="AY728" t="s">
        <v>55</v>
      </c>
    </row>
    <row r="729" spans="1:51" hidden="1">
      <c r="A729">
        <v>100210</v>
      </c>
      <c r="B729" t="s">
        <v>103</v>
      </c>
      <c r="C729" t="str">
        <f t="shared" si="60"/>
        <v>08082461008</v>
      </c>
      <c r="D729" t="str">
        <f t="shared" si="60"/>
        <v>08082461008</v>
      </c>
      <c r="E729" t="s">
        <v>52</v>
      </c>
      <c r="F729">
        <v>2014</v>
      </c>
      <c r="G729">
        <v>14016820</v>
      </c>
      <c r="H729" s="1">
        <v>41670</v>
      </c>
      <c r="I729" s="1">
        <v>41687</v>
      </c>
      <c r="J729" s="1">
        <v>41687</v>
      </c>
      <c r="K729" s="1">
        <v>41777</v>
      </c>
      <c r="N729" s="5"/>
      <c r="O729">
        <v>497.39</v>
      </c>
      <c r="P729">
        <v>284</v>
      </c>
      <c r="Q729" s="2">
        <v>141258.76</v>
      </c>
      <c r="R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 s="1">
        <v>42382</v>
      </c>
      <c r="AC729" t="s">
        <v>53</v>
      </c>
      <c r="AD729" t="s">
        <v>53</v>
      </c>
      <c r="AK729">
        <v>0</v>
      </c>
      <c r="AU729" s="6">
        <v>42061</v>
      </c>
      <c r="AV729" s="6">
        <v>42061</v>
      </c>
      <c r="AW729" t="s">
        <v>54</v>
      </c>
      <c r="AX729" t="str">
        <f t="shared" si="59"/>
        <v>FOR</v>
      </c>
      <c r="AY729" t="s">
        <v>55</v>
      </c>
    </row>
    <row r="730" spans="1:51" hidden="1">
      <c r="A730">
        <v>100210</v>
      </c>
      <c r="B730" t="s">
        <v>103</v>
      </c>
      <c r="C730" t="str">
        <f t="shared" si="60"/>
        <v>08082461008</v>
      </c>
      <c r="D730" t="str">
        <f t="shared" si="60"/>
        <v>08082461008</v>
      </c>
      <c r="E730" t="s">
        <v>52</v>
      </c>
      <c r="F730">
        <v>2014</v>
      </c>
      <c r="G730">
        <v>14017474</v>
      </c>
      <c r="H730" s="1">
        <v>41673</v>
      </c>
      <c r="I730" s="1">
        <v>41684</v>
      </c>
      <c r="J730" s="1">
        <v>41684</v>
      </c>
      <c r="K730" s="1">
        <v>41774</v>
      </c>
      <c r="N730" s="5"/>
      <c r="O730">
        <v>663.2</v>
      </c>
      <c r="P730">
        <v>328</v>
      </c>
      <c r="Q730" s="2">
        <v>217529.60000000001</v>
      </c>
      <c r="R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 s="1">
        <v>42382</v>
      </c>
      <c r="AC730" t="s">
        <v>53</v>
      </c>
      <c r="AD730" t="s">
        <v>53</v>
      </c>
      <c r="AK730">
        <v>0</v>
      </c>
      <c r="AU730" s="6">
        <v>42102</v>
      </c>
      <c r="AV730" s="6">
        <v>42102</v>
      </c>
      <c r="AW730" t="s">
        <v>54</v>
      </c>
      <c r="AX730" t="str">
        <f t="shared" si="59"/>
        <v>FOR</v>
      </c>
      <c r="AY730" t="s">
        <v>55</v>
      </c>
    </row>
    <row r="731" spans="1:51" hidden="1">
      <c r="A731">
        <v>100210</v>
      </c>
      <c r="B731" t="s">
        <v>103</v>
      </c>
      <c r="C731" t="str">
        <f t="shared" si="60"/>
        <v>08082461008</v>
      </c>
      <c r="D731" t="str">
        <f t="shared" si="60"/>
        <v>08082461008</v>
      </c>
      <c r="E731" t="s">
        <v>52</v>
      </c>
      <c r="F731">
        <v>2014</v>
      </c>
      <c r="G731">
        <v>14017722</v>
      </c>
      <c r="H731" s="1">
        <v>41673</v>
      </c>
      <c r="I731" s="1">
        <v>41684</v>
      </c>
      <c r="J731" s="1">
        <v>41684</v>
      </c>
      <c r="K731" s="1">
        <v>41774</v>
      </c>
      <c r="N731" s="5"/>
      <c r="O731">
        <v>851.6</v>
      </c>
      <c r="P731">
        <v>328</v>
      </c>
      <c r="Q731" s="2">
        <v>279324.79999999999</v>
      </c>
      <c r="R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 s="1">
        <v>42382</v>
      </c>
      <c r="AC731" t="s">
        <v>53</v>
      </c>
      <c r="AD731" t="s">
        <v>53</v>
      </c>
      <c r="AK731">
        <v>0</v>
      </c>
      <c r="AU731" s="6">
        <v>42102</v>
      </c>
      <c r="AV731" s="6">
        <v>42102</v>
      </c>
      <c r="AW731" t="s">
        <v>54</v>
      </c>
      <c r="AX731" t="str">
        <f t="shared" si="59"/>
        <v>FOR</v>
      </c>
      <c r="AY731" t="s">
        <v>55</v>
      </c>
    </row>
    <row r="732" spans="1:51" hidden="1">
      <c r="A732">
        <v>100210</v>
      </c>
      <c r="B732" t="s">
        <v>103</v>
      </c>
      <c r="C732" t="str">
        <f t="shared" si="60"/>
        <v>08082461008</v>
      </c>
      <c r="D732" t="str">
        <f t="shared" si="60"/>
        <v>08082461008</v>
      </c>
      <c r="E732" t="s">
        <v>52</v>
      </c>
      <c r="F732">
        <v>2014</v>
      </c>
      <c r="G732">
        <v>14018993</v>
      </c>
      <c r="H732" s="1">
        <v>41675</v>
      </c>
      <c r="I732" s="1">
        <v>41689</v>
      </c>
      <c r="J732" s="1">
        <v>41689</v>
      </c>
      <c r="K732" s="1">
        <v>41779</v>
      </c>
      <c r="N732" s="5"/>
      <c r="O732">
        <v>114.4</v>
      </c>
      <c r="P732">
        <v>323</v>
      </c>
      <c r="Q732" s="2">
        <v>36951.199999999997</v>
      </c>
      <c r="R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 s="1">
        <v>42382</v>
      </c>
      <c r="AC732" t="s">
        <v>53</v>
      </c>
      <c r="AD732" t="s">
        <v>53</v>
      </c>
      <c r="AK732">
        <v>0</v>
      </c>
      <c r="AU732" s="6">
        <v>42102</v>
      </c>
      <c r="AV732" s="6">
        <v>42102</v>
      </c>
      <c r="AW732" t="s">
        <v>54</v>
      </c>
      <c r="AX732" t="str">
        <f t="shared" si="59"/>
        <v>FOR</v>
      </c>
      <c r="AY732" t="s">
        <v>55</v>
      </c>
    </row>
    <row r="733" spans="1:51" hidden="1">
      <c r="A733">
        <v>100210</v>
      </c>
      <c r="B733" t="s">
        <v>103</v>
      </c>
      <c r="C733" t="str">
        <f t="shared" si="60"/>
        <v>08082461008</v>
      </c>
      <c r="D733" t="str">
        <f t="shared" si="60"/>
        <v>08082461008</v>
      </c>
      <c r="E733" t="s">
        <v>52</v>
      </c>
      <c r="F733">
        <v>2014</v>
      </c>
      <c r="G733">
        <v>14018994</v>
      </c>
      <c r="H733" s="1">
        <v>41675</v>
      </c>
      <c r="I733" s="1">
        <v>41689</v>
      </c>
      <c r="J733" s="1">
        <v>41689</v>
      </c>
      <c r="K733" s="1">
        <v>41779</v>
      </c>
      <c r="N733" s="5"/>
      <c r="O733">
        <v>114.4</v>
      </c>
      <c r="P733">
        <v>323</v>
      </c>
      <c r="Q733" s="2">
        <v>36951.199999999997</v>
      </c>
      <c r="R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 s="1">
        <v>42382</v>
      </c>
      <c r="AC733" t="s">
        <v>53</v>
      </c>
      <c r="AD733" t="s">
        <v>53</v>
      </c>
      <c r="AK733">
        <v>0</v>
      </c>
      <c r="AU733" s="6">
        <v>42102</v>
      </c>
      <c r="AV733" s="6">
        <v>42102</v>
      </c>
      <c r="AW733" t="s">
        <v>54</v>
      </c>
      <c r="AX733" t="str">
        <f t="shared" si="59"/>
        <v>FOR</v>
      </c>
      <c r="AY733" t="s">
        <v>55</v>
      </c>
    </row>
    <row r="734" spans="1:51" hidden="1">
      <c r="A734">
        <v>100210</v>
      </c>
      <c r="B734" t="s">
        <v>103</v>
      </c>
      <c r="C734" t="str">
        <f t="shared" si="60"/>
        <v>08082461008</v>
      </c>
      <c r="D734" t="str">
        <f t="shared" si="60"/>
        <v>08082461008</v>
      </c>
      <c r="E734" t="s">
        <v>52</v>
      </c>
      <c r="F734">
        <v>2014</v>
      </c>
      <c r="G734">
        <v>14018995</v>
      </c>
      <c r="H734" s="1">
        <v>41675</v>
      </c>
      <c r="I734" s="1">
        <v>41689</v>
      </c>
      <c r="J734" s="1">
        <v>41689</v>
      </c>
      <c r="K734" s="1">
        <v>41779</v>
      </c>
      <c r="N734" s="5"/>
      <c r="O734">
        <v>451.88</v>
      </c>
      <c r="P734">
        <v>323</v>
      </c>
      <c r="Q734" s="2">
        <v>145957.24</v>
      </c>
      <c r="R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 s="1">
        <v>42382</v>
      </c>
      <c r="AC734" t="s">
        <v>53</v>
      </c>
      <c r="AD734" t="s">
        <v>53</v>
      </c>
      <c r="AK734">
        <v>0</v>
      </c>
      <c r="AU734" s="6">
        <v>42102</v>
      </c>
      <c r="AV734" s="6">
        <v>42102</v>
      </c>
      <c r="AW734" t="s">
        <v>54</v>
      </c>
      <c r="AX734" t="str">
        <f t="shared" si="59"/>
        <v>FOR</v>
      </c>
      <c r="AY734" t="s">
        <v>55</v>
      </c>
    </row>
    <row r="735" spans="1:51" hidden="1">
      <c r="A735">
        <v>100210</v>
      </c>
      <c r="B735" t="s">
        <v>103</v>
      </c>
      <c r="C735" t="str">
        <f t="shared" si="60"/>
        <v>08082461008</v>
      </c>
      <c r="D735" t="str">
        <f t="shared" si="60"/>
        <v>08082461008</v>
      </c>
      <c r="E735" t="s">
        <v>52</v>
      </c>
      <c r="F735">
        <v>2014</v>
      </c>
      <c r="G735">
        <v>14018998</v>
      </c>
      <c r="H735" s="1">
        <v>41675</v>
      </c>
      <c r="I735" s="1">
        <v>41689</v>
      </c>
      <c r="J735" s="1">
        <v>41689</v>
      </c>
      <c r="K735" s="1">
        <v>41779</v>
      </c>
      <c r="N735" s="5"/>
      <c r="O735">
        <v>451.88</v>
      </c>
      <c r="P735">
        <v>323</v>
      </c>
      <c r="Q735" s="2">
        <v>145957.24</v>
      </c>
      <c r="R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 s="1">
        <v>42382</v>
      </c>
      <c r="AC735" t="s">
        <v>53</v>
      </c>
      <c r="AD735" t="s">
        <v>53</v>
      </c>
      <c r="AK735">
        <v>0</v>
      </c>
      <c r="AU735" s="6">
        <v>42102</v>
      </c>
      <c r="AV735" s="6">
        <v>42102</v>
      </c>
      <c r="AW735" t="s">
        <v>54</v>
      </c>
      <c r="AX735" t="str">
        <f t="shared" si="59"/>
        <v>FOR</v>
      </c>
      <c r="AY735" t="s">
        <v>55</v>
      </c>
    </row>
    <row r="736" spans="1:51" hidden="1">
      <c r="A736">
        <v>100210</v>
      </c>
      <c r="B736" t="s">
        <v>103</v>
      </c>
      <c r="C736" t="str">
        <f t="shared" si="60"/>
        <v>08082461008</v>
      </c>
      <c r="D736" t="str">
        <f t="shared" si="60"/>
        <v>08082461008</v>
      </c>
      <c r="E736" t="s">
        <v>52</v>
      </c>
      <c r="F736">
        <v>2014</v>
      </c>
      <c r="G736">
        <v>14018999</v>
      </c>
      <c r="H736" s="1">
        <v>41675</v>
      </c>
      <c r="I736" s="1">
        <v>41689</v>
      </c>
      <c r="J736" s="1">
        <v>41689</v>
      </c>
      <c r="K736" s="1">
        <v>41779</v>
      </c>
      <c r="N736" s="5"/>
      <c r="O736">
        <v>451.88</v>
      </c>
      <c r="P736">
        <v>323</v>
      </c>
      <c r="Q736" s="2">
        <v>145957.24</v>
      </c>
      <c r="R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 s="1">
        <v>42382</v>
      </c>
      <c r="AC736" t="s">
        <v>53</v>
      </c>
      <c r="AD736" t="s">
        <v>53</v>
      </c>
      <c r="AK736">
        <v>0</v>
      </c>
      <c r="AU736" s="6">
        <v>42102</v>
      </c>
      <c r="AV736" s="6">
        <v>42102</v>
      </c>
      <c r="AW736" t="s">
        <v>54</v>
      </c>
      <c r="AX736" t="str">
        <f t="shared" si="59"/>
        <v>FOR</v>
      </c>
      <c r="AY736" t="s">
        <v>55</v>
      </c>
    </row>
    <row r="737" spans="1:51" hidden="1">
      <c r="A737">
        <v>100210</v>
      </c>
      <c r="B737" t="s">
        <v>103</v>
      </c>
      <c r="C737" t="str">
        <f t="shared" si="60"/>
        <v>08082461008</v>
      </c>
      <c r="D737" t="str">
        <f t="shared" si="60"/>
        <v>08082461008</v>
      </c>
      <c r="E737" t="s">
        <v>52</v>
      </c>
      <c r="F737">
        <v>2014</v>
      </c>
      <c r="G737">
        <v>14019000</v>
      </c>
      <c r="H737" s="1">
        <v>41675</v>
      </c>
      <c r="I737" s="1">
        <v>41689</v>
      </c>
      <c r="J737" s="1">
        <v>41689</v>
      </c>
      <c r="K737" s="1">
        <v>41779</v>
      </c>
      <c r="N737" s="5"/>
      <c r="O737">
        <v>451.88</v>
      </c>
      <c r="P737">
        <v>323</v>
      </c>
      <c r="Q737" s="2">
        <v>145957.24</v>
      </c>
      <c r="R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 s="1">
        <v>42382</v>
      </c>
      <c r="AC737" t="s">
        <v>53</v>
      </c>
      <c r="AD737" t="s">
        <v>53</v>
      </c>
      <c r="AK737">
        <v>0</v>
      </c>
      <c r="AU737" s="6">
        <v>42102</v>
      </c>
      <c r="AV737" s="6">
        <v>42102</v>
      </c>
      <c r="AW737" t="s">
        <v>54</v>
      </c>
      <c r="AX737" t="str">
        <f t="shared" si="59"/>
        <v>FOR</v>
      </c>
      <c r="AY737" t="s">
        <v>55</v>
      </c>
    </row>
    <row r="738" spans="1:51" hidden="1">
      <c r="A738">
        <v>100210</v>
      </c>
      <c r="B738" t="s">
        <v>103</v>
      </c>
      <c r="C738" t="str">
        <f t="shared" ref="C738:D757" si="61">"08082461008"</f>
        <v>08082461008</v>
      </c>
      <c r="D738" t="str">
        <f t="shared" si="61"/>
        <v>08082461008</v>
      </c>
      <c r="E738" t="s">
        <v>52</v>
      </c>
      <c r="F738">
        <v>2014</v>
      </c>
      <c r="G738">
        <v>14019002</v>
      </c>
      <c r="H738" s="1">
        <v>41675</v>
      </c>
      <c r="I738" s="1">
        <v>41689</v>
      </c>
      <c r="J738" s="1">
        <v>41689</v>
      </c>
      <c r="K738" s="1">
        <v>41779</v>
      </c>
      <c r="N738" s="5"/>
      <c r="O738">
        <v>45.76</v>
      </c>
      <c r="P738">
        <v>323</v>
      </c>
      <c r="Q738" s="2">
        <v>14780.48</v>
      </c>
      <c r="R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 s="1">
        <v>42382</v>
      </c>
      <c r="AC738" t="s">
        <v>53</v>
      </c>
      <c r="AD738" t="s">
        <v>53</v>
      </c>
      <c r="AK738">
        <v>0</v>
      </c>
      <c r="AU738" s="6">
        <v>42102</v>
      </c>
      <c r="AV738" s="6">
        <v>42102</v>
      </c>
      <c r="AW738" t="s">
        <v>54</v>
      </c>
      <c r="AX738" t="str">
        <f t="shared" si="59"/>
        <v>FOR</v>
      </c>
      <c r="AY738" t="s">
        <v>55</v>
      </c>
    </row>
    <row r="739" spans="1:51" hidden="1">
      <c r="A739">
        <v>100210</v>
      </c>
      <c r="B739" t="s">
        <v>103</v>
      </c>
      <c r="C739" t="str">
        <f t="shared" si="61"/>
        <v>08082461008</v>
      </c>
      <c r="D739" t="str">
        <f t="shared" si="61"/>
        <v>08082461008</v>
      </c>
      <c r="E739" t="s">
        <v>52</v>
      </c>
      <c r="F739">
        <v>2014</v>
      </c>
      <c r="G739">
        <v>14019004</v>
      </c>
      <c r="H739" s="1">
        <v>41675</v>
      </c>
      <c r="I739" s="1">
        <v>41689</v>
      </c>
      <c r="J739" s="1">
        <v>41689</v>
      </c>
      <c r="K739" s="1">
        <v>41779</v>
      </c>
      <c r="N739" s="5"/>
      <c r="O739">
        <v>45.76</v>
      </c>
      <c r="P739">
        <v>323</v>
      </c>
      <c r="Q739" s="2">
        <v>14780.48</v>
      </c>
      <c r="R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 s="1">
        <v>42382</v>
      </c>
      <c r="AC739" t="s">
        <v>53</v>
      </c>
      <c r="AD739" t="s">
        <v>53</v>
      </c>
      <c r="AK739">
        <v>0</v>
      </c>
      <c r="AU739" s="6">
        <v>42102</v>
      </c>
      <c r="AV739" s="6">
        <v>42102</v>
      </c>
      <c r="AW739" t="s">
        <v>54</v>
      </c>
      <c r="AX739" t="str">
        <f t="shared" si="59"/>
        <v>FOR</v>
      </c>
      <c r="AY739" t="s">
        <v>55</v>
      </c>
    </row>
    <row r="740" spans="1:51" hidden="1">
      <c r="A740">
        <v>100210</v>
      </c>
      <c r="B740" t="s">
        <v>103</v>
      </c>
      <c r="C740" t="str">
        <f t="shared" si="61"/>
        <v>08082461008</v>
      </c>
      <c r="D740" t="str">
        <f t="shared" si="61"/>
        <v>08082461008</v>
      </c>
      <c r="E740" t="s">
        <v>52</v>
      </c>
      <c r="F740">
        <v>2014</v>
      </c>
      <c r="G740">
        <v>14019005</v>
      </c>
      <c r="H740" s="1">
        <v>41675</v>
      </c>
      <c r="I740" s="1">
        <v>41689</v>
      </c>
      <c r="J740" s="1">
        <v>41689</v>
      </c>
      <c r="K740" s="1">
        <v>41779</v>
      </c>
      <c r="N740" s="5"/>
      <c r="O740">
        <v>45.76</v>
      </c>
      <c r="P740">
        <v>323</v>
      </c>
      <c r="Q740" s="2">
        <v>14780.48</v>
      </c>
      <c r="R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 s="1">
        <v>42382</v>
      </c>
      <c r="AC740" t="s">
        <v>53</v>
      </c>
      <c r="AD740" t="s">
        <v>53</v>
      </c>
      <c r="AK740">
        <v>0</v>
      </c>
      <c r="AU740" s="6">
        <v>42102</v>
      </c>
      <c r="AV740" s="6">
        <v>42102</v>
      </c>
      <c r="AW740" t="s">
        <v>54</v>
      </c>
      <c r="AX740" t="str">
        <f t="shared" si="59"/>
        <v>FOR</v>
      </c>
      <c r="AY740" t="s">
        <v>55</v>
      </c>
    </row>
    <row r="741" spans="1:51" hidden="1">
      <c r="A741">
        <v>100210</v>
      </c>
      <c r="B741" t="s">
        <v>103</v>
      </c>
      <c r="C741" t="str">
        <f t="shared" si="61"/>
        <v>08082461008</v>
      </c>
      <c r="D741" t="str">
        <f t="shared" si="61"/>
        <v>08082461008</v>
      </c>
      <c r="E741" t="s">
        <v>52</v>
      </c>
      <c r="F741">
        <v>2014</v>
      </c>
      <c r="G741">
        <v>14019007</v>
      </c>
      <c r="H741" s="1">
        <v>41675</v>
      </c>
      <c r="I741" s="1">
        <v>41689</v>
      </c>
      <c r="J741" s="1">
        <v>41689</v>
      </c>
      <c r="K741" s="1">
        <v>41779</v>
      </c>
      <c r="N741" s="5"/>
      <c r="O741">
        <v>45.76</v>
      </c>
      <c r="P741">
        <v>323</v>
      </c>
      <c r="Q741" s="2">
        <v>14780.48</v>
      </c>
      <c r="R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 s="1">
        <v>42382</v>
      </c>
      <c r="AC741" t="s">
        <v>53</v>
      </c>
      <c r="AD741" t="s">
        <v>53</v>
      </c>
      <c r="AK741">
        <v>0</v>
      </c>
      <c r="AU741" s="6">
        <v>42102</v>
      </c>
      <c r="AV741" s="6">
        <v>42102</v>
      </c>
      <c r="AW741" t="s">
        <v>54</v>
      </c>
      <c r="AX741" t="str">
        <f t="shared" si="59"/>
        <v>FOR</v>
      </c>
      <c r="AY741" t="s">
        <v>55</v>
      </c>
    </row>
    <row r="742" spans="1:51" hidden="1">
      <c r="A742">
        <v>100210</v>
      </c>
      <c r="B742" t="s">
        <v>103</v>
      </c>
      <c r="C742" t="str">
        <f t="shared" si="61"/>
        <v>08082461008</v>
      </c>
      <c r="D742" t="str">
        <f t="shared" si="61"/>
        <v>08082461008</v>
      </c>
      <c r="E742" t="s">
        <v>52</v>
      </c>
      <c r="F742">
        <v>2014</v>
      </c>
      <c r="G742">
        <v>14019655</v>
      </c>
      <c r="H742" s="1">
        <v>41676</v>
      </c>
      <c r="I742" s="1">
        <v>41689</v>
      </c>
      <c r="J742" s="1">
        <v>41689</v>
      </c>
      <c r="K742" s="1">
        <v>41779</v>
      </c>
      <c r="N742" s="5"/>
      <c r="O742">
        <v>728</v>
      </c>
      <c r="P742">
        <v>323</v>
      </c>
      <c r="Q742" s="2">
        <v>235144</v>
      </c>
      <c r="R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 s="1">
        <v>42382</v>
      </c>
      <c r="AC742" t="s">
        <v>53</v>
      </c>
      <c r="AD742" t="s">
        <v>53</v>
      </c>
      <c r="AK742">
        <v>0</v>
      </c>
      <c r="AU742" s="6">
        <v>42102</v>
      </c>
      <c r="AV742" s="6">
        <v>42102</v>
      </c>
      <c r="AW742" t="s">
        <v>54</v>
      </c>
      <c r="AX742" t="str">
        <f t="shared" si="59"/>
        <v>FOR</v>
      </c>
      <c r="AY742" t="s">
        <v>55</v>
      </c>
    </row>
    <row r="743" spans="1:51" hidden="1">
      <c r="A743">
        <v>100210</v>
      </c>
      <c r="B743" t="s">
        <v>103</v>
      </c>
      <c r="C743" t="str">
        <f t="shared" si="61"/>
        <v>08082461008</v>
      </c>
      <c r="D743" t="str">
        <f t="shared" si="61"/>
        <v>08082461008</v>
      </c>
      <c r="E743" t="s">
        <v>52</v>
      </c>
      <c r="F743">
        <v>2014</v>
      </c>
      <c r="G743">
        <v>14021410</v>
      </c>
      <c r="H743" s="1">
        <v>41680</v>
      </c>
      <c r="I743" s="1">
        <v>41691</v>
      </c>
      <c r="J743" s="1">
        <v>41691</v>
      </c>
      <c r="K743" s="1">
        <v>41781</v>
      </c>
      <c r="N743" s="5"/>
      <c r="O743" s="2">
        <v>11635.95</v>
      </c>
      <c r="P743">
        <v>321</v>
      </c>
      <c r="Q743" s="2">
        <v>3735139.95</v>
      </c>
      <c r="R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 s="1">
        <v>42382</v>
      </c>
      <c r="AC743" t="s">
        <v>53</v>
      </c>
      <c r="AD743" t="s">
        <v>53</v>
      </c>
      <c r="AK743">
        <v>0</v>
      </c>
      <c r="AU743" s="6">
        <v>42102</v>
      </c>
      <c r="AV743" s="6">
        <v>42102</v>
      </c>
      <c r="AW743" t="s">
        <v>54</v>
      </c>
      <c r="AX743" t="str">
        <f t="shared" si="59"/>
        <v>FOR</v>
      </c>
      <c r="AY743" t="s">
        <v>55</v>
      </c>
    </row>
    <row r="744" spans="1:51" hidden="1">
      <c r="A744">
        <v>100210</v>
      </c>
      <c r="B744" t="s">
        <v>103</v>
      </c>
      <c r="C744" t="str">
        <f t="shared" si="61"/>
        <v>08082461008</v>
      </c>
      <c r="D744" t="str">
        <f t="shared" si="61"/>
        <v>08082461008</v>
      </c>
      <c r="E744" t="s">
        <v>52</v>
      </c>
      <c r="F744">
        <v>2014</v>
      </c>
      <c r="G744">
        <v>14021870</v>
      </c>
      <c r="H744" s="1">
        <v>41680</v>
      </c>
      <c r="I744" s="1">
        <v>41691</v>
      </c>
      <c r="J744" s="1">
        <v>41691</v>
      </c>
      <c r="K744" s="1">
        <v>41781</v>
      </c>
      <c r="N744" s="5"/>
      <c r="O744" s="2">
        <v>3139.97</v>
      </c>
      <c r="P744">
        <v>321</v>
      </c>
      <c r="Q744" s="2">
        <v>1007930.37</v>
      </c>
      <c r="R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 s="1">
        <v>42382</v>
      </c>
      <c r="AC744" t="s">
        <v>53</v>
      </c>
      <c r="AD744" t="s">
        <v>53</v>
      </c>
      <c r="AK744">
        <v>0</v>
      </c>
      <c r="AU744" s="6">
        <v>42102</v>
      </c>
      <c r="AV744" s="6">
        <v>42102</v>
      </c>
      <c r="AW744" t="s">
        <v>54</v>
      </c>
      <c r="AX744" t="str">
        <f t="shared" si="59"/>
        <v>FOR</v>
      </c>
      <c r="AY744" t="s">
        <v>55</v>
      </c>
    </row>
    <row r="745" spans="1:51" hidden="1">
      <c r="A745">
        <v>100210</v>
      </c>
      <c r="B745" t="s">
        <v>103</v>
      </c>
      <c r="C745" t="str">
        <f t="shared" si="61"/>
        <v>08082461008</v>
      </c>
      <c r="D745" t="str">
        <f t="shared" si="61"/>
        <v>08082461008</v>
      </c>
      <c r="E745" t="s">
        <v>52</v>
      </c>
      <c r="F745">
        <v>2014</v>
      </c>
      <c r="G745">
        <v>14022049</v>
      </c>
      <c r="H745" s="1">
        <v>41680</v>
      </c>
      <c r="I745" s="1">
        <v>41691</v>
      </c>
      <c r="J745" s="1">
        <v>41691</v>
      </c>
      <c r="K745" s="1">
        <v>41781</v>
      </c>
      <c r="N745" s="5"/>
      <c r="O745">
        <v>428.22</v>
      </c>
      <c r="P745">
        <v>321</v>
      </c>
      <c r="Q745" s="2">
        <v>137458.62</v>
      </c>
      <c r="R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 s="1">
        <v>42382</v>
      </c>
      <c r="AC745" t="s">
        <v>53</v>
      </c>
      <c r="AD745" t="s">
        <v>53</v>
      </c>
      <c r="AK745">
        <v>0</v>
      </c>
      <c r="AU745" s="6">
        <v>42102</v>
      </c>
      <c r="AV745" s="6">
        <v>42102</v>
      </c>
      <c r="AW745" t="s">
        <v>54</v>
      </c>
      <c r="AX745" t="str">
        <f t="shared" si="59"/>
        <v>FOR</v>
      </c>
      <c r="AY745" t="s">
        <v>55</v>
      </c>
    </row>
    <row r="746" spans="1:51" hidden="1">
      <c r="A746">
        <v>100210</v>
      </c>
      <c r="B746" t="s">
        <v>103</v>
      </c>
      <c r="C746" t="str">
        <f t="shared" si="61"/>
        <v>08082461008</v>
      </c>
      <c r="D746" t="str">
        <f t="shared" si="61"/>
        <v>08082461008</v>
      </c>
      <c r="E746" t="s">
        <v>52</v>
      </c>
      <c r="F746">
        <v>2014</v>
      </c>
      <c r="G746">
        <v>14022051</v>
      </c>
      <c r="H746" s="1">
        <v>41680</v>
      </c>
      <c r="I746" s="1">
        <v>41691</v>
      </c>
      <c r="J746" s="1">
        <v>41691</v>
      </c>
      <c r="K746" s="1">
        <v>41781</v>
      </c>
      <c r="N746" s="5"/>
      <c r="O746" s="2">
        <v>3175.87</v>
      </c>
      <c r="P746">
        <v>321</v>
      </c>
      <c r="Q746" s="2">
        <v>1019454.27</v>
      </c>
      <c r="R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 s="1">
        <v>42382</v>
      </c>
      <c r="AC746" t="s">
        <v>53</v>
      </c>
      <c r="AD746" t="s">
        <v>53</v>
      </c>
      <c r="AK746">
        <v>0</v>
      </c>
      <c r="AU746" s="6">
        <v>42102</v>
      </c>
      <c r="AV746" s="6">
        <v>42102</v>
      </c>
      <c r="AW746" t="s">
        <v>54</v>
      </c>
      <c r="AX746" t="str">
        <f t="shared" si="59"/>
        <v>FOR</v>
      </c>
      <c r="AY746" t="s">
        <v>55</v>
      </c>
    </row>
    <row r="747" spans="1:51" hidden="1">
      <c r="A747">
        <v>100210</v>
      </c>
      <c r="B747" t="s">
        <v>103</v>
      </c>
      <c r="C747" t="str">
        <f t="shared" si="61"/>
        <v>08082461008</v>
      </c>
      <c r="D747" t="str">
        <f t="shared" si="61"/>
        <v>08082461008</v>
      </c>
      <c r="E747" t="s">
        <v>52</v>
      </c>
      <c r="F747">
        <v>2014</v>
      </c>
      <c r="G747">
        <v>14022206</v>
      </c>
      <c r="H747" s="1">
        <v>41680</v>
      </c>
      <c r="I747" s="1">
        <v>41691</v>
      </c>
      <c r="J747" s="1">
        <v>41691</v>
      </c>
      <c r="K747" s="1">
        <v>41781</v>
      </c>
      <c r="N747" s="5"/>
      <c r="O747" s="2">
        <v>1701.42</v>
      </c>
      <c r="P747">
        <v>321</v>
      </c>
      <c r="Q747" s="2">
        <v>546155.81999999995</v>
      </c>
      <c r="R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 s="1">
        <v>42382</v>
      </c>
      <c r="AC747" t="s">
        <v>53</v>
      </c>
      <c r="AD747" t="s">
        <v>53</v>
      </c>
      <c r="AK747">
        <v>0</v>
      </c>
      <c r="AU747" s="6">
        <v>42102</v>
      </c>
      <c r="AV747" s="6">
        <v>42102</v>
      </c>
      <c r="AW747" t="s">
        <v>54</v>
      </c>
      <c r="AX747" t="str">
        <f t="shared" si="59"/>
        <v>FOR</v>
      </c>
      <c r="AY747" t="s">
        <v>55</v>
      </c>
    </row>
    <row r="748" spans="1:51" hidden="1">
      <c r="A748">
        <v>100210</v>
      </c>
      <c r="B748" t="s">
        <v>103</v>
      </c>
      <c r="C748" t="str">
        <f t="shared" si="61"/>
        <v>08082461008</v>
      </c>
      <c r="D748" t="str">
        <f t="shared" si="61"/>
        <v>08082461008</v>
      </c>
      <c r="E748" t="s">
        <v>52</v>
      </c>
      <c r="F748">
        <v>2014</v>
      </c>
      <c r="G748">
        <v>14022207</v>
      </c>
      <c r="H748" s="1">
        <v>41680</v>
      </c>
      <c r="I748" s="1">
        <v>41691</v>
      </c>
      <c r="J748" s="1">
        <v>41691</v>
      </c>
      <c r="K748" s="1">
        <v>41781</v>
      </c>
      <c r="N748" s="5"/>
      <c r="O748" s="2">
        <v>2002.17</v>
      </c>
      <c r="P748">
        <v>321</v>
      </c>
      <c r="Q748" s="2">
        <v>642696.56999999995</v>
      </c>
      <c r="R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 s="1">
        <v>42382</v>
      </c>
      <c r="AC748" t="s">
        <v>53</v>
      </c>
      <c r="AD748" t="s">
        <v>53</v>
      </c>
      <c r="AK748">
        <v>0</v>
      </c>
      <c r="AU748" s="6">
        <v>42102</v>
      </c>
      <c r="AV748" s="6">
        <v>42102</v>
      </c>
      <c r="AW748" t="s">
        <v>54</v>
      </c>
      <c r="AX748" t="str">
        <f t="shared" si="59"/>
        <v>FOR</v>
      </c>
      <c r="AY748" t="s">
        <v>55</v>
      </c>
    </row>
    <row r="749" spans="1:51" hidden="1">
      <c r="A749">
        <v>100210</v>
      </c>
      <c r="B749" t="s">
        <v>103</v>
      </c>
      <c r="C749" t="str">
        <f t="shared" si="61"/>
        <v>08082461008</v>
      </c>
      <c r="D749" t="str">
        <f t="shared" si="61"/>
        <v>08082461008</v>
      </c>
      <c r="E749" t="s">
        <v>52</v>
      </c>
      <c r="F749">
        <v>2014</v>
      </c>
      <c r="G749">
        <v>14022224</v>
      </c>
      <c r="H749" s="1">
        <v>41680</v>
      </c>
      <c r="I749" s="1">
        <v>41691</v>
      </c>
      <c r="J749" s="1">
        <v>41691</v>
      </c>
      <c r="K749" s="1">
        <v>41781</v>
      </c>
      <c r="N749" s="5"/>
      <c r="O749" s="2">
        <v>10878.98</v>
      </c>
      <c r="P749">
        <v>321</v>
      </c>
      <c r="Q749" s="2">
        <v>3492152.58</v>
      </c>
      <c r="R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 s="1">
        <v>42382</v>
      </c>
      <c r="AC749" t="s">
        <v>53</v>
      </c>
      <c r="AD749" t="s">
        <v>53</v>
      </c>
      <c r="AK749">
        <v>0</v>
      </c>
      <c r="AU749" s="6">
        <v>42102</v>
      </c>
      <c r="AV749" s="6">
        <v>42102</v>
      </c>
      <c r="AW749" t="s">
        <v>54</v>
      </c>
      <c r="AX749" t="str">
        <f t="shared" si="59"/>
        <v>FOR</v>
      </c>
      <c r="AY749" t="s">
        <v>55</v>
      </c>
    </row>
    <row r="750" spans="1:51" hidden="1">
      <c r="A750">
        <v>100210</v>
      </c>
      <c r="B750" t="s">
        <v>103</v>
      </c>
      <c r="C750" t="str">
        <f t="shared" si="61"/>
        <v>08082461008</v>
      </c>
      <c r="D750" t="str">
        <f t="shared" si="61"/>
        <v>08082461008</v>
      </c>
      <c r="E750" t="s">
        <v>52</v>
      </c>
      <c r="F750">
        <v>2014</v>
      </c>
      <c r="G750">
        <v>14022402</v>
      </c>
      <c r="H750" s="1">
        <v>41681</v>
      </c>
      <c r="I750" s="1">
        <v>41695</v>
      </c>
      <c r="J750" s="1">
        <v>41695</v>
      </c>
      <c r="K750" s="1">
        <v>41785</v>
      </c>
      <c r="N750" s="5"/>
      <c r="O750">
        <v>728</v>
      </c>
      <c r="P750">
        <v>317</v>
      </c>
      <c r="Q750" s="2">
        <v>230776</v>
      </c>
      <c r="R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 s="1">
        <v>42382</v>
      </c>
      <c r="AC750" t="s">
        <v>53</v>
      </c>
      <c r="AD750" t="s">
        <v>53</v>
      </c>
      <c r="AK750">
        <v>0</v>
      </c>
      <c r="AU750" s="6">
        <v>42102</v>
      </c>
      <c r="AV750" s="6">
        <v>42102</v>
      </c>
      <c r="AW750" t="s">
        <v>54</v>
      </c>
      <c r="AX750" t="str">
        <f t="shared" si="59"/>
        <v>FOR</v>
      </c>
      <c r="AY750" t="s">
        <v>55</v>
      </c>
    </row>
    <row r="751" spans="1:51" hidden="1">
      <c r="A751">
        <v>100210</v>
      </c>
      <c r="B751" t="s">
        <v>103</v>
      </c>
      <c r="C751" t="str">
        <f t="shared" si="61"/>
        <v>08082461008</v>
      </c>
      <c r="D751" t="str">
        <f t="shared" si="61"/>
        <v>08082461008</v>
      </c>
      <c r="E751" t="s">
        <v>52</v>
      </c>
      <c r="F751">
        <v>2014</v>
      </c>
      <c r="G751">
        <v>14022737</v>
      </c>
      <c r="H751" s="1">
        <v>41681</v>
      </c>
      <c r="I751" s="1">
        <v>41695</v>
      </c>
      <c r="J751" s="1">
        <v>41695</v>
      </c>
      <c r="K751" s="1">
        <v>41785</v>
      </c>
      <c r="N751" s="5"/>
      <c r="O751" s="2">
        <v>4721.3999999999996</v>
      </c>
      <c r="P751">
        <v>317</v>
      </c>
      <c r="Q751" s="2">
        <v>1496683.8</v>
      </c>
      <c r="R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 s="1">
        <v>42382</v>
      </c>
      <c r="AC751" t="s">
        <v>53</v>
      </c>
      <c r="AD751" t="s">
        <v>53</v>
      </c>
      <c r="AK751">
        <v>0</v>
      </c>
      <c r="AU751" s="6">
        <v>42102</v>
      </c>
      <c r="AV751" s="6">
        <v>42102</v>
      </c>
      <c r="AW751" t="s">
        <v>54</v>
      </c>
      <c r="AX751" t="str">
        <f t="shared" si="59"/>
        <v>FOR</v>
      </c>
      <c r="AY751" t="s">
        <v>55</v>
      </c>
    </row>
    <row r="752" spans="1:51" hidden="1">
      <c r="A752">
        <v>100210</v>
      </c>
      <c r="B752" t="s">
        <v>103</v>
      </c>
      <c r="C752" t="str">
        <f t="shared" si="61"/>
        <v>08082461008</v>
      </c>
      <c r="D752" t="str">
        <f t="shared" si="61"/>
        <v>08082461008</v>
      </c>
      <c r="E752" t="s">
        <v>52</v>
      </c>
      <c r="F752">
        <v>2014</v>
      </c>
      <c r="G752">
        <v>14023560</v>
      </c>
      <c r="H752" s="1">
        <v>41682</v>
      </c>
      <c r="I752" s="1">
        <v>41695</v>
      </c>
      <c r="J752" s="1">
        <v>41695</v>
      </c>
      <c r="K752" s="1">
        <v>41785</v>
      </c>
      <c r="N752" s="5"/>
      <c r="O752">
        <v>140.84</v>
      </c>
      <c r="P752">
        <v>317</v>
      </c>
      <c r="Q752" s="2">
        <v>44646.28</v>
      </c>
      <c r="R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 s="1">
        <v>42382</v>
      </c>
      <c r="AC752" t="s">
        <v>53</v>
      </c>
      <c r="AD752" t="s">
        <v>53</v>
      </c>
      <c r="AK752">
        <v>0</v>
      </c>
      <c r="AU752" s="6">
        <v>42102</v>
      </c>
      <c r="AV752" s="6">
        <v>42102</v>
      </c>
      <c r="AW752" t="s">
        <v>54</v>
      </c>
      <c r="AX752" t="str">
        <f t="shared" si="59"/>
        <v>FOR</v>
      </c>
      <c r="AY752" t="s">
        <v>55</v>
      </c>
    </row>
    <row r="753" spans="1:51" hidden="1">
      <c r="A753">
        <v>100210</v>
      </c>
      <c r="B753" t="s">
        <v>103</v>
      </c>
      <c r="C753" t="str">
        <f t="shared" si="61"/>
        <v>08082461008</v>
      </c>
      <c r="D753" t="str">
        <f t="shared" si="61"/>
        <v>08082461008</v>
      </c>
      <c r="E753" t="s">
        <v>52</v>
      </c>
      <c r="F753">
        <v>2014</v>
      </c>
      <c r="G753">
        <v>14024506</v>
      </c>
      <c r="H753" s="1">
        <v>41683</v>
      </c>
      <c r="I753" s="1">
        <v>41695</v>
      </c>
      <c r="J753" s="1">
        <v>41695</v>
      </c>
      <c r="K753" s="1">
        <v>41785</v>
      </c>
      <c r="N753" s="5"/>
      <c r="O753" s="2">
        <v>1412.48</v>
      </c>
      <c r="P753">
        <v>317</v>
      </c>
      <c r="Q753" s="2">
        <v>447756.16</v>
      </c>
      <c r="R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 s="1">
        <v>42382</v>
      </c>
      <c r="AC753" t="s">
        <v>53</v>
      </c>
      <c r="AD753" t="s">
        <v>53</v>
      </c>
      <c r="AK753">
        <v>0</v>
      </c>
      <c r="AU753" s="6">
        <v>42102</v>
      </c>
      <c r="AV753" s="6">
        <v>42102</v>
      </c>
      <c r="AW753" t="s">
        <v>54</v>
      </c>
      <c r="AX753" t="str">
        <f t="shared" si="59"/>
        <v>FOR</v>
      </c>
      <c r="AY753" t="s">
        <v>55</v>
      </c>
    </row>
    <row r="754" spans="1:51" hidden="1">
      <c r="A754">
        <v>100210</v>
      </c>
      <c r="B754" t="s">
        <v>103</v>
      </c>
      <c r="C754" t="str">
        <f t="shared" si="61"/>
        <v>08082461008</v>
      </c>
      <c r="D754" t="str">
        <f t="shared" si="61"/>
        <v>08082461008</v>
      </c>
      <c r="E754" t="s">
        <v>52</v>
      </c>
      <c r="F754">
        <v>2014</v>
      </c>
      <c r="G754">
        <v>14025333</v>
      </c>
      <c r="H754" s="1">
        <v>41684</v>
      </c>
      <c r="I754" s="1">
        <v>41701</v>
      </c>
      <c r="J754" s="1">
        <v>41701</v>
      </c>
      <c r="K754" s="1">
        <v>41791</v>
      </c>
      <c r="N754" s="5"/>
      <c r="O754">
        <v>832</v>
      </c>
      <c r="P754">
        <v>311</v>
      </c>
      <c r="Q754" s="2">
        <v>258752</v>
      </c>
      <c r="R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 s="1">
        <v>42382</v>
      </c>
      <c r="AC754" t="s">
        <v>53</v>
      </c>
      <c r="AD754" t="s">
        <v>53</v>
      </c>
      <c r="AK754">
        <v>0</v>
      </c>
      <c r="AU754" s="6">
        <v>42102</v>
      </c>
      <c r="AV754" s="6">
        <v>42102</v>
      </c>
      <c r="AW754" t="s">
        <v>54</v>
      </c>
      <c r="AX754" t="str">
        <f t="shared" si="59"/>
        <v>FOR</v>
      </c>
      <c r="AY754" t="s">
        <v>55</v>
      </c>
    </row>
    <row r="755" spans="1:51" hidden="1">
      <c r="A755">
        <v>100210</v>
      </c>
      <c r="B755" t="s">
        <v>103</v>
      </c>
      <c r="C755" t="str">
        <f t="shared" si="61"/>
        <v>08082461008</v>
      </c>
      <c r="D755" t="str">
        <f t="shared" si="61"/>
        <v>08082461008</v>
      </c>
      <c r="E755" t="s">
        <v>52</v>
      </c>
      <c r="F755">
        <v>2014</v>
      </c>
      <c r="G755">
        <v>14025349</v>
      </c>
      <c r="H755" s="1">
        <v>41684</v>
      </c>
      <c r="I755" s="1">
        <v>41701</v>
      </c>
      <c r="J755" s="1">
        <v>41701</v>
      </c>
      <c r="K755" s="1">
        <v>41791</v>
      </c>
      <c r="N755" s="5"/>
      <c r="O755">
        <v>447.41</v>
      </c>
      <c r="P755">
        <v>311</v>
      </c>
      <c r="Q755" s="2">
        <v>139144.51</v>
      </c>
      <c r="R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 s="1">
        <v>42382</v>
      </c>
      <c r="AC755" t="s">
        <v>53</v>
      </c>
      <c r="AD755" t="s">
        <v>53</v>
      </c>
      <c r="AK755">
        <v>0</v>
      </c>
      <c r="AU755" s="6">
        <v>42102</v>
      </c>
      <c r="AV755" s="6">
        <v>42102</v>
      </c>
      <c r="AW755" t="s">
        <v>54</v>
      </c>
      <c r="AX755" t="str">
        <f t="shared" si="59"/>
        <v>FOR</v>
      </c>
      <c r="AY755" t="s">
        <v>55</v>
      </c>
    </row>
    <row r="756" spans="1:51" hidden="1">
      <c r="A756">
        <v>100210</v>
      </c>
      <c r="B756" t="s">
        <v>103</v>
      </c>
      <c r="C756" t="str">
        <f t="shared" si="61"/>
        <v>08082461008</v>
      </c>
      <c r="D756" t="str">
        <f t="shared" si="61"/>
        <v>08082461008</v>
      </c>
      <c r="E756" t="s">
        <v>52</v>
      </c>
      <c r="F756">
        <v>2014</v>
      </c>
      <c r="G756">
        <v>14025491</v>
      </c>
      <c r="H756" s="1">
        <v>41684</v>
      </c>
      <c r="I756" s="1">
        <v>41701</v>
      </c>
      <c r="J756" s="1">
        <v>41701</v>
      </c>
      <c r="K756" s="1">
        <v>41791</v>
      </c>
      <c r="N756" s="5"/>
      <c r="O756" s="2">
        <v>14932.8</v>
      </c>
      <c r="P756">
        <v>311</v>
      </c>
      <c r="Q756" s="2">
        <v>4644100.8</v>
      </c>
      <c r="R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 s="1">
        <v>42382</v>
      </c>
      <c r="AC756" t="s">
        <v>53</v>
      </c>
      <c r="AD756" t="s">
        <v>53</v>
      </c>
      <c r="AK756">
        <v>0</v>
      </c>
      <c r="AU756" s="6">
        <v>42102</v>
      </c>
      <c r="AV756" s="6">
        <v>42102</v>
      </c>
      <c r="AW756" t="s">
        <v>54</v>
      </c>
      <c r="AX756" t="str">
        <f t="shared" si="59"/>
        <v>FOR</v>
      </c>
      <c r="AY756" t="s">
        <v>55</v>
      </c>
    </row>
    <row r="757" spans="1:51" hidden="1">
      <c r="A757">
        <v>100210</v>
      </c>
      <c r="B757" t="s">
        <v>103</v>
      </c>
      <c r="C757" t="str">
        <f t="shared" si="61"/>
        <v>08082461008</v>
      </c>
      <c r="D757" t="str">
        <f t="shared" si="61"/>
        <v>08082461008</v>
      </c>
      <c r="E757" t="s">
        <v>52</v>
      </c>
      <c r="F757">
        <v>2014</v>
      </c>
      <c r="G757">
        <v>14028114</v>
      </c>
      <c r="H757" s="1">
        <v>41689</v>
      </c>
      <c r="I757" s="1">
        <v>41701</v>
      </c>
      <c r="J757" s="1">
        <v>41701</v>
      </c>
      <c r="K757" s="1">
        <v>41791</v>
      </c>
      <c r="N757" s="5"/>
      <c r="O757">
        <v>975.02</v>
      </c>
      <c r="P757">
        <v>311</v>
      </c>
      <c r="Q757" s="2">
        <v>303231.21999999997</v>
      </c>
      <c r="R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 s="1">
        <v>42382</v>
      </c>
      <c r="AC757" t="s">
        <v>53</v>
      </c>
      <c r="AD757" t="s">
        <v>53</v>
      </c>
      <c r="AK757">
        <v>0</v>
      </c>
      <c r="AU757" s="6">
        <v>42102</v>
      </c>
      <c r="AV757" s="6">
        <v>42102</v>
      </c>
      <c r="AW757" t="s">
        <v>54</v>
      </c>
      <c r="AX757" t="str">
        <f t="shared" si="59"/>
        <v>FOR</v>
      </c>
      <c r="AY757" t="s">
        <v>55</v>
      </c>
    </row>
    <row r="758" spans="1:51" hidden="1">
      <c r="A758">
        <v>100210</v>
      </c>
      <c r="B758" t="s">
        <v>103</v>
      </c>
      <c r="C758" t="str">
        <f t="shared" ref="C758:D777" si="62">"08082461008"</f>
        <v>08082461008</v>
      </c>
      <c r="D758" t="str">
        <f t="shared" si="62"/>
        <v>08082461008</v>
      </c>
      <c r="E758" t="s">
        <v>52</v>
      </c>
      <c r="F758">
        <v>2014</v>
      </c>
      <c r="G758">
        <v>14028116</v>
      </c>
      <c r="H758" s="1">
        <v>41689</v>
      </c>
      <c r="I758" s="1">
        <v>41701</v>
      </c>
      <c r="J758" s="1">
        <v>41701</v>
      </c>
      <c r="K758" s="1">
        <v>41791</v>
      </c>
      <c r="N758" s="5"/>
      <c r="O758">
        <v>731.27</v>
      </c>
      <c r="P758">
        <v>311</v>
      </c>
      <c r="Q758" s="2">
        <v>227424.97</v>
      </c>
      <c r="R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 s="1">
        <v>42382</v>
      </c>
      <c r="AC758" t="s">
        <v>53</v>
      </c>
      <c r="AD758" t="s">
        <v>53</v>
      </c>
      <c r="AK758">
        <v>0</v>
      </c>
      <c r="AU758" s="6">
        <v>42102</v>
      </c>
      <c r="AV758" s="6">
        <v>42102</v>
      </c>
      <c r="AW758" t="s">
        <v>54</v>
      </c>
      <c r="AX758" t="str">
        <f t="shared" si="59"/>
        <v>FOR</v>
      </c>
      <c r="AY758" t="s">
        <v>55</v>
      </c>
    </row>
    <row r="759" spans="1:51" hidden="1">
      <c r="A759">
        <v>100210</v>
      </c>
      <c r="B759" t="s">
        <v>103</v>
      </c>
      <c r="C759" t="str">
        <f t="shared" si="62"/>
        <v>08082461008</v>
      </c>
      <c r="D759" t="str">
        <f t="shared" si="62"/>
        <v>08082461008</v>
      </c>
      <c r="E759" t="s">
        <v>52</v>
      </c>
      <c r="F759">
        <v>2014</v>
      </c>
      <c r="G759">
        <v>14028165</v>
      </c>
      <c r="H759" s="1">
        <v>41689</v>
      </c>
      <c r="I759" s="1">
        <v>41701</v>
      </c>
      <c r="J759" s="1">
        <v>41701</v>
      </c>
      <c r="K759" s="1">
        <v>41791</v>
      </c>
      <c r="N759" s="5"/>
      <c r="O759">
        <v>487.51</v>
      </c>
      <c r="P759">
        <v>311</v>
      </c>
      <c r="Q759" s="2">
        <v>151615.60999999999</v>
      </c>
      <c r="R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 s="1">
        <v>42382</v>
      </c>
      <c r="AC759" t="s">
        <v>53</v>
      </c>
      <c r="AD759" t="s">
        <v>53</v>
      </c>
      <c r="AK759">
        <v>0</v>
      </c>
      <c r="AU759" s="6">
        <v>42102</v>
      </c>
      <c r="AV759" s="6">
        <v>42102</v>
      </c>
      <c r="AW759" t="s">
        <v>54</v>
      </c>
      <c r="AX759" t="str">
        <f t="shared" si="59"/>
        <v>FOR</v>
      </c>
      <c r="AY759" t="s">
        <v>55</v>
      </c>
    </row>
    <row r="760" spans="1:51" hidden="1">
      <c r="A760">
        <v>100210</v>
      </c>
      <c r="B760" t="s">
        <v>103</v>
      </c>
      <c r="C760" t="str">
        <f t="shared" si="62"/>
        <v>08082461008</v>
      </c>
      <c r="D760" t="str">
        <f t="shared" si="62"/>
        <v>08082461008</v>
      </c>
      <c r="E760" t="s">
        <v>52</v>
      </c>
      <c r="F760">
        <v>2014</v>
      </c>
      <c r="G760">
        <v>14028956</v>
      </c>
      <c r="H760" s="1">
        <v>41689</v>
      </c>
      <c r="I760" s="1">
        <v>41701</v>
      </c>
      <c r="J760" s="1">
        <v>41701</v>
      </c>
      <c r="K760" s="1">
        <v>41791</v>
      </c>
      <c r="N760" s="5"/>
      <c r="O760">
        <v>915</v>
      </c>
      <c r="P760">
        <v>311</v>
      </c>
      <c r="Q760" s="2">
        <v>284565</v>
      </c>
      <c r="R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 s="1">
        <v>42382</v>
      </c>
      <c r="AC760" t="s">
        <v>53</v>
      </c>
      <c r="AD760" t="s">
        <v>53</v>
      </c>
      <c r="AK760">
        <v>0</v>
      </c>
      <c r="AU760" s="6">
        <v>42102</v>
      </c>
      <c r="AV760" s="6">
        <v>42102</v>
      </c>
      <c r="AW760" t="s">
        <v>54</v>
      </c>
      <c r="AX760" t="str">
        <f t="shared" si="59"/>
        <v>FOR</v>
      </c>
      <c r="AY760" t="s">
        <v>55</v>
      </c>
    </row>
    <row r="761" spans="1:51" hidden="1">
      <c r="A761">
        <v>100210</v>
      </c>
      <c r="B761" t="s">
        <v>103</v>
      </c>
      <c r="C761" t="str">
        <f t="shared" si="62"/>
        <v>08082461008</v>
      </c>
      <c r="D761" t="str">
        <f t="shared" si="62"/>
        <v>08082461008</v>
      </c>
      <c r="E761" t="s">
        <v>52</v>
      </c>
      <c r="F761">
        <v>2014</v>
      </c>
      <c r="G761">
        <v>14029336</v>
      </c>
      <c r="H761" s="1">
        <v>41690</v>
      </c>
      <c r="I761" s="1">
        <v>41711</v>
      </c>
      <c r="J761" s="1">
        <v>41711</v>
      </c>
      <c r="K761" s="1">
        <v>41801</v>
      </c>
      <c r="N761" s="5"/>
      <c r="O761" s="2">
        <v>1352.74</v>
      </c>
      <c r="P761">
        <v>301</v>
      </c>
      <c r="Q761" s="2">
        <v>407174.74</v>
      </c>
      <c r="R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 s="1">
        <v>42382</v>
      </c>
      <c r="AC761" t="s">
        <v>53</v>
      </c>
      <c r="AD761" t="s">
        <v>53</v>
      </c>
      <c r="AK761">
        <v>0</v>
      </c>
      <c r="AU761" s="6">
        <v>42102</v>
      </c>
      <c r="AV761" s="6">
        <v>42102</v>
      </c>
      <c r="AW761" t="s">
        <v>54</v>
      </c>
      <c r="AX761" t="str">
        <f t="shared" si="59"/>
        <v>FOR</v>
      </c>
      <c r="AY761" t="s">
        <v>55</v>
      </c>
    </row>
    <row r="762" spans="1:51" hidden="1">
      <c r="A762">
        <v>100210</v>
      </c>
      <c r="B762" t="s">
        <v>103</v>
      </c>
      <c r="C762" t="str">
        <f t="shared" si="62"/>
        <v>08082461008</v>
      </c>
      <c r="D762" t="str">
        <f t="shared" si="62"/>
        <v>08082461008</v>
      </c>
      <c r="E762" t="s">
        <v>52</v>
      </c>
      <c r="F762">
        <v>2014</v>
      </c>
      <c r="G762">
        <v>14029882</v>
      </c>
      <c r="H762" s="1">
        <v>41690</v>
      </c>
      <c r="I762" s="1">
        <v>41711</v>
      </c>
      <c r="J762" s="1">
        <v>41711</v>
      </c>
      <c r="K762" s="1">
        <v>41801</v>
      </c>
      <c r="N762" s="5"/>
      <c r="O762">
        <v>173.92</v>
      </c>
      <c r="P762">
        <v>301</v>
      </c>
      <c r="Q762" s="2">
        <v>52349.919999999998</v>
      </c>
      <c r="R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 s="1">
        <v>42382</v>
      </c>
      <c r="AC762" t="s">
        <v>53</v>
      </c>
      <c r="AD762" t="s">
        <v>53</v>
      </c>
      <c r="AK762">
        <v>0</v>
      </c>
      <c r="AU762" s="6">
        <v>42102</v>
      </c>
      <c r="AV762" s="6">
        <v>42102</v>
      </c>
      <c r="AW762" t="s">
        <v>54</v>
      </c>
      <c r="AX762" t="str">
        <f t="shared" si="59"/>
        <v>FOR</v>
      </c>
      <c r="AY762" t="s">
        <v>55</v>
      </c>
    </row>
    <row r="763" spans="1:51" hidden="1">
      <c r="A763">
        <v>100210</v>
      </c>
      <c r="B763" t="s">
        <v>103</v>
      </c>
      <c r="C763" t="str">
        <f t="shared" si="62"/>
        <v>08082461008</v>
      </c>
      <c r="D763" t="str">
        <f t="shared" si="62"/>
        <v>08082461008</v>
      </c>
      <c r="E763" t="s">
        <v>52</v>
      </c>
      <c r="F763">
        <v>2014</v>
      </c>
      <c r="G763">
        <v>14031140</v>
      </c>
      <c r="H763" s="1">
        <v>41691</v>
      </c>
      <c r="I763" s="1">
        <v>41703</v>
      </c>
      <c r="J763" s="1">
        <v>41703</v>
      </c>
      <c r="K763" s="1">
        <v>41793</v>
      </c>
      <c r="N763" s="5"/>
      <c r="O763" s="2">
        <v>3623.4</v>
      </c>
      <c r="P763">
        <v>309</v>
      </c>
      <c r="Q763" s="2">
        <v>1119630.6000000001</v>
      </c>
      <c r="R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 s="1">
        <v>42382</v>
      </c>
      <c r="AC763" t="s">
        <v>53</v>
      </c>
      <c r="AD763" t="s">
        <v>53</v>
      </c>
      <c r="AK763">
        <v>0</v>
      </c>
      <c r="AU763" s="6">
        <v>42102</v>
      </c>
      <c r="AV763" s="6">
        <v>42102</v>
      </c>
      <c r="AW763" t="s">
        <v>54</v>
      </c>
      <c r="AX763" t="str">
        <f t="shared" si="59"/>
        <v>FOR</v>
      </c>
      <c r="AY763" t="s">
        <v>55</v>
      </c>
    </row>
    <row r="764" spans="1:51" hidden="1">
      <c r="A764">
        <v>100210</v>
      </c>
      <c r="B764" t="s">
        <v>103</v>
      </c>
      <c r="C764" t="str">
        <f t="shared" si="62"/>
        <v>08082461008</v>
      </c>
      <c r="D764" t="str">
        <f t="shared" si="62"/>
        <v>08082461008</v>
      </c>
      <c r="E764" t="s">
        <v>52</v>
      </c>
      <c r="F764">
        <v>2014</v>
      </c>
      <c r="G764">
        <v>14032285</v>
      </c>
      <c r="H764" s="1">
        <v>41695</v>
      </c>
      <c r="I764" s="1">
        <v>41712</v>
      </c>
      <c r="J764" s="1">
        <v>41712</v>
      </c>
      <c r="K764" s="1">
        <v>41802</v>
      </c>
      <c r="N764" s="5"/>
      <c r="O764">
        <v>728</v>
      </c>
      <c r="P764">
        <v>300</v>
      </c>
      <c r="Q764" s="2">
        <v>218400</v>
      </c>
      <c r="R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 s="1">
        <v>42382</v>
      </c>
      <c r="AC764" t="s">
        <v>53</v>
      </c>
      <c r="AD764" t="s">
        <v>53</v>
      </c>
      <c r="AK764">
        <v>0</v>
      </c>
      <c r="AU764" s="6">
        <v>42102</v>
      </c>
      <c r="AV764" s="6">
        <v>42102</v>
      </c>
      <c r="AW764" t="s">
        <v>54</v>
      </c>
      <c r="AX764" t="str">
        <f t="shared" si="59"/>
        <v>FOR</v>
      </c>
      <c r="AY764" t="s">
        <v>55</v>
      </c>
    </row>
    <row r="765" spans="1:51" hidden="1">
      <c r="A765">
        <v>100210</v>
      </c>
      <c r="B765" t="s">
        <v>103</v>
      </c>
      <c r="C765" t="str">
        <f t="shared" si="62"/>
        <v>08082461008</v>
      </c>
      <c r="D765" t="str">
        <f t="shared" si="62"/>
        <v>08082461008</v>
      </c>
      <c r="E765" t="s">
        <v>52</v>
      </c>
      <c r="F765">
        <v>2014</v>
      </c>
      <c r="G765">
        <v>14032378</v>
      </c>
      <c r="H765" s="1">
        <v>41695</v>
      </c>
      <c r="I765" s="1">
        <v>41712</v>
      </c>
      <c r="J765" s="1">
        <v>41712</v>
      </c>
      <c r="K765" s="1">
        <v>41802</v>
      </c>
      <c r="N765" s="5"/>
      <c r="O765">
        <v>366</v>
      </c>
      <c r="P765">
        <v>300</v>
      </c>
      <c r="Q765" s="2">
        <v>109800</v>
      </c>
      <c r="R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 s="1">
        <v>42382</v>
      </c>
      <c r="AC765" t="s">
        <v>53</v>
      </c>
      <c r="AD765" t="s">
        <v>53</v>
      </c>
      <c r="AK765">
        <v>0</v>
      </c>
      <c r="AU765" s="6">
        <v>42102</v>
      </c>
      <c r="AV765" s="6">
        <v>42102</v>
      </c>
      <c r="AW765" t="s">
        <v>54</v>
      </c>
      <c r="AX765" t="str">
        <f t="shared" si="59"/>
        <v>FOR</v>
      </c>
      <c r="AY765" t="s">
        <v>55</v>
      </c>
    </row>
    <row r="766" spans="1:51" hidden="1">
      <c r="A766">
        <v>100210</v>
      </c>
      <c r="B766" t="s">
        <v>103</v>
      </c>
      <c r="C766" t="str">
        <f t="shared" si="62"/>
        <v>08082461008</v>
      </c>
      <c r="D766" t="str">
        <f t="shared" si="62"/>
        <v>08082461008</v>
      </c>
      <c r="E766" t="s">
        <v>52</v>
      </c>
      <c r="F766">
        <v>2014</v>
      </c>
      <c r="G766">
        <v>14032909</v>
      </c>
      <c r="H766" s="1">
        <v>41695</v>
      </c>
      <c r="I766" s="1">
        <v>41712</v>
      </c>
      <c r="J766" s="1">
        <v>41712</v>
      </c>
      <c r="K766" s="1">
        <v>41802</v>
      </c>
      <c r="N766" s="5"/>
      <c r="O766" s="2">
        <v>4862.38</v>
      </c>
      <c r="P766">
        <v>300</v>
      </c>
      <c r="Q766" s="2">
        <v>1458714</v>
      </c>
      <c r="R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 s="1">
        <v>42382</v>
      </c>
      <c r="AC766" t="s">
        <v>53</v>
      </c>
      <c r="AD766" t="s">
        <v>53</v>
      </c>
      <c r="AK766">
        <v>0</v>
      </c>
      <c r="AU766" s="6">
        <v>42102</v>
      </c>
      <c r="AV766" s="6">
        <v>42102</v>
      </c>
      <c r="AW766" t="s">
        <v>54</v>
      </c>
      <c r="AX766" t="str">
        <f t="shared" si="59"/>
        <v>FOR</v>
      </c>
      <c r="AY766" t="s">
        <v>55</v>
      </c>
    </row>
    <row r="767" spans="1:51" hidden="1">
      <c r="A767">
        <v>100210</v>
      </c>
      <c r="B767" t="s">
        <v>103</v>
      </c>
      <c r="C767" t="str">
        <f t="shared" si="62"/>
        <v>08082461008</v>
      </c>
      <c r="D767" t="str">
        <f t="shared" si="62"/>
        <v>08082461008</v>
      </c>
      <c r="E767" t="s">
        <v>52</v>
      </c>
      <c r="F767">
        <v>2014</v>
      </c>
      <c r="G767">
        <v>14033193</v>
      </c>
      <c r="H767" s="1">
        <v>41696</v>
      </c>
      <c r="I767" s="1">
        <v>41712</v>
      </c>
      <c r="J767" s="1">
        <v>41712</v>
      </c>
      <c r="K767" s="1">
        <v>41802</v>
      </c>
      <c r="N767" s="5"/>
      <c r="O767">
        <v>114.4</v>
      </c>
      <c r="P767">
        <v>300</v>
      </c>
      <c r="Q767" s="2">
        <v>34320</v>
      </c>
      <c r="R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 s="1">
        <v>42382</v>
      </c>
      <c r="AC767" t="s">
        <v>53</v>
      </c>
      <c r="AD767" t="s">
        <v>53</v>
      </c>
      <c r="AK767">
        <v>0</v>
      </c>
      <c r="AU767" s="6">
        <v>42102</v>
      </c>
      <c r="AV767" s="6">
        <v>42102</v>
      </c>
      <c r="AW767" t="s">
        <v>54</v>
      </c>
      <c r="AX767" t="str">
        <f t="shared" si="59"/>
        <v>FOR</v>
      </c>
      <c r="AY767" t="s">
        <v>55</v>
      </c>
    </row>
    <row r="768" spans="1:51" hidden="1">
      <c r="A768">
        <v>100210</v>
      </c>
      <c r="B768" t="s">
        <v>103</v>
      </c>
      <c r="C768" t="str">
        <f t="shared" si="62"/>
        <v>08082461008</v>
      </c>
      <c r="D768" t="str">
        <f t="shared" si="62"/>
        <v>08082461008</v>
      </c>
      <c r="E768" t="s">
        <v>52</v>
      </c>
      <c r="F768">
        <v>2014</v>
      </c>
      <c r="G768">
        <v>14033194</v>
      </c>
      <c r="H768" s="1">
        <v>41696</v>
      </c>
      <c r="I768" s="1">
        <v>41712</v>
      </c>
      <c r="J768" s="1">
        <v>41712</v>
      </c>
      <c r="K768" s="1">
        <v>41802</v>
      </c>
      <c r="N768" s="5"/>
      <c r="O768">
        <v>114.4</v>
      </c>
      <c r="P768">
        <v>300</v>
      </c>
      <c r="Q768" s="2">
        <v>34320</v>
      </c>
      <c r="R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 s="1">
        <v>42382</v>
      </c>
      <c r="AC768" t="s">
        <v>53</v>
      </c>
      <c r="AD768" t="s">
        <v>53</v>
      </c>
      <c r="AK768">
        <v>0</v>
      </c>
      <c r="AU768" s="6">
        <v>42102</v>
      </c>
      <c r="AV768" s="6">
        <v>42102</v>
      </c>
      <c r="AW768" t="s">
        <v>54</v>
      </c>
      <c r="AX768" t="str">
        <f t="shared" si="59"/>
        <v>FOR</v>
      </c>
      <c r="AY768" t="s">
        <v>55</v>
      </c>
    </row>
    <row r="769" spans="1:51" hidden="1">
      <c r="A769">
        <v>100210</v>
      </c>
      <c r="B769" t="s">
        <v>103</v>
      </c>
      <c r="C769" t="str">
        <f t="shared" si="62"/>
        <v>08082461008</v>
      </c>
      <c r="D769" t="str">
        <f t="shared" si="62"/>
        <v>08082461008</v>
      </c>
      <c r="E769" t="s">
        <v>52</v>
      </c>
      <c r="F769">
        <v>2014</v>
      </c>
      <c r="G769">
        <v>14033195</v>
      </c>
      <c r="H769" s="1">
        <v>41696</v>
      </c>
      <c r="I769" s="1">
        <v>41712</v>
      </c>
      <c r="J769" s="1">
        <v>41712</v>
      </c>
      <c r="K769" s="1">
        <v>41802</v>
      </c>
      <c r="N769" s="5"/>
      <c r="O769">
        <v>45.76</v>
      </c>
      <c r="P769">
        <v>300</v>
      </c>
      <c r="Q769" s="2">
        <v>13728</v>
      </c>
      <c r="R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 s="1">
        <v>42382</v>
      </c>
      <c r="AC769" t="s">
        <v>53</v>
      </c>
      <c r="AD769" t="s">
        <v>53</v>
      </c>
      <c r="AK769">
        <v>0</v>
      </c>
      <c r="AU769" s="6">
        <v>42102</v>
      </c>
      <c r="AV769" s="6">
        <v>42102</v>
      </c>
      <c r="AW769" t="s">
        <v>54</v>
      </c>
      <c r="AX769" t="str">
        <f t="shared" si="59"/>
        <v>FOR</v>
      </c>
      <c r="AY769" t="s">
        <v>55</v>
      </c>
    </row>
    <row r="770" spans="1:51" hidden="1">
      <c r="A770">
        <v>100210</v>
      </c>
      <c r="B770" t="s">
        <v>103</v>
      </c>
      <c r="C770" t="str">
        <f t="shared" si="62"/>
        <v>08082461008</v>
      </c>
      <c r="D770" t="str">
        <f t="shared" si="62"/>
        <v>08082461008</v>
      </c>
      <c r="E770" t="s">
        <v>52</v>
      </c>
      <c r="F770">
        <v>2014</v>
      </c>
      <c r="G770">
        <v>14033196</v>
      </c>
      <c r="H770" s="1">
        <v>41696</v>
      </c>
      <c r="I770" s="1">
        <v>41712</v>
      </c>
      <c r="J770" s="1">
        <v>41712</v>
      </c>
      <c r="K770" s="1">
        <v>41802</v>
      </c>
      <c r="N770" s="5"/>
      <c r="O770">
        <v>45.76</v>
      </c>
      <c r="P770">
        <v>300</v>
      </c>
      <c r="Q770" s="2">
        <v>13728</v>
      </c>
      <c r="R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 s="1">
        <v>42382</v>
      </c>
      <c r="AC770" t="s">
        <v>53</v>
      </c>
      <c r="AD770" t="s">
        <v>53</v>
      </c>
      <c r="AK770">
        <v>0</v>
      </c>
      <c r="AU770" s="6">
        <v>42102</v>
      </c>
      <c r="AV770" s="6">
        <v>42102</v>
      </c>
      <c r="AW770" t="s">
        <v>54</v>
      </c>
      <c r="AX770" t="str">
        <f t="shared" si="59"/>
        <v>FOR</v>
      </c>
      <c r="AY770" t="s">
        <v>55</v>
      </c>
    </row>
    <row r="771" spans="1:51" hidden="1">
      <c r="A771">
        <v>100210</v>
      </c>
      <c r="B771" t="s">
        <v>103</v>
      </c>
      <c r="C771" t="str">
        <f t="shared" si="62"/>
        <v>08082461008</v>
      </c>
      <c r="D771" t="str">
        <f t="shared" si="62"/>
        <v>08082461008</v>
      </c>
      <c r="E771" t="s">
        <v>52</v>
      </c>
      <c r="F771">
        <v>2014</v>
      </c>
      <c r="G771">
        <v>14033198</v>
      </c>
      <c r="H771" s="1">
        <v>41696</v>
      </c>
      <c r="I771" s="1">
        <v>41712</v>
      </c>
      <c r="J771" s="1">
        <v>41712</v>
      </c>
      <c r="K771" s="1">
        <v>41802</v>
      </c>
      <c r="N771" s="5"/>
      <c r="O771">
        <v>45.76</v>
      </c>
      <c r="P771">
        <v>300</v>
      </c>
      <c r="Q771" s="2">
        <v>13728</v>
      </c>
      <c r="R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 s="1">
        <v>42382</v>
      </c>
      <c r="AC771" t="s">
        <v>53</v>
      </c>
      <c r="AD771" t="s">
        <v>53</v>
      </c>
      <c r="AK771">
        <v>0</v>
      </c>
      <c r="AU771" s="6">
        <v>42102</v>
      </c>
      <c r="AV771" s="6">
        <v>42102</v>
      </c>
      <c r="AW771" t="s">
        <v>54</v>
      </c>
      <c r="AX771" t="str">
        <f t="shared" ref="AX771:AX834" si="63">"FOR"</f>
        <v>FOR</v>
      </c>
      <c r="AY771" t="s">
        <v>55</v>
      </c>
    </row>
    <row r="772" spans="1:51" hidden="1">
      <c r="A772">
        <v>100210</v>
      </c>
      <c r="B772" t="s">
        <v>103</v>
      </c>
      <c r="C772" t="str">
        <f t="shared" si="62"/>
        <v>08082461008</v>
      </c>
      <c r="D772" t="str">
        <f t="shared" si="62"/>
        <v>08082461008</v>
      </c>
      <c r="E772" t="s">
        <v>52</v>
      </c>
      <c r="F772">
        <v>2014</v>
      </c>
      <c r="G772">
        <v>14033199</v>
      </c>
      <c r="H772" s="1">
        <v>41696</v>
      </c>
      <c r="I772" s="1">
        <v>41712</v>
      </c>
      <c r="J772" s="1">
        <v>41712</v>
      </c>
      <c r="K772" s="1">
        <v>41802</v>
      </c>
      <c r="N772" s="5"/>
      <c r="O772">
        <v>45.76</v>
      </c>
      <c r="P772">
        <v>300</v>
      </c>
      <c r="Q772" s="2">
        <v>13728</v>
      </c>
      <c r="R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 s="1">
        <v>42382</v>
      </c>
      <c r="AC772" t="s">
        <v>53</v>
      </c>
      <c r="AD772" t="s">
        <v>53</v>
      </c>
      <c r="AK772">
        <v>0</v>
      </c>
      <c r="AU772" s="6">
        <v>42102</v>
      </c>
      <c r="AV772" s="6">
        <v>42102</v>
      </c>
      <c r="AW772" t="s">
        <v>54</v>
      </c>
      <c r="AX772" t="str">
        <f t="shared" si="63"/>
        <v>FOR</v>
      </c>
      <c r="AY772" t="s">
        <v>55</v>
      </c>
    </row>
    <row r="773" spans="1:51" hidden="1">
      <c r="A773">
        <v>100210</v>
      </c>
      <c r="B773" t="s">
        <v>103</v>
      </c>
      <c r="C773" t="str">
        <f t="shared" si="62"/>
        <v>08082461008</v>
      </c>
      <c r="D773" t="str">
        <f t="shared" si="62"/>
        <v>08082461008</v>
      </c>
      <c r="E773" t="s">
        <v>52</v>
      </c>
      <c r="F773">
        <v>2014</v>
      </c>
      <c r="G773">
        <v>14033201</v>
      </c>
      <c r="H773" s="1">
        <v>41696</v>
      </c>
      <c r="I773" s="1">
        <v>41712</v>
      </c>
      <c r="J773" s="1">
        <v>41712</v>
      </c>
      <c r="K773" s="1">
        <v>41802</v>
      </c>
      <c r="N773" s="5"/>
      <c r="O773">
        <v>451.88</v>
      </c>
      <c r="P773">
        <v>300</v>
      </c>
      <c r="Q773" s="2">
        <v>135564</v>
      </c>
      <c r="R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 s="1">
        <v>42382</v>
      </c>
      <c r="AC773" t="s">
        <v>53</v>
      </c>
      <c r="AD773" t="s">
        <v>53</v>
      </c>
      <c r="AK773">
        <v>0</v>
      </c>
      <c r="AU773" s="6">
        <v>42102</v>
      </c>
      <c r="AV773" s="6">
        <v>42102</v>
      </c>
      <c r="AW773" t="s">
        <v>54</v>
      </c>
      <c r="AX773" t="str">
        <f t="shared" si="63"/>
        <v>FOR</v>
      </c>
      <c r="AY773" t="s">
        <v>55</v>
      </c>
    </row>
    <row r="774" spans="1:51" hidden="1">
      <c r="A774">
        <v>100210</v>
      </c>
      <c r="B774" t="s">
        <v>103</v>
      </c>
      <c r="C774" t="str">
        <f t="shared" si="62"/>
        <v>08082461008</v>
      </c>
      <c r="D774" t="str">
        <f t="shared" si="62"/>
        <v>08082461008</v>
      </c>
      <c r="E774" t="s">
        <v>52</v>
      </c>
      <c r="F774">
        <v>2014</v>
      </c>
      <c r="G774">
        <v>14033202</v>
      </c>
      <c r="H774" s="1">
        <v>41696</v>
      </c>
      <c r="I774" s="1">
        <v>41712</v>
      </c>
      <c r="J774" s="1">
        <v>41712</v>
      </c>
      <c r="K774" s="1">
        <v>41802</v>
      </c>
      <c r="N774" s="5"/>
      <c r="O774">
        <v>451.88</v>
      </c>
      <c r="P774">
        <v>300</v>
      </c>
      <c r="Q774" s="2">
        <v>135564</v>
      </c>
      <c r="R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 s="1">
        <v>42382</v>
      </c>
      <c r="AC774" t="s">
        <v>53</v>
      </c>
      <c r="AD774" t="s">
        <v>53</v>
      </c>
      <c r="AK774">
        <v>0</v>
      </c>
      <c r="AU774" s="6">
        <v>42102</v>
      </c>
      <c r="AV774" s="6">
        <v>42102</v>
      </c>
      <c r="AW774" t="s">
        <v>54</v>
      </c>
      <c r="AX774" t="str">
        <f t="shared" si="63"/>
        <v>FOR</v>
      </c>
      <c r="AY774" t="s">
        <v>55</v>
      </c>
    </row>
    <row r="775" spans="1:51" hidden="1">
      <c r="A775">
        <v>100210</v>
      </c>
      <c r="B775" t="s">
        <v>103</v>
      </c>
      <c r="C775" t="str">
        <f t="shared" si="62"/>
        <v>08082461008</v>
      </c>
      <c r="D775" t="str">
        <f t="shared" si="62"/>
        <v>08082461008</v>
      </c>
      <c r="E775" t="s">
        <v>52</v>
      </c>
      <c r="F775">
        <v>2014</v>
      </c>
      <c r="G775">
        <v>14033203</v>
      </c>
      <c r="H775" s="1">
        <v>41696</v>
      </c>
      <c r="I775" s="1">
        <v>41712</v>
      </c>
      <c r="J775" s="1">
        <v>41712</v>
      </c>
      <c r="K775" s="1">
        <v>41802</v>
      </c>
      <c r="N775" s="5"/>
      <c r="O775">
        <v>451.88</v>
      </c>
      <c r="P775">
        <v>300</v>
      </c>
      <c r="Q775" s="2">
        <v>135564</v>
      </c>
      <c r="R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 s="1">
        <v>42382</v>
      </c>
      <c r="AC775" t="s">
        <v>53</v>
      </c>
      <c r="AD775" t="s">
        <v>53</v>
      </c>
      <c r="AK775">
        <v>0</v>
      </c>
      <c r="AU775" s="6">
        <v>42102</v>
      </c>
      <c r="AV775" s="6">
        <v>42102</v>
      </c>
      <c r="AW775" t="s">
        <v>54</v>
      </c>
      <c r="AX775" t="str">
        <f t="shared" si="63"/>
        <v>FOR</v>
      </c>
      <c r="AY775" t="s">
        <v>55</v>
      </c>
    </row>
    <row r="776" spans="1:51" hidden="1">
      <c r="A776">
        <v>100210</v>
      </c>
      <c r="B776" t="s">
        <v>103</v>
      </c>
      <c r="C776" t="str">
        <f t="shared" si="62"/>
        <v>08082461008</v>
      </c>
      <c r="D776" t="str">
        <f t="shared" si="62"/>
        <v>08082461008</v>
      </c>
      <c r="E776" t="s">
        <v>52</v>
      </c>
      <c r="F776">
        <v>2014</v>
      </c>
      <c r="G776">
        <v>14033204</v>
      </c>
      <c r="H776" s="1">
        <v>41696</v>
      </c>
      <c r="I776" s="1">
        <v>41712</v>
      </c>
      <c r="J776" s="1">
        <v>41712</v>
      </c>
      <c r="K776" s="1">
        <v>41802</v>
      </c>
      <c r="N776" s="5"/>
      <c r="O776">
        <v>451.88</v>
      </c>
      <c r="P776">
        <v>300</v>
      </c>
      <c r="Q776" s="2">
        <v>135564</v>
      </c>
      <c r="R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 s="1">
        <v>42382</v>
      </c>
      <c r="AC776" t="s">
        <v>53</v>
      </c>
      <c r="AD776" t="s">
        <v>53</v>
      </c>
      <c r="AK776">
        <v>0</v>
      </c>
      <c r="AU776" s="6">
        <v>42102</v>
      </c>
      <c r="AV776" s="6">
        <v>42102</v>
      </c>
      <c r="AW776" t="s">
        <v>54</v>
      </c>
      <c r="AX776" t="str">
        <f t="shared" si="63"/>
        <v>FOR</v>
      </c>
      <c r="AY776" t="s">
        <v>55</v>
      </c>
    </row>
    <row r="777" spans="1:51" hidden="1">
      <c r="A777">
        <v>100210</v>
      </c>
      <c r="B777" t="s">
        <v>103</v>
      </c>
      <c r="C777" t="str">
        <f t="shared" si="62"/>
        <v>08082461008</v>
      </c>
      <c r="D777" t="str">
        <f t="shared" si="62"/>
        <v>08082461008</v>
      </c>
      <c r="E777" t="s">
        <v>52</v>
      </c>
      <c r="F777">
        <v>2014</v>
      </c>
      <c r="G777">
        <v>14033260</v>
      </c>
      <c r="H777" s="1">
        <v>41696</v>
      </c>
      <c r="I777" s="1">
        <v>41712</v>
      </c>
      <c r="J777" s="1">
        <v>41712</v>
      </c>
      <c r="K777" s="1">
        <v>41802</v>
      </c>
      <c r="N777" s="5"/>
      <c r="O777">
        <v>244</v>
      </c>
      <c r="P777">
        <v>300</v>
      </c>
      <c r="Q777" s="2">
        <v>73200</v>
      </c>
      <c r="R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 s="1">
        <v>42382</v>
      </c>
      <c r="AC777" t="s">
        <v>53</v>
      </c>
      <c r="AD777" t="s">
        <v>53</v>
      </c>
      <c r="AK777">
        <v>0</v>
      </c>
      <c r="AU777" s="6">
        <v>42102</v>
      </c>
      <c r="AV777" s="6">
        <v>42102</v>
      </c>
      <c r="AW777" t="s">
        <v>54</v>
      </c>
      <c r="AX777" t="str">
        <f t="shared" si="63"/>
        <v>FOR</v>
      </c>
      <c r="AY777" t="s">
        <v>55</v>
      </c>
    </row>
    <row r="778" spans="1:51" hidden="1">
      <c r="A778">
        <v>100210</v>
      </c>
      <c r="B778" t="s">
        <v>103</v>
      </c>
      <c r="C778" t="str">
        <f t="shared" ref="C778:D797" si="64">"08082461008"</f>
        <v>08082461008</v>
      </c>
      <c r="D778" t="str">
        <f t="shared" si="64"/>
        <v>08082461008</v>
      </c>
      <c r="E778" t="s">
        <v>52</v>
      </c>
      <c r="F778">
        <v>2014</v>
      </c>
      <c r="G778">
        <v>14035745</v>
      </c>
      <c r="H778" s="1">
        <v>41701</v>
      </c>
      <c r="I778" s="1">
        <v>41711</v>
      </c>
      <c r="J778" s="1">
        <v>41711</v>
      </c>
      <c r="K778" s="1">
        <v>41801</v>
      </c>
      <c r="N778" s="5"/>
      <c r="O778">
        <v>337.31</v>
      </c>
      <c r="P778">
        <v>330</v>
      </c>
      <c r="Q778" s="2">
        <v>111312.3</v>
      </c>
      <c r="R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 s="1">
        <v>42382</v>
      </c>
      <c r="AC778" t="s">
        <v>53</v>
      </c>
      <c r="AD778" t="s">
        <v>53</v>
      </c>
      <c r="AK778">
        <v>0</v>
      </c>
      <c r="AU778" s="6">
        <v>42131</v>
      </c>
      <c r="AV778" s="6">
        <v>42131</v>
      </c>
      <c r="AW778" t="s">
        <v>54</v>
      </c>
      <c r="AX778" t="str">
        <f t="shared" si="63"/>
        <v>FOR</v>
      </c>
      <c r="AY778" t="s">
        <v>55</v>
      </c>
    </row>
    <row r="779" spans="1:51" hidden="1">
      <c r="A779">
        <v>100210</v>
      </c>
      <c r="B779" t="s">
        <v>103</v>
      </c>
      <c r="C779" t="str">
        <f t="shared" si="64"/>
        <v>08082461008</v>
      </c>
      <c r="D779" t="str">
        <f t="shared" si="64"/>
        <v>08082461008</v>
      </c>
      <c r="E779" t="s">
        <v>52</v>
      </c>
      <c r="F779">
        <v>2014</v>
      </c>
      <c r="G779">
        <v>14036334</v>
      </c>
      <c r="H779" s="1">
        <v>41702</v>
      </c>
      <c r="I779" s="1">
        <v>41719</v>
      </c>
      <c r="J779" s="1">
        <v>41719</v>
      </c>
      <c r="K779" s="1">
        <v>41809</v>
      </c>
      <c r="N779" s="5"/>
      <c r="O779">
        <v>84.33</v>
      </c>
      <c r="P779">
        <v>322</v>
      </c>
      <c r="Q779" s="2">
        <v>27154.26</v>
      </c>
      <c r="R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 s="1">
        <v>42382</v>
      </c>
      <c r="AC779" t="s">
        <v>53</v>
      </c>
      <c r="AD779" t="s">
        <v>53</v>
      </c>
      <c r="AK779">
        <v>0</v>
      </c>
      <c r="AU779" s="6">
        <v>42131</v>
      </c>
      <c r="AV779" s="6">
        <v>42131</v>
      </c>
      <c r="AW779" t="s">
        <v>54</v>
      </c>
      <c r="AX779" t="str">
        <f t="shared" si="63"/>
        <v>FOR</v>
      </c>
      <c r="AY779" t="s">
        <v>55</v>
      </c>
    </row>
    <row r="780" spans="1:51" hidden="1">
      <c r="A780">
        <v>100210</v>
      </c>
      <c r="B780" t="s">
        <v>103</v>
      </c>
      <c r="C780" t="str">
        <f t="shared" si="64"/>
        <v>08082461008</v>
      </c>
      <c r="D780" t="str">
        <f t="shared" si="64"/>
        <v>08082461008</v>
      </c>
      <c r="E780" t="s">
        <v>52</v>
      </c>
      <c r="F780">
        <v>2014</v>
      </c>
      <c r="G780">
        <v>14036338</v>
      </c>
      <c r="H780" s="1">
        <v>41702</v>
      </c>
      <c r="I780" s="1">
        <v>41719</v>
      </c>
      <c r="J780" s="1">
        <v>41719</v>
      </c>
      <c r="K780" s="1">
        <v>41809</v>
      </c>
      <c r="N780" s="5"/>
      <c r="O780">
        <v>252.98</v>
      </c>
      <c r="P780">
        <v>322</v>
      </c>
      <c r="Q780" s="2">
        <v>81459.56</v>
      </c>
      <c r="R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 s="1">
        <v>42382</v>
      </c>
      <c r="AC780" t="s">
        <v>53</v>
      </c>
      <c r="AD780" t="s">
        <v>53</v>
      </c>
      <c r="AK780">
        <v>0</v>
      </c>
      <c r="AU780" s="6">
        <v>42131</v>
      </c>
      <c r="AV780" s="6">
        <v>42131</v>
      </c>
      <c r="AW780" t="s">
        <v>54</v>
      </c>
      <c r="AX780" t="str">
        <f t="shared" si="63"/>
        <v>FOR</v>
      </c>
      <c r="AY780" t="s">
        <v>55</v>
      </c>
    </row>
    <row r="781" spans="1:51" hidden="1">
      <c r="A781">
        <v>100210</v>
      </c>
      <c r="B781" t="s">
        <v>103</v>
      </c>
      <c r="C781" t="str">
        <f t="shared" si="64"/>
        <v>08082461008</v>
      </c>
      <c r="D781" t="str">
        <f t="shared" si="64"/>
        <v>08082461008</v>
      </c>
      <c r="E781" t="s">
        <v>52</v>
      </c>
      <c r="F781">
        <v>2014</v>
      </c>
      <c r="G781">
        <v>14036767</v>
      </c>
      <c r="H781" s="1">
        <v>41702</v>
      </c>
      <c r="I781" s="1">
        <v>41719</v>
      </c>
      <c r="J781" s="1">
        <v>41719</v>
      </c>
      <c r="K781" s="1">
        <v>41809</v>
      </c>
      <c r="N781" s="5"/>
      <c r="O781" s="2">
        <v>9684.36</v>
      </c>
      <c r="P781">
        <v>322</v>
      </c>
      <c r="Q781" s="2">
        <v>3118363.92</v>
      </c>
      <c r="R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 s="1">
        <v>42382</v>
      </c>
      <c r="AC781" t="s">
        <v>53</v>
      </c>
      <c r="AD781" t="s">
        <v>53</v>
      </c>
      <c r="AK781">
        <v>0</v>
      </c>
      <c r="AU781" s="6">
        <v>42131</v>
      </c>
      <c r="AV781" s="6">
        <v>42131</v>
      </c>
      <c r="AW781" t="s">
        <v>54</v>
      </c>
      <c r="AX781" t="str">
        <f t="shared" si="63"/>
        <v>FOR</v>
      </c>
      <c r="AY781" t="s">
        <v>55</v>
      </c>
    </row>
    <row r="782" spans="1:51" hidden="1">
      <c r="A782">
        <v>100210</v>
      </c>
      <c r="B782" t="s">
        <v>103</v>
      </c>
      <c r="C782" t="str">
        <f t="shared" si="64"/>
        <v>08082461008</v>
      </c>
      <c r="D782" t="str">
        <f t="shared" si="64"/>
        <v>08082461008</v>
      </c>
      <c r="E782" t="s">
        <v>52</v>
      </c>
      <c r="F782">
        <v>2014</v>
      </c>
      <c r="G782">
        <v>14040673</v>
      </c>
      <c r="H782" s="1">
        <v>41709</v>
      </c>
      <c r="I782" s="1">
        <v>41722</v>
      </c>
      <c r="J782" s="1">
        <v>41722</v>
      </c>
      <c r="K782" s="1">
        <v>41812</v>
      </c>
      <c r="N782" s="5"/>
      <c r="O782" s="2">
        <v>3947.46</v>
      </c>
      <c r="P782">
        <v>319</v>
      </c>
      <c r="Q782" s="2">
        <v>1259239.74</v>
      </c>
      <c r="R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 s="1">
        <v>42382</v>
      </c>
      <c r="AC782" t="s">
        <v>53</v>
      </c>
      <c r="AD782" t="s">
        <v>53</v>
      </c>
      <c r="AK782">
        <v>0</v>
      </c>
      <c r="AU782" s="6">
        <v>42131</v>
      </c>
      <c r="AV782" s="6">
        <v>42131</v>
      </c>
      <c r="AW782" t="s">
        <v>54</v>
      </c>
      <c r="AX782" t="str">
        <f t="shared" si="63"/>
        <v>FOR</v>
      </c>
      <c r="AY782" t="s">
        <v>55</v>
      </c>
    </row>
    <row r="783" spans="1:51" hidden="1">
      <c r="A783">
        <v>100210</v>
      </c>
      <c r="B783" t="s">
        <v>103</v>
      </c>
      <c r="C783" t="str">
        <f t="shared" si="64"/>
        <v>08082461008</v>
      </c>
      <c r="D783" t="str">
        <f t="shared" si="64"/>
        <v>08082461008</v>
      </c>
      <c r="E783" t="s">
        <v>52</v>
      </c>
      <c r="F783">
        <v>2014</v>
      </c>
      <c r="G783">
        <v>14040713</v>
      </c>
      <c r="H783" s="1">
        <v>41709</v>
      </c>
      <c r="I783" s="1">
        <v>41722</v>
      </c>
      <c r="J783" s="1">
        <v>41722</v>
      </c>
      <c r="K783" s="1">
        <v>41812</v>
      </c>
      <c r="N783" s="5"/>
      <c r="O783">
        <v>451.88</v>
      </c>
      <c r="P783">
        <v>319</v>
      </c>
      <c r="Q783" s="2">
        <v>144149.72</v>
      </c>
      <c r="R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 s="1">
        <v>42382</v>
      </c>
      <c r="AC783" t="s">
        <v>53</v>
      </c>
      <c r="AD783" t="s">
        <v>53</v>
      </c>
      <c r="AK783">
        <v>0</v>
      </c>
      <c r="AU783" s="6">
        <v>42131</v>
      </c>
      <c r="AV783" s="6">
        <v>42131</v>
      </c>
      <c r="AW783" t="s">
        <v>54</v>
      </c>
      <c r="AX783" t="str">
        <f t="shared" si="63"/>
        <v>FOR</v>
      </c>
      <c r="AY783" t="s">
        <v>55</v>
      </c>
    </row>
    <row r="784" spans="1:51" hidden="1">
      <c r="A784">
        <v>100210</v>
      </c>
      <c r="B784" t="s">
        <v>103</v>
      </c>
      <c r="C784" t="str">
        <f t="shared" si="64"/>
        <v>08082461008</v>
      </c>
      <c r="D784" t="str">
        <f t="shared" si="64"/>
        <v>08082461008</v>
      </c>
      <c r="E784" t="s">
        <v>52</v>
      </c>
      <c r="F784">
        <v>2014</v>
      </c>
      <c r="G784">
        <v>14040715</v>
      </c>
      <c r="H784" s="1">
        <v>41709</v>
      </c>
      <c r="I784" s="1">
        <v>41722</v>
      </c>
      <c r="J784" s="1">
        <v>41722</v>
      </c>
      <c r="K784" s="1">
        <v>41812</v>
      </c>
      <c r="N784" s="5"/>
      <c r="O784">
        <v>114.4</v>
      </c>
      <c r="P784">
        <v>319</v>
      </c>
      <c r="Q784" s="2">
        <v>36493.599999999999</v>
      </c>
      <c r="R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 s="1">
        <v>42382</v>
      </c>
      <c r="AC784" t="s">
        <v>53</v>
      </c>
      <c r="AD784" t="s">
        <v>53</v>
      </c>
      <c r="AK784">
        <v>0</v>
      </c>
      <c r="AU784" s="6">
        <v>42131</v>
      </c>
      <c r="AV784" s="6">
        <v>42131</v>
      </c>
      <c r="AW784" t="s">
        <v>54</v>
      </c>
      <c r="AX784" t="str">
        <f t="shared" si="63"/>
        <v>FOR</v>
      </c>
      <c r="AY784" t="s">
        <v>55</v>
      </c>
    </row>
    <row r="785" spans="1:51" hidden="1">
      <c r="A785">
        <v>100210</v>
      </c>
      <c r="B785" t="s">
        <v>103</v>
      </c>
      <c r="C785" t="str">
        <f t="shared" si="64"/>
        <v>08082461008</v>
      </c>
      <c r="D785" t="str">
        <f t="shared" si="64"/>
        <v>08082461008</v>
      </c>
      <c r="E785" t="s">
        <v>52</v>
      </c>
      <c r="F785">
        <v>2014</v>
      </c>
      <c r="G785">
        <v>14040717</v>
      </c>
      <c r="H785" s="1">
        <v>41709</v>
      </c>
      <c r="I785" s="1">
        <v>41722</v>
      </c>
      <c r="J785" s="1">
        <v>41722</v>
      </c>
      <c r="K785" s="1">
        <v>41812</v>
      </c>
      <c r="N785" s="5"/>
      <c r="O785">
        <v>45.76</v>
      </c>
      <c r="P785">
        <v>319</v>
      </c>
      <c r="Q785" s="2">
        <v>14597.44</v>
      </c>
      <c r="R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 s="1">
        <v>42382</v>
      </c>
      <c r="AC785" t="s">
        <v>53</v>
      </c>
      <c r="AD785" t="s">
        <v>53</v>
      </c>
      <c r="AK785">
        <v>0</v>
      </c>
      <c r="AU785" s="6">
        <v>42131</v>
      </c>
      <c r="AV785" s="6">
        <v>42131</v>
      </c>
      <c r="AW785" t="s">
        <v>54</v>
      </c>
      <c r="AX785" t="str">
        <f t="shared" si="63"/>
        <v>FOR</v>
      </c>
      <c r="AY785" t="s">
        <v>55</v>
      </c>
    </row>
    <row r="786" spans="1:51" hidden="1">
      <c r="A786">
        <v>100210</v>
      </c>
      <c r="B786" t="s">
        <v>103</v>
      </c>
      <c r="C786" t="str">
        <f t="shared" si="64"/>
        <v>08082461008</v>
      </c>
      <c r="D786" t="str">
        <f t="shared" si="64"/>
        <v>08082461008</v>
      </c>
      <c r="E786" t="s">
        <v>52</v>
      </c>
      <c r="F786">
        <v>2014</v>
      </c>
      <c r="G786">
        <v>14040720</v>
      </c>
      <c r="H786" s="1">
        <v>41709</v>
      </c>
      <c r="I786" s="1">
        <v>41722</v>
      </c>
      <c r="J786" s="1">
        <v>41722</v>
      </c>
      <c r="K786" s="1">
        <v>41812</v>
      </c>
      <c r="N786" s="5"/>
      <c r="O786">
        <v>114.4</v>
      </c>
      <c r="P786">
        <v>319</v>
      </c>
      <c r="Q786" s="2">
        <v>36493.599999999999</v>
      </c>
      <c r="R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 s="1">
        <v>42382</v>
      </c>
      <c r="AC786" t="s">
        <v>53</v>
      </c>
      <c r="AD786" t="s">
        <v>53</v>
      </c>
      <c r="AK786">
        <v>0</v>
      </c>
      <c r="AU786" s="6">
        <v>42131</v>
      </c>
      <c r="AV786" s="6">
        <v>42131</v>
      </c>
      <c r="AW786" t="s">
        <v>54</v>
      </c>
      <c r="AX786" t="str">
        <f t="shared" si="63"/>
        <v>FOR</v>
      </c>
      <c r="AY786" t="s">
        <v>55</v>
      </c>
    </row>
    <row r="787" spans="1:51" hidden="1">
      <c r="A787">
        <v>100210</v>
      </c>
      <c r="B787" t="s">
        <v>103</v>
      </c>
      <c r="C787" t="str">
        <f t="shared" si="64"/>
        <v>08082461008</v>
      </c>
      <c r="D787" t="str">
        <f t="shared" si="64"/>
        <v>08082461008</v>
      </c>
      <c r="E787" t="s">
        <v>52</v>
      </c>
      <c r="F787">
        <v>2014</v>
      </c>
      <c r="G787">
        <v>14040721</v>
      </c>
      <c r="H787" s="1">
        <v>41709</v>
      </c>
      <c r="I787" s="1">
        <v>41722</v>
      </c>
      <c r="J787" s="1">
        <v>41722</v>
      </c>
      <c r="K787" s="1">
        <v>41812</v>
      </c>
      <c r="N787" s="5"/>
      <c r="O787">
        <v>45.76</v>
      </c>
      <c r="P787">
        <v>319</v>
      </c>
      <c r="Q787" s="2">
        <v>14597.44</v>
      </c>
      <c r="R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 s="1">
        <v>42382</v>
      </c>
      <c r="AC787" t="s">
        <v>53</v>
      </c>
      <c r="AD787" t="s">
        <v>53</v>
      </c>
      <c r="AK787">
        <v>0</v>
      </c>
      <c r="AU787" s="6">
        <v>42131</v>
      </c>
      <c r="AV787" s="6">
        <v>42131</v>
      </c>
      <c r="AW787" t="s">
        <v>54</v>
      </c>
      <c r="AX787" t="str">
        <f t="shared" si="63"/>
        <v>FOR</v>
      </c>
      <c r="AY787" t="s">
        <v>55</v>
      </c>
    </row>
    <row r="788" spans="1:51" hidden="1">
      <c r="A788">
        <v>100210</v>
      </c>
      <c r="B788" t="s">
        <v>103</v>
      </c>
      <c r="C788" t="str">
        <f t="shared" si="64"/>
        <v>08082461008</v>
      </c>
      <c r="D788" t="str">
        <f t="shared" si="64"/>
        <v>08082461008</v>
      </c>
      <c r="E788" t="s">
        <v>52</v>
      </c>
      <c r="F788">
        <v>2014</v>
      </c>
      <c r="G788">
        <v>14040722</v>
      </c>
      <c r="H788" s="1">
        <v>41709</v>
      </c>
      <c r="I788" s="1">
        <v>41722</v>
      </c>
      <c r="J788" s="1">
        <v>41722</v>
      </c>
      <c r="K788" s="1">
        <v>41812</v>
      </c>
      <c r="N788" s="5"/>
      <c r="O788">
        <v>45.76</v>
      </c>
      <c r="P788">
        <v>319</v>
      </c>
      <c r="Q788" s="2">
        <v>14597.44</v>
      </c>
      <c r="R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 s="1">
        <v>42382</v>
      </c>
      <c r="AC788" t="s">
        <v>53</v>
      </c>
      <c r="AD788" t="s">
        <v>53</v>
      </c>
      <c r="AK788">
        <v>0</v>
      </c>
      <c r="AU788" s="6">
        <v>42131</v>
      </c>
      <c r="AV788" s="6">
        <v>42131</v>
      </c>
      <c r="AW788" t="s">
        <v>54</v>
      </c>
      <c r="AX788" t="str">
        <f t="shared" si="63"/>
        <v>FOR</v>
      </c>
      <c r="AY788" t="s">
        <v>55</v>
      </c>
    </row>
    <row r="789" spans="1:51" hidden="1">
      <c r="A789">
        <v>100210</v>
      </c>
      <c r="B789" t="s">
        <v>103</v>
      </c>
      <c r="C789" t="str">
        <f t="shared" si="64"/>
        <v>08082461008</v>
      </c>
      <c r="D789" t="str">
        <f t="shared" si="64"/>
        <v>08082461008</v>
      </c>
      <c r="E789" t="s">
        <v>52</v>
      </c>
      <c r="F789">
        <v>2014</v>
      </c>
      <c r="G789">
        <v>14040724</v>
      </c>
      <c r="H789" s="1">
        <v>41709</v>
      </c>
      <c r="I789" s="1">
        <v>41722</v>
      </c>
      <c r="J789" s="1">
        <v>41722</v>
      </c>
      <c r="K789" s="1">
        <v>41812</v>
      </c>
      <c r="N789" s="5"/>
      <c r="O789">
        <v>45.76</v>
      </c>
      <c r="P789">
        <v>319</v>
      </c>
      <c r="Q789" s="2">
        <v>14597.44</v>
      </c>
      <c r="R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 s="1">
        <v>42382</v>
      </c>
      <c r="AC789" t="s">
        <v>53</v>
      </c>
      <c r="AD789" t="s">
        <v>53</v>
      </c>
      <c r="AK789">
        <v>0</v>
      </c>
      <c r="AU789" s="6">
        <v>42131</v>
      </c>
      <c r="AV789" s="6">
        <v>42131</v>
      </c>
      <c r="AW789" t="s">
        <v>54</v>
      </c>
      <c r="AX789" t="str">
        <f t="shared" si="63"/>
        <v>FOR</v>
      </c>
      <c r="AY789" t="s">
        <v>55</v>
      </c>
    </row>
    <row r="790" spans="1:51" hidden="1">
      <c r="A790">
        <v>100210</v>
      </c>
      <c r="B790" t="s">
        <v>103</v>
      </c>
      <c r="C790" t="str">
        <f t="shared" si="64"/>
        <v>08082461008</v>
      </c>
      <c r="D790" t="str">
        <f t="shared" si="64"/>
        <v>08082461008</v>
      </c>
      <c r="E790" t="s">
        <v>52</v>
      </c>
      <c r="F790">
        <v>2014</v>
      </c>
      <c r="G790">
        <v>14040731</v>
      </c>
      <c r="H790" s="1">
        <v>41709</v>
      </c>
      <c r="I790" s="1">
        <v>41722</v>
      </c>
      <c r="J790" s="1">
        <v>41722</v>
      </c>
      <c r="K790" s="1">
        <v>41812</v>
      </c>
      <c r="N790" s="5"/>
      <c r="O790">
        <v>451.88</v>
      </c>
      <c r="P790">
        <v>319</v>
      </c>
      <c r="Q790" s="2">
        <v>144149.72</v>
      </c>
      <c r="R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 s="1">
        <v>42382</v>
      </c>
      <c r="AC790" t="s">
        <v>53</v>
      </c>
      <c r="AD790" t="s">
        <v>53</v>
      </c>
      <c r="AK790">
        <v>0</v>
      </c>
      <c r="AU790" s="6">
        <v>42131</v>
      </c>
      <c r="AV790" s="6">
        <v>42131</v>
      </c>
      <c r="AW790" t="s">
        <v>54</v>
      </c>
      <c r="AX790" t="str">
        <f t="shared" si="63"/>
        <v>FOR</v>
      </c>
      <c r="AY790" t="s">
        <v>55</v>
      </c>
    </row>
    <row r="791" spans="1:51" hidden="1">
      <c r="A791">
        <v>100210</v>
      </c>
      <c r="B791" t="s">
        <v>103</v>
      </c>
      <c r="C791" t="str">
        <f t="shared" si="64"/>
        <v>08082461008</v>
      </c>
      <c r="D791" t="str">
        <f t="shared" si="64"/>
        <v>08082461008</v>
      </c>
      <c r="E791" t="s">
        <v>52</v>
      </c>
      <c r="F791">
        <v>2014</v>
      </c>
      <c r="G791">
        <v>14040734</v>
      </c>
      <c r="H791" s="1">
        <v>41709</v>
      </c>
      <c r="I791" s="1">
        <v>41722</v>
      </c>
      <c r="J791" s="1">
        <v>41722</v>
      </c>
      <c r="K791" s="1">
        <v>41812</v>
      </c>
      <c r="N791" s="5"/>
      <c r="O791">
        <v>451.88</v>
      </c>
      <c r="P791">
        <v>319</v>
      </c>
      <c r="Q791" s="2">
        <v>144149.72</v>
      </c>
      <c r="R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 s="1">
        <v>42382</v>
      </c>
      <c r="AC791" t="s">
        <v>53</v>
      </c>
      <c r="AD791" t="s">
        <v>53</v>
      </c>
      <c r="AK791">
        <v>0</v>
      </c>
      <c r="AU791" s="6">
        <v>42131</v>
      </c>
      <c r="AV791" s="6">
        <v>42131</v>
      </c>
      <c r="AW791" t="s">
        <v>54</v>
      </c>
      <c r="AX791" t="str">
        <f t="shared" si="63"/>
        <v>FOR</v>
      </c>
      <c r="AY791" t="s">
        <v>55</v>
      </c>
    </row>
    <row r="792" spans="1:51" hidden="1">
      <c r="A792">
        <v>100210</v>
      </c>
      <c r="B792" t="s">
        <v>103</v>
      </c>
      <c r="C792" t="str">
        <f t="shared" si="64"/>
        <v>08082461008</v>
      </c>
      <c r="D792" t="str">
        <f t="shared" si="64"/>
        <v>08082461008</v>
      </c>
      <c r="E792" t="s">
        <v>52</v>
      </c>
      <c r="F792">
        <v>2014</v>
      </c>
      <c r="G792">
        <v>14042298</v>
      </c>
      <c r="H792" s="1">
        <v>41710</v>
      </c>
      <c r="I792" s="1">
        <v>41722</v>
      </c>
      <c r="J792" s="1">
        <v>41722</v>
      </c>
      <c r="K792" s="1">
        <v>41812</v>
      </c>
      <c r="N792" s="5"/>
      <c r="O792" s="2">
        <v>7393.2</v>
      </c>
      <c r="P792">
        <v>319</v>
      </c>
      <c r="Q792" s="2">
        <v>2358430.7999999998</v>
      </c>
      <c r="R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 s="1">
        <v>42382</v>
      </c>
      <c r="AC792" t="s">
        <v>53</v>
      </c>
      <c r="AD792" t="s">
        <v>53</v>
      </c>
      <c r="AK792">
        <v>0</v>
      </c>
      <c r="AU792" s="6">
        <v>42131</v>
      </c>
      <c r="AV792" s="6">
        <v>42131</v>
      </c>
      <c r="AW792" t="s">
        <v>54</v>
      </c>
      <c r="AX792" t="str">
        <f t="shared" si="63"/>
        <v>FOR</v>
      </c>
      <c r="AY792" t="s">
        <v>55</v>
      </c>
    </row>
    <row r="793" spans="1:51" hidden="1">
      <c r="A793">
        <v>100210</v>
      </c>
      <c r="B793" t="s">
        <v>103</v>
      </c>
      <c r="C793" t="str">
        <f t="shared" si="64"/>
        <v>08082461008</v>
      </c>
      <c r="D793" t="str">
        <f t="shared" si="64"/>
        <v>08082461008</v>
      </c>
      <c r="E793" t="s">
        <v>52</v>
      </c>
      <c r="F793">
        <v>2014</v>
      </c>
      <c r="G793">
        <v>14042364</v>
      </c>
      <c r="H793" s="1">
        <v>41710</v>
      </c>
      <c r="I793" s="1">
        <v>41722</v>
      </c>
      <c r="J793" s="1">
        <v>41722</v>
      </c>
      <c r="K793" s="1">
        <v>41812</v>
      </c>
      <c r="N793" s="5"/>
      <c r="O793" s="2">
        <v>7671.85</v>
      </c>
      <c r="P793">
        <v>319</v>
      </c>
      <c r="Q793" s="2">
        <v>2447320.15</v>
      </c>
      <c r="R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 s="1">
        <v>42382</v>
      </c>
      <c r="AC793" t="s">
        <v>53</v>
      </c>
      <c r="AD793" t="s">
        <v>53</v>
      </c>
      <c r="AK793">
        <v>0</v>
      </c>
      <c r="AU793" s="6">
        <v>42131</v>
      </c>
      <c r="AV793" s="6">
        <v>42131</v>
      </c>
      <c r="AW793" t="s">
        <v>54</v>
      </c>
      <c r="AX793" t="str">
        <f t="shared" si="63"/>
        <v>FOR</v>
      </c>
      <c r="AY793" t="s">
        <v>55</v>
      </c>
    </row>
    <row r="794" spans="1:51" hidden="1">
      <c r="A794">
        <v>100210</v>
      </c>
      <c r="B794" t="s">
        <v>103</v>
      </c>
      <c r="C794" t="str">
        <f t="shared" si="64"/>
        <v>08082461008</v>
      </c>
      <c r="D794" t="str">
        <f t="shared" si="64"/>
        <v>08082461008</v>
      </c>
      <c r="E794" t="s">
        <v>52</v>
      </c>
      <c r="F794">
        <v>2014</v>
      </c>
      <c r="G794">
        <v>14044911</v>
      </c>
      <c r="H794" s="1">
        <v>41715</v>
      </c>
      <c r="I794" s="1">
        <v>41724</v>
      </c>
      <c r="J794" s="1">
        <v>41724</v>
      </c>
      <c r="K794" s="1">
        <v>41814</v>
      </c>
      <c r="N794" s="5"/>
      <c r="O794">
        <v>878.4</v>
      </c>
      <c r="P794">
        <v>317</v>
      </c>
      <c r="Q794" s="2">
        <v>278452.8</v>
      </c>
      <c r="R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 s="1">
        <v>42382</v>
      </c>
      <c r="AC794" t="s">
        <v>53</v>
      </c>
      <c r="AD794" t="s">
        <v>53</v>
      </c>
      <c r="AK794">
        <v>0</v>
      </c>
      <c r="AU794" s="6">
        <v>42131</v>
      </c>
      <c r="AV794" s="6">
        <v>42131</v>
      </c>
      <c r="AW794" t="s">
        <v>54</v>
      </c>
      <c r="AX794" t="str">
        <f t="shared" si="63"/>
        <v>FOR</v>
      </c>
      <c r="AY794" t="s">
        <v>55</v>
      </c>
    </row>
    <row r="795" spans="1:51" hidden="1">
      <c r="A795">
        <v>100210</v>
      </c>
      <c r="B795" t="s">
        <v>103</v>
      </c>
      <c r="C795" t="str">
        <f t="shared" si="64"/>
        <v>08082461008</v>
      </c>
      <c r="D795" t="str">
        <f t="shared" si="64"/>
        <v>08082461008</v>
      </c>
      <c r="E795" t="s">
        <v>52</v>
      </c>
      <c r="F795">
        <v>2014</v>
      </c>
      <c r="G795">
        <v>14045832</v>
      </c>
      <c r="H795" s="1">
        <v>41716</v>
      </c>
      <c r="I795" s="1">
        <v>41724</v>
      </c>
      <c r="J795" s="1">
        <v>41724</v>
      </c>
      <c r="K795" s="1">
        <v>41814</v>
      </c>
      <c r="N795" s="5"/>
      <c r="O795" s="2">
        <v>1384.37</v>
      </c>
      <c r="P795">
        <v>317</v>
      </c>
      <c r="Q795" s="2">
        <v>438845.29</v>
      </c>
      <c r="R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 s="1">
        <v>42382</v>
      </c>
      <c r="AC795" t="s">
        <v>53</v>
      </c>
      <c r="AD795" t="s">
        <v>53</v>
      </c>
      <c r="AK795">
        <v>0</v>
      </c>
      <c r="AU795" s="6">
        <v>42131</v>
      </c>
      <c r="AV795" s="6">
        <v>42131</v>
      </c>
      <c r="AW795" t="s">
        <v>54</v>
      </c>
      <c r="AX795" t="str">
        <f t="shared" si="63"/>
        <v>FOR</v>
      </c>
      <c r="AY795" t="s">
        <v>55</v>
      </c>
    </row>
    <row r="796" spans="1:51" hidden="1">
      <c r="A796">
        <v>100210</v>
      </c>
      <c r="B796" t="s">
        <v>103</v>
      </c>
      <c r="C796" t="str">
        <f t="shared" si="64"/>
        <v>08082461008</v>
      </c>
      <c r="D796" t="str">
        <f t="shared" si="64"/>
        <v>08082461008</v>
      </c>
      <c r="E796" t="s">
        <v>52</v>
      </c>
      <c r="F796">
        <v>2014</v>
      </c>
      <c r="G796">
        <v>14052196</v>
      </c>
      <c r="H796" s="1">
        <v>41725</v>
      </c>
      <c r="I796" s="1">
        <v>41737</v>
      </c>
      <c r="J796" s="1">
        <v>41737</v>
      </c>
      <c r="K796" s="1">
        <v>41827</v>
      </c>
      <c r="N796" s="5"/>
      <c r="O796">
        <v>94.34</v>
      </c>
      <c r="P796">
        <v>304</v>
      </c>
      <c r="Q796" s="2">
        <v>28679.360000000001</v>
      </c>
      <c r="R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 s="1">
        <v>42382</v>
      </c>
      <c r="AC796" t="s">
        <v>53</v>
      </c>
      <c r="AD796" t="s">
        <v>53</v>
      </c>
      <c r="AK796">
        <v>0</v>
      </c>
      <c r="AU796" s="6">
        <v>42131</v>
      </c>
      <c r="AV796" s="6">
        <v>42131</v>
      </c>
      <c r="AW796" t="s">
        <v>54</v>
      </c>
      <c r="AX796" t="str">
        <f t="shared" si="63"/>
        <v>FOR</v>
      </c>
      <c r="AY796" t="s">
        <v>55</v>
      </c>
    </row>
    <row r="797" spans="1:51" hidden="1">
      <c r="A797">
        <v>100210</v>
      </c>
      <c r="B797" t="s">
        <v>103</v>
      </c>
      <c r="C797" t="str">
        <f t="shared" si="64"/>
        <v>08082461008</v>
      </c>
      <c r="D797" t="str">
        <f t="shared" si="64"/>
        <v>08082461008</v>
      </c>
      <c r="E797" t="s">
        <v>52</v>
      </c>
      <c r="F797">
        <v>2014</v>
      </c>
      <c r="G797">
        <v>14054569</v>
      </c>
      <c r="H797" s="1">
        <v>41729</v>
      </c>
      <c r="I797" s="1">
        <v>41739</v>
      </c>
      <c r="J797" s="1">
        <v>41739</v>
      </c>
      <c r="K797" s="1">
        <v>41829</v>
      </c>
      <c r="N797" s="5"/>
      <c r="O797">
        <v>188.67</v>
      </c>
      <c r="P797">
        <v>302</v>
      </c>
      <c r="Q797" s="2">
        <v>56978.34</v>
      </c>
      <c r="R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 s="1">
        <v>42382</v>
      </c>
      <c r="AC797" t="s">
        <v>53</v>
      </c>
      <c r="AD797" t="s">
        <v>53</v>
      </c>
      <c r="AK797">
        <v>0</v>
      </c>
      <c r="AU797" s="6">
        <v>42131</v>
      </c>
      <c r="AV797" s="6">
        <v>42131</v>
      </c>
      <c r="AW797" t="s">
        <v>54</v>
      </c>
      <c r="AX797" t="str">
        <f t="shared" si="63"/>
        <v>FOR</v>
      </c>
      <c r="AY797" t="s">
        <v>55</v>
      </c>
    </row>
    <row r="798" spans="1:51" hidden="1">
      <c r="A798">
        <v>100210</v>
      </c>
      <c r="B798" t="s">
        <v>103</v>
      </c>
      <c r="C798" t="str">
        <f t="shared" ref="C798:D817" si="65">"08082461008"</f>
        <v>08082461008</v>
      </c>
      <c r="D798" t="str">
        <f t="shared" si="65"/>
        <v>08082461008</v>
      </c>
      <c r="E798" t="s">
        <v>52</v>
      </c>
      <c r="F798">
        <v>2014</v>
      </c>
      <c r="G798">
        <v>14055361</v>
      </c>
      <c r="H798" s="1">
        <v>41729</v>
      </c>
      <c r="I798" s="1">
        <v>41739</v>
      </c>
      <c r="J798" s="1">
        <v>41739</v>
      </c>
      <c r="K798" s="1">
        <v>41829</v>
      </c>
      <c r="N798" s="5"/>
      <c r="O798">
        <v>451.88</v>
      </c>
      <c r="P798">
        <v>302</v>
      </c>
      <c r="Q798" s="2">
        <v>136467.76</v>
      </c>
      <c r="R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 s="1">
        <v>42382</v>
      </c>
      <c r="AC798" t="s">
        <v>53</v>
      </c>
      <c r="AD798" t="s">
        <v>53</v>
      </c>
      <c r="AK798">
        <v>0</v>
      </c>
      <c r="AU798" s="6">
        <v>42131</v>
      </c>
      <c r="AV798" s="6">
        <v>42131</v>
      </c>
      <c r="AW798" t="s">
        <v>54</v>
      </c>
      <c r="AX798" t="str">
        <f t="shared" si="63"/>
        <v>FOR</v>
      </c>
      <c r="AY798" t="s">
        <v>55</v>
      </c>
    </row>
    <row r="799" spans="1:51" hidden="1">
      <c r="A799">
        <v>100210</v>
      </c>
      <c r="B799" t="s">
        <v>103</v>
      </c>
      <c r="C799" t="str">
        <f t="shared" si="65"/>
        <v>08082461008</v>
      </c>
      <c r="D799" t="str">
        <f t="shared" si="65"/>
        <v>08082461008</v>
      </c>
      <c r="E799" t="s">
        <v>52</v>
      </c>
      <c r="F799">
        <v>2014</v>
      </c>
      <c r="G799">
        <v>14057013</v>
      </c>
      <c r="H799" s="1">
        <v>41731</v>
      </c>
      <c r="I799" s="1">
        <v>41743</v>
      </c>
      <c r="J799" s="1">
        <v>41743</v>
      </c>
      <c r="K799" s="1">
        <v>41833</v>
      </c>
      <c r="N799" s="5"/>
      <c r="O799" s="2">
        <v>2705.48</v>
      </c>
      <c r="P799">
        <v>330</v>
      </c>
      <c r="Q799" s="2">
        <v>892808.4</v>
      </c>
      <c r="R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 s="1">
        <v>42382</v>
      </c>
      <c r="AC799" t="s">
        <v>53</v>
      </c>
      <c r="AD799" t="s">
        <v>53</v>
      </c>
      <c r="AK799">
        <v>0</v>
      </c>
      <c r="AU799" s="6">
        <v>42163</v>
      </c>
      <c r="AV799" s="6">
        <v>42163</v>
      </c>
      <c r="AW799" t="s">
        <v>54</v>
      </c>
      <c r="AX799" t="str">
        <f t="shared" si="63"/>
        <v>FOR</v>
      </c>
      <c r="AY799" t="s">
        <v>55</v>
      </c>
    </row>
    <row r="800" spans="1:51" hidden="1">
      <c r="A800">
        <v>100210</v>
      </c>
      <c r="B800" t="s">
        <v>103</v>
      </c>
      <c r="C800" t="str">
        <f t="shared" si="65"/>
        <v>08082461008</v>
      </c>
      <c r="D800" t="str">
        <f t="shared" si="65"/>
        <v>08082461008</v>
      </c>
      <c r="E800" t="s">
        <v>52</v>
      </c>
      <c r="F800">
        <v>2014</v>
      </c>
      <c r="G800">
        <v>14061379</v>
      </c>
      <c r="H800" s="1">
        <v>41738</v>
      </c>
      <c r="I800" s="1">
        <v>41752</v>
      </c>
      <c r="J800" s="1">
        <v>41752</v>
      </c>
      <c r="K800" s="1">
        <v>41842</v>
      </c>
      <c r="N800" s="5"/>
      <c r="O800" s="2">
        <v>8784</v>
      </c>
      <c r="P800">
        <v>321</v>
      </c>
      <c r="Q800" s="2">
        <v>2819664</v>
      </c>
      <c r="R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 s="1">
        <v>42382</v>
      </c>
      <c r="AC800" t="s">
        <v>53</v>
      </c>
      <c r="AD800" t="s">
        <v>53</v>
      </c>
      <c r="AK800">
        <v>0</v>
      </c>
      <c r="AU800" s="6">
        <v>42163</v>
      </c>
      <c r="AV800" s="6">
        <v>42163</v>
      </c>
      <c r="AW800" t="s">
        <v>54</v>
      </c>
      <c r="AX800" t="str">
        <f t="shared" si="63"/>
        <v>FOR</v>
      </c>
      <c r="AY800" t="s">
        <v>55</v>
      </c>
    </row>
    <row r="801" spans="1:51" hidden="1">
      <c r="A801">
        <v>100210</v>
      </c>
      <c r="B801" t="s">
        <v>103</v>
      </c>
      <c r="C801" t="str">
        <f t="shared" si="65"/>
        <v>08082461008</v>
      </c>
      <c r="D801" t="str">
        <f t="shared" si="65"/>
        <v>08082461008</v>
      </c>
      <c r="E801" t="s">
        <v>52</v>
      </c>
      <c r="F801">
        <v>2014</v>
      </c>
      <c r="G801">
        <v>14062347</v>
      </c>
      <c r="H801" s="1">
        <v>41740</v>
      </c>
      <c r="I801" s="1">
        <v>41753</v>
      </c>
      <c r="J801" s="1">
        <v>41753</v>
      </c>
      <c r="K801" s="1">
        <v>41843</v>
      </c>
      <c r="N801" s="5"/>
      <c r="O801">
        <v>45.76</v>
      </c>
      <c r="P801">
        <v>320</v>
      </c>
      <c r="Q801" s="2">
        <v>14643.2</v>
      </c>
      <c r="R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 s="1">
        <v>42382</v>
      </c>
      <c r="AC801" t="s">
        <v>53</v>
      </c>
      <c r="AD801" t="s">
        <v>53</v>
      </c>
      <c r="AK801">
        <v>0</v>
      </c>
      <c r="AU801" s="6">
        <v>42163</v>
      </c>
      <c r="AV801" s="6">
        <v>42163</v>
      </c>
      <c r="AW801" t="s">
        <v>54</v>
      </c>
      <c r="AX801" t="str">
        <f t="shared" si="63"/>
        <v>FOR</v>
      </c>
      <c r="AY801" t="s">
        <v>55</v>
      </c>
    </row>
    <row r="802" spans="1:51" hidden="1">
      <c r="A802">
        <v>100210</v>
      </c>
      <c r="B802" t="s">
        <v>103</v>
      </c>
      <c r="C802" t="str">
        <f t="shared" si="65"/>
        <v>08082461008</v>
      </c>
      <c r="D802" t="str">
        <f t="shared" si="65"/>
        <v>08082461008</v>
      </c>
      <c r="E802" t="s">
        <v>52</v>
      </c>
      <c r="F802">
        <v>2014</v>
      </c>
      <c r="G802">
        <v>14062349</v>
      </c>
      <c r="H802" s="1">
        <v>41740</v>
      </c>
      <c r="I802" s="1">
        <v>41753</v>
      </c>
      <c r="J802" s="1">
        <v>41753</v>
      </c>
      <c r="K802" s="1">
        <v>41843</v>
      </c>
      <c r="N802" s="5"/>
      <c r="O802">
        <v>45.76</v>
      </c>
      <c r="P802">
        <v>320</v>
      </c>
      <c r="Q802" s="2">
        <v>14643.2</v>
      </c>
      <c r="R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 s="1">
        <v>42382</v>
      </c>
      <c r="AC802" t="s">
        <v>53</v>
      </c>
      <c r="AD802" t="s">
        <v>53</v>
      </c>
      <c r="AK802">
        <v>0</v>
      </c>
      <c r="AU802" s="6">
        <v>42163</v>
      </c>
      <c r="AV802" s="6">
        <v>42163</v>
      </c>
      <c r="AW802" t="s">
        <v>54</v>
      </c>
      <c r="AX802" t="str">
        <f t="shared" si="63"/>
        <v>FOR</v>
      </c>
      <c r="AY802" t="s">
        <v>55</v>
      </c>
    </row>
    <row r="803" spans="1:51" hidden="1">
      <c r="A803">
        <v>100210</v>
      </c>
      <c r="B803" t="s">
        <v>103</v>
      </c>
      <c r="C803" t="str">
        <f t="shared" si="65"/>
        <v>08082461008</v>
      </c>
      <c r="D803" t="str">
        <f t="shared" si="65"/>
        <v>08082461008</v>
      </c>
      <c r="E803" t="s">
        <v>52</v>
      </c>
      <c r="F803">
        <v>2014</v>
      </c>
      <c r="G803">
        <v>14062350</v>
      </c>
      <c r="H803" s="1">
        <v>41740</v>
      </c>
      <c r="I803" s="1">
        <v>41753</v>
      </c>
      <c r="J803" s="1">
        <v>41753</v>
      </c>
      <c r="K803" s="1">
        <v>41843</v>
      </c>
      <c r="N803" s="5"/>
      <c r="O803">
        <v>45.76</v>
      </c>
      <c r="P803">
        <v>320</v>
      </c>
      <c r="Q803" s="2">
        <v>14643.2</v>
      </c>
      <c r="R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 s="1">
        <v>42382</v>
      </c>
      <c r="AC803" t="s">
        <v>53</v>
      </c>
      <c r="AD803" t="s">
        <v>53</v>
      </c>
      <c r="AK803">
        <v>0</v>
      </c>
      <c r="AU803" s="6">
        <v>42163</v>
      </c>
      <c r="AV803" s="6">
        <v>42163</v>
      </c>
      <c r="AW803" t="s">
        <v>54</v>
      </c>
      <c r="AX803" t="str">
        <f t="shared" si="63"/>
        <v>FOR</v>
      </c>
      <c r="AY803" t="s">
        <v>55</v>
      </c>
    </row>
    <row r="804" spans="1:51" hidden="1">
      <c r="A804">
        <v>100210</v>
      </c>
      <c r="B804" t="s">
        <v>103</v>
      </c>
      <c r="C804" t="str">
        <f t="shared" si="65"/>
        <v>08082461008</v>
      </c>
      <c r="D804" t="str">
        <f t="shared" si="65"/>
        <v>08082461008</v>
      </c>
      <c r="E804" t="s">
        <v>52</v>
      </c>
      <c r="F804">
        <v>2014</v>
      </c>
      <c r="G804">
        <v>14062351</v>
      </c>
      <c r="H804" s="1">
        <v>41740</v>
      </c>
      <c r="I804" s="1">
        <v>41753</v>
      </c>
      <c r="J804" s="1">
        <v>41753</v>
      </c>
      <c r="K804" s="1">
        <v>41843</v>
      </c>
      <c r="N804" s="5"/>
      <c r="O804">
        <v>451.88</v>
      </c>
      <c r="P804">
        <v>320</v>
      </c>
      <c r="Q804" s="2">
        <v>144601.60000000001</v>
      </c>
      <c r="R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 s="1">
        <v>42382</v>
      </c>
      <c r="AC804" t="s">
        <v>53</v>
      </c>
      <c r="AD804" t="s">
        <v>53</v>
      </c>
      <c r="AK804">
        <v>0</v>
      </c>
      <c r="AU804" s="6">
        <v>42163</v>
      </c>
      <c r="AV804" s="6">
        <v>42163</v>
      </c>
      <c r="AW804" t="s">
        <v>54</v>
      </c>
      <c r="AX804" t="str">
        <f t="shared" si="63"/>
        <v>FOR</v>
      </c>
      <c r="AY804" t="s">
        <v>55</v>
      </c>
    </row>
    <row r="805" spans="1:51" hidden="1">
      <c r="A805">
        <v>100210</v>
      </c>
      <c r="B805" t="s">
        <v>103</v>
      </c>
      <c r="C805" t="str">
        <f t="shared" si="65"/>
        <v>08082461008</v>
      </c>
      <c r="D805" t="str">
        <f t="shared" si="65"/>
        <v>08082461008</v>
      </c>
      <c r="E805" t="s">
        <v>52</v>
      </c>
      <c r="F805">
        <v>2014</v>
      </c>
      <c r="G805">
        <v>14062352</v>
      </c>
      <c r="H805" s="1">
        <v>41740</v>
      </c>
      <c r="I805" s="1">
        <v>41753</v>
      </c>
      <c r="J805" s="1">
        <v>41753</v>
      </c>
      <c r="K805" s="1">
        <v>41843</v>
      </c>
      <c r="N805" s="5"/>
      <c r="O805">
        <v>451.88</v>
      </c>
      <c r="P805">
        <v>320</v>
      </c>
      <c r="Q805" s="2">
        <v>144601.60000000001</v>
      </c>
      <c r="R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 s="1">
        <v>42382</v>
      </c>
      <c r="AC805" t="s">
        <v>53</v>
      </c>
      <c r="AD805" t="s">
        <v>53</v>
      </c>
      <c r="AK805">
        <v>0</v>
      </c>
      <c r="AU805" s="6">
        <v>42163</v>
      </c>
      <c r="AV805" s="6">
        <v>42163</v>
      </c>
      <c r="AW805" t="s">
        <v>54</v>
      </c>
      <c r="AX805" t="str">
        <f t="shared" si="63"/>
        <v>FOR</v>
      </c>
      <c r="AY805" t="s">
        <v>55</v>
      </c>
    </row>
    <row r="806" spans="1:51" hidden="1">
      <c r="A806">
        <v>100210</v>
      </c>
      <c r="B806" t="s">
        <v>103</v>
      </c>
      <c r="C806" t="str">
        <f t="shared" si="65"/>
        <v>08082461008</v>
      </c>
      <c r="D806" t="str">
        <f t="shared" si="65"/>
        <v>08082461008</v>
      </c>
      <c r="E806" t="s">
        <v>52</v>
      </c>
      <c r="F806">
        <v>2014</v>
      </c>
      <c r="G806">
        <v>14062353</v>
      </c>
      <c r="H806" s="1">
        <v>41740</v>
      </c>
      <c r="I806" s="1">
        <v>41753</v>
      </c>
      <c r="J806" s="1">
        <v>41753</v>
      </c>
      <c r="K806" s="1">
        <v>41843</v>
      </c>
      <c r="N806" s="5"/>
      <c r="O806">
        <v>451.88</v>
      </c>
      <c r="P806">
        <v>320</v>
      </c>
      <c r="Q806" s="2">
        <v>144601.60000000001</v>
      </c>
      <c r="R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 s="1">
        <v>42382</v>
      </c>
      <c r="AC806" t="s">
        <v>53</v>
      </c>
      <c r="AD806" t="s">
        <v>53</v>
      </c>
      <c r="AK806">
        <v>0</v>
      </c>
      <c r="AU806" s="6">
        <v>42163</v>
      </c>
      <c r="AV806" s="6">
        <v>42163</v>
      </c>
      <c r="AW806" t="s">
        <v>54</v>
      </c>
      <c r="AX806" t="str">
        <f t="shared" si="63"/>
        <v>FOR</v>
      </c>
      <c r="AY806" t="s">
        <v>55</v>
      </c>
    </row>
    <row r="807" spans="1:51" hidden="1">
      <c r="A807">
        <v>100210</v>
      </c>
      <c r="B807" t="s">
        <v>103</v>
      </c>
      <c r="C807" t="str">
        <f t="shared" si="65"/>
        <v>08082461008</v>
      </c>
      <c r="D807" t="str">
        <f t="shared" si="65"/>
        <v>08082461008</v>
      </c>
      <c r="E807" t="s">
        <v>52</v>
      </c>
      <c r="F807">
        <v>2014</v>
      </c>
      <c r="G807">
        <v>14062354</v>
      </c>
      <c r="H807" s="1">
        <v>41740</v>
      </c>
      <c r="I807" s="1">
        <v>41753</v>
      </c>
      <c r="J807" s="1">
        <v>41753</v>
      </c>
      <c r="K807" s="1">
        <v>41843</v>
      </c>
      <c r="N807" s="5"/>
      <c r="O807">
        <v>451.88</v>
      </c>
      <c r="P807">
        <v>320</v>
      </c>
      <c r="Q807" s="2">
        <v>144601.60000000001</v>
      </c>
      <c r="R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 s="1">
        <v>42382</v>
      </c>
      <c r="AC807" t="s">
        <v>53</v>
      </c>
      <c r="AD807" t="s">
        <v>53</v>
      </c>
      <c r="AK807">
        <v>0</v>
      </c>
      <c r="AU807" s="6">
        <v>42163</v>
      </c>
      <c r="AV807" s="6">
        <v>42163</v>
      </c>
      <c r="AW807" t="s">
        <v>54</v>
      </c>
      <c r="AX807" t="str">
        <f t="shared" si="63"/>
        <v>FOR</v>
      </c>
      <c r="AY807" t="s">
        <v>55</v>
      </c>
    </row>
    <row r="808" spans="1:51" hidden="1">
      <c r="A808">
        <v>100210</v>
      </c>
      <c r="B808" t="s">
        <v>103</v>
      </c>
      <c r="C808" t="str">
        <f t="shared" si="65"/>
        <v>08082461008</v>
      </c>
      <c r="D808" t="str">
        <f t="shared" si="65"/>
        <v>08082461008</v>
      </c>
      <c r="E808" t="s">
        <v>52</v>
      </c>
      <c r="F808">
        <v>2014</v>
      </c>
      <c r="G808">
        <v>14062355</v>
      </c>
      <c r="H808" s="1">
        <v>41740</v>
      </c>
      <c r="I808" s="1">
        <v>41753</v>
      </c>
      <c r="J808" s="1">
        <v>41753</v>
      </c>
      <c r="K808" s="1">
        <v>41843</v>
      </c>
      <c r="N808" s="5"/>
      <c r="O808">
        <v>114.4</v>
      </c>
      <c r="P808">
        <v>320</v>
      </c>
      <c r="Q808" s="2">
        <v>36608</v>
      </c>
      <c r="R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 s="1">
        <v>42382</v>
      </c>
      <c r="AC808" t="s">
        <v>53</v>
      </c>
      <c r="AD808" t="s">
        <v>53</v>
      </c>
      <c r="AK808">
        <v>0</v>
      </c>
      <c r="AU808" s="6">
        <v>42163</v>
      </c>
      <c r="AV808" s="6">
        <v>42163</v>
      </c>
      <c r="AW808" t="s">
        <v>54</v>
      </c>
      <c r="AX808" t="str">
        <f t="shared" si="63"/>
        <v>FOR</v>
      </c>
      <c r="AY808" t="s">
        <v>55</v>
      </c>
    </row>
    <row r="809" spans="1:51" hidden="1">
      <c r="A809">
        <v>100210</v>
      </c>
      <c r="B809" t="s">
        <v>103</v>
      </c>
      <c r="C809" t="str">
        <f t="shared" si="65"/>
        <v>08082461008</v>
      </c>
      <c r="D809" t="str">
        <f t="shared" si="65"/>
        <v>08082461008</v>
      </c>
      <c r="E809" t="s">
        <v>52</v>
      </c>
      <c r="F809">
        <v>2014</v>
      </c>
      <c r="G809">
        <v>14062356</v>
      </c>
      <c r="H809" s="1">
        <v>41740</v>
      </c>
      <c r="I809" s="1">
        <v>41753</v>
      </c>
      <c r="J809" s="1">
        <v>41753</v>
      </c>
      <c r="K809" s="1">
        <v>41843</v>
      </c>
      <c r="N809" s="5"/>
      <c r="O809">
        <v>114.4</v>
      </c>
      <c r="P809">
        <v>320</v>
      </c>
      <c r="Q809" s="2">
        <v>36608</v>
      </c>
      <c r="R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 s="1">
        <v>42382</v>
      </c>
      <c r="AC809" t="s">
        <v>53</v>
      </c>
      <c r="AD809" t="s">
        <v>53</v>
      </c>
      <c r="AK809">
        <v>0</v>
      </c>
      <c r="AU809" s="6">
        <v>42163</v>
      </c>
      <c r="AV809" s="6">
        <v>42163</v>
      </c>
      <c r="AW809" t="s">
        <v>54</v>
      </c>
      <c r="AX809" t="str">
        <f t="shared" si="63"/>
        <v>FOR</v>
      </c>
      <c r="AY809" t="s">
        <v>55</v>
      </c>
    </row>
    <row r="810" spans="1:51" hidden="1">
      <c r="A810">
        <v>100210</v>
      </c>
      <c r="B810" t="s">
        <v>103</v>
      </c>
      <c r="C810" t="str">
        <f t="shared" si="65"/>
        <v>08082461008</v>
      </c>
      <c r="D810" t="str">
        <f t="shared" si="65"/>
        <v>08082461008</v>
      </c>
      <c r="E810" t="s">
        <v>52</v>
      </c>
      <c r="F810">
        <v>2014</v>
      </c>
      <c r="G810">
        <v>14062967</v>
      </c>
      <c r="H810" s="1">
        <v>41740</v>
      </c>
      <c r="I810" s="1">
        <v>41753</v>
      </c>
      <c r="J810" s="1">
        <v>41753</v>
      </c>
      <c r="K810" s="1">
        <v>41843</v>
      </c>
      <c r="N810" s="5"/>
      <c r="O810" s="2">
        <v>9880</v>
      </c>
      <c r="P810">
        <v>320</v>
      </c>
      <c r="Q810" s="2">
        <v>3161600</v>
      </c>
      <c r="R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 s="1">
        <v>42382</v>
      </c>
      <c r="AC810" t="s">
        <v>53</v>
      </c>
      <c r="AD810" t="s">
        <v>53</v>
      </c>
      <c r="AK810">
        <v>0</v>
      </c>
      <c r="AU810" s="6">
        <v>42163</v>
      </c>
      <c r="AV810" s="6">
        <v>42163</v>
      </c>
      <c r="AW810" t="s">
        <v>54</v>
      </c>
      <c r="AX810" t="str">
        <f t="shared" si="63"/>
        <v>FOR</v>
      </c>
      <c r="AY810" t="s">
        <v>55</v>
      </c>
    </row>
    <row r="811" spans="1:51" hidden="1">
      <c r="A811">
        <v>100210</v>
      </c>
      <c r="B811" t="s">
        <v>103</v>
      </c>
      <c r="C811" t="str">
        <f t="shared" si="65"/>
        <v>08082461008</v>
      </c>
      <c r="D811" t="str">
        <f t="shared" si="65"/>
        <v>08082461008</v>
      </c>
      <c r="E811" t="s">
        <v>52</v>
      </c>
      <c r="F811">
        <v>2014</v>
      </c>
      <c r="G811">
        <v>14063909</v>
      </c>
      <c r="H811" s="1">
        <v>41743</v>
      </c>
      <c r="I811" s="1">
        <v>41764</v>
      </c>
      <c r="J811" s="1">
        <v>41764</v>
      </c>
      <c r="K811" s="1">
        <v>41854</v>
      </c>
      <c r="N811" s="5"/>
      <c r="O811" s="2">
        <v>6822.24</v>
      </c>
      <c r="P811">
        <v>309</v>
      </c>
      <c r="Q811" s="2">
        <v>2108072.16</v>
      </c>
      <c r="R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 s="1">
        <v>42382</v>
      </c>
      <c r="AC811" t="s">
        <v>53</v>
      </c>
      <c r="AD811" t="s">
        <v>53</v>
      </c>
      <c r="AK811">
        <v>0</v>
      </c>
      <c r="AU811" s="6">
        <v>42163</v>
      </c>
      <c r="AV811" s="6">
        <v>42163</v>
      </c>
      <c r="AW811" t="s">
        <v>54</v>
      </c>
      <c r="AX811" t="str">
        <f t="shared" si="63"/>
        <v>FOR</v>
      </c>
      <c r="AY811" t="s">
        <v>55</v>
      </c>
    </row>
    <row r="812" spans="1:51" hidden="1">
      <c r="A812">
        <v>100210</v>
      </c>
      <c r="B812" t="s">
        <v>103</v>
      </c>
      <c r="C812" t="str">
        <f t="shared" si="65"/>
        <v>08082461008</v>
      </c>
      <c r="D812" t="str">
        <f t="shared" si="65"/>
        <v>08082461008</v>
      </c>
      <c r="E812" t="s">
        <v>52</v>
      </c>
      <c r="F812">
        <v>2014</v>
      </c>
      <c r="G812">
        <v>14064340</v>
      </c>
      <c r="H812" s="1">
        <v>41744</v>
      </c>
      <c r="I812" s="1">
        <v>41764</v>
      </c>
      <c r="J812" s="1">
        <v>41764</v>
      </c>
      <c r="K812" s="1">
        <v>41854</v>
      </c>
      <c r="N812" s="5"/>
      <c r="O812">
        <v>430.42</v>
      </c>
      <c r="P812">
        <v>309</v>
      </c>
      <c r="Q812" s="2">
        <v>132999.78</v>
      </c>
      <c r="R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 s="1">
        <v>42382</v>
      </c>
      <c r="AC812" t="s">
        <v>53</v>
      </c>
      <c r="AD812" t="s">
        <v>53</v>
      </c>
      <c r="AK812">
        <v>0</v>
      </c>
      <c r="AU812" s="6">
        <v>42163</v>
      </c>
      <c r="AV812" s="6">
        <v>42163</v>
      </c>
      <c r="AW812" t="s">
        <v>54</v>
      </c>
      <c r="AX812" t="str">
        <f t="shared" si="63"/>
        <v>FOR</v>
      </c>
      <c r="AY812" t="s">
        <v>55</v>
      </c>
    </row>
    <row r="813" spans="1:51" hidden="1">
      <c r="A813">
        <v>100210</v>
      </c>
      <c r="B813" t="s">
        <v>103</v>
      </c>
      <c r="C813" t="str">
        <f t="shared" si="65"/>
        <v>08082461008</v>
      </c>
      <c r="D813" t="str">
        <f t="shared" si="65"/>
        <v>08082461008</v>
      </c>
      <c r="E813" t="s">
        <v>52</v>
      </c>
      <c r="F813">
        <v>2014</v>
      </c>
      <c r="G813">
        <v>14064709</v>
      </c>
      <c r="H813" s="1">
        <v>41744</v>
      </c>
      <c r="I813" s="1">
        <v>41764</v>
      </c>
      <c r="J813" s="1">
        <v>41764</v>
      </c>
      <c r="K813" s="1">
        <v>41854</v>
      </c>
      <c r="N813" s="5"/>
      <c r="O813" s="2">
        <v>4207.54</v>
      </c>
      <c r="P813">
        <v>309</v>
      </c>
      <c r="Q813" s="2">
        <v>1300129.8600000001</v>
      </c>
      <c r="R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 s="1">
        <v>42382</v>
      </c>
      <c r="AC813" t="s">
        <v>53</v>
      </c>
      <c r="AD813" t="s">
        <v>53</v>
      </c>
      <c r="AK813">
        <v>0</v>
      </c>
      <c r="AU813" s="6">
        <v>42163</v>
      </c>
      <c r="AV813" s="6">
        <v>42163</v>
      </c>
      <c r="AW813" t="s">
        <v>54</v>
      </c>
      <c r="AX813" t="str">
        <f t="shared" si="63"/>
        <v>FOR</v>
      </c>
      <c r="AY813" t="s">
        <v>55</v>
      </c>
    </row>
    <row r="814" spans="1:51" hidden="1">
      <c r="A814">
        <v>100210</v>
      </c>
      <c r="B814" t="s">
        <v>103</v>
      </c>
      <c r="C814" t="str">
        <f t="shared" si="65"/>
        <v>08082461008</v>
      </c>
      <c r="D814" t="str">
        <f t="shared" si="65"/>
        <v>08082461008</v>
      </c>
      <c r="E814" t="s">
        <v>52</v>
      </c>
      <c r="F814">
        <v>2014</v>
      </c>
      <c r="G814">
        <v>14064717</v>
      </c>
      <c r="H814" s="1">
        <v>41744</v>
      </c>
      <c r="I814" s="1">
        <v>41764</v>
      </c>
      <c r="J814" s="1">
        <v>41764</v>
      </c>
      <c r="K814" s="1">
        <v>41854</v>
      </c>
      <c r="N814" s="5"/>
      <c r="O814">
        <v>458.52</v>
      </c>
      <c r="P814">
        <v>309</v>
      </c>
      <c r="Q814" s="2">
        <v>141682.68</v>
      </c>
      <c r="R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 s="1">
        <v>42382</v>
      </c>
      <c r="AC814" t="s">
        <v>53</v>
      </c>
      <c r="AD814" t="s">
        <v>53</v>
      </c>
      <c r="AK814">
        <v>0</v>
      </c>
      <c r="AU814" s="6">
        <v>42163</v>
      </c>
      <c r="AV814" s="6">
        <v>42163</v>
      </c>
      <c r="AW814" t="s">
        <v>54</v>
      </c>
      <c r="AX814" t="str">
        <f t="shared" si="63"/>
        <v>FOR</v>
      </c>
      <c r="AY814" t="s">
        <v>55</v>
      </c>
    </row>
    <row r="815" spans="1:51" hidden="1">
      <c r="A815">
        <v>100210</v>
      </c>
      <c r="B815" t="s">
        <v>103</v>
      </c>
      <c r="C815" t="str">
        <f t="shared" si="65"/>
        <v>08082461008</v>
      </c>
      <c r="D815" t="str">
        <f t="shared" si="65"/>
        <v>08082461008</v>
      </c>
      <c r="E815" t="s">
        <v>52</v>
      </c>
      <c r="F815">
        <v>2014</v>
      </c>
      <c r="G815">
        <v>14064720</v>
      </c>
      <c r="H815" s="1">
        <v>41744</v>
      </c>
      <c r="I815" s="1">
        <v>41764</v>
      </c>
      <c r="J815" s="1">
        <v>41764</v>
      </c>
      <c r="K815" s="1">
        <v>41854</v>
      </c>
      <c r="N815" s="5"/>
      <c r="O815" s="2">
        <v>1524.91</v>
      </c>
      <c r="P815">
        <v>309</v>
      </c>
      <c r="Q815" s="2">
        <v>471197.19</v>
      </c>
      <c r="R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 s="1">
        <v>42382</v>
      </c>
      <c r="AC815" t="s">
        <v>53</v>
      </c>
      <c r="AD815" t="s">
        <v>53</v>
      </c>
      <c r="AK815">
        <v>0</v>
      </c>
      <c r="AU815" s="6">
        <v>42163</v>
      </c>
      <c r="AV815" s="6">
        <v>42163</v>
      </c>
      <c r="AW815" t="s">
        <v>54</v>
      </c>
      <c r="AX815" t="str">
        <f t="shared" si="63"/>
        <v>FOR</v>
      </c>
      <c r="AY815" t="s">
        <v>55</v>
      </c>
    </row>
    <row r="816" spans="1:51" hidden="1">
      <c r="A816">
        <v>100210</v>
      </c>
      <c r="B816" t="s">
        <v>103</v>
      </c>
      <c r="C816" t="str">
        <f t="shared" si="65"/>
        <v>08082461008</v>
      </c>
      <c r="D816" t="str">
        <f t="shared" si="65"/>
        <v>08082461008</v>
      </c>
      <c r="E816" t="s">
        <v>52</v>
      </c>
      <c r="F816">
        <v>2014</v>
      </c>
      <c r="G816">
        <v>14065330</v>
      </c>
      <c r="H816" s="1">
        <v>41745</v>
      </c>
      <c r="I816" s="1">
        <v>41764</v>
      </c>
      <c r="J816" s="1">
        <v>41764</v>
      </c>
      <c r="K816" s="1">
        <v>41854</v>
      </c>
      <c r="N816" s="5"/>
      <c r="O816">
        <v>860.83</v>
      </c>
      <c r="P816">
        <v>309</v>
      </c>
      <c r="Q816" s="2">
        <v>265996.46999999997</v>
      </c>
      <c r="R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 s="1">
        <v>42382</v>
      </c>
      <c r="AC816" t="s">
        <v>53</v>
      </c>
      <c r="AD816" t="s">
        <v>53</v>
      </c>
      <c r="AK816">
        <v>0</v>
      </c>
      <c r="AU816" s="6">
        <v>42163</v>
      </c>
      <c r="AV816" s="6">
        <v>42163</v>
      </c>
      <c r="AW816" t="s">
        <v>54</v>
      </c>
      <c r="AX816" t="str">
        <f t="shared" si="63"/>
        <v>FOR</v>
      </c>
      <c r="AY816" t="s">
        <v>55</v>
      </c>
    </row>
    <row r="817" spans="1:51" hidden="1">
      <c r="A817">
        <v>100210</v>
      </c>
      <c r="B817" t="s">
        <v>103</v>
      </c>
      <c r="C817" t="str">
        <f t="shared" si="65"/>
        <v>08082461008</v>
      </c>
      <c r="D817" t="str">
        <f t="shared" si="65"/>
        <v>08082461008</v>
      </c>
      <c r="E817" t="s">
        <v>52</v>
      </c>
      <c r="F817">
        <v>2014</v>
      </c>
      <c r="G817">
        <v>14065334</v>
      </c>
      <c r="H817" s="1">
        <v>41745</v>
      </c>
      <c r="I817" s="1">
        <v>41764</v>
      </c>
      <c r="J817" s="1">
        <v>41764</v>
      </c>
      <c r="K817" s="1">
        <v>41854</v>
      </c>
      <c r="N817" s="5"/>
      <c r="O817">
        <v>227.51</v>
      </c>
      <c r="P817">
        <v>309</v>
      </c>
      <c r="Q817" s="2">
        <v>70300.59</v>
      </c>
      <c r="R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 s="1">
        <v>42382</v>
      </c>
      <c r="AC817" t="s">
        <v>53</v>
      </c>
      <c r="AD817" t="s">
        <v>53</v>
      </c>
      <c r="AK817">
        <v>0</v>
      </c>
      <c r="AU817" s="6">
        <v>42163</v>
      </c>
      <c r="AV817" s="6">
        <v>42163</v>
      </c>
      <c r="AW817" t="s">
        <v>54</v>
      </c>
      <c r="AX817" t="str">
        <f t="shared" si="63"/>
        <v>FOR</v>
      </c>
      <c r="AY817" t="s">
        <v>55</v>
      </c>
    </row>
    <row r="818" spans="1:51" hidden="1">
      <c r="A818">
        <v>100210</v>
      </c>
      <c r="B818" t="s">
        <v>103</v>
      </c>
      <c r="C818" t="str">
        <f t="shared" ref="C818:D837" si="66">"08082461008"</f>
        <v>08082461008</v>
      </c>
      <c r="D818" t="str">
        <f t="shared" si="66"/>
        <v>08082461008</v>
      </c>
      <c r="E818" t="s">
        <v>52</v>
      </c>
      <c r="F818">
        <v>2014</v>
      </c>
      <c r="G818">
        <v>14069318</v>
      </c>
      <c r="H818" s="1">
        <v>41752</v>
      </c>
      <c r="I818" s="1">
        <v>41765</v>
      </c>
      <c r="J818" s="1">
        <v>41765</v>
      </c>
      <c r="K818" s="1">
        <v>41855</v>
      </c>
      <c r="N818" s="5"/>
      <c r="O818">
        <v>121.22</v>
      </c>
      <c r="P818">
        <v>308</v>
      </c>
      <c r="Q818" s="2">
        <v>37335.760000000002</v>
      </c>
      <c r="R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 s="1">
        <v>42382</v>
      </c>
      <c r="AC818" t="s">
        <v>53</v>
      </c>
      <c r="AD818" t="s">
        <v>53</v>
      </c>
      <c r="AK818">
        <v>0</v>
      </c>
      <c r="AU818" s="6">
        <v>42163</v>
      </c>
      <c r="AV818" s="6">
        <v>42163</v>
      </c>
      <c r="AW818" t="s">
        <v>54</v>
      </c>
      <c r="AX818" t="str">
        <f t="shared" si="63"/>
        <v>FOR</v>
      </c>
      <c r="AY818" t="s">
        <v>55</v>
      </c>
    </row>
    <row r="819" spans="1:51" hidden="1">
      <c r="A819">
        <v>100210</v>
      </c>
      <c r="B819" t="s">
        <v>103</v>
      </c>
      <c r="C819" t="str">
        <f t="shared" si="66"/>
        <v>08082461008</v>
      </c>
      <c r="D819" t="str">
        <f t="shared" si="66"/>
        <v>08082461008</v>
      </c>
      <c r="E819" t="s">
        <v>52</v>
      </c>
      <c r="F819">
        <v>2014</v>
      </c>
      <c r="G819">
        <v>14069998</v>
      </c>
      <c r="H819" s="1">
        <v>41753</v>
      </c>
      <c r="I819" s="1">
        <v>41771</v>
      </c>
      <c r="J819" s="1">
        <v>41771</v>
      </c>
      <c r="K819" s="1">
        <v>41861</v>
      </c>
      <c r="N819" s="5"/>
      <c r="O819">
        <v>45.76</v>
      </c>
      <c r="P819">
        <v>302</v>
      </c>
      <c r="Q819" s="2">
        <v>13819.52</v>
      </c>
      <c r="R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 s="1">
        <v>42382</v>
      </c>
      <c r="AC819" t="s">
        <v>53</v>
      </c>
      <c r="AD819" t="s">
        <v>53</v>
      </c>
      <c r="AK819">
        <v>0</v>
      </c>
      <c r="AU819" s="6">
        <v>42163</v>
      </c>
      <c r="AV819" s="6">
        <v>42163</v>
      </c>
      <c r="AW819" t="s">
        <v>54</v>
      </c>
      <c r="AX819" t="str">
        <f t="shared" si="63"/>
        <v>FOR</v>
      </c>
      <c r="AY819" t="s">
        <v>55</v>
      </c>
    </row>
    <row r="820" spans="1:51" hidden="1">
      <c r="A820">
        <v>100210</v>
      </c>
      <c r="B820" t="s">
        <v>103</v>
      </c>
      <c r="C820" t="str">
        <f t="shared" si="66"/>
        <v>08082461008</v>
      </c>
      <c r="D820" t="str">
        <f t="shared" si="66"/>
        <v>08082461008</v>
      </c>
      <c r="E820" t="s">
        <v>52</v>
      </c>
      <c r="F820">
        <v>2014</v>
      </c>
      <c r="G820">
        <v>14070315</v>
      </c>
      <c r="H820" s="1">
        <v>41753</v>
      </c>
      <c r="I820" s="1">
        <v>41771</v>
      </c>
      <c r="J820" s="1">
        <v>41771</v>
      </c>
      <c r="K820" s="1">
        <v>41861</v>
      </c>
      <c r="N820" s="5"/>
      <c r="O820" s="2">
        <v>2562</v>
      </c>
      <c r="P820">
        <v>200</v>
      </c>
      <c r="Q820" s="2">
        <v>512400</v>
      </c>
      <c r="R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 s="1">
        <v>42382</v>
      </c>
      <c r="AC820" t="s">
        <v>53</v>
      </c>
      <c r="AD820" t="s">
        <v>53</v>
      </c>
      <c r="AK820">
        <v>0</v>
      </c>
      <c r="AU820" s="6">
        <v>42061</v>
      </c>
      <c r="AV820" s="6">
        <v>42061</v>
      </c>
      <c r="AW820" t="s">
        <v>54</v>
      </c>
      <c r="AX820" t="str">
        <f t="shared" si="63"/>
        <v>FOR</v>
      </c>
      <c r="AY820" t="s">
        <v>55</v>
      </c>
    </row>
    <row r="821" spans="1:51" hidden="1">
      <c r="A821">
        <v>100210</v>
      </c>
      <c r="B821" t="s">
        <v>103</v>
      </c>
      <c r="C821" t="str">
        <f t="shared" si="66"/>
        <v>08082461008</v>
      </c>
      <c r="D821" t="str">
        <f t="shared" si="66"/>
        <v>08082461008</v>
      </c>
      <c r="E821" t="s">
        <v>52</v>
      </c>
      <c r="F821">
        <v>2014</v>
      </c>
      <c r="G821">
        <v>14070373</v>
      </c>
      <c r="H821" s="1">
        <v>41753</v>
      </c>
      <c r="I821" s="1">
        <v>41771</v>
      </c>
      <c r="J821" s="1">
        <v>41771</v>
      </c>
      <c r="K821" s="1">
        <v>41861</v>
      </c>
      <c r="N821" s="5"/>
      <c r="O821">
        <v>121.22</v>
      </c>
      <c r="P821">
        <v>302</v>
      </c>
      <c r="Q821" s="2">
        <v>36608.44</v>
      </c>
      <c r="R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 s="1">
        <v>42382</v>
      </c>
      <c r="AC821" t="s">
        <v>53</v>
      </c>
      <c r="AD821" t="s">
        <v>53</v>
      </c>
      <c r="AK821">
        <v>0</v>
      </c>
      <c r="AU821" s="6">
        <v>42163</v>
      </c>
      <c r="AV821" s="6">
        <v>42163</v>
      </c>
      <c r="AW821" t="s">
        <v>54</v>
      </c>
      <c r="AX821" t="str">
        <f t="shared" si="63"/>
        <v>FOR</v>
      </c>
      <c r="AY821" t="s">
        <v>55</v>
      </c>
    </row>
    <row r="822" spans="1:51" hidden="1">
      <c r="A822">
        <v>100210</v>
      </c>
      <c r="B822" t="s">
        <v>103</v>
      </c>
      <c r="C822" t="str">
        <f t="shared" si="66"/>
        <v>08082461008</v>
      </c>
      <c r="D822" t="str">
        <f t="shared" si="66"/>
        <v>08082461008</v>
      </c>
      <c r="E822" t="s">
        <v>52</v>
      </c>
      <c r="F822">
        <v>2014</v>
      </c>
      <c r="G822">
        <v>14070744</v>
      </c>
      <c r="H822" s="1">
        <v>41753</v>
      </c>
      <c r="I822" s="1">
        <v>41771</v>
      </c>
      <c r="J822" s="1">
        <v>41771</v>
      </c>
      <c r="K822" s="1">
        <v>41861</v>
      </c>
      <c r="N822" s="5"/>
      <c r="O822" s="2">
        <v>9964.01</v>
      </c>
      <c r="P822">
        <v>302</v>
      </c>
      <c r="Q822" s="2">
        <v>3009131.02</v>
      </c>
      <c r="R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 s="1">
        <v>42382</v>
      </c>
      <c r="AC822" t="s">
        <v>53</v>
      </c>
      <c r="AD822" t="s">
        <v>53</v>
      </c>
      <c r="AK822">
        <v>0</v>
      </c>
      <c r="AU822" s="6">
        <v>42163</v>
      </c>
      <c r="AV822" s="6">
        <v>42163</v>
      </c>
      <c r="AW822" t="s">
        <v>54</v>
      </c>
      <c r="AX822" t="str">
        <f t="shared" si="63"/>
        <v>FOR</v>
      </c>
      <c r="AY822" t="s">
        <v>55</v>
      </c>
    </row>
    <row r="823" spans="1:51" hidden="1">
      <c r="A823">
        <v>100210</v>
      </c>
      <c r="B823" t="s">
        <v>103</v>
      </c>
      <c r="C823" t="str">
        <f t="shared" si="66"/>
        <v>08082461008</v>
      </c>
      <c r="D823" t="str">
        <f t="shared" si="66"/>
        <v>08082461008</v>
      </c>
      <c r="E823" t="s">
        <v>52</v>
      </c>
      <c r="F823">
        <v>2014</v>
      </c>
      <c r="G823">
        <v>14072119</v>
      </c>
      <c r="H823" s="1">
        <v>41758</v>
      </c>
      <c r="I823" s="1">
        <v>41771</v>
      </c>
      <c r="J823" s="1">
        <v>41771</v>
      </c>
      <c r="K823" s="1">
        <v>41861</v>
      </c>
      <c r="N823" s="5"/>
      <c r="O823">
        <v>60.61</v>
      </c>
      <c r="P823">
        <v>302</v>
      </c>
      <c r="Q823" s="2">
        <v>18304.22</v>
      </c>
      <c r="R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 s="1">
        <v>42382</v>
      </c>
      <c r="AC823" t="s">
        <v>53</v>
      </c>
      <c r="AD823" t="s">
        <v>53</v>
      </c>
      <c r="AK823">
        <v>0</v>
      </c>
      <c r="AU823" s="6">
        <v>42163</v>
      </c>
      <c r="AV823" s="6">
        <v>42163</v>
      </c>
      <c r="AW823" t="s">
        <v>54</v>
      </c>
      <c r="AX823" t="str">
        <f t="shared" si="63"/>
        <v>FOR</v>
      </c>
      <c r="AY823" t="s">
        <v>55</v>
      </c>
    </row>
    <row r="824" spans="1:51" hidden="1">
      <c r="A824">
        <v>100210</v>
      </c>
      <c r="B824" t="s">
        <v>103</v>
      </c>
      <c r="C824" t="str">
        <f t="shared" si="66"/>
        <v>08082461008</v>
      </c>
      <c r="D824" t="str">
        <f t="shared" si="66"/>
        <v>08082461008</v>
      </c>
      <c r="E824" t="s">
        <v>52</v>
      </c>
      <c r="F824">
        <v>2014</v>
      </c>
      <c r="G824">
        <v>14073628</v>
      </c>
      <c r="H824" s="1">
        <v>41761</v>
      </c>
      <c r="I824" s="1">
        <v>41773</v>
      </c>
      <c r="J824" s="1">
        <v>41773</v>
      </c>
      <c r="K824" s="1">
        <v>41863</v>
      </c>
      <c r="N824" s="5"/>
      <c r="O824" s="2">
        <v>8216.01</v>
      </c>
      <c r="P824">
        <v>323</v>
      </c>
      <c r="Q824" s="2">
        <v>2653771.23</v>
      </c>
      <c r="R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 s="1">
        <v>42382</v>
      </c>
      <c r="AC824" t="s">
        <v>53</v>
      </c>
      <c r="AD824" t="s">
        <v>53</v>
      </c>
      <c r="AK824">
        <v>0</v>
      </c>
      <c r="AU824" s="6">
        <v>42186</v>
      </c>
      <c r="AV824" s="6">
        <v>42186</v>
      </c>
      <c r="AW824" t="s">
        <v>54</v>
      </c>
      <c r="AX824" t="str">
        <f t="shared" si="63"/>
        <v>FOR</v>
      </c>
      <c r="AY824" t="s">
        <v>55</v>
      </c>
    </row>
    <row r="825" spans="1:51" hidden="1">
      <c r="A825">
        <v>100210</v>
      </c>
      <c r="B825" t="s">
        <v>103</v>
      </c>
      <c r="C825" t="str">
        <f t="shared" si="66"/>
        <v>08082461008</v>
      </c>
      <c r="D825" t="str">
        <f t="shared" si="66"/>
        <v>08082461008</v>
      </c>
      <c r="E825" t="s">
        <v>52</v>
      </c>
      <c r="F825">
        <v>2014</v>
      </c>
      <c r="G825">
        <v>14073658</v>
      </c>
      <c r="H825" s="1">
        <v>41761</v>
      </c>
      <c r="I825" s="1">
        <v>42094</v>
      </c>
      <c r="J825" s="1">
        <v>42094</v>
      </c>
      <c r="K825" s="1">
        <v>42154</v>
      </c>
      <c r="N825" s="5"/>
      <c r="O825">
        <v>364</v>
      </c>
      <c r="P825">
        <v>32</v>
      </c>
      <c r="Q825" s="2">
        <v>11648</v>
      </c>
      <c r="R825">
        <v>0</v>
      </c>
      <c r="V825">
        <v>0</v>
      </c>
      <c r="W825">
        <v>0</v>
      </c>
      <c r="X825">
        <v>0</v>
      </c>
      <c r="Y825">
        <v>0</v>
      </c>
      <c r="Z825">
        <v>364</v>
      </c>
      <c r="AA825">
        <v>0</v>
      </c>
      <c r="AB825" s="1">
        <v>42382</v>
      </c>
      <c r="AC825" t="s">
        <v>53</v>
      </c>
      <c r="AD825" t="s">
        <v>53</v>
      </c>
      <c r="AK825">
        <v>0</v>
      </c>
      <c r="AU825" s="6">
        <v>42186</v>
      </c>
      <c r="AV825" s="6">
        <v>42186</v>
      </c>
      <c r="AW825" t="s">
        <v>54</v>
      </c>
      <c r="AX825" t="str">
        <f t="shared" si="63"/>
        <v>FOR</v>
      </c>
      <c r="AY825" t="s">
        <v>55</v>
      </c>
    </row>
    <row r="826" spans="1:51" hidden="1">
      <c r="A826">
        <v>100210</v>
      </c>
      <c r="B826" t="s">
        <v>103</v>
      </c>
      <c r="C826" t="str">
        <f t="shared" si="66"/>
        <v>08082461008</v>
      </c>
      <c r="D826" t="str">
        <f t="shared" si="66"/>
        <v>08082461008</v>
      </c>
      <c r="E826" t="s">
        <v>52</v>
      </c>
      <c r="F826">
        <v>2014</v>
      </c>
      <c r="G826">
        <v>14074266</v>
      </c>
      <c r="H826" s="1">
        <v>41764</v>
      </c>
      <c r="I826" s="1">
        <v>41773</v>
      </c>
      <c r="J826" s="1">
        <v>41773</v>
      </c>
      <c r="K826" s="1">
        <v>41863</v>
      </c>
      <c r="N826" s="5"/>
      <c r="O826" s="2">
        <v>5885.28</v>
      </c>
      <c r="P826">
        <v>323</v>
      </c>
      <c r="Q826" s="2">
        <v>1900945.44</v>
      </c>
      <c r="R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 s="1">
        <v>42382</v>
      </c>
      <c r="AC826" t="s">
        <v>53</v>
      </c>
      <c r="AD826" t="s">
        <v>53</v>
      </c>
      <c r="AK826">
        <v>0</v>
      </c>
      <c r="AU826" s="6">
        <v>42186</v>
      </c>
      <c r="AV826" s="6">
        <v>42186</v>
      </c>
      <c r="AW826" t="s">
        <v>54</v>
      </c>
      <c r="AX826" t="str">
        <f t="shared" si="63"/>
        <v>FOR</v>
      </c>
      <c r="AY826" t="s">
        <v>55</v>
      </c>
    </row>
    <row r="827" spans="1:51" hidden="1">
      <c r="A827">
        <v>100210</v>
      </c>
      <c r="B827" t="s">
        <v>103</v>
      </c>
      <c r="C827" t="str">
        <f t="shared" si="66"/>
        <v>08082461008</v>
      </c>
      <c r="D827" t="str">
        <f t="shared" si="66"/>
        <v>08082461008</v>
      </c>
      <c r="E827" t="s">
        <v>52</v>
      </c>
      <c r="F827">
        <v>2014</v>
      </c>
      <c r="G827">
        <v>14074863</v>
      </c>
      <c r="H827" s="1">
        <v>41765</v>
      </c>
      <c r="I827" s="1">
        <v>41778</v>
      </c>
      <c r="J827" s="1">
        <v>41778</v>
      </c>
      <c r="K827" s="1">
        <v>41868</v>
      </c>
      <c r="N827" s="5"/>
      <c r="O827">
        <v>770.65</v>
      </c>
      <c r="P827">
        <v>318</v>
      </c>
      <c r="Q827" s="2">
        <v>245066.7</v>
      </c>
      <c r="R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 s="1">
        <v>42382</v>
      </c>
      <c r="AC827" t="s">
        <v>53</v>
      </c>
      <c r="AD827" t="s">
        <v>53</v>
      </c>
      <c r="AK827">
        <v>0</v>
      </c>
      <c r="AU827" s="6">
        <v>42186</v>
      </c>
      <c r="AV827" s="6">
        <v>42186</v>
      </c>
      <c r="AW827" t="s">
        <v>54</v>
      </c>
      <c r="AX827" t="str">
        <f t="shared" si="63"/>
        <v>FOR</v>
      </c>
      <c r="AY827" t="s">
        <v>55</v>
      </c>
    </row>
    <row r="828" spans="1:51" hidden="1">
      <c r="A828">
        <v>100210</v>
      </c>
      <c r="B828" t="s">
        <v>103</v>
      </c>
      <c r="C828" t="str">
        <f t="shared" si="66"/>
        <v>08082461008</v>
      </c>
      <c r="D828" t="str">
        <f t="shared" si="66"/>
        <v>08082461008</v>
      </c>
      <c r="E828" t="s">
        <v>52</v>
      </c>
      <c r="F828">
        <v>2014</v>
      </c>
      <c r="G828">
        <v>14075270</v>
      </c>
      <c r="H828" s="1">
        <v>41765</v>
      </c>
      <c r="I828" s="1">
        <v>41778</v>
      </c>
      <c r="J828" s="1">
        <v>41778</v>
      </c>
      <c r="K828" s="1">
        <v>41868</v>
      </c>
      <c r="N828" s="5"/>
      <c r="O828" s="2">
        <v>3094.71</v>
      </c>
      <c r="P828">
        <v>234</v>
      </c>
      <c r="Q828" s="2">
        <v>724162.14</v>
      </c>
      <c r="R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 s="1">
        <v>42382</v>
      </c>
      <c r="AC828" t="s">
        <v>53</v>
      </c>
      <c r="AD828" t="s">
        <v>53</v>
      </c>
      <c r="AK828">
        <v>0</v>
      </c>
      <c r="AU828" s="6">
        <v>42102</v>
      </c>
      <c r="AV828" s="6">
        <v>42102</v>
      </c>
      <c r="AW828" t="s">
        <v>54</v>
      </c>
      <c r="AX828" t="str">
        <f t="shared" si="63"/>
        <v>FOR</v>
      </c>
      <c r="AY828" t="s">
        <v>55</v>
      </c>
    </row>
    <row r="829" spans="1:51" hidden="1">
      <c r="A829">
        <v>100210</v>
      </c>
      <c r="B829" t="s">
        <v>103</v>
      </c>
      <c r="C829" t="str">
        <f t="shared" si="66"/>
        <v>08082461008</v>
      </c>
      <c r="D829" t="str">
        <f t="shared" si="66"/>
        <v>08082461008</v>
      </c>
      <c r="E829" t="s">
        <v>52</v>
      </c>
      <c r="F829">
        <v>2014</v>
      </c>
      <c r="G829">
        <v>14077802</v>
      </c>
      <c r="H829" s="1">
        <v>41771</v>
      </c>
      <c r="I829" s="1">
        <v>41779</v>
      </c>
      <c r="J829" s="1">
        <v>41779</v>
      </c>
      <c r="K829" s="1">
        <v>41869</v>
      </c>
      <c r="N829" s="5"/>
      <c r="O829">
        <v>728</v>
      </c>
      <c r="P829">
        <v>317</v>
      </c>
      <c r="Q829" s="2">
        <v>230776</v>
      </c>
      <c r="R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 s="1">
        <v>42382</v>
      </c>
      <c r="AC829" t="s">
        <v>53</v>
      </c>
      <c r="AD829" t="s">
        <v>53</v>
      </c>
      <c r="AK829">
        <v>0</v>
      </c>
      <c r="AU829" s="6">
        <v>42186</v>
      </c>
      <c r="AV829" s="6">
        <v>42186</v>
      </c>
      <c r="AW829" t="s">
        <v>54</v>
      </c>
      <c r="AX829" t="str">
        <f t="shared" si="63"/>
        <v>FOR</v>
      </c>
      <c r="AY829" t="s">
        <v>55</v>
      </c>
    </row>
    <row r="830" spans="1:51" hidden="1">
      <c r="A830">
        <v>100210</v>
      </c>
      <c r="B830" t="s">
        <v>103</v>
      </c>
      <c r="C830" t="str">
        <f t="shared" si="66"/>
        <v>08082461008</v>
      </c>
      <c r="D830" t="str">
        <f t="shared" si="66"/>
        <v>08082461008</v>
      </c>
      <c r="E830" t="s">
        <v>52</v>
      </c>
      <c r="F830">
        <v>2014</v>
      </c>
      <c r="G830">
        <v>14077803</v>
      </c>
      <c r="H830" s="1">
        <v>41771</v>
      </c>
      <c r="I830" s="1">
        <v>41779</v>
      </c>
      <c r="J830" s="1">
        <v>41779</v>
      </c>
      <c r="K830" s="1">
        <v>41869</v>
      </c>
      <c r="N830" s="5"/>
      <c r="O830">
        <v>728</v>
      </c>
      <c r="P830">
        <v>317</v>
      </c>
      <c r="Q830" s="2">
        <v>230776</v>
      </c>
      <c r="R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 s="1">
        <v>42382</v>
      </c>
      <c r="AC830" t="s">
        <v>53</v>
      </c>
      <c r="AD830" t="s">
        <v>53</v>
      </c>
      <c r="AK830">
        <v>0</v>
      </c>
      <c r="AU830" s="6">
        <v>42186</v>
      </c>
      <c r="AV830" s="6">
        <v>42186</v>
      </c>
      <c r="AW830" t="s">
        <v>54</v>
      </c>
      <c r="AX830" t="str">
        <f t="shared" si="63"/>
        <v>FOR</v>
      </c>
      <c r="AY830" t="s">
        <v>55</v>
      </c>
    </row>
    <row r="831" spans="1:51" hidden="1">
      <c r="A831">
        <v>100210</v>
      </c>
      <c r="B831" t="s">
        <v>103</v>
      </c>
      <c r="C831" t="str">
        <f t="shared" si="66"/>
        <v>08082461008</v>
      </c>
      <c r="D831" t="str">
        <f t="shared" si="66"/>
        <v>08082461008</v>
      </c>
      <c r="E831" t="s">
        <v>52</v>
      </c>
      <c r="F831">
        <v>2014</v>
      </c>
      <c r="G831">
        <v>14081110</v>
      </c>
      <c r="H831" s="1">
        <v>41774</v>
      </c>
      <c r="I831" s="1">
        <v>41788</v>
      </c>
      <c r="J831" s="1">
        <v>41788</v>
      </c>
      <c r="K831" s="1">
        <v>41878</v>
      </c>
      <c r="N831" s="5"/>
      <c r="O831">
        <v>843.26</v>
      </c>
      <c r="P831">
        <v>308</v>
      </c>
      <c r="Q831" s="2">
        <v>259724.08</v>
      </c>
      <c r="R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 s="1">
        <v>42382</v>
      </c>
      <c r="AC831" t="s">
        <v>53</v>
      </c>
      <c r="AD831" t="s">
        <v>53</v>
      </c>
      <c r="AK831">
        <v>0</v>
      </c>
      <c r="AU831" s="6">
        <v>42186</v>
      </c>
      <c r="AV831" s="6">
        <v>42186</v>
      </c>
      <c r="AW831" t="s">
        <v>54</v>
      </c>
      <c r="AX831" t="str">
        <f t="shared" si="63"/>
        <v>FOR</v>
      </c>
      <c r="AY831" t="s">
        <v>55</v>
      </c>
    </row>
    <row r="832" spans="1:51" hidden="1">
      <c r="A832">
        <v>100210</v>
      </c>
      <c r="B832" t="s">
        <v>103</v>
      </c>
      <c r="C832" t="str">
        <f t="shared" si="66"/>
        <v>08082461008</v>
      </c>
      <c r="D832" t="str">
        <f t="shared" si="66"/>
        <v>08082461008</v>
      </c>
      <c r="E832" t="s">
        <v>52</v>
      </c>
      <c r="F832">
        <v>2014</v>
      </c>
      <c r="G832">
        <v>14081111</v>
      </c>
      <c r="H832" s="1">
        <v>41774</v>
      </c>
      <c r="I832" s="1">
        <v>41788</v>
      </c>
      <c r="J832" s="1">
        <v>41788</v>
      </c>
      <c r="K832" s="1">
        <v>41878</v>
      </c>
      <c r="N832" s="5"/>
      <c r="O832">
        <v>305.68</v>
      </c>
      <c r="P832">
        <v>308</v>
      </c>
      <c r="Q832" s="2">
        <v>94149.440000000002</v>
      </c>
      <c r="R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 s="1">
        <v>42382</v>
      </c>
      <c r="AC832" t="s">
        <v>53</v>
      </c>
      <c r="AD832" t="s">
        <v>53</v>
      </c>
      <c r="AK832">
        <v>0</v>
      </c>
      <c r="AU832" s="6">
        <v>42186</v>
      </c>
      <c r="AV832" s="6">
        <v>42186</v>
      </c>
      <c r="AW832" t="s">
        <v>54</v>
      </c>
      <c r="AX832" t="str">
        <f t="shared" si="63"/>
        <v>FOR</v>
      </c>
      <c r="AY832" t="s">
        <v>55</v>
      </c>
    </row>
    <row r="833" spans="1:51" hidden="1">
      <c r="A833">
        <v>100210</v>
      </c>
      <c r="B833" t="s">
        <v>103</v>
      </c>
      <c r="C833" t="str">
        <f t="shared" si="66"/>
        <v>08082461008</v>
      </c>
      <c r="D833" t="str">
        <f t="shared" si="66"/>
        <v>08082461008</v>
      </c>
      <c r="E833" t="s">
        <v>52</v>
      </c>
      <c r="F833">
        <v>2014</v>
      </c>
      <c r="G833">
        <v>14081129</v>
      </c>
      <c r="H833" s="1">
        <v>41774</v>
      </c>
      <c r="I833" s="1">
        <v>41788</v>
      </c>
      <c r="J833" s="1">
        <v>41788</v>
      </c>
      <c r="K833" s="1">
        <v>41878</v>
      </c>
      <c r="N833" s="5"/>
      <c r="O833" s="2">
        <v>9655.08</v>
      </c>
      <c r="P833">
        <v>308</v>
      </c>
      <c r="Q833" s="2">
        <v>2973764.64</v>
      </c>
      <c r="R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 s="1">
        <v>42382</v>
      </c>
      <c r="AC833" t="s">
        <v>53</v>
      </c>
      <c r="AD833" t="s">
        <v>53</v>
      </c>
      <c r="AK833">
        <v>0</v>
      </c>
      <c r="AU833" s="6">
        <v>42186</v>
      </c>
      <c r="AV833" s="6">
        <v>42186</v>
      </c>
      <c r="AW833" t="s">
        <v>54</v>
      </c>
      <c r="AX833" t="str">
        <f t="shared" si="63"/>
        <v>FOR</v>
      </c>
      <c r="AY833" t="s">
        <v>55</v>
      </c>
    </row>
    <row r="834" spans="1:51" hidden="1">
      <c r="A834">
        <v>100210</v>
      </c>
      <c r="B834" t="s">
        <v>103</v>
      </c>
      <c r="C834" t="str">
        <f t="shared" si="66"/>
        <v>08082461008</v>
      </c>
      <c r="D834" t="str">
        <f t="shared" si="66"/>
        <v>08082461008</v>
      </c>
      <c r="E834" t="s">
        <v>52</v>
      </c>
      <c r="F834">
        <v>2014</v>
      </c>
      <c r="G834">
        <v>14081843</v>
      </c>
      <c r="H834" s="1">
        <v>41775</v>
      </c>
      <c r="I834" s="1">
        <v>41788</v>
      </c>
      <c r="J834" s="1">
        <v>41788</v>
      </c>
      <c r="K834" s="1">
        <v>41878</v>
      </c>
      <c r="N834" s="5"/>
      <c r="O834">
        <v>719.41</v>
      </c>
      <c r="P834">
        <v>308</v>
      </c>
      <c r="Q834" s="2">
        <v>221578.28</v>
      </c>
      <c r="R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 s="1">
        <v>42382</v>
      </c>
      <c r="AC834" t="s">
        <v>53</v>
      </c>
      <c r="AD834" t="s">
        <v>53</v>
      </c>
      <c r="AK834">
        <v>0</v>
      </c>
      <c r="AU834" s="6">
        <v>42186</v>
      </c>
      <c r="AV834" s="6">
        <v>42186</v>
      </c>
      <c r="AW834" t="s">
        <v>54</v>
      </c>
      <c r="AX834" t="str">
        <f t="shared" si="63"/>
        <v>FOR</v>
      </c>
      <c r="AY834" t="s">
        <v>55</v>
      </c>
    </row>
    <row r="835" spans="1:51" hidden="1">
      <c r="A835">
        <v>100210</v>
      </c>
      <c r="B835" t="s">
        <v>103</v>
      </c>
      <c r="C835" t="str">
        <f t="shared" si="66"/>
        <v>08082461008</v>
      </c>
      <c r="D835" t="str">
        <f t="shared" si="66"/>
        <v>08082461008</v>
      </c>
      <c r="E835" t="s">
        <v>52</v>
      </c>
      <c r="F835">
        <v>2014</v>
      </c>
      <c r="G835">
        <v>14082917</v>
      </c>
      <c r="H835" s="1">
        <v>41779</v>
      </c>
      <c r="I835" s="1">
        <v>41789</v>
      </c>
      <c r="J835" s="1">
        <v>41789</v>
      </c>
      <c r="K835" s="1">
        <v>41879</v>
      </c>
      <c r="N835" s="5"/>
      <c r="O835">
        <v>728</v>
      </c>
      <c r="P835">
        <v>307</v>
      </c>
      <c r="Q835" s="2">
        <v>223496</v>
      </c>
      <c r="R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 s="1">
        <v>42382</v>
      </c>
      <c r="AC835" t="s">
        <v>53</v>
      </c>
      <c r="AD835" t="s">
        <v>53</v>
      </c>
      <c r="AK835">
        <v>0</v>
      </c>
      <c r="AU835" s="6">
        <v>42186</v>
      </c>
      <c r="AV835" s="6">
        <v>42186</v>
      </c>
      <c r="AW835" t="s">
        <v>54</v>
      </c>
      <c r="AX835" t="str">
        <f t="shared" ref="AX835:AX898" si="67">"FOR"</f>
        <v>FOR</v>
      </c>
      <c r="AY835" t="s">
        <v>55</v>
      </c>
    </row>
    <row r="836" spans="1:51" hidden="1">
      <c r="A836">
        <v>100210</v>
      </c>
      <c r="B836" t="s">
        <v>103</v>
      </c>
      <c r="C836" t="str">
        <f t="shared" si="66"/>
        <v>08082461008</v>
      </c>
      <c r="D836" t="str">
        <f t="shared" si="66"/>
        <v>08082461008</v>
      </c>
      <c r="E836" t="s">
        <v>52</v>
      </c>
      <c r="F836">
        <v>2014</v>
      </c>
      <c r="G836">
        <v>14082922</v>
      </c>
      <c r="H836" s="1">
        <v>41779</v>
      </c>
      <c r="I836" s="1">
        <v>41789</v>
      </c>
      <c r="J836" s="1">
        <v>41789</v>
      </c>
      <c r="K836" s="1">
        <v>41879</v>
      </c>
      <c r="N836" s="5"/>
      <c r="O836">
        <v>728</v>
      </c>
      <c r="P836">
        <v>307</v>
      </c>
      <c r="Q836" s="2">
        <v>223496</v>
      </c>
      <c r="R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 s="1">
        <v>42382</v>
      </c>
      <c r="AC836" t="s">
        <v>53</v>
      </c>
      <c r="AD836" t="s">
        <v>53</v>
      </c>
      <c r="AK836">
        <v>0</v>
      </c>
      <c r="AU836" s="6">
        <v>42186</v>
      </c>
      <c r="AV836" s="6">
        <v>42186</v>
      </c>
      <c r="AW836" t="s">
        <v>54</v>
      </c>
      <c r="AX836" t="str">
        <f t="shared" si="67"/>
        <v>FOR</v>
      </c>
      <c r="AY836" t="s">
        <v>55</v>
      </c>
    </row>
    <row r="837" spans="1:51" hidden="1">
      <c r="A837">
        <v>100210</v>
      </c>
      <c r="B837" t="s">
        <v>103</v>
      </c>
      <c r="C837" t="str">
        <f t="shared" si="66"/>
        <v>08082461008</v>
      </c>
      <c r="D837" t="str">
        <f t="shared" si="66"/>
        <v>08082461008</v>
      </c>
      <c r="E837" t="s">
        <v>52</v>
      </c>
      <c r="F837">
        <v>2014</v>
      </c>
      <c r="G837">
        <v>14083206</v>
      </c>
      <c r="H837" s="1">
        <v>41779</v>
      </c>
      <c r="I837" s="1">
        <v>41789</v>
      </c>
      <c r="J837" s="1">
        <v>41789</v>
      </c>
      <c r="K837" s="1">
        <v>41879</v>
      </c>
      <c r="N837" s="5"/>
      <c r="O837" s="2">
        <v>9672</v>
      </c>
      <c r="P837">
        <v>307</v>
      </c>
      <c r="Q837" s="2">
        <v>2969304</v>
      </c>
      <c r="R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 s="1">
        <v>42382</v>
      </c>
      <c r="AC837" t="s">
        <v>53</v>
      </c>
      <c r="AD837" t="s">
        <v>53</v>
      </c>
      <c r="AK837">
        <v>0</v>
      </c>
      <c r="AU837" s="6">
        <v>42186</v>
      </c>
      <c r="AV837" s="6">
        <v>42186</v>
      </c>
      <c r="AW837" t="s">
        <v>54</v>
      </c>
      <c r="AX837" t="str">
        <f t="shared" si="67"/>
        <v>FOR</v>
      </c>
      <c r="AY837" t="s">
        <v>55</v>
      </c>
    </row>
    <row r="838" spans="1:51" hidden="1">
      <c r="A838">
        <v>100210</v>
      </c>
      <c r="B838" t="s">
        <v>103</v>
      </c>
      <c r="C838" t="str">
        <f t="shared" ref="C838:D857" si="68">"08082461008"</f>
        <v>08082461008</v>
      </c>
      <c r="D838" t="str">
        <f t="shared" si="68"/>
        <v>08082461008</v>
      </c>
      <c r="E838" t="s">
        <v>52</v>
      </c>
      <c r="F838">
        <v>2014</v>
      </c>
      <c r="G838">
        <v>14083602</v>
      </c>
      <c r="H838" s="1">
        <v>41779</v>
      </c>
      <c r="I838" s="1">
        <v>41789</v>
      </c>
      <c r="J838" s="1">
        <v>41789</v>
      </c>
      <c r="K838" s="1">
        <v>41879</v>
      </c>
      <c r="N838" s="5"/>
      <c r="O838" s="2">
        <v>9367.65</v>
      </c>
      <c r="P838">
        <v>307</v>
      </c>
      <c r="Q838" s="2">
        <v>2875868.55</v>
      </c>
      <c r="R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 s="1">
        <v>42382</v>
      </c>
      <c r="AC838" t="s">
        <v>53</v>
      </c>
      <c r="AD838" t="s">
        <v>53</v>
      </c>
      <c r="AK838">
        <v>0</v>
      </c>
      <c r="AU838" s="6">
        <v>42186</v>
      </c>
      <c r="AV838" s="6">
        <v>42186</v>
      </c>
      <c r="AW838" t="s">
        <v>54</v>
      </c>
      <c r="AX838" t="str">
        <f t="shared" si="67"/>
        <v>FOR</v>
      </c>
      <c r="AY838" t="s">
        <v>55</v>
      </c>
    </row>
    <row r="839" spans="1:51" hidden="1">
      <c r="A839">
        <v>100210</v>
      </c>
      <c r="B839" t="s">
        <v>103</v>
      </c>
      <c r="C839" t="str">
        <f t="shared" si="68"/>
        <v>08082461008</v>
      </c>
      <c r="D839" t="str">
        <f t="shared" si="68"/>
        <v>08082461008</v>
      </c>
      <c r="E839" t="s">
        <v>52</v>
      </c>
      <c r="F839">
        <v>2014</v>
      </c>
      <c r="G839">
        <v>14084518</v>
      </c>
      <c r="H839" s="1">
        <v>41780</v>
      </c>
      <c r="I839" s="1">
        <v>41789</v>
      </c>
      <c r="J839" s="1">
        <v>41789</v>
      </c>
      <c r="K839" s="1">
        <v>41879</v>
      </c>
      <c r="N839" s="5"/>
      <c r="O839" s="2">
        <v>1502.06</v>
      </c>
      <c r="P839">
        <v>307</v>
      </c>
      <c r="Q839" s="2">
        <v>461132.42</v>
      </c>
      <c r="R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 s="1">
        <v>42382</v>
      </c>
      <c r="AC839" t="s">
        <v>53</v>
      </c>
      <c r="AD839" t="s">
        <v>53</v>
      </c>
      <c r="AK839">
        <v>0</v>
      </c>
      <c r="AU839" s="6">
        <v>42186</v>
      </c>
      <c r="AV839" s="6">
        <v>42186</v>
      </c>
      <c r="AW839" t="s">
        <v>54</v>
      </c>
      <c r="AX839" t="str">
        <f t="shared" si="67"/>
        <v>FOR</v>
      </c>
      <c r="AY839" t="s">
        <v>55</v>
      </c>
    </row>
    <row r="840" spans="1:51" hidden="1">
      <c r="A840">
        <v>100210</v>
      </c>
      <c r="B840" t="s">
        <v>103</v>
      </c>
      <c r="C840" t="str">
        <f t="shared" si="68"/>
        <v>08082461008</v>
      </c>
      <c r="D840" t="str">
        <f t="shared" si="68"/>
        <v>08082461008</v>
      </c>
      <c r="E840" t="s">
        <v>52</v>
      </c>
      <c r="F840">
        <v>2014</v>
      </c>
      <c r="G840">
        <v>14086191</v>
      </c>
      <c r="H840" s="1">
        <v>41781</v>
      </c>
      <c r="I840" s="1">
        <v>41795</v>
      </c>
      <c r="J840" s="1">
        <v>41795</v>
      </c>
      <c r="K840" s="1">
        <v>41885</v>
      </c>
      <c r="N840" s="5"/>
      <c r="O840">
        <v>732</v>
      </c>
      <c r="P840">
        <v>301</v>
      </c>
      <c r="Q840" s="2">
        <v>220332</v>
      </c>
      <c r="R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 s="1">
        <v>42382</v>
      </c>
      <c r="AC840" t="s">
        <v>53</v>
      </c>
      <c r="AD840" t="s">
        <v>53</v>
      </c>
      <c r="AK840">
        <v>0</v>
      </c>
      <c r="AU840" s="6">
        <v>42186</v>
      </c>
      <c r="AV840" s="6">
        <v>42186</v>
      </c>
      <c r="AW840" t="s">
        <v>54</v>
      </c>
      <c r="AX840" t="str">
        <f t="shared" si="67"/>
        <v>FOR</v>
      </c>
      <c r="AY840" t="s">
        <v>55</v>
      </c>
    </row>
    <row r="841" spans="1:51" hidden="1">
      <c r="A841">
        <v>100210</v>
      </c>
      <c r="B841" t="s">
        <v>103</v>
      </c>
      <c r="C841" t="str">
        <f t="shared" si="68"/>
        <v>08082461008</v>
      </c>
      <c r="D841" t="str">
        <f t="shared" si="68"/>
        <v>08082461008</v>
      </c>
      <c r="E841" t="s">
        <v>52</v>
      </c>
      <c r="F841">
        <v>2014</v>
      </c>
      <c r="G841">
        <v>14088401</v>
      </c>
      <c r="H841" s="1">
        <v>41786</v>
      </c>
      <c r="I841" s="1">
        <v>41795</v>
      </c>
      <c r="J841" s="1">
        <v>41795</v>
      </c>
      <c r="K841" s="1">
        <v>41885</v>
      </c>
      <c r="N841" s="5"/>
      <c r="O841">
        <v>728</v>
      </c>
      <c r="P841">
        <v>301</v>
      </c>
      <c r="Q841" s="2">
        <v>219128</v>
      </c>
      <c r="R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 s="1">
        <v>42382</v>
      </c>
      <c r="AC841" t="s">
        <v>53</v>
      </c>
      <c r="AD841" t="s">
        <v>53</v>
      </c>
      <c r="AK841">
        <v>0</v>
      </c>
      <c r="AU841" s="6">
        <v>42186</v>
      </c>
      <c r="AV841" s="6">
        <v>42186</v>
      </c>
      <c r="AW841" t="s">
        <v>54</v>
      </c>
      <c r="AX841" t="str">
        <f t="shared" si="67"/>
        <v>FOR</v>
      </c>
      <c r="AY841" t="s">
        <v>55</v>
      </c>
    </row>
    <row r="842" spans="1:51" hidden="1">
      <c r="A842">
        <v>100210</v>
      </c>
      <c r="B842" t="s">
        <v>103</v>
      </c>
      <c r="C842" t="str">
        <f t="shared" si="68"/>
        <v>08082461008</v>
      </c>
      <c r="D842" t="str">
        <f t="shared" si="68"/>
        <v>08082461008</v>
      </c>
      <c r="E842" t="s">
        <v>52</v>
      </c>
      <c r="F842">
        <v>2014</v>
      </c>
      <c r="G842">
        <v>14096210</v>
      </c>
      <c r="H842" s="1">
        <v>41800</v>
      </c>
      <c r="I842" s="1">
        <v>41808</v>
      </c>
      <c r="J842" s="1">
        <v>41808</v>
      </c>
      <c r="K842" s="1">
        <v>41898</v>
      </c>
      <c r="N842" s="5"/>
      <c r="O842" s="2">
        <v>7466.4</v>
      </c>
      <c r="P842">
        <v>352</v>
      </c>
      <c r="Q842" s="2">
        <v>2628172.7999999998</v>
      </c>
      <c r="R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 s="1">
        <v>42382</v>
      </c>
      <c r="AC842" t="s">
        <v>53</v>
      </c>
      <c r="AD842" t="s">
        <v>53</v>
      </c>
      <c r="AK842">
        <v>0</v>
      </c>
      <c r="AU842" s="6">
        <v>42250</v>
      </c>
      <c r="AV842" s="6">
        <v>42250</v>
      </c>
      <c r="AW842" t="s">
        <v>54</v>
      </c>
      <c r="AX842" t="str">
        <f t="shared" si="67"/>
        <v>FOR</v>
      </c>
      <c r="AY842" t="s">
        <v>55</v>
      </c>
    </row>
    <row r="843" spans="1:51" hidden="1">
      <c r="A843">
        <v>100210</v>
      </c>
      <c r="B843" t="s">
        <v>103</v>
      </c>
      <c r="C843" t="str">
        <f t="shared" si="68"/>
        <v>08082461008</v>
      </c>
      <c r="D843" t="str">
        <f t="shared" si="68"/>
        <v>08082461008</v>
      </c>
      <c r="E843" t="s">
        <v>52</v>
      </c>
      <c r="F843">
        <v>2014</v>
      </c>
      <c r="G843">
        <v>14097131</v>
      </c>
      <c r="H843" s="1">
        <v>41801</v>
      </c>
      <c r="I843" s="1">
        <v>41815</v>
      </c>
      <c r="J843" s="1">
        <v>41815</v>
      </c>
      <c r="K843" s="1">
        <v>41905</v>
      </c>
      <c r="N843" s="5"/>
      <c r="O843" s="2">
        <v>4721.3999999999996</v>
      </c>
      <c r="P843">
        <v>345</v>
      </c>
      <c r="Q843" s="2">
        <v>1628883</v>
      </c>
      <c r="R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 s="1">
        <v>42382</v>
      </c>
      <c r="AC843" t="s">
        <v>53</v>
      </c>
      <c r="AD843" t="s">
        <v>53</v>
      </c>
      <c r="AK843">
        <v>0</v>
      </c>
      <c r="AU843" s="6">
        <v>42250</v>
      </c>
      <c r="AV843" s="6">
        <v>42250</v>
      </c>
      <c r="AW843" t="s">
        <v>54</v>
      </c>
      <c r="AX843" t="str">
        <f t="shared" si="67"/>
        <v>FOR</v>
      </c>
      <c r="AY843" t="s">
        <v>55</v>
      </c>
    </row>
    <row r="844" spans="1:51" hidden="1">
      <c r="A844">
        <v>100210</v>
      </c>
      <c r="B844" t="s">
        <v>103</v>
      </c>
      <c r="C844" t="str">
        <f t="shared" si="68"/>
        <v>08082461008</v>
      </c>
      <c r="D844" t="str">
        <f t="shared" si="68"/>
        <v>08082461008</v>
      </c>
      <c r="E844" t="s">
        <v>52</v>
      </c>
      <c r="F844">
        <v>2014</v>
      </c>
      <c r="G844">
        <v>14097133</v>
      </c>
      <c r="H844" s="1">
        <v>41801</v>
      </c>
      <c r="I844" s="1">
        <v>41815</v>
      </c>
      <c r="J844" s="1">
        <v>41815</v>
      </c>
      <c r="K844" s="1">
        <v>41905</v>
      </c>
      <c r="N844" s="5"/>
      <c r="O844" s="2">
        <v>19111.98</v>
      </c>
      <c r="P844">
        <v>345</v>
      </c>
      <c r="Q844" s="2">
        <v>6593633.0999999996</v>
      </c>
      <c r="R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 s="1">
        <v>42382</v>
      </c>
      <c r="AC844" t="s">
        <v>53</v>
      </c>
      <c r="AD844" t="s">
        <v>53</v>
      </c>
      <c r="AK844">
        <v>0</v>
      </c>
      <c r="AU844" s="6">
        <v>42250</v>
      </c>
      <c r="AV844" s="6">
        <v>42250</v>
      </c>
      <c r="AW844" t="s">
        <v>54</v>
      </c>
      <c r="AX844" t="str">
        <f t="shared" si="67"/>
        <v>FOR</v>
      </c>
      <c r="AY844" t="s">
        <v>55</v>
      </c>
    </row>
    <row r="845" spans="1:51" hidden="1">
      <c r="A845">
        <v>100210</v>
      </c>
      <c r="B845" t="s">
        <v>103</v>
      </c>
      <c r="C845" t="str">
        <f t="shared" si="68"/>
        <v>08082461008</v>
      </c>
      <c r="D845" t="str">
        <f t="shared" si="68"/>
        <v>08082461008</v>
      </c>
      <c r="E845" t="s">
        <v>52</v>
      </c>
      <c r="F845">
        <v>2014</v>
      </c>
      <c r="G845">
        <v>14097150</v>
      </c>
      <c r="H845" s="1">
        <v>41801</v>
      </c>
      <c r="I845" s="1">
        <v>41815</v>
      </c>
      <c r="J845" s="1">
        <v>41815</v>
      </c>
      <c r="K845" s="1">
        <v>41905</v>
      </c>
      <c r="N845" s="5"/>
      <c r="O845" s="2">
        <v>3016</v>
      </c>
      <c r="P845">
        <v>345</v>
      </c>
      <c r="Q845" s="2">
        <v>1040520</v>
      </c>
      <c r="R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 s="1">
        <v>42382</v>
      </c>
      <c r="AC845" t="s">
        <v>53</v>
      </c>
      <c r="AD845" t="s">
        <v>53</v>
      </c>
      <c r="AK845">
        <v>0</v>
      </c>
      <c r="AU845" s="6">
        <v>42250</v>
      </c>
      <c r="AV845" s="6">
        <v>42250</v>
      </c>
      <c r="AW845" t="s">
        <v>54</v>
      </c>
      <c r="AX845" t="str">
        <f t="shared" si="67"/>
        <v>FOR</v>
      </c>
      <c r="AY845" t="s">
        <v>55</v>
      </c>
    </row>
    <row r="846" spans="1:51" hidden="1">
      <c r="A846">
        <v>100210</v>
      </c>
      <c r="B846" t="s">
        <v>103</v>
      </c>
      <c r="C846" t="str">
        <f t="shared" si="68"/>
        <v>08082461008</v>
      </c>
      <c r="D846" t="str">
        <f t="shared" si="68"/>
        <v>08082461008</v>
      </c>
      <c r="E846" t="s">
        <v>52</v>
      </c>
      <c r="F846">
        <v>2014</v>
      </c>
      <c r="G846">
        <v>14098110</v>
      </c>
      <c r="H846" s="1">
        <v>41802</v>
      </c>
      <c r="I846" s="1">
        <v>41815</v>
      </c>
      <c r="J846" s="1">
        <v>41815</v>
      </c>
      <c r="K846" s="1">
        <v>41905</v>
      </c>
      <c r="N846" s="5"/>
      <c r="O846" s="2">
        <v>2928</v>
      </c>
      <c r="P846">
        <v>345</v>
      </c>
      <c r="Q846" s="2">
        <v>1010160</v>
      </c>
      <c r="R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 s="1">
        <v>42382</v>
      </c>
      <c r="AC846" t="s">
        <v>53</v>
      </c>
      <c r="AD846" t="s">
        <v>53</v>
      </c>
      <c r="AK846">
        <v>0</v>
      </c>
      <c r="AU846" s="6">
        <v>42250</v>
      </c>
      <c r="AV846" s="6">
        <v>42250</v>
      </c>
      <c r="AW846" t="s">
        <v>54</v>
      </c>
      <c r="AX846" t="str">
        <f t="shared" si="67"/>
        <v>FOR</v>
      </c>
      <c r="AY846" t="s">
        <v>55</v>
      </c>
    </row>
    <row r="847" spans="1:51" hidden="1">
      <c r="A847">
        <v>100210</v>
      </c>
      <c r="B847" t="s">
        <v>103</v>
      </c>
      <c r="C847" t="str">
        <f t="shared" si="68"/>
        <v>08082461008</v>
      </c>
      <c r="D847" t="str">
        <f t="shared" si="68"/>
        <v>08082461008</v>
      </c>
      <c r="E847" t="s">
        <v>52</v>
      </c>
      <c r="F847">
        <v>2014</v>
      </c>
      <c r="G847">
        <v>14101880</v>
      </c>
      <c r="H847" s="1">
        <v>41809</v>
      </c>
      <c r="I847" s="1">
        <v>41820</v>
      </c>
      <c r="J847" s="1">
        <v>41820</v>
      </c>
      <c r="K847" s="1">
        <v>41910</v>
      </c>
      <c r="N847" s="5"/>
      <c r="O847">
        <v>728</v>
      </c>
      <c r="P847">
        <v>340</v>
      </c>
      <c r="Q847" s="2">
        <v>247520</v>
      </c>
      <c r="R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 s="1">
        <v>42382</v>
      </c>
      <c r="AC847" t="s">
        <v>53</v>
      </c>
      <c r="AD847" t="s">
        <v>53</v>
      </c>
      <c r="AK847">
        <v>0</v>
      </c>
      <c r="AU847" s="6">
        <v>42250</v>
      </c>
      <c r="AV847" s="6">
        <v>42250</v>
      </c>
      <c r="AW847" t="s">
        <v>54</v>
      </c>
      <c r="AX847" t="str">
        <f t="shared" si="67"/>
        <v>FOR</v>
      </c>
      <c r="AY847" t="s">
        <v>55</v>
      </c>
    </row>
    <row r="848" spans="1:51" hidden="1">
      <c r="A848">
        <v>100210</v>
      </c>
      <c r="B848" t="s">
        <v>103</v>
      </c>
      <c r="C848" t="str">
        <f t="shared" si="68"/>
        <v>08082461008</v>
      </c>
      <c r="D848" t="str">
        <f t="shared" si="68"/>
        <v>08082461008</v>
      </c>
      <c r="E848" t="s">
        <v>52</v>
      </c>
      <c r="F848">
        <v>2014</v>
      </c>
      <c r="G848">
        <v>14102527</v>
      </c>
      <c r="H848" s="1">
        <v>41809</v>
      </c>
      <c r="I848" s="1">
        <v>41820</v>
      </c>
      <c r="J848" s="1">
        <v>41820</v>
      </c>
      <c r="K848" s="1">
        <v>41910</v>
      </c>
      <c r="N848" s="5"/>
      <c r="O848" s="2">
        <v>1467.81</v>
      </c>
      <c r="P848">
        <v>340</v>
      </c>
      <c r="Q848" s="2">
        <v>499055.4</v>
      </c>
      <c r="R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 s="1">
        <v>42382</v>
      </c>
      <c r="AC848" t="s">
        <v>53</v>
      </c>
      <c r="AD848" t="s">
        <v>53</v>
      </c>
      <c r="AK848">
        <v>0</v>
      </c>
      <c r="AU848" s="6">
        <v>42250</v>
      </c>
      <c r="AV848" s="6">
        <v>42250</v>
      </c>
      <c r="AW848" t="s">
        <v>54</v>
      </c>
      <c r="AX848" t="str">
        <f t="shared" si="67"/>
        <v>FOR</v>
      </c>
      <c r="AY848" t="s">
        <v>55</v>
      </c>
    </row>
    <row r="849" spans="1:51" hidden="1">
      <c r="A849">
        <v>100210</v>
      </c>
      <c r="B849" t="s">
        <v>103</v>
      </c>
      <c r="C849" t="str">
        <f t="shared" si="68"/>
        <v>08082461008</v>
      </c>
      <c r="D849" t="str">
        <f t="shared" si="68"/>
        <v>08082461008</v>
      </c>
      <c r="E849" t="s">
        <v>52</v>
      </c>
      <c r="F849">
        <v>2014</v>
      </c>
      <c r="G849">
        <v>14102528</v>
      </c>
      <c r="H849" s="1">
        <v>41809</v>
      </c>
      <c r="I849" s="1">
        <v>41820</v>
      </c>
      <c r="J849" s="1">
        <v>41820</v>
      </c>
      <c r="K849" s="1">
        <v>41910</v>
      </c>
      <c r="N849" s="5"/>
      <c r="O849">
        <v>217.4</v>
      </c>
      <c r="P849">
        <v>340</v>
      </c>
      <c r="Q849" s="2">
        <v>73916</v>
      </c>
      <c r="R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 s="1">
        <v>42382</v>
      </c>
      <c r="AC849" t="s">
        <v>53</v>
      </c>
      <c r="AD849" t="s">
        <v>53</v>
      </c>
      <c r="AK849">
        <v>0</v>
      </c>
      <c r="AU849" s="6">
        <v>42250</v>
      </c>
      <c r="AV849" s="6">
        <v>42250</v>
      </c>
      <c r="AW849" t="s">
        <v>54</v>
      </c>
      <c r="AX849" t="str">
        <f t="shared" si="67"/>
        <v>FOR</v>
      </c>
      <c r="AY849" t="s">
        <v>55</v>
      </c>
    </row>
    <row r="850" spans="1:51" hidden="1">
      <c r="A850">
        <v>100210</v>
      </c>
      <c r="B850" t="s">
        <v>103</v>
      </c>
      <c r="C850" t="str">
        <f t="shared" si="68"/>
        <v>08082461008</v>
      </c>
      <c r="D850" t="str">
        <f t="shared" si="68"/>
        <v>08082461008</v>
      </c>
      <c r="E850" t="s">
        <v>52</v>
      </c>
      <c r="F850">
        <v>2014</v>
      </c>
      <c r="G850">
        <v>14102529</v>
      </c>
      <c r="H850" s="1">
        <v>41809</v>
      </c>
      <c r="I850" s="1">
        <v>41820</v>
      </c>
      <c r="J850" s="1">
        <v>41820</v>
      </c>
      <c r="K850" s="1">
        <v>41910</v>
      </c>
      <c r="N850" s="5"/>
      <c r="O850" s="2">
        <v>1646.99</v>
      </c>
      <c r="P850">
        <v>340</v>
      </c>
      <c r="Q850" s="2">
        <v>559976.6</v>
      </c>
      <c r="R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 s="1">
        <v>42382</v>
      </c>
      <c r="AC850" t="s">
        <v>53</v>
      </c>
      <c r="AD850" t="s">
        <v>53</v>
      </c>
      <c r="AK850">
        <v>0</v>
      </c>
      <c r="AU850" s="6">
        <v>42250</v>
      </c>
      <c r="AV850" s="6">
        <v>42250</v>
      </c>
      <c r="AW850" t="s">
        <v>54</v>
      </c>
      <c r="AX850" t="str">
        <f t="shared" si="67"/>
        <v>FOR</v>
      </c>
      <c r="AY850" t="s">
        <v>55</v>
      </c>
    </row>
    <row r="851" spans="1:51" hidden="1">
      <c r="A851">
        <v>100210</v>
      </c>
      <c r="B851" t="s">
        <v>103</v>
      </c>
      <c r="C851" t="str">
        <f t="shared" si="68"/>
        <v>08082461008</v>
      </c>
      <c r="D851" t="str">
        <f t="shared" si="68"/>
        <v>08082461008</v>
      </c>
      <c r="E851" t="s">
        <v>52</v>
      </c>
      <c r="F851">
        <v>2014</v>
      </c>
      <c r="G851">
        <v>14105017</v>
      </c>
      <c r="H851" s="1">
        <v>41814</v>
      </c>
      <c r="I851" s="1">
        <v>41821</v>
      </c>
      <c r="J851" s="1">
        <v>41821</v>
      </c>
      <c r="K851" s="1">
        <v>41911</v>
      </c>
      <c r="N851" s="5"/>
      <c r="O851" s="2">
        <v>9655.08</v>
      </c>
      <c r="P851">
        <v>339</v>
      </c>
      <c r="Q851" s="2">
        <v>3273072.12</v>
      </c>
      <c r="R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 s="1">
        <v>42382</v>
      </c>
      <c r="AC851" t="s">
        <v>53</v>
      </c>
      <c r="AD851" t="s">
        <v>53</v>
      </c>
      <c r="AK851">
        <v>0</v>
      </c>
      <c r="AU851" s="6">
        <v>42250</v>
      </c>
      <c r="AV851" s="6">
        <v>42250</v>
      </c>
      <c r="AW851" t="s">
        <v>54</v>
      </c>
      <c r="AX851" t="str">
        <f t="shared" si="67"/>
        <v>FOR</v>
      </c>
      <c r="AY851" t="s">
        <v>55</v>
      </c>
    </row>
    <row r="852" spans="1:51" hidden="1">
      <c r="A852">
        <v>100210</v>
      </c>
      <c r="B852" t="s">
        <v>103</v>
      </c>
      <c r="C852" t="str">
        <f t="shared" si="68"/>
        <v>08082461008</v>
      </c>
      <c r="D852" t="str">
        <f t="shared" si="68"/>
        <v>08082461008</v>
      </c>
      <c r="E852" t="s">
        <v>52</v>
      </c>
      <c r="F852">
        <v>2014</v>
      </c>
      <c r="G852">
        <v>14105179</v>
      </c>
      <c r="H852" s="1">
        <v>41814</v>
      </c>
      <c r="I852" s="1">
        <v>41821</v>
      </c>
      <c r="J852" s="1">
        <v>41821</v>
      </c>
      <c r="K852" s="1">
        <v>41911</v>
      </c>
      <c r="N852" s="5"/>
      <c r="O852" s="2">
        <v>8784</v>
      </c>
      <c r="P852">
        <v>339</v>
      </c>
      <c r="Q852" s="2">
        <v>2977776</v>
      </c>
      <c r="R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 s="1">
        <v>42382</v>
      </c>
      <c r="AC852" t="s">
        <v>53</v>
      </c>
      <c r="AD852" t="s">
        <v>53</v>
      </c>
      <c r="AK852">
        <v>0</v>
      </c>
      <c r="AU852" s="6">
        <v>42250</v>
      </c>
      <c r="AV852" s="6">
        <v>42250</v>
      </c>
      <c r="AW852" t="s">
        <v>54</v>
      </c>
      <c r="AX852" t="str">
        <f t="shared" si="67"/>
        <v>FOR</v>
      </c>
      <c r="AY852" t="s">
        <v>55</v>
      </c>
    </row>
    <row r="853" spans="1:51" hidden="1">
      <c r="A853">
        <v>100210</v>
      </c>
      <c r="B853" t="s">
        <v>103</v>
      </c>
      <c r="C853" t="str">
        <f t="shared" si="68"/>
        <v>08082461008</v>
      </c>
      <c r="D853" t="str">
        <f t="shared" si="68"/>
        <v>08082461008</v>
      </c>
      <c r="E853" t="s">
        <v>52</v>
      </c>
      <c r="F853">
        <v>2014</v>
      </c>
      <c r="G853">
        <v>14105623</v>
      </c>
      <c r="H853" s="1">
        <v>41815</v>
      </c>
      <c r="I853" s="1">
        <v>41827</v>
      </c>
      <c r="J853" s="1">
        <v>41827</v>
      </c>
      <c r="K853" s="1">
        <v>41917</v>
      </c>
      <c r="N853" s="5"/>
      <c r="O853" s="2">
        <v>9672</v>
      </c>
      <c r="P853">
        <v>333</v>
      </c>
      <c r="Q853" s="2">
        <v>3220776</v>
      </c>
      <c r="R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 s="1">
        <v>42382</v>
      </c>
      <c r="AC853" t="s">
        <v>53</v>
      </c>
      <c r="AD853" t="s">
        <v>53</v>
      </c>
      <c r="AK853">
        <v>0</v>
      </c>
      <c r="AU853" s="6">
        <v>42250</v>
      </c>
      <c r="AV853" s="6">
        <v>42250</v>
      </c>
      <c r="AW853" t="s">
        <v>54</v>
      </c>
      <c r="AX853" t="str">
        <f t="shared" si="67"/>
        <v>FOR</v>
      </c>
      <c r="AY853" t="s">
        <v>55</v>
      </c>
    </row>
    <row r="854" spans="1:51" hidden="1">
      <c r="A854">
        <v>100210</v>
      </c>
      <c r="B854" t="s">
        <v>103</v>
      </c>
      <c r="C854" t="str">
        <f t="shared" si="68"/>
        <v>08082461008</v>
      </c>
      <c r="D854" t="str">
        <f t="shared" si="68"/>
        <v>08082461008</v>
      </c>
      <c r="E854" t="s">
        <v>52</v>
      </c>
      <c r="F854">
        <v>2014</v>
      </c>
      <c r="G854">
        <v>14106421</v>
      </c>
      <c r="H854" s="1">
        <v>41816</v>
      </c>
      <c r="I854" s="1">
        <v>41830</v>
      </c>
      <c r="J854" s="1">
        <v>41830</v>
      </c>
      <c r="K854" s="1">
        <v>41920</v>
      </c>
      <c r="N854" s="5"/>
      <c r="O854" s="2">
        <v>9672</v>
      </c>
      <c r="P854">
        <v>330</v>
      </c>
      <c r="Q854" s="2">
        <v>3191760</v>
      </c>
      <c r="R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 s="1">
        <v>42382</v>
      </c>
      <c r="AC854" t="s">
        <v>53</v>
      </c>
      <c r="AD854" t="s">
        <v>53</v>
      </c>
      <c r="AK854">
        <v>0</v>
      </c>
      <c r="AU854" s="6">
        <v>42250</v>
      </c>
      <c r="AV854" s="6">
        <v>42250</v>
      </c>
      <c r="AW854" t="s">
        <v>54</v>
      </c>
      <c r="AX854" t="str">
        <f t="shared" si="67"/>
        <v>FOR</v>
      </c>
      <c r="AY854" t="s">
        <v>55</v>
      </c>
    </row>
    <row r="855" spans="1:51" hidden="1">
      <c r="A855">
        <v>100210</v>
      </c>
      <c r="B855" t="s">
        <v>103</v>
      </c>
      <c r="C855" t="str">
        <f t="shared" si="68"/>
        <v>08082461008</v>
      </c>
      <c r="D855" t="str">
        <f t="shared" si="68"/>
        <v>08082461008</v>
      </c>
      <c r="E855" t="s">
        <v>52</v>
      </c>
      <c r="F855">
        <v>2014</v>
      </c>
      <c r="G855">
        <v>14108344</v>
      </c>
      <c r="H855" s="1">
        <v>41817</v>
      </c>
      <c r="I855" s="1">
        <v>41830</v>
      </c>
      <c r="J855" s="1">
        <v>41830</v>
      </c>
      <c r="K855" s="1">
        <v>41920</v>
      </c>
      <c r="N855" s="5"/>
      <c r="O855">
        <v>610</v>
      </c>
      <c r="P855">
        <v>330</v>
      </c>
      <c r="Q855" s="2">
        <v>201300</v>
      </c>
      <c r="R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 s="1">
        <v>42382</v>
      </c>
      <c r="AC855" t="s">
        <v>53</v>
      </c>
      <c r="AD855" t="s">
        <v>53</v>
      </c>
      <c r="AK855">
        <v>0</v>
      </c>
      <c r="AU855" s="6">
        <v>42250</v>
      </c>
      <c r="AV855" s="6">
        <v>42250</v>
      </c>
      <c r="AW855" t="s">
        <v>54</v>
      </c>
      <c r="AX855" t="str">
        <f t="shared" si="67"/>
        <v>FOR</v>
      </c>
      <c r="AY855" t="s">
        <v>55</v>
      </c>
    </row>
    <row r="856" spans="1:51" hidden="1">
      <c r="A856">
        <v>100210</v>
      </c>
      <c r="B856" t="s">
        <v>103</v>
      </c>
      <c r="C856" t="str">
        <f t="shared" si="68"/>
        <v>08082461008</v>
      </c>
      <c r="D856" t="str">
        <f t="shared" si="68"/>
        <v>08082461008</v>
      </c>
      <c r="E856" t="s">
        <v>52</v>
      </c>
      <c r="F856">
        <v>2014</v>
      </c>
      <c r="G856">
        <v>14108345</v>
      </c>
      <c r="H856" s="1">
        <v>41817</v>
      </c>
      <c r="I856" s="1">
        <v>41830</v>
      </c>
      <c r="J856" s="1">
        <v>41830</v>
      </c>
      <c r="K856" s="1">
        <v>41920</v>
      </c>
      <c r="N856" s="5"/>
      <c r="O856">
        <v>610</v>
      </c>
      <c r="P856">
        <v>330</v>
      </c>
      <c r="Q856" s="2">
        <v>201300</v>
      </c>
      <c r="R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 s="1">
        <v>42382</v>
      </c>
      <c r="AC856" t="s">
        <v>53</v>
      </c>
      <c r="AD856" t="s">
        <v>53</v>
      </c>
      <c r="AK856">
        <v>0</v>
      </c>
      <c r="AU856" s="6">
        <v>42250</v>
      </c>
      <c r="AV856" s="6">
        <v>42250</v>
      </c>
      <c r="AW856" t="s">
        <v>54</v>
      </c>
      <c r="AX856" t="str">
        <f t="shared" si="67"/>
        <v>FOR</v>
      </c>
      <c r="AY856" t="s">
        <v>55</v>
      </c>
    </row>
    <row r="857" spans="1:51" hidden="1">
      <c r="A857">
        <v>100210</v>
      </c>
      <c r="B857" t="s">
        <v>103</v>
      </c>
      <c r="C857" t="str">
        <f t="shared" si="68"/>
        <v>08082461008</v>
      </c>
      <c r="D857" t="str">
        <f t="shared" si="68"/>
        <v>08082461008</v>
      </c>
      <c r="E857" t="s">
        <v>52</v>
      </c>
      <c r="F857">
        <v>2014</v>
      </c>
      <c r="G857">
        <v>14108346</v>
      </c>
      <c r="H857" s="1">
        <v>41817</v>
      </c>
      <c r="I857" s="1">
        <v>41830</v>
      </c>
      <c r="J857" s="1">
        <v>41830</v>
      </c>
      <c r="K857" s="1">
        <v>41920</v>
      </c>
      <c r="N857" s="5"/>
      <c r="O857">
        <v>610</v>
      </c>
      <c r="P857">
        <v>330</v>
      </c>
      <c r="Q857" s="2">
        <v>201300</v>
      </c>
      <c r="R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 s="1">
        <v>42382</v>
      </c>
      <c r="AC857" t="s">
        <v>53</v>
      </c>
      <c r="AD857" t="s">
        <v>53</v>
      </c>
      <c r="AK857">
        <v>0</v>
      </c>
      <c r="AU857" s="6">
        <v>42250</v>
      </c>
      <c r="AV857" s="6">
        <v>42250</v>
      </c>
      <c r="AW857" t="s">
        <v>54</v>
      </c>
      <c r="AX857" t="str">
        <f t="shared" si="67"/>
        <v>FOR</v>
      </c>
      <c r="AY857" t="s">
        <v>55</v>
      </c>
    </row>
    <row r="858" spans="1:51" hidden="1">
      <c r="A858">
        <v>100210</v>
      </c>
      <c r="B858" t="s">
        <v>103</v>
      </c>
      <c r="C858" t="str">
        <f t="shared" ref="C858:D877" si="69">"08082461008"</f>
        <v>08082461008</v>
      </c>
      <c r="D858" t="str">
        <f t="shared" si="69"/>
        <v>08082461008</v>
      </c>
      <c r="E858" t="s">
        <v>52</v>
      </c>
      <c r="F858">
        <v>2014</v>
      </c>
      <c r="G858">
        <v>14108347</v>
      </c>
      <c r="H858" s="1">
        <v>41817</v>
      </c>
      <c r="I858" s="1">
        <v>41837</v>
      </c>
      <c r="J858" s="1">
        <v>41837</v>
      </c>
      <c r="K858" s="1">
        <v>41927</v>
      </c>
      <c r="N858" s="5"/>
      <c r="O858">
        <v>610</v>
      </c>
      <c r="P858">
        <v>323</v>
      </c>
      <c r="Q858" s="2">
        <v>197030</v>
      </c>
      <c r="R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 s="1">
        <v>42382</v>
      </c>
      <c r="AC858" t="s">
        <v>53</v>
      </c>
      <c r="AD858" t="s">
        <v>53</v>
      </c>
      <c r="AK858">
        <v>0</v>
      </c>
      <c r="AU858" s="6">
        <v>42250</v>
      </c>
      <c r="AV858" s="6">
        <v>42250</v>
      </c>
      <c r="AW858" t="s">
        <v>54</v>
      </c>
      <c r="AX858" t="str">
        <f t="shared" si="67"/>
        <v>FOR</v>
      </c>
      <c r="AY858" t="s">
        <v>55</v>
      </c>
    </row>
    <row r="859" spans="1:51" hidden="1">
      <c r="A859">
        <v>100210</v>
      </c>
      <c r="B859" t="s">
        <v>103</v>
      </c>
      <c r="C859" t="str">
        <f t="shared" si="69"/>
        <v>08082461008</v>
      </c>
      <c r="D859" t="str">
        <f t="shared" si="69"/>
        <v>08082461008</v>
      </c>
      <c r="E859" t="s">
        <v>52</v>
      </c>
      <c r="F859">
        <v>2014</v>
      </c>
      <c r="G859">
        <v>14108348</v>
      </c>
      <c r="H859" s="1">
        <v>41817</v>
      </c>
      <c r="I859" s="1">
        <v>41837</v>
      </c>
      <c r="J859" s="1">
        <v>41837</v>
      </c>
      <c r="K859" s="1">
        <v>41927</v>
      </c>
      <c r="N859" s="5"/>
      <c r="O859">
        <v>610</v>
      </c>
      <c r="P859">
        <v>323</v>
      </c>
      <c r="Q859" s="2">
        <v>197030</v>
      </c>
      <c r="R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 s="1">
        <v>42382</v>
      </c>
      <c r="AC859" t="s">
        <v>53</v>
      </c>
      <c r="AD859" t="s">
        <v>53</v>
      </c>
      <c r="AK859">
        <v>0</v>
      </c>
      <c r="AU859" s="6">
        <v>42250</v>
      </c>
      <c r="AV859" s="6">
        <v>42250</v>
      </c>
      <c r="AW859" t="s">
        <v>54</v>
      </c>
      <c r="AX859" t="str">
        <f t="shared" si="67"/>
        <v>FOR</v>
      </c>
      <c r="AY859" t="s">
        <v>55</v>
      </c>
    </row>
    <row r="860" spans="1:51" hidden="1">
      <c r="A860">
        <v>100210</v>
      </c>
      <c r="B860" t="s">
        <v>103</v>
      </c>
      <c r="C860" t="str">
        <f t="shared" si="69"/>
        <v>08082461008</v>
      </c>
      <c r="D860" t="str">
        <f t="shared" si="69"/>
        <v>08082461008</v>
      </c>
      <c r="E860" t="s">
        <v>52</v>
      </c>
      <c r="F860">
        <v>2014</v>
      </c>
      <c r="G860">
        <v>14108349</v>
      </c>
      <c r="H860" s="1">
        <v>41817</v>
      </c>
      <c r="I860" s="1">
        <v>41837</v>
      </c>
      <c r="J860" s="1">
        <v>41837</v>
      </c>
      <c r="K860" s="1">
        <v>41927</v>
      </c>
      <c r="N860" s="5"/>
      <c r="O860">
        <v>610</v>
      </c>
      <c r="P860">
        <v>323</v>
      </c>
      <c r="Q860" s="2">
        <v>197030</v>
      </c>
      <c r="R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 s="1">
        <v>42382</v>
      </c>
      <c r="AC860" t="s">
        <v>53</v>
      </c>
      <c r="AD860" t="s">
        <v>53</v>
      </c>
      <c r="AK860">
        <v>0</v>
      </c>
      <c r="AU860" s="6">
        <v>42250</v>
      </c>
      <c r="AV860" s="6">
        <v>42250</v>
      </c>
      <c r="AW860" t="s">
        <v>54</v>
      </c>
      <c r="AX860" t="str">
        <f t="shared" si="67"/>
        <v>FOR</v>
      </c>
      <c r="AY860" t="s">
        <v>55</v>
      </c>
    </row>
    <row r="861" spans="1:51" hidden="1">
      <c r="A861">
        <v>100210</v>
      </c>
      <c r="B861" t="s">
        <v>103</v>
      </c>
      <c r="C861" t="str">
        <f t="shared" si="69"/>
        <v>08082461008</v>
      </c>
      <c r="D861" t="str">
        <f t="shared" si="69"/>
        <v>08082461008</v>
      </c>
      <c r="E861" t="s">
        <v>52</v>
      </c>
      <c r="F861">
        <v>2014</v>
      </c>
      <c r="G861">
        <v>14108350</v>
      </c>
      <c r="H861" s="1">
        <v>41817</v>
      </c>
      <c r="I861" s="1">
        <v>41837</v>
      </c>
      <c r="J861" s="1">
        <v>41837</v>
      </c>
      <c r="K861" s="1">
        <v>41927</v>
      </c>
      <c r="N861" s="5"/>
      <c r="O861">
        <v>610</v>
      </c>
      <c r="P861">
        <v>323</v>
      </c>
      <c r="Q861" s="2">
        <v>197030</v>
      </c>
      <c r="R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 s="1">
        <v>42382</v>
      </c>
      <c r="AC861" t="s">
        <v>53</v>
      </c>
      <c r="AD861" t="s">
        <v>53</v>
      </c>
      <c r="AK861">
        <v>0</v>
      </c>
      <c r="AU861" s="6">
        <v>42250</v>
      </c>
      <c r="AV861" s="6">
        <v>42250</v>
      </c>
      <c r="AW861" t="s">
        <v>54</v>
      </c>
      <c r="AX861" t="str">
        <f t="shared" si="67"/>
        <v>FOR</v>
      </c>
      <c r="AY861" t="s">
        <v>55</v>
      </c>
    </row>
    <row r="862" spans="1:51" hidden="1">
      <c r="A862">
        <v>100210</v>
      </c>
      <c r="B862" t="s">
        <v>103</v>
      </c>
      <c r="C862" t="str">
        <f t="shared" si="69"/>
        <v>08082461008</v>
      </c>
      <c r="D862" t="str">
        <f t="shared" si="69"/>
        <v>08082461008</v>
      </c>
      <c r="E862" t="s">
        <v>52</v>
      </c>
      <c r="F862">
        <v>2014</v>
      </c>
      <c r="G862">
        <v>14108351</v>
      </c>
      <c r="H862" s="1">
        <v>41817</v>
      </c>
      <c r="I862" s="1">
        <v>41837</v>
      </c>
      <c r="J862" s="1">
        <v>41837</v>
      </c>
      <c r="K862" s="1">
        <v>41927</v>
      </c>
      <c r="N862" s="5"/>
      <c r="O862">
        <v>610</v>
      </c>
      <c r="P862">
        <v>323</v>
      </c>
      <c r="Q862" s="2">
        <v>197030</v>
      </c>
      <c r="R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 s="1">
        <v>42382</v>
      </c>
      <c r="AC862" t="s">
        <v>53</v>
      </c>
      <c r="AD862" t="s">
        <v>53</v>
      </c>
      <c r="AK862">
        <v>0</v>
      </c>
      <c r="AU862" s="6">
        <v>42250</v>
      </c>
      <c r="AV862" s="6">
        <v>42250</v>
      </c>
      <c r="AW862" t="s">
        <v>54</v>
      </c>
      <c r="AX862" t="str">
        <f t="shared" si="67"/>
        <v>FOR</v>
      </c>
      <c r="AY862" t="s">
        <v>55</v>
      </c>
    </row>
    <row r="863" spans="1:51" hidden="1">
      <c r="A863">
        <v>100210</v>
      </c>
      <c r="B863" t="s">
        <v>103</v>
      </c>
      <c r="C863" t="str">
        <f t="shared" si="69"/>
        <v>08082461008</v>
      </c>
      <c r="D863" t="str">
        <f t="shared" si="69"/>
        <v>08082461008</v>
      </c>
      <c r="E863" t="s">
        <v>52</v>
      </c>
      <c r="F863">
        <v>2014</v>
      </c>
      <c r="G863">
        <v>14108352</v>
      </c>
      <c r="H863" s="1">
        <v>41817</v>
      </c>
      <c r="I863" s="1">
        <v>41837</v>
      </c>
      <c r="J863" s="1">
        <v>41837</v>
      </c>
      <c r="K863" s="1">
        <v>41927</v>
      </c>
      <c r="N863" s="5"/>
      <c r="O863">
        <v>610</v>
      </c>
      <c r="P863">
        <v>323</v>
      </c>
      <c r="Q863" s="2">
        <v>197030</v>
      </c>
      <c r="R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 s="1">
        <v>42382</v>
      </c>
      <c r="AC863" t="s">
        <v>53</v>
      </c>
      <c r="AD863" t="s">
        <v>53</v>
      </c>
      <c r="AK863">
        <v>0</v>
      </c>
      <c r="AU863" s="6">
        <v>42250</v>
      </c>
      <c r="AV863" s="6">
        <v>42250</v>
      </c>
      <c r="AW863" t="s">
        <v>54</v>
      </c>
      <c r="AX863" t="str">
        <f t="shared" si="67"/>
        <v>FOR</v>
      </c>
      <c r="AY863" t="s">
        <v>55</v>
      </c>
    </row>
    <row r="864" spans="1:51" hidden="1">
      <c r="A864">
        <v>100210</v>
      </c>
      <c r="B864" t="s">
        <v>103</v>
      </c>
      <c r="C864" t="str">
        <f t="shared" si="69"/>
        <v>08082461008</v>
      </c>
      <c r="D864" t="str">
        <f t="shared" si="69"/>
        <v>08082461008</v>
      </c>
      <c r="E864" t="s">
        <v>52</v>
      </c>
      <c r="F864">
        <v>2014</v>
      </c>
      <c r="G864">
        <v>14111018</v>
      </c>
      <c r="H864" s="1">
        <v>41821</v>
      </c>
      <c r="I864" s="1">
        <v>41834</v>
      </c>
      <c r="J864" s="1">
        <v>41834</v>
      </c>
      <c r="K864" s="1">
        <v>41924</v>
      </c>
      <c r="N864" s="5"/>
      <c r="O864" s="2">
        <v>5943.84</v>
      </c>
      <c r="P864">
        <v>326</v>
      </c>
      <c r="Q864" s="2">
        <v>1937691.84</v>
      </c>
      <c r="R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 s="1">
        <v>42382</v>
      </c>
      <c r="AC864" t="s">
        <v>53</v>
      </c>
      <c r="AD864" t="s">
        <v>53</v>
      </c>
      <c r="AK864">
        <v>0</v>
      </c>
      <c r="AU864" s="6">
        <v>42250</v>
      </c>
      <c r="AV864" s="6">
        <v>42250</v>
      </c>
      <c r="AW864" t="s">
        <v>54</v>
      </c>
      <c r="AX864" t="str">
        <f t="shared" si="67"/>
        <v>FOR</v>
      </c>
      <c r="AY864" t="s">
        <v>55</v>
      </c>
    </row>
    <row r="865" spans="1:51" hidden="1">
      <c r="A865">
        <v>100210</v>
      </c>
      <c r="B865" t="s">
        <v>103</v>
      </c>
      <c r="C865" t="str">
        <f t="shared" si="69"/>
        <v>08082461008</v>
      </c>
      <c r="D865" t="str">
        <f t="shared" si="69"/>
        <v>08082461008</v>
      </c>
      <c r="E865" t="s">
        <v>52</v>
      </c>
      <c r="F865">
        <v>2014</v>
      </c>
      <c r="G865">
        <v>14111711</v>
      </c>
      <c r="H865" s="1">
        <v>41822</v>
      </c>
      <c r="I865" s="1">
        <v>41836</v>
      </c>
      <c r="J865" s="1">
        <v>41836</v>
      </c>
      <c r="K865" s="1">
        <v>41926</v>
      </c>
      <c r="N865" s="5"/>
      <c r="O865" s="2">
        <v>1313.2</v>
      </c>
      <c r="P865">
        <v>324</v>
      </c>
      <c r="Q865" s="2">
        <v>425476.8</v>
      </c>
      <c r="R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 s="1">
        <v>42382</v>
      </c>
      <c r="AC865" t="s">
        <v>53</v>
      </c>
      <c r="AD865" t="s">
        <v>53</v>
      </c>
      <c r="AK865">
        <v>0</v>
      </c>
      <c r="AU865" s="6">
        <v>42250</v>
      </c>
      <c r="AV865" s="6">
        <v>42250</v>
      </c>
      <c r="AW865" t="s">
        <v>54</v>
      </c>
      <c r="AX865" t="str">
        <f t="shared" si="67"/>
        <v>FOR</v>
      </c>
      <c r="AY865" t="s">
        <v>55</v>
      </c>
    </row>
    <row r="866" spans="1:51" hidden="1">
      <c r="A866">
        <v>100210</v>
      </c>
      <c r="B866" t="s">
        <v>103</v>
      </c>
      <c r="C866" t="str">
        <f t="shared" si="69"/>
        <v>08082461008</v>
      </c>
      <c r="D866" t="str">
        <f t="shared" si="69"/>
        <v>08082461008</v>
      </c>
      <c r="E866" t="s">
        <v>52</v>
      </c>
      <c r="F866">
        <v>2014</v>
      </c>
      <c r="G866">
        <v>14111721</v>
      </c>
      <c r="H866" s="1">
        <v>41822</v>
      </c>
      <c r="I866" s="1">
        <v>41836</v>
      </c>
      <c r="J866" s="1">
        <v>41836</v>
      </c>
      <c r="K866" s="1">
        <v>41926</v>
      </c>
      <c r="N866" s="5"/>
      <c r="O866" s="2">
        <v>7914.01</v>
      </c>
      <c r="P866">
        <v>324</v>
      </c>
      <c r="Q866" s="2">
        <v>2564139.2400000002</v>
      </c>
      <c r="R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 s="1">
        <v>42382</v>
      </c>
      <c r="AC866" t="s">
        <v>53</v>
      </c>
      <c r="AD866" t="s">
        <v>53</v>
      </c>
      <c r="AK866">
        <v>0</v>
      </c>
      <c r="AU866" s="6">
        <v>42250</v>
      </c>
      <c r="AV866" s="6">
        <v>42250</v>
      </c>
      <c r="AW866" t="s">
        <v>54</v>
      </c>
      <c r="AX866" t="str">
        <f t="shared" si="67"/>
        <v>FOR</v>
      </c>
      <c r="AY866" t="s">
        <v>55</v>
      </c>
    </row>
    <row r="867" spans="1:51" hidden="1">
      <c r="A867">
        <v>100210</v>
      </c>
      <c r="B867" t="s">
        <v>103</v>
      </c>
      <c r="C867" t="str">
        <f t="shared" si="69"/>
        <v>08082461008</v>
      </c>
      <c r="D867" t="str">
        <f t="shared" si="69"/>
        <v>08082461008</v>
      </c>
      <c r="E867" t="s">
        <v>52</v>
      </c>
      <c r="F867">
        <v>2014</v>
      </c>
      <c r="G867">
        <v>14113641</v>
      </c>
      <c r="H867" s="1">
        <v>41827</v>
      </c>
      <c r="I867" s="1">
        <v>41836</v>
      </c>
      <c r="J867" s="1">
        <v>41836</v>
      </c>
      <c r="K867" s="1">
        <v>41926</v>
      </c>
      <c r="N867" s="5"/>
      <c r="O867" s="2">
        <v>1581.12</v>
      </c>
      <c r="P867">
        <v>324</v>
      </c>
      <c r="Q867" s="2">
        <v>512282.88</v>
      </c>
      <c r="R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 s="1">
        <v>42382</v>
      </c>
      <c r="AC867" t="s">
        <v>53</v>
      </c>
      <c r="AD867" t="s">
        <v>53</v>
      </c>
      <c r="AK867">
        <v>0</v>
      </c>
      <c r="AU867" s="6">
        <v>42250</v>
      </c>
      <c r="AV867" s="6">
        <v>42250</v>
      </c>
      <c r="AW867" t="s">
        <v>54</v>
      </c>
      <c r="AX867" t="str">
        <f t="shared" si="67"/>
        <v>FOR</v>
      </c>
      <c r="AY867" t="s">
        <v>55</v>
      </c>
    </row>
    <row r="868" spans="1:51" hidden="1">
      <c r="A868">
        <v>100210</v>
      </c>
      <c r="B868" t="s">
        <v>103</v>
      </c>
      <c r="C868" t="str">
        <f t="shared" si="69"/>
        <v>08082461008</v>
      </c>
      <c r="D868" t="str">
        <f t="shared" si="69"/>
        <v>08082461008</v>
      </c>
      <c r="E868" t="s">
        <v>52</v>
      </c>
      <c r="F868">
        <v>2014</v>
      </c>
      <c r="G868">
        <v>14114704</v>
      </c>
      <c r="H868" s="1">
        <v>41828</v>
      </c>
      <c r="I868" s="1">
        <v>41836</v>
      </c>
      <c r="J868" s="1">
        <v>41836</v>
      </c>
      <c r="K868" s="1">
        <v>41926</v>
      </c>
      <c r="N868" s="5"/>
      <c r="O868" s="2">
        <v>1311.5</v>
      </c>
      <c r="P868">
        <v>324</v>
      </c>
      <c r="Q868" s="2">
        <v>424926</v>
      </c>
      <c r="R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 s="1">
        <v>42382</v>
      </c>
      <c r="AC868" t="s">
        <v>53</v>
      </c>
      <c r="AD868" t="s">
        <v>53</v>
      </c>
      <c r="AK868">
        <v>0</v>
      </c>
      <c r="AU868" s="6">
        <v>42250</v>
      </c>
      <c r="AV868" s="6">
        <v>42250</v>
      </c>
      <c r="AW868" t="s">
        <v>54</v>
      </c>
      <c r="AX868" t="str">
        <f t="shared" si="67"/>
        <v>FOR</v>
      </c>
      <c r="AY868" t="s">
        <v>55</v>
      </c>
    </row>
    <row r="869" spans="1:51" hidden="1">
      <c r="A869">
        <v>100210</v>
      </c>
      <c r="B869" t="s">
        <v>103</v>
      </c>
      <c r="C869" t="str">
        <f t="shared" si="69"/>
        <v>08082461008</v>
      </c>
      <c r="D869" t="str">
        <f t="shared" si="69"/>
        <v>08082461008</v>
      </c>
      <c r="E869" t="s">
        <v>52</v>
      </c>
      <c r="F869">
        <v>2014</v>
      </c>
      <c r="G869">
        <v>14115010</v>
      </c>
      <c r="H869" s="1">
        <v>41828</v>
      </c>
      <c r="I869" s="1">
        <v>41836</v>
      </c>
      <c r="J869" s="1">
        <v>41836</v>
      </c>
      <c r="K869" s="1">
        <v>41926</v>
      </c>
      <c r="N869" s="5"/>
      <c r="O869" s="2">
        <v>1419.11</v>
      </c>
      <c r="P869">
        <v>324</v>
      </c>
      <c r="Q869" s="2">
        <v>459791.64</v>
      </c>
      <c r="R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 s="1">
        <v>42382</v>
      </c>
      <c r="AC869" t="s">
        <v>53</v>
      </c>
      <c r="AD869" t="s">
        <v>53</v>
      </c>
      <c r="AK869">
        <v>0</v>
      </c>
      <c r="AU869" s="6">
        <v>42250</v>
      </c>
      <c r="AV869" s="6">
        <v>42250</v>
      </c>
      <c r="AW869" t="s">
        <v>54</v>
      </c>
      <c r="AX869" t="str">
        <f t="shared" si="67"/>
        <v>FOR</v>
      </c>
      <c r="AY869" t="s">
        <v>55</v>
      </c>
    </row>
    <row r="870" spans="1:51" hidden="1">
      <c r="A870">
        <v>100210</v>
      </c>
      <c r="B870" t="s">
        <v>103</v>
      </c>
      <c r="C870" t="str">
        <f t="shared" si="69"/>
        <v>08082461008</v>
      </c>
      <c r="D870" t="str">
        <f t="shared" si="69"/>
        <v>08082461008</v>
      </c>
      <c r="E870" t="s">
        <v>52</v>
      </c>
      <c r="F870">
        <v>2014</v>
      </c>
      <c r="G870">
        <v>14116426</v>
      </c>
      <c r="H870" s="1">
        <v>41830</v>
      </c>
      <c r="I870" s="1">
        <v>41841</v>
      </c>
      <c r="J870" s="1">
        <v>41841</v>
      </c>
      <c r="K870" s="1">
        <v>41931</v>
      </c>
      <c r="N870" s="5"/>
      <c r="O870">
        <v>185.93</v>
      </c>
      <c r="P870">
        <v>319</v>
      </c>
      <c r="Q870" s="2">
        <v>59311.67</v>
      </c>
      <c r="R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 s="1">
        <v>42382</v>
      </c>
      <c r="AC870" t="s">
        <v>53</v>
      </c>
      <c r="AD870" t="s">
        <v>53</v>
      </c>
      <c r="AK870">
        <v>0</v>
      </c>
      <c r="AU870" s="6">
        <v>42250</v>
      </c>
      <c r="AV870" s="6">
        <v>42250</v>
      </c>
      <c r="AW870" t="s">
        <v>54</v>
      </c>
      <c r="AX870" t="str">
        <f t="shared" si="67"/>
        <v>FOR</v>
      </c>
      <c r="AY870" t="s">
        <v>55</v>
      </c>
    </row>
    <row r="871" spans="1:51" hidden="1">
      <c r="A871">
        <v>100210</v>
      </c>
      <c r="B871" t="s">
        <v>103</v>
      </c>
      <c r="C871" t="str">
        <f t="shared" si="69"/>
        <v>08082461008</v>
      </c>
      <c r="D871" t="str">
        <f t="shared" si="69"/>
        <v>08082461008</v>
      </c>
      <c r="E871" t="s">
        <v>52</v>
      </c>
      <c r="F871">
        <v>2014</v>
      </c>
      <c r="G871">
        <v>14116427</v>
      </c>
      <c r="H871" s="1">
        <v>41830</v>
      </c>
      <c r="I871" s="1">
        <v>41841</v>
      </c>
      <c r="J871" s="1">
        <v>41841</v>
      </c>
      <c r="K871" s="1">
        <v>41931</v>
      </c>
      <c r="N871" s="5"/>
      <c r="O871" s="2">
        <v>2317.44</v>
      </c>
      <c r="P871">
        <v>319</v>
      </c>
      <c r="Q871" s="2">
        <v>739263.36</v>
      </c>
      <c r="R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 s="1">
        <v>42382</v>
      </c>
      <c r="AC871" t="s">
        <v>53</v>
      </c>
      <c r="AD871" t="s">
        <v>53</v>
      </c>
      <c r="AK871">
        <v>0</v>
      </c>
      <c r="AU871" s="6">
        <v>42250</v>
      </c>
      <c r="AV871" s="6">
        <v>42250</v>
      </c>
      <c r="AW871" t="s">
        <v>54</v>
      </c>
      <c r="AX871" t="str">
        <f t="shared" si="67"/>
        <v>FOR</v>
      </c>
      <c r="AY871" t="s">
        <v>55</v>
      </c>
    </row>
    <row r="872" spans="1:51" hidden="1">
      <c r="A872">
        <v>100210</v>
      </c>
      <c r="B872" t="s">
        <v>103</v>
      </c>
      <c r="C872" t="str">
        <f t="shared" si="69"/>
        <v>08082461008</v>
      </c>
      <c r="D872" t="str">
        <f t="shared" si="69"/>
        <v>08082461008</v>
      </c>
      <c r="E872" t="s">
        <v>52</v>
      </c>
      <c r="F872">
        <v>2014</v>
      </c>
      <c r="G872">
        <v>14116430</v>
      </c>
      <c r="H872" s="1">
        <v>41830</v>
      </c>
      <c r="I872" s="1">
        <v>41841</v>
      </c>
      <c r="J872" s="1">
        <v>41841</v>
      </c>
      <c r="K872" s="1">
        <v>41931</v>
      </c>
      <c r="N872" s="5"/>
      <c r="O872" s="2">
        <v>3354.62</v>
      </c>
      <c r="P872">
        <v>319</v>
      </c>
      <c r="Q872" s="2">
        <v>1070123.78</v>
      </c>
      <c r="R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 s="1">
        <v>42382</v>
      </c>
      <c r="AC872" t="s">
        <v>53</v>
      </c>
      <c r="AD872" t="s">
        <v>53</v>
      </c>
      <c r="AK872">
        <v>0</v>
      </c>
      <c r="AU872" s="6">
        <v>42250</v>
      </c>
      <c r="AV872" s="6">
        <v>42250</v>
      </c>
      <c r="AW872" t="s">
        <v>54</v>
      </c>
      <c r="AX872" t="str">
        <f t="shared" si="67"/>
        <v>FOR</v>
      </c>
      <c r="AY872" t="s">
        <v>55</v>
      </c>
    </row>
    <row r="873" spans="1:51" hidden="1">
      <c r="A873">
        <v>100210</v>
      </c>
      <c r="B873" t="s">
        <v>103</v>
      </c>
      <c r="C873" t="str">
        <f t="shared" si="69"/>
        <v>08082461008</v>
      </c>
      <c r="D873" t="str">
        <f t="shared" si="69"/>
        <v>08082461008</v>
      </c>
      <c r="E873" t="s">
        <v>52</v>
      </c>
      <c r="F873">
        <v>2014</v>
      </c>
      <c r="G873">
        <v>14116431</v>
      </c>
      <c r="H873" s="1">
        <v>41830</v>
      </c>
      <c r="I873" s="1">
        <v>41841</v>
      </c>
      <c r="J873" s="1">
        <v>41841</v>
      </c>
      <c r="K873" s="1">
        <v>41931</v>
      </c>
      <c r="N873" s="5"/>
      <c r="O873" s="2">
        <v>1618.89</v>
      </c>
      <c r="P873">
        <v>319</v>
      </c>
      <c r="Q873" s="2">
        <v>516425.91</v>
      </c>
      <c r="R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 s="1">
        <v>42382</v>
      </c>
      <c r="AC873" t="s">
        <v>53</v>
      </c>
      <c r="AD873" t="s">
        <v>53</v>
      </c>
      <c r="AK873">
        <v>0</v>
      </c>
      <c r="AU873" s="6">
        <v>42250</v>
      </c>
      <c r="AV873" s="6">
        <v>42250</v>
      </c>
      <c r="AW873" t="s">
        <v>54</v>
      </c>
      <c r="AX873" t="str">
        <f t="shared" si="67"/>
        <v>FOR</v>
      </c>
      <c r="AY873" t="s">
        <v>55</v>
      </c>
    </row>
    <row r="874" spans="1:51" hidden="1">
      <c r="A874">
        <v>100210</v>
      </c>
      <c r="B874" t="s">
        <v>103</v>
      </c>
      <c r="C874" t="str">
        <f t="shared" si="69"/>
        <v>08082461008</v>
      </c>
      <c r="D874" t="str">
        <f t="shared" si="69"/>
        <v>08082461008</v>
      </c>
      <c r="E874" t="s">
        <v>52</v>
      </c>
      <c r="F874">
        <v>2014</v>
      </c>
      <c r="G874">
        <v>14116432</v>
      </c>
      <c r="H874" s="1">
        <v>41830</v>
      </c>
      <c r="I874" s="1">
        <v>41841</v>
      </c>
      <c r="J874" s="1">
        <v>41841</v>
      </c>
      <c r="K874" s="1">
        <v>41931</v>
      </c>
      <c r="N874" s="5"/>
      <c r="O874" s="2">
        <v>1560.03</v>
      </c>
      <c r="P874">
        <v>319</v>
      </c>
      <c r="Q874" s="2">
        <v>497649.57</v>
      </c>
      <c r="R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 s="1">
        <v>42382</v>
      </c>
      <c r="AC874" t="s">
        <v>53</v>
      </c>
      <c r="AD874" t="s">
        <v>53</v>
      </c>
      <c r="AK874">
        <v>0</v>
      </c>
      <c r="AU874" s="6">
        <v>42250</v>
      </c>
      <c r="AV874" s="6">
        <v>42250</v>
      </c>
      <c r="AW874" t="s">
        <v>54</v>
      </c>
      <c r="AX874" t="str">
        <f t="shared" si="67"/>
        <v>FOR</v>
      </c>
      <c r="AY874" t="s">
        <v>55</v>
      </c>
    </row>
    <row r="875" spans="1:51" hidden="1">
      <c r="A875">
        <v>100210</v>
      </c>
      <c r="B875" t="s">
        <v>103</v>
      </c>
      <c r="C875" t="str">
        <f t="shared" si="69"/>
        <v>08082461008</v>
      </c>
      <c r="D875" t="str">
        <f t="shared" si="69"/>
        <v>08082461008</v>
      </c>
      <c r="E875" t="s">
        <v>52</v>
      </c>
      <c r="F875">
        <v>2014</v>
      </c>
      <c r="G875">
        <v>14117956</v>
      </c>
      <c r="H875" s="1">
        <v>41834</v>
      </c>
      <c r="I875" s="1">
        <v>41843</v>
      </c>
      <c r="J875" s="1">
        <v>41843</v>
      </c>
      <c r="K875" s="1">
        <v>41933</v>
      </c>
      <c r="N875" s="5"/>
      <c r="O875">
        <v>592.91999999999996</v>
      </c>
      <c r="P875">
        <v>317</v>
      </c>
      <c r="Q875" s="2">
        <v>187955.64</v>
      </c>
      <c r="R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 s="1">
        <v>42382</v>
      </c>
      <c r="AC875" t="s">
        <v>53</v>
      </c>
      <c r="AD875" t="s">
        <v>53</v>
      </c>
      <c r="AK875">
        <v>0</v>
      </c>
      <c r="AU875" s="6">
        <v>42250</v>
      </c>
      <c r="AV875" s="6">
        <v>42250</v>
      </c>
      <c r="AW875" t="s">
        <v>54</v>
      </c>
      <c r="AX875" t="str">
        <f t="shared" si="67"/>
        <v>FOR</v>
      </c>
      <c r="AY875" t="s">
        <v>55</v>
      </c>
    </row>
    <row r="876" spans="1:51" hidden="1">
      <c r="A876">
        <v>100210</v>
      </c>
      <c r="B876" t="s">
        <v>103</v>
      </c>
      <c r="C876" t="str">
        <f t="shared" si="69"/>
        <v>08082461008</v>
      </c>
      <c r="D876" t="str">
        <f t="shared" si="69"/>
        <v>08082461008</v>
      </c>
      <c r="E876" t="s">
        <v>52</v>
      </c>
      <c r="F876">
        <v>2014</v>
      </c>
      <c r="G876">
        <v>14118076</v>
      </c>
      <c r="H876" s="1">
        <v>41834</v>
      </c>
      <c r="I876" s="1">
        <v>41843</v>
      </c>
      <c r="J876" s="1">
        <v>41843</v>
      </c>
      <c r="K876" s="1">
        <v>41933</v>
      </c>
      <c r="N876" s="5"/>
      <c r="O876">
        <v>60.67</v>
      </c>
      <c r="P876">
        <v>317</v>
      </c>
      <c r="Q876" s="2">
        <v>19232.39</v>
      </c>
      <c r="R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 s="1">
        <v>42382</v>
      </c>
      <c r="AC876" t="s">
        <v>53</v>
      </c>
      <c r="AD876" t="s">
        <v>53</v>
      </c>
      <c r="AK876">
        <v>0</v>
      </c>
      <c r="AU876" s="6">
        <v>42250</v>
      </c>
      <c r="AV876" s="6">
        <v>42250</v>
      </c>
      <c r="AW876" t="s">
        <v>54</v>
      </c>
      <c r="AX876" t="str">
        <f t="shared" si="67"/>
        <v>FOR</v>
      </c>
      <c r="AY876" t="s">
        <v>55</v>
      </c>
    </row>
    <row r="877" spans="1:51" hidden="1">
      <c r="A877">
        <v>100210</v>
      </c>
      <c r="B877" t="s">
        <v>103</v>
      </c>
      <c r="C877" t="str">
        <f t="shared" si="69"/>
        <v>08082461008</v>
      </c>
      <c r="D877" t="str">
        <f t="shared" si="69"/>
        <v>08082461008</v>
      </c>
      <c r="E877" t="s">
        <v>52</v>
      </c>
      <c r="F877">
        <v>2014</v>
      </c>
      <c r="G877">
        <v>14118246</v>
      </c>
      <c r="H877" s="1">
        <v>41834</v>
      </c>
      <c r="I877" s="1">
        <v>41843</v>
      </c>
      <c r="J877" s="1">
        <v>41843</v>
      </c>
      <c r="K877" s="1">
        <v>41933</v>
      </c>
      <c r="N877" s="5"/>
      <c r="O877" s="2">
        <v>4501.8</v>
      </c>
      <c r="P877">
        <v>317</v>
      </c>
      <c r="Q877" s="2">
        <v>1427070.6</v>
      </c>
      <c r="R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 s="1">
        <v>42382</v>
      </c>
      <c r="AC877" t="s">
        <v>53</v>
      </c>
      <c r="AD877" t="s">
        <v>53</v>
      </c>
      <c r="AK877">
        <v>0</v>
      </c>
      <c r="AU877" s="6">
        <v>42250</v>
      </c>
      <c r="AV877" s="6">
        <v>42250</v>
      </c>
      <c r="AW877" t="s">
        <v>54</v>
      </c>
      <c r="AX877" t="str">
        <f t="shared" si="67"/>
        <v>FOR</v>
      </c>
      <c r="AY877" t="s">
        <v>55</v>
      </c>
    </row>
    <row r="878" spans="1:51" hidden="1">
      <c r="A878">
        <v>100210</v>
      </c>
      <c r="B878" t="s">
        <v>103</v>
      </c>
      <c r="C878" t="str">
        <f t="shared" ref="C878:D897" si="70">"08082461008"</f>
        <v>08082461008</v>
      </c>
      <c r="D878" t="str">
        <f t="shared" si="70"/>
        <v>08082461008</v>
      </c>
      <c r="E878" t="s">
        <v>52</v>
      </c>
      <c r="F878">
        <v>2014</v>
      </c>
      <c r="G878">
        <v>14119014</v>
      </c>
      <c r="H878" s="1">
        <v>41835</v>
      </c>
      <c r="I878" s="1">
        <v>41843</v>
      </c>
      <c r="J878" s="1">
        <v>41843</v>
      </c>
      <c r="K878" s="1">
        <v>41933</v>
      </c>
      <c r="N878" s="5"/>
      <c r="O878">
        <v>719.41</v>
      </c>
      <c r="P878">
        <v>317</v>
      </c>
      <c r="Q878" s="2">
        <v>228052.97</v>
      </c>
      <c r="R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 s="1">
        <v>42382</v>
      </c>
      <c r="AC878" t="s">
        <v>53</v>
      </c>
      <c r="AD878" t="s">
        <v>53</v>
      </c>
      <c r="AK878">
        <v>0</v>
      </c>
      <c r="AU878" s="6">
        <v>42250</v>
      </c>
      <c r="AV878" s="6">
        <v>42250</v>
      </c>
      <c r="AW878" t="s">
        <v>54</v>
      </c>
      <c r="AX878" t="str">
        <f t="shared" si="67"/>
        <v>FOR</v>
      </c>
      <c r="AY878" t="s">
        <v>55</v>
      </c>
    </row>
    <row r="879" spans="1:51" hidden="1">
      <c r="A879">
        <v>100210</v>
      </c>
      <c r="B879" t="s">
        <v>103</v>
      </c>
      <c r="C879" t="str">
        <f t="shared" si="70"/>
        <v>08082461008</v>
      </c>
      <c r="D879" t="str">
        <f t="shared" si="70"/>
        <v>08082461008</v>
      </c>
      <c r="E879" t="s">
        <v>52</v>
      </c>
      <c r="F879">
        <v>2014</v>
      </c>
      <c r="G879">
        <v>14119602</v>
      </c>
      <c r="H879" s="1">
        <v>41836</v>
      </c>
      <c r="I879" s="1">
        <v>41845</v>
      </c>
      <c r="J879" s="1">
        <v>41845</v>
      </c>
      <c r="K879" s="1">
        <v>41935</v>
      </c>
      <c r="N879" s="5"/>
      <c r="O879">
        <v>196.76</v>
      </c>
      <c r="P879">
        <v>315</v>
      </c>
      <c r="Q879" s="2">
        <v>61979.4</v>
      </c>
      <c r="R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 s="1">
        <v>42382</v>
      </c>
      <c r="AC879" t="s">
        <v>53</v>
      </c>
      <c r="AD879" t="s">
        <v>53</v>
      </c>
      <c r="AK879">
        <v>0</v>
      </c>
      <c r="AU879" s="6">
        <v>42250</v>
      </c>
      <c r="AV879" s="6">
        <v>42250</v>
      </c>
      <c r="AW879" t="s">
        <v>54</v>
      </c>
      <c r="AX879" t="str">
        <f t="shared" si="67"/>
        <v>FOR</v>
      </c>
      <c r="AY879" t="s">
        <v>55</v>
      </c>
    </row>
    <row r="880" spans="1:51" hidden="1">
      <c r="A880">
        <v>100210</v>
      </c>
      <c r="B880" t="s">
        <v>103</v>
      </c>
      <c r="C880" t="str">
        <f t="shared" si="70"/>
        <v>08082461008</v>
      </c>
      <c r="D880" t="str">
        <f t="shared" si="70"/>
        <v>08082461008</v>
      </c>
      <c r="E880" t="s">
        <v>52</v>
      </c>
      <c r="F880">
        <v>2014</v>
      </c>
      <c r="G880">
        <v>14121162</v>
      </c>
      <c r="H880" s="1">
        <v>41838</v>
      </c>
      <c r="I880" s="1">
        <v>41852</v>
      </c>
      <c r="J880" s="1">
        <v>41852</v>
      </c>
      <c r="K880" s="1">
        <v>41942</v>
      </c>
      <c r="N880" s="5"/>
      <c r="O880">
        <v>644.79999999999995</v>
      </c>
      <c r="P880">
        <v>308</v>
      </c>
      <c r="Q880" s="2">
        <v>198598.39999999999</v>
      </c>
      <c r="R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 s="1">
        <v>42382</v>
      </c>
      <c r="AC880" t="s">
        <v>53</v>
      </c>
      <c r="AD880" t="s">
        <v>53</v>
      </c>
      <c r="AK880">
        <v>0</v>
      </c>
      <c r="AU880" s="6">
        <v>42250</v>
      </c>
      <c r="AV880" s="6">
        <v>42250</v>
      </c>
      <c r="AW880" t="s">
        <v>54</v>
      </c>
      <c r="AX880" t="str">
        <f t="shared" si="67"/>
        <v>FOR</v>
      </c>
      <c r="AY880" t="s">
        <v>55</v>
      </c>
    </row>
    <row r="881" spans="1:51" hidden="1">
      <c r="A881">
        <v>100210</v>
      </c>
      <c r="B881" t="s">
        <v>103</v>
      </c>
      <c r="C881" t="str">
        <f t="shared" si="70"/>
        <v>08082461008</v>
      </c>
      <c r="D881" t="str">
        <f t="shared" si="70"/>
        <v>08082461008</v>
      </c>
      <c r="E881" t="s">
        <v>52</v>
      </c>
      <c r="F881">
        <v>2014</v>
      </c>
      <c r="G881">
        <v>14121198</v>
      </c>
      <c r="H881" s="1">
        <v>41838</v>
      </c>
      <c r="I881" s="1">
        <v>41852</v>
      </c>
      <c r="J881" s="1">
        <v>41852</v>
      </c>
      <c r="K881" s="1">
        <v>41942</v>
      </c>
      <c r="N881" s="5"/>
      <c r="O881">
        <v>194.48</v>
      </c>
      <c r="P881">
        <v>308</v>
      </c>
      <c r="Q881" s="2">
        <v>59899.839999999997</v>
      </c>
      <c r="R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 s="1">
        <v>42382</v>
      </c>
      <c r="AC881" t="s">
        <v>53</v>
      </c>
      <c r="AD881" t="s">
        <v>53</v>
      </c>
      <c r="AK881">
        <v>0</v>
      </c>
      <c r="AU881" s="6">
        <v>42250</v>
      </c>
      <c r="AV881" s="6">
        <v>42250</v>
      </c>
      <c r="AW881" t="s">
        <v>54</v>
      </c>
      <c r="AX881" t="str">
        <f t="shared" si="67"/>
        <v>FOR</v>
      </c>
      <c r="AY881" t="s">
        <v>55</v>
      </c>
    </row>
    <row r="882" spans="1:51" hidden="1">
      <c r="A882">
        <v>100210</v>
      </c>
      <c r="B882" t="s">
        <v>103</v>
      </c>
      <c r="C882" t="str">
        <f t="shared" si="70"/>
        <v>08082461008</v>
      </c>
      <c r="D882" t="str">
        <f t="shared" si="70"/>
        <v>08082461008</v>
      </c>
      <c r="E882" t="s">
        <v>52</v>
      </c>
      <c r="F882">
        <v>2014</v>
      </c>
      <c r="G882">
        <v>14121199</v>
      </c>
      <c r="H882" s="1">
        <v>41838</v>
      </c>
      <c r="I882" s="1">
        <v>41852</v>
      </c>
      <c r="J882" s="1">
        <v>41852</v>
      </c>
      <c r="K882" s="1">
        <v>41942</v>
      </c>
      <c r="N882" s="5"/>
      <c r="O882">
        <v>114.4</v>
      </c>
      <c r="P882">
        <v>308</v>
      </c>
      <c r="Q882" s="2">
        <v>35235.199999999997</v>
      </c>
      <c r="R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 s="1">
        <v>42382</v>
      </c>
      <c r="AC882" t="s">
        <v>53</v>
      </c>
      <c r="AD882" t="s">
        <v>53</v>
      </c>
      <c r="AK882">
        <v>0</v>
      </c>
      <c r="AU882" s="6">
        <v>42250</v>
      </c>
      <c r="AV882" s="6">
        <v>42250</v>
      </c>
      <c r="AW882" t="s">
        <v>54</v>
      </c>
      <c r="AX882" t="str">
        <f t="shared" si="67"/>
        <v>FOR</v>
      </c>
      <c r="AY882" t="s">
        <v>55</v>
      </c>
    </row>
    <row r="883" spans="1:51" hidden="1">
      <c r="A883">
        <v>100210</v>
      </c>
      <c r="B883" t="s">
        <v>103</v>
      </c>
      <c r="C883" t="str">
        <f t="shared" si="70"/>
        <v>08082461008</v>
      </c>
      <c r="D883" t="str">
        <f t="shared" si="70"/>
        <v>08082461008</v>
      </c>
      <c r="E883" t="s">
        <v>52</v>
      </c>
      <c r="F883">
        <v>2014</v>
      </c>
      <c r="G883">
        <v>14121200</v>
      </c>
      <c r="H883" s="1">
        <v>41838</v>
      </c>
      <c r="I883" s="1">
        <v>41852</v>
      </c>
      <c r="J883" s="1">
        <v>41852</v>
      </c>
      <c r="K883" s="1">
        <v>41942</v>
      </c>
      <c r="N883" s="5"/>
      <c r="O883">
        <v>114.4</v>
      </c>
      <c r="P883">
        <v>308</v>
      </c>
      <c r="Q883" s="2">
        <v>35235.199999999997</v>
      </c>
      <c r="R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 s="1">
        <v>42382</v>
      </c>
      <c r="AC883" t="s">
        <v>53</v>
      </c>
      <c r="AD883" t="s">
        <v>53</v>
      </c>
      <c r="AK883">
        <v>0</v>
      </c>
      <c r="AU883" s="6">
        <v>42250</v>
      </c>
      <c r="AV883" s="6">
        <v>42250</v>
      </c>
      <c r="AW883" t="s">
        <v>54</v>
      </c>
      <c r="AX883" t="str">
        <f t="shared" si="67"/>
        <v>FOR</v>
      </c>
      <c r="AY883" t="s">
        <v>55</v>
      </c>
    </row>
    <row r="884" spans="1:51" hidden="1">
      <c r="A884">
        <v>100210</v>
      </c>
      <c r="B884" t="s">
        <v>103</v>
      </c>
      <c r="C884" t="str">
        <f t="shared" si="70"/>
        <v>08082461008</v>
      </c>
      <c r="D884" t="str">
        <f t="shared" si="70"/>
        <v>08082461008</v>
      </c>
      <c r="E884" t="s">
        <v>52</v>
      </c>
      <c r="F884">
        <v>2014</v>
      </c>
      <c r="G884">
        <v>14121201</v>
      </c>
      <c r="H884" s="1">
        <v>41838</v>
      </c>
      <c r="I884" s="1">
        <v>41852</v>
      </c>
      <c r="J884" s="1">
        <v>41852</v>
      </c>
      <c r="K884" s="1">
        <v>41942</v>
      </c>
      <c r="N884" s="5"/>
      <c r="O884">
        <v>451.88</v>
      </c>
      <c r="P884">
        <v>308</v>
      </c>
      <c r="Q884" s="2">
        <v>139179.04</v>
      </c>
      <c r="R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 s="1">
        <v>42382</v>
      </c>
      <c r="AC884" t="s">
        <v>53</v>
      </c>
      <c r="AD884" t="s">
        <v>53</v>
      </c>
      <c r="AK884">
        <v>0</v>
      </c>
      <c r="AU884" s="6">
        <v>42250</v>
      </c>
      <c r="AV884" s="6">
        <v>42250</v>
      </c>
      <c r="AW884" t="s">
        <v>54</v>
      </c>
      <c r="AX884" t="str">
        <f t="shared" si="67"/>
        <v>FOR</v>
      </c>
      <c r="AY884" t="s">
        <v>55</v>
      </c>
    </row>
    <row r="885" spans="1:51" hidden="1">
      <c r="A885">
        <v>100210</v>
      </c>
      <c r="B885" t="s">
        <v>103</v>
      </c>
      <c r="C885" t="str">
        <f t="shared" si="70"/>
        <v>08082461008</v>
      </c>
      <c r="D885" t="str">
        <f t="shared" si="70"/>
        <v>08082461008</v>
      </c>
      <c r="E885" t="s">
        <v>52</v>
      </c>
      <c r="F885">
        <v>2014</v>
      </c>
      <c r="G885">
        <v>14121204</v>
      </c>
      <c r="H885" s="1">
        <v>41838</v>
      </c>
      <c r="I885" s="1">
        <v>41852</v>
      </c>
      <c r="J885" s="1">
        <v>41852</v>
      </c>
      <c r="K885" s="1">
        <v>41942</v>
      </c>
      <c r="N885" s="5"/>
      <c r="O885">
        <v>451.88</v>
      </c>
      <c r="P885">
        <v>308</v>
      </c>
      <c r="Q885" s="2">
        <v>139179.04</v>
      </c>
      <c r="R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 s="1">
        <v>42382</v>
      </c>
      <c r="AC885" t="s">
        <v>53</v>
      </c>
      <c r="AD885" t="s">
        <v>53</v>
      </c>
      <c r="AK885">
        <v>0</v>
      </c>
      <c r="AU885" s="6">
        <v>42250</v>
      </c>
      <c r="AV885" s="6">
        <v>42250</v>
      </c>
      <c r="AW885" t="s">
        <v>54</v>
      </c>
      <c r="AX885" t="str">
        <f t="shared" si="67"/>
        <v>FOR</v>
      </c>
      <c r="AY885" t="s">
        <v>55</v>
      </c>
    </row>
    <row r="886" spans="1:51" hidden="1">
      <c r="A886">
        <v>100210</v>
      </c>
      <c r="B886" t="s">
        <v>103</v>
      </c>
      <c r="C886" t="str">
        <f t="shared" si="70"/>
        <v>08082461008</v>
      </c>
      <c r="D886" t="str">
        <f t="shared" si="70"/>
        <v>08082461008</v>
      </c>
      <c r="E886" t="s">
        <v>52</v>
      </c>
      <c r="F886">
        <v>2014</v>
      </c>
      <c r="G886">
        <v>14121206</v>
      </c>
      <c r="H886" s="1">
        <v>41838</v>
      </c>
      <c r="I886" s="1">
        <v>41852</v>
      </c>
      <c r="J886" s="1">
        <v>41852</v>
      </c>
      <c r="K886" s="1">
        <v>41942</v>
      </c>
      <c r="N886" s="5"/>
      <c r="O886">
        <v>451.88</v>
      </c>
      <c r="P886">
        <v>308</v>
      </c>
      <c r="Q886" s="2">
        <v>139179.04</v>
      </c>
      <c r="R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 s="1">
        <v>42382</v>
      </c>
      <c r="AC886" t="s">
        <v>53</v>
      </c>
      <c r="AD886" t="s">
        <v>53</v>
      </c>
      <c r="AK886">
        <v>0</v>
      </c>
      <c r="AU886" s="6">
        <v>42250</v>
      </c>
      <c r="AV886" s="6">
        <v>42250</v>
      </c>
      <c r="AW886" t="s">
        <v>54</v>
      </c>
      <c r="AX886" t="str">
        <f t="shared" si="67"/>
        <v>FOR</v>
      </c>
      <c r="AY886" t="s">
        <v>55</v>
      </c>
    </row>
    <row r="887" spans="1:51" hidden="1">
      <c r="A887">
        <v>100210</v>
      </c>
      <c r="B887" t="s">
        <v>103</v>
      </c>
      <c r="C887" t="str">
        <f t="shared" si="70"/>
        <v>08082461008</v>
      </c>
      <c r="D887" t="str">
        <f t="shared" si="70"/>
        <v>08082461008</v>
      </c>
      <c r="E887" t="s">
        <v>52</v>
      </c>
      <c r="F887">
        <v>2014</v>
      </c>
      <c r="G887">
        <v>14121207</v>
      </c>
      <c r="H887" s="1">
        <v>41838</v>
      </c>
      <c r="I887" s="1">
        <v>41852</v>
      </c>
      <c r="J887" s="1">
        <v>41852</v>
      </c>
      <c r="K887" s="1">
        <v>41942</v>
      </c>
      <c r="N887" s="5"/>
      <c r="O887">
        <v>451.88</v>
      </c>
      <c r="P887">
        <v>308</v>
      </c>
      <c r="Q887" s="2">
        <v>139179.04</v>
      </c>
      <c r="R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 s="1">
        <v>42382</v>
      </c>
      <c r="AC887" t="s">
        <v>53</v>
      </c>
      <c r="AD887" t="s">
        <v>53</v>
      </c>
      <c r="AK887">
        <v>0</v>
      </c>
      <c r="AU887" s="6">
        <v>42250</v>
      </c>
      <c r="AV887" s="6">
        <v>42250</v>
      </c>
      <c r="AW887" t="s">
        <v>54</v>
      </c>
      <c r="AX887" t="str">
        <f t="shared" si="67"/>
        <v>FOR</v>
      </c>
      <c r="AY887" t="s">
        <v>55</v>
      </c>
    </row>
    <row r="888" spans="1:51" hidden="1">
      <c r="A888">
        <v>100210</v>
      </c>
      <c r="B888" t="s">
        <v>103</v>
      </c>
      <c r="C888" t="str">
        <f t="shared" si="70"/>
        <v>08082461008</v>
      </c>
      <c r="D888" t="str">
        <f t="shared" si="70"/>
        <v>08082461008</v>
      </c>
      <c r="E888" t="s">
        <v>52</v>
      </c>
      <c r="F888">
        <v>2014</v>
      </c>
      <c r="G888">
        <v>14121208</v>
      </c>
      <c r="H888" s="1">
        <v>41838</v>
      </c>
      <c r="I888" s="1">
        <v>41852</v>
      </c>
      <c r="J888" s="1">
        <v>41852</v>
      </c>
      <c r="K888" s="1">
        <v>41942</v>
      </c>
      <c r="N888" s="5"/>
      <c r="O888">
        <v>45.76</v>
      </c>
      <c r="P888">
        <v>308</v>
      </c>
      <c r="Q888" s="2">
        <v>14094.08</v>
      </c>
      <c r="R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 s="1">
        <v>42382</v>
      </c>
      <c r="AC888" t="s">
        <v>53</v>
      </c>
      <c r="AD888" t="s">
        <v>53</v>
      </c>
      <c r="AK888">
        <v>0</v>
      </c>
      <c r="AU888" s="6">
        <v>42250</v>
      </c>
      <c r="AV888" s="6">
        <v>42250</v>
      </c>
      <c r="AW888" t="s">
        <v>54</v>
      </c>
      <c r="AX888" t="str">
        <f t="shared" si="67"/>
        <v>FOR</v>
      </c>
      <c r="AY888" t="s">
        <v>55</v>
      </c>
    </row>
    <row r="889" spans="1:51" hidden="1">
      <c r="A889">
        <v>100210</v>
      </c>
      <c r="B889" t="s">
        <v>103</v>
      </c>
      <c r="C889" t="str">
        <f t="shared" si="70"/>
        <v>08082461008</v>
      </c>
      <c r="D889" t="str">
        <f t="shared" si="70"/>
        <v>08082461008</v>
      </c>
      <c r="E889" t="s">
        <v>52</v>
      </c>
      <c r="F889">
        <v>2014</v>
      </c>
      <c r="G889">
        <v>14121210</v>
      </c>
      <c r="H889" s="1">
        <v>41838</v>
      </c>
      <c r="I889" s="1">
        <v>41852</v>
      </c>
      <c r="J889" s="1">
        <v>41852</v>
      </c>
      <c r="K889" s="1">
        <v>41942</v>
      </c>
      <c r="N889" s="5"/>
      <c r="O889">
        <v>45.76</v>
      </c>
      <c r="P889">
        <v>308</v>
      </c>
      <c r="Q889" s="2">
        <v>14094.08</v>
      </c>
      <c r="R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 s="1">
        <v>42382</v>
      </c>
      <c r="AC889" t="s">
        <v>53</v>
      </c>
      <c r="AD889" t="s">
        <v>53</v>
      </c>
      <c r="AK889">
        <v>0</v>
      </c>
      <c r="AU889" s="6">
        <v>42250</v>
      </c>
      <c r="AV889" s="6">
        <v>42250</v>
      </c>
      <c r="AW889" t="s">
        <v>54</v>
      </c>
      <c r="AX889" t="str">
        <f t="shared" si="67"/>
        <v>FOR</v>
      </c>
      <c r="AY889" t="s">
        <v>55</v>
      </c>
    </row>
    <row r="890" spans="1:51" hidden="1">
      <c r="A890">
        <v>100210</v>
      </c>
      <c r="B890" t="s">
        <v>103</v>
      </c>
      <c r="C890" t="str">
        <f t="shared" si="70"/>
        <v>08082461008</v>
      </c>
      <c r="D890" t="str">
        <f t="shared" si="70"/>
        <v>08082461008</v>
      </c>
      <c r="E890" t="s">
        <v>52</v>
      </c>
      <c r="F890">
        <v>2014</v>
      </c>
      <c r="G890">
        <v>14121212</v>
      </c>
      <c r="H890" s="1">
        <v>41838</v>
      </c>
      <c r="I890" s="1">
        <v>41852</v>
      </c>
      <c r="J890" s="1">
        <v>41852</v>
      </c>
      <c r="K890" s="1">
        <v>41942</v>
      </c>
      <c r="N890" s="5"/>
      <c r="O890">
        <v>45.76</v>
      </c>
      <c r="P890">
        <v>308</v>
      </c>
      <c r="Q890" s="2">
        <v>14094.08</v>
      </c>
      <c r="R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 s="1">
        <v>42382</v>
      </c>
      <c r="AC890" t="s">
        <v>53</v>
      </c>
      <c r="AD890" t="s">
        <v>53</v>
      </c>
      <c r="AK890">
        <v>0</v>
      </c>
      <c r="AU890" s="6">
        <v>42250</v>
      </c>
      <c r="AV890" s="6">
        <v>42250</v>
      </c>
      <c r="AW890" t="s">
        <v>54</v>
      </c>
      <c r="AX890" t="str">
        <f t="shared" si="67"/>
        <v>FOR</v>
      </c>
      <c r="AY890" t="s">
        <v>55</v>
      </c>
    </row>
    <row r="891" spans="1:51" hidden="1">
      <c r="A891">
        <v>100210</v>
      </c>
      <c r="B891" t="s">
        <v>103</v>
      </c>
      <c r="C891" t="str">
        <f t="shared" si="70"/>
        <v>08082461008</v>
      </c>
      <c r="D891" t="str">
        <f t="shared" si="70"/>
        <v>08082461008</v>
      </c>
      <c r="E891" t="s">
        <v>52</v>
      </c>
      <c r="F891">
        <v>2014</v>
      </c>
      <c r="G891">
        <v>14121214</v>
      </c>
      <c r="H891" s="1">
        <v>41838</v>
      </c>
      <c r="I891" s="1">
        <v>41852</v>
      </c>
      <c r="J891" s="1">
        <v>41852</v>
      </c>
      <c r="K891" s="1">
        <v>41942</v>
      </c>
      <c r="N891" s="5"/>
      <c r="O891">
        <v>45.76</v>
      </c>
      <c r="P891">
        <v>308</v>
      </c>
      <c r="Q891" s="2">
        <v>14094.08</v>
      </c>
      <c r="R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 s="1">
        <v>42382</v>
      </c>
      <c r="AC891" t="s">
        <v>53</v>
      </c>
      <c r="AD891" t="s">
        <v>53</v>
      </c>
      <c r="AK891">
        <v>0</v>
      </c>
      <c r="AU891" s="6">
        <v>42250</v>
      </c>
      <c r="AV891" s="6">
        <v>42250</v>
      </c>
      <c r="AW891" t="s">
        <v>54</v>
      </c>
      <c r="AX891" t="str">
        <f t="shared" si="67"/>
        <v>FOR</v>
      </c>
      <c r="AY891" t="s">
        <v>55</v>
      </c>
    </row>
    <row r="892" spans="1:51" hidden="1">
      <c r="A892">
        <v>100210</v>
      </c>
      <c r="B892" t="s">
        <v>103</v>
      </c>
      <c r="C892" t="str">
        <f t="shared" si="70"/>
        <v>08082461008</v>
      </c>
      <c r="D892" t="str">
        <f t="shared" si="70"/>
        <v>08082461008</v>
      </c>
      <c r="E892" t="s">
        <v>52</v>
      </c>
      <c r="F892">
        <v>2014</v>
      </c>
      <c r="G892">
        <v>14121514</v>
      </c>
      <c r="H892" s="1">
        <v>41838</v>
      </c>
      <c r="I892" s="1">
        <v>41852</v>
      </c>
      <c r="J892" s="1">
        <v>41852</v>
      </c>
      <c r="K892" s="1">
        <v>41942</v>
      </c>
      <c r="N892" s="5"/>
      <c r="O892">
        <v>843.26</v>
      </c>
      <c r="P892">
        <v>308</v>
      </c>
      <c r="Q892" s="2">
        <v>259724.08</v>
      </c>
      <c r="R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 s="1">
        <v>42382</v>
      </c>
      <c r="AC892" t="s">
        <v>53</v>
      </c>
      <c r="AD892" t="s">
        <v>53</v>
      </c>
      <c r="AK892">
        <v>0</v>
      </c>
      <c r="AU892" s="6">
        <v>42250</v>
      </c>
      <c r="AV892" s="6">
        <v>42250</v>
      </c>
      <c r="AW892" t="s">
        <v>54</v>
      </c>
      <c r="AX892" t="str">
        <f t="shared" si="67"/>
        <v>FOR</v>
      </c>
      <c r="AY892" t="s">
        <v>55</v>
      </c>
    </row>
    <row r="893" spans="1:51" hidden="1">
      <c r="A893">
        <v>100210</v>
      </c>
      <c r="B893" t="s">
        <v>103</v>
      </c>
      <c r="C893" t="str">
        <f t="shared" si="70"/>
        <v>08082461008</v>
      </c>
      <c r="D893" t="str">
        <f t="shared" si="70"/>
        <v>08082461008</v>
      </c>
      <c r="E893" t="s">
        <v>52</v>
      </c>
      <c r="F893">
        <v>2014</v>
      </c>
      <c r="G893">
        <v>14121515</v>
      </c>
      <c r="H893" s="1">
        <v>41838</v>
      </c>
      <c r="I893" s="1">
        <v>41852</v>
      </c>
      <c r="J893" s="1">
        <v>41852</v>
      </c>
      <c r="K893" s="1">
        <v>41942</v>
      </c>
      <c r="N893" s="5"/>
      <c r="O893" s="2">
        <v>2691.85</v>
      </c>
      <c r="P893">
        <v>308</v>
      </c>
      <c r="Q893" s="2">
        <v>829089.8</v>
      </c>
      <c r="R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 s="1">
        <v>42382</v>
      </c>
      <c r="AC893" t="s">
        <v>53</v>
      </c>
      <c r="AD893" t="s">
        <v>53</v>
      </c>
      <c r="AK893">
        <v>0</v>
      </c>
      <c r="AU893" s="6">
        <v>42250</v>
      </c>
      <c r="AV893" s="6">
        <v>42250</v>
      </c>
      <c r="AW893" t="s">
        <v>54</v>
      </c>
      <c r="AX893" t="str">
        <f t="shared" si="67"/>
        <v>FOR</v>
      </c>
      <c r="AY893" t="s">
        <v>55</v>
      </c>
    </row>
    <row r="894" spans="1:51" hidden="1">
      <c r="A894">
        <v>100210</v>
      </c>
      <c r="B894" t="s">
        <v>103</v>
      </c>
      <c r="C894" t="str">
        <f t="shared" si="70"/>
        <v>08082461008</v>
      </c>
      <c r="D894" t="str">
        <f t="shared" si="70"/>
        <v>08082461008</v>
      </c>
      <c r="E894" t="s">
        <v>52</v>
      </c>
      <c r="F894">
        <v>2014</v>
      </c>
      <c r="G894">
        <v>14123091</v>
      </c>
      <c r="H894" s="1">
        <v>41842</v>
      </c>
      <c r="I894" s="1">
        <v>41852</v>
      </c>
      <c r="J894" s="1">
        <v>41852</v>
      </c>
      <c r="K894" s="1">
        <v>41942</v>
      </c>
      <c r="N894" s="5"/>
      <c r="O894">
        <v>770.65</v>
      </c>
      <c r="P894">
        <v>308</v>
      </c>
      <c r="Q894" s="2">
        <v>237360.2</v>
      </c>
      <c r="R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 s="1">
        <v>42382</v>
      </c>
      <c r="AC894" t="s">
        <v>53</v>
      </c>
      <c r="AD894" t="s">
        <v>53</v>
      </c>
      <c r="AK894">
        <v>0</v>
      </c>
      <c r="AU894" s="6">
        <v>42250</v>
      </c>
      <c r="AV894" s="6">
        <v>42250</v>
      </c>
      <c r="AW894" t="s">
        <v>54</v>
      </c>
      <c r="AX894" t="str">
        <f t="shared" si="67"/>
        <v>FOR</v>
      </c>
      <c r="AY894" t="s">
        <v>55</v>
      </c>
    </row>
    <row r="895" spans="1:51" hidden="1">
      <c r="A895">
        <v>100210</v>
      </c>
      <c r="B895" t="s">
        <v>103</v>
      </c>
      <c r="C895" t="str">
        <f t="shared" si="70"/>
        <v>08082461008</v>
      </c>
      <c r="D895" t="str">
        <f t="shared" si="70"/>
        <v>08082461008</v>
      </c>
      <c r="E895" t="s">
        <v>52</v>
      </c>
      <c r="F895">
        <v>2014</v>
      </c>
      <c r="G895">
        <v>14123169</v>
      </c>
      <c r="H895" s="1">
        <v>41842</v>
      </c>
      <c r="I895" s="1">
        <v>41852</v>
      </c>
      <c r="J895" s="1">
        <v>41852</v>
      </c>
      <c r="K895" s="1">
        <v>41942</v>
      </c>
      <c r="N895" s="5"/>
      <c r="O895" s="2">
        <v>1508</v>
      </c>
      <c r="P895">
        <v>308</v>
      </c>
      <c r="Q895" s="2">
        <v>464464</v>
      </c>
      <c r="R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 s="1">
        <v>42382</v>
      </c>
      <c r="AC895" t="s">
        <v>53</v>
      </c>
      <c r="AD895" t="s">
        <v>53</v>
      </c>
      <c r="AK895">
        <v>0</v>
      </c>
      <c r="AU895" s="6">
        <v>42250</v>
      </c>
      <c r="AV895" s="6">
        <v>42250</v>
      </c>
      <c r="AW895" t="s">
        <v>54</v>
      </c>
      <c r="AX895" t="str">
        <f t="shared" si="67"/>
        <v>FOR</v>
      </c>
      <c r="AY895" t="s">
        <v>55</v>
      </c>
    </row>
    <row r="896" spans="1:51" hidden="1">
      <c r="A896">
        <v>100210</v>
      </c>
      <c r="B896" t="s">
        <v>103</v>
      </c>
      <c r="C896" t="str">
        <f t="shared" si="70"/>
        <v>08082461008</v>
      </c>
      <c r="D896" t="str">
        <f t="shared" si="70"/>
        <v>08082461008</v>
      </c>
      <c r="E896" t="s">
        <v>52</v>
      </c>
      <c r="F896">
        <v>2014</v>
      </c>
      <c r="G896">
        <v>14123276</v>
      </c>
      <c r="H896" s="1">
        <v>41842</v>
      </c>
      <c r="I896" s="1">
        <v>41852</v>
      </c>
      <c r="J896" s="1">
        <v>41852</v>
      </c>
      <c r="K896" s="1">
        <v>41942</v>
      </c>
      <c r="N896" s="5"/>
      <c r="O896">
        <v>784.41</v>
      </c>
      <c r="P896">
        <v>308</v>
      </c>
      <c r="Q896" s="2">
        <v>241598.28</v>
      </c>
      <c r="R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 s="1">
        <v>42382</v>
      </c>
      <c r="AC896" t="s">
        <v>53</v>
      </c>
      <c r="AD896" t="s">
        <v>53</v>
      </c>
      <c r="AK896">
        <v>0</v>
      </c>
      <c r="AU896" s="6">
        <v>42250</v>
      </c>
      <c r="AV896" s="6">
        <v>42250</v>
      </c>
      <c r="AW896" t="s">
        <v>54</v>
      </c>
      <c r="AX896" t="str">
        <f t="shared" si="67"/>
        <v>FOR</v>
      </c>
      <c r="AY896" t="s">
        <v>55</v>
      </c>
    </row>
    <row r="897" spans="1:51" hidden="1">
      <c r="A897">
        <v>100210</v>
      </c>
      <c r="B897" t="s">
        <v>103</v>
      </c>
      <c r="C897" t="str">
        <f t="shared" si="70"/>
        <v>08082461008</v>
      </c>
      <c r="D897" t="str">
        <f t="shared" si="70"/>
        <v>08082461008</v>
      </c>
      <c r="E897" t="s">
        <v>52</v>
      </c>
      <c r="F897">
        <v>2014</v>
      </c>
      <c r="G897">
        <v>14123283</v>
      </c>
      <c r="H897" s="1">
        <v>41842</v>
      </c>
      <c r="I897" s="1">
        <v>41852</v>
      </c>
      <c r="J897" s="1">
        <v>41852</v>
      </c>
      <c r="K897" s="1">
        <v>41942</v>
      </c>
      <c r="N897" s="5"/>
      <c r="O897" s="2">
        <v>5389.87</v>
      </c>
      <c r="P897">
        <v>308</v>
      </c>
      <c r="Q897" s="2">
        <v>1660079.96</v>
      </c>
      <c r="R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 s="1">
        <v>42382</v>
      </c>
      <c r="AC897" t="s">
        <v>53</v>
      </c>
      <c r="AD897" t="s">
        <v>53</v>
      </c>
      <c r="AK897">
        <v>0</v>
      </c>
      <c r="AU897" s="6">
        <v>42250</v>
      </c>
      <c r="AV897" s="6">
        <v>42250</v>
      </c>
      <c r="AW897" t="s">
        <v>54</v>
      </c>
      <c r="AX897" t="str">
        <f t="shared" si="67"/>
        <v>FOR</v>
      </c>
      <c r="AY897" t="s">
        <v>55</v>
      </c>
    </row>
    <row r="898" spans="1:51" hidden="1">
      <c r="A898">
        <v>100210</v>
      </c>
      <c r="B898" t="s">
        <v>103</v>
      </c>
      <c r="C898" t="str">
        <f t="shared" ref="C898:D917" si="71">"08082461008"</f>
        <v>08082461008</v>
      </c>
      <c r="D898" t="str">
        <f t="shared" si="71"/>
        <v>08082461008</v>
      </c>
      <c r="E898" t="s">
        <v>52</v>
      </c>
      <c r="F898">
        <v>2014</v>
      </c>
      <c r="G898">
        <v>14124757</v>
      </c>
      <c r="H898" s="1">
        <v>41844</v>
      </c>
      <c r="I898" s="1">
        <v>42040</v>
      </c>
      <c r="J898" s="1">
        <v>42040</v>
      </c>
      <c r="K898" s="1">
        <v>42100</v>
      </c>
      <c r="N898" s="5"/>
      <c r="O898">
        <v>610</v>
      </c>
      <c r="P898">
        <v>150</v>
      </c>
      <c r="Q898" s="2">
        <v>91500</v>
      </c>
      <c r="R898">
        <v>0</v>
      </c>
      <c r="V898">
        <v>0</v>
      </c>
      <c r="W898">
        <v>0</v>
      </c>
      <c r="X898">
        <v>0</v>
      </c>
      <c r="Y898">
        <v>0</v>
      </c>
      <c r="Z898">
        <v>610</v>
      </c>
      <c r="AA898">
        <v>0</v>
      </c>
      <c r="AB898" s="1">
        <v>42382</v>
      </c>
      <c r="AC898" t="s">
        <v>53</v>
      </c>
      <c r="AD898" t="s">
        <v>53</v>
      </c>
      <c r="AK898">
        <v>0</v>
      </c>
      <c r="AU898" s="6">
        <v>42250</v>
      </c>
      <c r="AV898" s="6">
        <v>42250</v>
      </c>
      <c r="AW898" t="s">
        <v>54</v>
      </c>
      <c r="AX898" t="str">
        <f t="shared" si="67"/>
        <v>FOR</v>
      </c>
      <c r="AY898" t="s">
        <v>55</v>
      </c>
    </row>
    <row r="899" spans="1:51" hidden="1">
      <c r="A899">
        <v>100210</v>
      </c>
      <c r="B899" t="s">
        <v>103</v>
      </c>
      <c r="C899" t="str">
        <f t="shared" si="71"/>
        <v>08082461008</v>
      </c>
      <c r="D899" t="str">
        <f t="shared" si="71"/>
        <v>08082461008</v>
      </c>
      <c r="E899" t="s">
        <v>52</v>
      </c>
      <c r="F899">
        <v>2014</v>
      </c>
      <c r="G899">
        <v>14125301</v>
      </c>
      <c r="H899" s="1">
        <v>41844</v>
      </c>
      <c r="I899" s="1">
        <v>41872</v>
      </c>
      <c r="J899" s="1">
        <v>41872</v>
      </c>
      <c r="K899" s="1">
        <v>41962</v>
      </c>
      <c r="N899" s="5"/>
      <c r="O899" s="2">
        <v>1528.42</v>
      </c>
      <c r="P899">
        <v>288</v>
      </c>
      <c r="Q899" s="2">
        <v>440184.96</v>
      </c>
      <c r="R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 s="1">
        <v>42382</v>
      </c>
      <c r="AC899" t="s">
        <v>53</v>
      </c>
      <c r="AD899" t="s">
        <v>53</v>
      </c>
      <c r="AK899">
        <v>0</v>
      </c>
      <c r="AU899" s="6">
        <v>42250</v>
      </c>
      <c r="AV899" s="6">
        <v>42250</v>
      </c>
      <c r="AW899" t="s">
        <v>54</v>
      </c>
      <c r="AX899" t="str">
        <f t="shared" ref="AX899:AX962" si="72">"FOR"</f>
        <v>FOR</v>
      </c>
      <c r="AY899" t="s">
        <v>55</v>
      </c>
    </row>
    <row r="900" spans="1:51" hidden="1">
      <c r="A900">
        <v>100210</v>
      </c>
      <c r="B900" t="s">
        <v>103</v>
      </c>
      <c r="C900" t="str">
        <f t="shared" si="71"/>
        <v>08082461008</v>
      </c>
      <c r="D900" t="str">
        <f t="shared" si="71"/>
        <v>08082461008</v>
      </c>
      <c r="E900" t="s">
        <v>52</v>
      </c>
      <c r="F900">
        <v>2014</v>
      </c>
      <c r="G900">
        <v>14125613</v>
      </c>
      <c r="H900" s="1">
        <v>41844</v>
      </c>
      <c r="I900" s="1">
        <v>41872</v>
      </c>
      <c r="J900" s="1">
        <v>41872</v>
      </c>
      <c r="K900" s="1">
        <v>41962</v>
      </c>
      <c r="N900" s="5"/>
      <c r="O900" s="2">
        <v>16982.400000000001</v>
      </c>
      <c r="P900">
        <v>288</v>
      </c>
      <c r="Q900" s="2">
        <v>4890931.2000000002</v>
      </c>
      <c r="R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 s="1">
        <v>42382</v>
      </c>
      <c r="AC900" t="s">
        <v>53</v>
      </c>
      <c r="AD900" t="s">
        <v>53</v>
      </c>
      <c r="AK900">
        <v>0</v>
      </c>
      <c r="AU900" s="6">
        <v>42250</v>
      </c>
      <c r="AV900" s="6">
        <v>42250</v>
      </c>
      <c r="AW900" t="s">
        <v>54</v>
      </c>
      <c r="AX900" t="str">
        <f t="shared" si="72"/>
        <v>FOR</v>
      </c>
      <c r="AY900" t="s">
        <v>55</v>
      </c>
    </row>
    <row r="901" spans="1:51" hidden="1">
      <c r="A901">
        <v>100210</v>
      </c>
      <c r="B901" t="s">
        <v>103</v>
      </c>
      <c r="C901" t="str">
        <f t="shared" si="71"/>
        <v>08082461008</v>
      </c>
      <c r="D901" t="str">
        <f t="shared" si="71"/>
        <v>08082461008</v>
      </c>
      <c r="E901" t="s">
        <v>52</v>
      </c>
      <c r="F901">
        <v>2014</v>
      </c>
      <c r="G901">
        <v>14128251</v>
      </c>
      <c r="H901" s="1">
        <v>41849</v>
      </c>
      <c r="I901" s="1">
        <v>41873</v>
      </c>
      <c r="J901" s="1">
        <v>41873</v>
      </c>
      <c r="K901" s="1">
        <v>41963</v>
      </c>
      <c r="N901" s="5"/>
      <c r="O901" s="2">
        <v>6901.44</v>
      </c>
      <c r="P901">
        <v>287</v>
      </c>
      <c r="Q901" s="2">
        <v>1980713.28</v>
      </c>
      <c r="R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 s="1">
        <v>42382</v>
      </c>
      <c r="AC901" t="s">
        <v>53</v>
      </c>
      <c r="AD901" t="s">
        <v>53</v>
      </c>
      <c r="AK901">
        <v>0</v>
      </c>
      <c r="AU901" s="6">
        <v>42250</v>
      </c>
      <c r="AV901" s="6">
        <v>42250</v>
      </c>
      <c r="AW901" t="s">
        <v>54</v>
      </c>
      <c r="AX901" t="str">
        <f t="shared" si="72"/>
        <v>FOR</v>
      </c>
      <c r="AY901" t="s">
        <v>55</v>
      </c>
    </row>
    <row r="902" spans="1:51" hidden="1">
      <c r="A902">
        <v>100210</v>
      </c>
      <c r="B902" t="s">
        <v>103</v>
      </c>
      <c r="C902" t="str">
        <f t="shared" si="71"/>
        <v>08082461008</v>
      </c>
      <c r="D902" t="str">
        <f t="shared" si="71"/>
        <v>08082461008</v>
      </c>
      <c r="E902" t="s">
        <v>52</v>
      </c>
      <c r="F902">
        <v>2014</v>
      </c>
      <c r="G902">
        <v>14128253</v>
      </c>
      <c r="H902" s="1">
        <v>41849</v>
      </c>
      <c r="I902" s="1">
        <v>41873</v>
      </c>
      <c r="J902" s="1">
        <v>41873</v>
      </c>
      <c r="K902" s="1">
        <v>41963</v>
      </c>
      <c r="N902" s="5"/>
      <c r="O902" s="2">
        <v>4721.3999999999996</v>
      </c>
      <c r="P902">
        <v>287</v>
      </c>
      <c r="Q902" s="2">
        <v>1355041.8</v>
      </c>
      <c r="R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 s="1">
        <v>42382</v>
      </c>
      <c r="AC902" t="s">
        <v>53</v>
      </c>
      <c r="AD902" t="s">
        <v>53</v>
      </c>
      <c r="AK902">
        <v>0</v>
      </c>
      <c r="AU902" s="6">
        <v>42250</v>
      </c>
      <c r="AV902" s="6">
        <v>42250</v>
      </c>
      <c r="AW902" t="s">
        <v>54</v>
      </c>
      <c r="AX902" t="str">
        <f t="shared" si="72"/>
        <v>FOR</v>
      </c>
      <c r="AY902" t="s">
        <v>55</v>
      </c>
    </row>
    <row r="903" spans="1:51" hidden="1">
      <c r="A903">
        <v>100210</v>
      </c>
      <c r="B903" t="s">
        <v>103</v>
      </c>
      <c r="C903" t="str">
        <f t="shared" si="71"/>
        <v>08082461008</v>
      </c>
      <c r="D903" t="str">
        <f t="shared" si="71"/>
        <v>08082461008</v>
      </c>
      <c r="E903" t="s">
        <v>52</v>
      </c>
      <c r="F903">
        <v>2014</v>
      </c>
      <c r="G903">
        <v>14128257</v>
      </c>
      <c r="H903" s="1">
        <v>41849</v>
      </c>
      <c r="I903" s="1">
        <v>41873</v>
      </c>
      <c r="J903" s="1">
        <v>41873</v>
      </c>
      <c r="K903" s="1">
        <v>41963</v>
      </c>
      <c r="N903" s="5"/>
      <c r="O903" s="2">
        <v>12230.99</v>
      </c>
      <c r="P903">
        <v>287</v>
      </c>
      <c r="Q903" s="2">
        <v>3510294.13</v>
      </c>
      <c r="R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 s="1">
        <v>42382</v>
      </c>
      <c r="AC903" t="s">
        <v>53</v>
      </c>
      <c r="AD903" t="s">
        <v>53</v>
      </c>
      <c r="AK903">
        <v>0</v>
      </c>
      <c r="AU903" s="6">
        <v>42250</v>
      </c>
      <c r="AV903" s="6">
        <v>42250</v>
      </c>
      <c r="AW903" t="s">
        <v>54</v>
      </c>
      <c r="AX903" t="str">
        <f t="shared" si="72"/>
        <v>FOR</v>
      </c>
      <c r="AY903" t="s">
        <v>55</v>
      </c>
    </row>
    <row r="904" spans="1:51" hidden="1">
      <c r="A904">
        <v>100210</v>
      </c>
      <c r="B904" t="s">
        <v>103</v>
      </c>
      <c r="C904" t="str">
        <f t="shared" si="71"/>
        <v>08082461008</v>
      </c>
      <c r="D904" t="str">
        <f t="shared" si="71"/>
        <v>08082461008</v>
      </c>
      <c r="E904" t="s">
        <v>52</v>
      </c>
      <c r="F904">
        <v>2014</v>
      </c>
      <c r="G904">
        <v>14129622</v>
      </c>
      <c r="H904" s="1">
        <v>41851</v>
      </c>
      <c r="I904" s="1">
        <v>41873</v>
      </c>
      <c r="J904" s="1">
        <v>41873</v>
      </c>
      <c r="K904" s="1">
        <v>41963</v>
      </c>
      <c r="N904" s="5"/>
      <c r="O904" s="2">
        <v>12524.52</v>
      </c>
      <c r="P904">
        <v>287</v>
      </c>
      <c r="Q904" s="2">
        <v>3594537.24</v>
      </c>
      <c r="R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 s="1">
        <v>42382</v>
      </c>
      <c r="AC904" t="s">
        <v>53</v>
      </c>
      <c r="AD904" t="s">
        <v>53</v>
      </c>
      <c r="AK904">
        <v>0</v>
      </c>
      <c r="AU904" s="6">
        <v>42250</v>
      </c>
      <c r="AV904" s="6">
        <v>42250</v>
      </c>
      <c r="AW904" t="s">
        <v>54</v>
      </c>
      <c r="AX904" t="str">
        <f t="shared" si="72"/>
        <v>FOR</v>
      </c>
      <c r="AY904" t="s">
        <v>55</v>
      </c>
    </row>
    <row r="905" spans="1:51" hidden="1">
      <c r="A905">
        <v>100210</v>
      </c>
      <c r="B905" t="s">
        <v>103</v>
      </c>
      <c r="C905" t="str">
        <f t="shared" si="71"/>
        <v>08082461008</v>
      </c>
      <c r="D905" t="str">
        <f t="shared" si="71"/>
        <v>08082461008</v>
      </c>
      <c r="E905" t="s">
        <v>52</v>
      </c>
      <c r="F905">
        <v>2014</v>
      </c>
      <c r="G905">
        <v>14129886</v>
      </c>
      <c r="H905" s="1">
        <v>41852</v>
      </c>
      <c r="I905" s="1">
        <v>41876</v>
      </c>
      <c r="J905" s="1">
        <v>41876</v>
      </c>
      <c r="K905" s="1">
        <v>41966</v>
      </c>
      <c r="N905" s="5"/>
      <c r="O905">
        <v>644.79999999999995</v>
      </c>
      <c r="P905">
        <v>284</v>
      </c>
      <c r="Q905" s="2">
        <v>183123.20000000001</v>
      </c>
      <c r="R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 s="1">
        <v>42382</v>
      </c>
      <c r="AC905" t="s">
        <v>53</v>
      </c>
      <c r="AD905" t="s">
        <v>53</v>
      </c>
      <c r="AK905">
        <v>0</v>
      </c>
      <c r="AU905" s="6">
        <v>42250</v>
      </c>
      <c r="AV905" s="6">
        <v>42250</v>
      </c>
      <c r="AW905" t="s">
        <v>54</v>
      </c>
      <c r="AX905" t="str">
        <f t="shared" si="72"/>
        <v>FOR</v>
      </c>
      <c r="AY905" t="s">
        <v>55</v>
      </c>
    </row>
    <row r="906" spans="1:51" hidden="1">
      <c r="A906">
        <v>100210</v>
      </c>
      <c r="B906" t="s">
        <v>103</v>
      </c>
      <c r="C906" t="str">
        <f t="shared" si="71"/>
        <v>08082461008</v>
      </c>
      <c r="D906" t="str">
        <f t="shared" si="71"/>
        <v>08082461008</v>
      </c>
      <c r="E906" t="s">
        <v>52</v>
      </c>
      <c r="F906">
        <v>2014</v>
      </c>
      <c r="G906">
        <v>14135646</v>
      </c>
      <c r="H906" s="1">
        <v>41871</v>
      </c>
      <c r="I906" s="1">
        <v>41879</v>
      </c>
      <c r="J906" s="1">
        <v>41879</v>
      </c>
      <c r="K906" s="1">
        <v>41969</v>
      </c>
      <c r="N906" s="5"/>
      <c r="O906" s="2">
        <v>14932.8</v>
      </c>
      <c r="P906">
        <v>281</v>
      </c>
      <c r="Q906" s="2">
        <v>4196116.8</v>
      </c>
      <c r="R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 s="1">
        <v>42382</v>
      </c>
      <c r="AC906" t="s">
        <v>53</v>
      </c>
      <c r="AD906" t="s">
        <v>53</v>
      </c>
      <c r="AK906">
        <v>0</v>
      </c>
      <c r="AU906" s="6">
        <v>42250</v>
      </c>
      <c r="AV906" s="6">
        <v>42250</v>
      </c>
      <c r="AW906" t="s">
        <v>54</v>
      </c>
      <c r="AX906" t="str">
        <f t="shared" si="72"/>
        <v>FOR</v>
      </c>
      <c r="AY906" t="s">
        <v>55</v>
      </c>
    </row>
    <row r="907" spans="1:51" hidden="1">
      <c r="A907">
        <v>100210</v>
      </c>
      <c r="B907" t="s">
        <v>103</v>
      </c>
      <c r="C907" t="str">
        <f t="shared" si="71"/>
        <v>08082461008</v>
      </c>
      <c r="D907" t="str">
        <f t="shared" si="71"/>
        <v>08082461008</v>
      </c>
      <c r="E907" t="s">
        <v>52</v>
      </c>
      <c r="F907">
        <v>2014</v>
      </c>
      <c r="G907">
        <v>14135838</v>
      </c>
      <c r="H907" s="1">
        <v>41872</v>
      </c>
      <c r="I907" s="1">
        <v>42040</v>
      </c>
      <c r="J907" s="1">
        <v>42040</v>
      </c>
      <c r="K907" s="1">
        <v>42100</v>
      </c>
      <c r="N907" s="5"/>
      <c r="O907">
        <v>610</v>
      </c>
      <c r="P907">
        <v>150</v>
      </c>
      <c r="Q907" s="2">
        <v>91500</v>
      </c>
      <c r="R907">
        <v>0</v>
      </c>
      <c r="V907">
        <v>0</v>
      </c>
      <c r="W907">
        <v>0</v>
      </c>
      <c r="X907">
        <v>0</v>
      </c>
      <c r="Y907">
        <v>0</v>
      </c>
      <c r="Z907">
        <v>610</v>
      </c>
      <c r="AA907">
        <v>0</v>
      </c>
      <c r="AB907" s="1">
        <v>42382</v>
      </c>
      <c r="AC907" t="s">
        <v>53</v>
      </c>
      <c r="AD907" t="s">
        <v>53</v>
      </c>
      <c r="AK907">
        <v>0</v>
      </c>
      <c r="AU907" s="6">
        <v>42250</v>
      </c>
      <c r="AV907" s="6">
        <v>42250</v>
      </c>
      <c r="AW907" t="s">
        <v>54</v>
      </c>
      <c r="AX907" t="str">
        <f t="shared" si="72"/>
        <v>FOR</v>
      </c>
      <c r="AY907" t="s">
        <v>55</v>
      </c>
    </row>
    <row r="908" spans="1:51" hidden="1">
      <c r="A908">
        <v>100210</v>
      </c>
      <c r="B908" t="s">
        <v>103</v>
      </c>
      <c r="C908" t="str">
        <f t="shared" si="71"/>
        <v>08082461008</v>
      </c>
      <c r="D908" t="str">
        <f t="shared" si="71"/>
        <v>08082461008</v>
      </c>
      <c r="E908" t="s">
        <v>52</v>
      </c>
      <c r="F908">
        <v>2014</v>
      </c>
      <c r="G908">
        <v>14136231</v>
      </c>
      <c r="H908" s="1">
        <v>41872</v>
      </c>
      <c r="I908" s="1">
        <v>41883</v>
      </c>
      <c r="J908" s="1">
        <v>41883</v>
      </c>
      <c r="K908" s="1">
        <v>41973</v>
      </c>
      <c r="N908" s="5"/>
      <c r="O908">
        <v>368.7</v>
      </c>
      <c r="P908">
        <v>277</v>
      </c>
      <c r="Q908" s="2">
        <v>102129.9</v>
      </c>
      <c r="R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 s="1">
        <v>42382</v>
      </c>
      <c r="AC908" t="s">
        <v>53</v>
      </c>
      <c r="AD908" t="s">
        <v>53</v>
      </c>
      <c r="AK908">
        <v>0</v>
      </c>
      <c r="AU908" s="6">
        <v>42250</v>
      </c>
      <c r="AV908" s="6">
        <v>42250</v>
      </c>
      <c r="AW908" t="s">
        <v>54</v>
      </c>
      <c r="AX908" t="str">
        <f t="shared" si="72"/>
        <v>FOR</v>
      </c>
      <c r="AY908" t="s">
        <v>55</v>
      </c>
    </row>
    <row r="909" spans="1:51" hidden="1">
      <c r="A909">
        <v>100210</v>
      </c>
      <c r="B909" t="s">
        <v>103</v>
      </c>
      <c r="C909" t="str">
        <f t="shared" si="71"/>
        <v>08082461008</v>
      </c>
      <c r="D909" t="str">
        <f t="shared" si="71"/>
        <v>08082461008</v>
      </c>
      <c r="E909" t="s">
        <v>52</v>
      </c>
      <c r="F909">
        <v>2014</v>
      </c>
      <c r="G909">
        <v>14136846</v>
      </c>
      <c r="H909" s="1">
        <v>41876</v>
      </c>
      <c r="I909" s="1">
        <v>41886</v>
      </c>
      <c r="J909" s="1">
        <v>41886</v>
      </c>
      <c r="K909" s="1">
        <v>41976</v>
      </c>
      <c r="N909" s="5"/>
      <c r="O909">
        <v>732</v>
      </c>
      <c r="P909">
        <v>274</v>
      </c>
      <c r="Q909" s="2">
        <v>200568</v>
      </c>
      <c r="R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 s="1">
        <v>42382</v>
      </c>
      <c r="AC909" t="s">
        <v>53</v>
      </c>
      <c r="AD909" t="s">
        <v>53</v>
      </c>
      <c r="AK909">
        <v>0</v>
      </c>
      <c r="AU909" s="6">
        <v>42250</v>
      </c>
      <c r="AV909" s="6">
        <v>42250</v>
      </c>
      <c r="AW909" t="s">
        <v>54</v>
      </c>
      <c r="AX909" t="str">
        <f t="shared" si="72"/>
        <v>FOR</v>
      </c>
      <c r="AY909" t="s">
        <v>55</v>
      </c>
    </row>
    <row r="910" spans="1:51" hidden="1">
      <c r="A910">
        <v>100210</v>
      </c>
      <c r="B910" t="s">
        <v>103</v>
      </c>
      <c r="C910" t="str">
        <f t="shared" si="71"/>
        <v>08082461008</v>
      </c>
      <c r="D910" t="str">
        <f t="shared" si="71"/>
        <v>08082461008</v>
      </c>
      <c r="E910" t="s">
        <v>52</v>
      </c>
      <c r="F910">
        <v>2014</v>
      </c>
      <c r="G910">
        <v>14137716</v>
      </c>
      <c r="H910" s="1">
        <v>41878</v>
      </c>
      <c r="I910" s="1">
        <v>41890</v>
      </c>
      <c r="J910" s="1">
        <v>41890</v>
      </c>
      <c r="K910" s="1">
        <v>41980</v>
      </c>
      <c r="N910" s="5"/>
      <c r="O910" s="2">
        <v>6763.68</v>
      </c>
      <c r="P910">
        <v>270</v>
      </c>
      <c r="Q910" s="2">
        <v>1826193.6</v>
      </c>
      <c r="R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 s="1">
        <v>42382</v>
      </c>
      <c r="AC910" t="s">
        <v>53</v>
      </c>
      <c r="AD910" t="s">
        <v>53</v>
      </c>
      <c r="AK910">
        <v>0</v>
      </c>
      <c r="AU910" s="6">
        <v>42250</v>
      </c>
      <c r="AV910" s="6">
        <v>42250</v>
      </c>
      <c r="AW910" t="s">
        <v>54</v>
      </c>
      <c r="AX910" t="str">
        <f t="shared" si="72"/>
        <v>FOR</v>
      </c>
      <c r="AY910" t="s">
        <v>55</v>
      </c>
    </row>
    <row r="911" spans="1:51" hidden="1">
      <c r="A911">
        <v>100210</v>
      </c>
      <c r="B911" t="s">
        <v>103</v>
      </c>
      <c r="C911" t="str">
        <f t="shared" si="71"/>
        <v>08082461008</v>
      </c>
      <c r="D911" t="str">
        <f t="shared" si="71"/>
        <v>08082461008</v>
      </c>
      <c r="E911" t="s">
        <v>52</v>
      </c>
      <c r="F911">
        <v>2014</v>
      </c>
      <c r="G911">
        <v>14139013</v>
      </c>
      <c r="H911" s="1">
        <v>41883</v>
      </c>
      <c r="I911" s="1">
        <v>41892</v>
      </c>
      <c r="J911" s="1">
        <v>41892</v>
      </c>
      <c r="K911" s="1">
        <v>41982</v>
      </c>
      <c r="N911" s="5"/>
      <c r="O911">
        <v>252.98</v>
      </c>
      <c r="P911">
        <v>268</v>
      </c>
      <c r="Q911" s="2">
        <v>67798.64</v>
      </c>
      <c r="R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 s="1">
        <v>42382</v>
      </c>
      <c r="AC911" t="s">
        <v>53</v>
      </c>
      <c r="AD911" t="s">
        <v>53</v>
      </c>
      <c r="AK911">
        <v>0</v>
      </c>
      <c r="AU911" s="6">
        <v>42250</v>
      </c>
      <c r="AV911" s="6">
        <v>42250</v>
      </c>
      <c r="AW911" t="s">
        <v>54</v>
      </c>
      <c r="AX911" t="str">
        <f t="shared" si="72"/>
        <v>FOR</v>
      </c>
      <c r="AY911" t="s">
        <v>55</v>
      </c>
    </row>
    <row r="912" spans="1:51" hidden="1">
      <c r="A912">
        <v>100210</v>
      </c>
      <c r="B912" t="s">
        <v>103</v>
      </c>
      <c r="C912" t="str">
        <f t="shared" si="71"/>
        <v>08082461008</v>
      </c>
      <c r="D912" t="str">
        <f t="shared" si="71"/>
        <v>08082461008</v>
      </c>
      <c r="E912" t="s">
        <v>52</v>
      </c>
      <c r="F912">
        <v>2014</v>
      </c>
      <c r="G912">
        <v>14139132</v>
      </c>
      <c r="H912" s="1">
        <v>41883</v>
      </c>
      <c r="I912" s="1">
        <v>41892</v>
      </c>
      <c r="J912" s="1">
        <v>41892</v>
      </c>
      <c r="K912" s="1">
        <v>41982</v>
      </c>
      <c r="N912" s="5"/>
      <c r="O912" s="2">
        <v>28897.91</v>
      </c>
      <c r="P912">
        <v>268</v>
      </c>
      <c r="Q912" s="2">
        <v>7744639.8799999999</v>
      </c>
      <c r="R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 s="1">
        <v>42382</v>
      </c>
      <c r="AC912" t="s">
        <v>53</v>
      </c>
      <c r="AD912" t="s">
        <v>53</v>
      </c>
      <c r="AK912">
        <v>0</v>
      </c>
      <c r="AU912" s="6">
        <v>42250</v>
      </c>
      <c r="AV912" s="6">
        <v>42250</v>
      </c>
      <c r="AW912" t="s">
        <v>54</v>
      </c>
      <c r="AX912" t="str">
        <f t="shared" si="72"/>
        <v>FOR</v>
      </c>
      <c r="AY912" t="s">
        <v>55</v>
      </c>
    </row>
    <row r="913" spans="1:51" hidden="1">
      <c r="A913">
        <v>100210</v>
      </c>
      <c r="B913" t="s">
        <v>103</v>
      </c>
      <c r="C913" t="str">
        <f t="shared" si="71"/>
        <v>08082461008</v>
      </c>
      <c r="D913" t="str">
        <f t="shared" si="71"/>
        <v>08082461008</v>
      </c>
      <c r="E913" t="s">
        <v>52</v>
      </c>
      <c r="F913">
        <v>2014</v>
      </c>
      <c r="G913">
        <v>14139219</v>
      </c>
      <c r="H913" s="1">
        <v>41884</v>
      </c>
      <c r="I913" s="1">
        <v>41892</v>
      </c>
      <c r="J913" s="1">
        <v>41892</v>
      </c>
      <c r="K913" s="1">
        <v>41982</v>
      </c>
      <c r="N913" s="5"/>
      <c r="O913">
        <v>385.32</v>
      </c>
      <c r="P913">
        <v>268</v>
      </c>
      <c r="Q913" s="2">
        <v>103265.76</v>
      </c>
      <c r="R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 s="1">
        <v>42382</v>
      </c>
      <c r="AC913" t="s">
        <v>53</v>
      </c>
      <c r="AD913" t="s">
        <v>53</v>
      </c>
      <c r="AK913">
        <v>0</v>
      </c>
      <c r="AU913" s="6">
        <v>42250</v>
      </c>
      <c r="AV913" s="6">
        <v>42250</v>
      </c>
      <c r="AW913" t="s">
        <v>54</v>
      </c>
      <c r="AX913" t="str">
        <f t="shared" si="72"/>
        <v>FOR</v>
      </c>
      <c r="AY913" t="s">
        <v>55</v>
      </c>
    </row>
    <row r="914" spans="1:51" hidden="1">
      <c r="A914">
        <v>100210</v>
      </c>
      <c r="B914" t="s">
        <v>103</v>
      </c>
      <c r="C914" t="str">
        <f t="shared" si="71"/>
        <v>08082461008</v>
      </c>
      <c r="D914" t="str">
        <f t="shared" si="71"/>
        <v>08082461008</v>
      </c>
      <c r="E914" t="s">
        <v>52</v>
      </c>
      <c r="F914">
        <v>2014</v>
      </c>
      <c r="G914">
        <v>14139291</v>
      </c>
      <c r="H914" s="1">
        <v>41884</v>
      </c>
      <c r="I914" s="1">
        <v>41892</v>
      </c>
      <c r="J914" s="1">
        <v>41892</v>
      </c>
      <c r="K914" s="1">
        <v>41982</v>
      </c>
      <c r="N914" s="5"/>
      <c r="O914">
        <v>292.8</v>
      </c>
      <c r="P914">
        <v>268</v>
      </c>
      <c r="Q914" s="2">
        <v>78470.399999999994</v>
      </c>
      <c r="R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 s="1">
        <v>42382</v>
      </c>
      <c r="AC914" t="s">
        <v>53</v>
      </c>
      <c r="AD914" t="s">
        <v>53</v>
      </c>
      <c r="AK914">
        <v>0</v>
      </c>
      <c r="AU914" s="6">
        <v>42250</v>
      </c>
      <c r="AV914" s="6">
        <v>42250</v>
      </c>
      <c r="AW914" t="s">
        <v>54</v>
      </c>
      <c r="AX914" t="str">
        <f t="shared" si="72"/>
        <v>FOR</v>
      </c>
      <c r="AY914" t="s">
        <v>55</v>
      </c>
    </row>
    <row r="915" spans="1:51" hidden="1">
      <c r="A915">
        <v>100210</v>
      </c>
      <c r="B915" t="s">
        <v>103</v>
      </c>
      <c r="C915" t="str">
        <f t="shared" si="71"/>
        <v>08082461008</v>
      </c>
      <c r="D915" t="str">
        <f t="shared" si="71"/>
        <v>08082461008</v>
      </c>
      <c r="E915" t="s">
        <v>52</v>
      </c>
      <c r="F915">
        <v>2014</v>
      </c>
      <c r="G915">
        <v>14139519</v>
      </c>
      <c r="H915" s="1">
        <v>41884</v>
      </c>
      <c r="I915" s="1">
        <v>41892</v>
      </c>
      <c r="J915" s="1">
        <v>41892</v>
      </c>
      <c r="K915" s="1">
        <v>41982</v>
      </c>
      <c r="N915" s="5"/>
      <c r="O915" s="2">
        <v>3228.12</v>
      </c>
      <c r="P915">
        <v>268</v>
      </c>
      <c r="Q915" s="2">
        <v>865136.16</v>
      </c>
      <c r="R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 s="1">
        <v>42382</v>
      </c>
      <c r="AC915" t="s">
        <v>53</v>
      </c>
      <c r="AD915" t="s">
        <v>53</v>
      </c>
      <c r="AK915">
        <v>0</v>
      </c>
      <c r="AU915" s="6">
        <v>42250</v>
      </c>
      <c r="AV915" s="6">
        <v>42250</v>
      </c>
      <c r="AW915" t="s">
        <v>54</v>
      </c>
      <c r="AX915" t="str">
        <f t="shared" si="72"/>
        <v>FOR</v>
      </c>
      <c r="AY915" t="s">
        <v>55</v>
      </c>
    </row>
    <row r="916" spans="1:51" hidden="1">
      <c r="A916">
        <v>100210</v>
      </c>
      <c r="B916" t="s">
        <v>103</v>
      </c>
      <c r="C916" t="str">
        <f t="shared" si="71"/>
        <v>08082461008</v>
      </c>
      <c r="D916" t="str">
        <f t="shared" si="71"/>
        <v>08082461008</v>
      </c>
      <c r="E916" t="s">
        <v>52</v>
      </c>
      <c r="F916">
        <v>2014</v>
      </c>
      <c r="G916">
        <v>14143693</v>
      </c>
      <c r="H916" s="1">
        <v>41893</v>
      </c>
      <c r="I916" s="1">
        <v>41904</v>
      </c>
      <c r="J916" s="1">
        <v>41904</v>
      </c>
      <c r="K916" s="1">
        <v>41994</v>
      </c>
      <c r="N916" s="5"/>
      <c r="O916" s="2">
        <v>9672</v>
      </c>
      <c r="P916">
        <v>256</v>
      </c>
      <c r="Q916" s="2">
        <v>2476032</v>
      </c>
      <c r="R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 s="1">
        <v>42382</v>
      </c>
      <c r="AC916" t="s">
        <v>53</v>
      </c>
      <c r="AD916" t="s">
        <v>53</v>
      </c>
      <c r="AK916">
        <v>0</v>
      </c>
      <c r="AU916" s="6">
        <v>42250</v>
      </c>
      <c r="AV916" s="6">
        <v>42250</v>
      </c>
      <c r="AW916" t="s">
        <v>54</v>
      </c>
      <c r="AX916" t="str">
        <f t="shared" si="72"/>
        <v>FOR</v>
      </c>
      <c r="AY916" t="s">
        <v>55</v>
      </c>
    </row>
    <row r="917" spans="1:51" hidden="1">
      <c r="A917">
        <v>100210</v>
      </c>
      <c r="B917" t="s">
        <v>103</v>
      </c>
      <c r="C917" t="str">
        <f t="shared" si="71"/>
        <v>08082461008</v>
      </c>
      <c r="D917" t="str">
        <f t="shared" si="71"/>
        <v>08082461008</v>
      </c>
      <c r="E917" t="s">
        <v>52</v>
      </c>
      <c r="F917">
        <v>2014</v>
      </c>
      <c r="G917">
        <v>14144841</v>
      </c>
      <c r="H917" s="1">
        <v>41897</v>
      </c>
      <c r="I917" s="1">
        <v>41915</v>
      </c>
      <c r="J917" s="1">
        <v>41915</v>
      </c>
      <c r="K917" s="1">
        <v>42005</v>
      </c>
      <c r="N917" s="5"/>
      <c r="O917">
        <v>644.79999999999995</v>
      </c>
      <c r="P917">
        <v>245</v>
      </c>
      <c r="Q917" s="2">
        <v>157976</v>
      </c>
      <c r="R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 s="1">
        <v>42382</v>
      </c>
      <c r="AC917" t="s">
        <v>53</v>
      </c>
      <c r="AD917" t="s">
        <v>53</v>
      </c>
      <c r="AK917">
        <v>0</v>
      </c>
      <c r="AU917" s="6">
        <v>42250</v>
      </c>
      <c r="AV917" s="6">
        <v>42250</v>
      </c>
      <c r="AW917" t="s">
        <v>54</v>
      </c>
      <c r="AX917" t="str">
        <f t="shared" si="72"/>
        <v>FOR</v>
      </c>
      <c r="AY917" t="s">
        <v>55</v>
      </c>
    </row>
    <row r="918" spans="1:51" hidden="1">
      <c r="A918">
        <v>100210</v>
      </c>
      <c r="B918" t="s">
        <v>103</v>
      </c>
      <c r="C918" t="str">
        <f t="shared" ref="C918:D937" si="73">"08082461008"</f>
        <v>08082461008</v>
      </c>
      <c r="D918" t="str">
        <f t="shared" si="73"/>
        <v>08082461008</v>
      </c>
      <c r="E918" t="s">
        <v>52</v>
      </c>
      <c r="F918">
        <v>2014</v>
      </c>
      <c r="G918">
        <v>14145325</v>
      </c>
      <c r="H918" s="1">
        <v>41897</v>
      </c>
      <c r="I918" s="1">
        <v>41915</v>
      </c>
      <c r="J918" s="1">
        <v>41915</v>
      </c>
      <c r="K918" s="1">
        <v>42005</v>
      </c>
      <c r="N918" s="5"/>
      <c r="O918" s="2">
        <v>1195.06</v>
      </c>
      <c r="P918">
        <v>245</v>
      </c>
      <c r="Q918" s="2">
        <v>292789.7</v>
      </c>
      <c r="R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 s="1">
        <v>42382</v>
      </c>
      <c r="AC918" t="s">
        <v>53</v>
      </c>
      <c r="AD918" t="s">
        <v>53</v>
      </c>
      <c r="AK918">
        <v>0</v>
      </c>
      <c r="AU918" s="6">
        <v>42250</v>
      </c>
      <c r="AV918" s="6">
        <v>42250</v>
      </c>
      <c r="AW918" t="s">
        <v>54</v>
      </c>
      <c r="AX918" t="str">
        <f t="shared" si="72"/>
        <v>FOR</v>
      </c>
      <c r="AY918" t="s">
        <v>55</v>
      </c>
    </row>
    <row r="919" spans="1:51" hidden="1">
      <c r="A919">
        <v>100210</v>
      </c>
      <c r="B919" t="s">
        <v>103</v>
      </c>
      <c r="C919" t="str">
        <f t="shared" si="73"/>
        <v>08082461008</v>
      </c>
      <c r="D919" t="str">
        <f t="shared" si="73"/>
        <v>08082461008</v>
      </c>
      <c r="E919" t="s">
        <v>52</v>
      </c>
      <c r="F919">
        <v>2014</v>
      </c>
      <c r="G919">
        <v>14145603</v>
      </c>
      <c r="H919" s="1">
        <v>41898</v>
      </c>
      <c r="I919" s="1">
        <v>41915</v>
      </c>
      <c r="J919" s="1">
        <v>41915</v>
      </c>
      <c r="K919" s="1">
        <v>42005</v>
      </c>
      <c r="N919" s="5"/>
      <c r="O919">
        <v>644.79999999999995</v>
      </c>
      <c r="P919">
        <v>245</v>
      </c>
      <c r="Q919" s="2">
        <v>157976</v>
      </c>
      <c r="R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 s="1">
        <v>42382</v>
      </c>
      <c r="AC919" t="s">
        <v>53</v>
      </c>
      <c r="AD919" t="s">
        <v>53</v>
      </c>
      <c r="AK919">
        <v>0</v>
      </c>
      <c r="AU919" s="6">
        <v>42250</v>
      </c>
      <c r="AV919" s="6">
        <v>42250</v>
      </c>
      <c r="AW919" t="s">
        <v>54</v>
      </c>
      <c r="AX919" t="str">
        <f t="shared" si="72"/>
        <v>FOR</v>
      </c>
      <c r="AY919" t="s">
        <v>55</v>
      </c>
    </row>
    <row r="920" spans="1:51" hidden="1">
      <c r="A920">
        <v>100210</v>
      </c>
      <c r="B920" t="s">
        <v>103</v>
      </c>
      <c r="C920" t="str">
        <f t="shared" si="73"/>
        <v>08082461008</v>
      </c>
      <c r="D920" t="str">
        <f t="shared" si="73"/>
        <v>08082461008</v>
      </c>
      <c r="E920" t="s">
        <v>52</v>
      </c>
      <c r="F920">
        <v>2014</v>
      </c>
      <c r="G920">
        <v>14146904</v>
      </c>
      <c r="H920" s="1">
        <v>41900</v>
      </c>
      <c r="I920" s="1">
        <v>41915</v>
      </c>
      <c r="J920" s="1">
        <v>41915</v>
      </c>
      <c r="K920" s="1">
        <v>42005</v>
      </c>
      <c r="N920" s="5"/>
      <c r="O920">
        <v>644.79999999999995</v>
      </c>
      <c r="P920">
        <v>245</v>
      </c>
      <c r="Q920" s="2">
        <v>157976</v>
      </c>
      <c r="R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 s="1">
        <v>42382</v>
      </c>
      <c r="AC920" t="s">
        <v>53</v>
      </c>
      <c r="AD920" t="s">
        <v>53</v>
      </c>
      <c r="AK920">
        <v>0</v>
      </c>
      <c r="AU920" s="6">
        <v>42250</v>
      </c>
      <c r="AV920" s="6">
        <v>42250</v>
      </c>
      <c r="AW920" t="s">
        <v>54</v>
      </c>
      <c r="AX920" t="str">
        <f t="shared" si="72"/>
        <v>FOR</v>
      </c>
      <c r="AY920" t="s">
        <v>55</v>
      </c>
    </row>
    <row r="921" spans="1:51" hidden="1">
      <c r="A921">
        <v>100210</v>
      </c>
      <c r="B921" t="s">
        <v>103</v>
      </c>
      <c r="C921" t="str">
        <f t="shared" si="73"/>
        <v>08082461008</v>
      </c>
      <c r="D921" t="str">
        <f t="shared" si="73"/>
        <v>08082461008</v>
      </c>
      <c r="E921" t="s">
        <v>52</v>
      </c>
      <c r="F921">
        <v>2014</v>
      </c>
      <c r="G921">
        <v>14148481</v>
      </c>
      <c r="H921" s="1">
        <v>41904</v>
      </c>
      <c r="I921" s="1">
        <v>41920</v>
      </c>
      <c r="J921" s="1">
        <v>41920</v>
      </c>
      <c r="K921" s="1">
        <v>42010</v>
      </c>
      <c r="N921" s="5"/>
      <c r="O921">
        <v>60.61</v>
      </c>
      <c r="P921">
        <v>240</v>
      </c>
      <c r="Q921" s="2">
        <v>14546.4</v>
      </c>
      <c r="R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 s="1">
        <v>42382</v>
      </c>
      <c r="AC921" t="s">
        <v>53</v>
      </c>
      <c r="AD921" t="s">
        <v>53</v>
      </c>
      <c r="AK921">
        <v>0</v>
      </c>
      <c r="AU921" s="6">
        <v>42250</v>
      </c>
      <c r="AV921" s="6">
        <v>42250</v>
      </c>
      <c r="AW921" t="s">
        <v>54</v>
      </c>
      <c r="AX921" t="str">
        <f t="shared" si="72"/>
        <v>FOR</v>
      </c>
      <c r="AY921" t="s">
        <v>55</v>
      </c>
    </row>
    <row r="922" spans="1:51" hidden="1">
      <c r="A922">
        <v>100210</v>
      </c>
      <c r="B922" t="s">
        <v>103</v>
      </c>
      <c r="C922" t="str">
        <f t="shared" si="73"/>
        <v>08082461008</v>
      </c>
      <c r="D922" t="str">
        <f t="shared" si="73"/>
        <v>08082461008</v>
      </c>
      <c r="E922" t="s">
        <v>52</v>
      </c>
      <c r="F922">
        <v>2014</v>
      </c>
      <c r="G922">
        <v>14148532</v>
      </c>
      <c r="H922" s="1">
        <v>41904</v>
      </c>
      <c r="I922" s="1">
        <v>41920</v>
      </c>
      <c r="J922" s="1">
        <v>41920</v>
      </c>
      <c r="K922" s="1">
        <v>42010</v>
      </c>
      <c r="N922" s="5"/>
      <c r="O922">
        <v>732</v>
      </c>
      <c r="P922">
        <v>240</v>
      </c>
      <c r="Q922" s="2">
        <v>175680</v>
      </c>
      <c r="R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 s="1">
        <v>42382</v>
      </c>
      <c r="AC922" t="s">
        <v>53</v>
      </c>
      <c r="AD922" t="s">
        <v>53</v>
      </c>
      <c r="AK922">
        <v>0</v>
      </c>
      <c r="AU922" s="6">
        <v>42250</v>
      </c>
      <c r="AV922" s="6">
        <v>42250</v>
      </c>
      <c r="AW922" t="s">
        <v>54</v>
      </c>
      <c r="AX922" t="str">
        <f t="shared" si="72"/>
        <v>FOR</v>
      </c>
      <c r="AY922" t="s">
        <v>55</v>
      </c>
    </row>
    <row r="923" spans="1:51" hidden="1">
      <c r="A923">
        <v>100210</v>
      </c>
      <c r="B923" t="s">
        <v>103</v>
      </c>
      <c r="C923" t="str">
        <f t="shared" si="73"/>
        <v>08082461008</v>
      </c>
      <c r="D923" t="str">
        <f t="shared" si="73"/>
        <v>08082461008</v>
      </c>
      <c r="E923" t="s">
        <v>52</v>
      </c>
      <c r="F923">
        <v>2014</v>
      </c>
      <c r="G923">
        <v>14148629</v>
      </c>
      <c r="H923" s="1">
        <v>41904</v>
      </c>
      <c r="I923" s="1">
        <v>41920</v>
      </c>
      <c r="J923" s="1">
        <v>41920</v>
      </c>
      <c r="K923" s="1">
        <v>42010</v>
      </c>
      <c r="N923" s="5"/>
      <c r="O923" s="2">
        <v>4867.45</v>
      </c>
      <c r="P923">
        <v>240</v>
      </c>
      <c r="Q923" s="2">
        <v>1168188</v>
      </c>
      <c r="R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 s="1">
        <v>42382</v>
      </c>
      <c r="AC923" t="s">
        <v>53</v>
      </c>
      <c r="AD923" t="s">
        <v>53</v>
      </c>
      <c r="AK923">
        <v>0</v>
      </c>
      <c r="AU923" s="6">
        <v>42250</v>
      </c>
      <c r="AV923" s="6">
        <v>42250</v>
      </c>
      <c r="AW923" t="s">
        <v>54</v>
      </c>
      <c r="AX923" t="str">
        <f t="shared" si="72"/>
        <v>FOR</v>
      </c>
      <c r="AY923" t="s">
        <v>55</v>
      </c>
    </row>
    <row r="924" spans="1:51" hidden="1">
      <c r="A924">
        <v>100210</v>
      </c>
      <c r="B924" t="s">
        <v>103</v>
      </c>
      <c r="C924" t="str">
        <f t="shared" si="73"/>
        <v>08082461008</v>
      </c>
      <c r="D924" t="str">
        <f t="shared" si="73"/>
        <v>08082461008</v>
      </c>
      <c r="E924" t="s">
        <v>52</v>
      </c>
      <c r="F924">
        <v>2014</v>
      </c>
      <c r="G924">
        <v>14148633</v>
      </c>
      <c r="H924" s="1">
        <v>41904</v>
      </c>
      <c r="I924" s="1">
        <v>41920</v>
      </c>
      <c r="J924" s="1">
        <v>41920</v>
      </c>
      <c r="K924" s="1">
        <v>42010</v>
      </c>
      <c r="N924" s="5"/>
      <c r="O924" s="2">
        <v>8211.94</v>
      </c>
      <c r="P924">
        <v>240</v>
      </c>
      <c r="Q924" s="2">
        <v>1970865.6</v>
      </c>
      <c r="R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 s="1">
        <v>42382</v>
      </c>
      <c r="AC924" t="s">
        <v>53</v>
      </c>
      <c r="AD924" t="s">
        <v>53</v>
      </c>
      <c r="AK924">
        <v>0</v>
      </c>
      <c r="AU924" s="6">
        <v>42250</v>
      </c>
      <c r="AV924" s="6">
        <v>42250</v>
      </c>
      <c r="AW924" t="s">
        <v>54</v>
      </c>
      <c r="AX924" t="str">
        <f t="shared" si="72"/>
        <v>FOR</v>
      </c>
      <c r="AY924" t="s">
        <v>55</v>
      </c>
    </row>
    <row r="925" spans="1:51" hidden="1">
      <c r="A925">
        <v>100210</v>
      </c>
      <c r="B925" t="s">
        <v>103</v>
      </c>
      <c r="C925" t="str">
        <f t="shared" si="73"/>
        <v>08082461008</v>
      </c>
      <c r="D925" t="str">
        <f t="shared" si="73"/>
        <v>08082461008</v>
      </c>
      <c r="E925" t="s">
        <v>52</v>
      </c>
      <c r="F925">
        <v>2014</v>
      </c>
      <c r="G925">
        <v>14150205</v>
      </c>
      <c r="H925" s="1">
        <v>41906</v>
      </c>
      <c r="I925" s="1">
        <v>41915</v>
      </c>
      <c r="J925" s="1">
        <v>41915</v>
      </c>
      <c r="K925" s="1">
        <v>42005</v>
      </c>
      <c r="N925" s="5"/>
      <c r="O925">
        <v>281.67</v>
      </c>
      <c r="P925">
        <v>245</v>
      </c>
      <c r="Q925" s="2">
        <v>69009.149999999994</v>
      </c>
      <c r="R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 s="1">
        <v>42382</v>
      </c>
      <c r="AC925" t="s">
        <v>53</v>
      </c>
      <c r="AD925" t="s">
        <v>53</v>
      </c>
      <c r="AK925">
        <v>0</v>
      </c>
      <c r="AU925" s="6">
        <v>42250</v>
      </c>
      <c r="AV925" s="6">
        <v>42250</v>
      </c>
      <c r="AW925" t="s">
        <v>54</v>
      </c>
      <c r="AX925" t="str">
        <f t="shared" si="72"/>
        <v>FOR</v>
      </c>
      <c r="AY925" t="s">
        <v>55</v>
      </c>
    </row>
    <row r="926" spans="1:51" hidden="1">
      <c r="A926">
        <v>100210</v>
      </c>
      <c r="B926" t="s">
        <v>103</v>
      </c>
      <c r="C926" t="str">
        <f t="shared" si="73"/>
        <v>08082461008</v>
      </c>
      <c r="D926" t="str">
        <f t="shared" si="73"/>
        <v>08082461008</v>
      </c>
      <c r="E926" t="s">
        <v>52</v>
      </c>
      <c r="F926">
        <v>2014</v>
      </c>
      <c r="G926">
        <v>14150235</v>
      </c>
      <c r="H926" s="1">
        <v>41906</v>
      </c>
      <c r="I926" s="1">
        <v>41915</v>
      </c>
      <c r="J926" s="1">
        <v>41915</v>
      </c>
      <c r="K926" s="1">
        <v>42005</v>
      </c>
      <c r="N926" s="5"/>
      <c r="O926">
        <v>704.18</v>
      </c>
      <c r="P926">
        <v>245</v>
      </c>
      <c r="Q926" s="2">
        <v>172524.1</v>
      </c>
      <c r="R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 s="1">
        <v>42382</v>
      </c>
      <c r="AC926" t="s">
        <v>53</v>
      </c>
      <c r="AD926" t="s">
        <v>53</v>
      </c>
      <c r="AK926">
        <v>0</v>
      </c>
      <c r="AU926" s="6">
        <v>42250</v>
      </c>
      <c r="AV926" s="6">
        <v>42250</v>
      </c>
      <c r="AW926" t="s">
        <v>54</v>
      </c>
      <c r="AX926" t="str">
        <f t="shared" si="72"/>
        <v>FOR</v>
      </c>
      <c r="AY926" t="s">
        <v>55</v>
      </c>
    </row>
    <row r="927" spans="1:51" hidden="1">
      <c r="A927">
        <v>100210</v>
      </c>
      <c r="B927" t="s">
        <v>103</v>
      </c>
      <c r="C927" t="str">
        <f t="shared" si="73"/>
        <v>08082461008</v>
      </c>
      <c r="D927" t="str">
        <f t="shared" si="73"/>
        <v>08082461008</v>
      </c>
      <c r="E927" t="s">
        <v>52</v>
      </c>
      <c r="F927">
        <v>2014</v>
      </c>
      <c r="G927">
        <v>14150525</v>
      </c>
      <c r="H927" s="1">
        <v>41906</v>
      </c>
      <c r="I927" s="1">
        <v>41915</v>
      </c>
      <c r="J927" s="1">
        <v>41915</v>
      </c>
      <c r="K927" s="1">
        <v>42005</v>
      </c>
      <c r="N927" s="5"/>
      <c r="O927" s="2">
        <v>8330.16</v>
      </c>
      <c r="P927">
        <v>245</v>
      </c>
      <c r="Q927" s="2">
        <v>2040889.2</v>
      </c>
      <c r="R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 s="1">
        <v>42382</v>
      </c>
      <c r="AC927" t="s">
        <v>53</v>
      </c>
      <c r="AD927" t="s">
        <v>53</v>
      </c>
      <c r="AK927">
        <v>0</v>
      </c>
      <c r="AU927" s="6">
        <v>42250</v>
      </c>
      <c r="AV927" s="6">
        <v>42250</v>
      </c>
      <c r="AW927" t="s">
        <v>54</v>
      </c>
      <c r="AX927" t="str">
        <f t="shared" si="72"/>
        <v>FOR</v>
      </c>
      <c r="AY927" t="s">
        <v>55</v>
      </c>
    </row>
    <row r="928" spans="1:51" hidden="1">
      <c r="A928">
        <v>100210</v>
      </c>
      <c r="B928" t="s">
        <v>103</v>
      </c>
      <c r="C928" t="str">
        <f t="shared" si="73"/>
        <v>08082461008</v>
      </c>
      <c r="D928" t="str">
        <f t="shared" si="73"/>
        <v>08082461008</v>
      </c>
      <c r="E928" t="s">
        <v>52</v>
      </c>
      <c r="F928">
        <v>2014</v>
      </c>
      <c r="G928">
        <v>14153432</v>
      </c>
      <c r="H928" s="1">
        <v>41911</v>
      </c>
      <c r="I928" s="1">
        <v>41921</v>
      </c>
      <c r="J928" s="1">
        <v>41921</v>
      </c>
      <c r="K928" s="1">
        <v>42011</v>
      </c>
      <c r="N928" s="5"/>
      <c r="O928">
        <v>122</v>
      </c>
      <c r="P928">
        <v>239</v>
      </c>
      <c r="Q928" s="2">
        <v>29158</v>
      </c>
      <c r="R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 s="1">
        <v>42382</v>
      </c>
      <c r="AC928" t="s">
        <v>53</v>
      </c>
      <c r="AD928" t="s">
        <v>53</v>
      </c>
      <c r="AK928">
        <v>0</v>
      </c>
      <c r="AU928" s="6">
        <v>42250</v>
      </c>
      <c r="AV928" s="6">
        <v>42250</v>
      </c>
      <c r="AW928" t="s">
        <v>54</v>
      </c>
      <c r="AX928" t="str">
        <f t="shared" si="72"/>
        <v>FOR</v>
      </c>
      <c r="AY928" t="s">
        <v>55</v>
      </c>
    </row>
    <row r="929" spans="1:51" hidden="1">
      <c r="A929">
        <v>100210</v>
      </c>
      <c r="B929" t="s">
        <v>103</v>
      </c>
      <c r="C929" t="str">
        <f t="shared" si="73"/>
        <v>08082461008</v>
      </c>
      <c r="D929" t="str">
        <f t="shared" si="73"/>
        <v>08082461008</v>
      </c>
      <c r="E929" t="s">
        <v>52</v>
      </c>
      <c r="F929">
        <v>2014</v>
      </c>
      <c r="G929">
        <v>14153437</v>
      </c>
      <c r="H929" s="1">
        <v>41911</v>
      </c>
      <c r="I929" s="1">
        <v>41921</v>
      </c>
      <c r="J929" s="1">
        <v>41921</v>
      </c>
      <c r="K929" s="1">
        <v>42011</v>
      </c>
      <c r="N929" s="5"/>
      <c r="O929" s="2">
        <v>1405</v>
      </c>
      <c r="P929">
        <v>266</v>
      </c>
      <c r="Q929" s="2">
        <v>373730</v>
      </c>
      <c r="R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 s="1">
        <v>42382</v>
      </c>
      <c r="AC929" t="s">
        <v>53</v>
      </c>
      <c r="AD929" t="s">
        <v>53</v>
      </c>
      <c r="AK929">
        <v>0</v>
      </c>
      <c r="AU929" s="6">
        <v>42277</v>
      </c>
      <c r="AV929" s="6">
        <v>42277</v>
      </c>
      <c r="AW929" t="s">
        <v>54</v>
      </c>
      <c r="AX929" t="str">
        <f t="shared" si="72"/>
        <v>FOR</v>
      </c>
      <c r="AY929" t="s">
        <v>55</v>
      </c>
    </row>
    <row r="930" spans="1:51" hidden="1">
      <c r="A930">
        <v>100210</v>
      </c>
      <c r="B930" t="s">
        <v>103</v>
      </c>
      <c r="C930" t="str">
        <f t="shared" si="73"/>
        <v>08082461008</v>
      </c>
      <c r="D930" t="str">
        <f t="shared" si="73"/>
        <v>08082461008</v>
      </c>
      <c r="E930" t="s">
        <v>52</v>
      </c>
      <c r="F930">
        <v>2014</v>
      </c>
      <c r="G930">
        <v>14154120</v>
      </c>
      <c r="H930" s="1">
        <v>41912</v>
      </c>
      <c r="I930" s="1">
        <v>41921</v>
      </c>
      <c r="J930" s="1">
        <v>41921</v>
      </c>
      <c r="K930" s="1">
        <v>42011</v>
      </c>
      <c r="N930" s="5"/>
      <c r="O930">
        <v>644.79999999999995</v>
      </c>
      <c r="P930">
        <v>239</v>
      </c>
      <c r="Q930" s="2">
        <v>154107.20000000001</v>
      </c>
      <c r="R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 s="1">
        <v>42382</v>
      </c>
      <c r="AC930" t="s">
        <v>53</v>
      </c>
      <c r="AD930" t="s">
        <v>53</v>
      </c>
      <c r="AK930">
        <v>0</v>
      </c>
      <c r="AU930" s="6">
        <v>42250</v>
      </c>
      <c r="AV930" s="6">
        <v>42250</v>
      </c>
      <c r="AW930" t="s">
        <v>54</v>
      </c>
      <c r="AX930" t="str">
        <f t="shared" si="72"/>
        <v>FOR</v>
      </c>
      <c r="AY930" t="s">
        <v>55</v>
      </c>
    </row>
    <row r="931" spans="1:51" hidden="1">
      <c r="A931">
        <v>100210</v>
      </c>
      <c r="B931" t="s">
        <v>103</v>
      </c>
      <c r="C931" t="str">
        <f t="shared" si="73"/>
        <v>08082461008</v>
      </c>
      <c r="D931" t="str">
        <f t="shared" si="73"/>
        <v>08082461008</v>
      </c>
      <c r="E931" t="s">
        <v>52</v>
      </c>
      <c r="F931">
        <v>2014</v>
      </c>
      <c r="G931">
        <v>14154122</v>
      </c>
      <c r="H931" s="1">
        <v>41912</v>
      </c>
      <c r="I931" s="1">
        <v>41921</v>
      </c>
      <c r="J931" s="1">
        <v>41921</v>
      </c>
      <c r="K931" s="1">
        <v>42011</v>
      </c>
      <c r="N931" s="5"/>
      <c r="O931">
        <v>644.79999999999995</v>
      </c>
      <c r="P931">
        <v>239</v>
      </c>
      <c r="Q931" s="2">
        <v>154107.20000000001</v>
      </c>
      <c r="R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 s="1">
        <v>42382</v>
      </c>
      <c r="AC931" t="s">
        <v>53</v>
      </c>
      <c r="AD931" t="s">
        <v>53</v>
      </c>
      <c r="AK931">
        <v>0</v>
      </c>
      <c r="AU931" s="6">
        <v>42250</v>
      </c>
      <c r="AV931" s="6">
        <v>42250</v>
      </c>
      <c r="AW931" t="s">
        <v>54</v>
      </c>
      <c r="AX931" t="str">
        <f t="shared" si="72"/>
        <v>FOR</v>
      </c>
      <c r="AY931" t="s">
        <v>55</v>
      </c>
    </row>
    <row r="932" spans="1:51" hidden="1">
      <c r="A932">
        <v>100210</v>
      </c>
      <c r="B932" t="s">
        <v>103</v>
      </c>
      <c r="C932" t="str">
        <f t="shared" si="73"/>
        <v>08082461008</v>
      </c>
      <c r="D932" t="str">
        <f t="shared" si="73"/>
        <v>08082461008</v>
      </c>
      <c r="E932" t="s">
        <v>52</v>
      </c>
      <c r="F932">
        <v>2014</v>
      </c>
      <c r="G932">
        <v>14154372</v>
      </c>
      <c r="H932" s="1">
        <v>41912</v>
      </c>
      <c r="I932" s="1">
        <v>41921</v>
      </c>
      <c r="J932" s="1">
        <v>41921</v>
      </c>
      <c r="K932" s="1">
        <v>42011</v>
      </c>
      <c r="N932" s="5"/>
      <c r="O932" s="2">
        <v>8784</v>
      </c>
      <c r="P932">
        <v>239</v>
      </c>
      <c r="Q932" s="2">
        <v>2099376</v>
      </c>
      <c r="R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 s="1">
        <v>42382</v>
      </c>
      <c r="AC932" t="s">
        <v>53</v>
      </c>
      <c r="AD932" t="s">
        <v>53</v>
      </c>
      <c r="AK932">
        <v>0</v>
      </c>
      <c r="AU932" s="6">
        <v>42250</v>
      </c>
      <c r="AV932" s="6">
        <v>42250</v>
      </c>
      <c r="AW932" t="s">
        <v>54</v>
      </c>
      <c r="AX932" t="str">
        <f t="shared" si="72"/>
        <v>FOR</v>
      </c>
      <c r="AY932" t="s">
        <v>55</v>
      </c>
    </row>
    <row r="933" spans="1:51" hidden="1">
      <c r="A933">
        <v>100210</v>
      </c>
      <c r="B933" t="s">
        <v>103</v>
      </c>
      <c r="C933" t="str">
        <f t="shared" si="73"/>
        <v>08082461008</v>
      </c>
      <c r="D933" t="str">
        <f t="shared" si="73"/>
        <v>08082461008</v>
      </c>
      <c r="E933" t="s">
        <v>52</v>
      </c>
      <c r="F933">
        <v>2014</v>
      </c>
      <c r="G933">
        <v>14154374</v>
      </c>
      <c r="H933" s="1">
        <v>41912</v>
      </c>
      <c r="I933" s="1">
        <v>41921</v>
      </c>
      <c r="J933" s="1">
        <v>41921</v>
      </c>
      <c r="K933" s="1">
        <v>42011</v>
      </c>
      <c r="N933" s="5"/>
      <c r="O933" s="2">
        <v>2260.42</v>
      </c>
      <c r="P933">
        <v>239</v>
      </c>
      <c r="Q933" s="2">
        <v>540240.38</v>
      </c>
      <c r="R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 s="1">
        <v>42382</v>
      </c>
      <c r="AC933" t="s">
        <v>53</v>
      </c>
      <c r="AD933" t="s">
        <v>53</v>
      </c>
      <c r="AK933">
        <v>0</v>
      </c>
      <c r="AU933" s="6">
        <v>42250</v>
      </c>
      <c r="AV933" s="6">
        <v>42250</v>
      </c>
      <c r="AW933" t="s">
        <v>54</v>
      </c>
      <c r="AX933" t="str">
        <f t="shared" si="72"/>
        <v>FOR</v>
      </c>
      <c r="AY933" t="s">
        <v>55</v>
      </c>
    </row>
    <row r="934" spans="1:51" hidden="1">
      <c r="A934">
        <v>100210</v>
      </c>
      <c r="B934" t="s">
        <v>103</v>
      </c>
      <c r="C934" t="str">
        <f t="shared" si="73"/>
        <v>08082461008</v>
      </c>
      <c r="D934" t="str">
        <f t="shared" si="73"/>
        <v>08082461008</v>
      </c>
      <c r="E934" t="s">
        <v>52</v>
      </c>
      <c r="F934">
        <v>2014</v>
      </c>
      <c r="G934">
        <v>14155599</v>
      </c>
      <c r="H934" s="1">
        <v>41914</v>
      </c>
      <c r="I934" s="1">
        <v>41929</v>
      </c>
      <c r="J934" s="1">
        <v>41929</v>
      </c>
      <c r="K934" s="1">
        <v>41989</v>
      </c>
      <c r="N934" s="5"/>
      <c r="O934" s="2">
        <v>4514.75</v>
      </c>
      <c r="P934">
        <v>288</v>
      </c>
      <c r="Q934" s="2">
        <v>1300248</v>
      </c>
      <c r="R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 s="1">
        <v>42382</v>
      </c>
      <c r="AC934" t="s">
        <v>53</v>
      </c>
      <c r="AD934" t="s">
        <v>53</v>
      </c>
      <c r="AK934">
        <v>0</v>
      </c>
      <c r="AU934" s="6">
        <v>42277</v>
      </c>
      <c r="AV934" s="6">
        <v>42277</v>
      </c>
      <c r="AW934" t="s">
        <v>54</v>
      </c>
      <c r="AX934" t="str">
        <f t="shared" si="72"/>
        <v>FOR</v>
      </c>
      <c r="AY934" t="s">
        <v>55</v>
      </c>
    </row>
    <row r="935" spans="1:51" hidden="1">
      <c r="A935">
        <v>100210</v>
      </c>
      <c r="B935" t="s">
        <v>103</v>
      </c>
      <c r="C935" t="str">
        <f t="shared" si="73"/>
        <v>08082461008</v>
      </c>
      <c r="D935" t="str">
        <f t="shared" si="73"/>
        <v>08082461008</v>
      </c>
      <c r="E935" t="s">
        <v>52</v>
      </c>
      <c r="F935">
        <v>2014</v>
      </c>
      <c r="G935">
        <v>14155607</v>
      </c>
      <c r="H935" s="1">
        <v>41914</v>
      </c>
      <c r="I935" s="1">
        <v>41929</v>
      </c>
      <c r="J935" s="1">
        <v>41929</v>
      </c>
      <c r="K935" s="1">
        <v>41989</v>
      </c>
      <c r="N935" s="5"/>
      <c r="O935" s="2">
        <v>4747.75</v>
      </c>
      <c r="P935">
        <v>288</v>
      </c>
      <c r="Q935" s="2">
        <v>1367352</v>
      </c>
      <c r="R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 s="1">
        <v>42382</v>
      </c>
      <c r="AC935" t="s">
        <v>53</v>
      </c>
      <c r="AD935" t="s">
        <v>53</v>
      </c>
      <c r="AK935">
        <v>0</v>
      </c>
      <c r="AU935" s="6">
        <v>42277</v>
      </c>
      <c r="AV935" s="6">
        <v>42277</v>
      </c>
      <c r="AW935" t="s">
        <v>54</v>
      </c>
      <c r="AX935" t="str">
        <f t="shared" si="72"/>
        <v>FOR</v>
      </c>
      <c r="AY935" t="s">
        <v>55</v>
      </c>
    </row>
    <row r="936" spans="1:51" hidden="1">
      <c r="A936">
        <v>100210</v>
      </c>
      <c r="B936" t="s">
        <v>103</v>
      </c>
      <c r="C936" t="str">
        <f t="shared" si="73"/>
        <v>08082461008</v>
      </c>
      <c r="D936" t="str">
        <f t="shared" si="73"/>
        <v>08082461008</v>
      </c>
      <c r="E936" t="s">
        <v>52</v>
      </c>
      <c r="F936">
        <v>2014</v>
      </c>
      <c r="G936">
        <v>14156722</v>
      </c>
      <c r="H936" s="1">
        <v>41918</v>
      </c>
      <c r="I936" s="1">
        <v>41929</v>
      </c>
      <c r="J936" s="1">
        <v>41929</v>
      </c>
      <c r="K936" s="1">
        <v>41989</v>
      </c>
      <c r="N936" s="5"/>
      <c r="O936">
        <v>385.32</v>
      </c>
      <c r="P936">
        <v>288</v>
      </c>
      <c r="Q936" s="2">
        <v>110972.16</v>
      </c>
      <c r="R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 s="1">
        <v>42382</v>
      </c>
      <c r="AC936" t="s">
        <v>53</v>
      </c>
      <c r="AD936" t="s">
        <v>53</v>
      </c>
      <c r="AK936">
        <v>0</v>
      </c>
      <c r="AU936" s="6">
        <v>42277</v>
      </c>
      <c r="AV936" s="6">
        <v>42277</v>
      </c>
      <c r="AW936" t="s">
        <v>54</v>
      </c>
      <c r="AX936" t="str">
        <f t="shared" si="72"/>
        <v>FOR</v>
      </c>
      <c r="AY936" t="s">
        <v>55</v>
      </c>
    </row>
    <row r="937" spans="1:51" hidden="1">
      <c r="A937">
        <v>100210</v>
      </c>
      <c r="B937" t="s">
        <v>103</v>
      </c>
      <c r="C937" t="str">
        <f t="shared" si="73"/>
        <v>08082461008</v>
      </c>
      <c r="D937" t="str">
        <f t="shared" si="73"/>
        <v>08082461008</v>
      </c>
      <c r="E937" t="s">
        <v>52</v>
      </c>
      <c r="F937">
        <v>2014</v>
      </c>
      <c r="G937">
        <v>14156737</v>
      </c>
      <c r="H937" s="1">
        <v>41918</v>
      </c>
      <c r="I937" s="1">
        <v>41929</v>
      </c>
      <c r="J937" s="1">
        <v>41929</v>
      </c>
      <c r="K937" s="1">
        <v>41989</v>
      </c>
      <c r="N937" s="5"/>
      <c r="O937">
        <v>140.84</v>
      </c>
      <c r="P937">
        <v>288</v>
      </c>
      <c r="Q937" s="2">
        <v>40561.919999999998</v>
      </c>
      <c r="R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 s="1">
        <v>42382</v>
      </c>
      <c r="AC937" t="s">
        <v>53</v>
      </c>
      <c r="AD937" t="s">
        <v>53</v>
      </c>
      <c r="AK937">
        <v>0</v>
      </c>
      <c r="AU937" s="6">
        <v>42277</v>
      </c>
      <c r="AV937" s="6">
        <v>42277</v>
      </c>
      <c r="AW937" t="s">
        <v>54</v>
      </c>
      <c r="AX937" t="str">
        <f t="shared" si="72"/>
        <v>FOR</v>
      </c>
      <c r="AY937" t="s">
        <v>55</v>
      </c>
    </row>
    <row r="938" spans="1:51" hidden="1">
      <c r="A938">
        <v>100210</v>
      </c>
      <c r="B938" t="s">
        <v>103</v>
      </c>
      <c r="C938" t="str">
        <f t="shared" ref="C938:D957" si="74">"08082461008"</f>
        <v>08082461008</v>
      </c>
      <c r="D938" t="str">
        <f t="shared" si="74"/>
        <v>08082461008</v>
      </c>
      <c r="E938" t="s">
        <v>52</v>
      </c>
      <c r="F938">
        <v>2014</v>
      </c>
      <c r="G938">
        <v>14156739</v>
      </c>
      <c r="H938" s="1">
        <v>41918</v>
      </c>
      <c r="I938" s="1">
        <v>41929</v>
      </c>
      <c r="J938" s="1">
        <v>41929</v>
      </c>
      <c r="K938" s="1">
        <v>41989</v>
      </c>
      <c r="N938" s="5"/>
      <c r="O938">
        <v>422.51</v>
      </c>
      <c r="P938">
        <v>288</v>
      </c>
      <c r="Q938" s="2">
        <v>121682.88</v>
      </c>
      <c r="R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 s="1">
        <v>42382</v>
      </c>
      <c r="AC938" t="s">
        <v>53</v>
      </c>
      <c r="AD938" t="s">
        <v>53</v>
      </c>
      <c r="AK938">
        <v>0</v>
      </c>
      <c r="AU938" s="6">
        <v>42277</v>
      </c>
      <c r="AV938" s="6">
        <v>42277</v>
      </c>
      <c r="AW938" t="s">
        <v>54</v>
      </c>
      <c r="AX938" t="str">
        <f t="shared" si="72"/>
        <v>FOR</v>
      </c>
      <c r="AY938" t="s">
        <v>55</v>
      </c>
    </row>
    <row r="939" spans="1:51" hidden="1">
      <c r="A939">
        <v>100210</v>
      </c>
      <c r="B939" t="s">
        <v>103</v>
      </c>
      <c r="C939" t="str">
        <f t="shared" si="74"/>
        <v>08082461008</v>
      </c>
      <c r="D939" t="str">
        <f t="shared" si="74"/>
        <v>08082461008</v>
      </c>
      <c r="E939" t="s">
        <v>52</v>
      </c>
      <c r="F939">
        <v>2014</v>
      </c>
      <c r="G939">
        <v>14159682</v>
      </c>
      <c r="H939" s="1">
        <v>41922</v>
      </c>
      <c r="I939" s="1">
        <v>41936</v>
      </c>
      <c r="J939" s="1">
        <v>41936</v>
      </c>
      <c r="K939" s="1">
        <v>41996</v>
      </c>
      <c r="N939" s="5"/>
      <c r="O939">
        <v>644.79999999999995</v>
      </c>
      <c r="P939">
        <v>281</v>
      </c>
      <c r="Q939" s="2">
        <v>181188.8</v>
      </c>
      <c r="R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 s="1">
        <v>42382</v>
      </c>
      <c r="AC939" t="s">
        <v>53</v>
      </c>
      <c r="AD939" t="s">
        <v>53</v>
      </c>
      <c r="AK939">
        <v>0</v>
      </c>
      <c r="AU939" s="6">
        <v>42277</v>
      </c>
      <c r="AV939" s="6">
        <v>42277</v>
      </c>
      <c r="AW939" t="s">
        <v>54</v>
      </c>
      <c r="AX939" t="str">
        <f t="shared" si="72"/>
        <v>FOR</v>
      </c>
      <c r="AY939" t="s">
        <v>55</v>
      </c>
    </row>
    <row r="940" spans="1:51" hidden="1">
      <c r="A940">
        <v>100210</v>
      </c>
      <c r="B940" t="s">
        <v>103</v>
      </c>
      <c r="C940" t="str">
        <f t="shared" si="74"/>
        <v>08082461008</v>
      </c>
      <c r="D940" t="str">
        <f t="shared" si="74"/>
        <v>08082461008</v>
      </c>
      <c r="E940" t="s">
        <v>52</v>
      </c>
      <c r="F940">
        <v>2014</v>
      </c>
      <c r="G940">
        <v>14160377</v>
      </c>
      <c r="H940" s="1">
        <v>41922</v>
      </c>
      <c r="I940" s="1">
        <v>41936</v>
      </c>
      <c r="J940" s="1">
        <v>41936</v>
      </c>
      <c r="K940" s="1">
        <v>41996</v>
      </c>
      <c r="N940" s="5"/>
      <c r="O940" s="2">
        <v>24532.14</v>
      </c>
      <c r="P940">
        <v>281</v>
      </c>
      <c r="Q940" s="2">
        <v>6893531.3399999999</v>
      </c>
      <c r="R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 s="1">
        <v>42382</v>
      </c>
      <c r="AC940" t="s">
        <v>53</v>
      </c>
      <c r="AD940" t="s">
        <v>53</v>
      </c>
      <c r="AK940">
        <v>0</v>
      </c>
      <c r="AU940" s="6">
        <v>42277</v>
      </c>
      <c r="AV940" s="6">
        <v>42277</v>
      </c>
      <c r="AW940" t="s">
        <v>54</v>
      </c>
      <c r="AX940" t="str">
        <f t="shared" si="72"/>
        <v>FOR</v>
      </c>
      <c r="AY940" t="s">
        <v>55</v>
      </c>
    </row>
    <row r="941" spans="1:51" hidden="1">
      <c r="A941">
        <v>100210</v>
      </c>
      <c r="B941" t="s">
        <v>103</v>
      </c>
      <c r="C941" t="str">
        <f t="shared" si="74"/>
        <v>08082461008</v>
      </c>
      <c r="D941" t="str">
        <f t="shared" si="74"/>
        <v>08082461008</v>
      </c>
      <c r="E941" t="s">
        <v>52</v>
      </c>
      <c r="F941">
        <v>2014</v>
      </c>
      <c r="G941">
        <v>14160389</v>
      </c>
      <c r="H941" s="1">
        <v>41922</v>
      </c>
      <c r="I941" s="1">
        <v>41936</v>
      </c>
      <c r="J941" s="1">
        <v>41936</v>
      </c>
      <c r="K941" s="1">
        <v>41996</v>
      </c>
      <c r="N941" s="5"/>
      <c r="O941" s="2">
        <v>4721.3999999999996</v>
      </c>
      <c r="P941">
        <v>281</v>
      </c>
      <c r="Q941" s="2">
        <v>1326713.3999999999</v>
      </c>
      <c r="R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 s="1">
        <v>42382</v>
      </c>
      <c r="AC941" t="s">
        <v>53</v>
      </c>
      <c r="AD941" t="s">
        <v>53</v>
      </c>
      <c r="AK941">
        <v>0</v>
      </c>
      <c r="AU941" s="6">
        <v>42277</v>
      </c>
      <c r="AV941" s="6">
        <v>42277</v>
      </c>
      <c r="AW941" t="s">
        <v>54</v>
      </c>
      <c r="AX941" t="str">
        <f t="shared" si="72"/>
        <v>FOR</v>
      </c>
      <c r="AY941" t="s">
        <v>55</v>
      </c>
    </row>
    <row r="942" spans="1:51" hidden="1">
      <c r="A942">
        <v>100210</v>
      </c>
      <c r="B942" t="s">
        <v>103</v>
      </c>
      <c r="C942" t="str">
        <f t="shared" si="74"/>
        <v>08082461008</v>
      </c>
      <c r="D942" t="str">
        <f t="shared" si="74"/>
        <v>08082461008</v>
      </c>
      <c r="E942" t="s">
        <v>52</v>
      </c>
      <c r="F942">
        <v>2014</v>
      </c>
      <c r="G942">
        <v>14160390</v>
      </c>
      <c r="H942" s="1">
        <v>41922</v>
      </c>
      <c r="I942" s="1">
        <v>41936</v>
      </c>
      <c r="J942" s="1">
        <v>41936</v>
      </c>
      <c r="K942" s="1">
        <v>41996</v>
      </c>
      <c r="N942" s="5"/>
      <c r="O942" s="2">
        <v>1098</v>
      </c>
      <c r="P942">
        <v>281</v>
      </c>
      <c r="Q942" s="2">
        <v>308538</v>
      </c>
      <c r="R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 s="1">
        <v>42382</v>
      </c>
      <c r="AC942" t="s">
        <v>53</v>
      </c>
      <c r="AD942" t="s">
        <v>53</v>
      </c>
      <c r="AK942">
        <v>0</v>
      </c>
      <c r="AU942" s="6">
        <v>42277</v>
      </c>
      <c r="AV942" s="6">
        <v>42277</v>
      </c>
      <c r="AW942" t="s">
        <v>54</v>
      </c>
      <c r="AX942" t="str">
        <f t="shared" si="72"/>
        <v>FOR</v>
      </c>
      <c r="AY942" t="s">
        <v>55</v>
      </c>
    </row>
    <row r="943" spans="1:51" hidden="1">
      <c r="A943">
        <v>100210</v>
      </c>
      <c r="B943" t="s">
        <v>103</v>
      </c>
      <c r="C943" t="str">
        <f t="shared" si="74"/>
        <v>08082461008</v>
      </c>
      <c r="D943" t="str">
        <f t="shared" si="74"/>
        <v>08082461008</v>
      </c>
      <c r="E943" t="s">
        <v>52</v>
      </c>
      <c r="F943">
        <v>2014</v>
      </c>
      <c r="G943">
        <v>14160545</v>
      </c>
      <c r="H943" s="1">
        <v>41925</v>
      </c>
      <c r="I943" s="1">
        <v>41935</v>
      </c>
      <c r="J943" s="1">
        <v>41935</v>
      </c>
      <c r="K943" s="1">
        <v>41995</v>
      </c>
      <c r="N943" s="5"/>
      <c r="O943" s="2">
        <v>5490</v>
      </c>
      <c r="P943">
        <v>282</v>
      </c>
      <c r="Q943" s="2">
        <v>1548180</v>
      </c>
      <c r="R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 s="1">
        <v>42382</v>
      </c>
      <c r="AC943" t="s">
        <v>53</v>
      </c>
      <c r="AD943" t="s">
        <v>53</v>
      </c>
      <c r="AK943">
        <v>0</v>
      </c>
      <c r="AU943" s="6">
        <v>42277</v>
      </c>
      <c r="AV943" s="6">
        <v>42277</v>
      </c>
      <c r="AW943" t="s">
        <v>54</v>
      </c>
      <c r="AX943" t="str">
        <f t="shared" si="72"/>
        <v>FOR</v>
      </c>
      <c r="AY943" t="s">
        <v>55</v>
      </c>
    </row>
    <row r="944" spans="1:51" hidden="1">
      <c r="A944">
        <v>100210</v>
      </c>
      <c r="B944" t="s">
        <v>103</v>
      </c>
      <c r="C944" t="str">
        <f t="shared" si="74"/>
        <v>08082461008</v>
      </c>
      <c r="D944" t="str">
        <f t="shared" si="74"/>
        <v>08082461008</v>
      </c>
      <c r="E944" t="s">
        <v>52</v>
      </c>
      <c r="F944">
        <v>2014</v>
      </c>
      <c r="G944">
        <v>14160836</v>
      </c>
      <c r="H944" s="1">
        <v>41925</v>
      </c>
      <c r="I944" s="1">
        <v>41935</v>
      </c>
      <c r="J944" s="1">
        <v>41935</v>
      </c>
      <c r="K944" s="1">
        <v>41995</v>
      </c>
      <c r="N944" s="5"/>
      <c r="O944" s="2">
        <v>2232.6</v>
      </c>
      <c r="P944">
        <v>282</v>
      </c>
      <c r="Q944" s="2">
        <v>629593.19999999995</v>
      </c>
      <c r="R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 s="1">
        <v>42382</v>
      </c>
      <c r="AC944" t="s">
        <v>53</v>
      </c>
      <c r="AD944" t="s">
        <v>53</v>
      </c>
      <c r="AK944">
        <v>0</v>
      </c>
      <c r="AU944" s="6">
        <v>42277</v>
      </c>
      <c r="AV944" s="6">
        <v>42277</v>
      </c>
      <c r="AW944" t="s">
        <v>54</v>
      </c>
      <c r="AX944" t="str">
        <f t="shared" si="72"/>
        <v>FOR</v>
      </c>
      <c r="AY944" t="s">
        <v>55</v>
      </c>
    </row>
    <row r="945" spans="1:51" hidden="1">
      <c r="A945">
        <v>100210</v>
      </c>
      <c r="B945" t="s">
        <v>103</v>
      </c>
      <c r="C945" t="str">
        <f t="shared" si="74"/>
        <v>08082461008</v>
      </c>
      <c r="D945" t="str">
        <f t="shared" si="74"/>
        <v>08082461008</v>
      </c>
      <c r="E945" t="s">
        <v>52</v>
      </c>
      <c r="F945">
        <v>2014</v>
      </c>
      <c r="G945">
        <v>14161318</v>
      </c>
      <c r="H945" s="1">
        <v>41926</v>
      </c>
      <c r="I945" s="1">
        <v>41936</v>
      </c>
      <c r="J945" s="1">
        <v>41936</v>
      </c>
      <c r="K945" s="1">
        <v>41996</v>
      </c>
      <c r="N945" s="5"/>
      <c r="O945">
        <v>451.88</v>
      </c>
      <c r="P945">
        <v>281</v>
      </c>
      <c r="Q945" s="2">
        <v>126978.28</v>
      </c>
      <c r="R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 s="1">
        <v>42382</v>
      </c>
      <c r="AC945" t="s">
        <v>53</v>
      </c>
      <c r="AD945" t="s">
        <v>53</v>
      </c>
      <c r="AK945">
        <v>0</v>
      </c>
      <c r="AU945" s="6">
        <v>42277</v>
      </c>
      <c r="AV945" s="6">
        <v>42277</v>
      </c>
      <c r="AW945" t="s">
        <v>54</v>
      </c>
      <c r="AX945" t="str">
        <f t="shared" si="72"/>
        <v>FOR</v>
      </c>
      <c r="AY945" t="s">
        <v>55</v>
      </c>
    </row>
    <row r="946" spans="1:51" hidden="1">
      <c r="A946">
        <v>100210</v>
      </c>
      <c r="B946" t="s">
        <v>103</v>
      </c>
      <c r="C946" t="str">
        <f t="shared" si="74"/>
        <v>08082461008</v>
      </c>
      <c r="D946" t="str">
        <f t="shared" si="74"/>
        <v>08082461008</v>
      </c>
      <c r="E946" t="s">
        <v>52</v>
      </c>
      <c r="F946">
        <v>2014</v>
      </c>
      <c r="G946">
        <v>14161321</v>
      </c>
      <c r="H946" s="1">
        <v>41926</v>
      </c>
      <c r="I946" s="1">
        <v>41936</v>
      </c>
      <c r="J946" s="1">
        <v>41936</v>
      </c>
      <c r="K946" s="1">
        <v>41996</v>
      </c>
      <c r="N946" s="5"/>
      <c r="O946">
        <v>451.88</v>
      </c>
      <c r="P946">
        <v>281</v>
      </c>
      <c r="Q946" s="2">
        <v>126978.28</v>
      </c>
      <c r="R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 s="1">
        <v>42382</v>
      </c>
      <c r="AC946" t="s">
        <v>53</v>
      </c>
      <c r="AD946" t="s">
        <v>53</v>
      </c>
      <c r="AK946">
        <v>0</v>
      </c>
      <c r="AU946" s="6">
        <v>42277</v>
      </c>
      <c r="AV946" s="6">
        <v>42277</v>
      </c>
      <c r="AW946" t="s">
        <v>54</v>
      </c>
      <c r="AX946" t="str">
        <f t="shared" si="72"/>
        <v>FOR</v>
      </c>
      <c r="AY946" t="s">
        <v>55</v>
      </c>
    </row>
    <row r="947" spans="1:51" hidden="1">
      <c r="A947">
        <v>100210</v>
      </c>
      <c r="B947" t="s">
        <v>103</v>
      </c>
      <c r="C947" t="str">
        <f t="shared" si="74"/>
        <v>08082461008</v>
      </c>
      <c r="D947" t="str">
        <f t="shared" si="74"/>
        <v>08082461008</v>
      </c>
      <c r="E947" t="s">
        <v>52</v>
      </c>
      <c r="F947">
        <v>2014</v>
      </c>
      <c r="G947">
        <v>14161322</v>
      </c>
      <c r="H947" s="1">
        <v>41926</v>
      </c>
      <c r="I947" s="1">
        <v>41936</v>
      </c>
      <c r="J947" s="1">
        <v>41936</v>
      </c>
      <c r="K947" s="1">
        <v>41996</v>
      </c>
      <c r="N947" s="5"/>
      <c r="O947">
        <v>451.88</v>
      </c>
      <c r="P947">
        <v>281</v>
      </c>
      <c r="Q947" s="2">
        <v>126978.28</v>
      </c>
      <c r="R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 s="1">
        <v>42382</v>
      </c>
      <c r="AC947" t="s">
        <v>53</v>
      </c>
      <c r="AD947" t="s">
        <v>53</v>
      </c>
      <c r="AK947">
        <v>0</v>
      </c>
      <c r="AU947" s="6">
        <v>42277</v>
      </c>
      <c r="AV947" s="6">
        <v>42277</v>
      </c>
      <c r="AW947" t="s">
        <v>54</v>
      </c>
      <c r="AX947" t="str">
        <f t="shared" si="72"/>
        <v>FOR</v>
      </c>
      <c r="AY947" t="s">
        <v>55</v>
      </c>
    </row>
    <row r="948" spans="1:51" hidden="1">
      <c r="A948">
        <v>100210</v>
      </c>
      <c r="B948" t="s">
        <v>103</v>
      </c>
      <c r="C948" t="str">
        <f t="shared" si="74"/>
        <v>08082461008</v>
      </c>
      <c r="D948" t="str">
        <f t="shared" si="74"/>
        <v>08082461008</v>
      </c>
      <c r="E948" t="s">
        <v>52</v>
      </c>
      <c r="F948">
        <v>2014</v>
      </c>
      <c r="G948">
        <v>14161326</v>
      </c>
      <c r="H948" s="1">
        <v>41926</v>
      </c>
      <c r="I948" s="1">
        <v>41936</v>
      </c>
      <c r="J948" s="1">
        <v>41936</v>
      </c>
      <c r="K948" s="1">
        <v>41996</v>
      </c>
      <c r="N948" s="5"/>
      <c r="O948">
        <v>451.88</v>
      </c>
      <c r="P948">
        <v>281</v>
      </c>
      <c r="Q948" s="2">
        <v>126978.28</v>
      </c>
      <c r="R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 s="1">
        <v>42382</v>
      </c>
      <c r="AC948" t="s">
        <v>53</v>
      </c>
      <c r="AD948" t="s">
        <v>53</v>
      </c>
      <c r="AK948">
        <v>0</v>
      </c>
      <c r="AU948" s="6">
        <v>42277</v>
      </c>
      <c r="AV948" s="6">
        <v>42277</v>
      </c>
      <c r="AW948" t="s">
        <v>54</v>
      </c>
      <c r="AX948" t="str">
        <f t="shared" si="72"/>
        <v>FOR</v>
      </c>
      <c r="AY948" t="s">
        <v>55</v>
      </c>
    </row>
    <row r="949" spans="1:51" hidden="1">
      <c r="A949">
        <v>100210</v>
      </c>
      <c r="B949" t="s">
        <v>103</v>
      </c>
      <c r="C949" t="str">
        <f t="shared" si="74"/>
        <v>08082461008</v>
      </c>
      <c r="D949" t="str">
        <f t="shared" si="74"/>
        <v>08082461008</v>
      </c>
      <c r="E949" t="s">
        <v>52</v>
      </c>
      <c r="F949">
        <v>2014</v>
      </c>
      <c r="G949">
        <v>14161330</v>
      </c>
      <c r="H949" s="1">
        <v>41926</v>
      </c>
      <c r="I949" s="1">
        <v>41936</v>
      </c>
      <c r="J949" s="1">
        <v>41936</v>
      </c>
      <c r="K949" s="1">
        <v>41996</v>
      </c>
      <c r="N949" s="5"/>
      <c r="O949">
        <v>451.88</v>
      </c>
      <c r="P949">
        <v>281</v>
      </c>
      <c r="Q949" s="2">
        <v>126978.28</v>
      </c>
      <c r="R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 s="1">
        <v>42382</v>
      </c>
      <c r="AC949" t="s">
        <v>53</v>
      </c>
      <c r="AD949" t="s">
        <v>53</v>
      </c>
      <c r="AK949">
        <v>0</v>
      </c>
      <c r="AU949" s="6">
        <v>42277</v>
      </c>
      <c r="AV949" s="6">
        <v>42277</v>
      </c>
      <c r="AW949" t="s">
        <v>54</v>
      </c>
      <c r="AX949" t="str">
        <f t="shared" si="72"/>
        <v>FOR</v>
      </c>
      <c r="AY949" t="s">
        <v>55</v>
      </c>
    </row>
    <row r="950" spans="1:51" hidden="1">
      <c r="A950">
        <v>100210</v>
      </c>
      <c r="B950" t="s">
        <v>103</v>
      </c>
      <c r="C950" t="str">
        <f t="shared" si="74"/>
        <v>08082461008</v>
      </c>
      <c r="D950" t="str">
        <f t="shared" si="74"/>
        <v>08082461008</v>
      </c>
      <c r="E950" t="s">
        <v>52</v>
      </c>
      <c r="F950">
        <v>2014</v>
      </c>
      <c r="G950">
        <v>14161332</v>
      </c>
      <c r="H950" s="1">
        <v>41926</v>
      </c>
      <c r="I950" s="1">
        <v>41936</v>
      </c>
      <c r="J950" s="1">
        <v>41936</v>
      </c>
      <c r="K950" s="1">
        <v>41996</v>
      </c>
      <c r="N950" s="5"/>
      <c r="O950">
        <v>114.4</v>
      </c>
      <c r="P950">
        <v>281</v>
      </c>
      <c r="Q950" s="2">
        <v>32146.400000000001</v>
      </c>
      <c r="R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 s="1">
        <v>42382</v>
      </c>
      <c r="AC950" t="s">
        <v>53</v>
      </c>
      <c r="AD950" t="s">
        <v>53</v>
      </c>
      <c r="AK950">
        <v>0</v>
      </c>
      <c r="AU950" s="6">
        <v>42277</v>
      </c>
      <c r="AV950" s="6">
        <v>42277</v>
      </c>
      <c r="AW950" t="s">
        <v>54</v>
      </c>
      <c r="AX950" t="str">
        <f t="shared" si="72"/>
        <v>FOR</v>
      </c>
      <c r="AY950" t="s">
        <v>55</v>
      </c>
    </row>
    <row r="951" spans="1:51" hidden="1">
      <c r="A951">
        <v>100210</v>
      </c>
      <c r="B951" t="s">
        <v>103</v>
      </c>
      <c r="C951" t="str">
        <f t="shared" si="74"/>
        <v>08082461008</v>
      </c>
      <c r="D951" t="str">
        <f t="shared" si="74"/>
        <v>08082461008</v>
      </c>
      <c r="E951" t="s">
        <v>52</v>
      </c>
      <c r="F951">
        <v>2014</v>
      </c>
      <c r="G951">
        <v>14161334</v>
      </c>
      <c r="H951" s="1">
        <v>41926</v>
      </c>
      <c r="I951" s="1">
        <v>41936</v>
      </c>
      <c r="J951" s="1">
        <v>41936</v>
      </c>
      <c r="K951" s="1">
        <v>41996</v>
      </c>
      <c r="N951" s="5"/>
      <c r="O951">
        <v>114.4</v>
      </c>
      <c r="P951">
        <v>281</v>
      </c>
      <c r="Q951" s="2">
        <v>32146.400000000001</v>
      </c>
      <c r="R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 s="1">
        <v>42382</v>
      </c>
      <c r="AC951" t="s">
        <v>53</v>
      </c>
      <c r="AD951" t="s">
        <v>53</v>
      </c>
      <c r="AK951">
        <v>0</v>
      </c>
      <c r="AU951" s="6">
        <v>42277</v>
      </c>
      <c r="AV951" s="6">
        <v>42277</v>
      </c>
      <c r="AW951" t="s">
        <v>54</v>
      </c>
      <c r="AX951" t="str">
        <f t="shared" si="72"/>
        <v>FOR</v>
      </c>
      <c r="AY951" t="s">
        <v>55</v>
      </c>
    </row>
    <row r="952" spans="1:51" hidden="1">
      <c r="A952">
        <v>100210</v>
      </c>
      <c r="B952" t="s">
        <v>103</v>
      </c>
      <c r="C952" t="str">
        <f t="shared" si="74"/>
        <v>08082461008</v>
      </c>
      <c r="D952" t="str">
        <f t="shared" si="74"/>
        <v>08082461008</v>
      </c>
      <c r="E952" t="s">
        <v>52</v>
      </c>
      <c r="F952">
        <v>2014</v>
      </c>
      <c r="G952">
        <v>14161336</v>
      </c>
      <c r="H952" s="1">
        <v>41926</v>
      </c>
      <c r="I952" s="1">
        <v>41936</v>
      </c>
      <c r="J952" s="1">
        <v>41936</v>
      </c>
      <c r="K952" s="1">
        <v>41996</v>
      </c>
      <c r="N952" s="5"/>
      <c r="O952">
        <v>45.76</v>
      </c>
      <c r="P952">
        <v>281</v>
      </c>
      <c r="Q952" s="2">
        <v>12858.56</v>
      </c>
      <c r="R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 s="1">
        <v>42382</v>
      </c>
      <c r="AC952" t="s">
        <v>53</v>
      </c>
      <c r="AD952" t="s">
        <v>53</v>
      </c>
      <c r="AK952">
        <v>0</v>
      </c>
      <c r="AU952" s="6">
        <v>42277</v>
      </c>
      <c r="AV952" s="6">
        <v>42277</v>
      </c>
      <c r="AW952" t="s">
        <v>54</v>
      </c>
      <c r="AX952" t="str">
        <f t="shared" si="72"/>
        <v>FOR</v>
      </c>
      <c r="AY952" t="s">
        <v>55</v>
      </c>
    </row>
    <row r="953" spans="1:51" hidden="1">
      <c r="A953">
        <v>100210</v>
      </c>
      <c r="B953" t="s">
        <v>103</v>
      </c>
      <c r="C953" t="str">
        <f t="shared" si="74"/>
        <v>08082461008</v>
      </c>
      <c r="D953" t="str">
        <f t="shared" si="74"/>
        <v>08082461008</v>
      </c>
      <c r="E953" t="s">
        <v>52</v>
      </c>
      <c r="F953">
        <v>2014</v>
      </c>
      <c r="G953">
        <v>14161338</v>
      </c>
      <c r="H953" s="1">
        <v>41926</v>
      </c>
      <c r="I953" s="1">
        <v>41936</v>
      </c>
      <c r="J953" s="1">
        <v>41936</v>
      </c>
      <c r="K953" s="1">
        <v>41996</v>
      </c>
      <c r="N953" s="5"/>
      <c r="O953">
        <v>45.76</v>
      </c>
      <c r="P953">
        <v>281</v>
      </c>
      <c r="Q953" s="2">
        <v>12858.56</v>
      </c>
      <c r="R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 s="1">
        <v>42382</v>
      </c>
      <c r="AC953" t="s">
        <v>53</v>
      </c>
      <c r="AD953" t="s">
        <v>53</v>
      </c>
      <c r="AK953">
        <v>0</v>
      </c>
      <c r="AU953" s="6">
        <v>42277</v>
      </c>
      <c r="AV953" s="6">
        <v>42277</v>
      </c>
      <c r="AW953" t="s">
        <v>54</v>
      </c>
      <c r="AX953" t="str">
        <f t="shared" si="72"/>
        <v>FOR</v>
      </c>
      <c r="AY953" t="s">
        <v>55</v>
      </c>
    </row>
    <row r="954" spans="1:51" hidden="1">
      <c r="A954">
        <v>100210</v>
      </c>
      <c r="B954" t="s">
        <v>103</v>
      </c>
      <c r="C954" t="str">
        <f t="shared" si="74"/>
        <v>08082461008</v>
      </c>
      <c r="D954" t="str">
        <f t="shared" si="74"/>
        <v>08082461008</v>
      </c>
      <c r="E954" t="s">
        <v>52</v>
      </c>
      <c r="F954">
        <v>2014</v>
      </c>
      <c r="G954">
        <v>14161339</v>
      </c>
      <c r="H954" s="1">
        <v>41926</v>
      </c>
      <c r="I954" s="1">
        <v>41936</v>
      </c>
      <c r="J954" s="1">
        <v>41936</v>
      </c>
      <c r="K954" s="1">
        <v>41996</v>
      </c>
      <c r="N954" s="5"/>
      <c r="O954">
        <v>45.76</v>
      </c>
      <c r="P954">
        <v>281</v>
      </c>
      <c r="Q954" s="2">
        <v>12858.56</v>
      </c>
      <c r="R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 s="1">
        <v>42382</v>
      </c>
      <c r="AC954" t="s">
        <v>53</v>
      </c>
      <c r="AD954" t="s">
        <v>53</v>
      </c>
      <c r="AK954">
        <v>0</v>
      </c>
      <c r="AU954" s="6">
        <v>42277</v>
      </c>
      <c r="AV954" s="6">
        <v>42277</v>
      </c>
      <c r="AW954" t="s">
        <v>54</v>
      </c>
      <c r="AX954" t="str">
        <f t="shared" si="72"/>
        <v>FOR</v>
      </c>
      <c r="AY954" t="s">
        <v>55</v>
      </c>
    </row>
    <row r="955" spans="1:51" hidden="1">
      <c r="A955">
        <v>100210</v>
      </c>
      <c r="B955" t="s">
        <v>103</v>
      </c>
      <c r="C955" t="str">
        <f t="shared" si="74"/>
        <v>08082461008</v>
      </c>
      <c r="D955" t="str">
        <f t="shared" si="74"/>
        <v>08082461008</v>
      </c>
      <c r="E955" t="s">
        <v>52</v>
      </c>
      <c r="F955">
        <v>2014</v>
      </c>
      <c r="G955">
        <v>14161345</v>
      </c>
      <c r="H955" s="1">
        <v>41926</v>
      </c>
      <c r="I955" s="1">
        <v>41936</v>
      </c>
      <c r="J955" s="1">
        <v>41936</v>
      </c>
      <c r="K955" s="1">
        <v>41996</v>
      </c>
      <c r="N955" s="5"/>
      <c r="O955">
        <v>45.76</v>
      </c>
      <c r="P955">
        <v>281</v>
      </c>
      <c r="Q955" s="2">
        <v>12858.56</v>
      </c>
      <c r="R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 s="1">
        <v>42382</v>
      </c>
      <c r="AC955" t="s">
        <v>53</v>
      </c>
      <c r="AD955" t="s">
        <v>53</v>
      </c>
      <c r="AK955">
        <v>0</v>
      </c>
      <c r="AU955" s="6">
        <v>42277</v>
      </c>
      <c r="AV955" s="6">
        <v>42277</v>
      </c>
      <c r="AW955" t="s">
        <v>54</v>
      </c>
      <c r="AX955" t="str">
        <f t="shared" si="72"/>
        <v>FOR</v>
      </c>
      <c r="AY955" t="s">
        <v>55</v>
      </c>
    </row>
    <row r="956" spans="1:51" hidden="1">
      <c r="A956">
        <v>100210</v>
      </c>
      <c r="B956" t="s">
        <v>103</v>
      </c>
      <c r="C956" t="str">
        <f t="shared" si="74"/>
        <v>08082461008</v>
      </c>
      <c r="D956" t="str">
        <f t="shared" si="74"/>
        <v>08082461008</v>
      </c>
      <c r="E956" t="s">
        <v>52</v>
      </c>
      <c r="F956">
        <v>2014</v>
      </c>
      <c r="G956">
        <v>14161346</v>
      </c>
      <c r="H956" s="1">
        <v>41926</v>
      </c>
      <c r="I956" s="1">
        <v>41936</v>
      </c>
      <c r="J956" s="1">
        <v>41936</v>
      </c>
      <c r="K956" s="1">
        <v>41996</v>
      </c>
      <c r="N956" s="5"/>
      <c r="O956">
        <v>45.76</v>
      </c>
      <c r="P956">
        <v>281</v>
      </c>
      <c r="Q956" s="2">
        <v>12858.56</v>
      </c>
      <c r="R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 s="1">
        <v>42382</v>
      </c>
      <c r="AC956" t="s">
        <v>53</v>
      </c>
      <c r="AD956" t="s">
        <v>53</v>
      </c>
      <c r="AK956">
        <v>0</v>
      </c>
      <c r="AU956" s="6">
        <v>42277</v>
      </c>
      <c r="AV956" s="6">
        <v>42277</v>
      </c>
      <c r="AW956" t="s">
        <v>54</v>
      </c>
      <c r="AX956" t="str">
        <f t="shared" si="72"/>
        <v>FOR</v>
      </c>
      <c r="AY956" t="s">
        <v>55</v>
      </c>
    </row>
    <row r="957" spans="1:51" hidden="1">
      <c r="A957">
        <v>100210</v>
      </c>
      <c r="B957" t="s">
        <v>103</v>
      </c>
      <c r="C957" t="str">
        <f t="shared" si="74"/>
        <v>08082461008</v>
      </c>
      <c r="D957" t="str">
        <f t="shared" si="74"/>
        <v>08082461008</v>
      </c>
      <c r="E957" t="s">
        <v>52</v>
      </c>
      <c r="F957">
        <v>2014</v>
      </c>
      <c r="G957">
        <v>14161349</v>
      </c>
      <c r="H957" s="1">
        <v>41926</v>
      </c>
      <c r="I957" s="1">
        <v>41936</v>
      </c>
      <c r="J957" s="1">
        <v>41936</v>
      </c>
      <c r="K957" s="1">
        <v>41996</v>
      </c>
      <c r="N957" s="5"/>
      <c r="O957">
        <v>45.76</v>
      </c>
      <c r="P957">
        <v>281</v>
      </c>
      <c r="Q957" s="2">
        <v>12858.56</v>
      </c>
      <c r="R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 s="1">
        <v>42382</v>
      </c>
      <c r="AC957" t="s">
        <v>53</v>
      </c>
      <c r="AD957" t="s">
        <v>53</v>
      </c>
      <c r="AK957">
        <v>0</v>
      </c>
      <c r="AU957" s="6">
        <v>42277</v>
      </c>
      <c r="AV957" s="6">
        <v>42277</v>
      </c>
      <c r="AW957" t="s">
        <v>54</v>
      </c>
      <c r="AX957" t="str">
        <f t="shared" si="72"/>
        <v>FOR</v>
      </c>
      <c r="AY957" t="s">
        <v>55</v>
      </c>
    </row>
    <row r="958" spans="1:51" hidden="1">
      <c r="A958">
        <v>100210</v>
      </c>
      <c r="B958" t="s">
        <v>103</v>
      </c>
      <c r="C958" t="str">
        <f t="shared" ref="C958:D977" si="75">"08082461008"</f>
        <v>08082461008</v>
      </c>
      <c r="D958" t="str">
        <f t="shared" si="75"/>
        <v>08082461008</v>
      </c>
      <c r="E958" t="s">
        <v>52</v>
      </c>
      <c r="F958">
        <v>2014</v>
      </c>
      <c r="G958">
        <v>14161352</v>
      </c>
      <c r="H958" s="1">
        <v>41926</v>
      </c>
      <c r="I958" s="1">
        <v>41936</v>
      </c>
      <c r="J958" s="1">
        <v>41936</v>
      </c>
      <c r="K958" s="1">
        <v>41996</v>
      </c>
      <c r="N958" s="5"/>
      <c r="O958">
        <v>451.88</v>
      </c>
      <c r="P958">
        <v>281</v>
      </c>
      <c r="Q958" s="2">
        <v>126978.28</v>
      </c>
      <c r="R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 s="1">
        <v>42382</v>
      </c>
      <c r="AC958" t="s">
        <v>53</v>
      </c>
      <c r="AD958" t="s">
        <v>53</v>
      </c>
      <c r="AK958">
        <v>0</v>
      </c>
      <c r="AU958" s="6">
        <v>42277</v>
      </c>
      <c r="AV958" s="6">
        <v>42277</v>
      </c>
      <c r="AW958" t="s">
        <v>54</v>
      </c>
      <c r="AX958" t="str">
        <f t="shared" si="72"/>
        <v>FOR</v>
      </c>
      <c r="AY958" t="s">
        <v>55</v>
      </c>
    </row>
    <row r="959" spans="1:51" hidden="1">
      <c r="A959">
        <v>100210</v>
      </c>
      <c r="B959" t="s">
        <v>103</v>
      </c>
      <c r="C959" t="str">
        <f t="shared" si="75"/>
        <v>08082461008</v>
      </c>
      <c r="D959" t="str">
        <f t="shared" si="75"/>
        <v>08082461008</v>
      </c>
      <c r="E959" t="s">
        <v>52</v>
      </c>
      <c r="F959">
        <v>2014</v>
      </c>
      <c r="G959">
        <v>14164336</v>
      </c>
      <c r="H959" s="1">
        <v>41929</v>
      </c>
      <c r="I959" s="1">
        <v>41941</v>
      </c>
      <c r="J959" s="1">
        <v>41941</v>
      </c>
      <c r="K959" s="1">
        <v>42001</v>
      </c>
      <c r="N959" s="5"/>
      <c r="O959" s="2">
        <v>5943.84</v>
      </c>
      <c r="P959">
        <v>276</v>
      </c>
      <c r="Q959" s="2">
        <v>1640499.84</v>
      </c>
      <c r="R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 s="1">
        <v>42382</v>
      </c>
      <c r="AC959" t="s">
        <v>53</v>
      </c>
      <c r="AD959" t="s">
        <v>53</v>
      </c>
      <c r="AK959">
        <v>0</v>
      </c>
      <c r="AU959" s="6">
        <v>42277</v>
      </c>
      <c r="AV959" s="6">
        <v>42277</v>
      </c>
      <c r="AW959" t="s">
        <v>54</v>
      </c>
      <c r="AX959" t="str">
        <f t="shared" si="72"/>
        <v>FOR</v>
      </c>
      <c r="AY959" t="s">
        <v>55</v>
      </c>
    </row>
    <row r="960" spans="1:51" hidden="1">
      <c r="A960">
        <v>100210</v>
      </c>
      <c r="B960" t="s">
        <v>103</v>
      </c>
      <c r="C960" t="str">
        <f t="shared" si="75"/>
        <v>08082461008</v>
      </c>
      <c r="D960" t="str">
        <f t="shared" si="75"/>
        <v>08082461008</v>
      </c>
      <c r="E960" t="s">
        <v>52</v>
      </c>
      <c r="F960">
        <v>2014</v>
      </c>
      <c r="G960">
        <v>14165773</v>
      </c>
      <c r="H960" s="1">
        <v>41933</v>
      </c>
      <c r="I960" s="1">
        <v>41946</v>
      </c>
      <c r="J960" s="1">
        <v>41946</v>
      </c>
      <c r="K960" s="1">
        <v>42006</v>
      </c>
      <c r="N960" s="5"/>
      <c r="O960" s="2">
        <v>1613.91</v>
      </c>
      <c r="P960">
        <v>271</v>
      </c>
      <c r="Q960" s="2">
        <v>437369.61</v>
      </c>
      <c r="R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 s="1">
        <v>42382</v>
      </c>
      <c r="AC960" t="s">
        <v>53</v>
      </c>
      <c r="AD960" t="s">
        <v>53</v>
      </c>
      <c r="AK960">
        <v>0</v>
      </c>
      <c r="AU960" s="6">
        <v>42277</v>
      </c>
      <c r="AV960" s="6">
        <v>42277</v>
      </c>
      <c r="AW960" t="s">
        <v>54</v>
      </c>
      <c r="AX960" t="str">
        <f t="shared" si="72"/>
        <v>FOR</v>
      </c>
      <c r="AY960" t="s">
        <v>55</v>
      </c>
    </row>
    <row r="961" spans="1:51" hidden="1">
      <c r="A961">
        <v>100210</v>
      </c>
      <c r="B961" t="s">
        <v>103</v>
      </c>
      <c r="C961" t="str">
        <f t="shared" si="75"/>
        <v>08082461008</v>
      </c>
      <c r="D961" t="str">
        <f t="shared" si="75"/>
        <v>08082461008</v>
      </c>
      <c r="E961" t="s">
        <v>52</v>
      </c>
      <c r="F961">
        <v>2014</v>
      </c>
      <c r="G961">
        <v>14166431</v>
      </c>
      <c r="H961" s="1">
        <v>41934</v>
      </c>
      <c r="I961" s="1">
        <v>41948</v>
      </c>
      <c r="J961" s="1">
        <v>41948</v>
      </c>
      <c r="K961" s="1">
        <v>42008</v>
      </c>
      <c r="N961" s="5"/>
      <c r="O961">
        <v>644.79999999999995</v>
      </c>
      <c r="P961">
        <v>269</v>
      </c>
      <c r="Q961" s="2">
        <v>173451.2</v>
      </c>
      <c r="R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 s="1">
        <v>42382</v>
      </c>
      <c r="AC961" t="s">
        <v>53</v>
      </c>
      <c r="AD961" t="s">
        <v>53</v>
      </c>
      <c r="AK961">
        <v>0</v>
      </c>
      <c r="AU961" s="6">
        <v>42277</v>
      </c>
      <c r="AV961" s="6">
        <v>42277</v>
      </c>
      <c r="AW961" t="s">
        <v>54</v>
      </c>
      <c r="AX961" t="str">
        <f t="shared" si="72"/>
        <v>FOR</v>
      </c>
      <c r="AY961" t="s">
        <v>55</v>
      </c>
    </row>
    <row r="962" spans="1:51" hidden="1">
      <c r="A962">
        <v>100210</v>
      </c>
      <c r="B962" t="s">
        <v>103</v>
      </c>
      <c r="C962" t="str">
        <f t="shared" si="75"/>
        <v>08082461008</v>
      </c>
      <c r="D962" t="str">
        <f t="shared" si="75"/>
        <v>08082461008</v>
      </c>
      <c r="E962" t="s">
        <v>52</v>
      </c>
      <c r="F962">
        <v>2014</v>
      </c>
      <c r="G962">
        <v>14166432</v>
      </c>
      <c r="H962" s="1">
        <v>41934</v>
      </c>
      <c r="I962" s="1">
        <v>41948</v>
      </c>
      <c r="J962" s="1">
        <v>41948</v>
      </c>
      <c r="K962" s="1">
        <v>42008</v>
      </c>
      <c r="N962" s="5"/>
      <c r="O962">
        <v>644.79999999999995</v>
      </c>
      <c r="P962">
        <v>269</v>
      </c>
      <c r="Q962" s="2">
        <v>173451.2</v>
      </c>
      <c r="R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 s="1">
        <v>42382</v>
      </c>
      <c r="AC962" t="s">
        <v>53</v>
      </c>
      <c r="AD962" t="s">
        <v>53</v>
      </c>
      <c r="AK962">
        <v>0</v>
      </c>
      <c r="AU962" s="6">
        <v>42277</v>
      </c>
      <c r="AV962" s="6">
        <v>42277</v>
      </c>
      <c r="AW962" t="s">
        <v>54</v>
      </c>
      <c r="AX962" t="str">
        <f t="shared" si="72"/>
        <v>FOR</v>
      </c>
      <c r="AY962" t="s">
        <v>55</v>
      </c>
    </row>
    <row r="963" spans="1:51" hidden="1">
      <c r="A963">
        <v>100210</v>
      </c>
      <c r="B963" t="s">
        <v>103</v>
      </c>
      <c r="C963" t="str">
        <f t="shared" si="75"/>
        <v>08082461008</v>
      </c>
      <c r="D963" t="str">
        <f t="shared" si="75"/>
        <v>08082461008</v>
      </c>
      <c r="E963" t="s">
        <v>52</v>
      </c>
      <c r="F963">
        <v>2014</v>
      </c>
      <c r="G963">
        <v>14167665</v>
      </c>
      <c r="H963" s="1">
        <v>41935</v>
      </c>
      <c r="I963" s="1">
        <v>41948</v>
      </c>
      <c r="J963" s="1">
        <v>41948</v>
      </c>
      <c r="K963" s="1">
        <v>42008</v>
      </c>
      <c r="N963" s="5"/>
      <c r="O963" s="2">
        <v>6104.88</v>
      </c>
      <c r="P963">
        <v>269</v>
      </c>
      <c r="Q963" s="2">
        <v>1642212.72</v>
      </c>
      <c r="R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 s="1">
        <v>42382</v>
      </c>
      <c r="AC963" t="s">
        <v>53</v>
      </c>
      <c r="AD963" t="s">
        <v>53</v>
      </c>
      <c r="AK963">
        <v>0</v>
      </c>
      <c r="AU963" s="6">
        <v>42277</v>
      </c>
      <c r="AV963" s="6">
        <v>42277</v>
      </c>
      <c r="AW963" t="s">
        <v>54</v>
      </c>
      <c r="AX963" t="str">
        <f t="shared" ref="AX963:AX1026" si="76">"FOR"</f>
        <v>FOR</v>
      </c>
      <c r="AY963" t="s">
        <v>55</v>
      </c>
    </row>
    <row r="964" spans="1:51" hidden="1">
      <c r="A964">
        <v>100210</v>
      </c>
      <c r="B964" t="s">
        <v>103</v>
      </c>
      <c r="C964" t="str">
        <f t="shared" si="75"/>
        <v>08082461008</v>
      </c>
      <c r="D964" t="str">
        <f t="shared" si="75"/>
        <v>08082461008</v>
      </c>
      <c r="E964" t="s">
        <v>52</v>
      </c>
      <c r="F964">
        <v>2014</v>
      </c>
      <c r="G964">
        <v>14169505</v>
      </c>
      <c r="H964" s="1">
        <v>41939</v>
      </c>
      <c r="I964" s="1">
        <v>41950</v>
      </c>
      <c r="J964" s="1">
        <v>41950</v>
      </c>
      <c r="K964" s="1">
        <v>42010</v>
      </c>
      <c r="N964" s="5"/>
      <c r="O964">
        <v>610</v>
      </c>
      <c r="P964">
        <v>267</v>
      </c>
      <c r="Q964" s="2">
        <v>162870</v>
      </c>
      <c r="R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 s="1">
        <v>42382</v>
      </c>
      <c r="AC964" t="s">
        <v>53</v>
      </c>
      <c r="AD964" t="s">
        <v>53</v>
      </c>
      <c r="AK964">
        <v>0</v>
      </c>
      <c r="AU964" s="6">
        <v>42277</v>
      </c>
      <c r="AV964" s="6">
        <v>42277</v>
      </c>
      <c r="AW964" t="s">
        <v>54</v>
      </c>
      <c r="AX964" t="str">
        <f t="shared" si="76"/>
        <v>FOR</v>
      </c>
      <c r="AY964" t="s">
        <v>55</v>
      </c>
    </row>
    <row r="965" spans="1:51" hidden="1">
      <c r="A965">
        <v>100210</v>
      </c>
      <c r="B965" t="s">
        <v>103</v>
      </c>
      <c r="C965" t="str">
        <f t="shared" si="75"/>
        <v>08082461008</v>
      </c>
      <c r="D965" t="str">
        <f t="shared" si="75"/>
        <v>08082461008</v>
      </c>
      <c r="E965" t="s">
        <v>52</v>
      </c>
      <c r="F965">
        <v>2014</v>
      </c>
      <c r="G965">
        <v>14170256</v>
      </c>
      <c r="H965" s="1">
        <v>41940</v>
      </c>
      <c r="I965" s="1">
        <v>41950</v>
      </c>
      <c r="J965" s="1">
        <v>41950</v>
      </c>
      <c r="K965" s="1">
        <v>42010</v>
      </c>
      <c r="N965" s="5"/>
      <c r="O965">
        <v>114.4</v>
      </c>
      <c r="P965">
        <v>267</v>
      </c>
      <c r="Q965" s="2">
        <v>30544.799999999999</v>
      </c>
      <c r="R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 s="1">
        <v>42382</v>
      </c>
      <c r="AC965" t="s">
        <v>53</v>
      </c>
      <c r="AD965" t="s">
        <v>53</v>
      </c>
      <c r="AK965">
        <v>0</v>
      </c>
      <c r="AU965" s="6">
        <v>42277</v>
      </c>
      <c r="AV965" s="6">
        <v>42277</v>
      </c>
      <c r="AW965" t="s">
        <v>54</v>
      </c>
      <c r="AX965" t="str">
        <f t="shared" si="76"/>
        <v>FOR</v>
      </c>
      <c r="AY965" t="s">
        <v>55</v>
      </c>
    </row>
    <row r="966" spans="1:51" hidden="1">
      <c r="A966">
        <v>100210</v>
      </c>
      <c r="B966" t="s">
        <v>103</v>
      </c>
      <c r="C966" t="str">
        <f t="shared" si="75"/>
        <v>08082461008</v>
      </c>
      <c r="D966" t="str">
        <f t="shared" si="75"/>
        <v>08082461008</v>
      </c>
      <c r="E966" t="s">
        <v>52</v>
      </c>
      <c r="F966">
        <v>2014</v>
      </c>
      <c r="G966">
        <v>14170257</v>
      </c>
      <c r="H966" s="1">
        <v>41940</v>
      </c>
      <c r="I966" s="1">
        <v>41950</v>
      </c>
      <c r="J966" s="1">
        <v>41950</v>
      </c>
      <c r="K966" s="1">
        <v>42010</v>
      </c>
      <c r="N966" s="5"/>
      <c r="O966">
        <v>451.88</v>
      </c>
      <c r="P966">
        <v>267</v>
      </c>
      <c r="Q966" s="2">
        <v>120651.96</v>
      </c>
      <c r="R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 s="1">
        <v>42382</v>
      </c>
      <c r="AC966" t="s">
        <v>53</v>
      </c>
      <c r="AD966" t="s">
        <v>53</v>
      </c>
      <c r="AK966">
        <v>0</v>
      </c>
      <c r="AU966" s="6">
        <v>42277</v>
      </c>
      <c r="AV966" s="6">
        <v>42277</v>
      </c>
      <c r="AW966" t="s">
        <v>54</v>
      </c>
      <c r="AX966" t="str">
        <f t="shared" si="76"/>
        <v>FOR</v>
      </c>
      <c r="AY966" t="s">
        <v>55</v>
      </c>
    </row>
    <row r="967" spans="1:51" hidden="1">
      <c r="A967">
        <v>100210</v>
      </c>
      <c r="B967" t="s">
        <v>103</v>
      </c>
      <c r="C967" t="str">
        <f t="shared" si="75"/>
        <v>08082461008</v>
      </c>
      <c r="D967" t="str">
        <f t="shared" si="75"/>
        <v>08082461008</v>
      </c>
      <c r="E967" t="s">
        <v>52</v>
      </c>
      <c r="F967">
        <v>2014</v>
      </c>
      <c r="G967">
        <v>14170258</v>
      </c>
      <c r="H967" s="1">
        <v>41940</v>
      </c>
      <c r="I967" s="1">
        <v>41950</v>
      </c>
      <c r="J967" s="1">
        <v>41950</v>
      </c>
      <c r="K967" s="1">
        <v>42010</v>
      </c>
      <c r="N967" s="5"/>
      <c r="O967">
        <v>451.88</v>
      </c>
      <c r="P967">
        <v>267</v>
      </c>
      <c r="Q967" s="2">
        <v>120651.96</v>
      </c>
      <c r="R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 s="1">
        <v>42382</v>
      </c>
      <c r="AC967" t="s">
        <v>53</v>
      </c>
      <c r="AD967" t="s">
        <v>53</v>
      </c>
      <c r="AK967">
        <v>0</v>
      </c>
      <c r="AU967" s="6">
        <v>42277</v>
      </c>
      <c r="AV967" s="6">
        <v>42277</v>
      </c>
      <c r="AW967" t="s">
        <v>54</v>
      </c>
      <c r="AX967" t="str">
        <f t="shared" si="76"/>
        <v>FOR</v>
      </c>
      <c r="AY967" t="s">
        <v>55</v>
      </c>
    </row>
    <row r="968" spans="1:51" hidden="1">
      <c r="A968">
        <v>100210</v>
      </c>
      <c r="B968" t="s">
        <v>103</v>
      </c>
      <c r="C968" t="str">
        <f t="shared" si="75"/>
        <v>08082461008</v>
      </c>
      <c r="D968" t="str">
        <f t="shared" si="75"/>
        <v>08082461008</v>
      </c>
      <c r="E968" t="s">
        <v>52</v>
      </c>
      <c r="F968">
        <v>2014</v>
      </c>
      <c r="G968">
        <v>14170259</v>
      </c>
      <c r="H968" s="1">
        <v>41940</v>
      </c>
      <c r="I968" s="1">
        <v>41950</v>
      </c>
      <c r="J968" s="1">
        <v>41950</v>
      </c>
      <c r="K968" s="1">
        <v>42010</v>
      </c>
      <c r="N968" s="5"/>
      <c r="O968">
        <v>45.76</v>
      </c>
      <c r="P968">
        <v>267</v>
      </c>
      <c r="Q968" s="2">
        <v>12217.92</v>
      </c>
      <c r="R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 s="1">
        <v>42382</v>
      </c>
      <c r="AC968" t="s">
        <v>53</v>
      </c>
      <c r="AD968" t="s">
        <v>53</v>
      </c>
      <c r="AK968">
        <v>0</v>
      </c>
      <c r="AU968" s="6">
        <v>42277</v>
      </c>
      <c r="AV968" s="6">
        <v>42277</v>
      </c>
      <c r="AW968" t="s">
        <v>54</v>
      </c>
      <c r="AX968" t="str">
        <f t="shared" si="76"/>
        <v>FOR</v>
      </c>
      <c r="AY968" t="s">
        <v>55</v>
      </c>
    </row>
    <row r="969" spans="1:51" hidden="1">
      <c r="A969">
        <v>100210</v>
      </c>
      <c r="B969" t="s">
        <v>103</v>
      </c>
      <c r="C969" t="str">
        <f t="shared" si="75"/>
        <v>08082461008</v>
      </c>
      <c r="D969" t="str">
        <f t="shared" si="75"/>
        <v>08082461008</v>
      </c>
      <c r="E969" t="s">
        <v>52</v>
      </c>
      <c r="F969">
        <v>2014</v>
      </c>
      <c r="G969">
        <v>14170260</v>
      </c>
      <c r="H969" s="1">
        <v>41940</v>
      </c>
      <c r="I969" s="1">
        <v>41950</v>
      </c>
      <c r="J969" s="1">
        <v>41950</v>
      </c>
      <c r="K969" s="1">
        <v>42010</v>
      </c>
      <c r="N969" s="5"/>
      <c r="O969">
        <v>45.76</v>
      </c>
      <c r="P969">
        <v>267</v>
      </c>
      <c r="Q969" s="2">
        <v>12217.92</v>
      </c>
      <c r="R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 s="1">
        <v>42382</v>
      </c>
      <c r="AC969" t="s">
        <v>53</v>
      </c>
      <c r="AD969" t="s">
        <v>53</v>
      </c>
      <c r="AK969">
        <v>0</v>
      </c>
      <c r="AU969" s="6">
        <v>42277</v>
      </c>
      <c r="AV969" s="6">
        <v>42277</v>
      </c>
      <c r="AW969" t="s">
        <v>54</v>
      </c>
      <c r="AX969" t="str">
        <f t="shared" si="76"/>
        <v>FOR</v>
      </c>
      <c r="AY969" t="s">
        <v>55</v>
      </c>
    </row>
    <row r="970" spans="1:51" hidden="1">
      <c r="A970">
        <v>100210</v>
      </c>
      <c r="B970" t="s">
        <v>103</v>
      </c>
      <c r="C970" t="str">
        <f t="shared" si="75"/>
        <v>08082461008</v>
      </c>
      <c r="D970" t="str">
        <f t="shared" si="75"/>
        <v>08082461008</v>
      </c>
      <c r="E970" t="s">
        <v>52</v>
      </c>
      <c r="F970">
        <v>2014</v>
      </c>
      <c r="G970">
        <v>14170261</v>
      </c>
      <c r="H970" s="1">
        <v>41940</v>
      </c>
      <c r="I970" s="1">
        <v>41950</v>
      </c>
      <c r="J970" s="1">
        <v>41950</v>
      </c>
      <c r="K970" s="1">
        <v>42010</v>
      </c>
      <c r="N970" s="5"/>
      <c r="O970">
        <v>45.76</v>
      </c>
      <c r="P970">
        <v>267</v>
      </c>
      <c r="Q970" s="2">
        <v>12217.92</v>
      </c>
      <c r="R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 s="1">
        <v>42382</v>
      </c>
      <c r="AC970" t="s">
        <v>53</v>
      </c>
      <c r="AD970" t="s">
        <v>53</v>
      </c>
      <c r="AK970">
        <v>0</v>
      </c>
      <c r="AU970" s="6">
        <v>42277</v>
      </c>
      <c r="AV970" s="6">
        <v>42277</v>
      </c>
      <c r="AW970" t="s">
        <v>54</v>
      </c>
      <c r="AX970" t="str">
        <f t="shared" si="76"/>
        <v>FOR</v>
      </c>
      <c r="AY970" t="s">
        <v>55</v>
      </c>
    </row>
    <row r="971" spans="1:51" hidden="1">
      <c r="A971">
        <v>100210</v>
      </c>
      <c r="B971" t="s">
        <v>103</v>
      </c>
      <c r="C971" t="str">
        <f t="shared" si="75"/>
        <v>08082461008</v>
      </c>
      <c r="D971" t="str">
        <f t="shared" si="75"/>
        <v>08082461008</v>
      </c>
      <c r="E971" t="s">
        <v>52</v>
      </c>
      <c r="F971">
        <v>2014</v>
      </c>
      <c r="G971">
        <v>14170262</v>
      </c>
      <c r="H971" s="1">
        <v>41940</v>
      </c>
      <c r="I971" s="1">
        <v>41950</v>
      </c>
      <c r="J971" s="1">
        <v>41950</v>
      </c>
      <c r="K971" s="1">
        <v>42010</v>
      </c>
      <c r="N971" s="5"/>
      <c r="O971">
        <v>45.76</v>
      </c>
      <c r="P971">
        <v>267</v>
      </c>
      <c r="Q971" s="2">
        <v>12217.92</v>
      </c>
      <c r="R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 s="1">
        <v>42382</v>
      </c>
      <c r="AC971" t="s">
        <v>53</v>
      </c>
      <c r="AD971" t="s">
        <v>53</v>
      </c>
      <c r="AK971">
        <v>0</v>
      </c>
      <c r="AU971" s="6">
        <v>42277</v>
      </c>
      <c r="AV971" s="6">
        <v>42277</v>
      </c>
      <c r="AW971" t="s">
        <v>54</v>
      </c>
      <c r="AX971" t="str">
        <f t="shared" si="76"/>
        <v>FOR</v>
      </c>
      <c r="AY971" t="s">
        <v>55</v>
      </c>
    </row>
    <row r="972" spans="1:51" hidden="1">
      <c r="A972">
        <v>100210</v>
      </c>
      <c r="B972" t="s">
        <v>103</v>
      </c>
      <c r="C972" t="str">
        <f t="shared" si="75"/>
        <v>08082461008</v>
      </c>
      <c r="D972" t="str">
        <f t="shared" si="75"/>
        <v>08082461008</v>
      </c>
      <c r="E972" t="s">
        <v>52</v>
      </c>
      <c r="F972">
        <v>2014</v>
      </c>
      <c r="G972">
        <v>14170263</v>
      </c>
      <c r="H972" s="1">
        <v>41940</v>
      </c>
      <c r="I972" s="1">
        <v>41950</v>
      </c>
      <c r="J972" s="1">
        <v>41950</v>
      </c>
      <c r="K972" s="1">
        <v>42010</v>
      </c>
      <c r="N972" s="5"/>
      <c r="O972">
        <v>114.4</v>
      </c>
      <c r="P972">
        <v>267</v>
      </c>
      <c r="Q972" s="2">
        <v>30544.799999999999</v>
      </c>
      <c r="R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 s="1">
        <v>42382</v>
      </c>
      <c r="AC972" t="s">
        <v>53</v>
      </c>
      <c r="AD972" t="s">
        <v>53</v>
      </c>
      <c r="AK972">
        <v>0</v>
      </c>
      <c r="AU972" s="6">
        <v>42277</v>
      </c>
      <c r="AV972" s="6">
        <v>42277</v>
      </c>
      <c r="AW972" t="s">
        <v>54</v>
      </c>
      <c r="AX972" t="str">
        <f t="shared" si="76"/>
        <v>FOR</v>
      </c>
      <c r="AY972" t="s">
        <v>55</v>
      </c>
    </row>
    <row r="973" spans="1:51" hidden="1">
      <c r="A973">
        <v>100210</v>
      </c>
      <c r="B973" t="s">
        <v>103</v>
      </c>
      <c r="C973" t="str">
        <f t="shared" si="75"/>
        <v>08082461008</v>
      </c>
      <c r="D973" t="str">
        <f t="shared" si="75"/>
        <v>08082461008</v>
      </c>
      <c r="E973" t="s">
        <v>52</v>
      </c>
      <c r="F973">
        <v>2014</v>
      </c>
      <c r="G973">
        <v>14172766</v>
      </c>
      <c r="H973" s="1">
        <v>41943</v>
      </c>
      <c r="I973" s="1">
        <v>41964</v>
      </c>
      <c r="J973" s="1">
        <v>41964</v>
      </c>
      <c r="K973" s="1">
        <v>42024</v>
      </c>
      <c r="N973" s="5"/>
      <c r="O973" s="2">
        <v>9672</v>
      </c>
      <c r="P973">
        <v>253</v>
      </c>
      <c r="Q973" s="2">
        <v>2447016</v>
      </c>
      <c r="R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 s="1">
        <v>42382</v>
      </c>
      <c r="AC973" t="s">
        <v>53</v>
      </c>
      <c r="AD973" t="s">
        <v>53</v>
      </c>
      <c r="AK973">
        <v>0</v>
      </c>
      <c r="AU973" s="6">
        <v>42277</v>
      </c>
      <c r="AV973" s="6">
        <v>42277</v>
      </c>
      <c r="AW973" t="s">
        <v>54</v>
      </c>
      <c r="AX973" t="str">
        <f t="shared" si="76"/>
        <v>FOR</v>
      </c>
      <c r="AY973" t="s">
        <v>55</v>
      </c>
    </row>
    <row r="974" spans="1:51">
      <c r="A974">
        <v>100210</v>
      </c>
      <c r="B974" t="s">
        <v>103</v>
      </c>
      <c r="C974" t="str">
        <f t="shared" si="75"/>
        <v>08082461008</v>
      </c>
      <c r="D974" t="str">
        <f t="shared" si="75"/>
        <v>08082461008</v>
      </c>
      <c r="E974" t="s">
        <v>52</v>
      </c>
      <c r="F974">
        <v>2014</v>
      </c>
      <c r="G974">
        <v>14177295</v>
      </c>
      <c r="H974" s="1">
        <v>41953</v>
      </c>
      <c r="I974" s="1">
        <v>41971</v>
      </c>
      <c r="J974" s="1">
        <v>41971</v>
      </c>
      <c r="K974" s="1">
        <v>42031</v>
      </c>
      <c r="L974" s="7">
        <v>2898.72</v>
      </c>
      <c r="M974" s="5">
        <v>273</v>
      </c>
      <c r="N974" s="7">
        <v>791350.56</v>
      </c>
      <c r="O974" s="2">
        <v>2898.72</v>
      </c>
      <c r="P974">
        <v>273</v>
      </c>
      <c r="Q974" s="2">
        <v>791350.56</v>
      </c>
      <c r="R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 s="1">
        <v>42382</v>
      </c>
      <c r="AC974" t="s">
        <v>53</v>
      </c>
      <c r="AD974" t="s">
        <v>53</v>
      </c>
      <c r="AK974">
        <v>0</v>
      </c>
      <c r="AU974" s="6">
        <v>42304</v>
      </c>
      <c r="AV974" s="6">
        <v>42304</v>
      </c>
      <c r="AW974" t="s">
        <v>54</v>
      </c>
      <c r="AX974" t="str">
        <f t="shared" si="76"/>
        <v>FOR</v>
      </c>
      <c r="AY974" t="s">
        <v>55</v>
      </c>
    </row>
    <row r="975" spans="1:51">
      <c r="A975">
        <v>100210</v>
      </c>
      <c r="B975" t="s">
        <v>103</v>
      </c>
      <c r="C975" t="str">
        <f t="shared" si="75"/>
        <v>08082461008</v>
      </c>
      <c r="D975" t="str">
        <f t="shared" si="75"/>
        <v>08082461008</v>
      </c>
      <c r="E975" t="s">
        <v>52</v>
      </c>
      <c r="F975">
        <v>2014</v>
      </c>
      <c r="G975">
        <v>14177365</v>
      </c>
      <c r="H975" s="1">
        <v>41954</v>
      </c>
      <c r="I975" s="1">
        <v>41967</v>
      </c>
      <c r="J975" s="1">
        <v>41967</v>
      </c>
      <c r="K975" s="1">
        <v>42027</v>
      </c>
      <c r="L975" s="7">
        <v>644.79999999999995</v>
      </c>
      <c r="M975" s="5">
        <v>277</v>
      </c>
      <c r="N975" s="7">
        <v>178609.6</v>
      </c>
      <c r="O975">
        <v>644.79999999999995</v>
      </c>
      <c r="P975">
        <v>277</v>
      </c>
      <c r="Q975" s="2">
        <v>178609.6</v>
      </c>
      <c r="R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 s="1">
        <v>42382</v>
      </c>
      <c r="AC975" t="s">
        <v>53</v>
      </c>
      <c r="AD975" t="s">
        <v>53</v>
      </c>
      <c r="AK975">
        <v>0</v>
      </c>
      <c r="AU975" s="6">
        <v>42304</v>
      </c>
      <c r="AV975" s="6">
        <v>42304</v>
      </c>
      <c r="AW975" t="s">
        <v>54</v>
      </c>
      <c r="AX975" t="str">
        <f t="shared" si="76"/>
        <v>FOR</v>
      </c>
      <c r="AY975" t="s">
        <v>55</v>
      </c>
    </row>
    <row r="976" spans="1:51">
      <c r="A976">
        <v>100210</v>
      </c>
      <c r="B976" t="s">
        <v>103</v>
      </c>
      <c r="C976" t="str">
        <f t="shared" si="75"/>
        <v>08082461008</v>
      </c>
      <c r="D976" t="str">
        <f t="shared" si="75"/>
        <v>08082461008</v>
      </c>
      <c r="E976" t="s">
        <v>52</v>
      </c>
      <c r="F976">
        <v>2014</v>
      </c>
      <c r="G976">
        <v>14178624</v>
      </c>
      <c r="H976" s="1">
        <v>41955</v>
      </c>
      <c r="I976" s="1">
        <v>41976</v>
      </c>
      <c r="J976" s="1">
        <v>41976</v>
      </c>
      <c r="K976" s="1">
        <v>42036</v>
      </c>
      <c r="L976" s="7">
        <v>2213.5700000000002</v>
      </c>
      <c r="M976" s="5">
        <v>268</v>
      </c>
      <c r="N976" s="7">
        <v>593236.76</v>
      </c>
      <c r="O976" s="2">
        <v>2213.5700000000002</v>
      </c>
      <c r="P976">
        <v>268</v>
      </c>
      <c r="Q976" s="2">
        <v>593236.76</v>
      </c>
      <c r="R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 s="1">
        <v>42382</v>
      </c>
      <c r="AC976" t="s">
        <v>53</v>
      </c>
      <c r="AD976" t="s">
        <v>53</v>
      </c>
      <c r="AK976">
        <v>0</v>
      </c>
      <c r="AU976" s="6">
        <v>42304</v>
      </c>
      <c r="AV976" s="6">
        <v>42304</v>
      </c>
      <c r="AW976" t="s">
        <v>54</v>
      </c>
      <c r="AX976" t="str">
        <f t="shared" si="76"/>
        <v>FOR</v>
      </c>
      <c r="AY976" t="s">
        <v>55</v>
      </c>
    </row>
    <row r="977" spans="1:51">
      <c r="A977">
        <v>100210</v>
      </c>
      <c r="B977" t="s">
        <v>103</v>
      </c>
      <c r="C977" t="str">
        <f t="shared" si="75"/>
        <v>08082461008</v>
      </c>
      <c r="D977" t="str">
        <f t="shared" si="75"/>
        <v>08082461008</v>
      </c>
      <c r="E977" t="s">
        <v>52</v>
      </c>
      <c r="F977">
        <v>2014</v>
      </c>
      <c r="G977">
        <v>14178626</v>
      </c>
      <c r="H977" s="1">
        <v>41955</v>
      </c>
      <c r="I977" s="1">
        <v>41976</v>
      </c>
      <c r="J977" s="1">
        <v>41976</v>
      </c>
      <c r="K977" s="1">
        <v>42036</v>
      </c>
      <c r="L977" s="7">
        <v>3869.37</v>
      </c>
      <c r="M977" s="5">
        <v>268</v>
      </c>
      <c r="N977" s="7">
        <v>1036991.16</v>
      </c>
      <c r="O977" s="2">
        <v>3869.37</v>
      </c>
      <c r="P977">
        <v>268</v>
      </c>
      <c r="Q977" s="2">
        <v>1036991.16</v>
      </c>
      <c r="R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 s="1">
        <v>42382</v>
      </c>
      <c r="AC977" t="s">
        <v>53</v>
      </c>
      <c r="AD977" t="s">
        <v>53</v>
      </c>
      <c r="AK977">
        <v>0</v>
      </c>
      <c r="AU977" s="6">
        <v>42304</v>
      </c>
      <c r="AV977" s="6">
        <v>42304</v>
      </c>
      <c r="AW977" t="s">
        <v>54</v>
      </c>
      <c r="AX977" t="str">
        <f t="shared" si="76"/>
        <v>FOR</v>
      </c>
      <c r="AY977" t="s">
        <v>55</v>
      </c>
    </row>
    <row r="978" spans="1:51">
      <c r="A978">
        <v>100210</v>
      </c>
      <c r="B978" t="s">
        <v>103</v>
      </c>
      <c r="C978" t="str">
        <f t="shared" ref="C978:D997" si="77">"08082461008"</f>
        <v>08082461008</v>
      </c>
      <c r="D978" t="str">
        <f t="shared" si="77"/>
        <v>08082461008</v>
      </c>
      <c r="E978" t="s">
        <v>52</v>
      </c>
      <c r="F978">
        <v>2014</v>
      </c>
      <c r="G978">
        <v>14178628</v>
      </c>
      <c r="H978" s="1">
        <v>41955</v>
      </c>
      <c r="I978" s="1">
        <v>41976</v>
      </c>
      <c r="J978" s="1">
        <v>41976</v>
      </c>
      <c r="K978" s="1">
        <v>42036</v>
      </c>
      <c r="L978" s="7">
        <v>610.49</v>
      </c>
      <c r="M978" s="5">
        <v>268</v>
      </c>
      <c r="N978" s="7">
        <v>163611.32</v>
      </c>
      <c r="O978">
        <v>610.49</v>
      </c>
      <c r="P978">
        <v>268</v>
      </c>
      <c r="Q978" s="2">
        <v>163611.32</v>
      </c>
      <c r="R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 s="1">
        <v>42382</v>
      </c>
      <c r="AC978" t="s">
        <v>53</v>
      </c>
      <c r="AD978" t="s">
        <v>53</v>
      </c>
      <c r="AK978">
        <v>0</v>
      </c>
      <c r="AU978" s="6">
        <v>42304</v>
      </c>
      <c r="AV978" s="6">
        <v>42304</v>
      </c>
      <c r="AW978" t="s">
        <v>54</v>
      </c>
      <c r="AX978" t="str">
        <f t="shared" si="76"/>
        <v>FOR</v>
      </c>
      <c r="AY978" t="s">
        <v>55</v>
      </c>
    </row>
    <row r="979" spans="1:51">
      <c r="A979">
        <v>100210</v>
      </c>
      <c r="B979" t="s">
        <v>103</v>
      </c>
      <c r="C979" t="str">
        <f t="shared" si="77"/>
        <v>08082461008</v>
      </c>
      <c r="D979" t="str">
        <f t="shared" si="77"/>
        <v>08082461008</v>
      </c>
      <c r="E979" t="s">
        <v>52</v>
      </c>
      <c r="F979">
        <v>2014</v>
      </c>
      <c r="G979">
        <v>14179169</v>
      </c>
      <c r="H979" s="1">
        <v>41956</v>
      </c>
      <c r="I979" s="1">
        <v>41978</v>
      </c>
      <c r="J979" s="1">
        <v>41978</v>
      </c>
      <c r="K979" s="1">
        <v>42038</v>
      </c>
      <c r="L979" s="7">
        <v>644.79999999999995</v>
      </c>
      <c r="M979" s="5">
        <v>266</v>
      </c>
      <c r="N979" s="7">
        <v>171516.79999999999</v>
      </c>
      <c r="O979">
        <v>644.79999999999995</v>
      </c>
      <c r="P979">
        <v>266</v>
      </c>
      <c r="Q979" s="2">
        <v>171516.79999999999</v>
      </c>
      <c r="R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 s="1">
        <v>42382</v>
      </c>
      <c r="AC979" t="s">
        <v>53</v>
      </c>
      <c r="AD979" t="s">
        <v>53</v>
      </c>
      <c r="AK979">
        <v>0</v>
      </c>
      <c r="AU979" s="6">
        <v>42304</v>
      </c>
      <c r="AV979" s="6">
        <v>42304</v>
      </c>
      <c r="AW979" t="s">
        <v>54</v>
      </c>
      <c r="AX979" t="str">
        <f t="shared" si="76"/>
        <v>FOR</v>
      </c>
      <c r="AY979" t="s">
        <v>55</v>
      </c>
    </row>
    <row r="980" spans="1:51" hidden="1">
      <c r="A980">
        <v>100210</v>
      </c>
      <c r="B980" t="s">
        <v>103</v>
      </c>
      <c r="C980" t="str">
        <f t="shared" si="77"/>
        <v>08082461008</v>
      </c>
      <c r="D980" t="str">
        <f t="shared" si="77"/>
        <v>08082461008</v>
      </c>
      <c r="E980" t="s">
        <v>52</v>
      </c>
      <c r="F980">
        <v>2014</v>
      </c>
      <c r="G980">
        <v>14180237</v>
      </c>
      <c r="H980" s="1">
        <v>41957</v>
      </c>
      <c r="I980" s="1">
        <v>41983</v>
      </c>
      <c r="J980" s="1">
        <v>41983</v>
      </c>
      <c r="K980" s="1">
        <v>42043</v>
      </c>
      <c r="N980" s="5"/>
      <c r="O980" s="2">
        <v>2562</v>
      </c>
      <c r="P980">
        <v>234</v>
      </c>
      <c r="Q980" s="2">
        <v>599508</v>
      </c>
      <c r="R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 s="1">
        <v>42382</v>
      </c>
      <c r="AC980" t="s">
        <v>53</v>
      </c>
      <c r="AD980" t="s">
        <v>53</v>
      </c>
      <c r="AK980">
        <v>0</v>
      </c>
      <c r="AU980" s="6">
        <v>42277</v>
      </c>
      <c r="AV980" s="6">
        <v>42277</v>
      </c>
      <c r="AW980" t="s">
        <v>54</v>
      </c>
      <c r="AX980" t="str">
        <f t="shared" si="76"/>
        <v>FOR</v>
      </c>
      <c r="AY980" t="s">
        <v>55</v>
      </c>
    </row>
    <row r="981" spans="1:51">
      <c r="A981">
        <v>100210</v>
      </c>
      <c r="B981" t="s">
        <v>103</v>
      </c>
      <c r="C981" t="str">
        <f t="shared" si="77"/>
        <v>08082461008</v>
      </c>
      <c r="D981" t="str">
        <f t="shared" si="77"/>
        <v>08082461008</v>
      </c>
      <c r="E981" t="s">
        <v>52</v>
      </c>
      <c r="F981">
        <v>2014</v>
      </c>
      <c r="G981">
        <v>14180376</v>
      </c>
      <c r="H981" s="1">
        <v>41957</v>
      </c>
      <c r="I981" s="1">
        <v>41978</v>
      </c>
      <c r="J981" s="1">
        <v>41978</v>
      </c>
      <c r="K981" s="1">
        <v>42038</v>
      </c>
      <c r="L981" s="7">
        <v>512.4</v>
      </c>
      <c r="M981" s="5">
        <v>266</v>
      </c>
      <c r="N981" s="7">
        <v>136298.4</v>
      </c>
      <c r="O981">
        <v>512.4</v>
      </c>
      <c r="P981">
        <v>266</v>
      </c>
      <c r="Q981" s="2">
        <v>136298.4</v>
      </c>
      <c r="R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 s="1">
        <v>42382</v>
      </c>
      <c r="AC981" t="s">
        <v>53</v>
      </c>
      <c r="AD981" t="s">
        <v>53</v>
      </c>
      <c r="AK981">
        <v>0</v>
      </c>
      <c r="AU981" s="6">
        <v>42304</v>
      </c>
      <c r="AV981" s="6">
        <v>42304</v>
      </c>
      <c r="AW981" t="s">
        <v>54</v>
      </c>
      <c r="AX981" t="str">
        <f t="shared" si="76"/>
        <v>FOR</v>
      </c>
      <c r="AY981" t="s">
        <v>55</v>
      </c>
    </row>
    <row r="982" spans="1:51" hidden="1">
      <c r="A982">
        <v>100210</v>
      </c>
      <c r="B982" t="s">
        <v>103</v>
      </c>
      <c r="C982" t="str">
        <f t="shared" si="77"/>
        <v>08082461008</v>
      </c>
      <c r="D982" t="str">
        <f t="shared" si="77"/>
        <v>08082461008</v>
      </c>
      <c r="E982" t="s">
        <v>52</v>
      </c>
      <c r="F982">
        <v>2014</v>
      </c>
      <c r="G982">
        <v>14183486</v>
      </c>
      <c r="H982" s="1">
        <v>41963</v>
      </c>
      <c r="I982" s="1">
        <v>41974</v>
      </c>
      <c r="J982" s="1">
        <v>41974</v>
      </c>
      <c r="K982" s="1">
        <v>42034</v>
      </c>
      <c r="N982" s="5"/>
      <c r="O982">
        <v>610</v>
      </c>
      <c r="P982">
        <v>243</v>
      </c>
      <c r="Q982" s="2">
        <v>148230</v>
      </c>
      <c r="R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 s="1">
        <v>42382</v>
      </c>
      <c r="AC982" t="s">
        <v>53</v>
      </c>
      <c r="AD982" t="s">
        <v>53</v>
      </c>
      <c r="AK982">
        <v>0</v>
      </c>
      <c r="AU982" s="6">
        <v>42277</v>
      </c>
      <c r="AV982" s="6">
        <v>42277</v>
      </c>
      <c r="AW982" t="s">
        <v>54</v>
      </c>
      <c r="AX982" t="str">
        <f t="shared" si="76"/>
        <v>FOR</v>
      </c>
      <c r="AY982" t="s">
        <v>55</v>
      </c>
    </row>
    <row r="983" spans="1:51">
      <c r="A983">
        <v>100210</v>
      </c>
      <c r="B983" t="s">
        <v>103</v>
      </c>
      <c r="C983" t="str">
        <f t="shared" si="77"/>
        <v>08082461008</v>
      </c>
      <c r="D983" t="str">
        <f t="shared" si="77"/>
        <v>08082461008</v>
      </c>
      <c r="E983" t="s">
        <v>52</v>
      </c>
      <c r="F983">
        <v>2014</v>
      </c>
      <c r="G983">
        <v>14185174</v>
      </c>
      <c r="H983" s="1">
        <v>41964</v>
      </c>
      <c r="I983" s="1">
        <v>41974</v>
      </c>
      <c r="J983" s="1">
        <v>41974</v>
      </c>
      <c r="K983" s="1">
        <v>42034</v>
      </c>
      <c r="L983" s="7">
        <v>3164.92</v>
      </c>
      <c r="M983" s="5">
        <v>270</v>
      </c>
      <c r="N983" s="7">
        <v>854528.4</v>
      </c>
      <c r="O983" s="2">
        <v>3164.92</v>
      </c>
      <c r="P983">
        <v>270</v>
      </c>
      <c r="Q983" s="2">
        <v>854528.4</v>
      </c>
      <c r="R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 s="1">
        <v>42382</v>
      </c>
      <c r="AC983" t="s">
        <v>53</v>
      </c>
      <c r="AD983" t="s">
        <v>53</v>
      </c>
      <c r="AK983">
        <v>0</v>
      </c>
      <c r="AU983" s="6">
        <v>42304</v>
      </c>
      <c r="AV983" s="6">
        <v>42304</v>
      </c>
      <c r="AW983" t="s">
        <v>54</v>
      </c>
      <c r="AX983" t="str">
        <f t="shared" si="76"/>
        <v>FOR</v>
      </c>
      <c r="AY983" t="s">
        <v>55</v>
      </c>
    </row>
    <row r="984" spans="1:51">
      <c r="A984">
        <v>100210</v>
      </c>
      <c r="B984" t="s">
        <v>103</v>
      </c>
      <c r="C984" t="str">
        <f t="shared" si="77"/>
        <v>08082461008</v>
      </c>
      <c r="D984" t="str">
        <f t="shared" si="77"/>
        <v>08082461008</v>
      </c>
      <c r="E984" t="s">
        <v>52</v>
      </c>
      <c r="F984">
        <v>2014</v>
      </c>
      <c r="G984">
        <v>14185791</v>
      </c>
      <c r="H984" s="1">
        <v>41967</v>
      </c>
      <c r="I984" s="1">
        <v>41976</v>
      </c>
      <c r="J984" s="1">
        <v>41976</v>
      </c>
      <c r="K984" s="1">
        <v>42036</v>
      </c>
      <c r="L984" s="7">
        <v>451.88</v>
      </c>
      <c r="M984" s="5">
        <v>268</v>
      </c>
      <c r="N984" s="7">
        <v>121103.84</v>
      </c>
      <c r="O984">
        <v>451.88</v>
      </c>
      <c r="P984">
        <v>268</v>
      </c>
      <c r="Q984" s="2">
        <v>121103.84</v>
      </c>
      <c r="R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 s="1">
        <v>42382</v>
      </c>
      <c r="AC984" t="s">
        <v>53</v>
      </c>
      <c r="AD984" t="s">
        <v>53</v>
      </c>
      <c r="AK984">
        <v>0</v>
      </c>
      <c r="AU984" s="6">
        <v>42304</v>
      </c>
      <c r="AV984" s="6">
        <v>42304</v>
      </c>
      <c r="AW984" t="s">
        <v>54</v>
      </c>
      <c r="AX984" t="str">
        <f t="shared" si="76"/>
        <v>FOR</v>
      </c>
      <c r="AY984" t="s">
        <v>55</v>
      </c>
    </row>
    <row r="985" spans="1:51">
      <c r="A985">
        <v>100210</v>
      </c>
      <c r="B985" t="s">
        <v>103</v>
      </c>
      <c r="C985" t="str">
        <f t="shared" si="77"/>
        <v>08082461008</v>
      </c>
      <c r="D985" t="str">
        <f t="shared" si="77"/>
        <v>08082461008</v>
      </c>
      <c r="E985" t="s">
        <v>52</v>
      </c>
      <c r="F985">
        <v>2014</v>
      </c>
      <c r="G985">
        <v>14185792</v>
      </c>
      <c r="H985" s="1">
        <v>41967</v>
      </c>
      <c r="I985" s="1">
        <v>41976</v>
      </c>
      <c r="J985" s="1">
        <v>41976</v>
      </c>
      <c r="K985" s="1">
        <v>42036</v>
      </c>
      <c r="L985" s="7">
        <v>451.88</v>
      </c>
      <c r="M985" s="5">
        <v>268</v>
      </c>
      <c r="N985" s="7">
        <v>121103.84</v>
      </c>
      <c r="O985">
        <v>451.88</v>
      </c>
      <c r="P985">
        <v>268</v>
      </c>
      <c r="Q985" s="2">
        <v>121103.84</v>
      </c>
      <c r="R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 s="1">
        <v>42382</v>
      </c>
      <c r="AC985" t="s">
        <v>53</v>
      </c>
      <c r="AD985" t="s">
        <v>53</v>
      </c>
      <c r="AK985">
        <v>0</v>
      </c>
      <c r="AU985" s="6">
        <v>42304</v>
      </c>
      <c r="AV985" s="6">
        <v>42304</v>
      </c>
      <c r="AW985" t="s">
        <v>54</v>
      </c>
      <c r="AX985" t="str">
        <f t="shared" si="76"/>
        <v>FOR</v>
      </c>
      <c r="AY985" t="s">
        <v>55</v>
      </c>
    </row>
    <row r="986" spans="1:51">
      <c r="A986">
        <v>100210</v>
      </c>
      <c r="B986" t="s">
        <v>103</v>
      </c>
      <c r="C986" t="str">
        <f t="shared" si="77"/>
        <v>08082461008</v>
      </c>
      <c r="D986" t="str">
        <f t="shared" si="77"/>
        <v>08082461008</v>
      </c>
      <c r="E986" t="s">
        <v>52</v>
      </c>
      <c r="F986">
        <v>2014</v>
      </c>
      <c r="G986">
        <v>14185793</v>
      </c>
      <c r="H986" s="1">
        <v>41967</v>
      </c>
      <c r="I986" s="1">
        <v>41976</v>
      </c>
      <c r="J986" s="1">
        <v>41976</v>
      </c>
      <c r="K986" s="1">
        <v>42036</v>
      </c>
      <c r="L986" s="7">
        <v>114.4</v>
      </c>
      <c r="M986" s="5">
        <v>268</v>
      </c>
      <c r="N986" s="7">
        <v>30659.200000000001</v>
      </c>
      <c r="O986">
        <v>114.4</v>
      </c>
      <c r="P986">
        <v>268</v>
      </c>
      <c r="Q986" s="2">
        <v>30659.200000000001</v>
      </c>
      <c r="R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 s="1">
        <v>42382</v>
      </c>
      <c r="AC986" t="s">
        <v>53</v>
      </c>
      <c r="AD986" t="s">
        <v>53</v>
      </c>
      <c r="AK986">
        <v>0</v>
      </c>
      <c r="AU986" s="6">
        <v>42304</v>
      </c>
      <c r="AV986" s="6">
        <v>42304</v>
      </c>
      <c r="AW986" t="s">
        <v>54</v>
      </c>
      <c r="AX986" t="str">
        <f t="shared" si="76"/>
        <v>FOR</v>
      </c>
      <c r="AY986" t="s">
        <v>55</v>
      </c>
    </row>
    <row r="987" spans="1:51">
      <c r="A987">
        <v>100210</v>
      </c>
      <c r="B987" t="s">
        <v>103</v>
      </c>
      <c r="C987" t="str">
        <f t="shared" si="77"/>
        <v>08082461008</v>
      </c>
      <c r="D987" t="str">
        <f t="shared" si="77"/>
        <v>08082461008</v>
      </c>
      <c r="E987" t="s">
        <v>52</v>
      </c>
      <c r="F987">
        <v>2014</v>
      </c>
      <c r="G987">
        <v>14185795</v>
      </c>
      <c r="H987" s="1">
        <v>41967</v>
      </c>
      <c r="I987" s="1">
        <v>41976</v>
      </c>
      <c r="J987" s="1">
        <v>41976</v>
      </c>
      <c r="K987" s="1">
        <v>42036</v>
      </c>
      <c r="L987" s="7">
        <v>114.4</v>
      </c>
      <c r="M987" s="5">
        <v>268</v>
      </c>
      <c r="N987" s="7">
        <v>30659.200000000001</v>
      </c>
      <c r="O987">
        <v>114.4</v>
      </c>
      <c r="P987">
        <v>268</v>
      </c>
      <c r="Q987" s="2">
        <v>30659.200000000001</v>
      </c>
      <c r="R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 s="1">
        <v>42382</v>
      </c>
      <c r="AC987" t="s">
        <v>53</v>
      </c>
      <c r="AD987" t="s">
        <v>53</v>
      </c>
      <c r="AK987">
        <v>0</v>
      </c>
      <c r="AU987" s="6">
        <v>42304</v>
      </c>
      <c r="AV987" s="6">
        <v>42304</v>
      </c>
      <c r="AW987" t="s">
        <v>54</v>
      </c>
      <c r="AX987" t="str">
        <f t="shared" si="76"/>
        <v>FOR</v>
      </c>
      <c r="AY987" t="s">
        <v>55</v>
      </c>
    </row>
    <row r="988" spans="1:51">
      <c r="A988">
        <v>100210</v>
      </c>
      <c r="B988" t="s">
        <v>103</v>
      </c>
      <c r="C988" t="str">
        <f t="shared" si="77"/>
        <v>08082461008</v>
      </c>
      <c r="D988" t="str">
        <f t="shared" si="77"/>
        <v>08082461008</v>
      </c>
      <c r="E988" t="s">
        <v>52</v>
      </c>
      <c r="F988">
        <v>2014</v>
      </c>
      <c r="G988">
        <v>14185796</v>
      </c>
      <c r="H988" s="1">
        <v>41967</v>
      </c>
      <c r="I988" s="1">
        <v>41976</v>
      </c>
      <c r="J988" s="1">
        <v>41976</v>
      </c>
      <c r="K988" s="1">
        <v>42036</v>
      </c>
      <c r="L988" s="7">
        <v>45.76</v>
      </c>
      <c r="M988" s="5">
        <v>268</v>
      </c>
      <c r="N988" s="7">
        <v>12263.68</v>
      </c>
      <c r="O988">
        <v>45.76</v>
      </c>
      <c r="P988">
        <v>268</v>
      </c>
      <c r="Q988" s="2">
        <v>12263.68</v>
      </c>
      <c r="R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 s="1">
        <v>42382</v>
      </c>
      <c r="AC988" t="s">
        <v>53</v>
      </c>
      <c r="AD988" t="s">
        <v>53</v>
      </c>
      <c r="AK988">
        <v>0</v>
      </c>
      <c r="AU988" s="6">
        <v>42304</v>
      </c>
      <c r="AV988" s="6">
        <v>42304</v>
      </c>
      <c r="AW988" t="s">
        <v>54</v>
      </c>
      <c r="AX988" t="str">
        <f t="shared" si="76"/>
        <v>FOR</v>
      </c>
      <c r="AY988" t="s">
        <v>55</v>
      </c>
    </row>
    <row r="989" spans="1:51">
      <c r="A989">
        <v>100210</v>
      </c>
      <c r="B989" t="s">
        <v>103</v>
      </c>
      <c r="C989" t="str">
        <f t="shared" si="77"/>
        <v>08082461008</v>
      </c>
      <c r="D989" t="str">
        <f t="shared" si="77"/>
        <v>08082461008</v>
      </c>
      <c r="E989" t="s">
        <v>52</v>
      </c>
      <c r="F989">
        <v>2014</v>
      </c>
      <c r="G989">
        <v>14185797</v>
      </c>
      <c r="H989" s="1">
        <v>41967</v>
      </c>
      <c r="I989" s="1">
        <v>41976</v>
      </c>
      <c r="J989" s="1">
        <v>41976</v>
      </c>
      <c r="K989" s="1">
        <v>42036</v>
      </c>
      <c r="L989" s="7">
        <v>45.76</v>
      </c>
      <c r="M989" s="5">
        <v>268</v>
      </c>
      <c r="N989" s="7">
        <v>12263.68</v>
      </c>
      <c r="O989">
        <v>45.76</v>
      </c>
      <c r="P989">
        <v>268</v>
      </c>
      <c r="Q989" s="2">
        <v>12263.68</v>
      </c>
      <c r="R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 s="1">
        <v>42382</v>
      </c>
      <c r="AC989" t="s">
        <v>53</v>
      </c>
      <c r="AD989" t="s">
        <v>53</v>
      </c>
      <c r="AK989">
        <v>0</v>
      </c>
      <c r="AU989" s="6">
        <v>42304</v>
      </c>
      <c r="AV989" s="6">
        <v>42304</v>
      </c>
      <c r="AW989" t="s">
        <v>54</v>
      </c>
      <c r="AX989" t="str">
        <f t="shared" si="76"/>
        <v>FOR</v>
      </c>
      <c r="AY989" t="s">
        <v>55</v>
      </c>
    </row>
    <row r="990" spans="1:51">
      <c r="A990">
        <v>100210</v>
      </c>
      <c r="B990" t="s">
        <v>103</v>
      </c>
      <c r="C990" t="str">
        <f t="shared" si="77"/>
        <v>08082461008</v>
      </c>
      <c r="D990" t="str">
        <f t="shared" si="77"/>
        <v>08082461008</v>
      </c>
      <c r="E990" t="s">
        <v>52</v>
      </c>
      <c r="F990">
        <v>2014</v>
      </c>
      <c r="G990">
        <v>14185799</v>
      </c>
      <c r="H990" s="1">
        <v>41967</v>
      </c>
      <c r="I990" s="1">
        <v>41976</v>
      </c>
      <c r="J990" s="1">
        <v>41976</v>
      </c>
      <c r="K990" s="1">
        <v>42036</v>
      </c>
      <c r="L990" s="7">
        <v>45.76</v>
      </c>
      <c r="M990" s="5">
        <v>268</v>
      </c>
      <c r="N990" s="7">
        <v>12263.68</v>
      </c>
      <c r="O990">
        <v>45.76</v>
      </c>
      <c r="P990">
        <v>268</v>
      </c>
      <c r="Q990" s="2">
        <v>12263.68</v>
      </c>
      <c r="R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 s="1">
        <v>42382</v>
      </c>
      <c r="AC990" t="s">
        <v>53</v>
      </c>
      <c r="AD990" t="s">
        <v>53</v>
      </c>
      <c r="AK990">
        <v>0</v>
      </c>
      <c r="AU990" s="6">
        <v>42304</v>
      </c>
      <c r="AV990" s="6">
        <v>42304</v>
      </c>
      <c r="AW990" t="s">
        <v>54</v>
      </c>
      <c r="AX990" t="str">
        <f t="shared" si="76"/>
        <v>FOR</v>
      </c>
      <c r="AY990" t="s">
        <v>55</v>
      </c>
    </row>
    <row r="991" spans="1:51">
      <c r="A991">
        <v>100210</v>
      </c>
      <c r="B991" t="s">
        <v>103</v>
      </c>
      <c r="C991" t="str">
        <f t="shared" si="77"/>
        <v>08082461008</v>
      </c>
      <c r="D991" t="str">
        <f t="shared" si="77"/>
        <v>08082461008</v>
      </c>
      <c r="E991" t="s">
        <v>52</v>
      </c>
      <c r="F991">
        <v>2014</v>
      </c>
      <c r="G991">
        <v>14185800</v>
      </c>
      <c r="H991" s="1">
        <v>41967</v>
      </c>
      <c r="I991" s="1">
        <v>41976</v>
      </c>
      <c r="J991" s="1">
        <v>41976</v>
      </c>
      <c r="K991" s="1">
        <v>42036</v>
      </c>
      <c r="L991" s="7">
        <v>45.76</v>
      </c>
      <c r="M991" s="5">
        <v>268</v>
      </c>
      <c r="N991" s="7">
        <v>12263.68</v>
      </c>
      <c r="O991">
        <v>45.76</v>
      </c>
      <c r="P991">
        <v>268</v>
      </c>
      <c r="Q991" s="2">
        <v>12263.68</v>
      </c>
      <c r="R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 s="1">
        <v>42382</v>
      </c>
      <c r="AC991" t="s">
        <v>53</v>
      </c>
      <c r="AD991" t="s">
        <v>53</v>
      </c>
      <c r="AK991">
        <v>0</v>
      </c>
      <c r="AU991" s="6">
        <v>42304</v>
      </c>
      <c r="AV991" s="6">
        <v>42304</v>
      </c>
      <c r="AW991" t="s">
        <v>54</v>
      </c>
      <c r="AX991" t="str">
        <f t="shared" si="76"/>
        <v>FOR</v>
      </c>
      <c r="AY991" t="s">
        <v>55</v>
      </c>
    </row>
    <row r="992" spans="1:51">
      <c r="A992">
        <v>100210</v>
      </c>
      <c r="B992" t="s">
        <v>103</v>
      </c>
      <c r="C992" t="str">
        <f t="shared" si="77"/>
        <v>08082461008</v>
      </c>
      <c r="D992" t="str">
        <f t="shared" si="77"/>
        <v>08082461008</v>
      </c>
      <c r="E992" t="s">
        <v>52</v>
      </c>
      <c r="F992">
        <v>2014</v>
      </c>
      <c r="G992">
        <v>14185801</v>
      </c>
      <c r="H992" s="1">
        <v>41967</v>
      </c>
      <c r="I992" s="1">
        <v>41976</v>
      </c>
      <c r="J992" s="1">
        <v>41976</v>
      </c>
      <c r="K992" s="1">
        <v>42036</v>
      </c>
      <c r="L992" s="7">
        <v>45.76</v>
      </c>
      <c r="M992" s="5">
        <v>268</v>
      </c>
      <c r="N992" s="7">
        <v>12263.68</v>
      </c>
      <c r="O992">
        <v>45.76</v>
      </c>
      <c r="P992">
        <v>268</v>
      </c>
      <c r="Q992" s="2">
        <v>12263.68</v>
      </c>
      <c r="R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 s="1">
        <v>42382</v>
      </c>
      <c r="AC992" t="s">
        <v>53</v>
      </c>
      <c r="AD992" t="s">
        <v>53</v>
      </c>
      <c r="AK992">
        <v>0</v>
      </c>
      <c r="AU992" s="6">
        <v>42304</v>
      </c>
      <c r="AV992" s="6">
        <v>42304</v>
      </c>
      <c r="AW992" t="s">
        <v>54</v>
      </c>
      <c r="AX992" t="str">
        <f t="shared" si="76"/>
        <v>FOR</v>
      </c>
      <c r="AY992" t="s">
        <v>55</v>
      </c>
    </row>
    <row r="993" spans="1:51">
      <c r="A993">
        <v>100210</v>
      </c>
      <c r="B993" t="s">
        <v>103</v>
      </c>
      <c r="C993" t="str">
        <f t="shared" si="77"/>
        <v>08082461008</v>
      </c>
      <c r="D993" t="str">
        <f t="shared" si="77"/>
        <v>08082461008</v>
      </c>
      <c r="E993" t="s">
        <v>52</v>
      </c>
      <c r="F993">
        <v>2014</v>
      </c>
      <c r="G993">
        <v>14185803</v>
      </c>
      <c r="H993" s="1">
        <v>41967</v>
      </c>
      <c r="I993" s="1">
        <v>41976</v>
      </c>
      <c r="J993" s="1">
        <v>41976</v>
      </c>
      <c r="K993" s="1">
        <v>42036</v>
      </c>
      <c r="L993" s="7">
        <v>45.76</v>
      </c>
      <c r="M993" s="5">
        <v>268</v>
      </c>
      <c r="N993" s="7">
        <v>12263.68</v>
      </c>
      <c r="O993">
        <v>45.76</v>
      </c>
      <c r="P993">
        <v>268</v>
      </c>
      <c r="Q993" s="2">
        <v>12263.68</v>
      </c>
      <c r="R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 s="1">
        <v>42382</v>
      </c>
      <c r="AC993" t="s">
        <v>53</v>
      </c>
      <c r="AD993" t="s">
        <v>53</v>
      </c>
      <c r="AK993">
        <v>0</v>
      </c>
      <c r="AU993" s="6">
        <v>42304</v>
      </c>
      <c r="AV993" s="6">
        <v>42304</v>
      </c>
      <c r="AW993" t="s">
        <v>54</v>
      </c>
      <c r="AX993" t="str">
        <f t="shared" si="76"/>
        <v>FOR</v>
      </c>
      <c r="AY993" t="s">
        <v>55</v>
      </c>
    </row>
    <row r="994" spans="1:51">
      <c r="A994">
        <v>100210</v>
      </c>
      <c r="B994" t="s">
        <v>103</v>
      </c>
      <c r="C994" t="str">
        <f t="shared" si="77"/>
        <v>08082461008</v>
      </c>
      <c r="D994" t="str">
        <f t="shared" si="77"/>
        <v>08082461008</v>
      </c>
      <c r="E994" t="s">
        <v>52</v>
      </c>
      <c r="F994">
        <v>2014</v>
      </c>
      <c r="G994">
        <v>14185804</v>
      </c>
      <c r="H994" s="1">
        <v>41967</v>
      </c>
      <c r="I994" s="1">
        <v>41976</v>
      </c>
      <c r="J994" s="1">
        <v>41976</v>
      </c>
      <c r="K994" s="1">
        <v>42036</v>
      </c>
      <c r="L994" s="7">
        <v>451.88</v>
      </c>
      <c r="M994" s="5">
        <v>268</v>
      </c>
      <c r="N994" s="7">
        <v>121103.84</v>
      </c>
      <c r="O994">
        <v>451.88</v>
      </c>
      <c r="P994">
        <v>268</v>
      </c>
      <c r="Q994" s="2">
        <v>121103.84</v>
      </c>
      <c r="R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 s="1">
        <v>42382</v>
      </c>
      <c r="AC994" t="s">
        <v>53</v>
      </c>
      <c r="AD994" t="s">
        <v>53</v>
      </c>
      <c r="AK994">
        <v>0</v>
      </c>
      <c r="AU994" s="6">
        <v>42304</v>
      </c>
      <c r="AV994" s="6">
        <v>42304</v>
      </c>
      <c r="AW994" t="s">
        <v>54</v>
      </c>
      <c r="AX994" t="str">
        <f t="shared" si="76"/>
        <v>FOR</v>
      </c>
      <c r="AY994" t="s">
        <v>55</v>
      </c>
    </row>
    <row r="995" spans="1:51">
      <c r="A995">
        <v>100210</v>
      </c>
      <c r="B995" t="s">
        <v>103</v>
      </c>
      <c r="C995" t="str">
        <f t="shared" si="77"/>
        <v>08082461008</v>
      </c>
      <c r="D995" t="str">
        <f t="shared" si="77"/>
        <v>08082461008</v>
      </c>
      <c r="E995" t="s">
        <v>52</v>
      </c>
      <c r="F995">
        <v>2014</v>
      </c>
      <c r="G995">
        <v>14185805</v>
      </c>
      <c r="H995" s="1">
        <v>41967</v>
      </c>
      <c r="I995" s="1">
        <v>41976</v>
      </c>
      <c r="J995" s="1">
        <v>41976</v>
      </c>
      <c r="K995" s="1">
        <v>42036</v>
      </c>
      <c r="L995" s="7">
        <v>451.88</v>
      </c>
      <c r="M995" s="5">
        <v>268</v>
      </c>
      <c r="N995" s="7">
        <v>121103.84</v>
      </c>
      <c r="O995">
        <v>451.88</v>
      </c>
      <c r="P995">
        <v>268</v>
      </c>
      <c r="Q995" s="2">
        <v>121103.84</v>
      </c>
      <c r="R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 s="1">
        <v>42382</v>
      </c>
      <c r="AC995" t="s">
        <v>53</v>
      </c>
      <c r="AD995" t="s">
        <v>53</v>
      </c>
      <c r="AK995">
        <v>0</v>
      </c>
      <c r="AU995" s="6">
        <v>42304</v>
      </c>
      <c r="AV995" s="6">
        <v>42304</v>
      </c>
      <c r="AW995" t="s">
        <v>54</v>
      </c>
      <c r="AX995" t="str">
        <f t="shared" si="76"/>
        <v>FOR</v>
      </c>
      <c r="AY995" t="s">
        <v>55</v>
      </c>
    </row>
    <row r="996" spans="1:51">
      <c r="A996">
        <v>100210</v>
      </c>
      <c r="B996" t="s">
        <v>103</v>
      </c>
      <c r="C996" t="str">
        <f t="shared" si="77"/>
        <v>08082461008</v>
      </c>
      <c r="D996" t="str">
        <f t="shared" si="77"/>
        <v>08082461008</v>
      </c>
      <c r="E996" t="s">
        <v>52</v>
      </c>
      <c r="F996">
        <v>2014</v>
      </c>
      <c r="G996">
        <v>14185807</v>
      </c>
      <c r="H996" s="1">
        <v>41967</v>
      </c>
      <c r="I996" s="1">
        <v>41976</v>
      </c>
      <c r="J996" s="1">
        <v>41976</v>
      </c>
      <c r="K996" s="1">
        <v>42036</v>
      </c>
      <c r="L996" s="7">
        <v>451.88</v>
      </c>
      <c r="M996" s="5">
        <v>268</v>
      </c>
      <c r="N996" s="7">
        <v>121103.84</v>
      </c>
      <c r="O996">
        <v>451.88</v>
      </c>
      <c r="P996">
        <v>268</v>
      </c>
      <c r="Q996" s="2">
        <v>121103.84</v>
      </c>
      <c r="R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 s="1">
        <v>42382</v>
      </c>
      <c r="AC996" t="s">
        <v>53</v>
      </c>
      <c r="AD996" t="s">
        <v>53</v>
      </c>
      <c r="AK996">
        <v>0</v>
      </c>
      <c r="AU996" s="6">
        <v>42304</v>
      </c>
      <c r="AV996" s="6">
        <v>42304</v>
      </c>
      <c r="AW996" t="s">
        <v>54</v>
      </c>
      <c r="AX996" t="str">
        <f t="shared" si="76"/>
        <v>FOR</v>
      </c>
      <c r="AY996" t="s">
        <v>55</v>
      </c>
    </row>
    <row r="997" spans="1:51">
      <c r="A997">
        <v>100210</v>
      </c>
      <c r="B997" t="s">
        <v>103</v>
      </c>
      <c r="C997" t="str">
        <f t="shared" si="77"/>
        <v>08082461008</v>
      </c>
      <c r="D997" t="str">
        <f t="shared" si="77"/>
        <v>08082461008</v>
      </c>
      <c r="E997" t="s">
        <v>52</v>
      </c>
      <c r="F997">
        <v>2014</v>
      </c>
      <c r="G997">
        <v>14185808</v>
      </c>
      <c r="H997" s="1">
        <v>41967</v>
      </c>
      <c r="I997" s="1">
        <v>41976</v>
      </c>
      <c r="J997" s="1">
        <v>41976</v>
      </c>
      <c r="K997" s="1">
        <v>42036</v>
      </c>
      <c r="L997" s="7">
        <v>451.88</v>
      </c>
      <c r="M997" s="5">
        <v>268</v>
      </c>
      <c r="N997" s="7">
        <v>121103.84</v>
      </c>
      <c r="O997">
        <v>451.88</v>
      </c>
      <c r="P997">
        <v>268</v>
      </c>
      <c r="Q997" s="2">
        <v>121103.84</v>
      </c>
      <c r="R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 s="1">
        <v>42382</v>
      </c>
      <c r="AC997" t="s">
        <v>53</v>
      </c>
      <c r="AD997" t="s">
        <v>53</v>
      </c>
      <c r="AK997">
        <v>0</v>
      </c>
      <c r="AU997" s="6">
        <v>42304</v>
      </c>
      <c r="AV997" s="6">
        <v>42304</v>
      </c>
      <c r="AW997" t="s">
        <v>54</v>
      </c>
      <c r="AX997" t="str">
        <f t="shared" si="76"/>
        <v>FOR</v>
      </c>
      <c r="AY997" t="s">
        <v>55</v>
      </c>
    </row>
    <row r="998" spans="1:51">
      <c r="A998">
        <v>100210</v>
      </c>
      <c r="B998" t="s">
        <v>103</v>
      </c>
      <c r="C998" t="str">
        <f t="shared" ref="C998:D1017" si="78">"08082461008"</f>
        <v>08082461008</v>
      </c>
      <c r="D998" t="str">
        <f t="shared" si="78"/>
        <v>08082461008</v>
      </c>
      <c r="E998" t="s">
        <v>52</v>
      </c>
      <c r="F998">
        <v>2014</v>
      </c>
      <c r="G998">
        <v>14185809</v>
      </c>
      <c r="H998" s="1">
        <v>41967</v>
      </c>
      <c r="I998" s="1">
        <v>41976</v>
      </c>
      <c r="J998" s="1">
        <v>41976</v>
      </c>
      <c r="K998" s="1">
        <v>42036</v>
      </c>
      <c r="L998" s="7">
        <v>451.88</v>
      </c>
      <c r="M998" s="5">
        <v>268</v>
      </c>
      <c r="N998" s="7">
        <v>121103.84</v>
      </c>
      <c r="O998">
        <v>451.88</v>
      </c>
      <c r="P998">
        <v>268</v>
      </c>
      <c r="Q998" s="2">
        <v>121103.84</v>
      </c>
      <c r="R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 s="1">
        <v>42382</v>
      </c>
      <c r="AC998" t="s">
        <v>53</v>
      </c>
      <c r="AD998" t="s">
        <v>53</v>
      </c>
      <c r="AK998">
        <v>0</v>
      </c>
      <c r="AU998" s="6">
        <v>42304</v>
      </c>
      <c r="AV998" s="6">
        <v>42304</v>
      </c>
      <c r="AW998" t="s">
        <v>54</v>
      </c>
      <c r="AX998" t="str">
        <f t="shared" si="76"/>
        <v>FOR</v>
      </c>
      <c r="AY998" t="s">
        <v>55</v>
      </c>
    </row>
    <row r="999" spans="1:51">
      <c r="A999">
        <v>100210</v>
      </c>
      <c r="B999" t="s">
        <v>103</v>
      </c>
      <c r="C999" t="str">
        <f t="shared" si="78"/>
        <v>08082461008</v>
      </c>
      <c r="D999" t="str">
        <f t="shared" si="78"/>
        <v>08082461008</v>
      </c>
      <c r="E999" t="s">
        <v>52</v>
      </c>
      <c r="F999">
        <v>2014</v>
      </c>
      <c r="G999">
        <v>14185810</v>
      </c>
      <c r="H999" s="1">
        <v>41967</v>
      </c>
      <c r="I999" s="1">
        <v>41976</v>
      </c>
      <c r="J999" s="1">
        <v>41976</v>
      </c>
      <c r="K999" s="1">
        <v>42036</v>
      </c>
      <c r="L999" s="7">
        <v>451.88</v>
      </c>
      <c r="M999" s="5">
        <v>268</v>
      </c>
      <c r="N999" s="7">
        <v>121103.84</v>
      </c>
      <c r="O999">
        <v>451.88</v>
      </c>
      <c r="P999">
        <v>268</v>
      </c>
      <c r="Q999" s="2">
        <v>121103.84</v>
      </c>
      <c r="R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 s="1">
        <v>42382</v>
      </c>
      <c r="AC999" t="s">
        <v>53</v>
      </c>
      <c r="AD999" t="s">
        <v>53</v>
      </c>
      <c r="AK999">
        <v>0</v>
      </c>
      <c r="AU999" s="6">
        <v>42304</v>
      </c>
      <c r="AV999" s="6">
        <v>42304</v>
      </c>
      <c r="AW999" t="s">
        <v>54</v>
      </c>
      <c r="AX999" t="str">
        <f t="shared" si="76"/>
        <v>FOR</v>
      </c>
      <c r="AY999" t="s">
        <v>55</v>
      </c>
    </row>
    <row r="1000" spans="1:51">
      <c r="A1000">
        <v>100210</v>
      </c>
      <c r="B1000" t="s">
        <v>103</v>
      </c>
      <c r="C1000" t="str">
        <f t="shared" si="78"/>
        <v>08082461008</v>
      </c>
      <c r="D1000" t="str">
        <f t="shared" si="78"/>
        <v>08082461008</v>
      </c>
      <c r="E1000" t="s">
        <v>52</v>
      </c>
      <c r="F1000">
        <v>2014</v>
      </c>
      <c r="G1000">
        <v>14185811</v>
      </c>
      <c r="H1000" s="1">
        <v>41967</v>
      </c>
      <c r="I1000" s="1">
        <v>41976</v>
      </c>
      <c r="J1000" s="1">
        <v>41976</v>
      </c>
      <c r="K1000" s="1">
        <v>42036</v>
      </c>
      <c r="L1000" s="7">
        <v>451.88</v>
      </c>
      <c r="M1000" s="5">
        <v>268</v>
      </c>
      <c r="N1000" s="7">
        <v>121103.84</v>
      </c>
      <c r="O1000">
        <v>451.88</v>
      </c>
      <c r="P1000">
        <v>268</v>
      </c>
      <c r="Q1000" s="2">
        <v>121103.84</v>
      </c>
      <c r="R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 s="1">
        <v>42382</v>
      </c>
      <c r="AC1000" t="s">
        <v>53</v>
      </c>
      <c r="AD1000" t="s">
        <v>53</v>
      </c>
      <c r="AK1000">
        <v>0</v>
      </c>
      <c r="AU1000" s="6">
        <v>42304</v>
      </c>
      <c r="AV1000" s="6">
        <v>42304</v>
      </c>
      <c r="AW1000" t="s">
        <v>54</v>
      </c>
      <c r="AX1000" t="str">
        <f t="shared" si="76"/>
        <v>FOR</v>
      </c>
      <c r="AY1000" t="s">
        <v>55</v>
      </c>
    </row>
    <row r="1001" spans="1:51">
      <c r="A1001">
        <v>100210</v>
      </c>
      <c r="B1001" t="s">
        <v>103</v>
      </c>
      <c r="C1001" t="str">
        <f t="shared" si="78"/>
        <v>08082461008</v>
      </c>
      <c r="D1001" t="str">
        <f t="shared" si="78"/>
        <v>08082461008</v>
      </c>
      <c r="E1001" t="s">
        <v>52</v>
      </c>
      <c r="F1001">
        <v>2014</v>
      </c>
      <c r="G1001">
        <v>14185812</v>
      </c>
      <c r="H1001" s="1">
        <v>41967</v>
      </c>
      <c r="I1001" s="1">
        <v>41976</v>
      </c>
      <c r="J1001" s="1">
        <v>41976</v>
      </c>
      <c r="K1001" s="1">
        <v>42036</v>
      </c>
      <c r="L1001" s="7">
        <v>451.88</v>
      </c>
      <c r="M1001" s="5">
        <v>268</v>
      </c>
      <c r="N1001" s="7">
        <v>121103.84</v>
      </c>
      <c r="O1001">
        <v>451.88</v>
      </c>
      <c r="P1001">
        <v>268</v>
      </c>
      <c r="Q1001" s="2">
        <v>121103.84</v>
      </c>
      <c r="R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 s="1">
        <v>42382</v>
      </c>
      <c r="AC1001" t="s">
        <v>53</v>
      </c>
      <c r="AD1001" t="s">
        <v>53</v>
      </c>
      <c r="AK1001">
        <v>0</v>
      </c>
      <c r="AU1001" s="6">
        <v>42304</v>
      </c>
      <c r="AV1001" s="6">
        <v>42304</v>
      </c>
      <c r="AW1001" t="s">
        <v>54</v>
      </c>
      <c r="AX1001" t="str">
        <f t="shared" si="76"/>
        <v>FOR</v>
      </c>
      <c r="AY1001" t="s">
        <v>55</v>
      </c>
    </row>
    <row r="1002" spans="1:51">
      <c r="A1002">
        <v>100210</v>
      </c>
      <c r="B1002" t="s">
        <v>103</v>
      </c>
      <c r="C1002" t="str">
        <f t="shared" si="78"/>
        <v>08082461008</v>
      </c>
      <c r="D1002" t="str">
        <f t="shared" si="78"/>
        <v>08082461008</v>
      </c>
      <c r="E1002" t="s">
        <v>52</v>
      </c>
      <c r="F1002">
        <v>2014</v>
      </c>
      <c r="G1002">
        <v>14185813</v>
      </c>
      <c r="H1002" s="1">
        <v>41967</v>
      </c>
      <c r="I1002" s="1">
        <v>41976</v>
      </c>
      <c r="J1002" s="1">
        <v>41976</v>
      </c>
      <c r="K1002" s="1">
        <v>42036</v>
      </c>
      <c r="L1002" s="7">
        <v>80.08</v>
      </c>
      <c r="M1002" s="5">
        <v>268</v>
      </c>
      <c r="N1002" s="7">
        <v>21461.439999999999</v>
      </c>
      <c r="O1002">
        <v>80.08</v>
      </c>
      <c r="P1002">
        <v>268</v>
      </c>
      <c r="Q1002" s="2">
        <v>21461.439999999999</v>
      </c>
      <c r="R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 s="1">
        <v>42382</v>
      </c>
      <c r="AC1002" t="s">
        <v>53</v>
      </c>
      <c r="AD1002" t="s">
        <v>53</v>
      </c>
      <c r="AK1002">
        <v>0</v>
      </c>
      <c r="AU1002" s="6">
        <v>42304</v>
      </c>
      <c r="AV1002" s="6">
        <v>42304</v>
      </c>
      <c r="AW1002" t="s">
        <v>54</v>
      </c>
      <c r="AX1002" t="str">
        <f t="shared" si="76"/>
        <v>FOR</v>
      </c>
      <c r="AY1002" t="s">
        <v>55</v>
      </c>
    </row>
    <row r="1003" spans="1:51">
      <c r="A1003">
        <v>100210</v>
      </c>
      <c r="B1003" t="s">
        <v>103</v>
      </c>
      <c r="C1003" t="str">
        <f t="shared" si="78"/>
        <v>08082461008</v>
      </c>
      <c r="D1003" t="str">
        <f t="shared" si="78"/>
        <v>08082461008</v>
      </c>
      <c r="E1003" t="s">
        <v>52</v>
      </c>
      <c r="F1003">
        <v>2014</v>
      </c>
      <c r="G1003">
        <v>14185814</v>
      </c>
      <c r="H1003" s="1">
        <v>41967</v>
      </c>
      <c r="I1003" s="1">
        <v>41976</v>
      </c>
      <c r="J1003" s="1">
        <v>41976</v>
      </c>
      <c r="K1003" s="1">
        <v>42036</v>
      </c>
      <c r="L1003" s="7">
        <v>80.08</v>
      </c>
      <c r="M1003" s="5">
        <v>268</v>
      </c>
      <c r="N1003" s="7">
        <v>21461.439999999999</v>
      </c>
      <c r="O1003">
        <v>80.08</v>
      </c>
      <c r="P1003">
        <v>268</v>
      </c>
      <c r="Q1003" s="2">
        <v>21461.439999999999</v>
      </c>
      <c r="R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 s="1">
        <v>42382</v>
      </c>
      <c r="AC1003" t="s">
        <v>53</v>
      </c>
      <c r="AD1003" t="s">
        <v>53</v>
      </c>
      <c r="AK1003">
        <v>0</v>
      </c>
      <c r="AU1003" s="6">
        <v>42304</v>
      </c>
      <c r="AV1003" s="6">
        <v>42304</v>
      </c>
      <c r="AW1003" t="s">
        <v>54</v>
      </c>
      <c r="AX1003" t="str">
        <f t="shared" si="76"/>
        <v>FOR</v>
      </c>
      <c r="AY1003" t="s">
        <v>55</v>
      </c>
    </row>
    <row r="1004" spans="1:51">
      <c r="A1004">
        <v>100210</v>
      </c>
      <c r="B1004" t="s">
        <v>103</v>
      </c>
      <c r="C1004" t="str">
        <f t="shared" si="78"/>
        <v>08082461008</v>
      </c>
      <c r="D1004" t="str">
        <f t="shared" si="78"/>
        <v>08082461008</v>
      </c>
      <c r="E1004" t="s">
        <v>52</v>
      </c>
      <c r="F1004">
        <v>2014</v>
      </c>
      <c r="G1004">
        <v>14185815</v>
      </c>
      <c r="H1004" s="1">
        <v>41967</v>
      </c>
      <c r="I1004" s="1">
        <v>41976</v>
      </c>
      <c r="J1004" s="1">
        <v>41976</v>
      </c>
      <c r="K1004" s="1">
        <v>42036</v>
      </c>
      <c r="L1004" s="7">
        <v>80.08</v>
      </c>
      <c r="M1004" s="5">
        <v>268</v>
      </c>
      <c r="N1004" s="7">
        <v>21461.439999999999</v>
      </c>
      <c r="O1004">
        <v>80.08</v>
      </c>
      <c r="P1004">
        <v>268</v>
      </c>
      <c r="Q1004" s="2">
        <v>21461.439999999999</v>
      </c>
      <c r="R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 s="1">
        <v>42382</v>
      </c>
      <c r="AC1004" t="s">
        <v>53</v>
      </c>
      <c r="AD1004" t="s">
        <v>53</v>
      </c>
      <c r="AK1004">
        <v>0</v>
      </c>
      <c r="AU1004" s="6">
        <v>42304</v>
      </c>
      <c r="AV1004" s="6">
        <v>42304</v>
      </c>
      <c r="AW1004" t="s">
        <v>54</v>
      </c>
      <c r="AX1004" t="str">
        <f t="shared" si="76"/>
        <v>FOR</v>
      </c>
      <c r="AY1004" t="s">
        <v>55</v>
      </c>
    </row>
    <row r="1005" spans="1:51">
      <c r="A1005">
        <v>100210</v>
      </c>
      <c r="B1005" t="s">
        <v>103</v>
      </c>
      <c r="C1005" t="str">
        <f t="shared" si="78"/>
        <v>08082461008</v>
      </c>
      <c r="D1005" t="str">
        <f t="shared" si="78"/>
        <v>08082461008</v>
      </c>
      <c r="E1005" t="s">
        <v>52</v>
      </c>
      <c r="F1005">
        <v>2014</v>
      </c>
      <c r="G1005">
        <v>14185816</v>
      </c>
      <c r="H1005" s="1">
        <v>41967</v>
      </c>
      <c r="I1005" s="1">
        <v>41976</v>
      </c>
      <c r="J1005" s="1">
        <v>41976</v>
      </c>
      <c r="K1005" s="1">
        <v>42036</v>
      </c>
      <c r="L1005" s="7">
        <v>80.08</v>
      </c>
      <c r="M1005" s="5">
        <v>268</v>
      </c>
      <c r="N1005" s="7">
        <v>21461.439999999999</v>
      </c>
      <c r="O1005">
        <v>80.08</v>
      </c>
      <c r="P1005">
        <v>268</v>
      </c>
      <c r="Q1005" s="2">
        <v>21461.439999999999</v>
      </c>
      <c r="R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 s="1">
        <v>42382</v>
      </c>
      <c r="AC1005" t="s">
        <v>53</v>
      </c>
      <c r="AD1005" t="s">
        <v>53</v>
      </c>
      <c r="AK1005">
        <v>0</v>
      </c>
      <c r="AU1005" s="6">
        <v>42304</v>
      </c>
      <c r="AV1005" s="6">
        <v>42304</v>
      </c>
      <c r="AW1005" t="s">
        <v>54</v>
      </c>
      <c r="AX1005" t="str">
        <f t="shared" si="76"/>
        <v>FOR</v>
      </c>
      <c r="AY1005" t="s">
        <v>55</v>
      </c>
    </row>
    <row r="1006" spans="1:51">
      <c r="A1006">
        <v>100210</v>
      </c>
      <c r="B1006" t="s">
        <v>103</v>
      </c>
      <c r="C1006" t="str">
        <f t="shared" si="78"/>
        <v>08082461008</v>
      </c>
      <c r="D1006" t="str">
        <f t="shared" si="78"/>
        <v>08082461008</v>
      </c>
      <c r="E1006" t="s">
        <v>52</v>
      </c>
      <c r="F1006">
        <v>2014</v>
      </c>
      <c r="G1006">
        <v>14186199</v>
      </c>
      <c r="H1006" s="1">
        <v>41968</v>
      </c>
      <c r="I1006" s="1">
        <v>41976</v>
      </c>
      <c r="J1006" s="1">
        <v>41976</v>
      </c>
      <c r="K1006" s="1">
        <v>42036</v>
      </c>
      <c r="L1006" s="7">
        <v>632.98</v>
      </c>
      <c r="M1006" s="5">
        <v>268</v>
      </c>
      <c r="N1006" s="7">
        <v>169638.64</v>
      </c>
      <c r="O1006">
        <v>632.98</v>
      </c>
      <c r="P1006">
        <v>268</v>
      </c>
      <c r="Q1006" s="2">
        <v>169638.64</v>
      </c>
      <c r="R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 s="1">
        <v>42382</v>
      </c>
      <c r="AC1006" t="s">
        <v>53</v>
      </c>
      <c r="AD1006" t="s">
        <v>53</v>
      </c>
      <c r="AK1006">
        <v>0</v>
      </c>
      <c r="AU1006" s="6">
        <v>42304</v>
      </c>
      <c r="AV1006" s="6">
        <v>42304</v>
      </c>
      <c r="AW1006" t="s">
        <v>54</v>
      </c>
      <c r="AX1006" t="str">
        <f t="shared" si="76"/>
        <v>FOR</v>
      </c>
      <c r="AY1006" t="s">
        <v>55</v>
      </c>
    </row>
    <row r="1007" spans="1:51">
      <c r="A1007">
        <v>100210</v>
      </c>
      <c r="B1007" t="s">
        <v>103</v>
      </c>
      <c r="C1007" t="str">
        <f t="shared" si="78"/>
        <v>08082461008</v>
      </c>
      <c r="D1007" t="str">
        <f t="shared" si="78"/>
        <v>08082461008</v>
      </c>
      <c r="E1007" t="s">
        <v>52</v>
      </c>
      <c r="F1007">
        <v>2014</v>
      </c>
      <c r="G1007">
        <v>14187226</v>
      </c>
      <c r="H1007" s="1">
        <v>41969</v>
      </c>
      <c r="I1007" s="1">
        <v>41984</v>
      </c>
      <c r="J1007" s="1">
        <v>41984</v>
      </c>
      <c r="K1007" s="1">
        <v>42044</v>
      </c>
      <c r="L1007" s="7">
        <v>114.4</v>
      </c>
      <c r="M1007" s="5">
        <v>260</v>
      </c>
      <c r="N1007" s="7">
        <v>29744</v>
      </c>
      <c r="O1007">
        <v>114.4</v>
      </c>
      <c r="P1007">
        <v>260</v>
      </c>
      <c r="Q1007" s="2">
        <v>29744</v>
      </c>
      <c r="R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 s="1">
        <v>42382</v>
      </c>
      <c r="AC1007" t="s">
        <v>53</v>
      </c>
      <c r="AD1007" t="s">
        <v>53</v>
      </c>
      <c r="AK1007">
        <v>0</v>
      </c>
      <c r="AU1007" s="6">
        <v>42304</v>
      </c>
      <c r="AV1007" s="6">
        <v>42304</v>
      </c>
      <c r="AW1007" t="s">
        <v>54</v>
      </c>
      <c r="AX1007" t="str">
        <f t="shared" si="76"/>
        <v>FOR</v>
      </c>
      <c r="AY1007" t="s">
        <v>55</v>
      </c>
    </row>
    <row r="1008" spans="1:51">
      <c r="A1008">
        <v>100210</v>
      </c>
      <c r="B1008" t="s">
        <v>103</v>
      </c>
      <c r="C1008" t="str">
        <f t="shared" si="78"/>
        <v>08082461008</v>
      </c>
      <c r="D1008" t="str">
        <f t="shared" si="78"/>
        <v>08082461008</v>
      </c>
      <c r="E1008" t="s">
        <v>52</v>
      </c>
      <c r="F1008">
        <v>2014</v>
      </c>
      <c r="G1008">
        <v>14187227</v>
      </c>
      <c r="H1008" s="1">
        <v>41969</v>
      </c>
      <c r="I1008" s="1">
        <v>41984</v>
      </c>
      <c r="J1008" s="1">
        <v>41984</v>
      </c>
      <c r="K1008" s="1">
        <v>42044</v>
      </c>
      <c r="L1008" s="7">
        <v>114.4</v>
      </c>
      <c r="M1008" s="5">
        <v>260</v>
      </c>
      <c r="N1008" s="7">
        <v>29744</v>
      </c>
      <c r="O1008">
        <v>114.4</v>
      </c>
      <c r="P1008">
        <v>260</v>
      </c>
      <c r="Q1008" s="2">
        <v>29744</v>
      </c>
      <c r="R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 s="1">
        <v>42382</v>
      </c>
      <c r="AC1008" t="s">
        <v>53</v>
      </c>
      <c r="AD1008" t="s">
        <v>53</v>
      </c>
      <c r="AK1008">
        <v>0</v>
      </c>
      <c r="AU1008" s="6">
        <v>42304</v>
      </c>
      <c r="AV1008" s="6">
        <v>42304</v>
      </c>
      <c r="AW1008" t="s">
        <v>54</v>
      </c>
      <c r="AX1008" t="str">
        <f t="shared" si="76"/>
        <v>FOR</v>
      </c>
      <c r="AY1008" t="s">
        <v>55</v>
      </c>
    </row>
    <row r="1009" spans="1:51">
      <c r="A1009">
        <v>100210</v>
      </c>
      <c r="B1009" t="s">
        <v>103</v>
      </c>
      <c r="C1009" t="str">
        <f t="shared" si="78"/>
        <v>08082461008</v>
      </c>
      <c r="D1009" t="str">
        <f t="shared" si="78"/>
        <v>08082461008</v>
      </c>
      <c r="E1009" t="s">
        <v>52</v>
      </c>
      <c r="F1009">
        <v>2014</v>
      </c>
      <c r="G1009">
        <v>14187232</v>
      </c>
      <c r="H1009" s="1">
        <v>41969</v>
      </c>
      <c r="I1009" s="1">
        <v>41984</v>
      </c>
      <c r="J1009" s="1">
        <v>41984</v>
      </c>
      <c r="K1009" s="1">
        <v>42044</v>
      </c>
      <c r="L1009" s="7">
        <v>451.88</v>
      </c>
      <c r="M1009" s="5">
        <v>260</v>
      </c>
      <c r="N1009" s="7">
        <v>117488.8</v>
      </c>
      <c r="O1009">
        <v>451.88</v>
      </c>
      <c r="P1009">
        <v>260</v>
      </c>
      <c r="Q1009" s="2">
        <v>117488.8</v>
      </c>
      <c r="R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 s="1">
        <v>42382</v>
      </c>
      <c r="AC1009" t="s">
        <v>53</v>
      </c>
      <c r="AD1009" t="s">
        <v>53</v>
      </c>
      <c r="AK1009">
        <v>0</v>
      </c>
      <c r="AU1009" s="6">
        <v>42304</v>
      </c>
      <c r="AV1009" s="6">
        <v>42304</v>
      </c>
      <c r="AW1009" t="s">
        <v>54</v>
      </c>
      <c r="AX1009" t="str">
        <f t="shared" si="76"/>
        <v>FOR</v>
      </c>
      <c r="AY1009" t="s">
        <v>55</v>
      </c>
    </row>
    <row r="1010" spans="1:51">
      <c r="A1010">
        <v>100210</v>
      </c>
      <c r="B1010" t="s">
        <v>103</v>
      </c>
      <c r="C1010" t="str">
        <f t="shared" si="78"/>
        <v>08082461008</v>
      </c>
      <c r="D1010" t="str">
        <f t="shared" si="78"/>
        <v>08082461008</v>
      </c>
      <c r="E1010" t="s">
        <v>52</v>
      </c>
      <c r="F1010">
        <v>2014</v>
      </c>
      <c r="G1010">
        <v>14187233</v>
      </c>
      <c r="H1010" s="1">
        <v>41969</v>
      </c>
      <c r="I1010" s="1">
        <v>41984</v>
      </c>
      <c r="J1010" s="1">
        <v>41984</v>
      </c>
      <c r="K1010" s="1">
        <v>42044</v>
      </c>
      <c r="L1010" s="7">
        <v>451.88</v>
      </c>
      <c r="M1010" s="5">
        <v>260</v>
      </c>
      <c r="N1010" s="7">
        <v>117488.8</v>
      </c>
      <c r="O1010">
        <v>451.88</v>
      </c>
      <c r="P1010">
        <v>260</v>
      </c>
      <c r="Q1010" s="2">
        <v>117488.8</v>
      </c>
      <c r="R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 s="1">
        <v>42382</v>
      </c>
      <c r="AC1010" t="s">
        <v>53</v>
      </c>
      <c r="AD1010" t="s">
        <v>53</v>
      </c>
      <c r="AK1010">
        <v>0</v>
      </c>
      <c r="AU1010" s="6">
        <v>42304</v>
      </c>
      <c r="AV1010" s="6">
        <v>42304</v>
      </c>
      <c r="AW1010" t="s">
        <v>54</v>
      </c>
      <c r="AX1010" t="str">
        <f t="shared" si="76"/>
        <v>FOR</v>
      </c>
      <c r="AY1010" t="s">
        <v>55</v>
      </c>
    </row>
    <row r="1011" spans="1:51">
      <c r="A1011">
        <v>100210</v>
      </c>
      <c r="B1011" t="s">
        <v>103</v>
      </c>
      <c r="C1011" t="str">
        <f t="shared" si="78"/>
        <v>08082461008</v>
      </c>
      <c r="D1011" t="str">
        <f t="shared" si="78"/>
        <v>08082461008</v>
      </c>
      <c r="E1011" t="s">
        <v>52</v>
      </c>
      <c r="F1011">
        <v>2014</v>
      </c>
      <c r="G1011">
        <v>14187235</v>
      </c>
      <c r="H1011" s="1">
        <v>41969</v>
      </c>
      <c r="I1011" s="1">
        <v>41984</v>
      </c>
      <c r="J1011" s="1">
        <v>41984</v>
      </c>
      <c r="K1011" s="1">
        <v>42044</v>
      </c>
      <c r="L1011" s="7">
        <v>451.88</v>
      </c>
      <c r="M1011" s="5">
        <v>260</v>
      </c>
      <c r="N1011" s="7">
        <v>117488.8</v>
      </c>
      <c r="O1011">
        <v>451.88</v>
      </c>
      <c r="P1011">
        <v>260</v>
      </c>
      <c r="Q1011" s="2">
        <v>117488.8</v>
      </c>
      <c r="R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 s="1">
        <v>42382</v>
      </c>
      <c r="AC1011" t="s">
        <v>53</v>
      </c>
      <c r="AD1011" t="s">
        <v>53</v>
      </c>
      <c r="AK1011">
        <v>0</v>
      </c>
      <c r="AU1011" s="6">
        <v>42304</v>
      </c>
      <c r="AV1011" s="6">
        <v>42304</v>
      </c>
      <c r="AW1011" t="s">
        <v>54</v>
      </c>
      <c r="AX1011" t="str">
        <f t="shared" si="76"/>
        <v>FOR</v>
      </c>
      <c r="AY1011" t="s">
        <v>55</v>
      </c>
    </row>
    <row r="1012" spans="1:51">
      <c r="A1012">
        <v>100210</v>
      </c>
      <c r="B1012" t="s">
        <v>103</v>
      </c>
      <c r="C1012" t="str">
        <f t="shared" si="78"/>
        <v>08082461008</v>
      </c>
      <c r="D1012" t="str">
        <f t="shared" si="78"/>
        <v>08082461008</v>
      </c>
      <c r="E1012" t="s">
        <v>52</v>
      </c>
      <c r="F1012">
        <v>2014</v>
      </c>
      <c r="G1012">
        <v>14187236</v>
      </c>
      <c r="H1012" s="1">
        <v>41969</v>
      </c>
      <c r="I1012" s="1">
        <v>41984</v>
      </c>
      <c r="J1012" s="1">
        <v>41984</v>
      </c>
      <c r="K1012" s="1">
        <v>42044</v>
      </c>
      <c r="L1012" s="7">
        <v>451.88</v>
      </c>
      <c r="M1012" s="5">
        <v>260</v>
      </c>
      <c r="N1012" s="7">
        <v>117488.8</v>
      </c>
      <c r="O1012">
        <v>451.88</v>
      </c>
      <c r="P1012">
        <v>260</v>
      </c>
      <c r="Q1012" s="2">
        <v>117488.8</v>
      </c>
      <c r="R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 s="1">
        <v>42382</v>
      </c>
      <c r="AC1012" t="s">
        <v>53</v>
      </c>
      <c r="AD1012" t="s">
        <v>53</v>
      </c>
      <c r="AK1012">
        <v>0</v>
      </c>
      <c r="AU1012" s="6">
        <v>42304</v>
      </c>
      <c r="AV1012" s="6">
        <v>42304</v>
      </c>
      <c r="AW1012" t="s">
        <v>54</v>
      </c>
      <c r="AX1012" t="str">
        <f t="shared" si="76"/>
        <v>FOR</v>
      </c>
      <c r="AY1012" t="s">
        <v>55</v>
      </c>
    </row>
    <row r="1013" spans="1:51">
      <c r="A1013">
        <v>100210</v>
      </c>
      <c r="B1013" t="s">
        <v>103</v>
      </c>
      <c r="C1013" t="str">
        <f t="shared" si="78"/>
        <v>08082461008</v>
      </c>
      <c r="D1013" t="str">
        <f t="shared" si="78"/>
        <v>08082461008</v>
      </c>
      <c r="E1013" t="s">
        <v>52</v>
      </c>
      <c r="F1013">
        <v>2014</v>
      </c>
      <c r="G1013">
        <v>14187238</v>
      </c>
      <c r="H1013" s="1">
        <v>41969</v>
      </c>
      <c r="I1013" s="1">
        <v>41984</v>
      </c>
      <c r="J1013" s="1">
        <v>41984</v>
      </c>
      <c r="K1013" s="1">
        <v>42044</v>
      </c>
      <c r="L1013" s="7">
        <v>45.76</v>
      </c>
      <c r="M1013" s="5">
        <v>260</v>
      </c>
      <c r="N1013" s="7">
        <v>11897.6</v>
      </c>
      <c r="O1013">
        <v>45.76</v>
      </c>
      <c r="P1013">
        <v>260</v>
      </c>
      <c r="Q1013" s="2">
        <v>11897.6</v>
      </c>
      <c r="R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 s="1">
        <v>42382</v>
      </c>
      <c r="AC1013" t="s">
        <v>53</v>
      </c>
      <c r="AD1013" t="s">
        <v>53</v>
      </c>
      <c r="AK1013">
        <v>0</v>
      </c>
      <c r="AU1013" s="6">
        <v>42304</v>
      </c>
      <c r="AV1013" s="6">
        <v>42304</v>
      </c>
      <c r="AW1013" t="s">
        <v>54</v>
      </c>
      <c r="AX1013" t="str">
        <f t="shared" si="76"/>
        <v>FOR</v>
      </c>
      <c r="AY1013" t="s">
        <v>55</v>
      </c>
    </row>
    <row r="1014" spans="1:51">
      <c r="A1014">
        <v>100210</v>
      </c>
      <c r="B1014" t="s">
        <v>103</v>
      </c>
      <c r="C1014" t="str">
        <f t="shared" si="78"/>
        <v>08082461008</v>
      </c>
      <c r="D1014" t="str">
        <f t="shared" si="78"/>
        <v>08082461008</v>
      </c>
      <c r="E1014" t="s">
        <v>52</v>
      </c>
      <c r="F1014">
        <v>2014</v>
      </c>
      <c r="G1014">
        <v>14187239</v>
      </c>
      <c r="H1014" s="1">
        <v>41969</v>
      </c>
      <c r="I1014" s="1">
        <v>41984</v>
      </c>
      <c r="J1014" s="1">
        <v>41984</v>
      </c>
      <c r="K1014" s="1">
        <v>42044</v>
      </c>
      <c r="L1014" s="7">
        <v>45.76</v>
      </c>
      <c r="M1014" s="5">
        <v>260</v>
      </c>
      <c r="N1014" s="7">
        <v>11897.6</v>
      </c>
      <c r="O1014">
        <v>45.76</v>
      </c>
      <c r="P1014">
        <v>260</v>
      </c>
      <c r="Q1014" s="2">
        <v>11897.6</v>
      </c>
      <c r="R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 s="1">
        <v>42382</v>
      </c>
      <c r="AC1014" t="s">
        <v>53</v>
      </c>
      <c r="AD1014" t="s">
        <v>53</v>
      </c>
      <c r="AK1014">
        <v>0</v>
      </c>
      <c r="AU1014" s="6">
        <v>42304</v>
      </c>
      <c r="AV1014" s="6">
        <v>42304</v>
      </c>
      <c r="AW1014" t="s">
        <v>54</v>
      </c>
      <c r="AX1014" t="str">
        <f t="shared" si="76"/>
        <v>FOR</v>
      </c>
      <c r="AY1014" t="s">
        <v>55</v>
      </c>
    </row>
    <row r="1015" spans="1:51">
      <c r="A1015">
        <v>100210</v>
      </c>
      <c r="B1015" t="s">
        <v>103</v>
      </c>
      <c r="C1015" t="str">
        <f t="shared" si="78"/>
        <v>08082461008</v>
      </c>
      <c r="D1015" t="str">
        <f t="shared" si="78"/>
        <v>08082461008</v>
      </c>
      <c r="E1015" t="s">
        <v>52</v>
      </c>
      <c r="F1015">
        <v>2014</v>
      </c>
      <c r="G1015">
        <v>14187243</v>
      </c>
      <c r="H1015" s="1">
        <v>41969</v>
      </c>
      <c r="I1015" s="1">
        <v>41984</v>
      </c>
      <c r="J1015" s="1">
        <v>41984</v>
      </c>
      <c r="K1015" s="1">
        <v>42044</v>
      </c>
      <c r="L1015" s="7">
        <v>45.76</v>
      </c>
      <c r="M1015" s="5">
        <v>260</v>
      </c>
      <c r="N1015" s="7">
        <v>11897.6</v>
      </c>
      <c r="O1015">
        <v>45.76</v>
      </c>
      <c r="P1015">
        <v>260</v>
      </c>
      <c r="Q1015" s="2">
        <v>11897.6</v>
      </c>
      <c r="R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 s="1">
        <v>42382</v>
      </c>
      <c r="AC1015" t="s">
        <v>53</v>
      </c>
      <c r="AD1015" t="s">
        <v>53</v>
      </c>
      <c r="AK1015">
        <v>0</v>
      </c>
      <c r="AU1015" s="6">
        <v>42304</v>
      </c>
      <c r="AV1015" s="6">
        <v>42304</v>
      </c>
      <c r="AW1015" t="s">
        <v>54</v>
      </c>
      <c r="AX1015" t="str">
        <f t="shared" si="76"/>
        <v>FOR</v>
      </c>
      <c r="AY1015" t="s">
        <v>55</v>
      </c>
    </row>
    <row r="1016" spans="1:51">
      <c r="A1016">
        <v>100210</v>
      </c>
      <c r="B1016" t="s">
        <v>103</v>
      </c>
      <c r="C1016" t="str">
        <f t="shared" si="78"/>
        <v>08082461008</v>
      </c>
      <c r="D1016" t="str">
        <f t="shared" si="78"/>
        <v>08082461008</v>
      </c>
      <c r="E1016" t="s">
        <v>52</v>
      </c>
      <c r="F1016">
        <v>2014</v>
      </c>
      <c r="G1016">
        <v>14187244</v>
      </c>
      <c r="H1016" s="1">
        <v>41969</v>
      </c>
      <c r="I1016" s="1">
        <v>41984</v>
      </c>
      <c r="J1016" s="1">
        <v>41984</v>
      </c>
      <c r="K1016" s="1">
        <v>42044</v>
      </c>
      <c r="L1016" s="7">
        <v>45.76</v>
      </c>
      <c r="M1016" s="5">
        <v>260</v>
      </c>
      <c r="N1016" s="7">
        <v>11897.6</v>
      </c>
      <c r="O1016">
        <v>45.76</v>
      </c>
      <c r="P1016">
        <v>260</v>
      </c>
      <c r="Q1016" s="2">
        <v>11897.6</v>
      </c>
      <c r="R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 s="1">
        <v>42382</v>
      </c>
      <c r="AC1016" t="s">
        <v>53</v>
      </c>
      <c r="AD1016" t="s">
        <v>53</v>
      </c>
      <c r="AK1016">
        <v>0</v>
      </c>
      <c r="AU1016" s="6">
        <v>42304</v>
      </c>
      <c r="AV1016" s="6">
        <v>42304</v>
      </c>
      <c r="AW1016" t="s">
        <v>54</v>
      </c>
      <c r="AX1016" t="str">
        <f t="shared" si="76"/>
        <v>FOR</v>
      </c>
      <c r="AY1016" t="s">
        <v>55</v>
      </c>
    </row>
    <row r="1017" spans="1:51">
      <c r="A1017">
        <v>100210</v>
      </c>
      <c r="B1017" t="s">
        <v>103</v>
      </c>
      <c r="C1017" t="str">
        <f t="shared" si="78"/>
        <v>08082461008</v>
      </c>
      <c r="D1017" t="str">
        <f t="shared" si="78"/>
        <v>08082461008</v>
      </c>
      <c r="E1017" t="s">
        <v>52</v>
      </c>
      <c r="F1017">
        <v>2014</v>
      </c>
      <c r="G1017">
        <v>14187615</v>
      </c>
      <c r="H1017" s="1">
        <v>41969</v>
      </c>
      <c r="I1017" s="1">
        <v>41984</v>
      </c>
      <c r="J1017" s="1">
        <v>41984</v>
      </c>
      <c r="K1017" s="1">
        <v>42044</v>
      </c>
      <c r="L1017" s="7">
        <v>5034.82</v>
      </c>
      <c r="M1017" s="5">
        <v>260</v>
      </c>
      <c r="N1017" s="7">
        <v>1309053.2</v>
      </c>
      <c r="O1017" s="2">
        <v>5034.82</v>
      </c>
      <c r="P1017">
        <v>260</v>
      </c>
      <c r="Q1017" s="2">
        <v>1309053.2</v>
      </c>
      <c r="R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 s="1">
        <v>42382</v>
      </c>
      <c r="AC1017" t="s">
        <v>53</v>
      </c>
      <c r="AD1017" t="s">
        <v>53</v>
      </c>
      <c r="AK1017">
        <v>0</v>
      </c>
      <c r="AU1017" s="6">
        <v>42304</v>
      </c>
      <c r="AV1017" s="6">
        <v>42304</v>
      </c>
      <c r="AW1017" t="s">
        <v>54</v>
      </c>
      <c r="AX1017" t="str">
        <f t="shared" si="76"/>
        <v>FOR</v>
      </c>
      <c r="AY1017" t="s">
        <v>55</v>
      </c>
    </row>
    <row r="1018" spans="1:51">
      <c r="A1018">
        <v>100210</v>
      </c>
      <c r="B1018" t="s">
        <v>103</v>
      </c>
      <c r="C1018" t="str">
        <f t="shared" ref="C1018:D1037" si="79">"08082461008"</f>
        <v>08082461008</v>
      </c>
      <c r="D1018" t="str">
        <f t="shared" si="79"/>
        <v>08082461008</v>
      </c>
      <c r="E1018" t="s">
        <v>52</v>
      </c>
      <c r="F1018">
        <v>2014</v>
      </c>
      <c r="G1018">
        <v>14187779</v>
      </c>
      <c r="H1018" s="1">
        <v>41970</v>
      </c>
      <c r="I1018" s="1">
        <v>41984</v>
      </c>
      <c r="J1018" s="1">
        <v>41984</v>
      </c>
      <c r="K1018" s="1">
        <v>42044</v>
      </c>
      <c r="L1018" s="7">
        <v>644.79999999999995</v>
      </c>
      <c r="M1018" s="5">
        <v>260</v>
      </c>
      <c r="N1018" s="7">
        <v>167648</v>
      </c>
      <c r="O1018">
        <v>644.79999999999995</v>
      </c>
      <c r="P1018">
        <v>260</v>
      </c>
      <c r="Q1018" s="2">
        <v>167648</v>
      </c>
      <c r="R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 s="1">
        <v>42382</v>
      </c>
      <c r="AC1018" t="s">
        <v>53</v>
      </c>
      <c r="AD1018" t="s">
        <v>53</v>
      </c>
      <c r="AK1018">
        <v>0</v>
      </c>
      <c r="AU1018" s="6">
        <v>42304</v>
      </c>
      <c r="AV1018" s="6">
        <v>42304</v>
      </c>
      <c r="AW1018" t="s">
        <v>54</v>
      </c>
      <c r="AX1018" t="str">
        <f t="shared" si="76"/>
        <v>FOR</v>
      </c>
      <c r="AY1018" t="s">
        <v>55</v>
      </c>
    </row>
    <row r="1019" spans="1:51">
      <c r="A1019">
        <v>100210</v>
      </c>
      <c r="B1019" t="s">
        <v>103</v>
      </c>
      <c r="C1019" t="str">
        <f t="shared" si="79"/>
        <v>08082461008</v>
      </c>
      <c r="D1019" t="str">
        <f t="shared" si="79"/>
        <v>08082461008</v>
      </c>
      <c r="E1019" t="s">
        <v>52</v>
      </c>
      <c r="F1019">
        <v>2014</v>
      </c>
      <c r="G1019">
        <v>14187981</v>
      </c>
      <c r="H1019" s="1">
        <v>41970</v>
      </c>
      <c r="I1019" s="1">
        <v>41984</v>
      </c>
      <c r="J1019" s="1">
        <v>41984</v>
      </c>
      <c r="K1019" s="1">
        <v>42044</v>
      </c>
      <c r="L1019" s="7">
        <v>217.4</v>
      </c>
      <c r="M1019" s="5">
        <v>260</v>
      </c>
      <c r="N1019" s="7">
        <v>56524</v>
      </c>
      <c r="O1019">
        <v>217.4</v>
      </c>
      <c r="P1019">
        <v>260</v>
      </c>
      <c r="Q1019" s="2">
        <v>56524</v>
      </c>
      <c r="R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 s="1">
        <v>42382</v>
      </c>
      <c r="AC1019" t="s">
        <v>53</v>
      </c>
      <c r="AD1019" t="s">
        <v>53</v>
      </c>
      <c r="AK1019">
        <v>0</v>
      </c>
      <c r="AU1019" s="6">
        <v>42304</v>
      </c>
      <c r="AV1019" s="6">
        <v>42304</v>
      </c>
      <c r="AW1019" t="s">
        <v>54</v>
      </c>
      <c r="AX1019" t="str">
        <f t="shared" si="76"/>
        <v>FOR</v>
      </c>
      <c r="AY1019" t="s">
        <v>55</v>
      </c>
    </row>
    <row r="1020" spans="1:51">
      <c r="A1020">
        <v>100210</v>
      </c>
      <c r="B1020" t="s">
        <v>103</v>
      </c>
      <c r="C1020" t="str">
        <f t="shared" si="79"/>
        <v>08082461008</v>
      </c>
      <c r="D1020" t="str">
        <f t="shared" si="79"/>
        <v>08082461008</v>
      </c>
      <c r="E1020" t="s">
        <v>52</v>
      </c>
      <c r="F1020">
        <v>2014</v>
      </c>
      <c r="G1020">
        <v>14189829</v>
      </c>
      <c r="H1020" s="1">
        <v>41975</v>
      </c>
      <c r="I1020" s="1">
        <v>41985</v>
      </c>
      <c r="J1020" s="1">
        <v>41985</v>
      </c>
      <c r="K1020" s="1">
        <v>42045</v>
      </c>
      <c r="L1020" s="7">
        <v>2531.9299999999998</v>
      </c>
      <c r="M1020" s="5">
        <v>295</v>
      </c>
      <c r="N1020" s="7">
        <v>746919.35</v>
      </c>
      <c r="O1020" s="2">
        <v>2531.9299999999998</v>
      </c>
      <c r="P1020">
        <v>295</v>
      </c>
      <c r="Q1020" s="2">
        <v>746919.35</v>
      </c>
      <c r="R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 s="1">
        <v>42382</v>
      </c>
      <c r="AC1020" t="s">
        <v>53</v>
      </c>
      <c r="AD1020" t="s">
        <v>53</v>
      </c>
      <c r="AK1020">
        <v>0</v>
      </c>
      <c r="AU1020" s="6">
        <v>42340</v>
      </c>
      <c r="AV1020" s="6">
        <v>42340</v>
      </c>
      <c r="AW1020" t="s">
        <v>54</v>
      </c>
      <c r="AX1020" t="str">
        <f t="shared" si="76"/>
        <v>FOR</v>
      </c>
      <c r="AY1020" t="s">
        <v>55</v>
      </c>
    </row>
    <row r="1021" spans="1:51">
      <c r="A1021">
        <v>100210</v>
      </c>
      <c r="B1021" t="s">
        <v>103</v>
      </c>
      <c r="C1021" t="str">
        <f t="shared" si="79"/>
        <v>08082461008</v>
      </c>
      <c r="D1021" t="str">
        <f t="shared" si="79"/>
        <v>08082461008</v>
      </c>
      <c r="E1021" t="s">
        <v>52</v>
      </c>
      <c r="F1021">
        <v>2014</v>
      </c>
      <c r="G1021">
        <v>14189870</v>
      </c>
      <c r="H1021" s="1">
        <v>41975</v>
      </c>
      <c r="I1021" s="1">
        <v>41985</v>
      </c>
      <c r="J1021" s="1">
        <v>41985</v>
      </c>
      <c r="K1021" s="1">
        <v>42045</v>
      </c>
      <c r="L1021" s="7">
        <v>1582.46</v>
      </c>
      <c r="M1021" s="5">
        <v>295</v>
      </c>
      <c r="N1021" s="7">
        <v>466825.7</v>
      </c>
      <c r="O1021" s="2">
        <v>1582.46</v>
      </c>
      <c r="P1021">
        <v>295</v>
      </c>
      <c r="Q1021" s="2">
        <v>466825.7</v>
      </c>
      <c r="R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 s="1">
        <v>42382</v>
      </c>
      <c r="AC1021" t="s">
        <v>53</v>
      </c>
      <c r="AD1021" t="s">
        <v>53</v>
      </c>
      <c r="AK1021">
        <v>0</v>
      </c>
      <c r="AU1021" s="6">
        <v>42340</v>
      </c>
      <c r="AV1021" s="6">
        <v>42340</v>
      </c>
      <c r="AW1021" t="s">
        <v>54</v>
      </c>
      <c r="AX1021" t="str">
        <f t="shared" si="76"/>
        <v>FOR</v>
      </c>
      <c r="AY1021" t="s">
        <v>55</v>
      </c>
    </row>
    <row r="1022" spans="1:51">
      <c r="A1022">
        <v>100210</v>
      </c>
      <c r="B1022" t="s">
        <v>103</v>
      </c>
      <c r="C1022" t="str">
        <f t="shared" si="79"/>
        <v>08082461008</v>
      </c>
      <c r="D1022" t="str">
        <f t="shared" si="79"/>
        <v>08082461008</v>
      </c>
      <c r="E1022" t="s">
        <v>52</v>
      </c>
      <c r="F1022">
        <v>2014</v>
      </c>
      <c r="G1022">
        <v>14191673</v>
      </c>
      <c r="H1022" s="1">
        <v>41977</v>
      </c>
      <c r="I1022" s="1">
        <v>41988</v>
      </c>
      <c r="J1022" s="1">
        <v>41988</v>
      </c>
      <c r="K1022" s="1">
        <v>42048</v>
      </c>
      <c r="L1022" s="7">
        <v>1582.46</v>
      </c>
      <c r="M1022" s="5">
        <v>292</v>
      </c>
      <c r="N1022" s="7">
        <v>462078.32</v>
      </c>
      <c r="O1022" s="2">
        <v>1582.46</v>
      </c>
      <c r="P1022">
        <v>292</v>
      </c>
      <c r="Q1022" s="2">
        <v>462078.32</v>
      </c>
      <c r="R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 s="1">
        <v>42382</v>
      </c>
      <c r="AC1022" t="s">
        <v>53</v>
      </c>
      <c r="AD1022" t="s">
        <v>53</v>
      </c>
      <c r="AK1022">
        <v>0</v>
      </c>
      <c r="AU1022" s="6">
        <v>42340</v>
      </c>
      <c r="AV1022" s="6">
        <v>42340</v>
      </c>
      <c r="AW1022" t="s">
        <v>54</v>
      </c>
      <c r="AX1022" t="str">
        <f t="shared" si="76"/>
        <v>FOR</v>
      </c>
      <c r="AY1022" t="s">
        <v>55</v>
      </c>
    </row>
    <row r="1023" spans="1:51">
      <c r="A1023">
        <v>100210</v>
      </c>
      <c r="B1023" t="s">
        <v>103</v>
      </c>
      <c r="C1023" t="str">
        <f t="shared" si="79"/>
        <v>08082461008</v>
      </c>
      <c r="D1023" t="str">
        <f t="shared" si="79"/>
        <v>08082461008</v>
      </c>
      <c r="E1023" t="s">
        <v>52</v>
      </c>
      <c r="F1023">
        <v>2014</v>
      </c>
      <c r="G1023">
        <v>14192758</v>
      </c>
      <c r="H1023" s="1">
        <v>41978</v>
      </c>
      <c r="I1023" s="1">
        <v>41990</v>
      </c>
      <c r="J1023" s="1">
        <v>41990</v>
      </c>
      <c r="K1023" s="1">
        <v>42050</v>
      </c>
      <c r="L1023" s="7">
        <v>1886.36</v>
      </c>
      <c r="M1023" s="5">
        <v>290</v>
      </c>
      <c r="N1023" s="7">
        <v>547044.4</v>
      </c>
      <c r="O1023" s="2">
        <v>1886.36</v>
      </c>
      <c r="P1023">
        <v>290</v>
      </c>
      <c r="Q1023" s="2">
        <v>547044.4</v>
      </c>
      <c r="R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 s="1">
        <v>42382</v>
      </c>
      <c r="AC1023" t="s">
        <v>53</v>
      </c>
      <c r="AD1023" t="s">
        <v>53</v>
      </c>
      <c r="AK1023">
        <v>0</v>
      </c>
      <c r="AU1023" s="6">
        <v>42340</v>
      </c>
      <c r="AV1023" s="6">
        <v>42340</v>
      </c>
      <c r="AW1023" t="s">
        <v>54</v>
      </c>
      <c r="AX1023" t="str">
        <f t="shared" si="76"/>
        <v>FOR</v>
      </c>
      <c r="AY1023" t="s">
        <v>55</v>
      </c>
    </row>
    <row r="1024" spans="1:51">
      <c r="A1024">
        <v>100210</v>
      </c>
      <c r="B1024" t="s">
        <v>103</v>
      </c>
      <c r="C1024" t="str">
        <f t="shared" si="79"/>
        <v>08082461008</v>
      </c>
      <c r="D1024" t="str">
        <f t="shared" si="79"/>
        <v>08082461008</v>
      </c>
      <c r="E1024" t="s">
        <v>52</v>
      </c>
      <c r="F1024">
        <v>2014</v>
      </c>
      <c r="G1024">
        <v>14197638</v>
      </c>
      <c r="H1024" s="1">
        <v>41989</v>
      </c>
      <c r="I1024" s="1">
        <v>42004</v>
      </c>
      <c r="J1024" s="1">
        <v>42004</v>
      </c>
      <c r="K1024" s="1">
        <v>42064</v>
      </c>
      <c r="L1024" s="7">
        <v>2203.3200000000002</v>
      </c>
      <c r="M1024" s="5">
        <v>276</v>
      </c>
      <c r="N1024" s="7">
        <v>608116.31999999995</v>
      </c>
      <c r="O1024" s="2">
        <v>2203.3200000000002</v>
      </c>
      <c r="P1024">
        <v>276</v>
      </c>
      <c r="Q1024" s="2">
        <v>608116.31999999995</v>
      </c>
      <c r="R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 s="1">
        <v>42382</v>
      </c>
      <c r="AC1024" t="s">
        <v>53</v>
      </c>
      <c r="AD1024" t="s">
        <v>53</v>
      </c>
      <c r="AK1024">
        <v>0</v>
      </c>
      <c r="AU1024" s="6">
        <v>42340</v>
      </c>
      <c r="AV1024" s="6">
        <v>42340</v>
      </c>
      <c r="AW1024" t="s">
        <v>54</v>
      </c>
      <c r="AX1024" t="str">
        <f t="shared" si="76"/>
        <v>FOR</v>
      </c>
      <c r="AY1024" t="s">
        <v>55</v>
      </c>
    </row>
    <row r="1025" spans="1:51">
      <c r="A1025">
        <v>100210</v>
      </c>
      <c r="B1025" t="s">
        <v>103</v>
      </c>
      <c r="C1025" t="str">
        <f t="shared" si="79"/>
        <v>08082461008</v>
      </c>
      <c r="D1025" t="str">
        <f t="shared" si="79"/>
        <v>08082461008</v>
      </c>
      <c r="E1025" t="s">
        <v>52</v>
      </c>
      <c r="F1025">
        <v>2014</v>
      </c>
      <c r="G1025">
        <v>14198302</v>
      </c>
      <c r="H1025" s="1">
        <v>41990</v>
      </c>
      <c r="I1025" s="1">
        <v>42004</v>
      </c>
      <c r="J1025" s="1">
        <v>42004</v>
      </c>
      <c r="K1025" s="1">
        <v>42064</v>
      </c>
      <c r="L1025" s="7">
        <v>644.79999999999995</v>
      </c>
      <c r="M1025" s="5">
        <v>276</v>
      </c>
      <c r="N1025" s="7">
        <v>177964.79999999999</v>
      </c>
      <c r="O1025">
        <v>644.79999999999995</v>
      </c>
      <c r="P1025">
        <v>276</v>
      </c>
      <c r="Q1025" s="2">
        <v>177964.79999999999</v>
      </c>
      <c r="R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 s="1">
        <v>42382</v>
      </c>
      <c r="AC1025" t="s">
        <v>53</v>
      </c>
      <c r="AD1025" t="s">
        <v>53</v>
      </c>
      <c r="AK1025">
        <v>0</v>
      </c>
      <c r="AU1025" s="6">
        <v>42340</v>
      </c>
      <c r="AV1025" s="6">
        <v>42340</v>
      </c>
      <c r="AW1025" t="s">
        <v>54</v>
      </c>
      <c r="AX1025" t="str">
        <f t="shared" si="76"/>
        <v>FOR</v>
      </c>
      <c r="AY1025" t="s">
        <v>55</v>
      </c>
    </row>
    <row r="1026" spans="1:51">
      <c r="A1026">
        <v>100210</v>
      </c>
      <c r="B1026" t="s">
        <v>103</v>
      </c>
      <c r="C1026" t="str">
        <f t="shared" si="79"/>
        <v>08082461008</v>
      </c>
      <c r="D1026" t="str">
        <f t="shared" si="79"/>
        <v>08082461008</v>
      </c>
      <c r="E1026" t="s">
        <v>52</v>
      </c>
      <c r="F1026">
        <v>2014</v>
      </c>
      <c r="G1026">
        <v>14198304</v>
      </c>
      <c r="H1026" s="1">
        <v>41990</v>
      </c>
      <c r="I1026" s="1">
        <v>42004</v>
      </c>
      <c r="J1026" s="1">
        <v>42004</v>
      </c>
      <c r="K1026" s="1">
        <v>42064</v>
      </c>
      <c r="L1026" s="7">
        <v>644.79999999999995</v>
      </c>
      <c r="M1026" s="5">
        <v>276</v>
      </c>
      <c r="N1026" s="7">
        <v>177964.79999999999</v>
      </c>
      <c r="O1026">
        <v>644.79999999999995</v>
      </c>
      <c r="P1026">
        <v>276</v>
      </c>
      <c r="Q1026" s="2">
        <v>177964.79999999999</v>
      </c>
      <c r="R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 s="1">
        <v>42382</v>
      </c>
      <c r="AC1026" t="s">
        <v>53</v>
      </c>
      <c r="AD1026" t="s">
        <v>53</v>
      </c>
      <c r="AK1026">
        <v>0</v>
      </c>
      <c r="AU1026" s="6">
        <v>42340</v>
      </c>
      <c r="AV1026" s="6">
        <v>42340</v>
      </c>
      <c r="AW1026" t="s">
        <v>54</v>
      </c>
      <c r="AX1026" t="str">
        <f t="shared" si="76"/>
        <v>FOR</v>
      </c>
      <c r="AY1026" t="s">
        <v>55</v>
      </c>
    </row>
    <row r="1027" spans="1:51">
      <c r="A1027">
        <v>100210</v>
      </c>
      <c r="B1027" t="s">
        <v>103</v>
      </c>
      <c r="C1027" t="str">
        <f t="shared" si="79"/>
        <v>08082461008</v>
      </c>
      <c r="D1027" t="str">
        <f t="shared" si="79"/>
        <v>08082461008</v>
      </c>
      <c r="E1027" t="s">
        <v>52</v>
      </c>
      <c r="F1027">
        <v>2014</v>
      </c>
      <c r="G1027">
        <v>14199252</v>
      </c>
      <c r="H1027" s="1">
        <v>41991</v>
      </c>
      <c r="I1027" s="1">
        <v>42004</v>
      </c>
      <c r="J1027" s="1">
        <v>42004</v>
      </c>
      <c r="K1027" s="1">
        <v>42064</v>
      </c>
      <c r="L1027" s="7">
        <v>644.79999999999995</v>
      </c>
      <c r="M1027" s="5">
        <v>276</v>
      </c>
      <c r="N1027" s="7">
        <v>177964.79999999999</v>
      </c>
      <c r="O1027">
        <v>644.79999999999995</v>
      </c>
      <c r="P1027">
        <v>276</v>
      </c>
      <c r="Q1027" s="2">
        <v>177964.79999999999</v>
      </c>
      <c r="R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 s="1">
        <v>42382</v>
      </c>
      <c r="AC1027" t="s">
        <v>53</v>
      </c>
      <c r="AD1027" t="s">
        <v>53</v>
      </c>
      <c r="AK1027">
        <v>0</v>
      </c>
      <c r="AU1027" s="6">
        <v>42340</v>
      </c>
      <c r="AV1027" s="6">
        <v>42340</v>
      </c>
      <c r="AW1027" t="s">
        <v>54</v>
      </c>
      <c r="AX1027" t="str">
        <f t="shared" ref="AX1027:AX1090" si="80">"FOR"</f>
        <v>FOR</v>
      </c>
      <c r="AY1027" t="s">
        <v>55</v>
      </c>
    </row>
    <row r="1028" spans="1:51">
      <c r="A1028">
        <v>100210</v>
      </c>
      <c r="B1028" t="s">
        <v>103</v>
      </c>
      <c r="C1028" t="str">
        <f t="shared" si="79"/>
        <v>08082461008</v>
      </c>
      <c r="D1028" t="str">
        <f t="shared" si="79"/>
        <v>08082461008</v>
      </c>
      <c r="E1028" t="s">
        <v>52</v>
      </c>
      <c r="F1028">
        <v>2014</v>
      </c>
      <c r="G1028">
        <v>14200518</v>
      </c>
      <c r="H1028" s="1">
        <v>41992</v>
      </c>
      <c r="I1028" s="1">
        <v>42004</v>
      </c>
      <c r="J1028" s="1">
        <v>42004</v>
      </c>
      <c r="K1028" s="1">
        <v>42064</v>
      </c>
      <c r="L1028" s="7">
        <v>9672</v>
      </c>
      <c r="M1028" s="5">
        <v>276</v>
      </c>
      <c r="N1028" s="7">
        <v>2669472</v>
      </c>
      <c r="O1028" s="2">
        <v>9672</v>
      </c>
      <c r="P1028">
        <v>276</v>
      </c>
      <c r="Q1028" s="2">
        <v>2669472</v>
      </c>
      <c r="R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 s="1">
        <v>42382</v>
      </c>
      <c r="AC1028" t="s">
        <v>53</v>
      </c>
      <c r="AD1028" t="s">
        <v>53</v>
      </c>
      <c r="AK1028">
        <v>0</v>
      </c>
      <c r="AU1028" s="6">
        <v>42340</v>
      </c>
      <c r="AV1028" s="6">
        <v>42340</v>
      </c>
      <c r="AW1028" t="s">
        <v>54</v>
      </c>
      <c r="AX1028" t="str">
        <f t="shared" si="80"/>
        <v>FOR</v>
      </c>
      <c r="AY1028" t="s">
        <v>55</v>
      </c>
    </row>
    <row r="1029" spans="1:51">
      <c r="A1029">
        <v>100210</v>
      </c>
      <c r="B1029" t="s">
        <v>103</v>
      </c>
      <c r="C1029" t="str">
        <f t="shared" si="79"/>
        <v>08082461008</v>
      </c>
      <c r="D1029" t="str">
        <f t="shared" si="79"/>
        <v>08082461008</v>
      </c>
      <c r="E1029" t="s">
        <v>52</v>
      </c>
      <c r="F1029">
        <v>2014</v>
      </c>
      <c r="G1029">
        <v>14201752</v>
      </c>
      <c r="H1029" s="1">
        <v>41995</v>
      </c>
      <c r="I1029" s="1">
        <v>42004</v>
      </c>
      <c r="J1029" s="1">
        <v>42004</v>
      </c>
      <c r="K1029" s="1">
        <v>42064</v>
      </c>
      <c r="L1029" s="7">
        <v>2203.3200000000002</v>
      </c>
      <c r="M1029" s="5">
        <v>276</v>
      </c>
      <c r="N1029" s="7">
        <v>608116.31999999995</v>
      </c>
      <c r="O1029" s="2">
        <v>2203.3200000000002</v>
      </c>
      <c r="P1029">
        <v>276</v>
      </c>
      <c r="Q1029" s="2">
        <v>608116.31999999995</v>
      </c>
      <c r="R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 s="1">
        <v>42382</v>
      </c>
      <c r="AC1029" t="s">
        <v>53</v>
      </c>
      <c r="AD1029" t="s">
        <v>53</v>
      </c>
      <c r="AK1029">
        <v>0</v>
      </c>
      <c r="AU1029" s="6">
        <v>42340</v>
      </c>
      <c r="AV1029" s="6">
        <v>42340</v>
      </c>
      <c r="AW1029" t="s">
        <v>54</v>
      </c>
      <c r="AX1029" t="str">
        <f t="shared" si="80"/>
        <v>FOR</v>
      </c>
      <c r="AY1029" t="s">
        <v>55</v>
      </c>
    </row>
    <row r="1030" spans="1:51" hidden="1">
      <c r="A1030">
        <v>100210</v>
      </c>
      <c r="B1030" t="s">
        <v>103</v>
      </c>
      <c r="C1030" t="str">
        <f t="shared" si="79"/>
        <v>08082461008</v>
      </c>
      <c r="D1030" t="str">
        <f t="shared" si="79"/>
        <v>08082461008</v>
      </c>
      <c r="E1030" t="s">
        <v>52</v>
      </c>
      <c r="F1030">
        <v>2014</v>
      </c>
      <c r="G1030">
        <v>14700908</v>
      </c>
      <c r="H1030" s="1">
        <v>41653</v>
      </c>
      <c r="I1030" s="1">
        <v>41663</v>
      </c>
      <c r="J1030" s="1">
        <v>41663</v>
      </c>
      <c r="K1030" s="1">
        <v>41753</v>
      </c>
      <c r="N1030" s="5"/>
      <c r="O1030" s="2">
        <v>39412.49</v>
      </c>
      <c r="P1030">
        <v>308</v>
      </c>
      <c r="Q1030" s="2">
        <v>12139046.92</v>
      </c>
      <c r="R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 s="1">
        <v>42382</v>
      </c>
      <c r="AC1030" t="s">
        <v>53</v>
      </c>
      <c r="AD1030" t="s">
        <v>53</v>
      </c>
      <c r="AK1030">
        <v>0</v>
      </c>
      <c r="AU1030" s="6">
        <v>42061</v>
      </c>
      <c r="AV1030" s="6">
        <v>42061</v>
      </c>
      <c r="AW1030" t="s">
        <v>54</v>
      </c>
      <c r="AX1030" t="str">
        <f t="shared" si="80"/>
        <v>FOR</v>
      </c>
      <c r="AY1030" t="s">
        <v>55</v>
      </c>
    </row>
    <row r="1031" spans="1:51" hidden="1">
      <c r="A1031">
        <v>100210</v>
      </c>
      <c r="B1031" t="s">
        <v>103</v>
      </c>
      <c r="C1031" t="str">
        <f t="shared" si="79"/>
        <v>08082461008</v>
      </c>
      <c r="D1031" t="str">
        <f t="shared" si="79"/>
        <v>08082461008</v>
      </c>
      <c r="E1031" t="s">
        <v>52</v>
      </c>
      <c r="F1031">
        <v>2014</v>
      </c>
      <c r="G1031">
        <v>14706092</v>
      </c>
      <c r="H1031" s="1">
        <v>41717</v>
      </c>
      <c r="I1031" s="1">
        <v>41733</v>
      </c>
      <c r="J1031" s="1">
        <v>41733</v>
      </c>
      <c r="K1031" s="1">
        <v>41823</v>
      </c>
      <c r="N1031" s="5"/>
      <c r="O1031" s="2">
        <v>8539.99</v>
      </c>
      <c r="P1031">
        <v>238</v>
      </c>
      <c r="Q1031" s="2">
        <v>2032517.62</v>
      </c>
      <c r="R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 s="1">
        <v>42382</v>
      </c>
      <c r="AC1031" t="s">
        <v>53</v>
      </c>
      <c r="AD1031" t="s">
        <v>53</v>
      </c>
      <c r="AK1031">
        <v>0</v>
      </c>
      <c r="AU1031" s="6">
        <v>42061</v>
      </c>
      <c r="AV1031" s="6">
        <v>42061</v>
      </c>
      <c r="AW1031" t="s">
        <v>54</v>
      </c>
      <c r="AX1031" t="str">
        <f t="shared" si="80"/>
        <v>FOR</v>
      </c>
      <c r="AY1031" t="s">
        <v>55</v>
      </c>
    </row>
    <row r="1032" spans="1:51" hidden="1">
      <c r="A1032">
        <v>100210</v>
      </c>
      <c r="B1032" t="s">
        <v>103</v>
      </c>
      <c r="C1032" t="str">
        <f t="shared" si="79"/>
        <v>08082461008</v>
      </c>
      <c r="D1032" t="str">
        <f t="shared" si="79"/>
        <v>08082461008</v>
      </c>
      <c r="E1032" t="s">
        <v>52</v>
      </c>
      <c r="F1032">
        <v>2014</v>
      </c>
      <c r="G1032">
        <v>14710207</v>
      </c>
      <c r="H1032" s="1">
        <v>41774</v>
      </c>
      <c r="I1032" s="1">
        <v>41788</v>
      </c>
      <c r="J1032" s="1">
        <v>41788</v>
      </c>
      <c r="K1032" s="1">
        <v>41878</v>
      </c>
      <c r="N1032" s="5"/>
      <c r="O1032" s="2">
        <v>19450.46</v>
      </c>
      <c r="P1032">
        <v>308</v>
      </c>
      <c r="Q1032" s="2">
        <v>5990741.6799999997</v>
      </c>
      <c r="R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 s="1">
        <v>42382</v>
      </c>
      <c r="AC1032" t="s">
        <v>53</v>
      </c>
      <c r="AD1032" t="s">
        <v>53</v>
      </c>
      <c r="AK1032">
        <v>0</v>
      </c>
      <c r="AU1032" s="6">
        <v>42186</v>
      </c>
      <c r="AV1032" s="6">
        <v>42186</v>
      </c>
      <c r="AW1032" t="s">
        <v>54</v>
      </c>
      <c r="AX1032" t="str">
        <f t="shared" si="80"/>
        <v>FOR</v>
      </c>
      <c r="AY1032" t="s">
        <v>55</v>
      </c>
    </row>
    <row r="1033" spans="1:51" hidden="1">
      <c r="A1033">
        <v>100210</v>
      </c>
      <c r="B1033" t="s">
        <v>103</v>
      </c>
      <c r="C1033" t="str">
        <f t="shared" si="79"/>
        <v>08082461008</v>
      </c>
      <c r="D1033" t="str">
        <f t="shared" si="79"/>
        <v>08082461008</v>
      </c>
      <c r="E1033" t="s">
        <v>52</v>
      </c>
      <c r="F1033">
        <v>2014</v>
      </c>
      <c r="G1033">
        <v>14712519</v>
      </c>
      <c r="H1033" s="1">
        <v>41809</v>
      </c>
      <c r="I1033" s="1">
        <v>41821</v>
      </c>
      <c r="J1033" s="1">
        <v>41821</v>
      </c>
      <c r="K1033" s="1">
        <v>41911</v>
      </c>
      <c r="N1033" s="5"/>
      <c r="O1033" s="2">
        <v>8539.99</v>
      </c>
      <c r="P1033">
        <v>339</v>
      </c>
      <c r="Q1033" s="2">
        <v>2895056.61</v>
      </c>
      <c r="R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 s="1">
        <v>42382</v>
      </c>
      <c r="AC1033" t="s">
        <v>53</v>
      </c>
      <c r="AD1033" t="s">
        <v>53</v>
      </c>
      <c r="AK1033">
        <v>0</v>
      </c>
      <c r="AU1033" s="6">
        <v>42250</v>
      </c>
      <c r="AV1033" s="6">
        <v>42250</v>
      </c>
      <c r="AW1033" t="s">
        <v>54</v>
      </c>
      <c r="AX1033" t="str">
        <f t="shared" si="80"/>
        <v>FOR</v>
      </c>
      <c r="AY1033" t="s">
        <v>55</v>
      </c>
    </row>
    <row r="1034" spans="1:51">
      <c r="A1034">
        <v>100210</v>
      </c>
      <c r="B1034" t="s">
        <v>103</v>
      </c>
      <c r="C1034" t="str">
        <f t="shared" si="79"/>
        <v>08082461008</v>
      </c>
      <c r="D1034" t="str">
        <f t="shared" si="79"/>
        <v>08082461008</v>
      </c>
      <c r="E1034" t="s">
        <v>52</v>
      </c>
      <c r="F1034">
        <v>2014</v>
      </c>
      <c r="G1034">
        <v>15000024</v>
      </c>
      <c r="H1034" s="1">
        <v>42002</v>
      </c>
      <c r="I1034" s="1">
        <v>42018</v>
      </c>
      <c r="J1034" s="1">
        <v>42018</v>
      </c>
      <c r="K1034" s="1">
        <v>42078</v>
      </c>
      <c r="L1034" s="7">
        <v>1405.69</v>
      </c>
      <c r="M1034" s="5">
        <v>262</v>
      </c>
      <c r="N1034" s="7">
        <v>368290.78</v>
      </c>
      <c r="O1034" s="2">
        <v>1405.69</v>
      </c>
      <c r="P1034">
        <v>262</v>
      </c>
      <c r="Q1034" s="2">
        <v>368290.78</v>
      </c>
      <c r="R1034">
        <v>0</v>
      </c>
      <c r="V1034">
        <v>0</v>
      </c>
      <c r="W1034">
        <v>0</v>
      </c>
      <c r="X1034">
        <v>0</v>
      </c>
      <c r="Y1034">
        <v>0</v>
      </c>
      <c r="Z1034" s="2">
        <v>1405.69</v>
      </c>
      <c r="AA1034">
        <v>0</v>
      </c>
      <c r="AB1034" s="1">
        <v>42382</v>
      </c>
      <c r="AC1034" t="s">
        <v>53</v>
      </c>
      <c r="AD1034" t="s">
        <v>53</v>
      </c>
      <c r="AK1034">
        <v>0</v>
      </c>
      <c r="AU1034" s="6">
        <v>42340</v>
      </c>
      <c r="AV1034" s="6">
        <v>42340</v>
      </c>
      <c r="AW1034" t="s">
        <v>54</v>
      </c>
      <c r="AX1034" t="str">
        <f t="shared" si="80"/>
        <v>FOR</v>
      </c>
      <c r="AY1034" t="s">
        <v>55</v>
      </c>
    </row>
    <row r="1035" spans="1:51" hidden="1">
      <c r="A1035">
        <v>100210</v>
      </c>
      <c r="B1035" t="s">
        <v>103</v>
      </c>
      <c r="C1035" t="str">
        <f t="shared" si="79"/>
        <v>08082461008</v>
      </c>
      <c r="D1035" t="str">
        <f t="shared" si="79"/>
        <v>08082461008</v>
      </c>
      <c r="E1035" t="s">
        <v>52</v>
      </c>
      <c r="F1035">
        <v>2014</v>
      </c>
      <c r="G1035">
        <v>98451548</v>
      </c>
      <c r="H1035" s="1">
        <v>41655</v>
      </c>
      <c r="I1035" s="1">
        <v>41684</v>
      </c>
      <c r="J1035" s="1">
        <v>41684</v>
      </c>
      <c r="K1035" s="1">
        <v>41774</v>
      </c>
      <c r="N1035" s="5"/>
      <c r="O1035" s="2">
        <v>3681.72</v>
      </c>
      <c r="P1035">
        <v>287</v>
      </c>
      <c r="Q1035" s="2">
        <v>1056653.6399999999</v>
      </c>
      <c r="R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 s="1">
        <v>42382</v>
      </c>
      <c r="AC1035" t="s">
        <v>53</v>
      </c>
      <c r="AD1035" t="s">
        <v>53</v>
      </c>
      <c r="AK1035">
        <v>0</v>
      </c>
      <c r="AU1035" s="6">
        <v>42061</v>
      </c>
      <c r="AV1035" s="6">
        <v>42061</v>
      </c>
      <c r="AW1035" t="s">
        <v>54</v>
      </c>
      <c r="AX1035" t="str">
        <f t="shared" si="80"/>
        <v>FOR</v>
      </c>
      <c r="AY1035" t="s">
        <v>55</v>
      </c>
    </row>
    <row r="1036" spans="1:51" hidden="1">
      <c r="A1036">
        <v>100210</v>
      </c>
      <c r="B1036" t="s">
        <v>103</v>
      </c>
      <c r="C1036" t="str">
        <f t="shared" si="79"/>
        <v>08082461008</v>
      </c>
      <c r="D1036" t="str">
        <f t="shared" si="79"/>
        <v>08082461008</v>
      </c>
      <c r="E1036" t="s">
        <v>52</v>
      </c>
      <c r="F1036">
        <v>2014</v>
      </c>
      <c r="G1036">
        <v>98454439</v>
      </c>
      <c r="H1036" s="1">
        <v>41674</v>
      </c>
      <c r="I1036" s="1">
        <v>41730</v>
      </c>
      <c r="J1036" s="1">
        <v>41730</v>
      </c>
      <c r="K1036" s="1">
        <v>41820</v>
      </c>
      <c r="N1036" s="5"/>
      <c r="O1036" s="2">
        <v>8162.1</v>
      </c>
      <c r="P1036">
        <v>282</v>
      </c>
      <c r="Q1036" s="2">
        <v>2301712.2000000002</v>
      </c>
      <c r="R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 s="1">
        <v>42382</v>
      </c>
      <c r="AC1036" t="s">
        <v>53</v>
      </c>
      <c r="AD1036" t="s">
        <v>53</v>
      </c>
      <c r="AK1036">
        <v>0</v>
      </c>
      <c r="AU1036" s="6">
        <v>42102</v>
      </c>
      <c r="AV1036" s="6">
        <v>42102</v>
      </c>
      <c r="AW1036" t="s">
        <v>54</v>
      </c>
      <c r="AX1036" t="str">
        <f t="shared" si="80"/>
        <v>FOR</v>
      </c>
      <c r="AY1036" t="s">
        <v>55</v>
      </c>
    </row>
    <row r="1037" spans="1:51" hidden="1">
      <c r="A1037">
        <v>100210</v>
      </c>
      <c r="B1037" t="s">
        <v>103</v>
      </c>
      <c r="C1037" t="str">
        <f t="shared" si="79"/>
        <v>08082461008</v>
      </c>
      <c r="D1037" t="str">
        <f t="shared" si="79"/>
        <v>08082461008</v>
      </c>
      <c r="E1037" t="s">
        <v>52</v>
      </c>
      <c r="F1037">
        <v>2014</v>
      </c>
      <c r="G1037">
        <v>98461643</v>
      </c>
      <c r="H1037" s="1">
        <v>41719</v>
      </c>
      <c r="I1037" s="1">
        <v>41758</v>
      </c>
      <c r="J1037" s="1">
        <v>41758</v>
      </c>
      <c r="K1037" s="1">
        <v>41848</v>
      </c>
      <c r="N1037" s="5"/>
      <c r="O1037" s="2">
        <v>1166.8599999999999</v>
      </c>
      <c r="P1037">
        <v>283</v>
      </c>
      <c r="Q1037" s="2">
        <v>330221.38</v>
      </c>
      <c r="R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 s="1">
        <v>42382</v>
      </c>
      <c r="AC1037" t="s">
        <v>53</v>
      </c>
      <c r="AD1037" t="s">
        <v>53</v>
      </c>
      <c r="AK1037">
        <v>0</v>
      </c>
      <c r="AU1037" s="6">
        <v>42131</v>
      </c>
      <c r="AV1037" s="6">
        <v>42131</v>
      </c>
      <c r="AW1037" t="s">
        <v>54</v>
      </c>
      <c r="AX1037" t="str">
        <f t="shared" si="80"/>
        <v>FOR</v>
      </c>
      <c r="AY1037" t="s">
        <v>55</v>
      </c>
    </row>
    <row r="1038" spans="1:51" hidden="1">
      <c r="A1038">
        <v>100210</v>
      </c>
      <c r="B1038" t="s">
        <v>103</v>
      </c>
      <c r="C1038" t="str">
        <f t="shared" ref="C1038:D1057" si="81">"08082461008"</f>
        <v>08082461008</v>
      </c>
      <c r="D1038" t="str">
        <f t="shared" si="81"/>
        <v>08082461008</v>
      </c>
      <c r="E1038" t="s">
        <v>52</v>
      </c>
      <c r="F1038">
        <v>2014</v>
      </c>
      <c r="G1038">
        <v>98461982</v>
      </c>
      <c r="H1038" s="1">
        <v>41722</v>
      </c>
      <c r="I1038" s="1">
        <v>41758</v>
      </c>
      <c r="J1038" s="1">
        <v>41758</v>
      </c>
      <c r="K1038" s="1">
        <v>41848</v>
      </c>
      <c r="N1038" s="5"/>
      <c r="O1038" s="2">
        <v>5809.69</v>
      </c>
      <c r="P1038">
        <v>283</v>
      </c>
      <c r="Q1038" s="2">
        <v>1644142.27</v>
      </c>
      <c r="R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 s="1">
        <v>42382</v>
      </c>
      <c r="AC1038" t="s">
        <v>53</v>
      </c>
      <c r="AD1038" t="s">
        <v>53</v>
      </c>
      <c r="AK1038">
        <v>0</v>
      </c>
      <c r="AU1038" s="6">
        <v>42131</v>
      </c>
      <c r="AV1038" s="6">
        <v>42131</v>
      </c>
      <c r="AW1038" t="s">
        <v>54</v>
      </c>
      <c r="AX1038" t="str">
        <f t="shared" si="80"/>
        <v>FOR</v>
      </c>
      <c r="AY1038" t="s">
        <v>55</v>
      </c>
    </row>
    <row r="1039" spans="1:51" hidden="1">
      <c r="A1039">
        <v>100210</v>
      </c>
      <c r="B1039" t="s">
        <v>103</v>
      </c>
      <c r="C1039" t="str">
        <f t="shared" si="81"/>
        <v>08082461008</v>
      </c>
      <c r="D1039" t="str">
        <f t="shared" si="81"/>
        <v>08082461008</v>
      </c>
      <c r="E1039" t="s">
        <v>52</v>
      </c>
      <c r="F1039">
        <v>2014</v>
      </c>
      <c r="G1039">
        <v>98465125</v>
      </c>
      <c r="H1039" s="1">
        <v>41737</v>
      </c>
      <c r="I1039" s="1">
        <v>41758</v>
      </c>
      <c r="J1039" s="1">
        <v>41758</v>
      </c>
      <c r="K1039" s="1">
        <v>41848</v>
      </c>
      <c r="N1039" s="5"/>
      <c r="O1039">
        <v>550.66</v>
      </c>
      <c r="P1039">
        <v>315</v>
      </c>
      <c r="Q1039" s="2">
        <v>173457.9</v>
      </c>
      <c r="R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 s="1">
        <v>42382</v>
      </c>
      <c r="AC1039" t="s">
        <v>53</v>
      </c>
      <c r="AD1039" t="s">
        <v>53</v>
      </c>
      <c r="AK1039">
        <v>0</v>
      </c>
      <c r="AU1039" s="6">
        <v>42163</v>
      </c>
      <c r="AV1039" s="6">
        <v>42163</v>
      </c>
      <c r="AW1039" t="s">
        <v>54</v>
      </c>
      <c r="AX1039" t="str">
        <f t="shared" si="80"/>
        <v>FOR</v>
      </c>
      <c r="AY1039" t="s">
        <v>55</v>
      </c>
    </row>
    <row r="1040" spans="1:51" hidden="1">
      <c r="A1040">
        <v>100210</v>
      </c>
      <c r="B1040" t="s">
        <v>103</v>
      </c>
      <c r="C1040" t="str">
        <f t="shared" si="81"/>
        <v>08082461008</v>
      </c>
      <c r="D1040" t="str">
        <f t="shared" si="81"/>
        <v>08082461008</v>
      </c>
      <c r="E1040" t="s">
        <v>52</v>
      </c>
      <c r="F1040">
        <v>2014</v>
      </c>
      <c r="G1040">
        <v>98475465</v>
      </c>
      <c r="H1040" s="1">
        <v>41803</v>
      </c>
      <c r="I1040" s="1">
        <v>41834</v>
      </c>
      <c r="J1040" s="1">
        <v>41834</v>
      </c>
      <c r="K1040" s="1">
        <v>41924</v>
      </c>
      <c r="N1040" s="5"/>
      <c r="O1040">
        <v>341.12</v>
      </c>
      <c r="P1040">
        <v>326</v>
      </c>
      <c r="Q1040" s="2">
        <v>111205.12</v>
      </c>
      <c r="R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 s="1">
        <v>42382</v>
      </c>
      <c r="AC1040" t="s">
        <v>53</v>
      </c>
      <c r="AD1040" t="s">
        <v>53</v>
      </c>
      <c r="AK1040">
        <v>0</v>
      </c>
      <c r="AU1040" s="6">
        <v>42250</v>
      </c>
      <c r="AV1040" s="6">
        <v>42250</v>
      </c>
      <c r="AW1040" t="s">
        <v>54</v>
      </c>
      <c r="AX1040" t="str">
        <f t="shared" si="80"/>
        <v>FOR</v>
      </c>
      <c r="AY1040" t="s">
        <v>55</v>
      </c>
    </row>
    <row r="1041" spans="1:51" hidden="1">
      <c r="A1041">
        <v>100210</v>
      </c>
      <c r="B1041" t="s">
        <v>103</v>
      </c>
      <c r="C1041" t="str">
        <f t="shared" si="81"/>
        <v>08082461008</v>
      </c>
      <c r="D1041" t="str">
        <f t="shared" si="81"/>
        <v>08082461008</v>
      </c>
      <c r="E1041" t="s">
        <v>52</v>
      </c>
      <c r="F1041">
        <v>2014</v>
      </c>
      <c r="G1041">
        <v>98478745</v>
      </c>
      <c r="H1041" s="1">
        <v>41823</v>
      </c>
      <c r="I1041" s="1">
        <v>41845</v>
      </c>
      <c r="J1041" s="1">
        <v>41845</v>
      </c>
      <c r="K1041" s="1">
        <v>41935</v>
      </c>
      <c r="N1041" s="5"/>
      <c r="O1041" s="2">
        <v>9711.8700000000008</v>
      </c>
      <c r="P1041">
        <v>315</v>
      </c>
      <c r="Q1041" s="2">
        <v>3059239.05</v>
      </c>
      <c r="R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 s="1">
        <v>42382</v>
      </c>
      <c r="AC1041" t="s">
        <v>53</v>
      </c>
      <c r="AD1041" t="s">
        <v>53</v>
      </c>
      <c r="AK1041">
        <v>0</v>
      </c>
      <c r="AU1041" s="6">
        <v>42250</v>
      </c>
      <c r="AV1041" s="6">
        <v>42250</v>
      </c>
      <c r="AW1041" t="s">
        <v>54</v>
      </c>
      <c r="AX1041" t="str">
        <f t="shared" si="80"/>
        <v>FOR</v>
      </c>
      <c r="AY1041" t="s">
        <v>55</v>
      </c>
    </row>
    <row r="1042" spans="1:51" hidden="1">
      <c r="A1042">
        <v>100210</v>
      </c>
      <c r="B1042" t="s">
        <v>103</v>
      </c>
      <c r="C1042" t="str">
        <f t="shared" si="81"/>
        <v>08082461008</v>
      </c>
      <c r="D1042" t="str">
        <f t="shared" si="81"/>
        <v>08082461008</v>
      </c>
      <c r="E1042" t="s">
        <v>52</v>
      </c>
      <c r="F1042">
        <v>2014</v>
      </c>
      <c r="G1042">
        <v>98478746</v>
      </c>
      <c r="H1042" s="1">
        <v>41823</v>
      </c>
      <c r="I1042" s="1">
        <v>41845</v>
      </c>
      <c r="J1042" s="1">
        <v>41845</v>
      </c>
      <c r="K1042" s="1">
        <v>41935</v>
      </c>
      <c r="N1042" s="5"/>
      <c r="O1042" s="2">
        <v>3544.84</v>
      </c>
      <c r="P1042">
        <v>315</v>
      </c>
      <c r="Q1042" s="2">
        <v>1116624.6000000001</v>
      </c>
      <c r="R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 s="1">
        <v>42382</v>
      </c>
      <c r="AC1042" t="s">
        <v>53</v>
      </c>
      <c r="AD1042" t="s">
        <v>53</v>
      </c>
      <c r="AK1042">
        <v>0</v>
      </c>
      <c r="AU1042" s="6">
        <v>42250</v>
      </c>
      <c r="AV1042" s="6">
        <v>42250</v>
      </c>
      <c r="AW1042" t="s">
        <v>54</v>
      </c>
      <c r="AX1042" t="str">
        <f t="shared" si="80"/>
        <v>FOR</v>
      </c>
      <c r="AY1042" t="s">
        <v>55</v>
      </c>
    </row>
    <row r="1043" spans="1:51" hidden="1">
      <c r="A1043">
        <v>100210</v>
      </c>
      <c r="B1043" t="s">
        <v>103</v>
      </c>
      <c r="C1043" t="str">
        <f t="shared" si="81"/>
        <v>08082461008</v>
      </c>
      <c r="D1043" t="str">
        <f t="shared" si="81"/>
        <v>08082461008</v>
      </c>
      <c r="E1043" t="s">
        <v>52</v>
      </c>
      <c r="F1043">
        <v>2014</v>
      </c>
      <c r="G1043">
        <v>98478747</v>
      </c>
      <c r="H1043" s="1">
        <v>41823</v>
      </c>
      <c r="I1043" s="1">
        <v>41845</v>
      </c>
      <c r="J1043" s="1">
        <v>41845</v>
      </c>
      <c r="K1043" s="1">
        <v>41935</v>
      </c>
      <c r="N1043" s="5"/>
      <c r="O1043" s="2">
        <v>10928.94</v>
      </c>
      <c r="P1043">
        <v>315</v>
      </c>
      <c r="Q1043" s="2">
        <v>3442616.1</v>
      </c>
      <c r="R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 s="1">
        <v>42382</v>
      </c>
      <c r="AC1043" t="s">
        <v>53</v>
      </c>
      <c r="AD1043" t="s">
        <v>53</v>
      </c>
      <c r="AK1043">
        <v>0</v>
      </c>
      <c r="AU1043" s="6">
        <v>42250</v>
      </c>
      <c r="AV1043" s="6">
        <v>42250</v>
      </c>
      <c r="AW1043" t="s">
        <v>54</v>
      </c>
      <c r="AX1043" t="str">
        <f t="shared" si="80"/>
        <v>FOR</v>
      </c>
      <c r="AY1043" t="s">
        <v>55</v>
      </c>
    </row>
    <row r="1044" spans="1:51" hidden="1">
      <c r="A1044">
        <v>100210</v>
      </c>
      <c r="B1044" t="s">
        <v>103</v>
      </c>
      <c r="C1044" t="str">
        <f t="shared" si="81"/>
        <v>08082461008</v>
      </c>
      <c r="D1044" t="str">
        <f t="shared" si="81"/>
        <v>08082461008</v>
      </c>
      <c r="E1044" t="s">
        <v>52</v>
      </c>
      <c r="F1044">
        <v>2014</v>
      </c>
      <c r="G1044">
        <v>98480219</v>
      </c>
      <c r="H1044" s="1">
        <v>41834</v>
      </c>
      <c r="I1044" s="1">
        <v>41873</v>
      </c>
      <c r="J1044" s="1">
        <v>41873</v>
      </c>
      <c r="K1044" s="1">
        <v>41963</v>
      </c>
      <c r="N1044" s="5"/>
      <c r="O1044" s="2">
        <v>3221.44</v>
      </c>
      <c r="P1044">
        <v>287</v>
      </c>
      <c r="Q1044" s="2">
        <v>924553.28</v>
      </c>
      <c r="R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 s="1">
        <v>42382</v>
      </c>
      <c r="AC1044" t="s">
        <v>53</v>
      </c>
      <c r="AD1044" t="s">
        <v>53</v>
      </c>
      <c r="AK1044">
        <v>0</v>
      </c>
      <c r="AU1044" s="6">
        <v>42250</v>
      </c>
      <c r="AV1044" s="6">
        <v>42250</v>
      </c>
      <c r="AW1044" t="s">
        <v>54</v>
      </c>
      <c r="AX1044" t="str">
        <f t="shared" si="80"/>
        <v>FOR</v>
      </c>
      <c r="AY1044" t="s">
        <v>55</v>
      </c>
    </row>
    <row r="1045" spans="1:51" hidden="1">
      <c r="A1045">
        <v>100210</v>
      </c>
      <c r="B1045" t="s">
        <v>103</v>
      </c>
      <c r="C1045" t="str">
        <f t="shared" si="81"/>
        <v>08082461008</v>
      </c>
      <c r="D1045" t="str">
        <f t="shared" si="81"/>
        <v>08082461008</v>
      </c>
      <c r="E1045" t="s">
        <v>52</v>
      </c>
      <c r="F1045">
        <v>2014</v>
      </c>
      <c r="G1045">
        <v>98480455</v>
      </c>
      <c r="H1045" s="1">
        <v>41835</v>
      </c>
      <c r="I1045" s="1">
        <v>41873</v>
      </c>
      <c r="J1045" s="1">
        <v>41873</v>
      </c>
      <c r="K1045" s="1">
        <v>41963</v>
      </c>
      <c r="N1045" s="5"/>
      <c r="O1045" s="2">
        <v>1910.85</v>
      </c>
      <c r="P1045">
        <v>287</v>
      </c>
      <c r="Q1045" s="2">
        <v>548413.94999999995</v>
      </c>
      <c r="R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 s="1">
        <v>42382</v>
      </c>
      <c r="AC1045" t="s">
        <v>53</v>
      </c>
      <c r="AD1045" t="s">
        <v>53</v>
      </c>
      <c r="AK1045">
        <v>0</v>
      </c>
      <c r="AU1045" s="6">
        <v>42250</v>
      </c>
      <c r="AV1045" s="6">
        <v>42250</v>
      </c>
      <c r="AW1045" t="s">
        <v>54</v>
      </c>
      <c r="AX1045" t="str">
        <f t="shared" si="80"/>
        <v>FOR</v>
      </c>
      <c r="AY1045" t="s">
        <v>55</v>
      </c>
    </row>
    <row r="1046" spans="1:51" hidden="1">
      <c r="A1046">
        <v>100210</v>
      </c>
      <c r="B1046" t="s">
        <v>103</v>
      </c>
      <c r="C1046" t="str">
        <f t="shared" si="81"/>
        <v>08082461008</v>
      </c>
      <c r="D1046" t="str">
        <f t="shared" si="81"/>
        <v>08082461008</v>
      </c>
      <c r="E1046" t="s">
        <v>52</v>
      </c>
      <c r="F1046">
        <v>2014</v>
      </c>
      <c r="G1046">
        <v>98480556</v>
      </c>
      <c r="H1046" s="1">
        <v>41836</v>
      </c>
      <c r="I1046" s="1">
        <v>41873</v>
      </c>
      <c r="J1046" s="1">
        <v>41873</v>
      </c>
      <c r="K1046" s="1">
        <v>41963</v>
      </c>
      <c r="N1046" s="5"/>
      <c r="O1046" s="2">
        <v>1417.94</v>
      </c>
      <c r="P1046">
        <v>287</v>
      </c>
      <c r="Q1046" s="2">
        <v>406948.78</v>
      </c>
      <c r="R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 s="1">
        <v>42382</v>
      </c>
      <c r="AC1046" t="s">
        <v>53</v>
      </c>
      <c r="AD1046" t="s">
        <v>53</v>
      </c>
      <c r="AK1046">
        <v>0</v>
      </c>
      <c r="AU1046" s="6">
        <v>42250</v>
      </c>
      <c r="AV1046" s="6">
        <v>42250</v>
      </c>
      <c r="AW1046" t="s">
        <v>54</v>
      </c>
      <c r="AX1046" t="str">
        <f t="shared" si="80"/>
        <v>FOR</v>
      </c>
      <c r="AY1046" t="s">
        <v>55</v>
      </c>
    </row>
    <row r="1047" spans="1:51" hidden="1">
      <c r="A1047">
        <v>100210</v>
      </c>
      <c r="B1047" t="s">
        <v>103</v>
      </c>
      <c r="C1047" t="str">
        <f t="shared" si="81"/>
        <v>08082461008</v>
      </c>
      <c r="D1047" t="str">
        <f t="shared" si="81"/>
        <v>08082461008</v>
      </c>
      <c r="E1047" t="s">
        <v>52</v>
      </c>
      <c r="F1047">
        <v>2014</v>
      </c>
      <c r="G1047">
        <v>98480557</v>
      </c>
      <c r="H1047" s="1">
        <v>41836</v>
      </c>
      <c r="I1047" s="1">
        <v>41873</v>
      </c>
      <c r="J1047" s="1">
        <v>41873</v>
      </c>
      <c r="K1047" s="1">
        <v>41963</v>
      </c>
      <c r="N1047" s="5"/>
      <c r="O1047" s="2">
        <v>1517.46</v>
      </c>
      <c r="P1047">
        <v>287</v>
      </c>
      <c r="Q1047" s="2">
        <v>435511.02</v>
      </c>
      <c r="R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 s="1">
        <v>42382</v>
      </c>
      <c r="AC1047" t="s">
        <v>53</v>
      </c>
      <c r="AD1047" t="s">
        <v>53</v>
      </c>
      <c r="AK1047">
        <v>0</v>
      </c>
      <c r="AU1047" s="6">
        <v>42250</v>
      </c>
      <c r="AV1047" s="6">
        <v>42250</v>
      </c>
      <c r="AW1047" t="s">
        <v>54</v>
      </c>
      <c r="AX1047" t="str">
        <f t="shared" si="80"/>
        <v>FOR</v>
      </c>
      <c r="AY1047" t="s">
        <v>55</v>
      </c>
    </row>
    <row r="1048" spans="1:51" hidden="1">
      <c r="A1048">
        <v>100210</v>
      </c>
      <c r="B1048" t="s">
        <v>103</v>
      </c>
      <c r="C1048" t="str">
        <f t="shared" si="81"/>
        <v>08082461008</v>
      </c>
      <c r="D1048" t="str">
        <f t="shared" si="81"/>
        <v>08082461008</v>
      </c>
      <c r="E1048" t="s">
        <v>52</v>
      </c>
      <c r="F1048">
        <v>2014</v>
      </c>
      <c r="G1048">
        <v>98481449</v>
      </c>
      <c r="H1048" s="1">
        <v>41842</v>
      </c>
      <c r="I1048" s="1">
        <v>41876</v>
      </c>
      <c r="J1048" s="1">
        <v>41876</v>
      </c>
      <c r="K1048" s="1">
        <v>41966</v>
      </c>
      <c r="N1048" s="5"/>
      <c r="O1048" s="2">
        <v>1840.88</v>
      </c>
      <c r="P1048">
        <v>284</v>
      </c>
      <c r="Q1048" s="2">
        <v>522809.92</v>
      </c>
      <c r="R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 s="1">
        <v>42382</v>
      </c>
      <c r="AC1048" t="s">
        <v>53</v>
      </c>
      <c r="AD1048" t="s">
        <v>53</v>
      </c>
      <c r="AK1048">
        <v>0</v>
      </c>
      <c r="AU1048" s="6">
        <v>42250</v>
      </c>
      <c r="AV1048" s="6">
        <v>42250</v>
      </c>
      <c r="AW1048" t="s">
        <v>54</v>
      </c>
      <c r="AX1048" t="str">
        <f t="shared" si="80"/>
        <v>FOR</v>
      </c>
      <c r="AY1048" t="s">
        <v>55</v>
      </c>
    </row>
    <row r="1049" spans="1:51" hidden="1">
      <c r="A1049">
        <v>100210</v>
      </c>
      <c r="B1049" t="s">
        <v>103</v>
      </c>
      <c r="C1049" t="str">
        <f t="shared" si="81"/>
        <v>08082461008</v>
      </c>
      <c r="D1049" t="str">
        <f t="shared" si="81"/>
        <v>08082461008</v>
      </c>
      <c r="E1049" t="s">
        <v>52</v>
      </c>
      <c r="F1049">
        <v>2014</v>
      </c>
      <c r="G1049">
        <v>98483130</v>
      </c>
      <c r="H1049" s="1">
        <v>41849</v>
      </c>
      <c r="I1049" s="1">
        <v>41876</v>
      </c>
      <c r="J1049" s="1">
        <v>41876</v>
      </c>
      <c r="K1049" s="1">
        <v>41966</v>
      </c>
      <c r="N1049" s="5"/>
      <c r="O1049" s="2">
        <v>2683.2</v>
      </c>
      <c r="P1049">
        <v>284</v>
      </c>
      <c r="Q1049" s="2">
        <v>762028.8</v>
      </c>
      <c r="R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 s="1">
        <v>42382</v>
      </c>
      <c r="AC1049" t="s">
        <v>53</v>
      </c>
      <c r="AD1049" t="s">
        <v>53</v>
      </c>
      <c r="AK1049">
        <v>0</v>
      </c>
      <c r="AU1049" s="6">
        <v>42250</v>
      </c>
      <c r="AV1049" s="6">
        <v>42250</v>
      </c>
      <c r="AW1049" t="s">
        <v>54</v>
      </c>
      <c r="AX1049" t="str">
        <f t="shared" si="80"/>
        <v>FOR</v>
      </c>
      <c r="AY1049" t="s">
        <v>55</v>
      </c>
    </row>
    <row r="1050" spans="1:51" hidden="1">
      <c r="A1050">
        <v>100210</v>
      </c>
      <c r="B1050" t="s">
        <v>103</v>
      </c>
      <c r="C1050" t="str">
        <f t="shared" si="81"/>
        <v>08082461008</v>
      </c>
      <c r="D1050" t="str">
        <f t="shared" si="81"/>
        <v>08082461008</v>
      </c>
      <c r="E1050" t="s">
        <v>52</v>
      </c>
      <c r="F1050">
        <v>2014</v>
      </c>
      <c r="G1050">
        <v>98484575</v>
      </c>
      <c r="H1050" s="1">
        <v>41858</v>
      </c>
      <c r="I1050" s="1">
        <v>41901</v>
      </c>
      <c r="J1050" s="1">
        <v>41901</v>
      </c>
      <c r="K1050" s="1">
        <v>41991</v>
      </c>
      <c r="N1050" s="5"/>
      <c r="O1050" s="2">
        <v>2374.36</v>
      </c>
      <c r="P1050">
        <v>259</v>
      </c>
      <c r="Q1050" s="2">
        <v>614959.24</v>
      </c>
      <c r="R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 s="1">
        <v>42382</v>
      </c>
      <c r="AC1050" t="s">
        <v>53</v>
      </c>
      <c r="AD1050" t="s">
        <v>53</v>
      </c>
      <c r="AK1050">
        <v>0</v>
      </c>
      <c r="AU1050" s="6">
        <v>42250</v>
      </c>
      <c r="AV1050" s="6">
        <v>42250</v>
      </c>
      <c r="AW1050" t="s">
        <v>54</v>
      </c>
      <c r="AX1050" t="str">
        <f t="shared" si="80"/>
        <v>FOR</v>
      </c>
      <c r="AY1050" t="s">
        <v>55</v>
      </c>
    </row>
    <row r="1051" spans="1:51" hidden="1">
      <c r="A1051">
        <v>100210</v>
      </c>
      <c r="B1051" t="s">
        <v>103</v>
      </c>
      <c r="C1051" t="str">
        <f t="shared" si="81"/>
        <v>08082461008</v>
      </c>
      <c r="D1051" t="str">
        <f t="shared" si="81"/>
        <v>08082461008</v>
      </c>
      <c r="E1051" t="s">
        <v>52</v>
      </c>
      <c r="F1051">
        <v>2014</v>
      </c>
      <c r="G1051">
        <v>98484576</v>
      </c>
      <c r="H1051" s="1">
        <v>41858</v>
      </c>
      <c r="I1051" s="1">
        <v>41901</v>
      </c>
      <c r="J1051" s="1">
        <v>41901</v>
      </c>
      <c r="K1051" s="1">
        <v>41991</v>
      </c>
      <c r="N1051" s="5"/>
      <c r="O1051" s="2">
        <v>3681.64</v>
      </c>
      <c r="P1051">
        <v>259</v>
      </c>
      <c r="Q1051" s="2">
        <v>953544.76</v>
      </c>
      <c r="R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 s="1">
        <v>42382</v>
      </c>
      <c r="AC1051" t="s">
        <v>53</v>
      </c>
      <c r="AD1051" t="s">
        <v>53</v>
      </c>
      <c r="AK1051">
        <v>0</v>
      </c>
      <c r="AU1051" s="6">
        <v>42250</v>
      </c>
      <c r="AV1051" s="6">
        <v>42250</v>
      </c>
      <c r="AW1051" t="s">
        <v>54</v>
      </c>
      <c r="AX1051" t="str">
        <f t="shared" si="80"/>
        <v>FOR</v>
      </c>
      <c r="AY1051" t="s">
        <v>55</v>
      </c>
    </row>
    <row r="1052" spans="1:51" hidden="1">
      <c r="A1052">
        <v>100210</v>
      </c>
      <c r="B1052" t="s">
        <v>103</v>
      </c>
      <c r="C1052" t="str">
        <f t="shared" si="81"/>
        <v>08082461008</v>
      </c>
      <c r="D1052" t="str">
        <f t="shared" si="81"/>
        <v>08082461008</v>
      </c>
      <c r="E1052" t="s">
        <v>52</v>
      </c>
      <c r="F1052">
        <v>2014</v>
      </c>
      <c r="G1052">
        <v>98484893</v>
      </c>
      <c r="H1052" s="1">
        <v>41862</v>
      </c>
      <c r="I1052" s="1">
        <v>41901</v>
      </c>
      <c r="J1052" s="1">
        <v>41901</v>
      </c>
      <c r="K1052" s="1">
        <v>41991</v>
      </c>
      <c r="N1052" s="5"/>
      <c r="O1052">
        <v>920.44</v>
      </c>
      <c r="P1052">
        <v>259</v>
      </c>
      <c r="Q1052" s="2">
        <v>238393.96</v>
      </c>
      <c r="R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 s="1">
        <v>42382</v>
      </c>
      <c r="AC1052" t="s">
        <v>53</v>
      </c>
      <c r="AD1052" t="s">
        <v>53</v>
      </c>
      <c r="AK1052">
        <v>0</v>
      </c>
      <c r="AU1052" s="6">
        <v>42250</v>
      </c>
      <c r="AV1052" s="6">
        <v>42250</v>
      </c>
      <c r="AW1052" t="s">
        <v>54</v>
      </c>
      <c r="AX1052" t="str">
        <f t="shared" si="80"/>
        <v>FOR</v>
      </c>
      <c r="AY1052" t="s">
        <v>55</v>
      </c>
    </row>
    <row r="1053" spans="1:51" hidden="1">
      <c r="A1053">
        <v>100210</v>
      </c>
      <c r="B1053" t="s">
        <v>103</v>
      </c>
      <c r="C1053" t="str">
        <f t="shared" si="81"/>
        <v>08082461008</v>
      </c>
      <c r="D1053" t="str">
        <f t="shared" si="81"/>
        <v>08082461008</v>
      </c>
      <c r="E1053" t="s">
        <v>52</v>
      </c>
      <c r="F1053">
        <v>2014</v>
      </c>
      <c r="G1053">
        <v>98486979</v>
      </c>
      <c r="H1053" s="1">
        <v>41878</v>
      </c>
      <c r="I1053" s="1">
        <v>41911</v>
      </c>
      <c r="J1053" s="1">
        <v>41911</v>
      </c>
      <c r="K1053" s="1">
        <v>42001</v>
      </c>
      <c r="N1053" s="5"/>
      <c r="O1053" s="2">
        <v>4024.8</v>
      </c>
      <c r="P1053">
        <v>249</v>
      </c>
      <c r="Q1053" s="2">
        <v>1002175.2</v>
      </c>
      <c r="R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 s="1">
        <v>42382</v>
      </c>
      <c r="AC1053" t="s">
        <v>53</v>
      </c>
      <c r="AD1053" t="s">
        <v>53</v>
      </c>
      <c r="AK1053">
        <v>0</v>
      </c>
      <c r="AU1053" s="6">
        <v>42250</v>
      </c>
      <c r="AV1053" s="6">
        <v>42250</v>
      </c>
      <c r="AW1053" t="s">
        <v>54</v>
      </c>
      <c r="AX1053" t="str">
        <f t="shared" si="80"/>
        <v>FOR</v>
      </c>
      <c r="AY1053" t="s">
        <v>55</v>
      </c>
    </row>
    <row r="1054" spans="1:51" hidden="1">
      <c r="A1054">
        <v>100210</v>
      </c>
      <c r="B1054" t="s">
        <v>103</v>
      </c>
      <c r="C1054" t="str">
        <f t="shared" si="81"/>
        <v>08082461008</v>
      </c>
      <c r="D1054" t="str">
        <f t="shared" si="81"/>
        <v>08082461008</v>
      </c>
      <c r="E1054" t="s">
        <v>52</v>
      </c>
      <c r="F1054">
        <v>2014</v>
      </c>
      <c r="G1054">
        <v>98490061</v>
      </c>
      <c r="H1054" s="1">
        <v>41899</v>
      </c>
      <c r="I1054" s="1">
        <v>41921</v>
      </c>
      <c r="J1054" s="1">
        <v>41921</v>
      </c>
      <c r="K1054" s="1">
        <v>42011</v>
      </c>
      <c r="N1054" s="5"/>
      <c r="O1054" s="2">
        <v>3176.76</v>
      </c>
      <c r="P1054">
        <v>239</v>
      </c>
      <c r="Q1054" s="2">
        <v>759245.64</v>
      </c>
      <c r="R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 s="1">
        <v>42382</v>
      </c>
      <c r="AC1054" t="s">
        <v>53</v>
      </c>
      <c r="AD1054" t="s">
        <v>53</v>
      </c>
      <c r="AK1054">
        <v>0</v>
      </c>
      <c r="AU1054" s="6">
        <v>42250</v>
      </c>
      <c r="AV1054" s="6">
        <v>42250</v>
      </c>
      <c r="AW1054" t="s">
        <v>54</v>
      </c>
      <c r="AX1054" t="str">
        <f t="shared" si="80"/>
        <v>FOR</v>
      </c>
      <c r="AY1054" t="s">
        <v>55</v>
      </c>
    </row>
    <row r="1055" spans="1:51" hidden="1">
      <c r="A1055">
        <v>100210</v>
      </c>
      <c r="B1055" t="s">
        <v>103</v>
      </c>
      <c r="C1055" t="str">
        <f t="shared" si="81"/>
        <v>08082461008</v>
      </c>
      <c r="D1055" t="str">
        <f t="shared" si="81"/>
        <v>08082461008</v>
      </c>
      <c r="E1055" t="s">
        <v>52</v>
      </c>
      <c r="F1055">
        <v>2014</v>
      </c>
      <c r="G1055">
        <v>98490331</v>
      </c>
      <c r="H1055" s="1">
        <v>41900</v>
      </c>
      <c r="I1055" s="1">
        <v>41921</v>
      </c>
      <c r="J1055" s="1">
        <v>41921</v>
      </c>
      <c r="K1055" s="1">
        <v>42011</v>
      </c>
      <c r="N1055" s="5"/>
      <c r="O1055" s="2">
        <v>1840.88</v>
      </c>
      <c r="P1055">
        <v>239</v>
      </c>
      <c r="Q1055" s="2">
        <v>439970.32</v>
      </c>
      <c r="R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 s="1">
        <v>42382</v>
      </c>
      <c r="AC1055" t="s">
        <v>53</v>
      </c>
      <c r="AD1055" t="s">
        <v>53</v>
      </c>
      <c r="AK1055">
        <v>0</v>
      </c>
      <c r="AU1055" s="6">
        <v>42250</v>
      </c>
      <c r="AV1055" s="6">
        <v>42250</v>
      </c>
      <c r="AW1055" t="s">
        <v>54</v>
      </c>
      <c r="AX1055" t="str">
        <f t="shared" si="80"/>
        <v>FOR</v>
      </c>
      <c r="AY1055" t="s">
        <v>55</v>
      </c>
    </row>
    <row r="1056" spans="1:51" hidden="1">
      <c r="A1056">
        <v>100210</v>
      </c>
      <c r="B1056" t="s">
        <v>103</v>
      </c>
      <c r="C1056" t="str">
        <f t="shared" si="81"/>
        <v>08082461008</v>
      </c>
      <c r="D1056" t="str">
        <f t="shared" si="81"/>
        <v>08082461008</v>
      </c>
      <c r="E1056" t="s">
        <v>52</v>
      </c>
      <c r="F1056">
        <v>2014</v>
      </c>
      <c r="G1056">
        <v>98493462</v>
      </c>
      <c r="H1056" s="1">
        <v>41918</v>
      </c>
      <c r="I1056" s="1">
        <v>41941</v>
      </c>
      <c r="J1056" s="1">
        <v>41941</v>
      </c>
      <c r="K1056" s="1">
        <v>42001</v>
      </c>
      <c r="N1056" s="5"/>
      <c r="O1056" s="2">
        <v>2761.24</v>
      </c>
      <c r="P1056">
        <v>276</v>
      </c>
      <c r="Q1056" s="2">
        <v>762102.24</v>
      </c>
      <c r="R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 s="1">
        <v>42382</v>
      </c>
      <c r="AC1056" t="s">
        <v>53</v>
      </c>
      <c r="AD1056" t="s">
        <v>53</v>
      </c>
      <c r="AK1056">
        <v>0</v>
      </c>
      <c r="AU1056" s="6">
        <v>42277</v>
      </c>
      <c r="AV1056" s="6">
        <v>42277</v>
      </c>
      <c r="AW1056" t="s">
        <v>54</v>
      </c>
      <c r="AX1056" t="str">
        <f t="shared" si="80"/>
        <v>FOR</v>
      </c>
      <c r="AY1056" t="s">
        <v>55</v>
      </c>
    </row>
    <row r="1057" spans="1:51" hidden="1">
      <c r="A1057">
        <v>100210</v>
      </c>
      <c r="B1057" t="s">
        <v>103</v>
      </c>
      <c r="C1057" t="str">
        <f t="shared" si="81"/>
        <v>08082461008</v>
      </c>
      <c r="D1057" t="str">
        <f t="shared" si="81"/>
        <v>08082461008</v>
      </c>
      <c r="E1057" t="s">
        <v>52</v>
      </c>
      <c r="F1057">
        <v>2014</v>
      </c>
      <c r="G1057">
        <v>98495414</v>
      </c>
      <c r="H1057" s="1">
        <v>41929</v>
      </c>
      <c r="I1057" s="1">
        <v>41955</v>
      </c>
      <c r="J1057" s="1">
        <v>41955</v>
      </c>
      <c r="K1057" s="1">
        <v>42015</v>
      </c>
      <c r="N1057" s="5"/>
      <c r="O1057">
        <v>445.54</v>
      </c>
      <c r="P1057">
        <v>262</v>
      </c>
      <c r="Q1057" s="2">
        <v>116731.48</v>
      </c>
      <c r="R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 s="1">
        <v>42382</v>
      </c>
      <c r="AC1057" t="s">
        <v>53</v>
      </c>
      <c r="AD1057" t="s">
        <v>53</v>
      </c>
      <c r="AK1057">
        <v>0</v>
      </c>
      <c r="AU1057" s="6">
        <v>42277</v>
      </c>
      <c r="AV1057" s="6">
        <v>42277</v>
      </c>
      <c r="AW1057" t="s">
        <v>54</v>
      </c>
      <c r="AX1057" t="str">
        <f t="shared" si="80"/>
        <v>FOR</v>
      </c>
      <c r="AY1057" t="s">
        <v>55</v>
      </c>
    </row>
    <row r="1058" spans="1:51" hidden="1">
      <c r="A1058">
        <v>100210</v>
      </c>
      <c r="B1058" t="s">
        <v>103</v>
      </c>
      <c r="C1058" t="str">
        <f t="shared" ref="C1058:D1077" si="82">"08082461008"</f>
        <v>08082461008</v>
      </c>
      <c r="D1058" t="str">
        <f t="shared" si="82"/>
        <v>08082461008</v>
      </c>
      <c r="E1058" t="s">
        <v>52</v>
      </c>
      <c r="F1058">
        <v>2014</v>
      </c>
      <c r="G1058">
        <v>98495417</v>
      </c>
      <c r="H1058" s="1">
        <v>41929</v>
      </c>
      <c r="I1058" s="1">
        <v>41955</v>
      </c>
      <c r="J1058" s="1">
        <v>41955</v>
      </c>
      <c r="K1058" s="1">
        <v>42015</v>
      </c>
      <c r="N1058" s="5"/>
      <c r="O1058" s="2">
        <v>1825.69</v>
      </c>
      <c r="P1058">
        <v>262</v>
      </c>
      <c r="Q1058" s="2">
        <v>478330.78</v>
      </c>
      <c r="R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 s="1">
        <v>42382</v>
      </c>
      <c r="AC1058" t="s">
        <v>53</v>
      </c>
      <c r="AD1058" t="s">
        <v>53</v>
      </c>
      <c r="AK1058">
        <v>0</v>
      </c>
      <c r="AU1058" s="6">
        <v>42277</v>
      </c>
      <c r="AV1058" s="6">
        <v>42277</v>
      </c>
      <c r="AW1058" t="s">
        <v>54</v>
      </c>
      <c r="AX1058" t="str">
        <f t="shared" si="80"/>
        <v>FOR</v>
      </c>
      <c r="AY1058" t="s">
        <v>55</v>
      </c>
    </row>
    <row r="1059" spans="1:51" hidden="1">
      <c r="A1059">
        <v>100210</v>
      </c>
      <c r="B1059" t="s">
        <v>103</v>
      </c>
      <c r="C1059" t="str">
        <f t="shared" si="82"/>
        <v>08082461008</v>
      </c>
      <c r="D1059" t="str">
        <f t="shared" si="82"/>
        <v>08082461008</v>
      </c>
      <c r="E1059" t="s">
        <v>52</v>
      </c>
      <c r="F1059">
        <v>2014</v>
      </c>
      <c r="G1059">
        <v>98496737</v>
      </c>
      <c r="H1059" s="1">
        <v>41936</v>
      </c>
      <c r="I1059" s="1">
        <v>42094</v>
      </c>
      <c r="J1059" s="1">
        <v>42094</v>
      </c>
      <c r="K1059" s="1">
        <v>42154</v>
      </c>
      <c r="N1059" s="5"/>
      <c r="O1059" s="2">
        <v>9891.01</v>
      </c>
      <c r="P1059">
        <v>123</v>
      </c>
      <c r="Q1059" s="2">
        <v>1216594.23</v>
      </c>
      <c r="R1059">
        <v>0</v>
      </c>
      <c r="V1059">
        <v>0</v>
      </c>
      <c r="W1059">
        <v>0</v>
      </c>
      <c r="X1059">
        <v>0</v>
      </c>
      <c r="Y1059">
        <v>0</v>
      </c>
      <c r="Z1059" s="2">
        <v>9891.01</v>
      </c>
      <c r="AA1059">
        <v>0</v>
      </c>
      <c r="AB1059" s="1">
        <v>42382</v>
      </c>
      <c r="AC1059" t="s">
        <v>53</v>
      </c>
      <c r="AD1059" t="s">
        <v>53</v>
      </c>
      <c r="AK1059">
        <v>0</v>
      </c>
      <c r="AU1059" s="6">
        <v>42277</v>
      </c>
      <c r="AV1059" s="6">
        <v>42277</v>
      </c>
      <c r="AW1059" t="s">
        <v>54</v>
      </c>
      <c r="AX1059" t="str">
        <f t="shared" si="80"/>
        <v>FOR</v>
      </c>
      <c r="AY1059" t="s">
        <v>55</v>
      </c>
    </row>
    <row r="1060" spans="1:51">
      <c r="A1060">
        <v>100210</v>
      </c>
      <c r="B1060" t="s">
        <v>103</v>
      </c>
      <c r="C1060" t="str">
        <f t="shared" si="82"/>
        <v>08082461008</v>
      </c>
      <c r="D1060" t="str">
        <f t="shared" si="82"/>
        <v>08082461008</v>
      </c>
      <c r="E1060" t="s">
        <v>52</v>
      </c>
      <c r="F1060">
        <v>2014</v>
      </c>
      <c r="G1060">
        <v>98502638</v>
      </c>
      <c r="H1060" s="1">
        <v>41974</v>
      </c>
      <c r="I1060" s="1">
        <v>42004</v>
      </c>
      <c r="J1060" s="1">
        <v>42004</v>
      </c>
      <c r="K1060" s="1">
        <v>42064</v>
      </c>
      <c r="L1060" s="7">
        <v>202.03</v>
      </c>
      <c r="M1060" s="5">
        <v>276</v>
      </c>
      <c r="N1060" s="7">
        <v>55760.28</v>
      </c>
      <c r="O1060">
        <v>202.03</v>
      </c>
      <c r="P1060">
        <v>276</v>
      </c>
      <c r="Q1060" s="2">
        <v>55760.28</v>
      </c>
      <c r="R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 s="1">
        <v>42382</v>
      </c>
      <c r="AC1060" t="s">
        <v>53</v>
      </c>
      <c r="AD1060" t="s">
        <v>53</v>
      </c>
      <c r="AK1060">
        <v>0</v>
      </c>
      <c r="AU1060" s="6">
        <v>42340</v>
      </c>
      <c r="AV1060" s="6">
        <v>42340</v>
      </c>
      <c r="AW1060" t="s">
        <v>54</v>
      </c>
      <c r="AX1060" t="str">
        <f t="shared" si="80"/>
        <v>FOR</v>
      </c>
      <c r="AY1060" t="s">
        <v>55</v>
      </c>
    </row>
    <row r="1061" spans="1:51">
      <c r="A1061">
        <v>100210</v>
      </c>
      <c r="B1061" t="s">
        <v>103</v>
      </c>
      <c r="C1061" t="str">
        <f t="shared" si="82"/>
        <v>08082461008</v>
      </c>
      <c r="D1061" t="str">
        <f t="shared" si="82"/>
        <v>08082461008</v>
      </c>
      <c r="E1061" t="s">
        <v>52</v>
      </c>
      <c r="F1061">
        <v>2014</v>
      </c>
      <c r="G1061">
        <v>98502639</v>
      </c>
      <c r="H1061" s="1">
        <v>41974</v>
      </c>
      <c r="I1061" s="1">
        <v>42004</v>
      </c>
      <c r="J1061" s="1">
        <v>42004</v>
      </c>
      <c r="K1061" s="1">
        <v>42064</v>
      </c>
      <c r="L1061" s="7">
        <v>1651.98</v>
      </c>
      <c r="M1061" s="5">
        <v>276</v>
      </c>
      <c r="N1061" s="7">
        <v>455946.48</v>
      </c>
      <c r="O1061" s="2">
        <v>1651.98</v>
      </c>
      <c r="P1061">
        <v>276</v>
      </c>
      <c r="Q1061" s="2">
        <v>455946.48</v>
      </c>
      <c r="R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 s="1">
        <v>42382</v>
      </c>
      <c r="AC1061" t="s">
        <v>53</v>
      </c>
      <c r="AD1061" t="s">
        <v>53</v>
      </c>
      <c r="AK1061">
        <v>0</v>
      </c>
      <c r="AU1061" s="6">
        <v>42340</v>
      </c>
      <c r="AV1061" s="6">
        <v>42340</v>
      </c>
      <c r="AW1061" t="s">
        <v>54</v>
      </c>
      <c r="AX1061" t="str">
        <f t="shared" si="80"/>
        <v>FOR</v>
      </c>
      <c r="AY1061" t="s">
        <v>55</v>
      </c>
    </row>
    <row r="1062" spans="1:51">
      <c r="A1062">
        <v>100210</v>
      </c>
      <c r="B1062" t="s">
        <v>103</v>
      </c>
      <c r="C1062" t="str">
        <f t="shared" si="82"/>
        <v>08082461008</v>
      </c>
      <c r="D1062" t="str">
        <f t="shared" si="82"/>
        <v>08082461008</v>
      </c>
      <c r="E1062" t="s">
        <v>52</v>
      </c>
      <c r="F1062">
        <v>2014</v>
      </c>
      <c r="G1062">
        <v>98503015</v>
      </c>
      <c r="H1062" s="1">
        <v>41976</v>
      </c>
      <c r="I1062" s="1">
        <v>42004</v>
      </c>
      <c r="J1062" s="1">
        <v>42004</v>
      </c>
      <c r="K1062" s="1">
        <v>42064</v>
      </c>
      <c r="L1062" s="7">
        <v>2420.6999999999998</v>
      </c>
      <c r="M1062" s="5">
        <v>276</v>
      </c>
      <c r="N1062" s="7">
        <v>668113.19999999995</v>
      </c>
      <c r="O1062" s="2">
        <v>2420.6999999999998</v>
      </c>
      <c r="P1062">
        <v>276</v>
      </c>
      <c r="Q1062" s="2">
        <v>668113.19999999995</v>
      </c>
      <c r="R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 s="1">
        <v>42382</v>
      </c>
      <c r="AC1062" t="s">
        <v>53</v>
      </c>
      <c r="AD1062" t="s">
        <v>53</v>
      </c>
      <c r="AK1062">
        <v>0</v>
      </c>
      <c r="AU1062" s="6">
        <v>42340</v>
      </c>
      <c r="AV1062" s="6">
        <v>42340</v>
      </c>
      <c r="AW1062" t="s">
        <v>54</v>
      </c>
      <c r="AX1062" t="str">
        <f t="shared" si="80"/>
        <v>FOR</v>
      </c>
      <c r="AY1062" t="s">
        <v>55</v>
      </c>
    </row>
    <row r="1063" spans="1:51">
      <c r="A1063">
        <v>100210</v>
      </c>
      <c r="B1063" t="s">
        <v>103</v>
      </c>
      <c r="C1063" t="str">
        <f t="shared" si="82"/>
        <v>08082461008</v>
      </c>
      <c r="D1063" t="str">
        <f t="shared" si="82"/>
        <v>08082461008</v>
      </c>
      <c r="E1063" t="s">
        <v>52</v>
      </c>
      <c r="F1063">
        <v>2015</v>
      </c>
      <c r="G1063">
        <v>15006550</v>
      </c>
      <c r="H1063" s="1">
        <v>42020</v>
      </c>
      <c r="I1063" s="1">
        <v>42037</v>
      </c>
      <c r="J1063" s="1">
        <v>42037</v>
      </c>
      <c r="K1063" s="1">
        <v>42097</v>
      </c>
      <c r="L1063" s="7">
        <v>6120</v>
      </c>
      <c r="M1063" s="5">
        <v>259</v>
      </c>
      <c r="N1063" s="7">
        <v>1585080</v>
      </c>
      <c r="O1063" s="2">
        <v>6120</v>
      </c>
      <c r="P1063">
        <v>259</v>
      </c>
      <c r="Q1063" s="2">
        <v>1585080</v>
      </c>
      <c r="R1063" s="2">
        <v>1346.4</v>
      </c>
      <c r="V1063">
        <v>0</v>
      </c>
      <c r="W1063">
        <v>0</v>
      </c>
      <c r="X1063">
        <v>0</v>
      </c>
      <c r="Y1063" s="2">
        <v>7466.4</v>
      </c>
      <c r="Z1063" s="2">
        <v>7466.4</v>
      </c>
      <c r="AA1063" s="2">
        <v>7466.4</v>
      </c>
      <c r="AB1063" s="1">
        <v>42382</v>
      </c>
      <c r="AC1063" t="s">
        <v>53</v>
      </c>
      <c r="AD1063" t="s">
        <v>53</v>
      </c>
      <c r="AK1063" s="2">
        <v>1346.4</v>
      </c>
      <c r="AU1063" s="6">
        <v>42356</v>
      </c>
      <c r="AV1063" s="6">
        <v>42356</v>
      </c>
      <c r="AW1063" t="s">
        <v>54</v>
      </c>
      <c r="AX1063" t="str">
        <f t="shared" si="80"/>
        <v>FOR</v>
      </c>
      <c r="AY1063" t="s">
        <v>55</v>
      </c>
    </row>
    <row r="1064" spans="1:51">
      <c r="A1064">
        <v>100210</v>
      </c>
      <c r="B1064" t="s">
        <v>103</v>
      </c>
      <c r="C1064" t="str">
        <f t="shared" si="82"/>
        <v>08082461008</v>
      </c>
      <c r="D1064" t="str">
        <f t="shared" si="82"/>
        <v>08082461008</v>
      </c>
      <c r="E1064" t="s">
        <v>52</v>
      </c>
      <c r="F1064">
        <v>2015</v>
      </c>
      <c r="G1064">
        <v>15009079</v>
      </c>
      <c r="H1064" s="1">
        <v>42025</v>
      </c>
      <c r="I1064" s="1">
        <v>42039</v>
      </c>
      <c r="J1064" s="1">
        <v>42039</v>
      </c>
      <c r="K1064" s="1">
        <v>42099</v>
      </c>
      <c r="L1064" s="7">
        <v>6708</v>
      </c>
      <c r="M1064" s="5">
        <v>257</v>
      </c>
      <c r="N1064" s="7">
        <v>1723956</v>
      </c>
      <c r="O1064" s="2">
        <v>6708</v>
      </c>
      <c r="P1064">
        <v>257</v>
      </c>
      <c r="Q1064" s="2">
        <v>1723956</v>
      </c>
      <c r="R1064" s="2">
        <v>1475.76</v>
      </c>
      <c r="V1064">
        <v>0</v>
      </c>
      <c r="W1064">
        <v>0</v>
      </c>
      <c r="X1064">
        <v>0</v>
      </c>
      <c r="Y1064" s="2">
        <v>8183.76</v>
      </c>
      <c r="Z1064" s="2">
        <v>8183.76</v>
      </c>
      <c r="AA1064" s="2">
        <v>8183.76</v>
      </c>
      <c r="AB1064" s="1">
        <v>42382</v>
      </c>
      <c r="AC1064" t="s">
        <v>53</v>
      </c>
      <c r="AD1064" t="s">
        <v>53</v>
      </c>
      <c r="AK1064" s="2">
        <v>1475.76</v>
      </c>
      <c r="AU1064" s="6">
        <v>42356</v>
      </c>
      <c r="AV1064" s="6">
        <v>42356</v>
      </c>
      <c r="AW1064" t="s">
        <v>54</v>
      </c>
      <c r="AX1064" t="str">
        <f t="shared" si="80"/>
        <v>FOR</v>
      </c>
      <c r="AY1064" t="s">
        <v>55</v>
      </c>
    </row>
    <row r="1065" spans="1:51">
      <c r="A1065">
        <v>100210</v>
      </c>
      <c r="B1065" t="s">
        <v>103</v>
      </c>
      <c r="C1065" t="str">
        <f t="shared" si="82"/>
        <v>08082461008</v>
      </c>
      <c r="D1065" t="str">
        <f t="shared" si="82"/>
        <v>08082461008</v>
      </c>
      <c r="E1065" t="s">
        <v>52</v>
      </c>
      <c r="F1065">
        <v>2015</v>
      </c>
      <c r="G1065">
        <v>15010050</v>
      </c>
      <c r="H1065" s="1">
        <v>42026</v>
      </c>
      <c r="I1065" s="1">
        <v>42047</v>
      </c>
      <c r="J1065" s="1">
        <v>42047</v>
      </c>
      <c r="K1065" s="1">
        <v>42107</v>
      </c>
      <c r="L1065" s="7">
        <v>3001.2</v>
      </c>
      <c r="M1065" s="5">
        <v>249</v>
      </c>
      <c r="N1065" s="7">
        <v>747298.8</v>
      </c>
      <c r="O1065" s="2">
        <v>3001.2</v>
      </c>
      <c r="P1065">
        <v>249</v>
      </c>
      <c r="Q1065" s="2">
        <v>747298.8</v>
      </c>
      <c r="R1065">
        <v>660.28</v>
      </c>
      <c r="V1065">
        <v>0</v>
      </c>
      <c r="W1065">
        <v>0</v>
      </c>
      <c r="X1065">
        <v>0</v>
      </c>
      <c r="Y1065" s="2">
        <v>3661.48</v>
      </c>
      <c r="Z1065" s="2">
        <v>3661.48</v>
      </c>
      <c r="AA1065" s="2">
        <v>3661.48</v>
      </c>
      <c r="AB1065" s="1">
        <v>42382</v>
      </c>
      <c r="AC1065" t="s">
        <v>53</v>
      </c>
      <c r="AD1065" t="s">
        <v>53</v>
      </c>
      <c r="AK1065">
        <v>660.28</v>
      </c>
      <c r="AU1065" s="6">
        <v>42356</v>
      </c>
      <c r="AV1065" s="6">
        <v>42356</v>
      </c>
      <c r="AW1065" t="s">
        <v>54</v>
      </c>
      <c r="AX1065" t="str">
        <f t="shared" si="80"/>
        <v>FOR</v>
      </c>
      <c r="AY1065" t="s">
        <v>55</v>
      </c>
    </row>
    <row r="1066" spans="1:51">
      <c r="A1066">
        <v>100210</v>
      </c>
      <c r="B1066" t="s">
        <v>103</v>
      </c>
      <c r="C1066" t="str">
        <f t="shared" si="82"/>
        <v>08082461008</v>
      </c>
      <c r="D1066" t="str">
        <f t="shared" si="82"/>
        <v>08082461008</v>
      </c>
      <c r="E1066" t="s">
        <v>52</v>
      </c>
      <c r="F1066">
        <v>2015</v>
      </c>
      <c r="G1066">
        <v>15010426</v>
      </c>
      <c r="H1066" s="1">
        <v>42026</v>
      </c>
      <c r="I1066" s="1">
        <v>42047</v>
      </c>
      <c r="J1066" s="1">
        <v>42047</v>
      </c>
      <c r="K1066" s="1">
        <v>42107</v>
      </c>
      <c r="L1066" s="7">
        <v>653.64</v>
      </c>
      <c r="M1066" s="5">
        <v>249</v>
      </c>
      <c r="N1066" s="7">
        <v>162756.35999999999</v>
      </c>
      <c r="O1066">
        <v>653.64</v>
      </c>
      <c r="P1066">
        <v>249</v>
      </c>
      <c r="Q1066" s="2">
        <v>162756.35999999999</v>
      </c>
      <c r="R1066">
        <v>143.81</v>
      </c>
      <c r="V1066">
        <v>0</v>
      </c>
      <c r="W1066">
        <v>0</v>
      </c>
      <c r="X1066">
        <v>0</v>
      </c>
      <c r="Y1066">
        <v>797.45</v>
      </c>
      <c r="Z1066">
        <v>797.45</v>
      </c>
      <c r="AA1066">
        <v>797.45</v>
      </c>
      <c r="AB1066" s="1">
        <v>42382</v>
      </c>
      <c r="AC1066" t="s">
        <v>53</v>
      </c>
      <c r="AD1066" t="s">
        <v>53</v>
      </c>
      <c r="AK1066">
        <v>143.81</v>
      </c>
      <c r="AU1066" s="6">
        <v>42356</v>
      </c>
      <c r="AV1066" s="6">
        <v>42356</v>
      </c>
      <c r="AW1066" t="s">
        <v>54</v>
      </c>
      <c r="AX1066" t="str">
        <f t="shared" si="80"/>
        <v>FOR</v>
      </c>
      <c r="AY1066" t="s">
        <v>55</v>
      </c>
    </row>
    <row r="1067" spans="1:51">
      <c r="A1067">
        <v>100210</v>
      </c>
      <c r="B1067" t="s">
        <v>103</v>
      </c>
      <c r="C1067" t="str">
        <f t="shared" si="82"/>
        <v>08082461008</v>
      </c>
      <c r="D1067" t="str">
        <f t="shared" si="82"/>
        <v>08082461008</v>
      </c>
      <c r="E1067" t="s">
        <v>52</v>
      </c>
      <c r="F1067">
        <v>2015</v>
      </c>
      <c r="G1067">
        <v>15010427</v>
      </c>
      <c r="H1067" s="1">
        <v>42026</v>
      </c>
      <c r="I1067" s="1">
        <v>42047</v>
      </c>
      <c r="J1067" s="1">
        <v>42047</v>
      </c>
      <c r="K1067" s="1">
        <v>42107</v>
      </c>
      <c r="L1067" s="7">
        <v>2556.7199999999998</v>
      </c>
      <c r="M1067" s="5">
        <v>249</v>
      </c>
      <c r="N1067" s="7">
        <v>636623.28</v>
      </c>
      <c r="O1067" s="2">
        <v>2556.7199999999998</v>
      </c>
      <c r="P1067">
        <v>249</v>
      </c>
      <c r="Q1067" s="2">
        <v>636623.28</v>
      </c>
      <c r="R1067">
        <v>562.48</v>
      </c>
      <c r="V1067">
        <v>0</v>
      </c>
      <c r="W1067">
        <v>0</v>
      </c>
      <c r="X1067">
        <v>0</v>
      </c>
      <c r="Y1067" s="2">
        <v>3119.2</v>
      </c>
      <c r="Z1067" s="2">
        <v>3119.2</v>
      </c>
      <c r="AA1067" s="2">
        <v>3119.2</v>
      </c>
      <c r="AB1067" s="1">
        <v>42382</v>
      </c>
      <c r="AC1067" t="s">
        <v>53</v>
      </c>
      <c r="AD1067" t="s">
        <v>53</v>
      </c>
      <c r="AK1067">
        <v>562.48</v>
      </c>
      <c r="AU1067" s="6">
        <v>42356</v>
      </c>
      <c r="AV1067" s="6">
        <v>42356</v>
      </c>
      <c r="AW1067" t="s">
        <v>54</v>
      </c>
      <c r="AX1067" t="str">
        <f t="shared" si="80"/>
        <v>FOR</v>
      </c>
      <c r="AY1067" t="s">
        <v>55</v>
      </c>
    </row>
    <row r="1068" spans="1:51">
      <c r="A1068">
        <v>100210</v>
      </c>
      <c r="B1068" t="s">
        <v>103</v>
      </c>
      <c r="C1068" t="str">
        <f t="shared" si="82"/>
        <v>08082461008</v>
      </c>
      <c r="D1068" t="str">
        <f t="shared" si="82"/>
        <v>08082461008</v>
      </c>
      <c r="E1068" t="s">
        <v>52</v>
      </c>
      <c r="F1068">
        <v>2015</v>
      </c>
      <c r="G1068">
        <v>15010429</v>
      </c>
      <c r="H1068" s="1">
        <v>42026</v>
      </c>
      <c r="I1068" s="1">
        <v>42047</v>
      </c>
      <c r="J1068" s="1">
        <v>42047</v>
      </c>
      <c r="K1068" s="1">
        <v>42107</v>
      </c>
      <c r="L1068" s="7">
        <v>752.4</v>
      </c>
      <c r="M1068" s="5">
        <v>249</v>
      </c>
      <c r="N1068" s="7">
        <v>187347.6</v>
      </c>
      <c r="O1068">
        <v>752.4</v>
      </c>
      <c r="P1068">
        <v>249</v>
      </c>
      <c r="Q1068" s="2">
        <v>187347.6</v>
      </c>
      <c r="R1068">
        <v>30.1</v>
      </c>
      <c r="V1068">
        <v>0</v>
      </c>
      <c r="W1068">
        <v>0</v>
      </c>
      <c r="X1068">
        <v>0</v>
      </c>
      <c r="Y1068">
        <v>782.5</v>
      </c>
      <c r="Z1068">
        <v>782.5</v>
      </c>
      <c r="AA1068">
        <v>782.5</v>
      </c>
      <c r="AB1068" s="1">
        <v>42382</v>
      </c>
      <c r="AC1068" t="s">
        <v>53</v>
      </c>
      <c r="AD1068" t="s">
        <v>53</v>
      </c>
      <c r="AK1068">
        <v>30.1</v>
      </c>
      <c r="AU1068" s="6">
        <v>42356</v>
      </c>
      <c r="AV1068" s="6">
        <v>42356</v>
      </c>
      <c r="AW1068" t="s">
        <v>54</v>
      </c>
      <c r="AX1068" t="str">
        <f t="shared" si="80"/>
        <v>FOR</v>
      </c>
      <c r="AY1068" t="s">
        <v>55</v>
      </c>
    </row>
    <row r="1069" spans="1:51">
      <c r="A1069">
        <v>100210</v>
      </c>
      <c r="B1069" t="s">
        <v>103</v>
      </c>
      <c r="C1069" t="str">
        <f t="shared" si="82"/>
        <v>08082461008</v>
      </c>
      <c r="D1069" t="str">
        <f t="shared" si="82"/>
        <v>08082461008</v>
      </c>
      <c r="E1069" t="s">
        <v>52</v>
      </c>
      <c r="F1069">
        <v>2015</v>
      </c>
      <c r="G1069">
        <v>15010456</v>
      </c>
      <c r="H1069" s="1">
        <v>42026</v>
      </c>
      <c r="I1069" s="1">
        <v>42047</v>
      </c>
      <c r="J1069" s="1">
        <v>42047</v>
      </c>
      <c r="K1069" s="1">
        <v>42107</v>
      </c>
      <c r="L1069" s="7">
        <v>351</v>
      </c>
      <c r="M1069" s="5">
        <v>249</v>
      </c>
      <c r="N1069" s="7">
        <v>87399</v>
      </c>
      <c r="O1069">
        <v>351</v>
      </c>
      <c r="P1069">
        <v>249</v>
      </c>
      <c r="Q1069" s="2">
        <v>87399</v>
      </c>
      <c r="R1069">
        <v>77.22</v>
      </c>
      <c r="V1069">
        <v>0</v>
      </c>
      <c r="W1069">
        <v>0</v>
      </c>
      <c r="X1069">
        <v>0</v>
      </c>
      <c r="Y1069">
        <v>428.22</v>
      </c>
      <c r="Z1069">
        <v>428.22</v>
      </c>
      <c r="AA1069">
        <v>428.22</v>
      </c>
      <c r="AB1069" s="1">
        <v>42382</v>
      </c>
      <c r="AC1069" t="s">
        <v>53</v>
      </c>
      <c r="AD1069" t="s">
        <v>53</v>
      </c>
      <c r="AK1069">
        <v>77.22</v>
      </c>
      <c r="AU1069" s="6">
        <v>42356</v>
      </c>
      <c r="AV1069" s="6">
        <v>42356</v>
      </c>
      <c r="AW1069" t="s">
        <v>54</v>
      </c>
      <c r="AX1069" t="str">
        <f t="shared" si="80"/>
        <v>FOR</v>
      </c>
      <c r="AY1069" t="s">
        <v>55</v>
      </c>
    </row>
    <row r="1070" spans="1:51">
      <c r="A1070">
        <v>100210</v>
      </c>
      <c r="B1070" t="s">
        <v>103</v>
      </c>
      <c r="C1070" t="str">
        <f t="shared" si="82"/>
        <v>08082461008</v>
      </c>
      <c r="D1070" t="str">
        <f t="shared" si="82"/>
        <v>08082461008</v>
      </c>
      <c r="E1070" t="s">
        <v>52</v>
      </c>
      <c r="F1070">
        <v>2015</v>
      </c>
      <c r="G1070">
        <v>15010457</v>
      </c>
      <c r="H1070" s="1">
        <v>42026</v>
      </c>
      <c r="I1070" s="1">
        <v>42047</v>
      </c>
      <c r="J1070" s="1">
        <v>42047</v>
      </c>
      <c r="K1070" s="1">
        <v>42107</v>
      </c>
      <c r="L1070" s="7">
        <v>1000.8</v>
      </c>
      <c r="M1070" s="5">
        <v>249</v>
      </c>
      <c r="N1070" s="7">
        <v>249199.2</v>
      </c>
      <c r="O1070" s="2">
        <v>1000.8</v>
      </c>
      <c r="P1070">
        <v>249</v>
      </c>
      <c r="Q1070" s="2">
        <v>249199.2</v>
      </c>
      <c r="R1070">
        <v>220.18</v>
      </c>
      <c r="V1070">
        <v>0</v>
      </c>
      <c r="W1070">
        <v>0</v>
      </c>
      <c r="X1070">
        <v>0</v>
      </c>
      <c r="Y1070" s="2">
        <v>1220.98</v>
      </c>
      <c r="Z1070" s="2">
        <v>1220.98</v>
      </c>
      <c r="AA1070" s="2">
        <v>1220.98</v>
      </c>
      <c r="AB1070" s="1">
        <v>42382</v>
      </c>
      <c r="AC1070" t="s">
        <v>53</v>
      </c>
      <c r="AD1070" t="s">
        <v>53</v>
      </c>
      <c r="AK1070">
        <v>220.18</v>
      </c>
      <c r="AU1070" s="6">
        <v>42356</v>
      </c>
      <c r="AV1070" s="6">
        <v>42356</v>
      </c>
      <c r="AW1070" t="s">
        <v>54</v>
      </c>
      <c r="AX1070" t="str">
        <f t="shared" si="80"/>
        <v>FOR</v>
      </c>
      <c r="AY1070" t="s">
        <v>55</v>
      </c>
    </row>
    <row r="1071" spans="1:51">
      <c r="A1071">
        <v>100210</v>
      </c>
      <c r="B1071" t="s">
        <v>103</v>
      </c>
      <c r="C1071" t="str">
        <f t="shared" si="82"/>
        <v>08082461008</v>
      </c>
      <c r="D1071" t="str">
        <f t="shared" si="82"/>
        <v>08082461008</v>
      </c>
      <c r="E1071" t="s">
        <v>52</v>
      </c>
      <c r="F1071">
        <v>2015</v>
      </c>
      <c r="G1071">
        <v>15010464</v>
      </c>
      <c r="H1071" s="1">
        <v>42026</v>
      </c>
      <c r="I1071" s="1">
        <v>42047</v>
      </c>
      <c r="J1071" s="1">
        <v>42047</v>
      </c>
      <c r="K1071" s="1">
        <v>42107</v>
      </c>
      <c r="L1071" s="7">
        <v>5273.28</v>
      </c>
      <c r="M1071" s="5">
        <v>249</v>
      </c>
      <c r="N1071" s="7">
        <v>1313046.72</v>
      </c>
      <c r="O1071" s="2">
        <v>5273.28</v>
      </c>
      <c r="P1071">
        <v>249</v>
      </c>
      <c r="Q1071" s="2">
        <v>1313046.72</v>
      </c>
      <c r="R1071" s="2">
        <v>1160.1099999999999</v>
      </c>
      <c r="V1071">
        <v>0</v>
      </c>
      <c r="W1071">
        <v>0</v>
      </c>
      <c r="X1071">
        <v>0</v>
      </c>
      <c r="Y1071" s="2">
        <v>6433.39</v>
      </c>
      <c r="Z1071" s="2">
        <v>6433.39</v>
      </c>
      <c r="AA1071" s="2">
        <v>6433.39</v>
      </c>
      <c r="AB1071" s="1">
        <v>42382</v>
      </c>
      <c r="AC1071" t="s">
        <v>53</v>
      </c>
      <c r="AD1071" t="s">
        <v>53</v>
      </c>
      <c r="AK1071" s="2">
        <v>1160.1099999999999</v>
      </c>
      <c r="AU1071" s="6">
        <v>42356</v>
      </c>
      <c r="AV1071" s="6">
        <v>42356</v>
      </c>
      <c r="AW1071" t="s">
        <v>54</v>
      </c>
      <c r="AX1071" t="str">
        <f t="shared" si="80"/>
        <v>FOR</v>
      </c>
      <c r="AY1071" t="s">
        <v>55</v>
      </c>
    </row>
    <row r="1072" spans="1:51">
      <c r="A1072">
        <v>100210</v>
      </c>
      <c r="B1072" t="s">
        <v>103</v>
      </c>
      <c r="C1072" t="str">
        <f t="shared" si="82"/>
        <v>08082461008</v>
      </c>
      <c r="D1072" t="str">
        <f t="shared" si="82"/>
        <v>08082461008</v>
      </c>
      <c r="E1072" t="s">
        <v>52</v>
      </c>
      <c r="F1072">
        <v>2015</v>
      </c>
      <c r="G1072">
        <v>15011294</v>
      </c>
      <c r="H1072" s="1">
        <v>42027</v>
      </c>
      <c r="I1072" s="1">
        <v>42044</v>
      </c>
      <c r="J1072" s="1">
        <v>42044</v>
      </c>
      <c r="K1072" s="1">
        <v>42104</v>
      </c>
      <c r="L1072" s="7">
        <v>38.159999999999997</v>
      </c>
      <c r="M1072" s="5">
        <v>252</v>
      </c>
      <c r="N1072" s="7">
        <v>9616.32</v>
      </c>
      <c r="O1072">
        <v>38.159999999999997</v>
      </c>
      <c r="P1072">
        <v>252</v>
      </c>
      <c r="Q1072" s="2">
        <v>9616.32</v>
      </c>
      <c r="R1072">
        <v>8.4</v>
      </c>
      <c r="V1072">
        <v>0</v>
      </c>
      <c r="W1072">
        <v>0</v>
      </c>
      <c r="X1072">
        <v>0</v>
      </c>
      <c r="Y1072">
        <v>46.56</v>
      </c>
      <c r="Z1072">
        <v>46.56</v>
      </c>
      <c r="AA1072">
        <v>46.56</v>
      </c>
      <c r="AB1072" s="1">
        <v>42382</v>
      </c>
      <c r="AC1072" t="s">
        <v>53</v>
      </c>
      <c r="AD1072" t="s">
        <v>53</v>
      </c>
      <c r="AK1072">
        <v>8.4</v>
      </c>
      <c r="AU1072" s="6">
        <v>42356</v>
      </c>
      <c r="AV1072" s="6">
        <v>42356</v>
      </c>
      <c r="AW1072" t="s">
        <v>54</v>
      </c>
      <c r="AX1072" t="str">
        <f t="shared" si="80"/>
        <v>FOR</v>
      </c>
      <c r="AY1072" t="s">
        <v>55</v>
      </c>
    </row>
    <row r="1073" spans="1:51">
      <c r="A1073">
        <v>100210</v>
      </c>
      <c r="B1073" t="s">
        <v>103</v>
      </c>
      <c r="C1073" t="str">
        <f t="shared" si="82"/>
        <v>08082461008</v>
      </c>
      <c r="D1073" t="str">
        <f t="shared" si="82"/>
        <v>08082461008</v>
      </c>
      <c r="E1073" t="s">
        <v>52</v>
      </c>
      <c r="F1073">
        <v>2015</v>
      </c>
      <c r="G1073">
        <v>15011534</v>
      </c>
      <c r="H1073" s="1">
        <v>42027</v>
      </c>
      <c r="I1073" s="1">
        <v>42044</v>
      </c>
      <c r="J1073" s="1">
        <v>42044</v>
      </c>
      <c r="K1073" s="1">
        <v>42104</v>
      </c>
      <c r="L1073" s="7">
        <v>148.80000000000001</v>
      </c>
      <c r="M1073" s="5">
        <v>252</v>
      </c>
      <c r="N1073" s="7">
        <v>37497.599999999999</v>
      </c>
      <c r="O1073">
        <v>148.80000000000001</v>
      </c>
      <c r="P1073">
        <v>252</v>
      </c>
      <c r="Q1073" s="2">
        <v>37497.599999999999</v>
      </c>
      <c r="R1073">
        <v>32.74</v>
      </c>
      <c r="V1073">
        <v>0</v>
      </c>
      <c r="W1073">
        <v>0</v>
      </c>
      <c r="X1073">
        <v>0</v>
      </c>
      <c r="Y1073">
        <v>181.54</v>
      </c>
      <c r="Z1073">
        <v>181.54</v>
      </c>
      <c r="AA1073">
        <v>181.54</v>
      </c>
      <c r="AB1073" s="1">
        <v>42382</v>
      </c>
      <c r="AC1073" t="s">
        <v>53</v>
      </c>
      <c r="AD1073" t="s">
        <v>53</v>
      </c>
      <c r="AK1073">
        <v>32.74</v>
      </c>
      <c r="AU1073" s="6">
        <v>42356</v>
      </c>
      <c r="AV1073" s="6">
        <v>42356</v>
      </c>
      <c r="AW1073" t="s">
        <v>54</v>
      </c>
      <c r="AX1073" t="str">
        <f t="shared" si="80"/>
        <v>FOR</v>
      </c>
      <c r="AY1073" t="s">
        <v>55</v>
      </c>
    </row>
    <row r="1074" spans="1:51">
      <c r="A1074">
        <v>100210</v>
      </c>
      <c r="B1074" t="s">
        <v>103</v>
      </c>
      <c r="C1074" t="str">
        <f t="shared" si="82"/>
        <v>08082461008</v>
      </c>
      <c r="D1074" t="str">
        <f t="shared" si="82"/>
        <v>08082461008</v>
      </c>
      <c r="E1074" t="s">
        <v>52</v>
      </c>
      <c r="F1074">
        <v>2015</v>
      </c>
      <c r="G1074">
        <v>15011536</v>
      </c>
      <c r="H1074" s="1">
        <v>42027</v>
      </c>
      <c r="I1074" s="1">
        <v>42044</v>
      </c>
      <c r="J1074" s="1">
        <v>42044</v>
      </c>
      <c r="K1074" s="1">
        <v>42104</v>
      </c>
      <c r="L1074" s="7">
        <v>2833.56</v>
      </c>
      <c r="M1074" s="5">
        <v>252</v>
      </c>
      <c r="N1074" s="7">
        <v>714057.12</v>
      </c>
      <c r="O1074" s="2">
        <v>2833.56</v>
      </c>
      <c r="P1074">
        <v>252</v>
      </c>
      <c r="Q1074" s="2">
        <v>714057.12</v>
      </c>
      <c r="R1074">
        <v>623.38</v>
      </c>
      <c r="V1074">
        <v>0</v>
      </c>
      <c r="W1074">
        <v>0</v>
      </c>
      <c r="X1074">
        <v>0</v>
      </c>
      <c r="Y1074" s="2">
        <v>3456.94</v>
      </c>
      <c r="Z1074" s="2">
        <v>3456.94</v>
      </c>
      <c r="AA1074" s="2">
        <v>3456.94</v>
      </c>
      <c r="AB1074" s="1">
        <v>42382</v>
      </c>
      <c r="AC1074" t="s">
        <v>53</v>
      </c>
      <c r="AD1074" t="s">
        <v>53</v>
      </c>
      <c r="AK1074">
        <v>623.38</v>
      </c>
      <c r="AU1074" s="6">
        <v>42356</v>
      </c>
      <c r="AV1074" s="6">
        <v>42356</v>
      </c>
      <c r="AW1074" t="s">
        <v>54</v>
      </c>
      <c r="AX1074" t="str">
        <f t="shared" si="80"/>
        <v>FOR</v>
      </c>
      <c r="AY1074" t="s">
        <v>55</v>
      </c>
    </row>
    <row r="1075" spans="1:51">
      <c r="A1075">
        <v>100210</v>
      </c>
      <c r="B1075" t="s">
        <v>103</v>
      </c>
      <c r="C1075" t="str">
        <f t="shared" si="82"/>
        <v>08082461008</v>
      </c>
      <c r="D1075" t="str">
        <f t="shared" si="82"/>
        <v>08082461008</v>
      </c>
      <c r="E1075" t="s">
        <v>52</v>
      </c>
      <c r="F1075">
        <v>2015</v>
      </c>
      <c r="G1075">
        <v>15011972</v>
      </c>
      <c r="H1075" s="1">
        <v>42030</v>
      </c>
      <c r="I1075" s="1">
        <v>42047</v>
      </c>
      <c r="J1075" s="1">
        <v>42047</v>
      </c>
      <c r="K1075" s="1">
        <v>42107</v>
      </c>
      <c r="L1075" s="7">
        <v>1236</v>
      </c>
      <c r="M1075" s="5">
        <v>249</v>
      </c>
      <c r="N1075" s="7">
        <v>307764</v>
      </c>
      <c r="O1075" s="2">
        <v>1236</v>
      </c>
      <c r="P1075">
        <v>249</v>
      </c>
      <c r="Q1075" s="2">
        <v>307764</v>
      </c>
      <c r="R1075">
        <v>271.92</v>
      </c>
      <c r="V1075">
        <v>0</v>
      </c>
      <c r="W1075">
        <v>0</v>
      </c>
      <c r="X1075">
        <v>0</v>
      </c>
      <c r="Y1075" s="2">
        <v>1507.92</v>
      </c>
      <c r="Z1075" s="2">
        <v>1507.92</v>
      </c>
      <c r="AA1075" s="2">
        <v>1507.92</v>
      </c>
      <c r="AB1075" s="1">
        <v>42382</v>
      </c>
      <c r="AC1075" t="s">
        <v>53</v>
      </c>
      <c r="AD1075" t="s">
        <v>53</v>
      </c>
      <c r="AK1075">
        <v>271.92</v>
      </c>
      <c r="AU1075" s="6">
        <v>42356</v>
      </c>
      <c r="AV1075" s="6">
        <v>42356</v>
      </c>
      <c r="AW1075" t="s">
        <v>54</v>
      </c>
      <c r="AX1075" t="str">
        <f t="shared" si="80"/>
        <v>FOR</v>
      </c>
      <c r="AY1075" t="s">
        <v>55</v>
      </c>
    </row>
    <row r="1076" spans="1:51">
      <c r="A1076">
        <v>100210</v>
      </c>
      <c r="B1076" t="s">
        <v>103</v>
      </c>
      <c r="C1076" t="str">
        <f t="shared" si="82"/>
        <v>08082461008</v>
      </c>
      <c r="D1076" t="str">
        <f t="shared" si="82"/>
        <v>08082461008</v>
      </c>
      <c r="E1076" t="s">
        <v>52</v>
      </c>
      <c r="F1076">
        <v>2015</v>
      </c>
      <c r="G1076">
        <v>15012096</v>
      </c>
      <c r="H1076" s="1">
        <v>42030</v>
      </c>
      <c r="I1076" s="1">
        <v>42047</v>
      </c>
      <c r="J1076" s="1">
        <v>42047</v>
      </c>
      <c r="K1076" s="1">
        <v>42107</v>
      </c>
      <c r="L1076" s="7">
        <v>1373.2</v>
      </c>
      <c r="M1076" s="5">
        <v>249</v>
      </c>
      <c r="N1076" s="7">
        <v>341926.8</v>
      </c>
      <c r="O1076" s="2">
        <v>1373.2</v>
      </c>
      <c r="P1076">
        <v>249</v>
      </c>
      <c r="Q1076" s="2">
        <v>341926.8</v>
      </c>
      <c r="R1076">
        <v>302.12</v>
      </c>
      <c r="V1076">
        <v>0</v>
      </c>
      <c r="W1076">
        <v>0</v>
      </c>
      <c r="X1076">
        <v>0</v>
      </c>
      <c r="Y1076" s="2">
        <v>1675.32</v>
      </c>
      <c r="Z1076" s="2">
        <v>1675.32</v>
      </c>
      <c r="AA1076" s="2">
        <v>1675.32</v>
      </c>
      <c r="AB1076" s="1">
        <v>42382</v>
      </c>
      <c r="AC1076" t="s">
        <v>53</v>
      </c>
      <c r="AD1076" t="s">
        <v>53</v>
      </c>
      <c r="AK1076">
        <v>302.12</v>
      </c>
      <c r="AU1076" s="6">
        <v>42356</v>
      </c>
      <c r="AV1076" s="6">
        <v>42356</v>
      </c>
      <c r="AW1076" t="s">
        <v>54</v>
      </c>
      <c r="AX1076" t="str">
        <f t="shared" si="80"/>
        <v>FOR</v>
      </c>
      <c r="AY1076" t="s">
        <v>55</v>
      </c>
    </row>
    <row r="1077" spans="1:51">
      <c r="A1077">
        <v>100210</v>
      </c>
      <c r="B1077" t="s">
        <v>103</v>
      </c>
      <c r="C1077" t="str">
        <f t="shared" si="82"/>
        <v>08082461008</v>
      </c>
      <c r="D1077" t="str">
        <f t="shared" si="82"/>
        <v>08082461008</v>
      </c>
      <c r="E1077" t="s">
        <v>52</v>
      </c>
      <c r="F1077">
        <v>2015</v>
      </c>
      <c r="G1077">
        <v>15012193</v>
      </c>
      <c r="H1077" s="1">
        <v>42030</v>
      </c>
      <c r="I1077" s="1">
        <v>42047</v>
      </c>
      <c r="J1077" s="1">
        <v>42047</v>
      </c>
      <c r="K1077" s="1">
        <v>42107</v>
      </c>
      <c r="L1077" s="7">
        <v>1150</v>
      </c>
      <c r="M1077" s="5">
        <v>249</v>
      </c>
      <c r="N1077" s="7">
        <v>286350</v>
      </c>
      <c r="O1077" s="2">
        <v>1150</v>
      </c>
      <c r="P1077">
        <v>249</v>
      </c>
      <c r="Q1077" s="2">
        <v>286350</v>
      </c>
      <c r="R1077">
        <v>253</v>
      </c>
      <c r="V1077">
        <v>0</v>
      </c>
      <c r="W1077">
        <v>0</v>
      </c>
      <c r="X1077">
        <v>0</v>
      </c>
      <c r="Y1077" s="2">
        <v>1403</v>
      </c>
      <c r="Z1077" s="2">
        <v>1403</v>
      </c>
      <c r="AA1077" s="2">
        <v>1403</v>
      </c>
      <c r="AB1077" s="1">
        <v>42382</v>
      </c>
      <c r="AC1077" t="s">
        <v>53</v>
      </c>
      <c r="AD1077" t="s">
        <v>53</v>
      </c>
      <c r="AK1077">
        <v>253</v>
      </c>
      <c r="AU1077" s="6">
        <v>42356</v>
      </c>
      <c r="AV1077" s="6">
        <v>42356</v>
      </c>
      <c r="AW1077" t="s">
        <v>54</v>
      </c>
      <c r="AX1077" t="str">
        <f t="shared" si="80"/>
        <v>FOR</v>
      </c>
      <c r="AY1077" t="s">
        <v>55</v>
      </c>
    </row>
    <row r="1078" spans="1:51">
      <c r="A1078">
        <v>100210</v>
      </c>
      <c r="B1078" t="s">
        <v>103</v>
      </c>
      <c r="C1078" t="str">
        <f t="shared" ref="C1078:D1089" si="83">"08082461008"</f>
        <v>08082461008</v>
      </c>
      <c r="D1078" t="str">
        <f t="shared" si="83"/>
        <v>08082461008</v>
      </c>
      <c r="E1078" t="s">
        <v>52</v>
      </c>
      <c r="F1078">
        <v>2015</v>
      </c>
      <c r="G1078">
        <v>15012469</v>
      </c>
      <c r="H1078" s="1">
        <v>42031</v>
      </c>
      <c r="I1078" s="1">
        <v>42044</v>
      </c>
      <c r="J1078" s="1">
        <v>42044</v>
      </c>
      <c r="K1078" s="1">
        <v>42104</v>
      </c>
      <c r="L1078" s="7">
        <v>44</v>
      </c>
      <c r="M1078" s="5">
        <v>252</v>
      </c>
      <c r="N1078" s="7">
        <v>11088</v>
      </c>
      <c r="O1078">
        <v>44</v>
      </c>
      <c r="P1078">
        <v>252</v>
      </c>
      <c r="Q1078" s="2">
        <v>11088</v>
      </c>
      <c r="R1078">
        <v>1.76</v>
      </c>
      <c r="V1078">
        <v>0</v>
      </c>
      <c r="W1078">
        <v>0</v>
      </c>
      <c r="X1078">
        <v>0</v>
      </c>
      <c r="Y1078">
        <v>45.76</v>
      </c>
      <c r="Z1078">
        <v>45.76</v>
      </c>
      <c r="AA1078">
        <v>45.76</v>
      </c>
      <c r="AB1078" s="1">
        <v>42382</v>
      </c>
      <c r="AC1078" t="s">
        <v>53</v>
      </c>
      <c r="AD1078" t="s">
        <v>53</v>
      </c>
      <c r="AK1078">
        <v>1.76</v>
      </c>
      <c r="AU1078" s="6">
        <v>42356</v>
      </c>
      <c r="AV1078" s="6">
        <v>42356</v>
      </c>
      <c r="AW1078" t="s">
        <v>54</v>
      </c>
      <c r="AX1078" t="str">
        <f t="shared" si="80"/>
        <v>FOR</v>
      </c>
      <c r="AY1078" t="s">
        <v>55</v>
      </c>
    </row>
    <row r="1079" spans="1:51">
      <c r="A1079">
        <v>100210</v>
      </c>
      <c r="B1079" t="s">
        <v>103</v>
      </c>
      <c r="C1079" t="str">
        <f t="shared" si="83"/>
        <v>08082461008</v>
      </c>
      <c r="D1079" t="str">
        <f t="shared" si="83"/>
        <v>08082461008</v>
      </c>
      <c r="E1079" t="s">
        <v>52</v>
      </c>
      <c r="F1079">
        <v>2015</v>
      </c>
      <c r="G1079">
        <v>15012473</v>
      </c>
      <c r="H1079" s="1">
        <v>42031</v>
      </c>
      <c r="I1079" s="1">
        <v>42044</v>
      </c>
      <c r="J1079" s="1">
        <v>42044</v>
      </c>
      <c r="K1079" s="1">
        <v>42104</v>
      </c>
      <c r="L1079" s="7">
        <v>44</v>
      </c>
      <c r="M1079" s="5">
        <v>252</v>
      </c>
      <c r="N1079" s="7">
        <v>11088</v>
      </c>
      <c r="O1079">
        <v>44</v>
      </c>
      <c r="P1079">
        <v>252</v>
      </c>
      <c r="Q1079" s="2">
        <v>11088</v>
      </c>
      <c r="R1079">
        <v>1.76</v>
      </c>
      <c r="V1079">
        <v>0</v>
      </c>
      <c r="W1079">
        <v>0</v>
      </c>
      <c r="X1079">
        <v>0</v>
      </c>
      <c r="Y1079">
        <v>45.76</v>
      </c>
      <c r="Z1079">
        <v>45.76</v>
      </c>
      <c r="AA1079">
        <v>45.76</v>
      </c>
      <c r="AB1079" s="1">
        <v>42382</v>
      </c>
      <c r="AC1079" t="s">
        <v>53</v>
      </c>
      <c r="AD1079" t="s">
        <v>53</v>
      </c>
      <c r="AK1079">
        <v>1.76</v>
      </c>
      <c r="AU1079" s="6">
        <v>42356</v>
      </c>
      <c r="AV1079" s="6">
        <v>42356</v>
      </c>
      <c r="AW1079" t="s">
        <v>54</v>
      </c>
      <c r="AX1079" t="str">
        <f t="shared" si="80"/>
        <v>FOR</v>
      </c>
      <c r="AY1079" t="s">
        <v>55</v>
      </c>
    </row>
    <row r="1080" spans="1:51">
      <c r="A1080">
        <v>100210</v>
      </c>
      <c r="B1080" t="s">
        <v>103</v>
      </c>
      <c r="C1080" t="str">
        <f t="shared" si="83"/>
        <v>08082461008</v>
      </c>
      <c r="D1080" t="str">
        <f t="shared" si="83"/>
        <v>08082461008</v>
      </c>
      <c r="E1080" t="s">
        <v>52</v>
      </c>
      <c r="F1080">
        <v>2015</v>
      </c>
      <c r="G1080">
        <v>15012474</v>
      </c>
      <c r="H1080" s="1">
        <v>42031</v>
      </c>
      <c r="I1080" s="1">
        <v>42044</v>
      </c>
      <c r="J1080" s="1">
        <v>42044</v>
      </c>
      <c r="K1080" s="1">
        <v>42104</v>
      </c>
      <c r="L1080" s="7">
        <v>44</v>
      </c>
      <c r="M1080" s="5">
        <v>252</v>
      </c>
      <c r="N1080" s="7">
        <v>11088</v>
      </c>
      <c r="O1080">
        <v>44</v>
      </c>
      <c r="P1080">
        <v>252</v>
      </c>
      <c r="Q1080" s="2">
        <v>11088</v>
      </c>
      <c r="R1080">
        <v>1.76</v>
      </c>
      <c r="V1080">
        <v>0</v>
      </c>
      <c r="W1080">
        <v>0</v>
      </c>
      <c r="X1080">
        <v>0</v>
      </c>
      <c r="Y1080">
        <v>45.76</v>
      </c>
      <c r="Z1080">
        <v>45.76</v>
      </c>
      <c r="AA1080">
        <v>45.76</v>
      </c>
      <c r="AB1080" s="1">
        <v>42382</v>
      </c>
      <c r="AC1080" t="s">
        <v>53</v>
      </c>
      <c r="AD1080" t="s">
        <v>53</v>
      </c>
      <c r="AK1080">
        <v>1.76</v>
      </c>
      <c r="AU1080" s="6">
        <v>42356</v>
      </c>
      <c r="AV1080" s="6">
        <v>42356</v>
      </c>
      <c r="AW1080" t="s">
        <v>54</v>
      </c>
      <c r="AX1080" t="str">
        <f t="shared" si="80"/>
        <v>FOR</v>
      </c>
      <c r="AY1080" t="s">
        <v>55</v>
      </c>
    </row>
    <row r="1081" spans="1:51">
      <c r="A1081">
        <v>100210</v>
      </c>
      <c r="B1081" t="s">
        <v>103</v>
      </c>
      <c r="C1081" t="str">
        <f t="shared" si="83"/>
        <v>08082461008</v>
      </c>
      <c r="D1081" t="str">
        <f t="shared" si="83"/>
        <v>08082461008</v>
      </c>
      <c r="E1081" t="s">
        <v>52</v>
      </c>
      <c r="F1081">
        <v>2015</v>
      </c>
      <c r="G1081">
        <v>15012476</v>
      </c>
      <c r="H1081" s="1">
        <v>42031</v>
      </c>
      <c r="I1081" s="1">
        <v>42044</v>
      </c>
      <c r="J1081" s="1">
        <v>42044</v>
      </c>
      <c r="K1081" s="1">
        <v>42104</v>
      </c>
      <c r="L1081" s="7">
        <v>44</v>
      </c>
      <c r="M1081" s="5">
        <v>252</v>
      </c>
      <c r="N1081" s="7">
        <v>11088</v>
      </c>
      <c r="O1081">
        <v>44</v>
      </c>
      <c r="P1081">
        <v>252</v>
      </c>
      <c r="Q1081" s="2">
        <v>11088</v>
      </c>
      <c r="R1081">
        <v>1.76</v>
      </c>
      <c r="V1081">
        <v>0</v>
      </c>
      <c r="W1081">
        <v>0</v>
      </c>
      <c r="X1081">
        <v>0</v>
      </c>
      <c r="Y1081">
        <v>45.76</v>
      </c>
      <c r="Z1081">
        <v>45.76</v>
      </c>
      <c r="AA1081">
        <v>45.76</v>
      </c>
      <c r="AB1081" s="1">
        <v>42382</v>
      </c>
      <c r="AC1081" t="s">
        <v>53</v>
      </c>
      <c r="AD1081" t="s">
        <v>53</v>
      </c>
      <c r="AK1081">
        <v>1.76</v>
      </c>
      <c r="AU1081" s="6">
        <v>42356</v>
      </c>
      <c r="AV1081" s="6">
        <v>42356</v>
      </c>
      <c r="AW1081" t="s">
        <v>54</v>
      </c>
      <c r="AX1081" t="str">
        <f t="shared" si="80"/>
        <v>FOR</v>
      </c>
      <c r="AY1081" t="s">
        <v>55</v>
      </c>
    </row>
    <row r="1082" spans="1:51">
      <c r="A1082">
        <v>100210</v>
      </c>
      <c r="B1082" t="s">
        <v>103</v>
      </c>
      <c r="C1082" t="str">
        <f t="shared" si="83"/>
        <v>08082461008</v>
      </c>
      <c r="D1082" t="str">
        <f t="shared" si="83"/>
        <v>08082461008</v>
      </c>
      <c r="E1082" t="s">
        <v>52</v>
      </c>
      <c r="F1082">
        <v>2015</v>
      </c>
      <c r="G1082">
        <v>15012477</v>
      </c>
      <c r="H1082" s="1">
        <v>42031</v>
      </c>
      <c r="I1082" s="1">
        <v>42044</v>
      </c>
      <c r="J1082" s="1">
        <v>42044</v>
      </c>
      <c r="K1082" s="1">
        <v>42104</v>
      </c>
      <c r="L1082" s="7">
        <v>110</v>
      </c>
      <c r="M1082" s="5">
        <v>252</v>
      </c>
      <c r="N1082" s="7">
        <v>27720</v>
      </c>
      <c r="O1082">
        <v>110</v>
      </c>
      <c r="P1082">
        <v>252</v>
      </c>
      <c r="Q1082" s="2">
        <v>27720</v>
      </c>
      <c r="R1082">
        <v>4.4000000000000004</v>
      </c>
      <c r="V1082">
        <v>0</v>
      </c>
      <c r="W1082">
        <v>0</v>
      </c>
      <c r="X1082">
        <v>0</v>
      </c>
      <c r="Y1082">
        <v>114.4</v>
      </c>
      <c r="Z1082">
        <v>114.4</v>
      </c>
      <c r="AA1082">
        <v>114.4</v>
      </c>
      <c r="AB1082" s="1">
        <v>42382</v>
      </c>
      <c r="AC1082" t="s">
        <v>53</v>
      </c>
      <c r="AD1082" t="s">
        <v>53</v>
      </c>
      <c r="AK1082">
        <v>4.4000000000000004</v>
      </c>
      <c r="AU1082" s="6">
        <v>42356</v>
      </c>
      <c r="AV1082" s="6">
        <v>42356</v>
      </c>
      <c r="AW1082" t="s">
        <v>54</v>
      </c>
      <c r="AX1082" t="str">
        <f t="shared" si="80"/>
        <v>FOR</v>
      </c>
      <c r="AY1082" t="s">
        <v>55</v>
      </c>
    </row>
    <row r="1083" spans="1:51">
      <c r="A1083">
        <v>100210</v>
      </c>
      <c r="B1083" t="s">
        <v>103</v>
      </c>
      <c r="C1083" t="str">
        <f t="shared" si="83"/>
        <v>08082461008</v>
      </c>
      <c r="D1083" t="str">
        <f t="shared" si="83"/>
        <v>08082461008</v>
      </c>
      <c r="E1083" t="s">
        <v>52</v>
      </c>
      <c r="F1083">
        <v>2015</v>
      </c>
      <c r="G1083">
        <v>15013074</v>
      </c>
      <c r="H1083" s="1">
        <v>42031</v>
      </c>
      <c r="I1083" s="1">
        <v>42044</v>
      </c>
      <c r="J1083" s="1">
        <v>42044</v>
      </c>
      <c r="K1083" s="1">
        <v>42104</v>
      </c>
      <c r="L1083" s="7">
        <v>585</v>
      </c>
      <c r="M1083" s="5">
        <v>252</v>
      </c>
      <c r="N1083" s="7">
        <v>147420</v>
      </c>
      <c r="O1083">
        <v>585</v>
      </c>
      <c r="P1083">
        <v>252</v>
      </c>
      <c r="Q1083" s="2">
        <v>147420</v>
      </c>
      <c r="R1083">
        <v>128.69999999999999</v>
      </c>
      <c r="V1083">
        <v>0</v>
      </c>
      <c r="W1083">
        <v>0</v>
      </c>
      <c r="X1083">
        <v>0</v>
      </c>
      <c r="Y1083">
        <v>713.7</v>
      </c>
      <c r="Z1083">
        <v>713.7</v>
      </c>
      <c r="AA1083">
        <v>713.7</v>
      </c>
      <c r="AB1083" s="1">
        <v>42382</v>
      </c>
      <c r="AC1083" t="s">
        <v>53</v>
      </c>
      <c r="AD1083" t="s">
        <v>53</v>
      </c>
      <c r="AK1083">
        <v>128.69999999999999</v>
      </c>
      <c r="AU1083" s="6">
        <v>42356</v>
      </c>
      <c r="AV1083" s="6">
        <v>42356</v>
      </c>
      <c r="AW1083" t="s">
        <v>54</v>
      </c>
      <c r="AX1083" t="str">
        <f t="shared" si="80"/>
        <v>FOR</v>
      </c>
      <c r="AY1083" t="s">
        <v>55</v>
      </c>
    </row>
    <row r="1084" spans="1:51">
      <c r="A1084">
        <v>100210</v>
      </c>
      <c r="B1084" t="s">
        <v>103</v>
      </c>
      <c r="C1084" t="str">
        <f t="shared" si="83"/>
        <v>08082461008</v>
      </c>
      <c r="D1084" t="str">
        <f t="shared" si="83"/>
        <v>08082461008</v>
      </c>
      <c r="E1084" t="s">
        <v>52</v>
      </c>
      <c r="F1084">
        <v>2015</v>
      </c>
      <c r="G1084">
        <v>15013075</v>
      </c>
      <c r="H1084" s="1">
        <v>42031</v>
      </c>
      <c r="I1084" s="1">
        <v>42044</v>
      </c>
      <c r="J1084" s="1">
        <v>42044</v>
      </c>
      <c r="K1084" s="1">
        <v>42104</v>
      </c>
      <c r="L1084" s="7">
        <v>1908</v>
      </c>
      <c r="M1084" s="5">
        <v>252</v>
      </c>
      <c r="N1084" s="7">
        <v>480816</v>
      </c>
      <c r="O1084" s="2">
        <v>1908</v>
      </c>
      <c r="P1084">
        <v>252</v>
      </c>
      <c r="Q1084" s="2">
        <v>480816</v>
      </c>
      <c r="R1084">
        <v>419.76</v>
      </c>
      <c r="V1084">
        <v>0</v>
      </c>
      <c r="W1084">
        <v>0</v>
      </c>
      <c r="X1084">
        <v>0</v>
      </c>
      <c r="Y1084" s="2">
        <v>2327.7600000000002</v>
      </c>
      <c r="Z1084" s="2">
        <v>2327.7600000000002</v>
      </c>
      <c r="AA1084" s="2">
        <v>2327.7600000000002</v>
      </c>
      <c r="AB1084" s="1">
        <v>42382</v>
      </c>
      <c r="AC1084" t="s">
        <v>53</v>
      </c>
      <c r="AD1084" t="s">
        <v>53</v>
      </c>
      <c r="AK1084">
        <v>419.76</v>
      </c>
      <c r="AU1084" s="6">
        <v>42356</v>
      </c>
      <c r="AV1084" s="6">
        <v>42356</v>
      </c>
      <c r="AW1084" t="s">
        <v>54</v>
      </c>
      <c r="AX1084" t="str">
        <f t="shared" si="80"/>
        <v>FOR</v>
      </c>
      <c r="AY1084" t="s">
        <v>55</v>
      </c>
    </row>
    <row r="1085" spans="1:51">
      <c r="A1085">
        <v>100210</v>
      </c>
      <c r="B1085" t="s">
        <v>103</v>
      </c>
      <c r="C1085" t="str">
        <f t="shared" si="83"/>
        <v>08082461008</v>
      </c>
      <c r="D1085" t="str">
        <f t="shared" si="83"/>
        <v>08082461008</v>
      </c>
      <c r="E1085" t="s">
        <v>52</v>
      </c>
      <c r="F1085">
        <v>2015</v>
      </c>
      <c r="G1085">
        <v>15015087</v>
      </c>
      <c r="H1085" s="1">
        <v>42034</v>
      </c>
      <c r="I1085" s="1">
        <v>42048</v>
      </c>
      <c r="J1085" s="1">
        <v>42048</v>
      </c>
      <c r="K1085" s="1">
        <v>42108</v>
      </c>
      <c r="L1085" s="7">
        <v>2283.12</v>
      </c>
      <c r="M1085" s="5">
        <v>248</v>
      </c>
      <c r="N1085" s="7">
        <v>566213.76</v>
      </c>
      <c r="O1085" s="2">
        <v>2283.12</v>
      </c>
      <c r="P1085">
        <v>248</v>
      </c>
      <c r="Q1085" s="2">
        <v>566213.76</v>
      </c>
      <c r="R1085">
        <v>502.29</v>
      </c>
      <c r="V1085">
        <v>0</v>
      </c>
      <c r="W1085">
        <v>0</v>
      </c>
      <c r="X1085">
        <v>0</v>
      </c>
      <c r="Y1085" s="2">
        <v>2785.41</v>
      </c>
      <c r="Z1085" s="2">
        <v>2785.41</v>
      </c>
      <c r="AA1085" s="2">
        <v>2785.41</v>
      </c>
      <c r="AB1085" s="1">
        <v>42382</v>
      </c>
      <c r="AC1085" t="s">
        <v>53</v>
      </c>
      <c r="AD1085" t="s">
        <v>53</v>
      </c>
      <c r="AK1085">
        <v>502.29</v>
      </c>
      <c r="AU1085" s="6">
        <v>42356</v>
      </c>
      <c r="AV1085" s="6">
        <v>42356</v>
      </c>
      <c r="AW1085" t="s">
        <v>54</v>
      </c>
      <c r="AX1085" t="str">
        <f t="shared" si="80"/>
        <v>FOR</v>
      </c>
      <c r="AY1085" t="s">
        <v>55</v>
      </c>
    </row>
    <row r="1086" spans="1:51">
      <c r="A1086">
        <v>100210</v>
      </c>
      <c r="B1086" t="s">
        <v>103</v>
      </c>
      <c r="C1086" t="str">
        <f t="shared" si="83"/>
        <v>08082461008</v>
      </c>
      <c r="D1086" t="str">
        <f t="shared" si="83"/>
        <v>08082461008</v>
      </c>
      <c r="E1086" t="s">
        <v>52</v>
      </c>
      <c r="F1086">
        <v>2015</v>
      </c>
      <c r="G1086">
        <v>15015091</v>
      </c>
      <c r="H1086" s="1">
        <v>42034</v>
      </c>
      <c r="I1086" s="1">
        <v>42048</v>
      </c>
      <c r="J1086" s="1">
        <v>42048</v>
      </c>
      <c r="K1086" s="1">
        <v>42108</v>
      </c>
      <c r="L1086" s="7">
        <v>3725.28</v>
      </c>
      <c r="M1086" s="5">
        <v>248</v>
      </c>
      <c r="N1086" s="7">
        <v>923869.44</v>
      </c>
      <c r="O1086" s="2">
        <v>3725.28</v>
      </c>
      <c r="P1086">
        <v>248</v>
      </c>
      <c r="Q1086" s="2">
        <v>923869.44</v>
      </c>
      <c r="R1086">
        <v>819.57</v>
      </c>
      <c r="V1086">
        <v>0</v>
      </c>
      <c r="W1086">
        <v>0</v>
      </c>
      <c r="X1086">
        <v>0</v>
      </c>
      <c r="Y1086" s="2">
        <v>4544.8500000000004</v>
      </c>
      <c r="Z1086" s="2">
        <v>4544.8500000000004</v>
      </c>
      <c r="AA1086" s="2">
        <v>4544.8500000000004</v>
      </c>
      <c r="AB1086" s="1">
        <v>42382</v>
      </c>
      <c r="AC1086" t="s">
        <v>53</v>
      </c>
      <c r="AD1086" t="s">
        <v>53</v>
      </c>
      <c r="AK1086">
        <v>819.57</v>
      </c>
      <c r="AU1086" s="6">
        <v>42356</v>
      </c>
      <c r="AV1086" s="6">
        <v>42356</v>
      </c>
      <c r="AW1086" t="s">
        <v>54</v>
      </c>
      <c r="AX1086" t="str">
        <f t="shared" si="80"/>
        <v>FOR</v>
      </c>
      <c r="AY1086" t="s">
        <v>55</v>
      </c>
    </row>
    <row r="1087" spans="1:51">
      <c r="A1087">
        <v>100210</v>
      </c>
      <c r="B1087" t="s">
        <v>103</v>
      </c>
      <c r="C1087" t="str">
        <f t="shared" si="83"/>
        <v>08082461008</v>
      </c>
      <c r="D1087" t="str">
        <f t="shared" si="83"/>
        <v>08082461008</v>
      </c>
      <c r="E1087" t="s">
        <v>52</v>
      </c>
      <c r="F1087">
        <v>2015</v>
      </c>
      <c r="G1087">
        <v>15015094</v>
      </c>
      <c r="H1087" s="1">
        <v>42034</v>
      </c>
      <c r="I1087" s="1">
        <v>42048</v>
      </c>
      <c r="J1087" s="1">
        <v>42048</v>
      </c>
      <c r="K1087" s="1">
        <v>42108</v>
      </c>
      <c r="L1087" s="7">
        <v>101.52</v>
      </c>
      <c r="M1087" s="5">
        <v>248</v>
      </c>
      <c r="N1087" s="7">
        <v>25176.959999999999</v>
      </c>
      <c r="O1087">
        <v>101.52</v>
      </c>
      <c r="P1087">
        <v>248</v>
      </c>
      <c r="Q1087" s="2">
        <v>25176.959999999999</v>
      </c>
      <c r="R1087">
        <v>22.33</v>
      </c>
      <c r="V1087">
        <v>0</v>
      </c>
      <c r="W1087">
        <v>0</v>
      </c>
      <c r="X1087">
        <v>0</v>
      </c>
      <c r="Y1087">
        <v>123.85</v>
      </c>
      <c r="Z1087">
        <v>123.85</v>
      </c>
      <c r="AA1087">
        <v>123.85</v>
      </c>
      <c r="AB1087" s="1">
        <v>42382</v>
      </c>
      <c r="AC1087" t="s">
        <v>53</v>
      </c>
      <c r="AD1087" t="s">
        <v>53</v>
      </c>
      <c r="AK1087">
        <v>22.33</v>
      </c>
      <c r="AU1087" s="6">
        <v>42356</v>
      </c>
      <c r="AV1087" s="6">
        <v>42356</v>
      </c>
      <c r="AW1087" t="s">
        <v>54</v>
      </c>
      <c r="AX1087" t="str">
        <f t="shared" si="80"/>
        <v>FOR</v>
      </c>
      <c r="AY1087" t="s">
        <v>55</v>
      </c>
    </row>
    <row r="1088" spans="1:51" hidden="1">
      <c r="A1088">
        <v>100210</v>
      </c>
      <c r="B1088" t="s">
        <v>103</v>
      </c>
      <c r="C1088" t="str">
        <f t="shared" si="83"/>
        <v>08082461008</v>
      </c>
      <c r="D1088" t="str">
        <f t="shared" si="83"/>
        <v>08082461008</v>
      </c>
      <c r="E1088" t="s">
        <v>52</v>
      </c>
      <c r="F1088">
        <v>2015</v>
      </c>
      <c r="G1088">
        <v>15030276</v>
      </c>
      <c r="H1088" s="1">
        <v>42060</v>
      </c>
      <c r="I1088" s="1">
        <v>42073</v>
      </c>
      <c r="J1088" s="1">
        <v>42073</v>
      </c>
      <c r="K1088" s="1">
        <v>42133</v>
      </c>
      <c r="N1088" s="5"/>
      <c r="O1088">
        <v>-518.84</v>
      </c>
      <c r="P1088">
        <v>117</v>
      </c>
      <c r="Q1088" s="2">
        <v>-60704.28</v>
      </c>
      <c r="R1088">
        <v>0</v>
      </c>
      <c r="V1088">
        <v>0</v>
      </c>
      <c r="W1088">
        <v>0</v>
      </c>
      <c r="X1088">
        <v>0</v>
      </c>
      <c r="Y1088">
        <v>-632.98</v>
      </c>
      <c r="Z1088">
        <v>-632.98</v>
      </c>
      <c r="AA1088">
        <v>-632.98</v>
      </c>
      <c r="AB1088" s="1">
        <v>42382</v>
      </c>
      <c r="AC1088" t="s">
        <v>53</v>
      </c>
      <c r="AD1088" t="s">
        <v>53</v>
      </c>
      <c r="AK1088">
        <v>0</v>
      </c>
      <c r="AU1088" s="6">
        <v>42250</v>
      </c>
      <c r="AV1088" s="6">
        <v>42250</v>
      </c>
      <c r="AW1088" t="s">
        <v>54</v>
      </c>
      <c r="AX1088" t="str">
        <f t="shared" si="80"/>
        <v>FOR</v>
      </c>
      <c r="AY1088" t="s">
        <v>55</v>
      </c>
    </row>
    <row r="1089" spans="1:51" hidden="1">
      <c r="A1089">
        <v>100210</v>
      </c>
      <c r="B1089" t="s">
        <v>103</v>
      </c>
      <c r="C1089" t="str">
        <f t="shared" si="83"/>
        <v>08082461008</v>
      </c>
      <c r="D1089" t="str">
        <f t="shared" si="83"/>
        <v>08082461008</v>
      </c>
      <c r="E1089" t="s">
        <v>52</v>
      </c>
      <c r="F1089">
        <v>2015</v>
      </c>
      <c r="G1089">
        <v>15030278</v>
      </c>
      <c r="H1089" s="1">
        <v>42060</v>
      </c>
      <c r="I1089" s="1">
        <v>42073</v>
      </c>
      <c r="J1089" s="1">
        <v>42073</v>
      </c>
      <c r="K1089" s="1">
        <v>42133</v>
      </c>
      <c r="N1089" s="5"/>
      <c r="O1089">
        <v>-259.42</v>
      </c>
      <c r="P1089">
        <v>117</v>
      </c>
      <c r="Q1089" s="2">
        <v>-30352.14</v>
      </c>
      <c r="R1089">
        <v>0</v>
      </c>
      <c r="V1089">
        <v>0</v>
      </c>
      <c r="W1089">
        <v>0</v>
      </c>
      <c r="X1089">
        <v>0</v>
      </c>
      <c r="Y1089">
        <v>-316.49</v>
      </c>
      <c r="Z1089">
        <v>-316.49</v>
      </c>
      <c r="AA1089">
        <v>-316.49</v>
      </c>
      <c r="AB1089" s="1">
        <v>42382</v>
      </c>
      <c r="AC1089" t="s">
        <v>53</v>
      </c>
      <c r="AD1089" t="s">
        <v>53</v>
      </c>
      <c r="AK1089">
        <v>0</v>
      </c>
      <c r="AU1089" s="6">
        <v>42250</v>
      </c>
      <c r="AV1089" s="6">
        <v>42250</v>
      </c>
      <c r="AW1089" t="s">
        <v>54</v>
      </c>
      <c r="AX1089" t="str">
        <f t="shared" si="80"/>
        <v>FOR</v>
      </c>
      <c r="AY1089" t="s">
        <v>55</v>
      </c>
    </row>
    <row r="1090" spans="1:51" hidden="1">
      <c r="A1090">
        <v>100212</v>
      </c>
      <c r="B1090" t="s">
        <v>104</v>
      </c>
      <c r="C1090" t="str">
        <f t="shared" ref="C1090:D1100" si="84">"07054190637"</f>
        <v>07054190637</v>
      </c>
      <c r="D1090" t="str">
        <f t="shared" si="84"/>
        <v>07054190637</v>
      </c>
      <c r="E1090" t="s">
        <v>52</v>
      </c>
      <c r="F1090">
        <v>2014</v>
      </c>
      <c r="G1090">
        <v>77</v>
      </c>
      <c r="H1090" s="1">
        <v>41698</v>
      </c>
      <c r="I1090" s="1">
        <v>41719</v>
      </c>
      <c r="J1090" s="1">
        <v>41719</v>
      </c>
      <c r="K1090" s="1">
        <v>41809</v>
      </c>
      <c r="N1090" s="5"/>
      <c r="O1090">
        <v>503.35</v>
      </c>
      <c r="P1090">
        <v>228</v>
      </c>
      <c r="Q1090" s="2">
        <v>114763.8</v>
      </c>
      <c r="R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 s="1">
        <v>42382</v>
      </c>
      <c r="AC1090" t="s">
        <v>53</v>
      </c>
      <c r="AD1090" t="s">
        <v>53</v>
      </c>
      <c r="AK1090">
        <v>0</v>
      </c>
      <c r="AU1090" s="6">
        <v>42037</v>
      </c>
      <c r="AV1090" s="6">
        <v>42037</v>
      </c>
      <c r="AW1090" t="s">
        <v>54</v>
      </c>
      <c r="AX1090" t="str">
        <f t="shared" si="80"/>
        <v>FOR</v>
      </c>
      <c r="AY1090" t="s">
        <v>55</v>
      </c>
    </row>
    <row r="1091" spans="1:51" hidden="1">
      <c r="A1091">
        <v>100212</v>
      </c>
      <c r="B1091" t="s">
        <v>104</v>
      </c>
      <c r="C1091" t="str">
        <f t="shared" si="84"/>
        <v>07054190637</v>
      </c>
      <c r="D1091" t="str">
        <f t="shared" si="84"/>
        <v>07054190637</v>
      </c>
      <c r="E1091" t="s">
        <v>52</v>
      </c>
      <c r="F1091">
        <v>2014</v>
      </c>
      <c r="G1091">
        <v>263</v>
      </c>
      <c r="H1091" s="1">
        <v>41851</v>
      </c>
      <c r="I1091" s="1">
        <v>41876</v>
      </c>
      <c r="J1091" s="1">
        <v>41876</v>
      </c>
      <c r="K1091" s="1">
        <v>41966</v>
      </c>
      <c r="N1091" s="5"/>
      <c r="O1091">
        <v>550.23</v>
      </c>
      <c r="P1091">
        <v>225</v>
      </c>
      <c r="Q1091" s="2">
        <v>123801.75</v>
      </c>
      <c r="R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 s="1">
        <v>42382</v>
      </c>
      <c r="AC1091" t="s">
        <v>53</v>
      </c>
      <c r="AD1091" t="s">
        <v>53</v>
      </c>
      <c r="AK1091">
        <v>0</v>
      </c>
      <c r="AU1091" s="6">
        <v>42191</v>
      </c>
      <c r="AV1091" s="6">
        <v>42191</v>
      </c>
      <c r="AW1091" t="s">
        <v>54</v>
      </c>
      <c r="AX1091" t="str">
        <f t="shared" ref="AX1091:AX1154" si="85">"FOR"</f>
        <v>FOR</v>
      </c>
      <c r="AY1091" t="s">
        <v>55</v>
      </c>
    </row>
    <row r="1092" spans="1:51" hidden="1">
      <c r="A1092">
        <v>100212</v>
      </c>
      <c r="B1092" t="s">
        <v>104</v>
      </c>
      <c r="C1092" t="str">
        <f t="shared" si="84"/>
        <v>07054190637</v>
      </c>
      <c r="D1092" t="str">
        <f t="shared" si="84"/>
        <v>07054190637</v>
      </c>
      <c r="E1092" t="s">
        <v>52</v>
      </c>
      <c r="F1092">
        <v>2014</v>
      </c>
      <c r="G1092">
        <v>417</v>
      </c>
      <c r="H1092" s="1">
        <v>41971</v>
      </c>
      <c r="I1092" s="1">
        <v>42072</v>
      </c>
      <c r="J1092" s="1">
        <v>42072</v>
      </c>
      <c r="K1092" s="1">
        <v>42132</v>
      </c>
      <c r="N1092" s="5"/>
      <c r="O1092">
        <v>162.09</v>
      </c>
      <c r="P1092">
        <v>59</v>
      </c>
      <c r="Q1092" s="2">
        <v>9563.31</v>
      </c>
      <c r="R1092">
        <v>0</v>
      </c>
      <c r="V1092">
        <v>0</v>
      </c>
      <c r="W1092">
        <v>0</v>
      </c>
      <c r="X1092">
        <v>0</v>
      </c>
      <c r="Y1092">
        <v>0</v>
      </c>
      <c r="Z1092">
        <v>162.09</v>
      </c>
      <c r="AA1092">
        <v>0</v>
      </c>
      <c r="AB1092" s="1">
        <v>42382</v>
      </c>
      <c r="AC1092" t="s">
        <v>53</v>
      </c>
      <c r="AD1092" t="s">
        <v>53</v>
      </c>
      <c r="AK1092">
        <v>0</v>
      </c>
      <c r="AU1092" s="6">
        <v>42191</v>
      </c>
      <c r="AV1092" s="6">
        <v>42191</v>
      </c>
      <c r="AW1092" t="s">
        <v>54</v>
      </c>
      <c r="AX1092" t="str">
        <f t="shared" si="85"/>
        <v>FOR</v>
      </c>
      <c r="AY1092" t="s">
        <v>55</v>
      </c>
    </row>
    <row r="1093" spans="1:51">
      <c r="A1093">
        <v>100212</v>
      </c>
      <c r="B1093" t="s">
        <v>104</v>
      </c>
      <c r="C1093" t="str">
        <f t="shared" si="84"/>
        <v>07054190637</v>
      </c>
      <c r="D1093" t="str">
        <f t="shared" si="84"/>
        <v>07054190637</v>
      </c>
      <c r="E1093" t="s">
        <v>52</v>
      </c>
      <c r="F1093">
        <v>2015</v>
      </c>
      <c r="G1093">
        <v>4</v>
      </c>
      <c r="H1093" s="1">
        <v>42094</v>
      </c>
      <c r="I1093" s="1">
        <v>42108</v>
      </c>
      <c r="J1093" s="1">
        <v>42107</v>
      </c>
      <c r="K1093" s="1">
        <v>42167</v>
      </c>
      <c r="L1093" s="7">
        <v>196.31</v>
      </c>
      <c r="M1093" s="5">
        <v>188</v>
      </c>
      <c r="N1093" s="7">
        <v>36906.28</v>
      </c>
      <c r="O1093">
        <v>196.31</v>
      </c>
      <c r="P1093">
        <v>188</v>
      </c>
      <c r="Q1093" s="2">
        <v>36906.28</v>
      </c>
      <c r="R1093">
        <v>43.19</v>
      </c>
      <c r="V1093">
        <v>0</v>
      </c>
      <c r="W1093">
        <v>0</v>
      </c>
      <c r="X1093">
        <v>0</v>
      </c>
      <c r="Y1093">
        <v>239.5</v>
      </c>
      <c r="Z1093">
        <v>239.5</v>
      </c>
      <c r="AA1093">
        <v>239.5</v>
      </c>
      <c r="AB1093" s="1">
        <v>42382</v>
      </c>
      <c r="AC1093" t="s">
        <v>53</v>
      </c>
      <c r="AD1093" t="s">
        <v>53</v>
      </c>
      <c r="AK1093">
        <v>43.19</v>
      </c>
      <c r="AU1093" s="6">
        <v>42355</v>
      </c>
      <c r="AV1093" s="6">
        <v>42355</v>
      </c>
      <c r="AW1093" t="s">
        <v>54</v>
      </c>
      <c r="AX1093" t="str">
        <f t="shared" si="85"/>
        <v>FOR</v>
      </c>
      <c r="AY1093" t="s">
        <v>55</v>
      </c>
    </row>
    <row r="1094" spans="1:51">
      <c r="A1094">
        <v>100212</v>
      </c>
      <c r="B1094" t="s">
        <v>104</v>
      </c>
      <c r="C1094" t="str">
        <f t="shared" si="84"/>
        <v>07054190637</v>
      </c>
      <c r="D1094" t="str">
        <f t="shared" si="84"/>
        <v>07054190637</v>
      </c>
      <c r="E1094" t="s">
        <v>52</v>
      </c>
      <c r="F1094">
        <v>2015</v>
      </c>
      <c r="G1094">
        <v>14</v>
      </c>
      <c r="H1094" s="1">
        <v>42124</v>
      </c>
      <c r="I1094" s="1">
        <v>42132</v>
      </c>
      <c r="J1094" s="1">
        <v>42131</v>
      </c>
      <c r="K1094" s="1">
        <v>42191</v>
      </c>
      <c r="L1094" s="7">
        <v>76.41</v>
      </c>
      <c r="M1094" s="5">
        <v>164</v>
      </c>
      <c r="N1094" s="7">
        <v>12531.24</v>
      </c>
      <c r="O1094">
        <v>76.41</v>
      </c>
      <c r="P1094">
        <v>164</v>
      </c>
      <c r="Q1094" s="2">
        <v>12531.24</v>
      </c>
      <c r="R1094">
        <v>16.809999999999999</v>
      </c>
      <c r="V1094">
        <v>0</v>
      </c>
      <c r="W1094">
        <v>0</v>
      </c>
      <c r="X1094">
        <v>0</v>
      </c>
      <c r="Y1094">
        <v>93.22</v>
      </c>
      <c r="Z1094">
        <v>93.22</v>
      </c>
      <c r="AA1094">
        <v>93.22</v>
      </c>
      <c r="AB1094" s="1">
        <v>42382</v>
      </c>
      <c r="AC1094" t="s">
        <v>53</v>
      </c>
      <c r="AD1094" t="s">
        <v>53</v>
      </c>
      <c r="AJ1094">
        <v>16.809999999999999</v>
      </c>
      <c r="AK1094">
        <v>0</v>
      </c>
      <c r="AU1094" s="6">
        <v>42355</v>
      </c>
      <c r="AV1094" s="6">
        <v>42355</v>
      </c>
      <c r="AW1094" t="s">
        <v>54</v>
      </c>
      <c r="AX1094" t="str">
        <f t="shared" si="85"/>
        <v>FOR</v>
      </c>
      <c r="AY1094" t="s">
        <v>55</v>
      </c>
    </row>
    <row r="1095" spans="1:51">
      <c r="A1095">
        <v>100212</v>
      </c>
      <c r="B1095" t="s">
        <v>104</v>
      </c>
      <c r="C1095" t="str">
        <f t="shared" si="84"/>
        <v>07054190637</v>
      </c>
      <c r="D1095" t="str">
        <f t="shared" si="84"/>
        <v>07054190637</v>
      </c>
      <c r="E1095" t="s">
        <v>52</v>
      </c>
      <c r="F1095">
        <v>2015</v>
      </c>
      <c r="G1095">
        <v>33</v>
      </c>
      <c r="H1095" s="1">
        <v>42153</v>
      </c>
      <c r="I1095" s="1">
        <v>42164</v>
      </c>
      <c r="J1095" s="1">
        <v>42158</v>
      </c>
      <c r="K1095" s="1">
        <v>42218</v>
      </c>
      <c r="L1095" s="7">
        <v>1800</v>
      </c>
      <c r="M1095" s="5">
        <v>137</v>
      </c>
      <c r="N1095" s="7">
        <v>246600</v>
      </c>
      <c r="O1095" s="2">
        <v>1800</v>
      </c>
      <c r="P1095">
        <v>137</v>
      </c>
      <c r="Q1095" s="2">
        <v>246600</v>
      </c>
      <c r="R1095">
        <v>396</v>
      </c>
      <c r="V1095">
        <v>0</v>
      </c>
      <c r="W1095">
        <v>0</v>
      </c>
      <c r="X1095">
        <v>0</v>
      </c>
      <c r="Y1095" s="2">
        <v>2196</v>
      </c>
      <c r="Z1095" s="2">
        <v>2196</v>
      </c>
      <c r="AA1095" s="2">
        <v>2196</v>
      </c>
      <c r="AB1095" s="1">
        <v>42382</v>
      </c>
      <c r="AC1095" t="s">
        <v>53</v>
      </c>
      <c r="AD1095" t="s">
        <v>53</v>
      </c>
      <c r="AI1095">
        <v>396</v>
      </c>
      <c r="AK1095">
        <v>0</v>
      </c>
      <c r="AU1095" s="6">
        <v>42355</v>
      </c>
      <c r="AV1095" s="6">
        <v>42355</v>
      </c>
      <c r="AW1095" t="s">
        <v>54</v>
      </c>
      <c r="AX1095" t="str">
        <f t="shared" si="85"/>
        <v>FOR</v>
      </c>
      <c r="AY1095" t="s">
        <v>55</v>
      </c>
    </row>
    <row r="1096" spans="1:51">
      <c r="A1096">
        <v>100212</v>
      </c>
      <c r="B1096" t="s">
        <v>104</v>
      </c>
      <c r="C1096" t="str">
        <f t="shared" si="84"/>
        <v>07054190637</v>
      </c>
      <c r="D1096" t="str">
        <f t="shared" si="84"/>
        <v>07054190637</v>
      </c>
      <c r="E1096" t="s">
        <v>52</v>
      </c>
      <c r="F1096">
        <v>2015</v>
      </c>
      <c r="G1096">
        <v>59</v>
      </c>
      <c r="H1096" s="1">
        <v>42035</v>
      </c>
      <c r="I1096" s="1">
        <v>42053</v>
      </c>
      <c r="J1096" s="1">
        <v>42053</v>
      </c>
      <c r="K1096" s="1">
        <v>42113</v>
      </c>
      <c r="L1096" s="7">
        <v>56.45</v>
      </c>
      <c r="M1096" s="5">
        <v>242</v>
      </c>
      <c r="N1096" s="7">
        <v>13660.9</v>
      </c>
      <c r="O1096">
        <v>56.45</v>
      </c>
      <c r="P1096">
        <v>242</v>
      </c>
      <c r="Q1096" s="2">
        <v>13660.9</v>
      </c>
      <c r="R1096">
        <v>12.42</v>
      </c>
      <c r="V1096">
        <v>0</v>
      </c>
      <c r="W1096">
        <v>0</v>
      </c>
      <c r="X1096">
        <v>0</v>
      </c>
      <c r="Y1096">
        <v>68.87</v>
      </c>
      <c r="Z1096">
        <v>68.87</v>
      </c>
      <c r="AA1096">
        <v>68.87</v>
      </c>
      <c r="AB1096" s="1">
        <v>42382</v>
      </c>
      <c r="AC1096" t="s">
        <v>53</v>
      </c>
      <c r="AD1096" t="s">
        <v>53</v>
      </c>
      <c r="AK1096">
        <v>12.42</v>
      </c>
      <c r="AU1096" s="6">
        <v>42355</v>
      </c>
      <c r="AV1096" s="6">
        <v>42355</v>
      </c>
      <c r="AW1096" t="s">
        <v>54</v>
      </c>
      <c r="AX1096" t="str">
        <f t="shared" si="85"/>
        <v>FOR</v>
      </c>
      <c r="AY1096" t="s">
        <v>55</v>
      </c>
    </row>
    <row r="1097" spans="1:51">
      <c r="A1097">
        <v>100212</v>
      </c>
      <c r="B1097" t="s">
        <v>104</v>
      </c>
      <c r="C1097" t="str">
        <f t="shared" si="84"/>
        <v>07054190637</v>
      </c>
      <c r="D1097" t="str">
        <f t="shared" si="84"/>
        <v>07054190637</v>
      </c>
      <c r="E1097" t="s">
        <v>52</v>
      </c>
      <c r="F1097">
        <v>2015</v>
      </c>
      <c r="G1097">
        <v>93</v>
      </c>
      <c r="H1097" s="1">
        <v>42220</v>
      </c>
      <c r="I1097" s="1">
        <v>42230</v>
      </c>
      <c r="J1097" s="1">
        <v>42220</v>
      </c>
      <c r="K1097" s="1">
        <v>42280</v>
      </c>
      <c r="L1097" s="7">
        <v>325.14999999999998</v>
      </c>
      <c r="M1097" s="5">
        <v>75</v>
      </c>
      <c r="N1097" s="7">
        <v>24386.25</v>
      </c>
      <c r="O1097">
        <v>325.14999999999998</v>
      </c>
      <c r="P1097">
        <v>75</v>
      </c>
      <c r="Q1097" s="2">
        <v>24386.25</v>
      </c>
      <c r="R1097">
        <v>71.53</v>
      </c>
      <c r="V1097">
        <v>0</v>
      </c>
      <c r="W1097">
        <v>0</v>
      </c>
      <c r="X1097">
        <v>0</v>
      </c>
      <c r="Y1097">
        <v>396.68</v>
      </c>
      <c r="Z1097">
        <v>396.68</v>
      </c>
      <c r="AA1097">
        <v>396.68</v>
      </c>
      <c r="AB1097" s="1">
        <v>42382</v>
      </c>
      <c r="AC1097" t="s">
        <v>53</v>
      </c>
      <c r="AD1097" t="s">
        <v>53</v>
      </c>
      <c r="AG1097">
        <v>71.53</v>
      </c>
      <c r="AK1097">
        <v>0</v>
      </c>
      <c r="AU1097" s="6">
        <v>42355</v>
      </c>
      <c r="AV1097" s="6">
        <v>42355</v>
      </c>
      <c r="AW1097" t="s">
        <v>54</v>
      </c>
      <c r="AX1097" t="str">
        <f t="shared" si="85"/>
        <v>FOR</v>
      </c>
      <c r="AY1097" t="s">
        <v>55</v>
      </c>
    </row>
    <row r="1098" spans="1:51">
      <c r="A1098">
        <v>100212</v>
      </c>
      <c r="B1098" t="s">
        <v>104</v>
      </c>
      <c r="C1098" t="str">
        <f t="shared" si="84"/>
        <v>07054190637</v>
      </c>
      <c r="D1098" t="str">
        <f t="shared" si="84"/>
        <v>07054190637</v>
      </c>
      <c r="E1098" t="s">
        <v>52</v>
      </c>
      <c r="F1098">
        <v>2015</v>
      </c>
      <c r="G1098">
        <v>106</v>
      </c>
      <c r="H1098" s="1">
        <v>42063</v>
      </c>
      <c r="I1098" s="1">
        <v>42185</v>
      </c>
      <c r="J1098" s="1">
        <v>42185</v>
      </c>
      <c r="K1098" s="1">
        <v>42245</v>
      </c>
      <c r="L1098" s="7">
        <v>76.41</v>
      </c>
      <c r="M1098" s="5">
        <v>110</v>
      </c>
      <c r="N1098" s="7">
        <v>8405.1</v>
      </c>
      <c r="O1098">
        <v>76.41</v>
      </c>
      <c r="P1098">
        <v>110</v>
      </c>
      <c r="Q1098" s="2">
        <v>8405.1</v>
      </c>
      <c r="R1098">
        <v>16.809999999999999</v>
      </c>
      <c r="V1098">
        <v>0</v>
      </c>
      <c r="W1098">
        <v>0</v>
      </c>
      <c r="X1098">
        <v>0</v>
      </c>
      <c r="Y1098">
        <v>93.22</v>
      </c>
      <c r="Z1098">
        <v>93.22</v>
      </c>
      <c r="AA1098">
        <v>93.22</v>
      </c>
      <c r="AB1098" s="1">
        <v>42382</v>
      </c>
      <c r="AC1098" t="s">
        <v>53</v>
      </c>
      <c r="AD1098" t="s">
        <v>53</v>
      </c>
      <c r="AI1098">
        <v>16.809999999999999</v>
      </c>
      <c r="AK1098">
        <v>0</v>
      </c>
      <c r="AU1098" s="6">
        <v>42355</v>
      </c>
      <c r="AV1098" s="6">
        <v>42355</v>
      </c>
      <c r="AW1098" t="s">
        <v>54</v>
      </c>
      <c r="AX1098" t="str">
        <f t="shared" si="85"/>
        <v>FOR</v>
      </c>
      <c r="AY1098" t="s">
        <v>55</v>
      </c>
    </row>
    <row r="1099" spans="1:51">
      <c r="A1099">
        <v>100212</v>
      </c>
      <c r="B1099" t="s">
        <v>104</v>
      </c>
      <c r="C1099" t="str">
        <f t="shared" si="84"/>
        <v>07054190637</v>
      </c>
      <c r="D1099" t="str">
        <f t="shared" si="84"/>
        <v>07054190637</v>
      </c>
      <c r="E1099" t="s">
        <v>52</v>
      </c>
      <c r="F1099">
        <v>2015</v>
      </c>
      <c r="G1099">
        <v>131</v>
      </c>
      <c r="H1099" s="1">
        <v>42277</v>
      </c>
      <c r="I1099" s="1">
        <v>42283</v>
      </c>
      <c r="J1099" s="1">
        <v>42279</v>
      </c>
      <c r="K1099" s="1">
        <v>42339</v>
      </c>
      <c r="L1099" s="7">
        <v>196.31</v>
      </c>
      <c r="M1099" s="5">
        <v>16</v>
      </c>
      <c r="N1099" s="7">
        <v>3140.96</v>
      </c>
      <c r="O1099">
        <v>196.31</v>
      </c>
      <c r="P1099">
        <v>16</v>
      </c>
      <c r="Q1099" s="2">
        <v>3140.96</v>
      </c>
      <c r="R1099">
        <v>43.19</v>
      </c>
      <c r="V1099">
        <v>0</v>
      </c>
      <c r="W1099">
        <v>239.5</v>
      </c>
      <c r="X1099">
        <v>0</v>
      </c>
      <c r="Y1099">
        <v>239.5</v>
      </c>
      <c r="Z1099">
        <v>239.5</v>
      </c>
      <c r="AA1099">
        <v>239.5</v>
      </c>
      <c r="AB1099" s="1">
        <v>42382</v>
      </c>
      <c r="AC1099" t="s">
        <v>53</v>
      </c>
      <c r="AD1099" t="s">
        <v>53</v>
      </c>
      <c r="AE1099">
        <v>43.19</v>
      </c>
      <c r="AK1099">
        <v>0</v>
      </c>
      <c r="AU1099" s="6">
        <v>42355</v>
      </c>
      <c r="AV1099" s="6">
        <v>42355</v>
      </c>
      <c r="AW1099" t="s">
        <v>54</v>
      </c>
      <c r="AX1099" t="str">
        <f t="shared" si="85"/>
        <v>FOR</v>
      </c>
      <c r="AY1099" t="s">
        <v>55</v>
      </c>
    </row>
    <row r="1100" spans="1:51">
      <c r="A1100">
        <v>100212</v>
      </c>
      <c r="B1100" t="s">
        <v>104</v>
      </c>
      <c r="C1100" t="str">
        <f t="shared" si="84"/>
        <v>07054190637</v>
      </c>
      <c r="D1100" t="str">
        <f t="shared" si="84"/>
        <v>07054190637</v>
      </c>
      <c r="E1100" t="s">
        <v>52</v>
      </c>
      <c r="F1100">
        <v>2015</v>
      </c>
      <c r="G1100">
        <v>144</v>
      </c>
      <c r="H1100" s="1">
        <v>42307</v>
      </c>
      <c r="I1100" s="1">
        <v>42310</v>
      </c>
      <c r="J1100" s="1">
        <v>42310</v>
      </c>
      <c r="K1100" s="1">
        <v>42370</v>
      </c>
      <c r="L1100" s="7">
        <v>195.27</v>
      </c>
      <c r="M1100" s="5">
        <v>-15</v>
      </c>
      <c r="N1100" s="7">
        <v>-2929.05</v>
      </c>
      <c r="O1100">
        <v>195.27</v>
      </c>
      <c r="P1100">
        <v>-15</v>
      </c>
      <c r="Q1100" s="2">
        <v>-2929.05</v>
      </c>
      <c r="R1100">
        <v>42.96</v>
      </c>
      <c r="V1100">
        <v>238.23</v>
      </c>
      <c r="W1100">
        <v>238.23</v>
      </c>
      <c r="X1100">
        <v>238.23</v>
      </c>
      <c r="Y1100">
        <v>238.23</v>
      </c>
      <c r="Z1100">
        <v>238.23</v>
      </c>
      <c r="AA1100">
        <v>238.23</v>
      </c>
      <c r="AB1100" s="1">
        <v>42382</v>
      </c>
      <c r="AC1100" t="s">
        <v>53</v>
      </c>
      <c r="AD1100" t="s">
        <v>53</v>
      </c>
      <c r="AK1100">
        <v>0</v>
      </c>
      <c r="AM1100">
        <v>42.96</v>
      </c>
      <c r="AU1100" s="6">
        <v>42355</v>
      </c>
      <c r="AV1100" s="6">
        <v>42355</v>
      </c>
      <c r="AW1100" t="s">
        <v>54</v>
      </c>
      <c r="AX1100" t="str">
        <f t="shared" si="85"/>
        <v>FOR</v>
      </c>
      <c r="AY1100" t="s">
        <v>55</v>
      </c>
    </row>
    <row r="1101" spans="1:51" hidden="1">
      <c r="A1101">
        <v>100241</v>
      </c>
      <c r="B1101" t="s">
        <v>105</v>
      </c>
      <c r="C1101" t="str">
        <f t="shared" ref="C1101:D1114" si="86">"06716210635"</f>
        <v>06716210635</v>
      </c>
      <c r="D1101" t="str">
        <f t="shared" si="86"/>
        <v>06716210635</v>
      </c>
      <c r="E1101" t="s">
        <v>52</v>
      </c>
      <c r="F1101">
        <v>2014</v>
      </c>
      <c r="G1101">
        <v>242</v>
      </c>
      <c r="H1101" s="1">
        <v>41691</v>
      </c>
      <c r="I1101" s="1">
        <v>41715</v>
      </c>
      <c r="J1101" s="1">
        <v>41715</v>
      </c>
      <c r="K1101" s="1">
        <v>41805</v>
      </c>
      <c r="N1101" s="5"/>
      <c r="O1101" s="2">
        <v>2093.52</v>
      </c>
      <c r="P1101">
        <v>269</v>
      </c>
      <c r="Q1101" s="2">
        <v>563156.88</v>
      </c>
      <c r="R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 s="1">
        <v>42382</v>
      </c>
      <c r="AC1101" t="s">
        <v>53</v>
      </c>
      <c r="AD1101" t="s">
        <v>53</v>
      </c>
      <c r="AK1101">
        <v>0</v>
      </c>
      <c r="AU1101" s="6">
        <v>42074</v>
      </c>
      <c r="AV1101" s="6">
        <v>42074</v>
      </c>
      <c r="AW1101" t="s">
        <v>54</v>
      </c>
      <c r="AX1101" t="str">
        <f t="shared" si="85"/>
        <v>FOR</v>
      </c>
      <c r="AY1101" t="s">
        <v>55</v>
      </c>
    </row>
    <row r="1102" spans="1:51" hidden="1">
      <c r="A1102">
        <v>100241</v>
      </c>
      <c r="B1102" t="s">
        <v>105</v>
      </c>
      <c r="C1102" t="str">
        <f t="shared" si="86"/>
        <v>06716210635</v>
      </c>
      <c r="D1102" t="str">
        <f t="shared" si="86"/>
        <v>06716210635</v>
      </c>
      <c r="E1102" t="s">
        <v>52</v>
      </c>
      <c r="F1102">
        <v>2014</v>
      </c>
      <c r="G1102">
        <v>320</v>
      </c>
      <c r="H1102" s="1">
        <v>41705</v>
      </c>
      <c r="I1102" s="1">
        <v>41745</v>
      </c>
      <c r="J1102" s="1">
        <v>41745</v>
      </c>
      <c r="K1102" s="1">
        <v>41835</v>
      </c>
      <c r="N1102" s="5"/>
      <c r="O1102">
        <v>889.38</v>
      </c>
      <c r="P1102">
        <v>239</v>
      </c>
      <c r="Q1102" s="2">
        <v>212561.82</v>
      </c>
      <c r="R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 s="1">
        <v>42382</v>
      </c>
      <c r="AC1102" t="s">
        <v>53</v>
      </c>
      <c r="AD1102" t="s">
        <v>53</v>
      </c>
      <c r="AK1102">
        <v>0</v>
      </c>
      <c r="AU1102" s="6">
        <v>42074</v>
      </c>
      <c r="AV1102" s="6">
        <v>42074</v>
      </c>
      <c r="AW1102" t="s">
        <v>54</v>
      </c>
      <c r="AX1102" t="str">
        <f t="shared" si="85"/>
        <v>FOR</v>
      </c>
      <c r="AY1102" t="s">
        <v>55</v>
      </c>
    </row>
    <row r="1103" spans="1:51" hidden="1">
      <c r="A1103">
        <v>100241</v>
      </c>
      <c r="B1103" t="s">
        <v>105</v>
      </c>
      <c r="C1103" t="str">
        <f t="shared" si="86"/>
        <v>06716210635</v>
      </c>
      <c r="D1103" t="str">
        <f t="shared" si="86"/>
        <v>06716210635</v>
      </c>
      <c r="E1103" t="s">
        <v>52</v>
      </c>
      <c r="F1103">
        <v>2014</v>
      </c>
      <c r="G1103">
        <v>415</v>
      </c>
      <c r="H1103" s="1">
        <v>41719</v>
      </c>
      <c r="I1103" s="1">
        <v>41767</v>
      </c>
      <c r="J1103" s="1">
        <v>41767</v>
      </c>
      <c r="K1103" s="1">
        <v>41857</v>
      </c>
      <c r="N1103" s="5"/>
      <c r="O1103">
        <v>323.3</v>
      </c>
      <c r="P1103">
        <v>217</v>
      </c>
      <c r="Q1103" s="2">
        <v>70156.100000000006</v>
      </c>
      <c r="R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 s="1">
        <v>42382</v>
      </c>
      <c r="AC1103" t="s">
        <v>53</v>
      </c>
      <c r="AD1103" t="s">
        <v>53</v>
      </c>
      <c r="AK1103">
        <v>0</v>
      </c>
      <c r="AU1103" s="6">
        <v>42074</v>
      </c>
      <c r="AV1103" s="6">
        <v>42074</v>
      </c>
      <c r="AW1103" t="s">
        <v>54</v>
      </c>
      <c r="AX1103" t="str">
        <f t="shared" si="85"/>
        <v>FOR</v>
      </c>
      <c r="AY1103" t="s">
        <v>55</v>
      </c>
    </row>
    <row r="1104" spans="1:51" hidden="1">
      <c r="A1104">
        <v>100241</v>
      </c>
      <c r="B1104" t="s">
        <v>105</v>
      </c>
      <c r="C1104" t="str">
        <f t="shared" si="86"/>
        <v>06716210635</v>
      </c>
      <c r="D1104" t="str">
        <f t="shared" si="86"/>
        <v>06716210635</v>
      </c>
      <c r="E1104" t="s">
        <v>52</v>
      </c>
      <c r="F1104">
        <v>2014</v>
      </c>
      <c r="G1104">
        <v>460</v>
      </c>
      <c r="H1104" s="1">
        <v>41729</v>
      </c>
      <c r="I1104" s="1">
        <v>41767</v>
      </c>
      <c r="J1104" s="1">
        <v>41767</v>
      </c>
      <c r="K1104" s="1">
        <v>41857</v>
      </c>
      <c r="N1104" s="5"/>
      <c r="O1104">
        <v>219.42</v>
      </c>
      <c r="P1104">
        <v>217</v>
      </c>
      <c r="Q1104" s="2">
        <v>47614.14</v>
      </c>
      <c r="R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 s="1">
        <v>42382</v>
      </c>
      <c r="AC1104" t="s">
        <v>53</v>
      </c>
      <c r="AD1104" t="s">
        <v>53</v>
      </c>
      <c r="AK1104">
        <v>0</v>
      </c>
      <c r="AU1104" s="6">
        <v>42074</v>
      </c>
      <c r="AV1104" s="6">
        <v>42074</v>
      </c>
      <c r="AW1104" t="s">
        <v>54</v>
      </c>
      <c r="AX1104" t="str">
        <f t="shared" si="85"/>
        <v>FOR</v>
      </c>
      <c r="AY1104" t="s">
        <v>55</v>
      </c>
    </row>
    <row r="1105" spans="1:51" hidden="1">
      <c r="A1105">
        <v>100241</v>
      </c>
      <c r="B1105" t="s">
        <v>105</v>
      </c>
      <c r="C1105" t="str">
        <f t="shared" si="86"/>
        <v>06716210635</v>
      </c>
      <c r="D1105" t="str">
        <f t="shared" si="86"/>
        <v>06716210635</v>
      </c>
      <c r="E1105" t="s">
        <v>52</v>
      </c>
      <c r="F1105">
        <v>2014</v>
      </c>
      <c r="G1105">
        <v>495</v>
      </c>
      <c r="H1105" s="1">
        <v>41733</v>
      </c>
      <c r="I1105" s="1">
        <v>41789</v>
      </c>
      <c r="J1105" s="1">
        <v>41789</v>
      </c>
      <c r="K1105" s="1">
        <v>41879</v>
      </c>
      <c r="N1105" s="5"/>
      <c r="O1105" s="2">
        <v>1786.08</v>
      </c>
      <c r="P1105">
        <v>223</v>
      </c>
      <c r="Q1105" s="2">
        <v>398295.84</v>
      </c>
      <c r="R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 s="1">
        <v>42382</v>
      </c>
      <c r="AC1105" t="s">
        <v>53</v>
      </c>
      <c r="AD1105" t="s">
        <v>53</v>
      </c>
      <c r="AK1105">
        <v>0</v>
      </c>
      <c r="AU1105" s="6">
        <v>42102</v>
      </c>
      <c r="AV1105" s="6">
        <v>42102</v>
      </c>
      <c r="AW1105" t="s">
        <v>54</v>
      </c>
      <c r="AX1105" t="str">
        <f t="shared" si="85"/>
        <v>FOR</v>
      </c>
      <c r="AY1105" t="s">
        <v>55</v>
      </c>
    </row>
    <row r="1106" spans="1:51" hidden="1">
      <c r="A1106">
        <v>100241</v>
      </c>
      <c r="B1106" t="s">
        <v>105</v>
      </c>
      <c r="C1106" t="str">
        <f t="shared" si="86"/>
        <v>06716210635</v>
      </c>
      <c r="D1106" t="str">
        <f t="shared" si="86"/>
        <v>06716210635</v>
      </c>
      <c r="E1106" t="s">
        <v>52</v>
      </c>
      <c r="F1106">
        <v>2014</v>
      </c>
      <c r="G1106">
        <v>591</v>
      </c>
      <c r="H1106" s="1">
        <v>41747</v>
      </c>
      <c r="I1106" s="1">
        <v>41789</v>
      </c>
      <c r="J1106" s="1">
        <v>41789</v>
      </c>
      <c r="K1106" s="1">
        <v>41879</v>
      </c>
      <c r="N1106" s="5"/>
      <c r="O1106" s="2">
        <v>1293.2</v>
      </c>
      <c r="P1106">
        <v>223</v>
      </c>
      <c r="Q1106" s="2">
        <v>288383.59999999998</v>
      </c>
      <c r="R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 s="1">
        <v>42382</v>
      </c>
      <c r="AC1106" t="s">
        <v>53</v>
      </c>
      <c r="AD1106" t="s">
        <v>53</v>
      </c>
      <c r="AK1106">
        <v>0</v>
      </c>
      <c r="AU1106" s="6">
        <v>42102</v>
      </c>
      <c r="AV1106" s="6">
        <v>42102</v>
      </c>
      <c r="AW1106" t="s">
        <v>54</v>
      </c>
      <c r="AX1106" t="str">
        <f t="shared" si="85"/>
        <v>FOR</v>
      </c>
      <c r="AY1106" t="s">
        <v>55</v>
      </c>
    </row>
    <row r="1107" spans="1:51" hidden="1">
      <c r="A1107">
        <v>100241</v>
      </c>
      <c r="B1107" t="s">
        <v>105</v>
      </c>
      <c r="C1107" t="str">
        <f t="shared" si="86"/>
        <v>06716210635</v>
      </c>
      <c r="D1107" t="str">
        <f t="shared" si="86"/>
        <v>06716210635</v>
      </c>
      <c r="E1107" t="s">
        <v>52</v>
      </c>
      <c r="F1107">
        <v>2014</v>
      </c>
      <c r="G1107">
        <v>621</v>
      </c>
      <c r="H1107" s="1">
        <v>41754</v>
      </c>
      <c r="I1107" s="1">
        <v>41789</v>
      </c>
      <c r="J1107" s="1">
        <v>41789</v>
      </c>
      <c r="K1107" s="1">
        <v>41879</v>
      </c>
      <c r="N1107" s="5"/>
      <c r="O1107">
        <v>73.14</v>
      </c>
      <c r="P1107">
        <v>223</v>
      </c>
      <c r="Q1107" s="2">
        <v>16310.22</v>
      </c>
      <c r="R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 s="1">
        <v>42382</v>
      </c>
      <c r="AC1107" t="s">
        <v>53</v>
      </c>
      <c r="AD1107" t="s">
        <v>53</v>
      </c>
      <c r="AK1107">
        <v>0</v>
      </c>
      <c r="AU1107" s="6">
        <v>42102</v>
      </c>
      <c r="AV1107" s="6">
        <v>42102</v>
      </c>
      <c r="AW1107" t="s">
        <v>54</v>
      </c>
      <c r="AX1107" t="str">
        <f t="shared" si="85"/>
        <v>FOR</v>
      </c>
      <c r="AY1107" t="s">
        <v>55</v>
      </c>
    </row>
    <row r="1108" spans="1:51" hidden="1">
      <c r="A1108">
        <v>100241</v>
      </c>
      <c r="B1108" t="s">
        <v>105</v>
      </c>
      <c r="C1108" t="str">
        <f t="shared" si="86"/>
        <v>06716210635</v>
      </c>
      <c r="D1108" t="str">
        <f t="shared" si="86"/>
        <v>06716210635</v>
      </c>
      <c r="E1108" t="s">
        <v>52</v>
      </c>
      <c r="F1108">
        <v>2014</v>
      </c>
      <c r="G1108">
        <v>759</v>
      </c>
      <c r="H1108" s="1">
        <v>41782</v>
      </c>
      <c r="I1108" s="1">
        <v>41827</v>
      </c>
      <c r="J1108" s="1">
        <v>41827</v>
      </c>
      <c r="K1108" s="1">
        <v>41917</v>
      </c>
      <c r="N1108" s="5"/>
      <c r="O1108" s="2">
        <v>1851.96</v>
      </c>
      <c r="P1108">
        <v>214</v>
      </c>
      <c r="Q1108" s="2">
        <v>396319.44</v>
      </c>
      <c r="R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 s="1">
        <v>42382</v>
      </c>
      <c r="AC1108" t="s">
        <v>53</v>
      </c>
      <c r="AD1108" t="s">
        <v>53</v>
      </c>
      <c r="AK1108">
        <v>0</v>
      </c>
      <c r="AU1108" s="6">
        <v>42131</v>
      </c>
      <c r="AV1108" s="6">
        <v>42131</v>
      </c>
      <c r="AW1108" t="s">
        <v>54</v>
      </c>
      <c r="AX1108" t="str">
        <f t="shared" si="85"/>
        <v>FOR</v>
      </c>
      <c r="AY1108" t="s">
        <v>55</v>
      </c>
    </row>
    <row r="1109" spans="1:51" hidden="1">
      <c r="A1109">
        <v>100241</v>
      </c>
      <c r="B1109" t="s">
        <v>105</v>
      </c>
      <c r="C1109" t="str">
        <f t="shared" si="86"/>
        <v>06716210635</v>
      </c>
      <c r="D1109" t="str">
        <f t="shared" si="86"/>
        <v>06716210635</v>
      </c>
      <c r="E1109" t="s">
        <v>52</v>
      </c>
      <c r="F1109">
        <v>2014</v>
      </c>
      <c r="G1109">
        <v>1036</v>
      </c>
      <c r="H1109" s="1">
        <v>41831</v>
      </c>
      <c r="I1109" s="1">
        <v>41842</v>
      </c>
      <c r="J1109" s="1">
        <v>41842</v>
      </c>
      <c r="K1109" s="1">
        <v>41932</v>
      </c>
      <c r="N1109" s="5"/>
      <c r="O1109" s="2">
        <v>3509.45</v>
      </c>
      <c r="P1109">
        <v>252</v>
      </c>
      <c r="Q1109" s="2">
        <v>884381.4</v>
      </c>
      <c r="R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 s="1">
        <v>42382</v>
      </c>
      <c r="AC1109" t="s">
        <v>53</v>
      </c>
      <c r="AD1109" t="s">
        <v>53</v>
      </c>
      <c r="AK1109">
        <v>0</v>
      </c>
      <c r="AU1109" s="6">
        <v>42184</v>
      </c>
      <c r="AV1109" s="6">
        <v>42184</v>
      </c>
      <c r="AW1109" t="s">
        <v>54</v>
      </c>
      <c r="AX1109" t="str">
        <f t="shared" si="85"/>
        <v>FOR</v>
      </c>
      <c r="AY1109" t="s">
        <v>55</v>
      </c>
    </row>
    <row r="1110" spans="1:51" hidden="1">
      <c r="A1110">
        <v>100241</v>
      </c>
      <c r="B1110" t="s">
        <v>105</v>
      </c>
      <c r="C1110" t="str">
        <f t="shared" si="86"/>
        <v>06716210635</v>
      </c>
      <c r="D1110" t="str">
        <f t="shared" si="86"/>
        <v>06716210635</v>
      </c>
      <c r="E1110" t="s">
        <v>52</v>
      </c>
      <c r="F1110">
        <v>2014</v>
      </c>
      <c r="G1110">
        <v>1259</v>
      </c>
      <c r="H1110" s="1">
        <v>41887</v>
      </c>
      <c r="I1110" s="1">
        <v>41893</v>
      </c>
      <c r="J1110" s="1">
        <v>41893</v>
      </c>
      <c r="K1110" s="1">
        <v>41983</v>
      </c>
      <c r="N1110" s="5"/>
      <c r="O1110" s="2">
        <v>2134.5100000000002</v>
      </c>
      <c r="P1110">
        <v>266</v>
      </c>
      <c r="Q1110" s="2">
        <v>567779.66</v>
      </c>
      <c r="R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 s="1">
        <v>42382</v>
      </c>
      <c r="AC1110" t="s">
        <v>53</v>
      </c>
      <c r="AD1110" t="s">
        <v>53</v>
      </c>
      <c r="AK1110">
        <v>0</v>
      </c>
      <c r="AU1110" s="6">
        <v>42249</v>
      </c>
      <c r="AV1110" s="6">
        <v>42249</v>
      </c>
      <c r="AW1110" t="s">
        <v>54</v>
      </c>
      <c r="AX1110" t="str">
        <f t="shared" si="85"/>
        <v>FOR</v>
      </c>
      <c r="AY1110" t="s">
        <v>55</v>
      </c>
    </row>
    <row r="1111" spans="1:51">
      <c r="A1111">
        <v>100241</v>
      </c>
      <c r="B1111" t="s">
        <v>105</v>
      </c>
      <c r="C1111" t="str">
        <f t="shared" si="86"/>
        <v>06716210635</v>
      </c>
      <c r="D1111" t="str">
        <f t="shared" si="86"/>
        <v>06716210635</v>
      </c>
      <c r="E1111" t="s">
        <v>52</v>
      </c>
      <c r="F1111">
        <v>2014</v>
      </c>
      <c r="G1111">
        <v>1405</v>
      </c>
      <c r="H1111" s="1">
        <v>41915</v>
      </c>
      <c r="I1111" s="1">
        <v>41941</v>
      </c>
      <c r="J1111" s="1">
        <v>41941</v>
      </c>
      <c r="K1111" s="1">
        <v>42001</v>
      </c>
      <c r="L1111" s="7">
        <v>86.62</v>
      </c>
      <c r="M1111" s="5">
        <v>282</v>
      </c>
      <c r="N1111" s="7">
        <v>24426.84</v>
      </c>
      <c r="O1111">
        <v>86.62</v>
      </c>
      <c r="P1111">
        <v>282</v>
      </c>
      <c r="Q1111" s="2">
        <v>24426.84</v>
      </c>
      <c r="R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 s="1">
        <v>42382</v>
      </c>
      <c r="AC1111" t="s">
        <v>53</v>
      </c>
      <c r="AD1111" t="s">
        <v>53</v>
      </c>
      <c r="AK1111">
        <v>0</v>
      </c>
      <c r="AU1111" s="6">
        <v>42283</v>
      </c>
      <c r="AV1111" s="6">
        <v>42283</v>
      </c>
      <c r="AW1111" t="s">
        <v>54</v>
      </c>
      <c r="AX1111" t="str">
        <f t="shared" si="85"/>
        <v>FOR</v>
      </c>
      <c r="AY1111" t="s">
        <v>55</v>
      </c>
    </row>
    <row r="1112" spans="1:51">
      <c r="A1112">
        <v>100241</v>
      </c>
      <c r="B1112" t="s">
        <v>105</v>
      </c>
      <c r="C1112" t="str">
        <f t="shared" si="86"/>
        <v>06716210635</v>
      </c>
      <c r="D1112" t="str">
        <f t="shared" si="86"/>
        <v>06716210635</v>
      </c>
      <c r="E1112" t="s">
        <v>52</v>
      </c>
      <c r="F1112">
        <v>2014</v>
      </c>
      <c r="G1112">
        <v>1532</v>
      </c>
      <c r="H1112" s="1">
        <v>41936</v>
      </c>
      <c r="I1112" s="1">
        <v>41964</v>
      </c>
      <c r="J1112" s="1">
        <v>41964</v>
      </c>
      <c r="K1112" s="1">
        <v>42024</v>
      </c>
      <c r="L1112" s="7">
        <v>1657.25</v>
      </c>
      <c r="M1112" s="5">
        <v>259</v>
      </c>
      <c r="N1112" s="7">
        <v>429227.75</v>
      </c>
      <c r="O1112" s="2">
        <v>1657.25</v>
      </c>
      <c r="P1112">
        <v>259</v>
      </c>
      <c r="Q1112" s="2">
        <v>429227.75</v>
      </c>
      <c r="R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 s="1">
        <v>42382</v>
      </c>
      <c r="AC1112" t="s">
        <v>53</v>
      </c>
      <c r="AD1112" t="s">
        <v>53</v>
      </c>
      <c r="AK1112">
        <v>0</v>
      </c>
      <c r="AU1112" s="6">
        <v>42283</v>
      </c>
      <c r="AV1112" s="6">
        <v>42283</v>
      </c>
      <c r="AW1112" t="s">
        <v>54</v>
      </c>
      <c r="AX1112" t="str">
        <f t="shared" si="85"/>
        <v>FOR</v>
      </c>
      <c r="AY1112" t="s">
        <v>55</v>
      </c>
    </row>
    <row r="1113" spans="1:51">
      <c r="A1113">
        <v>100241</v>
      </c>
      <c r="B1113" t="s">
        <v>105</v>
      </c>
      <c r="C1113" t="str">
        <f t="shared" si="86"/>
        <v>06716210635</v>
      </c>
      <c r="D1113" t="str">
        <f t="shared" si="86"/>
        <v>06716210635</v>
      </c>
      <c r="E1113" t="s">
        <v>52</v>
      </c>
      <c r="F1113">
        <v>2014</v>
      </c>
      <c r="G1113">
        <v>1611</v>
      </c>
      <c r="H1113" s="1">
        <v>41950</v>
      </c>
      <c r="I1113" s="1">
        <v>41976</v>
      </c>
      <c r="J1113" s="1">
        <v>41976</v>
      </c>
      <c r="K1113" s="1">
        <v>42036</v>
      </c>
      <c r="L1113" s="7">
        <v>711.5</v>
      </c>
      <c r="M1113" s="5">
        <v>263</v>
      </c>
      <c r="N1113" s="7">
        <v>187124.5</v>
      </c>
      <c r="O1113">
        <v>711.5</v>
      </c>
      <c r="P1113">
        <v>263</v>
      </c>
      <c r="Q1113" s="2">
        <v>187124.5</v>
      </c>
      <c r="R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 s="1">
        <v>42382</v>
      </c>
      <c r="AC1113" t="s">
        <v>53</v>
      </c>
      <c r="AD1113" t="s">
        <v>53</v>
      </c>
      <c r="AK1113">
        <v>0</v>
      </c>
      <c r="AU1113" s="6">
        <v>42299</v>
      </c>
      <c r="AV1113" s="6">
        <v>42299</v>
      </c>
      <c r="AW1113" t="s">
        <v>54</v>
      </c>
      <c r="AX1113" t="str">
        <f t="shared" si="85"/>
        <v>FOR</v>
      </c>
      <c r="AY1113" t="s">
        <v>55</v>
      </c>
    </row>
    <row r="1114" spans="1:51">
      <c r="A1114">
        <v>100241</v>
      </c>
      <c r="B1114" t="s">
        <v>105</v>
      </c>
      <c r="C1114" t="str">
        <f t="shared" si="86"/>
        <v>06716210635</v>
      </c>
      <c r="D1114" t="str">
        <f t="shared" si="86"/>
        <v>06716210635</v>
      </c>
      <c r="E1114" t="s">
        <v>52</v>
      </c>
      <c r="F1114">
        <v>2014</v>
      </c>
      <c r="G1114">
        <v>1638</v>
      </c>
      <c r="H1114" s="1">
        <v>41957</v>
      </c>
      <c r="I1114" s="1">
        <v>41976</v>
      </c>
      <c r="J1114" s="1">
        <v>41976</v>
      </c>
      <c r="K1114" s="1">
        <v>42036</v>
      </c>
      <c r="L1114" s="7">
        <v>61</v>
      </c>
      <c r="M1114" s="5">
        <v>263</v>
      </c>
      <c r="N1114" s="7">
        <v>16043</v>
      </c>
      <c r="O1114">
        <v>61</v>
      </c>
      <c r="P1114">
        <v>263</v>
      </c>
      <c r="Q1114" s="2">
        <v>16043</v>
      </c>
      <c r="R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 s="1">
        <v>42382</v>
      </c>
      <c r="AC1114" t="s">
        <v>53</v>
      </c>
      <c r="AD1114" t="s">
        <v>53</v>
      </c>
      <c r="AK1114">
        <v>0</v>
      </c>
      <c r="AU1114" s="6">
        <v>42299</v>
      </c>
      <c r="AV1114" s="6">
        <v>42299</v>
      </c>
      <c r="AW1114" t="s">
        <v>54</v>
      </c>
      <c r="AX1114" t="str">
        <f t="shared" si="85"/>
        <v>FOR</v>
      </c>
      <c r="AY1114" t="s">
        <v>55</v>
      </c>
    </row>
    <row r="1115" spans="1:51" hidden="1">
      <c r="A1115">
        <v>100254</v>
      </c>
      <c r="B1115" t="s">
        <v>106</v>
      </c>
      <c r="C1115" t="str">
        <f t="shared" ref="C1115:D1134" si="87">"06849270639"</f>
        <v>06849270639</v>
      </c>
      <c r="D1115" t="str">
        <f t="shared" si="87"/>
        <v>06849270639</v>
      </c>
      <c r="E1115" t="s">
        <v>52</v>
      </c>
      <c r="F1115">
        <v>2013</v>
      </c>
      <c r="G1115">
        <v>897</v>
      </c>
      <c r="H1115" s="1">
        <v>41593</v>
      </c>
      <c r="I1115" s="1">
        <v>41599</v>
      </c>
      <c r="J1115" s="1">
        <v>41599</v>
      </c>
      <c r="K1115" s="1">
        <v>41688</v>
      </c>
      <c r="N1115" s="5"/>
      <c r="O1115">
        <v>488</v>
      </c>
      <c r="P1115">
        <v>346</v>
      </c>
      <c r="Q1115" s="2">
        <v>168848</v>
      </c>
      <c r="R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 s="1">
        <v>42382</v>
      </c>
      <c r="AC1115" t="s">
        <v>53</v>
      </c>
      <c r="AD1115" t="s">
        <v>53</v>
      </c>
      <c r="AK1115">
        <v>0</v>
      </c>
      <c r="AU1115" s="6">
        <v>42034</v>
      </c>
      <c r="AV1115" s="6">
        <v>42034</v>
      </c>
      <c r="AW1115" t="s">
        <v>54</v>
      </c>
      <c r="AX1115" t="str">
        <f t="shared" si="85"/>
        <v>FOR</v>
      </c>
      <c r="AY1115" t="s">
        <v>55</v>
      </c>
    </row>
    <row r="1116" spans="1:51" hidden="1">
      <c r="A1116">
        <v>100254</v>
      </c>
      <c r="B1116" t="s">
        <v>106</v>
      </c>
      <c r="C1116" t="str">
        <f t="shared" si="87"/>
        <v>06849270639</v>
      </c>
      <c r="D1116" t="str">
        <f t="shared" si="87"/>
        <v>06849270639</v>
      </c>
      <c r="E1116" t="s">
        <v>52</v>
      </c>
      <c r="F1116">
        <v>2013</v>
      </c>
      <c r="G1116">
        <v>898</v>
      </c>
      <c r="H1116" s="1">
        <v>41593</v>
      </c>
      <c r="I1116" s="1">
        <v>41606</v>
      </c>
      <c r="J1116" s="1">
        <v>41606</v>
      </c>
      <c r="K1116" s="1">
        <v>41696</v>
      </c>
      <c r="N1116" s="5"/>
      <c r="O1116">
        <v>195.2</v>
      </c>
      <c r="P1116">
        <v>338</v>
      </c>
      <c r="Q1116" s="2">
        <v>65977.600000000006</v>
      </c>
      <c r="R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 s="1">
        <v>42382</v>
      </c>
      <c r="AC1116" t="s">
        <v>53</v>
      </c>
      <c r="AD1116" t="s">
        <v>53</v>
      </c>
      <c r="AK1116">
        <v>0</v>
      </c>
      <c r="AU1116" s="6">
        <v>42034</v>
      </c>
      <c r="AV1116" s="6">
        <v>42034</v>
      </c>
      <c r="AW1116" t="s">
        <v>54</v>
      </c>
      <c r="AX1116" t="str">
        <f t="shared" si="85"/>
        <v>FOR</v>
      </c>
      <c r="AY1116" t="s">
        <v>55</v>
      </c>
    </row>
    <row r="1117" spans="1:51" hidden="1">
      <c r="A1117">
        <v>100254</v>
      </c>
      <c r="B1117" t="s">
        <v>106</v>
      </c>
      <c r="C1117" t="str">
        <f t="shared" si="87"/>
        <v>06849270639</v>
      </c>
      <c r="D1117" t="str">
        <f t="shared" si="87"/>
        <v>06849270639</v>
      </c>
      <c r="E1117" t="s">
        <v>52</v>
      </c>
      <c r="F1117">
        <v>2013</v>
      </c>
      <c r="G1117">
        <v>899</v>
      </c>
      <c r="H1117" s="1">
        <v>41593</v>
      </c>
      <c r="I1117" s="1">
        <v>41606</v>
      </c>
      <c r="J1117" s="1">
        <v>41606</v>
      </c>
      <c r="K1117" s="1">
        <v>41696</v>
      </c>
      <c r="N1117" s="5"/>
      <c r="O1117">
        <v>366</v>
      </c>
      <c r="P1117">
        <v>338</v>
      </c>
      <c r="Q1117" s="2">
        <v>123708</v>
      </c>
      <c r="R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 s="1">
        <v>42382</v>
      </c>
      <c r="AC1117" t="s">
        <v>53</v>
      </c>
      <c r="AD1117" t="s">
        <v>53</v>
      </c>
      <c r="AK1117">
        <v>0</v>
      </c>
      <c r="AU1117" s="6">
        <v>42034</v>
      </c>
      <c r="AV1117" s="6">
        <v>42034</v>
      </c>
      <c r="AW1117" t="s">
        <v>54</v>
      </c>
      <c r="AX1117" t="str">
        <f t="shared" si="85"/>
        <v>FOR</v>
      </c>
      <c r="AY1117" t="s">
        <v>55</v>
      </c>
    </row>
    <row r="1118" spans="1:51" hidden="1">
      <c r="A1118">
        <v>100254</v>
      </c>
      <c r="B1118" t="s">
        <v>106</v>
      </c>
      <c r="C1118" t="str">
        <f t="shared" si="87"/>
        <v>06849270639</v>
      </c>
      <c r="D1118" t="str">
        <f t="shared" si="87"/>
        <v>06849270639</v>
      </c>
      <c r="E1118" t="s">
        <v>52</v>
      </c>
      <c r="F1118">
        <v>2013</v>
      </c>
      <c r="G1118">
        <v>900</v>
      </c>
      <c r="H1118" s="1">
        <v>41593</v>
      </c>
      <c r="I1118" s="1">
        <v>41606</v>
      </c>
      <c r="J1118" s="1">
        <v>41606</v>
      </c>
      <c r="K1118" s="1">
        <v>41696</v>
      </c>
      <c r="N1118" s="5"/>
      <c r="O1118">
        <v>488</v>
      </c>
      <c r="P1118">
        <v>338</v>
      </c>
      <c r="Q1118" s="2">
        <v>164944</v>
      </c>
      <c r="R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 s="1">
        <v>42382</v>
      </c>
      <c r="AC1118" t="s">
        <v>53</v>
      </c>
      <c r="AD1118" t="s">
        <v>53</v>
      </c>
      <c r="AK1118">
        <v>0</v>
      </c>
      <c r="AU1118" s="6">
        <v>42034</v>
      </c>
      <c r="AV1118" s="6">
        <v>42034</v>
      </c>
      <c r="AW1118" t="s">
        <v>54</v>
      </c>
      <c r="AX1118" t="str">
        <f t="shared" si="85"/>
        <v>FOR</v>
      </c>
      <c r="AY1118" t="s">
        <v>55</v>
      </c>
    </row>
    <row r="1119" spans="1:51" hidden="1">
      <c r="A1119">
        <v>100254</v>
      </c>
      <c r="B1119" t="s">
        <v>106</v>
      </c>
      <c r="C1119" t="str">
        <f t="shared" si="87"/>
        <v>06849270639</v>
      </c>
      <c r="D1119" t="str">
        <f t="shared" si="87"/>
        <v>06849270639</v>
      </c>
      <c r="E1119" t="s">
        <v>52</v>
      </c>
      <c r="F1119">
        <v>2013</v>
      </c>
      <c r="G1119">
        <v>901</v>
      </c>
      <c r="H1119" s="1">
        <v>41593</v>
      </c>
      <c r="I1119" s="1">
        <v>41606</v>
      </c>
      <c r="J1119" s="1">
        <v>41606</v>
      </c>
      <c r="K1119" s="1">
        <v>41696</v>
      </c>
      <c r="N1119" s="5"/>
      <c r="O1119" s="2">
        <v>2806</v>
      </c>
      <c r="P1119">
        <v>338</v>
      </c>
      <c r="Q1119" s="2">
        <v>948428</v>
      </c>
      <c r="R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 s="1">
        <v>42382</v>
      </c>
      <c r="AC1119" t="s">
        <v>53</v>
      </c>
      <c r="AD1119" t="s">
        <v>53</v>
      </c>
      <c r="AK1119">
        <v>0</v>
      </c>
      <c r="AU1119" s="6">
        <v>42034</v>
      </c>
      <c r="AV1119" s="6">
        <v>42034</v>
      </c>
      <c r="AW1119" t="s">
        <v>54</v>
      </c>
      <c r="AX1119" t="str">
        <f t="shared" si="85"/>
        <v>FOR</v>
      </c>
      <c r="AY1119" t="s">
        <v>55</v>
      </c>
    </row>
    <row r="1120" spans="1:51" hidden="1">
      <c r="A1120">
        <v>100254</v>
      </c>
      <c r="B1120" t="s">
        <v>106</v>
      </c>
      <c r="C1120" t="str">
        <f t="shared" si="87"/>
        <v>06849270639</v>
      </c>
      <c r="D1120" t="str">
        <f t="shared" si="87"/>
        <v>06849270639</v>
      </c>
      <c r="E1120" t="s">
        <v>52</v>
      </c>
      <c r="F1120">
        <v>2013</v>
      </c>
      <c r="G1120">
        <v>902</v>
      </c>
      <c r="H1120" s="1">
        <v>41593</v>
      </c>
      <c r="I1120" s="1">
        <v>41606</v>
      </c>
      <c r="J1120" s="1">
        <v>41606</v>
      </c>
      <c r="K1120" s="1">
        <v>41696</v>
      </c>
      <c r="N1120" s="5"/>
      <c r="O1120">
        <v>292.8</v>
      </c>
      <c r="P1120">
        <v>338</v>
      </c>
      <c r="Q1120" s="2">
        <v>98966.399999999994</v>
      </c>
      <c r="R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 s="1">
        <v>42382</v>
      </c>
      <c r="AC1120" t="s">
        <v>53</v>
      </c>
      <c r="AD1120" t="s">
        <v>53</v>
      </c>
      <c r="AK1120">
        <v>0</v>
      </c>
      <c r="AU1120" s="6">
        <v>42034</v>
      </c>
      <c r="AV1120" s="6">
        <v>42034</v>
      </c>
      <c r="AW1120" t="s">
        <v>54</v>
      </c>
      <c r="AX1120" t="str">
        <f t="shared" si="85"/>
        <v>FOR</v>
      </c>
      <c r="AY1120" t="s">
        <v>55</v>
      </c>
    </row>
    <row r="1121" spans="1:51" hidden="1">
      <c r="A1121">
        <v>100254</v>
      </c>
      <c r="B1121" t="s">
        <v>106</v>
      </c>
      <c r="C1121" t="str">
        <f t="shared" si="87"/>
        <v>06849270639</v>
      </c>
      <c r="D1121" t="str">
        <f t="shared" si="87"/>
        <v>06849270639</v>
      </c>
      <c r="E1121" t="s">
        <v>52</v>
      </c>
      <c r="F1121">
        <v>2013</v>
      </c>
      <c r="G1121">
        <v>903</v>
      </c>
      <c r="H1121" s="1">
        <v>41593</v>
      </c>
      <c r="I1121" s="1">
        <v>41606</v>
      </c>
      <c r="J1121" s="1">
        <v>41606</v>
      </c>
      <c r="K1121" s="1">
        <v>41696</v>
      </c>
      <c r="N1121" s="5"/>
      <c r="O1121" s="2">
        <v>1220</v>
      </c>
      <c r="P1121">
        <v>338</v>
      </c>
      <c r="Q1121" s="2">
        <v>412360</v>
      </c>
      <c r="R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 s="1">
        <v>42382</v>
      </c>
      <c r="AC1121" t="s">
        <v>53</v>
      </c>
      <c r="AD1121" t="s">
        <v>53</v>
      </c>
      <c r="AK1121">
        <v>0</v>
      </c>
      <c r="AU1121" s="6">
        <v>42034</v>
      </c>
      <c r="AV1121" s="6">
        <v>42034</v>
      </c>
      <c r="AW1121" t="s">
        <v>54</v>
      </c>
      <c r="AX1121" t="str">
        <f t="shared" si="85"/>
        <v>FOR</v>
      </c>
      <c r="AY1121" t="s">
        <v>55</v>
      </c>
    </row>
    <row r="1122" spans="1:51" hidden="1">
      <c r="A1122">
        <v>100254</v>
      </c>
      <c r="B1122" t="s">
        <v>106</v>
      </c>
      <c r="C1122" t="str">
        <f t="shared" si="87"/>
        <v>06849270639</v>
      </c>
      <c r="D1122" t="str">
        <f t="shared" si="87"/>
        <v>06849270639</v>
      </c>
      <c r="E1122" t="s">
        <v>52</v>
      </c>
      <c r="F1122">
        <v>2013</v>
      </c>
      <c r="G1122">
        <v>1101</v>
      </c>
      <c r="H1122" s="1">
        <v>41639</v>
      </c>
      <c r="I1122" s="1">
        <v>41639</v>
      </c>
      <c r="J1122" s="1">
        <v>41639</v>
      </c>
      <c r="K1122" s="1">
        <v>41729</v>
      </c>
      <c r="N1122" s="5"/>
      <c r="O1122" s="2">
        <v>1220</v>
      </c>
      <c r="P1122">
        <v>305</v>
      </c>
      <c r="Q1122" s="2">
        <v>372100</v>
      </c>
      <c r="R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 s="1">
        <v>42382</v>
      </c>
      <c r="AC1122" t="s">
        <v>53</v>
      </c>
      <c r="AD1122" t="s">
        <v>53</v>
      </c>
      <c r="AK1122">
        <v>0</v>
      </c>
      <c r="AU1122" s="6">
        <v>42034</v>
      </c>
      <c r="AV1122" s="6">
        <v>42034</v>
      </c>
      <c r="AW1122" t="s">
        <v>54</v>
      </c>
      <c r="AX1122" t="str">
        <f t="shared" si="85"/>
        <v>FOR</v>
      </c>
      <c r="AY1122" t="s">
        <v>55</v>
      </c>
    </row>
    <row r="1123" spans="1:51" hidden="1">
      <c r="A1123">
        <v>100254</v>
      </c>
      <c r="B1123" t="s">
        <v>106</v>
      </c>
      <c r="C1123" t="str">
        <f t="shared" si="87"/>
        <v>06849270639</v>
      </c>
      <c r="D1123" t="str">
        <f t="shared" si="87"/>
        <v>06849270639</v>
      </c>
      <c r="E1123" t="s">
        <v>52</v>
      </c>
      <c r="F1123">
        <v>2013</v>
      </c>
      <c r="G1123">
        <v>1102</v>
      </c>
      <c r="H1123" s="1">
        <v>41639</v>
      </c>
      <c r="I1123" s="1">
        <v>41639</v>
      </c>
      <c r="J1123" s="1">
        <v>41639</v>
      </c>
      <c r="K1123" s="1">
        <v>41729</v>
      </c>
      <c r="N1123" s="5"/>
      <c r="O1123">
        <v>195.2</v>
      </c>
      <c r="P1123">
        <v>305</v>
      </c>
      <c r="Q1123" s="2">
        <v>59536</v>
      </c>
      <c r="R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 s="1">
        <v>42382</v>
      </c>
      <c r="AC1123" t="s">
        <v>53</v>
      </c>
      <c r="AD1123" t="s">
        <v>53</v>
      </c>
      <c r="AK1123">
        <v>0</v>
      </c>
      <c r="AU1123" s="6">
        <v>42034</v>
      </c>
      <c r="AV1123" s="6">
        <v>42034</v>
      </c>
      <c r="AW1123" t="s">
        <v>54</v>
      </c>
      <c r="AX1123" t="str">
        <f t="shared" si="85"/>
        <v>FOR</v>
      </c>
      <c r="AY1123" t="s">
        <v>55</v>
      </c>
    </row>
    <row r="1124" spans="1:51" hidden="1">
      <c r="A1124">
        <v>100254</v>
      </c>
      <c r="B1124" t="s">
        <v>106</v>
      </c>
      <c r="C1124" t="str">
        <f t="shared" si="87"/>
        <v>06849270639</v>
      </c>
      <c r="D1124" t="str">
        <f t="shared" si="87"/>
        <v>06849270639</v>
      </c>
      <c r="E1124" t="s">
        <v>52</v>
      </c>
      <c r="F1124">
        <v>2014</v>
      </c>
      <c r="G1124">
        <v>46</v>
      </c>
      <c r="H1124" s="1">
        <v>41669</v>
      </c>
      <c r="I1124" s="1">
        <v>41694</v>
      </c>
      <c r="J1124" s="1">
        <v>41694</v>
      </c>
      <c r="K1124" s="1">
        <v>41784</v>
      </c>
      <c r="N1124" s="5"/>
      <c r="O1124">
        <v>122</v>
      </c>
      <c r="P1124">
        <v>250</v>
      </c>
      <c r="Q1124" s="2">
        <v>30500</v>
      </c>
      <c r="R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 s="1">
        <v>42382</v>
      </c>
      <c r="AC1124" t="s">
        <v>53</v>
      </c>
      <c r="AD1124" t="s">
        <v>53</v>
      </c>
      <c r="AK1124">
        <v>0</v>
      </c>
      <c r="AU1124" s="6">
        <v>42034</v>
      </c>
      <c r="AV1124" s="6">
        <v>42034</v>
      </c>
      <c r="AW1124" t="s">
        <v>54</v>
      </c>
      <c r="AX1124" t="str">
        <f t="shared" si="85"/>
        <v>FOR</v>
      </c>
      <c r="AY1124" t="s">
        <v>55</v>
      </c>
    </row>
    <row r="1125" spans="1:51" hidden="1">
      <c r="A1125">
        <v>100254</v>
      </c>
      <c r="B1125" t="s">
        <v>106</v>
      </c>
      <c r="C1125" t="str">
        <f t="shared" si="87"/>
        <v>06849270639</v>
      </c>
      <c r="D1125" t="str">
        <f t="shared" si="87"/>
        <v>06849270639</v>
      </c>
      <c r="E1125" t="s">
        <v>52</v>
      </c>
      <c r="F1125">
        <v>2014</v>
      </c>
      <c r="G1125">
        <v>110</v>
      </c>
      <c r="H1125" s="1">
        <v>41697</v>
      </c>
      <c r="I1125" s="1">
        <v>41715</v>
      </c>
      <c r="J1125" s="1">
        <v>41715</v>
      </c>
      <c r="K1125" s="1">
        <v>41805</v>
      </c>
      <c r="N1125" s="5"/>
      <c r="O1125">
        <v>610</v>
      </c>
      <c r="P1125">
        <v>229</v>
      </c>
      <c r="Q1125" s="2">
        <v>139690</v>
      </c>
      <c r="R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 s="1">
        <v>42382</v>
      </c>
      <c r="AC1125" t="s">
        <v>53</v>
      </c>
      <c r="AD1125" t="s">
        <v>53</v>
      </c>
      <c r="AK1125">
        <v>0</v>
      </c>
      <c r="AU1125" s="6">
        <v>42034</v>
      </c>
      <c r="AV1125" s="6">
        <v>42034</v>
      </c>
      <c r="AW1125" t="s">
        <v>54</v>
      </c>
      <c r="AX1125" t="str">
        <f t="shared" si="85"/>
        <v>FOR</v>
      </c>
      <c r="AY1125" t="s">
        <v>55</v>
      </c>
    </row>
    <row r="1126" spans="1:51" hidden="1">
      <c r="A1126">
        <v>100254</v>
      </c>
      <c r="B1126" t="s">
        <v>106</v>
      </c>
      <c r="C1126" t="str">
        <f t="shared" si="87"/>
        <v>06849270639</v>
      </c>
      <c r="D1126" t="str">
        <f t="shared" si="87"/>
        <v>06849270639</v>
      </c>
      <c r="E1126" t="s">
        <v>52</v>
      </c>
      <c r="F1126">
        <v>2014</v>
      </c>
      <c r="G1126">
        <v>334</v>
      </c>
      <c r="H1126" s="1">
        <v>41759</v>
      </c>
      <c r="I1126" s="1">
        <v>41788</v>
      </c>
      <c r="J1126" s="1">
        <v>41788</v>
      </c>
      <c r="K1126" s="1">
        <v>41878</v>
      </c>
      <c r="N1126" s="5"/>
      <c r="O1126">
        <v>24.4</v>
      </c>
      <c r="P1126">
        <v>183</v>
      </c>
      <c r="Q1126" s="2">
        <v>4465.2</v>
      </c>
      <c r="R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 s="1">
        <v>42382</v>
      </c>
      <c r="AC1126" t="s">
        <v>53</v>
      </c>
      <c r="AD1126" t="s">
        <v>53</v>
      </c>
      <c r="AK1126">
        <v>0</v>
      </c>
      <c r="AU1126" s="6">
        <v>42061</v>
      </c>
      <c r="AV1126" s="6">
        <v>42061</v>
      </c>
      <c r="AW1126" t="s">
        <v>54</v>
      </c>
      <c r="AX1126" t="str">
        <f t="shared" si="85"/>
        <v>FOR</v>
      </c>
      <c r="AY1126" t="s">
        <v>55</v>
      </c>
    </row>
    <row r="1127" spans="1:51" hidden="1">
      <c r="A1127">
        <v>100254</v>
      </c>
      <c r="B1127" t="s">
        <v>106</v>
      </c>
      <c r="C1127" t="str">
        <f t="shared" si="87"/>
        <v>06849270639</v>
      </c>
      <c r="D1127" t="str">
        <f t="shared" si="87"/>
        <v>06849270639</v>
      </c>
      <c r="E1127" t="s">
        <v>52</v>
      </c>
      <c r="F1127">
        <v>2014</v>
      </c>
      <c r="G1127">
        <v>335</v>
      </c>
      <c r="H1127" s="1">
        <v>41759</v>
      </c>
      <c r="I1127" s="1">
        <v>41794</v>
      </c>
      <c r="J1127" s="1">
        <v>41794</v>
      </c>
      <c r="K1127" s="1">
        <v>41884</v>
      </c>
      <c r="N1127" s="5"/>
      <c r="O1127">
        <v>24.4</v>
      </c>
      <c r="P1127">
        <v>177</v>
      </c>
      <c r="Q1127" s="2">
        <v>4318.8</v>
      </c>
      <c r="R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 s="1">
        <v>42382</v>
      </c>
      <c r="AC1127" t="s">
        <v>53</v>
      </c>
      <c r="AD1127" t="s">
        <v>53</v>
      </c>
      <c r="AK1127">
        <v>0</v>
      </c>
      <c r="AU1127" s="6">
        <v>42061</v>
      </c>
      <c r="AV1127" s="6">
        <v>42061</v>
      </c>
      <c r="AW1127" t="s">
        <v>54</v>
      </c>
      <c r="AX1127" t="str">
        <f t="shared" si="85"/>
        <v>FOR</v>
      </c>
      <c r="AY1127" t="s">
        <v>55</v>
      </c>
    </row>
    <row r="1128" spans="1:51" hidden="1">
      <c r="A1128">
        <v>100254</v>
      </c>
      <c r="B1128" t="s">
        <v>106</v>
      </c>
      <c r="C1128" t="str">
        <f t="shared" si="87"/>
        <v>06849270639</v>
      </c>
      <c r="D1128" t="str">
        <f t="shared" si="87"/>
        <v>06849270639</v>
      </c>
      <c r="E1128" t="s">
        <v>52</v>
      </c>
      <c r="F1128">
        <v>2014</v>
      </c>
      <c r="G1128">
        <v>336</v>
      </c>
      <c r="H1128" s="1">
        <v>41759</v>
      </c>
      <c r="I1128" s="1">
        <v>41794</v>
      </c>
      <c r="J1128" s="1">
        <v>41794</v>
      </c>
      <c r="K1128" s="1">
        <v>41884</v>
      </c>
      <c r="N1128" s="5"/>
      <c r="O1128">
        <v>24.4</v>
      </c>
      <c r="P1128">
        <v>177</v>
      </c>
      <c r="Q1128" s="2">
        <v>4318.8</v>
      </c>
      <c r="R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 s="1">
        <v>42382</v>
      </c>
      <c r="AC1128" t="s">
        <v>53</v>
      </c>
      <c r="AD1128" t="s">
        <v>53</v>
      </c>
      <c r="AK1128">
        <v>0</v>
      </c>
      <c r="AU1128" s="6">
        <v>42061</v>
      </c>
      <c r="AV1128" s="6">
        <v>42061</v>
      </c>
      <c r="AW1128" t="s">
        <v>54</v>
      </c>
      <c r="AX1128" t="str">
        <f t="shared" si="85"/>
        <v>FOR</v>
      </c>
      <c r="AY1128" t="s">
        <v>55</v>
      </c>
    </row>
    <row r="1129" spans="1:51" hidden="1">
      <c r="A1129">
        <v>100254</v>
      </c>
      <c r="B1129" t="s">
        <v>106</v>
      </c>
      <c r="C1129" t="str">
        <f t="shared" si="87"/>
        <v>06849270639</v>
      </c>
      <c r="D1129" t="str">
        <f t="shared" si="87"/>
        <v>06849270639</v>
      </c>
      <c r="E1129" t="s">
        <v>52</v>
      </c>
      <c r="F1129">
        <v>2014</v>
      </c>
      <c r="G1129">
        <v>337</v>
      </c>
      <c r="H1129" s="1">
        <v>41759</v>
      </c>
      <c r="I1129" s="1">
        <v>41788</v>
      </c>
      <c r="J1129" s="1">
        <v>41788</v>
      </c>
      <c r="K1129" s="1">
        <v>41878</v>
      </c>
      <c r="N1129" s="5"/>
      <c r="O1129">
        <v>97.6</v>
      </c>
      <c r="P1129">
        <v>183</v>
      </c>
      <c r="Q1129" s="2">
        <v>17860.8</v>
      </c>
      <c r="R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 s="1">
        <v>42382</v>
      </c>
      <c r="AC1129" t="s">
        <v>53</v>
      </c>
      <c r="AD1129" t="s">
        <v>53</v>
      </c>
      <c r="AK1129">
        <v>0</v>
      </c>
      <c r="AU1129" s="6">
        <v>42061</v>
      </c>
      <c r="AV1129" s="6">
        <v>42061</v>
      </c>
      <c r="AW1129" t="s">
        <v>54</v>
      </c>
      <c r="AX1129" t="str">
        <f t="shared" si="85"/>
        <v>FOR</v>
      </c>
      <c r="AY1129" t="s">
        <v>55</v>
      </c>
    </row>
    <row r="1130" spans="1:51" hidden="1">
      <c r="A1130">
        <v>100254</v>
      </c>
      <c r="B1130" t="s">
        <v>106</v>
      </c>
      <c r="C1130" t="str">
        <f t="shared" si="87"/>
        <v>06849270639</v>
      </c>
      <c r="D1130" t="str">
        <f t="shared" si="87"/>
        <v>06849270639</v>
      </c>
      <c r="E1130" t="s">
        <v>52</v>
      </c>
      <c r="F1130">
        <v>2014</v>
      </c>
      <c r="G1130">
        <v>338</v>
      </c>
      <c r="H1130" s="1">
        <v>41759</v>
      </c>
      <c r="I1130" s="1">
        <v>41788</v>
      </c>
      <c r="J1130" s="1">
        <v>41788</v>
      </c>
      <c r="K1130" s="1">
        <v>41878</v>
      </c>
      <c r="N1130" s="5"/>
      <c r="O1130" s="2">
        <v>1220</v>
      </c>
      <c r="P1130">
        <v>183</v>
      </c>
      <c r="Q1130" s="2">
        <v>223260</v>
      </c>
      <c r="R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 s="1">
        <v>42382</v>
      </c>
      <c r="AC1130" t="s">
        <v>53</v>
      </c>
      <c r="AD1130" t="s">
        <v>53</v>
      </c>
      <c r="AK1130">
        <v>0</v>
      </c>
      <c r="AU1130" s="6">
        <v>42061</v>
      </c>
      <c r="AV1130" s="6">
        <v>42061</v>
      </c>
      <c r="AW1130" t="s">
        <v>54</v>
      </c>
      <c r="AX1130" t="str">
        <f t="shared" si="85"/>
        <v>FOR</v>
      </c>
      <c r="AY1130" t="s">
        <v>55</v>
      </c>
    </row>
    <row r="1131" spans="1:51" hidden="1">
      <c r="A1131">
        <v>100254</v>
      </c>
      <c r="B1131" t="s">
        <v>106</v>
      </c>
      <c r="C1131" t="str">
        <f t="shared" si="87"/>
        <v>06849270639</v>
      </c>
      <c r="D1131" t="str">
        <f t="shared" si="87"/>
        <v>06849270639</v>
      </c>
      <c r="E1131" t="s">
        <v>52</v>
      </c>
      <c r="F1131">
        <v>2014</v>
      </c>
      <c r="G1131">
        <v>475</v>
      </c>
      <c r="H1131" s="1">
        <v>41794</v>
      </c>
      <c r="I1131" s="1">
        <v>41820</v>
      </c>
      <c r="J1131" s="1">
        <v>41820</v>
      </c>
      <c r="K1131" s="1">
        <v>41910</v>
      </c>
      <c r="N1131" s="5"/>
      <c r="O1131" s="2">
        <v>1586</v>
      </c>
      <c r="P1131">
        <v>249</v>
      </c>
      <c r="Q1131" s="2">
        <v>394914</v>
      </c>
      <c r="R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 s="1">
        <v>42382</v>
      </c>
      <c r="AC1131" t="s">
        <v>53</v>
      </c>
      <c r="AD1131" t="s">
        <v>53</v>
      </c>
      <c r="AK1131">
        <v>0</v>
      </c>
      <c r="AU1131" s="6">
        <v>42159</v>
      </c>
      <c r="AV1131" s="6">
        <v>42159</v>
      </c>
      <c r="AW1131" t="s">
        <v>54</v>
      </c>
      <c r="AX1131" t="str">
        <f t="shared" si="85"/>
        <v>FOR</v>
      </c>
      <c r="AY1131" t="s">
        <v>55</v>
      </c>
    </row>
    <row r="1132" spans="1:51" hidden="1">
      <c r="A1132">
        <v>100254</v>
      </c>
      <c r="B1132" t="s">
        <v>106</v>
      </c>
      <c r="C1132" t="str">
        <f t="shared" si="87"/>
        <v>06849270639</v>
      </c>
      <c r="D1132" t="str">
        <f t="shared" si="87"/>
        <v>06849270639</v>
      </c>
      <c r="E1132" t="s">
        <v>52</v>
      </c>
      <c r="F1132">
        <v>2014</v>
      </c>
      <c r="G1132">
        <v>476</v>
      </c>
      <c r="H1132" s="1">
        <v>41794</v>
      </c>
      <c r="I1132" s="1">
        <v>41820</v>
      </c>
      <c r="J1132" s="1">
        <v>41820</v>
      </c>
      <c r="K1132" s="1">
        <v>41910</v>
      </c>
      <c r="N1132" s="5"/>
      <c r="O1132">
        <v>97.6</v>
      </c>
      <c r="P1132">
        <v>249</v>
      </c>
      <c r="Q1132" s="2">
        <v>24302.400000000001</v>
      </c>
      <c r="R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 s="1">
        <v>42382</v>
      </c>
      <c r="AC1132" t="s">
        <v>53</v>
      </c>
      <c r="AD1132" t="s">
        <v>53</v>
      </c>
      <c r="AK1132">
        <v>0</v>
      </c>
      <c r="AU1132" s="6">
        <v>42159</v>
      </c>
      <c r="AV1132" s="6">
        <v>42159</v>
      </c>
      <c r="AW1132" t="s">
        <v>54</v>
      </c>
      <c r="AX1132" t="str">
        <f t="shared" si="85"/>
        <v>FOR</v>
      </c>
      <c r="AY1132" t="s">
        <v>55</v>
      </c>
    </row>
    <row r="1133" spans="1:51" hidden="1">
      <c r="A1133">
        <v>100254</v>
      </c>
      <c r="B1133" t="s">
        <v>106</v>
      </c>
      <c r="C1133" t="str">
        <f t="shared" si="87"/>
        <v>06849270639</v>
      </c>
      <c r="D1133" t="str">
        <f t="shared" si="87"/>
        <v>06849270639</v>
      </c>
      <c r="E1133" t="s">
        <v>52</v>
      </c>
      <c r="F1133">
        <v>2014</v>
      </c>
      <c r="G1133">
        <v>477</v>
      </c>
      <c r="H1133" s="1">
        <v>41794</v>
      </c>
      <c r="I1133" s="1">
        <v>41820</v>
      </c>
      <c r="J1133" s="1">
        <v>41820</v>
      </c>
      <c r="K1133" s="1">
        <v>41910</v>
      </c>
      <c r="N1133" s="5"/>
      <c r="O1133">
        <v>122</v>
      </c>
      <c r="P1133">
        <v>249</v>
      </c>
      <c r="Q1133" s="2">
        <v>30378</v>
      </c>
      <c r="R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 s="1">
        <v>42382</v>
      </c>
      <c r="AC1133" t="s">
        <v>53</v>
      </c>
      <c r="AD1133" t="s">
        <v>53</v>
      </c>
      <c r="AK1133">
        <v>0</v>
      </c>
      <c r="AU1133" s="6">
        <v>42159</v>
      </c>
      <c r="AV1133" s="6">
        <v>42159</v>
      </c>
      <c r="AW1133" t="s">
        <v>54</v>
      </c>
      <c r="AX1133" t="str">
        <f t="shared" si="85"/>
        <v>FOR</v>
      </c>
      <c r="AY1133" t="s">
        <v>55</v>
      </c>
    </row>
    <row r="1134" spans="1:51" hidden="1">
      <c r="A1134">
        <v>100254</v>
      </c>
      <c r="B1134" t="s">
        <v>106</v>
      </c>
      <c r="C1134" t="str">
        <f t="shared" si="87"/>
        <v>06849270639</v>
      </c>
      <c r="D1134" t="str">
        <f t="shared" si="87"/>
        <v>06849270639</v>
      </c>
      <c r="E1134" t="s">
        <v>52</v>
      </c>
      <c r="F1134">
        <v>2014</v>
      </c>
      <c r="G1134">
        <v>570</v>
      </c>
      <c r="H1134" s="1">
        <v>41821</v>
      </c>
      <c r="I1134" s="1">
        <v>41851</v>
      </c>
      <c r="J1134" s="1">
        <v>41851</v>
      </c>
      <c r="K1134" s="1">
        <v>41941</v>
      </c>
      <c r="N1134" s="5"/>
      <c r="O1134" s="2">
        <v>1098</v>
      </c>
      <c r="P1134">
        <v>218</v>
      </c>
      <c r="Q1134" s="2">
        <v>239364</v>
      </c>
      <c r="R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 s="1">
        <v>42382</v>
      </c>
      <c r="AC1134" t="s">
        <v>53</v>
      </c>
      <c r="AD1134" t="s">
        <v>53</v>
      </c>
      <c r="AK1134">
        <v>0</v>
      </c>
      <c r="AU1134" s="6">
        <v>42159</v>
      </c>
      <c r="AV1134" s="6">
        <v>42159</v>
      </c>
      <c r="AW1134" t="s">
        <v>54</v>
      </c>
      <c r="AX1134" t="str">
        <f t="shared" si="85"/>
        <v>FOR</v>
      </c>
      <c r="AY1134" t="s">
        <v>55</v>
      </c>
    </row>
    <row r="1135" spans="1:51" hidden="1">
      <c r="A1135">
        <v>100254</v>
      </c>
      <c r="B1135" t="s">
        <v>106</v>
      </c>
      <c r="C1135" t="str">
        <f t="shared" ref="C1135:D1150" si="88">"06849270639"</f>
        <v>06849270639</v>
      </c>
      <c r="D1135" t="str">
        <f t="shared" si="88"/>
        <v>06849270639</v>
      </c>
      <c r="E1135" t="s">
        <v>52</v>
      </c>
      <c r="F1135">
        <v>2014</v>
      </c>
      <c r="G1135">
        <v>571</v>
      </c>
      <c r="H1135" s="1">
        <v>41821</v>
      </c>
      <c r="I1135" s="1">
        <v>41851</v>
      </c>
      <c r="J1135" s="1">
        <v>41851</v>
      </c>
      <c r="K1135" s="1">
        <v>41941</v>
      </c>
      <c r="N1135" s="5"/>
      <c r="O1135">
        <v>24.4</v>
      </c>
      <c r="P1135">
        <v>218</v>
      </c>
      <c r="Q1135" s="2">
        <v>5319.2</v>
      </c>
      <c r="R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 s="1">
        <v>42382</v>
      </c>
      <c r="AC1135" t="s">
        <v>53</v>
      </c>
      <c r="AD1135" t="s">
        <v>53</v>
      </c>
      <c r="AK1135">
        <v>0</v>
      </c>
      <c r="AU1135" s="6">
        <v>42159</v>
      </c>
      <c r="AV1135" s="6">
        <v>42159</v>
      </c>
      <c r="AW1135" t="s">
        <v>54</v>
      </c>
      <c r="AX1135" t="str">
        <f t="shared" si="85"/>
        <v>FOR</v>
      </c>
      <c r="AY1135" t="s">
        <v>55</v>
      </c>
    </row>
    <row r="1136" spans="1:51" hidden="1">
      <c r="A1136">
        <v>100254</v>
      </c>
      <c r="B1136" t="s">
        <v>106</v>
      </c>
      <c r="C1136" t="str">
        <f t="shared" si="88"/>
        <v>06849270639</v>
      </c>
      <c r="D1136" t="str">
        <f t="shared" si="88"/>
        <v>06849270639</v>
      </c>
      <c r="E1136" t="s">
        <v>52</v>
      </c>
      <c r="F1136">
        <v>2014</v>
      </c>
      <c r="G1136">
        <v>572</v>
      </c>
      <c r="H1136" s="1">
        <v>41821</v>
      </c>
      <c r="I1136" s="1">
        <v>41851</v>
      </c>
      <c r="J1136" s="1">
        <v>41851</v>
      </c>
      <c r="K1136" s="1">
        <v>41941</v>
      </c>
      <c r="N1136" s="5"/>
      <c r="O1136">
        <v>97.6</v>
      </c>
      <c r="P1136">
        <v>218</v>
      </c>
      <c r="Q1136" s="2">
        <v>21276.799999999999</v>
      </c>
      <c r="R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 s="1">
        <v>42382</v>
      </c>
      <c r="AC1136" t="s">
        <v>53</v>
      </c>
      <c r="AD1136" t="s">
        <v>53</v>
      </c>
      <c r="AK1136">
        <v>0</v>
      </c>
      <c r="AU1136" s="6">
        <v>42159</v>
      </c>
      <c r="AV1136" s="6">
        <v>42159</v>
      </c>
      <c r="AW1136" t="s">
        <v>54</v>
      </c>
      <c r="AX1136" t="str">
        <f t="shared" si="85"/>
        <v>FOR</v>
      </c>
      <c r="AY1136" t="s">
        <v>55</v>
      </c>
    </row>
    <row r="1137" spans="1:51" hidden="1">
      <c r="A1137">
        <v>100254</v>
      </c>
      <c r="B1137" t="s">
        <v>106</v>
      </c>
      <c r="C1137" t="str">
        <f t="shared" si="88"/>
        <v>06849270639</v>
      </c>
      <c r="D1137" t="str">
        <f t="shared" si="88"/>
        <v>06849270639</v>
      </c>
      <c r="E1137" t="s">
        <v>52</v>
      </c>
      <c r="F1137">
        <v>2014</v>
      </c>
      <c r="G1137">
        <v>706</v>
      </c>
      <c r="H1137" s="1">
        <v>41855</v>
      </c>
      <c r="I1137" s="1">
        <v>41876</v>
      </c>
      <c r="J1137" s="1">
        <v>41876</v>
      </c>
      <c r="K1137" s="1">
        <v>41966</v>
      </c>
      <c r="N1137" s="5"/>
      <c r="O1137" s="2">
        <v>1098</v>
      </c>
      <c r="P1137">
        <v>225</v>
      </c>
      <c r="Q1137" s="2">
        <v>247050</v>
      </c>
      <c r="R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 s="1">
        <v>42382</v>
      </c>
      <c r="AC1137" t="s">
        <v>53</v>
      </c>
      <c r="AD1137" t="s">
        <v>53</v>
      </c>
      <c r="AK1137">
        <v>0</v>
      </c>
      <c r="AU1137" s="6">
        <v>42191</v>
      </c>
      <c r="AV1137" s="6">
        <v>42191</v>
      </c>
      <c r="AW1137" t="s">
        <v>54</v>
      </c>
      <c r="AX1137" t="str">
        <f t="shared" si="85"/>
        <v>FOR</v>
      </c>
      <c r="AY1137" t="s">
        <v>55</v>
      </c>
    </row>
    <row r="1138" spans="1:51" hidden="1">
      <c r="A1138">
        <v>100254</v>
      </c>
      <c r="B1138" t="s">
        <v>106</v>
      </c>
      <c r="C1138" t="str">
        <f t="shared" si="88"/>
        <v>06849270639</v>
      </c>
      <c r="D1138" t="str">
        <f t="shared" si="88"/>
        <v>06849270639</v>
      </c>
      <c r="E1138" t="s">
        <v>52</v>
      </c>
      <c r="F1138">
        <v>2014</v>
      </c>
      <c r="G1138">
        <v>707</v>
      </c>
      <c r="H1138" s="1">
        <v>41855</v>
      </c>
      <c r="I1138" s="1">
        <v>41876</v>
      </c>
      <c r="J1138" s="1">
        <v>41876</v>
      </c>
      <c r="K1138" s="1">
        <v>41966</v>
      </c>
      <c r="N1138" s="5"/>
      <c r="O1138">
        <v>97.6</v>
      </c>
      <c r="P1138">
        <v>225</v>
      </c>
      <c r="Q1138" s="2">
        <v>21960</v>
      </c>
      <c r="R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 s="1">
        <v>42382</v>
      </c>
      <c r="AC1138" t="s">
        <v>53</v>
      </c>
      <c r="AD1138" t="s">
        <v>53</v>
      </c>
      <c r="AK1138">
        <v>0</v>
      </c>
      <c r="AU1138" s="6">
        <v>42191</v>
      </c>
      <c r="AV1138" s="6">
        <v>42191</v>
      </c>
      <c r="AW1138" t="s">
        <v>54</v>
      </c>
      <c r="AX1138" t="str">
        <f t="shared" si="85"/>
        <v>FOR</v>
      </c>
      <c r="AY1138" t="s">
        <v>55</v>
      </c>
    </row>
    <row r="1139" spans="1:51" hidden="1">
      <c r="A1139">
        <v>100254</v>
      </c>
      <c r="B1139" t="s">
        <v>106</v>
      </c>
      <c r="C1139" t="str">
        <f t="shared" si="88"/>
        <v>06849270639</v>
      </c>
      <c r="D1139" t="str">
        <f t="shared" si="88"/>
        <v>06849270639</v>
      </c>
      <c r="E1139" t="s">
        <v>52</v>
      </c>
      <c r="F1139">
        <v>2014</v>
      </c>
      <c r="G1139">
        <v>708</v>
      </c>
      <c r="H1139" s="1">
        <v>41855</v>
      </c>
      <c r="I1139" s="1">
        <v>41876</v>
      </c>
      <c r="J1139" s="1">
        <v>41876</v>
      </c>
      <c r="K1139" s="1">
        <v>41966</v>
      </c>
      <c r="N1139" s="5"/>
      <c r="O1139">
        <v>976</v>
      </c>
      <c r="P1139">
        <v>225</v>
      </c>
      <c r="Q1139" s="2">
        <v>219600</v>
      </c>
      <c r="R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 s="1">
        <v>42382</v>
      </c>
      <c r="AC1139" t="s">
        <v>53</v>
      </c>
      <c r="AD1139" t="s">
        <v>53</v>
      </c>
      <c r="AK1139">
        <v>0</v>
      </c>
      <c r="AU1139" s="6">
        <v>42191</v>
      </c>
      <c r="AV1139" s="6">
        <v>42191</v>
      </c>
      <c r="AW1139" t="s">
        <v>54</v>
      </c>
      <c r="AX1139" t="str">
        <f t="shared" si="85"/>
        <v>FOR</v>
      </c>
      <c r="AY1139" t="s">
        <v>55</v>
      </c>
    </row>
    <row r="1140" spans="1:51" hidden="1">
      <c r="A1140">
        <v>100254</v>
      </c>
      <c r="B1140" t="s">
        <v>106</v>
      </c>
      <c r="C1140" t="str">
        <f t="shared" si="88"/>
        <v>06849270639</v>
      </c>
      <c r="D1140" t="str">
        <f t="shared" si="88"/>
        <v>06849270639</v>
      </c>
      <c r="E1140" t="s">
        <v>52</v>
      </c>
      <c r="F1140">
        <v>2014</v>
      </c>
      <c r="G1140">
        <v>809</v>
      </c>
      <c r="H1140" s="1">
        <v>41891</v>
      </c>
      <c r="I1140" s="1">
        <v>41935</v>
      </c>
      <c r="J1140" s="1">
        <v>41935</v>
      </c>
      <c r="K1140" s="1">
        <v>41995</v>
      </c>
      <c r="N1140" s="5"/>
      <c r="O1140" s="2">
        <v>1098</v>
      </c>
      <c r="P1140">
        <v>254</v>
      </c>
      <c r="Q1140" s="2">
        <v>278892</v>
      </c>
      <c r="R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 s="1">
        <v>42382</v>
      </c>
      <c r="AC1140" t="s">
        <v>53</v>
      </c>
      <c r="AD1140" t="s">
        <v>53</v>
      </c>
      <c r="AK1140">
        <v>0</v>
      </c>
      <c r="AU1140" s="6">
        <v>42249</v>
      </c>
      <c r="AV1140" s="6">
        <v>42249</v>
      </c>
      <c r="AW1140" t="s">
        <v>54</v>
      </c>
      <c r="AX1140" t="str">
        <f t="shared" si="85"/>
        <v>FOR</v>
      </c>
      <c r="AY1140" t="s">
        <v>55</v>
      </c>
    </row>
    <row r="1141" spans="1:51" hidden="1">
      <c r="A1141">
        <v>100254</v>
      </c>
      <c r="B1141" t="s">
        <v>106</v>
      </c>
      <c r="C1141" t="str">
        <f t="shared" si="88"/>
        <v>06849270639</v>
      </c>
      <c r="D1141" t="str">
        <f t="shared" si="88"/>
        <v>06849270639</v>
      </c>
      <c r="E1141" t="s">
        <v>52</v>
      </c>
      <c r="F1141">
        <v>2014</v>
      </c>
      <c r="G1141">
        <v>810</v>
      </c>
      <c r="H1141" s="1">
        <v>41891</v>
      </c>
      <c r="I1141" s="1">
        <v>41935</v>
      </c>
      <c r="J1141" s="1">
        <v>41935</v>
      </c>
      <c r="K1141" s="1">
        <v>41995</v>
      </c>
      <c r="N1141" s="5"/>
      <c r="O1141">
        <v>732</v>
      </c>
      <c r="P1141">
        <v>254</v>
      </c>
      <c r="Q1141" s="2">
        <v>185928</v>
      </c>
      <c r="R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 s="1">
        <v>42382</v>
      </c>
      <c r="AC1141" t="s">
        <v>53</v>
      </c>
      <c r="AD1141" t="s">
        <v>53</v>
      </c>
      <c r="AK1141">
        <v>0</v>
      </c>
      <c r="AU1141" s="6">
        <v>42249</v>
      </c>
      <c r="AV1141" s="6">
        <v>42249</v>
      </c>
      <c r="AW1141" t="s">
        <v>54</v>
      </c>
      <c r="AX1141" t="str">
        <f t="shared" si="85"/>
        <v>FOR</v>
      </c>
      <c r="AY1141" t="s">
        <v>55</v>
      </c>
    </row>
    <row r="1142" spans="1:51" hidden="1">
      <c r="A1142">
        <v>100254</v>
      </c>
      <c r="B1142" t="s">
        <v>106</v>
      </c>
      <c r="C1142" t="str">
        <f t="shared" si="88"/>
        <v>06849270639</v>
      </c>
      <c r="D1142" t="str">
        <f t="shared" si="88"/>
        <v>06849270639</v>
      </c>
      <c r="E1142" t="s">
        <v>52</v>
      </c>
      <c r="F1142">
        <v>2014</v>
      </c>
      <c r="G1142">
        <v>811</v>
      </c>
      <c r="H1142" s="1">
        <v>41891</v>
      </c>
      <c r="I1142" s="1">
        <v>41935</v>
      </c>
      <c r="J1142" s="1">
        <v>41935</v>
      </c>
      <c r="K1142" s="1">
        <v>41995</v>
      </c>
      <c r="N1142" s="5"/>
      <c r="O1142">
        <v>97.6</v>
      </c>
      <c r="P1142">
        <v>254</v>
      </c>
      <c r="Q1142" s="2">
        <v>24790.400000000001</v>
      </c>
      <c r="R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 s="1">
        <v>42382</v>
      </c>
      <c r="AC1142" t="s">
        <v>53</v>
      </c>
      <c r="AD1142" t="s">
        <v>53</v>
      </c>
      <c r="AK1142">
        <v>0</v>
      </c>
      <c r="AU1142" s="6">
        <v>42249</v>
      </c>
      <c r="AV1142" s="6">
        <v>42249</v>
      </c>
      <c r="AW1142" t="s">
        <v>54</v>
      </c>
      <c r="AX1142" t="str">
        <f t="shared" si="85"/>
        <v>FOR</v>
      </c>
      <c r="AY1142" t="s">
        <v>55</v>
      </c>
    </row>
    <row r="1143" spans="1:51" hidden="1">
      <c r="A1143">
        <v>100254</v>
      </c>
      <c r="B1143" t="s">
        <v>106</v>
      </c>
      <c r="C1143" t="str">
        <f t="shared" si="88"/>
        <v>06849270639</v>
      </c>
      <c r="D1143" t="str">
        <f t="shared" si="88"/>
        <v>06849270639</v>
      </c>
      <c r="E1143" t="s">
        <v>52</v>
      </c>
      <c r="F1143">
        <v>2014</v>
      </c>
      <c r="G1143">
        <v>812</v>
      </c>
      <c r="H1143" s="1">
        <v>41891</v>
      </c>
      <c r="I1143" s="1">
        <v>41939</v>
      </c>
      <c r="J1143" s="1">
        <v>41939</v>
      </c>
      <c r="K1143" s="1">
        <v>41999</v>
      </c>
      <c r="N1143" s="5"/>
      <c r="O1143">
        <v>97.6</v>
      </c>
      <c r="P1143">
        <v>250</v>
      </c>
      <c r="Q1143" s="2">
        <v>24400</v>
      </c>
      <c r="R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 s="1">
        <v>42382</v>
      </c>
      <c r="AC1143" t="s">
        <v>53</v>
      </c>
      <c r="AD1143" t="s">
        <v>53</v>
      </c>
      <c r="AK1143">
        <v>0</v>
      </c>
      <c r="AU1143" s="6">
        <v>42249</v>
      </c>
      <c r="AV1143" s="6">
        <v>42249</v>
      </c>
      <c r="AW1143" t="s">
        <v>54</v>
      </c>
      <c r="AX1143" t="str">
        <f t="shared" si="85"/>
        <v>FOR</v>
      </c>
      <c r="AY1143" t="s">
        <v>55</v>
      </c>
    </row>
    <row r="1144" spans="1:51" hidden="1">
      <c r="A1144">
        <v>100254</v>
      </c>
      <c r="B1144" t="s">
        <v>106</v>
      </c>
      <c r="C1144" t="str">
        <f t="shared" si="88"/>
        <v>06849270639</v>
      </c>
      <c r="D1144" t="str">
        <f t="shared" si="88"/>
        <v>06849270639</v>
      </c>
      <c r="E1144" t="s">
        <v>52</v>
      </c>
      <c r="F1144">
        <v>2014</v>
      </c>
      <c r="G1144">
        <v>813</v>
      </c>
      <c r="H1144" s="1">
        <v>41891</v>
      </c>
      <c r="I1144" s="1">
        <v>41939</v>
      </c>
      <c r="J1144" s="1">
        <v>41939</v>
      </c>
      <c r="K1144" s="1">
        <v>41999</v>
      </c>
      <c r="N1144" s="5"/>
      <c r="O1144">
        <v>97.6</v>
      </c>
      <c r="P1144">
        <v>250</v>
      </c>
      <c r="Q1144" s="2">
        <v>24400</v>
      </c>
      <c r="R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 s="1">
        <v>42382</v>
      </c>
      <c r="AC1144" t="s">
        <v>53</v>
      </c>
      <c r="AD1144" t="s">
        <v>53</v>
      </c>
      <c r="AK1144">
        <v>0</v>
      </c>
      <c r="AU1144" s="6">
        <v>42249</v>
      </c>
      <c r="AV1144" s="6">
        <v>42249</v>
      </c>
      <c r="AW1144" t="s">
        <v>54</v>
      </c>
      <c r="AX1144" t="str">
        <f t="shared" si="85"/>
        <v>FOR</v>
      </c>
      <c r="AY1144" t="s">
        <v>55</v>
      </c>
    </row>
    <row r="1145" spans="1:51" hidden="1">
      <c r="A1145">
        <v>100254</v>
      </c>
      <c r="B1145" t="s">
        <v>106</v>
      </c>
      <c r="C1145" t="str">
        <f t="shared" si="88"/>
        <v>06849270639</v>
      </c>
      <c r="D1145" t="str">
        <f t="shared" si="88"/>
        <v>06849270639</v>
      </c>
      <c r="E1145" t="s">
        <v>52</v>
      </c>
      <c r="F1145">
        <v>2014</v>
      </c>
      <c r="G1145">
        <v>814</v>
      </c>
      <c r="H1145" s="1">
        <v>41891</v>
      </c>
      <c r="I1145" s="1">
        <v>41939</v>
      </c>
      <c r="J1145" s="1">
        <v>41939</v>
      </c>
      <c r="K1145" s="1">
        <v>41999</v>
      </c>
      <c r="N1145" s="5"/>
      <c r="O1145">
        <v>122</v>
      </c>
      <c r="P1145">
        <v>250</v>
      </c>
      <c r="Q1145" s="2">
        <v>30500</v>
      </c>
      <c r="R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 s="1">
        <v>42382</v>
      </c>
      <c r="AC1145" t="s">
        <v>53</v>
      </c>
      <c r="AD1145" t="s">
        <v>53</v>
      </c>
      <c r="AK1145">
        <v>0</v>
      </c>
      <c r="AU1145" s="6">
        <v>42249</v>
      </c>
      <c r="AV1145" s="6">
        <v>42249</v>
      </c>
      <c r="AW1145" t="s">
        <v>54</v>
      </c>
      <c r="AX1145" t="str">
        <f t="shared" si="85"/>
        <v>FOR</v>
      </c>
      <c r="AY1145" t="s">
        <v>55</v>
      </c>
    </row>
    <row r="1146" spans="1:51" hidden="1">
      <c r="A1146">
        <v>100254</v>
      </c>
      <c r="B1146" t="s">
        <v>106</v>
      </c>
      <c r="C1146" t="str">
        <f t="shared" si="88"/>
        <v>06849270639</v>
      </c>
      <c r="D1146" t="str">
        <f t="shared" si="88"/>
        <v>06849270639</v>
      </c>
      <c r="E1146" t="s">
        <v>52</v>
      </c>
      <c r="F1146">
        <v>2014</v>
      </c>
      <c r="G1146">
        <v>1039</v>
      </c>
      <c r="H1146" s="1">
        <v>41943</v>
      </c>
      <c r="I1146" s="1">
        <v>41962</v>
      </c>
      <c r="J1146" s="1">
        <v>41962</v>
      </c>
      <c r="K1146" s="1">
        <v>42022</v>
      </c>
      <c r="N1146" s="5"/>
      <c r="O1146" s="2">
        <v>1952</v>
      </c>
      <c r="P1146">
        <v>255</v>
      </c>
      <c r="Q1146" s="2">
        <v>497760</v>
      </c>
      <c r="R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 s="1">
        <v>42382</v>
      </c>
      <c r="AC1146" t="s">
        <v>53</v>
      </c>
      <c r="AD1146" t="s">
        <v>53</v>
      </c>
      <c r="AK1146">
        <v>0</v>
      </c>
      <c r="AU1146" s="6">
        <v>42277</v>
      </c>
      <c r="AV1146" s="6">
        <v>42277</v>
      </c>
      <c r="AW1146" t="s">
        <v>54</v>
      </c>
      <c r="AX1146" t="str">
        <f t="shared" si="85"/>
        <v>FOR</v>
      </c>
      <c r="AY1146" t="s">
        <v>55</v>
      </c>
    </row>
    <row r="1147" spans="1:51" hidden="1">
      <c r="A1147">
        <v>100254</v>
      </c>
      <c r="B1147" t="s">
        <v>106</v>
      </c>
      <c r="C1147" t="str">
        <f t="shared" si="88"/>
        <v>06849270639</v>
      </c>
      <c r="D1147" t="str">
        <f t="shared" si="88"/>
        <v>06849270639</v>
      </c>
      <c r="E1147" t="s">
        <v>52</v>
      </c>
      <c r="F1147">
        <v>2014</v>
      </c>
      <c r="G1147">
        <v>1040</v>
      </c>
      <c r="H1147" s="1">
        <v>41943</v>
      </c>
      <c r="I1147" s="1">
        <v>41964</v>
      </c>
      <c r="J1147" s="1">
        <v>41964</v>
      </c>
      <c r="K1147" s="1">
        <v>42024</v>
      </c>
      <c r="N1147" s="5"/>
      <c r="O1147">
        <v>146.4</v>
      </c>
      <c r="P1147">
        <v>253</v>
      </c>
      <c r="Q1147" s="2">
        <v>37039.199999999997</v>
      </c>
      <c r="R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 s="1">
        <v>42382</v>
      </c>
      <c r="AC1147" t="s">
        <v>53</v>
      </c>
      <c r="AD1147" t="s">
        <v>53</v>
      </c>
      <c r="AK1147">
        <v>0</v>
      </c>
      <c r="AU1147" s="6">
        <v>42277</v>
      </c>
      <c r="AV1147" s="6">
        <v>42277</v>
      </c>
      <c r="AW1147" t="s">
        <v>54</v>
      </c>
      <c r="AX1147" t="str">
        <f t="shared" si="85"/>
        <v>FOR</v>
      </c>
      <c r="AY1147" t="s">
        <v>55</v>
      </c>
    </row>
    <row r="1148" spans="1:51">
      <c r="A1148">
        <v>100254</v>
      </c>
      <c r="B1148" t="s">
        <v>106</v>
      </c>
      <c r="C1148" t="str">
        <f t="shared" si="88"/>
        <v>06849270639</v>
      </c>
      <c r="D1148" t="str">
        <f t="shared" si="88"/>
        <v>06849270639</v>
      </c>
      <c r="E1148" t="s">
        <v>52</v>
      </c>
      <c r="F1148">
        <v>2014</v>
      </c>
      <c r="G1148">
        <v>1154</v>
      </c>
      <c r="H1148" s="1">
        <v>41983</v>
      </c>
      <c r="I1148" s="1">
        <v>42002</v>
      </c>
      <c r="J1148" s="1">
        <v>42002</v>
      </c>
      <c r="K1148" s="1">
        <v>42062</v>
      </c>
      <c r="L1148" s="7">
        <v>1220</v>
      </c>
      <c r="M1148" s="5">
        <v>238</v>
      </c>
      <c r="N1148" s="7">
        <v>290360</v>
      </c>
      <c r="O1148" s="2">
        <v>1220</v>
      </c>
      <c r="P1148">
        <v>238</v>
      </c>
      <c r="Q1148" s="2">
        <v>290360</v>
      </c>
      <c r="R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 s="1">
        <v>42382</v>
      </c>
      <c r="AC1148" t="s">
        <v>53</v>
      </c>
      <c r="AD1148" t="s">
        <v>53</v>
      </c>
      <c r="AK1148">
        <v>0</v>
      </c>
      <c r="AU1148" s="6">
        <v>42300</v>
      </c>
      <c r="AV1148" s="6">
        <v>42300</v>
      </c>
      <c r="AW1148" t="s">
        <v>54</v>
      </c>
      <c r="AX1148" t="str">
        <f t="shared" si="85"/>
        <v>FOR</v>
      </c>
      <c r="AY1148" t="s">
        <v>55</v>
      </c>
    </row>
    <row r="1149" spans="1:51">
      <c r="A1149">
        <v>100254</v>
      </c>
      <c r="B1149" t="s">
        <v>106</v>
      </c>
      <c r="C1149" t="str">
        <f t="shared" si="88"/>
        <v>06849270639</v>
      </c>
      <c r="D1149" t="str">
        <f t="shared" si="88"/>
        <v>06849270639</v>
      </c>
      <c r="E1149" t="s">
        <v>52</v>
      </c>
      <c r="F1149">
        <v>2014</v>
      </c>
      <c r="G1149">
        <v>1155</v>
      </c>
      <c r="H1149" s="1">
        <v>41983</v>
      </c>
      <c r="I1149" s="1">
        <v>42002</v>
      </c>
      <c r="J1149" s="1">
        <v>42002</v>
      </c>
      <c r="K1149" s="1">
        <v>42062</v>
      </c>
      <c r="L1149" s="7">
        <v>122</v>
      </c>
      <c r="M1149" s="5">
        <v>238</v>
      </c>
      <c r="N1149" s="7">
        <v>29036</v>
      </c>
      <c r="O1149">
        <v>122</v>
      </c>
      <c r="P1149">
        <v>238</v>
      </c>
      <c r="Q1149" s="2">
        <v>29036</v>
      </c>
      <c r="R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 s="1">
        <v>42382</v>
      </c>
      <c r="AC1149" t="s">
        <v>53</v>
      </c>
      <c r="AD1149" t="s">
        <v>53</v>
      </c>
      <c r="AK1149">
        <v>0</v>
      </c>
      <c r="AU1149" s="6">
        <v>42300</v>
      </c>
      <c r="AV1149" s="6">
        <v>42300</v>
      </c>
      <c r="AW1149" t="s">
        <v>54</v>
      </c>
      <c r="AX1149" t="str">
        <f t="shared" si="85"/>
        <v>FOR</v>
      </c>
      <c r="AY1149" t="s">
        <v>55</v>
      </c>
    </row>
    <row r="1150" spans="1:51">
      <c r="A1150">
        <v>100254</v>
      </c>
      <c r="B1150" t="s">
        <v>106</v>
      </c>
      <c r="C1150" t="str">
        <f t="shared" si="88"/>
        <v>06849270639</v>
      </c>
      <c r="D1150" t="str">
        <f t="shared" si="88"/>
        <v>06849270639</v>
      </c>
      <c r="E1150" t="s">
        <v>52</v>
      </c>
      <c r="F1150">
        <v>2015</v>
      </c>
      <c r="G1150">
        <v>51</v>
      </c>
      <c r="H1150" s="1">
        <v>42007</v>
      </c>
      <c r="I1150" s="1">
        <v>42052</v>
      </c>
      <c r="J1150" s="1">
        <v>42052</v>
      </c>
      <c r="K1150" s="1">
        <v>42112</v>
      </c>
      <c r="L1150" s="7">
        <v>500</v>
      </c>
      <c r="M1150" s="5">
        <v>228</v>
      </c>
      <c r="N1150" s="7">
        <v>114000</v>
      </c>
      <c r="O1150">
        <v>500</v>
      </c>
      <c r="P1150">
        <v>228</v>
      </c>
      <c r="Q1150" s="2">
        <v>114000</v>
      </c>
      <c r="R1150">
        <v>110</v>
      </c>
      <c r="V1150">
        <v>0</v>
      </c>
      <c r="W1150">
        <v>0</v>
      </c>
      <c r="X1150">
        <v>0</v>
      </c>
      <c r="Y1150">
        <v>0</v>
      </c>
      <c r="Z1150">
        <v>610</v>
      </c>
      <c r="AA1150">
        <v>610</v>
      </c>
      <c r="AB1150" s="1">
        <v>42382</v>
      </c>
      <c r="AC1150" t="s">
        <v>53</v>
      </c>
      <c r="AD1150" t="s">
        <v>53</v>
      </c>
      <c r="AK1150">
        <v>110</v>
      </c>
      <c r="AU1150" s="6">
        <v>42340</v>
      </c>
      <c r="AV1150" s="6">
        <v>42340</v>
      </c>
      <c r="AW1150" t="s">
        <v>54</v>
      </c>
      <c r="AX1150" t="str">
        <f t="shared" si="85"/>
        <v>FOR</v>
      </c>
      <c r="AY1150" t="s">
        <v>55</v>
      </c>
    </row>
    <row r="1151" spans="1:51" hidden="1">
      <c r="A1151">
        <v>100261</v>
      </c>
      <c r="B1151" t="s">
        <v>107</v>
      </c>
      <c r="C1151" t="str">
        <f t="shared" ref="C1151:D1160" si="89">"05506871002"</f>
        <v>05506871002</v>
      </c>
      <c r="D1151" t="str">
        <f t="shared" si="89"/>
        <v>05506871002</v>
      </c>
      <c r="E1151" t="s">
        <v>52</v>
      </c>
      <c r="F1151">
        <v>2014</v>
      </c>
      <c r="G1151">
        <v>11400206</v>
      </c>
      <c r="H1151" s="1">
        <v>41662</v>
      </c>
      <c r="I1151" s="1">
        <v>41691</v>
      </c>
      <c r="J1151" s="1">
        <v>41691</v>
      </c>
      <c r="K1151" s="1">
        <v>41781</v>
      </c>
      <c r="N1151" s="5"/>
      <c r="O1151" s="2">
        <v>21960</v>
      </c>
      <c r="P1151">
        <v>295</v>
      </c>
      <c r="Q1151" s="2">
        <v>6478200</v>
      </c>
      <c r="R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 s="1">
        <v>42382</v>
      </c>
      <c r="AC1151" t="s">
        <v>53</v>
      </c>
      <c r="AD1151" t="s">
        <v>53</v>
      </c>
      <c r="AK1151">
        <v>0</v>
      </c>
      <c r="AU1151" s="6">
        <v>42076</v>
      </c>
      <c r="AV1151" s="6">
        <v>42076</v>
      </c>
      <c r="AW1151" t="s">
        <v>54</v>
      </c>
      <c r="AX1151" t="str">
        <f t="shared" si="85"/>
        <v>FOR</v>
      </c>
      <c r="AY1151" t="s">
        <v>55</v>
      </c>
    </row>
    <row r="1152" spans="1:51" hidden="1">
      <c r="A1152">
        <v>100261</v>
      </c>
      <c r="B1152" t="s">
        <v>107</v>
      </c>
      <c r="C1152" t="str">
        <f t="shared" si="89"/>
        <v>05506871002</v>
      </c>
      <c r="D1152" t="str">
        <f t="shared" si="89"/>
        <v>05506871002</v>
      </c>
      <c r="E1152" t="s">
        <v>52</v>
      </c>
      <c r="F1152">
        <v>2014</v>
      </c>
      <c r="G1152">
        <v>11400701</v>
      </c>
      <c r="H1152" s="1">
        <v>41689</v>
      </c>
      <c r="I1152" s="1">
        <v>41719</v>
      </c>
      <c r="J1152" s="1">
        <v>41719</v>
      </c>
      <c r="K1152" s="1">
        <v>41809</v>
      </c>
      <c r="N1152" s="5"/>
      <c r="O1152">
        <v>988.26</v>
      </c>
      <c r="P1152">
        <v>267</v>
      </c>
      <c r="Q1152" s="2">
        <v>263865.42</v>
      </c>
      <c r="R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 s="1">
        <v>42382</v>
      </c>
      <c r="AC1152" t="s">
        <v>53</v>
      </c>
      <c r="AD1152" t="s">
        <v>53</v>
      </c>
      <c r="AK1152">
        <v>0</v>
      </c>
      <c r="AU1152" s="6">
        <v>42076</v>
      </c>
      <c r="AV1152" s="6">
        <v>42076</v>
      </c>
      <c r="AW1152" t="s">
        <v>54</v>
      </c>
      <c r="AX1152" t="str">
        <f t="shared" si="85"/>
        <v>FOR</v>
      </c>
      <c r="AY1152" t="s">
        <v>55</v>
      </c>
    </row>
    <row r="1153" spans="1:51" hidden="1">
      <c r="A1153">
        <v>100261</v>
      </c>
      <c r="B1153" t="s">
        <v>107</v>
      </c>
      <c r="C1153" t="str">
        <f t="shared" si="89"/>
        <v>05506871002</v>
      </c>
      <c r="D1153" t="str">
        <f t="shared" si="89"/>
        <v>05506871002</v>
      </c>
      <c r="E1153" t="s">
        <v>52</v>
      </c>
      <c r="F1153">
        <v>2014</v>
      </c>
      <c r="G1153">
        <v>11401153</v>
      </c>
      <c r="H1153" s="1">
        <v>41709</v>
      </c>
      <c r="I1153" s="1">
        <v>41719</v>
      </c>
      <c r="J1153" s="1">
        <v>41719</v>
      </c>
      <c r="K1153" s="1">
        <v>41809</v>
      </c>
      <c r="N1153" s="5"/>
      <c r="O1153">
        <v>295.91000000000003</v>
      </c>
      <c r="P1153">
        <v>267</v>
      </c>
      <c r="Q1153" s="2">
        <v>79007.97</v>
      </c>
      <c r="R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 s="1">
        <v>42382</v>
      </c>
      <c r="AC1153" t="s">
        <v>53</v>
      </c>
      <c r="AD1153" t="s">
        <v>53</v>
      </c>
      <c r="AK1153">
        <v>0</v>
      </c>
      <c r="AU1153" s="6">
        <v>42076</v>
      </c>
      <c r="AV1153" s="6">
        <v>42076</v>
      </c>
      <c r="AW1153" t="s">
        <v>54</v>
      </c>
      <c r="AX1153" t="str">
        <f t="shared" si="85"/>
        <v>FOR</v>
      </c>
      <c r="AY1153" t="s">
        <v>55</v>
      </c>
    </row>
    <row r="1154" spans="1:51" hidden="1">
      <c r="A1154">
        <v>100261</v>
      </c>
      <c r="B1154" t="s">
        <v>107</v>
      </c>
      <c r="C1154" t="str">
        <f t="shared" si="89"/>
        <v>05506871002</v>
      </c>
      <c r="D1154" t="str">
        <f t="shared" si="89"/>
        <v>05506871002</v>
      </c>
      <c r="E1154" t="s">
        <v>52</v>
      </c>
      <c r="F1154">
        <v>2014</v>
      </c>
      <c r="G1154">
        <v>11402402</v>
      </c>
      <c r="H1154" s="1">
        <v>41779</v>
      </c>
      <c r="I1154" s="1">
        <v>41789</v>
      </c>
      <c r="J1154" s="1">
        <v>41789</v>
      </c>
      <c r="K1154" s="1">
        <v>41879</v>
      </c>
      <c r="N1154" s="5"/>
      <c r="O1154" s="2">
        <v>1531.71</v>
      </c>
      <c r="P1154">
        <v>217</v>
      </c>
      <c r="Q1154" s="2">
        <v>332381.07</v>
      </c>
      <c r="R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 s="1">
        <v>42382</v>
      </c>
      <c r="AC1154" t="s">
        <v>53</v>
      </c>
      <c r="AD1154" t="s">
        <v>53</v>
      </c>
      <c r="AK1154">
        <v>0</v>
      </c>
      <c r="AU1154" s="6">
        <v>42096</v>
      </c>
      <c r="AV1154" s="6">
        <v>42096</v>
      </c>
      <c r="AW1154" t="s">
        <v>54</v>
      </c>
      <c r="AX1154" t="str">
        <f t="shared" si="85"/>
        <v>FOR</v>
      </c>
      <c r="AY1154" t="s">
        <v>55</v>
      </c>
    </row>
    <row r="1155" spans="1:51" hidden="1">
      <c r="A1155">
        <v>100261</v>
      </c>
      <c r="B1155" t="s">
        <v>107</v>
      </c>
      <c r="C1155" t="str">
        <f t="shared" si="89"/>
        <v>05506871002</v>
      </c>
      <c r="D1155" t="str">
        <f t="shared" si="89"/>
        <v>05506871002</v>
      </c>
      <c r="E1155" t="s">
        <v>52</v>
      </c>
      <c r="F1155">
        <v>2014</v>
      </c>
      <c r="G1155">
        <v>11402900</v>
      </c>
      <c r="H1155" s="1">
        <v>41795</v>
      </c>
      <c r="I1155" s="1">
        <v>41814</v>
      </c>
      <c r="J1155" s="1">
        <v>41814</v>
      </c>
      <c r="K1155" s="1">
        <v>41904</v>
      </c>
      <c r="N1155" s="5"/>
      <c r="O1155" s="2">
        <v>9442.0499999999993</v>
      </c>
      <c r="P1155">
        <v>227</v>
      </c>
      <c r="Q1155" s="2">
        <v>2143345.35</v>
      </c>
      <c r="R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 s="1">
        <v>42382</v>
      </c>
      <c r="AC1155" t="s">
        <v>53</v>
      </c>
      <c r="AD1155" t="s">
        <v>53</v>
      </c>
      <c r="AK1155">
        <v>0</v>
      </c>
      <c r="AU1155" s="6">
        <v>42131</v>
      </c>
      <c r="AV1155" s="6">
        <v>42131</v>
      </c>
      <c r="AW1155" t="s">
        <v>54</v>
      </c>
      <c r="AX1155" t="str">
        <f t="shared" ref="AX1155:AX1218" si="90">"FOR"</f>
        <v>FOR</v>
      </c>
      <c r="AY1155" t="s">
        <v>55</v>
      </c>
    </row>
    <row r="1156" spans="1:51" hidden="1">
      <c r="A1156">
        <v>100261</v>
      </c>
      <c r="B1156" t="s">
        <v>107</v>
      </c>
      <c r="C1156" t="str">
        <f t="shared" si="89"/>
        <v>05506871002</v>
      </c>
      <c r="D1156" t="str">
        <f t="shared" si="89"/>
        <v>05506871002</v>
      </c>
      <c r="E1156" t="s">
        <v>52</v>
      </c>
      <c r="F1156">
        <v>2014</v>
      </c>
      <c r="G1156">
        <v>11403734</v>
      </c>
      <c r="H1156" s="1">
        <v>41848</v>
      </c>
      <c r="I1156" s="1">
        <v>41873</v>
      </c>
      <c r="J1156" s="1">
        <v>41873</v>
      </c>
      <c r="K1156" s="1">
        <v>41963</v>
      </c>
      <c r="N1156" s="5"/>
      <c r="O1156">
        <v>988.26</v>
      </c>
      <c r="P1156">
        <v>202</v>
      </c>
      <c r="Q1156" s="2">
        <v>199628.52</v>
      </c>
      <c r="R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 s="1">
        <v>42382</v>
      </c>
      <c r="AC1156" t="s">
        <v>53</v>
      </c>
      <c r="AD1156" t="s">
        <v>53</v>
      </c>
      <c r="AK1156">
        <v>0</v>
      </c>
      <c r="AU1156" s="6">
        <v>42165</v>
      </c>
      <c r="AV1156" s="6">
        <v>42165</v>
      </c>
      <c r="AW1156" t="s">
        <v>54</v>
      </c>
      <c r="AX1156" t="str">
        <f t="shared" si="90"/>
        <v>FOR</v>
      </c>
      <c r="AY1156" t="s">
        <v>55</v>
      </c>
    </row>
    <row r="1157" spans="1:51" hidden="1">
      <c r="A1157">
        <v>100261</v>
      </c>
      <c r="B1157" t="s">
        <v>107</v>
      </c>
      <c r="C1157" t="str">
        <f t="shared" si="89"/>
        <v>05506871002</v>
      </c>
      <c r="D1157" t="str">
        <f t="shared" si="89"/>
        <v>05506871002</v>
      </c>
      <c r="E1157" t="s">
        <v>52</v>
      </c>
      <c r="F1157">
        <v>2014</v>
      </c>
      <c r="G1157">
        <v>11404072</v>
      </c>
      <c r="H1157" s="1">
        <v>41876</v>
      </c>
      <c r="I1157" s="1">
        <v>41890</v>
      </c>
      <c r="J1157" s="1">
        <v>41890</v>
      </c>
      <c r="K1157" s="1">
        <v>41980</v>
      </c>
      <c r="N1157" s="5"/>
      <c r="O1157">
        <v>988.26</v>
      </c>
      <c r="P1157">
        <v>185</v>
      </c>
      <c r="Q1157" s="2">
        <v>182828.1</v>
      </c>
      <c r="R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 s="1">
        <v>42382</v>
      </c>
      <c r="AC1157" t="s">
        <v>53</v>
      </c>
      <c r="AD1157" t="s">
        <v>53</v>
      </c>
      <c r="AK1157">
        <v>0</v>
      </c>
      <c r="AU1157" s="6">
        <v>42165</v>
      </c>
      <c r="AV1157" s="6">
        <v>42165</v>
      </c>
      <c r="AW1157" t="s">
        <v>54</v>
      </c>
      <c r="AX1157" t="str">
        <f t="shared" si="90"/>
        <v>FOR</v>
      </c>
      <c r="AY1157" t="s">
        <v>55</v>
      </c>
    </row>
    <row r="1158" spans="1:51">
      <c r="A1158">
        <v>100261</v>
      </c>
      <c r="B1158" t="s">
        <v>107</v>
      </c>
      <c r="C1158" t="str">
        <f t="shared" si="89"/>
        <v>05506871002</v>
      </c>
      <c r="D1158" t="str">
        <f t="shared" si="89"/>
        <v>05506871002</v>
      </c>
      <c r="E1158" t="s">
        <v>52</v>
      </c>
      <c r="F1158">
        <v>2014</v>
      </c>
      <c r="G1158">
        <v>11405306</v>
      </c>
      <c r="H1158" s="1">
        <v>41941</v>
      </c>
      <c r="I1158" s="1">
        <v>41978</v>
      </c>
      <c r="J1158" s="1">
        <v>41978</v>
      </c>
      <c r="K1158" s="1">
        <v>42038</v>
      </c>
      <c r="L1158" s="7">
        <v>21960</v>
      </c>
      <c r="M1158" s="5">
        <v>244</v>
      </c>
      <c r="N1158" s="7">
        <v>5358240</v>
      </c>
      <c r="O1158" s="2">
        <v>21960</v>
      </c>
      <c r="P1158">
        <v>244</v>
      </c>
      <c r="Q1158" s="2">
        <v>5358240</v>
      </c>
      <c r="R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 s="1">
        <v>42382</v>
      </c>
      <c r="AC1158" t="s">
        <v>53</v>
      </c>
      <c r="AD1158" t="s">
        <v>53</v>
      </c>
      <c r="AK1158">
        <v>0</v>
      </c>
      <c r="AU1158" s="6">
        <v>42282</v>
      </c>
      <c r="AV1158" s="6">
        <v>42282</v>
      </c>
      <c r="AW1158" t="s">
        <v>54</v>
      </c>
      <c r="AX1158" t="str">
        <f t="shared" si="90"/>
        <v>FOR</v>
      </c>
      <c r="AY1158" t="s">
        <v>55</v>
      </c>
    </row>
    <row r="1159" spans="1:51">
      <c r="A1159">
        <v>100261</v>
      </c>
      <c r="B1159" t="s">
        <v>107</v>
      </c>
      <c r="C1159" t="str">
        <f t="shared" si="89"/>
        <v>05506871002</v>
      </c>
      <c r="D1159" t="str">
        <f t="shared" si="89"/>
        <v>05506871002</v>
      </c>
      <c r="E1159" t="s">
        <v>52</v>
      </c>
      <c r="F1159">
        <v>2014</v>
      </c>
      <c r="G1159">
        <v>11405991</v>
      </c>
      <c r="H1159" s="1">
        <v>41976</v>
      </c>
      <c r="I1159" s="1">
        <v>41988</v>
      </c>
      <c r="J1159" s="1">
        <v>41988</v>
      </c>
      <c r="K1159" s="1">
        <v>42048</v>
      </c>
      <c r="L1159" s="7">
        <v>9442.0499999999993</v>
      </c>
      <c r="M1159" s="5">
        <v>256</v>
      </c>
      <c r="N1159" s="7">
        <v>2417164.7999999998</v>
      </c>
      <c r="O1159" s="2">
        <v>9442.0499999999993</v>
      </c>
      <c r="P1159">
        <v>256</v>
      </c>
      <c r="Q1159" s="2">
        <v>2417164.7999999998</v>
      </c>
      <c r="R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 s="1">
        <v>42382</v>
      </c>
      <c r="AC1159" t="s">
        <v>53</v>
      </c>
      <c r="AD1159" t="s">
        <v>53</v>
      </c>
      <c r="AK1159">
        <v>0</v>
      </c>
      <c r="AU1159" s="6">
        <v>42304</v>
      </c>
      <c r="AV1159" s="6">
        <v>42304</v>
      </c>
      <c r="AW1159" t="s">
        <v>54</v>
      </c>
      <c r="AX1159" t="str">
        <f t="shared" si="90"/>
        <v>FOR</v>
      </c>
      <c r="AY1159" t="s">
        <v>55</v>
      </c>
    </row>
    <row r="1160" spans="1:51">
      <c r="A1160">
        <v>100261</v>
      </c>
      <c r="B1160" t="s">
        <v>107</v>
      </c>
      <c r="C1160" t="str">
        <f t="shared" si="89"/>
        <v>05506871002</v>
      </c>
      <c r="D1160" t="str">
        <f t="shared" si="89"/>
        <v>05506871002</v>
      </c>
      <c r="E1160" t="s">
        <v>52</v>
      </c>
      <c r="F1160">
        <v>2015</v>
      </c>
      <c r="G1160">
        <v>50000158</v>
      </c>
      <c r="H1160" s="1">
        <v>42033</v>
      </c>
      <c r="I1160" s="1">
        <v>42047</v>
      </c>
      <c r="J1160" s="1">
        <v>42047</v>
      </c>
      <c r="K1160" s="1">
        <v>42107</v>
      </c>
      <c r="L1160" s="7">
        <v>700.8</v>
      </c>
      <c r="M1160" s="5">
        <v>233</v>
      </c>
      <c r="N1160" s="7">
        <v>163286.39999999999</v>
      </c>
      <c r="O1160">
        <v>700.8</v>
      </c>
      <c r="P1160">
        <v>233</v>
      </c>
      <c r="Q1160" s="2">
        <v>163286.39999999999</v>
      </c>
      <c r="R1160">
        <v>154.18</v>
      </c>
      <c r="V1160">
        <v>0</v>
      </c>
      <c r="W1160">
        <v>0</v>
      </c>
      <c r="X1160">
        <v>0</v>
      </c>
      <c r="Y1160">
        <v>854.98</v>
      </c>
      <c r="Z1160">
        <v>854.98</v>
      </c>
      <c r="AA1160">
        <v>854.98</v>
      </c>
      <c r="AB1160" s="1">
        <v>42382</v>
      </c>
      <c r="AC1160" t="s">
        <v>53</v>
      </c>
      <c r="AD1160" t="s">
        <v>53</v>
      </c>
      <c r="AK1160">
        <v>154.18</v>
      </c>
      <c r="AU1160" s="6">
        <v>42340</v>
      </c>
      <c r="AV1160" s="6">
        <v>42340</v>
      </c>
      <c r="AW1160" t="s">
        <v>54</v>
      </c>
      <c r="AX1160" t="str">
        <f t="shared" si="90"/>
        <v>FOR</v>
      </c>
      <c r="AY1160" t="s">
        <v>55</v>
      </c>
    </row>
    <row r="1161" spans="1:51" hidden="1">
      <c r="A1161">
        <v>100270</v>
      </c>
      <c r="B1161" t="s">
        <v>108</v>
      </c>
      <c r="C1161" t="str">
        <f t="shared" ref="C1161:C1192" si="91">"01364640233"</f>
        <v>01364640233</v>
      </c>
      <c r="D1161" t="str">
        <f t="shared" ref="D1161:D1192" si="92">"03748120155"</f>
        <v>03748120155</v>
      </c>
      <c r="E1161" t="s">
        <v>52</v>
      </c>
      <c r="F1161">
        <v>2014</v>
      </c>
      <c r="G1161">
        <v>31400743</v>
      </c>
      <c r="H1161" s="1">
        <v>41663</v>
      </c>
      <c r="I1161" s="1">
        <v>41673</v>
      </c>
      <c r="J1161" s="1">
        <v>41673</v>
      </c>
      <c r="K1161" s="1">
        <v>41763</v>
      </c>
      <c r="N1161" s="5"/>
      <c r="O1161" s="2">
        <v>2253.66</v>
      </c>
      <c r="P1161">
        <v>309</v>
      </c>
      <c r="Q1161" s="2">
        <v>696380.94</v>
      </c>
      <c r="R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 s="1">
        <v>42382</v>
      </c>
      <c r="AC1161" t="s">
        <v>53</v>
      </c>
      <c r="AD1161" t="s">
        <v>53</v>
      </c>
      <c r="AK1161">
        <v>0</v>
      </c>
      <c r="AU1161" s="6">
        <v>42072</v>
      </c>
      <c r="AV1161" s="6">
        <v>42072</v>
      </c>
      <c r="AW1161" t="s">
        <v>54</v>
      </c>
      <c r="AX1161" t="str">
        <f t="shared" si="90"/>
        <v>FOR</v>
      </c>
      <c r="AY1161" t="s">
        <v>55</v>
      </c>
    </row>
    <row r="1162" spans="1:51" hidden="1">
      <c r="A1162">
        <v>100270</v>
      </c>
      <c r="B1162" t="s">
        <v>108</v>
      </c>
      <c r="C1162" t="str">
        <f t="shared" si="91"/>
        <v>01364640233</v>
      </c>
      <c r="D1162" t="str">
        <f t="shared" si="92"/>
        <v>03748120155</v>
      </c>
      <c r="E1162" t="s">
        <v>52</v>
      </c>
      <c r="F1162">
        <v>2014</v>
      </c>
      <c r="G1162">
        <v>31400744</v>
      </c>
      <c r="H1162" s="1">
        <v>41663</v>
      </c>
      <c r="I1162" s="1">
        <v>41673</v>
      </c>
      <c r="J1162" s="1">
        <v>41673</v>
      </c>
      <c r="K1162" s="1">
        <v>41763</v>
      </c>
      <c r="N1162" s="5"/>
      <c r="O1162" s="2">
        <v>2543.1799999999998</v>
      </c>
      <c r="P1162">
        <v>309</v>
      </c>
      <c r="Q1162" s="2">
        <v>785842.62</v>
      </c>
      <c r="R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 s="1">
        <v>42382</v>
      </c>
      <c r="AC1162" t="s">
        <v>53</v>
      </c>
      <c r="AD1162" t="s">
        <v>53</v>
      </c>
      <c r="AK1162">
        <v>0</v>
      </c>
      <c r="AU1162" s="6">
        <v>42072</v>
      </c>
      <c r="AV1162" s="6">
        <v>42072</v>
      </c>
      <c r="AW1162" t="s">
        <v>54</v>
      </c>
      <c r="AX1162" t="str">
        <f t="shared" si="90"/>
        <v>FOR</v>
      </c>
      <c r="AY1162" t="s">
        <v>55</v>
      </c>
    </row>
    <row r="1163" spans="1:51" hidden="1">
      <c r="A1163">
        <v>100270</v>
      </c>
      <c r="B1163" t="s">
        <v>108</v>
      </c>
      <c r="C1163" t="str">
        <f t="shared" si="91"/>
        <v>01364640233</v>
      </c>
      <c r="D1163" t="str">
        <f t="shared" si="92"/>
        <v>03748120155</v>
      </c>
      <c r="E1163" t="s">
        <v>52</v>
      </c>
      <c r="F1163">
        <v>2014</v>
      </c>
      <c r="G1163">
        <v>31400745</v>
      </c>
      <c r="H1163" s="1">
        <v>41663</v>
      </c>
      <c r="I1163" s="1">
        <v>41673</v>
      </c>
      <c r="J1163" s="1">
        <v>41673</v>
      </c>
      <c r="K1163" s="1">
        <v>41763</v>
      </c>
      <c r="N1163" s="5"/>
      <c r="O1163" s="2">
        <v>2543.1799999999998</v>
      </c>
      <c r="P1163">
        <v>309</v>
      </c>
      <c r="Q1163" s="2">
        <v>785842.62</v>
      </c>
      <c r="R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 s="1">
        <v>42382</v>
      </c>
      <c r="AC1163" t="s">
        <v>53</v>
      </c>
      <c r="AD1163" t="s">
        <v>53</v>
      </c>
      <c r="AK1163">
        <v>0</v>
      </c>
      <c r="AU1163" s="6">
        <v>42072</v>
      </c>
      <c r="AV1163" s="6">
        <v>42072</v>
      </c>
      <c r="AW1163" t="s">
        <v>54</v>
      </c>
      <c r="AX1163" t="str">
        <f t="shared" si="90"/>
        <v>FOR</v>
      </c>
      <c r="AY1163" t="s">
        <v>55</v>
      </c>
    </row>
    <row r="1164" spans="1:51" hidden="1">
      <c r="A1164">
        <v>100270</v>
      </c>
      <c r="B1164" t="s">
        <v>108</v>
      </c>
      <c r="C1164" t="str">
        <f t="shared" si="91"/>
        <v>01364640233</v>
      </c>
      <c r="D1164" t="str">
        <f t="shared" si="92"/>
        <v>03748120155</v>
      </c>
      <c r="E1164" t="s">
        <v>52</v>
      </c>
      <c r="F1164">
        <v>2014</v>
      </c>
      <c r="G1164">
        <v>31400746</v>
      </c>
      <c r="H1164" s="1">
        <v>41663</v>
      </c>
      <c r="I1164" s="1">
        <v>41673</v>
      </c>
      <c r="J1164" s="1">
        <v>41673</v>
      </c>
      <c r="K1164" s="1">
        <v>41763</v>
      </c>
      <c r="N1164" s="5"/>
      <c r="O1164">
        <v>297.60000000000002</v>
      </c>
      <c r="P1164">
        <v>309</v>
      </c>
      <c r="Q1164" s="2">
        <v>91958.399999999994</v>
      </c>
      <c r="R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 s="1">
        <v>42382</v>
      </c>
      <c r="AC1164" t="s">
        <v>53</v>
      </c>
      <c r="AD1164" t="s">
        <v>53</v>
      </c>
      <c r="AK1164">
        <v>0</v>
      </c>
      <c r="AU1164" s="6">
        <v>42072</v>
      </c>
      <c r="AV1164" s="6">
        <v>42072</v>
      </c>
      <c r="AW1164" t="s">
        <v>54</v>
      </c>
      <c r="AX1164" t="str">
        <f t="shared" si="90"/>
        <v>FOR</v>
      </c>
      <c r="AY1164" t="s">
        <v>55</v>
      </c>
    </row>
    <row r="1165" spans="1:51" hidden="1">
      <c r="A1165">
        <v>100270</v>
      </c>
      <c r="B1165" t="s">
        <v>108</v>
      </c>
      <c r="C1165" t="str">
        <f t="shared" si="91"/>
        <v>01364640233</v>
      </c>
      <c r="D1165" t="str">
        <f t="shared" si="92"/>
        <v>03748120155</v>
      </c>
      <c r="E1165" t="s">
        <v>52</v>
      </c>
      <c r="F1165">
        <v>2014</v>
      </c>
      <c r="G1165">
        <v>31400747</v>
      </c>
      <c r="H1165" s="1">
        <v>41663</v>
      </c>
      <c r="I1165" s="1">
        <v>41673</v>
      </c>
      <c r="J1165" s="1">
        <v>41673</v>
      </c>
      <c r="K1165" s="1">
        <v>41763</v>
      </c>
      <c r="N1165" s="5"/>
      <c r="O1165">
        <v>297.60000000000002</v>
      </c>
      <c r="P1165">
        <v>309</v>
      </c>
      <c r="Q1165" s="2">
        <v>91958.399999999994</v>
      </c>
      <c r="R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 s="1">
        <v>42382</v>
      </c>
      <c r="AC1165" t="s">
        <v>53</v>
      </c>
      <c r="AD1165" t="s">
        <v>53</v>
      </c>
      <c r="AK1165">
        <v>0</v>
      </c>
      <c r="AU1165" s="6">
        <v>42072</v>
      </c>
      <c r="AV1165" s="6">
        <v>42072</v>
      </c>
      <c r="AW1165" t="s">
        <v>54</v>
      </c>
      <c r="AX1165" t="str">
        <f t="shared" si="90"/>
        <v>FOR</v>
      </c>
      <c r="AY1165" t="s">
        <v>55</v>
      </c>
    </row>
    <row r="1166" spans="1:51" hidden="1">
      <c r="A1166">
        <v>100270</v>
      </c>
      <c r="B1166" t="s">
        <v>108</v>
      </c>
      <c r="C1166" t="str">
        <f t="shared" si="91"/>
        <v>01364640233</v>
      </c>
      <c r="D1166" t="str">
        <f t="shared" si="92"/>
        <v>03748120155</v>
      </c>
      <c r="E1166" t="s">
        <v>52</v>
      </c>
      <c r="F1166">
        <v>2014</v>
      </c>
      <c r="G1166">
        <v>31400749</v>
      </c>
      <c r="H1166" s="1">
        <v>41663</v>
      </c>
      <c r="I1166" s="1">
        <v>41673</v>
      </c>
      <c r="J1166" s="1">
        <v>41673</v>
      </c>
      <c r="K1166" s="1">
        <v>41763</v>
      </c>
      <c r="N1166" s="5"/>
      <c r="O1166">
        <v>297.60000000000002</v>
      </c>
      <c r="P1166">
        <v>309</v>
      </c>
      <c r="Q1166" s="2">
        <v>91958.399999999994</v>
      </c>
      <c r="R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 s="1">
        <v>42382</v>
      </c>
      <c r="AC1166" t="s">
        <v>53</v>
      </c>
      <c r="AD1166" t="s">
        <v>53</v>
      </c>
      <c r="AK1166">
        <v>0</v>
      </c>
      <c r="AU1166" s="6">
        <v>42072</v>
      </c>
      <c r="AV1166" s="6">
        <v>42072</v>
      </c>
      <c r="AW1166" t="s">
        <v>54</v>
      </c>
      <c r="AX1166" t="str">
        <f t="shared" si="90"/>
        <v>FOR</v>
      </c>
      <c r="AY1166" t="s">
        <v>55</v>
      </c>
    </row>
    <row r="1167" spans="1:51" hidden="1">
      <c r="A1167">
        <v>100270</v>
      </c>
      <c r="B1167" t="s">
        <v>108</v>
      </c>
      <c r="C1167" t="str">
        <f t="shared" si="91"/>
        <v>01364640233</v>
      </c>
      <c r="D1167" t="str">
        <f t="shared" si="92"/>
        <v>03748120155</v>
      </c>
      <c r="E1167" t="s">
        <v>52</v>
      </c>
      <c r="F1167">
        <v>2014</v>
      </c>
      <c r="G1167">
        <v>31400750</v>
      </c>
      <c r="H1167" s="1">
        <v>41663</v>
      </c>
      <c r="I1167" s="1">
        <v>41673</v>
      </c>
      <c r="J1167" s="1">
        <v>41673</v>
      </c>
      <c r="K1167" s="1">
        <v>41763</v>
      </c>
      <c r="N1167" s="5"/>
      <c r="O1167">
        <v>297.60000000000002</v>
      </c>
      <c r="P1167">
        <v>309</v>
      </c>
      <c r="Q1167" s="2">
        <v>91958.399999999994</v>
      </c>
      <c r="R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 s="1">
        <v>42382</v>
      </c>
      <c r="AC1167" t="s">
        <v>53</v>
      </c>
      <c r="AD1167" t="s">
        <v>53</v>
      </c>
      <c r="AK1167">
        <v>0</v>
      </c>
      <c r="AU1167" s="6">
        <v>42072</v>
      </c>
      <c r="AV1167" s="6">
        <v>42072</v>
      </c>
      <c r="AW1167" t="s">
        <v>54</v>
      </c>
      <c r="AX1167" t="str">
        <f t="shared" si="90"/>
        <v>FOR</v>
      </c>
      <c r="AY1167" t="s">
        <v>55</v>
      </c>
    </row>
    <row r="1168" spans="1:51" hidden="1">
      <c r="A1168">
        <v>100270</v>
      </c>
      <c r="B1168" t="s">
        <v>108</v>
      </c>
      <c r="C1168" t="str">
        <f t="shared" si="91"/>
        <v>01364640233</v>
      </c>
      <c r="D1168" t="str">
        <f t="shared" si="92"/>
        <v>03748120155</v>
      </c>
      <c r="E1168" t="s">
        <v>52</v>
      </c>
      <c r="F1168">
        <v>2014</v>
      </c>
      <c r="G1168">
        <v>31400751</v>
      </c>
      <c r="H1168" s="1">
        <v>41663</v>
      </c>
      <c r="I1168" s="1">
        <v>41673</v>
      </c>
      <c r="J1168" s="1">
        <v>41673</v>
      </c>
      <c r="K1168" s="1">
        <v>41763</v>
      </c>
      <c r="N1168" s="5"/>
      <c r="O1168">
        <v>297.60000000000002</v>
      </c>
      <c r="P1168">
        <v>309</v>
      </c>
      <c r="Q1168" s="2">
        <v>91958.399999999994</v>
      </c>
      <c r="R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 s="1">
        <v>42382</v>
      </c>
      <c r="AC1168" t="s">
        <v>53</v>
      </c>
      <c r="AD1168" t="s">
        <v>53</v>
      </c>
      <c r="AK1168">
        <v>0</v>
      </c>
      <c r="AU1168" s="6">
        <v>42072</v>
      </c>
      <c r="AV1168" s="6">
        <v>42072</v>
      </c>
      <c r="AW1168" t="s">
        <v>54</v>
      </c>
      <c r="AX1168" t="str">
        <f t="shared" si="90"/>
        <v>FOR</v>
      </c>
      <c r="AY1168" t="s">
        <v>55</v>
      </c>
    </row>
    <row r="1169" spans="1:51" hidden="1">
      <c r="A1169">
        <v>100270</v>
      </c>
      <c r="B1169" t="s">
        <v>108</v>
      </c>
      <c r="C1169" t="str">
        <f t="shared" si="91"/>
        <v>01364640233</v>
      </c>
      <c r="D1169" t="str">
        <f t="shared" si="92"/>
        <v>03748120155</v>
      </c>
      <c r="E1169" t="s">
        <v>52</v>
      </c>
      <c r="F1169">
        <v>2014</v>
      </c>
      <c r="G1169">
        <v>31400752</v>
      </c>
      <c r="H1169" s="1">
        <v>41663</v>
      </c>
      <c r="I1169" s="1">
        <v>41673</v>
      </c>
      <c r="J1169" s="1">
        <v>41673</v>
      </c>
      <c r="K1169" s="1">
        <v>41763</v>
      </c>
      <c r="N1169" s="5"/>
      <c r="O1169">
        <v>297.60000000000002</v>
      </c>
      <c r="P1169">
        <v>309</v>
      </c>
      <c r="Q1169" s="2">
        <v>91958.399999999994</v>
      </c>
      <c r="R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 s="1">
        <v>42382</v>
      </c>
      <c r="AC1169" t="s">
        <v>53</v>
      </c>
      <c r="AD1169" t="s">
        <v>53</v>
      </c>
      <c r="AK1169">
        <v>0</v>
      </c>
      <c r="AU1169" s="6">
        <v>42072</v>
      </c>
      <c r="AV1169" s="6">
        <v>42072</v>
      </c>
      <c r="AW1169" t="s">
        <v>54</v>
      </c>
      <c r="AX1169" t="str">
        <f t="shared" si="90"/>
        <v>FOR</v>
      </c>
      <c r="AY1169" t="s">
        <v>55</v>
      </c>
    </row>
    <row r="1170" spans="1:51" hidden="1">
      <c r="A1170">
        <v>100270</v>
      </c>
      <c r="B1170" t="s">
        <v>108</v>
      </c>
      <c r="C1170" t="str">
        <f t="shared" si="91"/>
        <v>01364640233</v>
      </c>
      <c r="D1170" t="str">
        <f t="shared" si="92"/>
        <v>03748120155</v>
      </c>
      <c r="E1170" t="s">
        <v>52</v>
      </c>
      <c r="F1170">
        <v>2014</v>
      </c>
      <c r="G1170">
        <v>31400882</v>
      </c>
      <c r="H1170" s="1">
        <v>41668</v>
      </c>
      <c r="I1170" s="1">
        <v>41680</v>
      </c>
      <c r="J1170" s="1">
        <v>41680</v>
      </c>
      <c r="K1170" s="1">
        <v>41770</v>
      </c>
      <c r="N1170" s="5"/>
      <c r="O1170" s="2">
        <v>9883.68</v>
      </c>
      <c r="P1170">
        <v>302</v>
      </c>
      <c r="Q1170" s="2">
        <v>2984871.36</v>
      </c>
      <c r="R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 s="1">
        <v>42382</v>
      </c>
      <c r="AC1170" t="s">
        <v>53</v>
      </c>
      <c r="AD1170" t="s">
        <v>53</v>
      </c>
      <c r="AK1170">
        <v>0</v>
      </c>
      <c r="AU1170" s="6">
        <v>42072</v>
      </c>
      <c r="AV1170" s="6">
        <v>42072</v>
      </c>
      <c r="AW1170" t="s">
        <v>54</v>
      </c>
      <c r="AX1170" t="str">
        <f t="shared" si="90"/>
        <v>FOR</v>
      </c>
      <c r="AY1170" t="s">
        <v>55</v>
      </c>
    </row>
    <row r="1171" spans="1:51" hidden="1">
      <c r="A1171">
        <v>100270</v>
      </c>
      <c r="B1171" t="s">
        <v>108</v>
      </c>
      <c r="C1171" t="str">
        <f t="shared" si="91"/>
        <v>01364640233</v>
      </c>
      <c r="D1171" t="str">
        <f t="shared" si="92"/>
        <v>03748120155</v>
      </c>
      <c r="E1171" t="s">
        <v>52</v>
      </c>
      <c r="F1171">
        <v>2014</v>
      </c>
      <c r="G1171">
        <v>31400884</v>
      </c>
      <c r="H1171" s="1">
        <v>41668</v>
      </c>
      <c r="I1171" s="1">
        <v>41680</v>
      </c>
      <c r="J1171" s="1">
        <v>41680</v>
      </c>
      <c r="K1171" s="1">
        <v>41770</v>
      </c>
      <c r="N1171" s="5"/>
      <c r="O1171" s="2">
        <v>15837.42</v>
      </c>
      <c r="P1171">
        <v>302</v>
      </c>
      <c r="Q1171" s="2">
        <v>4782900.84</v>
      </c>
      <c r="R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 s="1">
        <v>42382</v>
      </c>
      <c r="AC1171" t="s">
        <v>53</v>
      </c>
      <c r="AD1171" t="s">
        <v>53</v>
      </c>
      <c r="AK1171">
        <v>0</v>
      </c>
      <c r="AU1171" s="6">
        <v>42072</v>
      </c>
      <c r="AV1171" s="6">
        <v>42072</v>
      </c>
      <c r="AW1171" t="s">
        <v>54</v>
      </c>
      <c r="AX1171" t="str">
        <f t="shared" si="90"/>
        <v>FOR</v>
      </c>
      <c r="AY1171" t="s">
        <v>55</v>
      </c>
    </row>
    <row r="1172" spans="1:51" hidden="1">
      <c r="A1172">
        <v>100270</v>
      </c>
      <c r="B1172" t="s">
        <v>108</v>
      </c>
      <c r="C1172" t="str">
        <f t="shared" si="91"/>
        <v>01364640233</v>
      </c>
      <c r="D1172" t="str">
        <f t="shared" si="92"/>
        <v>03748120155</v>
      </c>
      <c r="E1172" t="s">
        <v>52</v>
      </c>
      <c r="F1172">
        <v>2014</v>
      </c>
      <c r="G1172">
        <v>31401006</v>
      </c>
      <c r="H1172" s="1">
        <v>41670</v>
      </c>
      <c r="I1172" s="1">
        <v>41681</v>
      </c>
      <c r="J1172" s="1">
        <v>41681</v>
      </c>
      <c r="K1172" s="1">
        <v>41771</v>
      </c>
      <c r="N1172" s="5"/>
      <c r="O1172" s="2">
        <v>19764.84</v>
      </c>
      <c r="P1172">
        <v>301</v>
      </c>
      <c r="Q1172" s="2">
        <v>5949216.8399999999</v>
      </c>
      <c r="R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 s="1">
        <v>42382</v>
      </c>
      <c r="AC1172" t="s">
        <v>53</v>
      </c>
      <c r="AD1172" t="s">
        <v>53</v>
      </c>
      <c r="AK1172">
        <v>0</v>
      </c>
      <c r="AU1172" s="6">
        <v>42072</v>
      </c>
      <c r="AV1172" s="6">
        <v>42072</v>
      </c>
      <c r="AW1172" t="s">
        <v>54</v>
      </c>
      <c r="AX1172" t="str">
        <f t="shared" si="90"/>
        <v>FOR</v>
      </c>
      <c r="AY1172" t="s">
        <v>55</v>
      </c>
    </row>
    <row r="1173" spans="1:51" hidden="1">
      <c r="A1173">
        <v>100270</v>
      </c>
      <c r="B1173" t="s">
        <v>108</v>
      </c>
      <c r="C1173" t="str">
        <f t="shared" si="91"/>
        <v>01364640233</v>
      </c>
      <c r="D1173" t="str">
        <f t="shared" si="92"/>
        <v>03748120155</v>
      </c>
      <c r="E1173" t="s">
        <v>52</v>
      </c>
      <c r="F1173">
        <v>2014</v>
      </c>
      <c r="G1173">
        <v>31401281</v>
      </c>
      <c r="H1173" s="1">
        <v>41680</v>
      </c>
      <c r="I1173" s="1">
        <v>41691</v>
      </c>
      <c r="J1173" s="1">
        <v>41691</v>
      </c>
      <c r="K1173" s="1">
        <v>41781</v>
      </c>
      <c r="N1173" s="5"/>
      <c r="O1173">
        <v>297.60000000000002</v>
      </c>
      <c r="P1173">
        <v>291</v>
      </c>
      <c r="Q1173" s="2">
        <v>86601.600000000006</v>
      </c>
      <c r="R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 s="1">
        <v>42382</v>
      </c>
      <c r="AC1173" t="s">
        <v>53</v>
      </c>
      <c r="AD1173" t="s">
        <v>53</v>
      </c>
      <c r="AK1173">
        <v>0</v>
      </c>
      <c r="AU1173" s="6">
        <v>42072</v>
      </c>
      <c r="AV1173" s="6">
        <v>42072</v>
      </c>
      <c r="AW1173" t="s">
        <v>54</v>
      </c>
      <c r="AX1173" t="str">
        <f t="shared" si="90"/>
        <v>FOR</v>
      </c>
      <c r="AY1173" t="s">
        <v>55</v>
      </c>
    </row>
    <row r="1174" spans="1:51" hidden="1">
      <c r="A1174">
        <v>100270</v>
      </c>
      <c r="B1174" t="s">
        <v>108</v>
      </c>
      <c r="C1174" t="str">
        <f t="shared" si="91"/>
        <v>01364640233</v>
      </c>
      <c r="D1174" t="str">
        <f t="shared" si="92"/>
        <v>03748120155</v>
      </c>
      <c r="E1174" t="s">
        <v>52</v>
      </c>
      <c r="F1174">
        <v>2014</v>
      </c>
      <c r="G1174">
        <v>31401284</v>
      </c>
      <c r="H1174" s="1">
        <v>41680</v>
      </c>
      <c r="I1174" s="1">
        <v>41691</v>
      </c>
      <c r="J1174" s="1">
        <v>41691</v>
      </c>
      <c r="K1174" s="1">
        <v>41781</v>
      </c>
      <c r="N1174" s="5"/>
      <c r="O1174" s="2">
        <v>2253.66</v>
      </c>
      <c r="P1174">
        <v>291</v>
      </c>
      <c r="Q1174" s="2">
        <v>655815.06000000006</v>
      </c>
      <c r="R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 s="1">
        <v>42382</v>
      </c>
      <c r="AC1174" t="s">
        <v>53</v>
      </c>
      <c r="AD1174" t="s">
        <v>53</v>
      </c>
      <c r="AK1174">
        <v>0</v>
      </c>
      <c r="AU1174" s="6">
        <v>42072</v>
      </c>
      <c r="AV1174" s="6">
        <v>42072</v>
      </c>
      <c r="AW1174" t="s">
        <v>54</v>
      </c>
      <c r="AX1174" t="str">
        <f t="shared" si="90"/>
        <v>FOR</v>
      </c>
      <c r="AY1174" t="s">
        <v>55</v>
      </c>
    </row>
    <row r="1175" spans="1:51" hidden="1">
      <c r="A1175">
        <v>100270</v>
      </c>
      <c r="B1175" t="s">
        <v>108</v>
      </c>
      <c r="C1175" t="str">
        <f t="shared" si="91"/>
        <v>01364640233</v>
      </c>
      <c r="D1175" t="str">
        <f t="shared" si="92"/>
        <v>03748120155</v>
      </c>
      <c r="E1175" t="s">
        <v>52</v>
      </c>
      <c r="F1175">
        <v>2014</v>
      </c>
      <c r="G1175">
        <v>31401287</v>
      </c>
      <c r="H1175" s="1">
        <v>41680</v>
      </c>
      <c r="I1175" s="1">
        <v>41691</v>
      </c>
      <c r="J1175" s="1">
        <v>41691</v>
      </c>
      <c r="K1175" s="1">
        <v>41781</v>
      </c>
      <c r="N1175" s="5"/>
      <c r="O1175" s="2">
        <v>2543.1799999999998</v>
      </c>
      <c r="P1175">
        <v>291</v>
      </c>
      <c r="Q1175" s="2">
        <v>740065.38</v>
      </c>
      <c r="R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 s="1">
        <v>42382</v>
      </c>
      <c r="AC1175" t="s">
        <v>53</v>
      </c>
      <c r="AD1175" t="s">
        <v>53</v>
      </c>
      <c r="AK1175">
        <v>0</v>
      </c>
      <c r="AU1175" s="6">
        <v>42072</v>
      </c>
      <c r="AV1175" s="6">
        <v>42072</v>
      </c>
      <c r="AW1175" t="s">
        <v>54</v>
      </c>
      <c r="AX1175" t="str">
        <f t="shared" si="90"/>
        <v>FOR</v>
      </c>
      <c r="AY1175" t="s">
        <v>55</v>
      </c>
    </row>
    <row r="1176" spans="1:51" hidden="1">
      <c r="A1176">
        <v>100270</v>
      </c>
      <c r="B1176" t="s">
        <v>108</v>
      </c>
      <c r="C1176" t="str">
        <f t="shared" si="91"/>
        <v>01364640233</v>
      </c>
      <c r="D1176" t="str">
        <f t="shared" si="92"/>
        <v>03748120155</v>
      </c>
      <c r="E1176" t="s">
        <v>52</v>
      </c>
      <c r="F1176">
        <v>2014</v>
      </c>
      <c r="G1176">
        <v>31401483</v>
      </c>
      <c r="H1176" s="1">
        <v>41683</v>
      </c>
      <c r="I1176" s="1">
        <v>41691</v>
      </c>
      <c r="J1176" s="1">
        <v>41691</v>
      </c>
      <c r="K1176" s="1">
        <v>41781</v>
      </c>
      <c r="N1176" s="5"/>
      <c r="O1176">
        <v>297.60000000000002</v>
      </c>
      <c r="P1176">
        <v>291</v>
      </c>
      <c r="Q1176" s="2">
        <v>86601.600000000006</v>
      </c>
      <c r="R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 s="1">
        <v>42382</v>
      </c>
      <c r="AC1176" t="s">
        <v>53</v>
      </c>
      <c r="AD1176" t="s">
        <v>53</v>
      </c>
      <c r="AK1176">
        <v>0</v>
      </c>
      <c r="AU1176" s="6">
        <v>42072</v>
      </c>
      <c r="AV1176" s="6">
        <v>42072</v>
      </c>
      <c r="AW1176" t="s">
        <v>54</v>
      </c>
      <c r="AX1176" t="str">
        <f t="shared" si="90"/>
        <v>FOR</v>
      </c>
      <c r="AY1176" t="s">
        <v>55</v>
      </c>
    </row>
    <row r="1177" spans="1:51" hidden="1">
      <c r="A1177">
        <v>100270</v>
      </c>
      <c r="B1177" t="s">
        <v>108</v>
      </c>
      <c r="C1177" t="str">
        <f t="shared" si="91"/>
        <v>01364640233</v>
      </c>
      <c r="D1177" t="str">
        <f t="shared" si="92"/>
        <v>03748120155</v>
      </c>
      <c r="E1177" t="s">
        <v>52</v>
      </c>
      <c r="F1177">
        <v>2014</v>
      </c>
      <c r="G1177">
        <v>31401504</v>
      </c>
      <c r="H1177" s="1">
        <v>41683</v>
      </c>
      <c r="I1177" s="1">
        <v>41691</v>
      </c>
      <c r="J1177" s="1">
        <v>41691</v>
      </c>
      <c r="K1177" s="1">
        <v>41781</v>
      </c>
      <c r="N1177" s="5"/>
      <c r="O1177" s="2">
        <v>9883.68</v>
      </c>
      <c r="P1177">
        <v>291</v>
      </c>
      <c r="Q1177" s="2">
        <v>2876150.88</v>
      </c>
      <c r="R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 s="1">
        <v>42382</v>
      </c>
      <c r="AC1177" t="s">
        <v>53</v>
      </c>
      <c r="AD1177" t="s">
        <v>53</v>
      </c>
      <c r="AK1177">
        <v>0</v>
      </c>
      <c r="AU1177" s="6">
        <v>42072</v>
      </c>
      <c r="AV1177" s="6">
        <v>42072</v>
      </c>
      <c r="AW1177" t="s">
        <v>54</v>
      </c>
      <c r="AX1177" t="str">
        <f t="shared" si="90"/>
        <v>FOR</v>
      </c>
      <c r="AY1177" t="s">
        <v>55</v>
      </c>
    </row>
    <row r="1178" spans="1:51" hidden="1">
      <c r="A1178">
        <v>100270</v>
      </c>
      <c r="B1178" t="s">
        <v>108</v>
      </c>
      <c r="C1178" t="str">
        <f t="shared" si="91"/>
        <v>01364640233</v>
      </c>
      <c r="D1178" t="str">
        <f t="shared" si="92"/>
        <v>03748120155</v>
      </c>
      <c r="E1178" t="s">
        <v>52</v>
      </c>
      <c r="F1178">
        <v>2014</v>
      </c>
      <c r="G1178">
        <v>31401556</v>
      </c>
      <c r="H1178" s="1">
        <v>41687</v>
      </c>
      <c r="I1178" s="1">
        <v>41698</v>
      </c>
      <c r="J1178" s="1">
        <v>41698</v>
      </c>
      <c r="K1178" s="1">
        <v>41788</v>
      </c>
      <c r="N1178" s="5"/>
      <c r="O1178" s="2">
        <v>10190.34</v>
      </c>
      <c r="P1178">
        <v>284</v>
      </c>
      <c r="Q1178" s="2">
        <v>2894056.56</v>
      </c>
      <c r="R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 s="1">
        <v>42382</v>
      </c>
      <c r="AC1178" t="s">
        <v>53</v>
      </c>
      <c r="AD1178" t="s">
        <v>53</v>
      </c>
      <c r="AK1178">
        <v>0</v>
      </c>
      <c r="AU1178" s="6">
        <v>42072</v>
      </c>
      <c r="AV1178" s="6">
        <v>42072</v>
      </c>
      <c r="AW1178" t="s">
        <v>54</v>
      </c>
      <c r="AX1178" t="str">
        <f t="shared" si="90"/>
        <v>FOR</v>
      </c>
      <c r="AY1178" t="s">
        <v>55</v>
      </c>
    </row>
    <row r="1179" spans="1:51" hidden="1">
      <c r="A1179">
        <v>100270</v>
      </c>
      <c r="B1179" t="s">
        <v>108</v>
      </c>
      <c r="C1179" t="str">
        <f t="shared" si="91"/>
        <v>01364640233</v>
      </c>
      <c r="D1179" t="str">
        <f t="shared" si="92"/>
        <v>03748120155</v>
      </c>
      <c r="E1179" t="s">
        <v>52</v>
      </c>
      <c r="F1179">
        <v>2014</v>
      </c>
      <c r="G1179">
        <v>31401852</v>
      </c>
      <c r="H1179" s="1">
        <v>41695</v>
      </c>
      <c r="I1179" s="1">
        <v>41711</v>
      </c>
      <c r="J1179" s="1">
        <v>41711</v>
      </c>
      <c r="K1179" s="1">
        <v>41801</v>
      </c>
      <c r="N1179" s="5"/>
      <c r="O1179">
        <v>297.60000000000002</v>
      </c>
      <c r="P1179">
        <v>271</v>
      </c>
      <c r="Q1179" s="2">
        <v>80649.600000000006</v>
      </c>
      <c r="R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 s="1">
        <v>42382</v>
      </c>
      <c r="AC1179" t="s">
        <v>53</v>
      </c>
      <c r="AD1179" t="s">
        <v>53</v>
      </c>
      <c r="AK1179">
        <v>0</v>
      </c>
      <c r="AU1179" s="6">
        <v>42072</v>
      </c>
      <c r="AV1179" s="6">
        <v>42072</v>
      </c>
      <c r="AW1179" t="s">
        <v>54</v>
      </c>
      <c r="AX1179" t="str">
        <f t="shared" si="90"/>
        <v>FOR</v>
      </c>
      <c r="AY1179" t="s">
        <v>55</v>
      </c>
    </row>
    <row r="1180" spans="1:51" hidden="1">
      <c r="A1180">
        <v>100270</v>
      </c>
      <c r="B1180" t="s">
        <v>108</v>
      </c>
      <c r="C1180" t="str">
        <f t="shared" si="91"/>
        <v>01364640233</v>
      </c>
      <c r="D1180" t="str">
        <f t="shared" si="92"/>
        <v>03748120155</v>
      </c>
      <c r="E1180" t="s">
        <v>52</v>
      </c>
      <c r="F1180">
        <v>2014</v>
      </c>
      <c r="G1180">
        <v>31401854</v>
      </c>
      <c r="H1180" s="1">
        <v>41695</v>
      </c>
      <c r="I1180" s="1">
        <v>41711</v>
      </c>
      <c r="J1180" s="1">
        <v>41711</v>
      </c>
      <c r="K1180" s="1">
        <v>41801</v>
      </c>
      <c r="N1180" s="5"/>
      <c r="O1180">
        <v>297.60000000000002</v>
      </c>
      <c r="P1180">
        <v>271</v>
      </c>
      <c r="Q1180" s="2">
        <v>80649.600000000006</v>
      </c>
      <c r="R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 s="1">
        <v>42382</v>
      </c>
      <c r="AC1180" t="s">
        <v>53</v>
      </c>
      <c r="AD1180" t="s">
        <v>53</v>
      </c>
      <c r="AK1180">
        <v>0</v>
      </c>
      <c r="AU1180" s="6">
        <v>42072</v>
      </c>
      <c r="AV1180" s="6">
        <v>42072</v>
      </c>
      <c r="AW1180" t="s">
        <v>54</v>
      </c>
      <c r="AX1180" t="str">
        <f t="shared" si="90"/>
        <v>FOR</v>
      </c>
      <c r="AY1180" t="s">
        <v>55</v>
      </c>
    </row>
    <row r="1181" spans="1:51" hidden="1">
      <c r="A1181">
        <v>100270</v>
      </c>
      <c r="B1181" t="s">
        <v>108</v>
      </c>
      <c r="C1181" t="str">
        <f t="shared" si="91"/>
        <v>01364640233</v>
      </c>
      <c r="D1181" t="str">
        <f t="shared" si="92"/>
        <v>03748120155</v>
      </c>
      <c r="E1181" t="s">
        <v>52</v>
      </c>
      <c r="F1181">
        <v>2014</v>
      </c>
      <c r="G1181">
        <v>31401871</v>
      </c>
      <c r="H1181" s="1">
        <v>41695</v>
      </c>
      <c r="I1181" s="1">
        <v>41711</v>
      </c>
      <c r="J1181" s="1">
        <v>41711</v>
      </c>
      <c r="K1181" s="1">
        <v>41801</v>
      </c>
      <c r="N1181" s="5"/>
      <c r="O1181" s="2">
        <v>10034.879999999999</v>
      </c>
      <c r="P1181">
        <v>271</v>
      </c>
      <c r="Q1181" s="2">
        <v>2719452.48</v>
      </c>
      <c r="R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 s="1">
        <v>42382</v>
      </c>
      <c r="AC1181" t="s">
        <v>53</v>
      </c>
      <c r="AD1181" t="s">
        <v>53</v>
      </c>
      <c r="AK1181">
        <v>0</v>
      </c>
      <c r="AU1181" s="6">
        <v>42072</v>
      </c>
      <c r="AV1181" s="6">
        <v>42072</v>
      </c>
      <c r="AW1181" t="s">
        <v>54</v>
      </c>
      <c r="AX1181" t="str">
        <f t="shared" si="90"/>
        <v>FOR</v>
      </c>
      <c r="AY1181" t="s">
        <v>55</v>
      </c>
    </row>
    <row r="1182" spans="1:51" hidden="1">
      <c r="A1182">
        <v>100270</v>
      </c>
      <c r="B1182" t="s">
        <v>108</v>
      </c>
      <c r="C1182" t="str">
        <f t="shared" si="91"/>
        <v>01364640233</v>
      </c>
      <c r="D1182" t="str">
        <f t="shared" si="92"/>
        <v>03748120155</v>
      </c>
      <c r="E1182" t="s">
        <v>52</v>
      </c>
      <c r="F1182">
        <v>2014</v>
      </c>
      <c r="G1182">
        <v>31401903</v>
      </c>
      <c r="H1182" s="1">
        <v>41696</v>
      </c>
      <c r="I1182" s="1">
        <v>41711</v>
      </c>
      <c r="J1182" s="1">
        <v>41711</v>
      </c>
      <c r="K1182" s="1">
        <v>41801</v>
      </c>
      <c r="N1182" s="5"/>
      <c r="O1182">
        <v>297.60000000000002</v>
      </c>
      <c r="P1182">
        <v>271</v>
      </c>
      <c r="Q1182" s="2">
        <v>80649.600000000006</v>
      </c>
      <c r="R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 s="1">
        <v>42382</v>
      </c>
      <c r="AC1182" t="s">
        <v>53</v>
      </c>
      <c r="AD1182" t="s">
        <v>53</v>
      </c>
      <c r="AK1182">
        <v>0</v>
      </c>
      <c r="AU1182" s="6">
        <v>42072</v>
      </c>
      <c r="AV1182" s="6">
        <v>42072</v>
      </c>
      <c r="AW1182" t="s">
        <v>54</v>
      </c>
      <c r="AX1182" t="str">
        <f t="shared" si="90"/>
        <v>FOR</v>
      </c>
      <c r="AY1182" t="s">
        <v>55</v>
      </c>
    </row>
    <row r="1183" spans="1:51" hidden="1">
      <c r="A1183">
        <v>100270</v>
      </c>
      <c r="B1183" t="s">
        <v>108</v>
      </c>
      <c r="C1183" t="str">
        <f t="shared" si="91"/>
        <v>01364640233</v>
      </c>
      <c r="D1183" t="str">
        <f t="shared" si="92"/>
        <v>03748120155</v>
      </c>
      <c r="E1183" t="s">
        <v>52</v>
      </c>
      <c r="F1183">
        <v>2014</v>
      </c>
      <c r="G1183">
        <v>31402205</v>
      </c>
      <c r="H1183" s="1">
        <v>41704</v>
      </c>
      <c r="I1183" s="1">
        <v>41715</v>
      </c>
      <c r="J1183" s="1">
        <v>41715</v>
      </c>
      <c r="K1183" s="1">
        <v>41805</v>
      </c>
      <c r="N1183" s="5"/>
      <c r="O1183">
        <v>297.60000000000002</v>
      </c>
      <c r="P1183">
        <v>267</v>
      </c>
      <c r="Q1183" s="2">
        <v>79459.199999999997</v>
      </c>
      <c r="R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 s="1">
        <v>42382</v>
      </c>
      <c r="AC1183" t="s">
        <v>53</v>
      </c>
      <c r="AD1183" t="s">
        <v>53</v>
      </c>
      <c r="AK1183">
        <v>0</v>
      </c>
      <c r="AU1183" s="6">
        <v>42072</v>
      </c>
      <c r="AV1183" s="6">
        <v>42072</v>
      </c>
      <c r="AW1183" t="s">
        <v>54</v>
      </c>
      <c r="AX1183" t="str">
        <f t="shared" si="90"/>
        <v>FOR</v>
      </c>
      <c r="AY1183" t="s">
        <v>55</v>
      </c>
    </row>
    <row r="1184" spans="1:51" hidden="1">
      <c r="A1184">
        <v>100270</v>
      </c>
      <c r="B1184" t="s">
        <v>108</v>
      </c>
      <c r="C1184" t="str">
        <f t="shared" si="91"/>
        <v>01364640233</v>
      </c>
      <c r="D1184" t="str">
        <f t="shared" si="92"/>
        <v>03748120155</v>
      </c>
      <c r="E1184" t="s">
        <v>52</v>
      </c>
      <c r="F1184">
        <v>2014</v>
      </c>
      <c r="G1184">
        <v>31402411</v>
      </c>
      <c r="H1184" s="1">
        <v>41709</v>
      </c>
      <c r="I1184" s="1">
        <v>41716</v>
      </c>
      <c r="J1184" s="1">
        <v>41716</v>
      </c>
      <c r="K1184" s="1">
        <v>41806</v>
      </c>
      <c r="N1184" s="5"/>
      <c r="O1184" s="2">
        <v>2543.1799999999998</v>
      </c>
      <c r="P1184">
        <v>266</v>
      </c>
      <c r="Q1184" s="2">
        <v>676485.88</v>
      </c>
      <c r="R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 s="1">
        <v>42382</v>
      </c>
      <c r="AC1184" t="s">
        <v>53</v>
      </c>
      <c r="AD1184" t="s">
        <v>53</v>
      </c>
      <c r="AK1184">
        <v>0</v>
      </c>
      <c r="AU1184" s="6">
        <v>42072</v>
      </c>
      <c r="AV1184" s="6">
        <v>42072</v>
      </c>
      <c r="AW1184" t="s">
        <v>54</v>
      </c>
      <c r="AX1184" t="str">
        <f t="shared" si="90"/>
        <v>FOR</v>
      </c>
      <c r="AY1184" t="s">
        <v>55</v>
      </c>
    </row>
    <row r="1185" spans="1:51" hidden="1">
      <c r="A1185">
        <v>100270</v>
      </c>
      <c r="B1185" t="s">
        <v>108</v>
      </c>
      <c r="C1185" t="str">
        <f t="shared" si="91"/>
        <v>01364640233</v>
      </c>
      <c r="D1185" t="str">
        <f t="shared" si="92"/>
        <v>03748120155</v>
      </c>
      <c r="E1185" t="s">
        <v>52</v>
      </c>
      <c r="F1185">
        <v>2014</v>
      </c>
      <c r="G1185">
        <v>31402720</v>
      </c>
      <c r="H1185" s="1">
        <v>41717</v>
      </c>
      <c r="I1185" s="1">
        <v>41730</v>
      </c>
      <c r="J1185" s="1">
        <v>41730</v>
      </c>
      <c r="K1185" s="1">
        <v>41820</v>
      </c>
      <c r="N1185" s="5"/>
      <c r="O1185" s="2">
        <v>9883.68</v>
      </c>
      <c r="P1185">
        <v>252</v>
      </c>
      <c r="Q1185" s="2">
        <v>2490687.36</v>
      </c>
      <c r="R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 s="1">
        <v>42382</v>
      </c>
      <c r="AC1185" t="s">
        <v>53</v>
      </c>
      <c r="AD1185" t="s">
        <v>53</v>
      </c>
      <c r="AK1185">
        <v>0</v>
      </c>
      <c r="AU1185" s="6">
        <v>42072</v>
      </c>
      <c r="AV1185" s="6">
        <v>42072</v>
      </c>
      <c r="AW1185" t="s">
        <v>54</v>
      </c>
      <c r="AX1185" t="str">
        <f t="shared" si="90"/>
        <v>FOR</v>
      </c>
      <c r="AY1185" t="s">
        <v>55</v>
      </c>
    </row>
    <row r="1186" spans="1:51" hidden="1">
      <c r="A1186">
        <v>100270</v>
      </c>
      <c r="B1186" t="s">
        <v>108</v>
      </c>
      <c r="C1186" t="str">
        <f t="shared" si="91"/>
        <v>01364640233</v>
      </c>
      <c r="D1186" t="str">
        <f t="shared" si="92"/>
        <v>03748120155</v>
      </c>
      <c r="E1186" t="s">
        <v>52</v>
      </c>
      <c r="F1186">
        <v>2014</v>
      </c>
      <c r="G1186">
        <v>31402721</v>
      </c>
      <c r="H1186" s="1">
        <v>41717</v>
      </c>
      <c r="I1186" s="1">
        <v>41730</v>
      </c>
      <c r="J1186" s="1">
        <v>41730</v>
      </c>
      <c r="K1186" s="1">
        <v>41820</v>
      </c>
      <c r="N1186" s="5"/>
      <c r="O1186" s="2">
        <v>13196.22</v>
      </c>
      <c r="P1186">
        <v>252</v>
      </c>
      <c r="Q1186" s="2">
        <v>3325447.44</v>
      </c>
      <c r="R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 s="1">
        <v>42382</v>
      </c>
      <c r="AC1186" t="s">
        <v>53</v>
      </c>
      <c r="AD1186" t="s">
        <v>53</v>
      </c>
      <c r="AK1186">
        <v>0</v>
      </c>
      <c r="AU1186" s="6">
        <v>42072</v>
      </c>
      <c r="AV1186" s="6">
        <v>42072</v>
      </c>
      <c r="AW1186" t="s">
        <v>54</v>
      </c>
      <c r="AX1186" t="str">
        <f t="shared" si="90"/>
        <v>FOR</v>
      </c>
      <c r="AY1186" t="s">
        <v>55</v>
      </c>
    </row>
    <row r="1187" spans="1:51" hidden="1">
      <c r="A1187">
        <v>100270</v>
      </c>
      <c r="B1187" t="s">
        <v>108</v>
      </c>
      <c r="C1187" t="str">
        <f t="shared" si="91"/>
        <v>01364640233</v>
      </c>
      <c r="D1187" t="str">
        <f t="shared" si="92"/>
        <v>03748120155</v>
      </c>
      <c r="E1187" t="s">
        <v>52</v>
      </c>
      <c r="F1187">
        <v>2014</v>
      </c>
      <c r="G1187">
        <v>31402754</v>
      </c>
      <c r="H1187" s="1">
        <v>41718</v>
      </c>
      <c r="I1187" s="1">
        <v>41730</v>
      </c>
      <c r="J1187" s="1">
        <v>41730</v>
      </c>
      <c r="K1187" s="1">
        <v>41820</v>
      </c>
      <c r="N1187" s="5"/>
      <c r="O1187" s="2">
        <v>10652.28</v>
      </c>
      <c r="P1187">
        <v>252</v>
      </c>
      <c r="Q1187" s="2">
        <v>2684374.56</v>
      </c>
      <c r="R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 s="1">
        <v>42382</v>
      </c>
      <c r="AC1187" t="s">
        <v>53</v>
      </c>
      <c r="AD1187" t="s">
        <v>53</v>
      </c>
      <c r="AK1187">
        <v>0</v>
      </c>
      <c r="AU1187" s="6">
        <v>42072</v>
      </c>
      <c r="AV1187" s="6">
        <v>42072</v>
      </c>
      <c r="AW1187" t="s">
        <v>54</v>
      </c>
      <c r="AX1187" t="str">
        <f t="shared" si="90"/>
        <v>FOR</v>
      </c>
      <c r="AY1187" t="s">
        <v>55</v>
      </c>
    </row>
    <row r="1188" spans="1:51" hidden="1">
      <c r="A1188">
        <v>100270</v>
      </c>
      <c r="B1188" t="s">
        <v>108</v>
      </c>
      <c r="C1188" t="str">
        <f t="shared" si="91"/>
        <v>01364640233</v>
      </c>
      <c r="D1188" t="str">
        <f t="shared" si="92"/>
        <v>03748120155</v>
      </c>
      <c r="E1188" t="s">
        <v>52</v>
      </c>
      <c r="F1188">
        <v>2014</v>
      </c>
      <c r="G1188">
        <v>31402858</v>
      </c>
      <c r="H1188" s="1">
        <v>41722</v>
      </c>
      <c r="I1188" s="1">
        <v>41736</v>
      </c>
      <c r="J1188" s="1">
        <v>41736</v>
      </c>
      <c r="K1188" s="1">
        <v>41826</v>
      </c>
      <c r="N1188" s="5"/>
      <c r="O1188">
        <v>294.57</v>
      </c>
      <c r="P1188">
        <v>246</v>
      </c>
      <c r="Q1188" s="2">
        <v>72464.22</v>
      </c>
      <c r="R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 s="1">
        <v>42382</v>
      </c>
      <c r="AC1188" t="s">
        <v>53</v>
      </c>
      <c r="AD1188" t="s">
        <v>53</v>
      </c>
      <c r="AK1188">
        <v>0</v>
      </c>
      <c r="AU1188" s="6">
        <v>42072</v>
      </c>
      <c r="AV1188" s="6">
        <v>42072</v>
      </c>
      <c r="AW1188" t="s">
        <v>54</v>
      </c>
      <c r="AX1188" t="str">
        <f t="shared" si="90"/>
        <v>FOR</v>
      </c>
      <c r="AY1188" t="s">
        <v>55</v>
      </c>
    </row>
    <row r="1189" spans="1:51" hidden="1">
      <c r="A1189">
        <v>100270</v>
      </c>
      <c r="B1189" t="s">
        <v>108</v>
      </c>
      <c r="C1189" t="str">
        <f t="shared" si="91"/>
        <v>01364640233</v>
      </c>
      <c r="D1189" t="str">
        <f t="shared" si="92"/>
        <v>03748120155</v>
      </c>
      <c r="E1189" t="s">
        <v>52</v>
      </c>
      <c r="F1189">
        <v>2014</v>
      </c>
      <c r="G1189">
        <v>31402859</v>
      </c>
      <c r="H1189" s="1">
        <v>41722</v>
      </c>
      <c r="I1189" s="1">
        <v>41736</v>
      </c>
      <c r="J1189" s="1">
        <v>41736</v>
      </c>
      <c r="K1189" s="1">
        <v>41826</v>
      </c>
      <c r="N1189" s="5"/>
      <c r="O1189">
        <v>297.60000000000002</v>
      </c>
      <c r="P1189">
        <v>246</v>
      </c>
      <c r="Q1189" s="2">
        <v>73209.600000000006</v>
      </c>
      <c r="R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 s="1">
        <v>42382</v>
      </c>
      <c r="AC1189" t="s">
        <v>53</v>
      </c>
      <c r="AD1189" t="s">
        <v>53</v>
      </c>
      <c r="AK1189">
        <v>0</v>
      </c>
      <c r="AU1189" s="6">
        <v>42072</v>
      </c>
      <c r="AV1189" s="6">
        <v>42072</v>
      </c>
      <c r="AW1189" t="s">
        <v>54</v>
      </c>
      <c r="AX1189" t="str">
        <f t="shared" si="90"/>
        <v>FOR</v>
      </c>
      <c r="AY1189" t="s">
        <v>55</v>
      </c>
    </row>
    <row r="1190" spans="1:51" hidden="1">
      <c r="A1190">
        <v>100270</v>
      </c>
      <c r="B1190" t="s">
        <v>108</v>
      </c>
      <c r="C1190" t="str">
        <f t="shared" si="91"/>
        <v>01364640233</v>
      </c>
      <c r="D1190" t="str">
        <f t="shared" si="92"/>
        <v>03748120155</v>
      </c>
      <c r="E1190" t="s">
        <v>52</v>
      </c>
      <c r="F1190">
        <v>2014</v>
      </c>
      <c r="G1190">
        <v>31402860</v>
      </c>
      <c r="H1190" s="1">
        <v>41722</v>
      </c>
      <c r="I1190" s="1">
        <v>41736</v>
      </c>
      <c r="J1190" s="1">
        <v>41736</v>
      </c>
      <c r="K1190" s="1">
        <v>41826</v>
      </c>
      <c r="N1190" s="5"/>
      <c r="O1190">
        <v>297.60000000000002</v>
      </c>
      <c r="P1190">
        <v>246</v>
      </c>
      <c r="Q1190" s="2">
        <v>73209.600000000006</v>
      </c>
      <c r="R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 s="1">
        <v>42382</v>
      </c>
      <c r="AC1190" t="s">
        <v>53</v>
      </c>
      <c r="AD1190" t="s">
        <v>53</v>
      </c>
      <c r="AK1190">
        <v>0</v>
      </c>
      <c r="AU1190" s="6">
        <v>42072</v>
      </c>
      <c r="AV1190" s="6">
        <v>42072</v>
      </c>
      <c r="AW1190" t="s">
        <v>54</v>
      </c>
      <c r="AX1190" t="str">
        <f t="shared" si="90"/>
        <v>FOR</v>
      </c>
      <c r="AY1190" t="s">
        <v>55</v>
      </c>
    </row>
    <row r="1191" spans="1:51" hidden="1">
      <c r="A1191">
        <v>100270</v>
      </c>
      <c r="B1191" t="s">
        <v>108</v>
      </c>
      <c r="C1191" t="str">
        <f t="shared" si="91"/>
        <v>01364640233</v>
      </c>
      <c r="D1191" t="str">
        <f t="shared" si="92"/>
        <v>03748120155</v>
      </c>
      <c r="E1191" t="s">
        <v>52</v>
      </c>
      <c r="F1191">
        <v>2014</v>
      </c>
      <c r="G1191">
        <v>31403253</v>
      </c>
      <c r="H1191" s="1">
        <v>41731</v>
      </c>
      <c r="I1191" s="1">
        <v>41739</v>
      </c>
      <c r="J1191" s="1">
        <v>41739</v>
      </c>
      <c r="K1191" s="1">
        <v>41829</v>
      </c>
      <c r="N1191" s="5"/>
      <c r="O1191" s="2">
        <v>2543.1799999999998</v>
      </c>
      <c r="P1191">
        <v>301</v>
      </c>
      <c r="Q1191" s="2">
        <v>765497.18</v>
      </c>
      <c r="R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 s="1">
        <v>42382</v>
      </c>
      <c r="AC1191" t="s">
        <v>53</v>
      </c>
      <c r="AD1191" t="s">
        <v>53</v>
      </c>
      <c r="AK1191">
        <v>0</v>
      </c>
      <c r="AU1191" s="6">
        <v>42130</v>
      </c>
      <c r="AV1191" s="6">
        <v>42130</v>
      </c>
      <c r="AW1191" t="s">
        <v>54</v>
      </c>
      <c r="AX1191" t="str">
        <f t="shared" si="90"/>
        <v>FOR</v>
      </c>
      <c r="AY1191" t="s">
        <v>55</v>
      </c>
    </row>
    <row r="1192" spans="1:51" hidden="1">
      <c r="A1192">
        <v>100270</v>
      </c>
      <c r="B1192" t="s">
        <v>108</v>
      </c>
      <c r="C1192" t="str">
        <f t="shared" si="91"/>
        <v>01364640233</v>
      </c>
      <c r="D1192" t="str">
        <f t="shared" si="92"/>
        <v>03748120155</v>
      </c>
      <c r="E1192" t="s">
        <v>52</v>
      </c>
      <c r="F1192">
        <v>2014</v>
      </c>
      <c r="G1192">
        <v>31404060</v>
      </c>
      <c r="H1192" s="1">
        <v>41753</v>
      </c>
      <c r="I1192" s="1">
        <v>41767</v>
      </c>
      <c r="J1192" s="1">
        <v>41767</v>
      </c>
      <c r="K1192" s="1">
        <v>41857</v>
      </c>
      <c r="N1192" s="5"/>
      <c r="O1192">
        <v>297.60000000000002</v>
      </c>
      <c r="P1192">
        <v>273</v>
      </c>
      <c r="Q1192" s="2">
        <v>81244.800000000003</v>
      </c>
      <c r="R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 s="1">
        <v>42382</v>
      </c>
      <c r="AC1192" t="s">
        <v>53</v>
      </c>
      <c r="AD1192" t="s">
        <v>53</v>
      </c>
      <c r="AK1192">
        <v>0</v>
      </c>
      <c r="AU1192" s="6">
        <v>42130</v>
      </c>
      <c r="AV1192" s="6">
        <v>42130</v>
      </c>
      <c r="AW1192" t="s">
        <v>54</v>
      </c>
      <c r="AX1192" t="str">
        <f t="shared" si="90"/>
        <v>FOR</v>
      </c>
      <c r="AY1192" t="s">
        <v>55</v>
      </c>
    </row>
    <row r="1193" spans="1:51" hidden="1">
      <c r="A1193">
        <v>100270</v>
      </c>
      <c r="B1193" t="s">
        <v>108</v>
      </c>
      <c r="C1193" t="str">
        <f t="shared" ref="C1193:C1224" si="93">"01364640233"</f>
        <v>01364640233</v>
      </c>
      <c r="D1193" t="str">
        <f t="shared" ref="D1193:D1224" si="94">"03748120155"</f>
        <v>03748120155</v>
      </c>
      <c r="E1193" t="s">
        <v>52</v>
      </c>
      <c r="F1193">
        <v>2014</v>
      </c>
      <c r="G1193">
        <v>31404062</v>
      </c>
      <c r="H1193" s="1">
        <v>41753</v>
      </c>
      <c r="I1193" s="1">
        <v>41767</v>
      </c>
      <c r="J1193" s="1">
        <v>41767</v>
      </c>
      <c r="K1193" s="1">
        <v>41857</v>
      </c>
      <c r="N1193" s="5"/>
      <c r="O1193">
        <v>297.60000000000002</v>
      </c>
      <c r="P1193">
        <v>273</v>
      </c>
      <c r="Q1193" s="2">
        <v>81244.800000000003</v>
      </c>
      <c r="R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 s="1">
        <v>42382</v>
      </c>
      <c r="AC1193" t="s">
        <v>53</v>
      </c>
      <c r="AD1193" t="s">
        <v>53</v>
      </c>
      <c r="AK1193">
        <v>0</v>
      </c>
      <c r="AU1193" s="6">
        <v>42130</v>
      </c>
      <c r="AV1193" s="6">
        <v>42130</v>
      </c>
      <c r="AW1193" t="s">
        <v>54</v>
      </c>
      <c r="AX1193" t="str">
        <f t="shared" si="90"/>
        <v>FOR</v>
      </c>
      <c r="AY1193" t="s">
        <v>55</v>
      </c>
    </row>
    <row r="1194" spans="1:51" hidden="1">
      <c r="A1194">
        <v>100270</v>
      </c>
      <c r="B1194" t="s">
        <v>108</v>
      </c>
      <c r="C1194" t="str">
        <f t="shared" si="93"/>
        <v>01364640233</v>
      </c>
      <c r="D1194" t="str">
        <f t="shared" si="94"/>
        <v>03748120155</v>
      </c>
      <c r="E1194" t="s">
        <v>52</v>
      </c>
      <c r="F1194">
        <v>2014</v>
      </c>
      <c r="G1194">
        <v>31404261</v>
      </c>
      <c r="H1194" s="1">
        <v>41764</v>
      </c>
      <c r="I1194" s="1">
        <v>41773</v>
      </c>
      <c r="J1194" s="1">
        <v>41773</v>
      </c>
      <c r="K1194" s="1">
        <v>41863</v>
      </c>
      <c r="N1194" s="5"/>
      <c r="O1194" s="2">
        <v>1351.86</v>
      </c>
      <c r="P1194">
        <v>267</v>
      </c>
      <c r="Q1194" s="2">
        <v>360946.62</v>
      </c>
      <c r="R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 s="1">
        <v>42382</v>
      </c>
      <c r="AC1194" t="s">
        <v>53</v>
      </c>
      <c r="AD1194" t="s">
        <v>53</v>
      </c>
      <c r="AK1194">
        <v>0</v>
      </c>
      <c r="AU1194" s="6">
        <v>42130</v>
      </c>
      <c r="AV1194" s="6">
        <v>42130</v>
      </c>
      <c r="AW1194" t="s">
        <v>54</v>
      </c>
      <c r="AX1194" t="str">
        <f t="shared" si="90"/>
        <v>FOR</v>
      </c>
      <c r="AY1194" t="s">
        <v>55</v>
      </c>
    </row>
    <row r="1195" spans="1:51" hidden="1">
      <c r="A1195">
        <v>100270</v>
      </c>
      <c r="B1195" t="s">
        <v>108</v>
      </c>
      <c r="C1195" t="str">
        <f t="shared" si="93"/>
        <v>01364640233</v>
      </c>
      <c r="D1195" t="str">
        <f t="shared" si="94"/>
        <v>03748120155</v>
      </c>
      <c r="E1195" t="s">
        <v>52</v>
      </c>
      <c r="F1195">
        <v>2014</v>
      </c>
      <c r="G1195">
        <v>31404482</v>
      </c>
      <c r="H1195" s="1">
        <v>41768</v>
      </c>
      <c r="I1195" s="1">
        <v>41778</v>
      </c>
      <c r="J1195" s="1">
        <v>41778</v>
      </c>
      <c r="K1195" s="1">
        <v>41868</v>
      </c>
      <c r="N1195" s="5"/>
      <c r="O1195" s="2">
        <v>2253.66</v>
      </c>
      <c r="P1195">
        <v>262</v>
      </c>
      <c r="Q1195" s="2">
        <v>590458.92000000004</v>
      </c>
      <c r="R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 s="1">
        <v>42382</v>
      </c>
      <c r="AC1195" t="s">
        <v>53</v>
      </c>
      <c r="AD1195" t="s">
        <v>53</v>
      </c>
      <c r="AK1195">
        <v>0</v>
      </c>
      <c r="AU1195" s="6">
        <v>42130</v>
      </c>
      <c r="AV1195" s="6">
        <v>42130</v>
      </c>
      <c r="AW1195" t="s">
        <v>54</v>
      </c>
      <c r="AX1195" t="str">
        <f t="shared" si="90"/>
        <v>FOR</v>
      </c>
      <c r="AY1195" t="s">
        <v>55</v>
      </c>
    </row>
    <row r="1196" spans="1:51" hidden="1">
      <c r="A1196">
        <v>100270</v>
      </c>
      <c r="B1196" t="s">
        <v>108</v>
      </c>
      <c r="C1196" t="str">
        <f t="shared" si="93"/>
        <v>01364640233</v>
      </c>
      <c r="D1196" t="str">
        <f t="shared" si="94"/>
        <v>03748120155</v>
      </c>
      <c r="E1196" t="s">
        <v>52</v>
      </c>
      <c r="F1196">
        <v>2014</v>
      </c>
      <c r="G1196">
        <v>31404483</v>
      </c>
      <c r="H1196" s="1">
        <v>41768</v>
      </c>
      <c r="I1196" s="1">
        <v>41778</v>
      </c>
      <c r="J1196" s="1">
        <v>41778</v>
      </c>
      <c r="K1196" s="1">
        <v>41868</v>
      </c>
      <c r="N1196" s="5"/>
      <c r="O1196" s="2">
        <v>2253.66</v>
      </c>
      <c r="P1196">
        <v>262</v>
      </c>
      <c r="Q1196" s="2">
        <v>590458.92000000004</v>
      </c>
      <c r="R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 s="1">
        <v>42382</v>
      </c>
      <c r="AC1196" t="s">
        <v>53</v>
      </c>
      <c r="AD1196" t="s">
        <v>53</v>
      </c>
      <c r="AK1196">
        <v>0</v>
      </c>
      <c r="AU1196" s="6">
        <v>42130</v>
      </c>
      <c r="AV1196" s="6">
        <v>42130</v>
      </c>
      <c r="AW1196" t="s">
        <v>54</v>
      </c>
      <c r="AX1196" t="str">
        <f t="shared" si="90"/>
        <v>FOR</v>
      </c>
      <c r="AY1196" t="s">
        <v>55</v>
      </c>
    </row>
    <row r="1197" spans="1:51" hidden="1">
      <c r="A1197">
        <v>100270</v>
      </c>
      <c r="B1197" t="s">
        <v>108</v>
      </c>
      <c r="C1197" t="str">
        <f t="shared" si="93"/>
        <v>01364640233</v>
      </c>
      <c r="D1197" t="str">
        <f t="shared" si="94"/>
        <v>03748120155</v>
      </c>
      <c r="E1197" t="s">
        <v>52</v>
      </c>
      <c r="F1197">
        <v>2014</v>
      </c>
      <c r="G1197">
        <v>31404793</v>
      </c>
      <c r="H1197" s="1">
        <v>41778</v>
      </c>
      <c r="I1197" s="1">
        <v>41788</v>
      </c>
      <c r="J1197" s="1">
        <v>41788</v>
      </c>
      <c r="K1197" s="1">
        <v>41878</v>
      </c>
      <c r="N1197" s="5"/>
      <c r="O1197">
        <v>297.60000000000002</v>
      </c>
      <c r="P1197">
        <v>252</v>
      </c>
      <c r="Q1197" s="2">
        <v>74995.199999999997</v>
      </c>
      <c r="R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 s="1">
        <v>42382</v>
      </c>
      <c r="AC1197" t="s">
        <v>53</v>
      </c>
      <c r="AD1197" t="s">
        <v>53</v>
      </c>
      <c r="AK1197">
        <v>0</v>
      </c>
      <c r="AU1197" s="6">
        <v>42130</v>
      </c>
      <c r="AV1197" s="6">
        <v>42130</v>
      </c>
      <c r="AW1197" t="s">
        <v>54</v>
      </c>
      <c r="AX1197" t="str">
        <f t="shared" si="90"/>
        <v>FOR</v>
      </c>
      <c r="AY1197" t="s">
        <v>55</v>
      </c>
    </row>
    <row r="1198" spans="1:51" hidden="1">
      <c r="A1198">
        <v>100270</v>
      </c>
      <c r="B1198" t="s">
        <v>108</v>
      </c>
      <c r="C1198" t="str">
        <f t="shared" si="93"/>
        <v>01364640233</v>
      </c>
      <c r="D1198" t="str">
        <f t="shared" si="94"/>
        <v>03748120155</v>
      </c>
      <c r="E1198" t="s">
        <v>52</v>
      </c>
      <c r="F1198">
        <v>2014</v>
      </c>
      <c r="G1198">
        <v>31404794</v>
      </c>
      <c r="H1198" s="1">
        <v>41778</v>
      </c>
      <c r="I1198" s="1">
        <v>41788</v>
      </c>
      <c r="J1198" s="1">
        <v>41788</v>
      </c>
      <c r="K1198" s="1">
        <v>41878</v>
      </c>
      <c r="N1198" s="5"/>
      <c r="O1198">
        <v>297.60000000000002</v>
      </c>
      <c r="P1198">
        <v>252</v>
      </c>
      <c r="Q1198" s="2">
        <v>74995.199999999997</v>
      </c>
      <c r="R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 s="1">
        <v>42382</v>
      </c>
      <c r="AC1198" t="s">
        <v>53</v>
      </c>
      <c r="AD1198" t="s">
        <v>53</v>
      </c>
      <c r="AK1198">
        <v>0</v>
      </c>
      <c r="AU1198" s="6">
        <v>42130</v>
      </c>
      <c r="AV1198" s="6">
        <v>42130</v>
      </c>
      <c r="AW1198" t="s">
        <v>54</v>
      </c>
      <c r="AX1198" t="str">
        <f t="shared" si="90"/>
        <v>FOR</v>
      </c>
      <c r="AY1198" t="s">
        <v>55</v>
      </c>
    </row>
    <row r="1199" spans="1:51" hidden="1">
      <c r="A1199">
        <v>100270</v>
      </c>
      <c r="B1199" t="s">
        <v>108</v>
      </c>
      <c r="C1199" t="str">
        <f t="shared" si="93"/>
        <v>01364640233</v>
      </c>
      <c r="D1199" t="str">
        <f t="shared" si="94"/>
        <v>03748120155</v>
      </c>
      <c r="E1199" t="s">
        <v>52</v>
      </c>
      <c r="F1199">
        <v>2014</v>
      </c>
      <c r="G1199">
        <v>31405560</v>
      </c>
      <c r="H1199" s="1">
        <v>41801</v>
      </c>
      <c r="I1199" s="1">
        <v>41815</v>
      </c>
      <c r="J1199" s="1">
        <v>41815</v>
      </c>
      <c r="K1199" s="1">
        <v>41905</v>
      </c>
      <c r="N1199" s="5"/>
      <c r="O1199">
        <v>297.60000000000002</v>
      </c>
      <c r="P1199">
        <v>254</v>
      </c>
      <c r="Q1199" s="2">
        <v>75590.399999999994</v>
      </c>
      <c r="R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 s="1">
        <v>42382</v>
      </c>
      <c r="AC1199" t="s">
        <v>53</v>
      </c>
      <c r="AD1199" t="s">
        <v>53</v>
      </c>
      <c r="AK1199">
        <v>0</v>
      </c>
      <c r="AU1199" s="6">
        <v>42159</v>
      </c>
      <c r="AV1199" s="6">
        <v>42159</v>
      </c>
      <c r="AW1199" t="s">
        <v>54</v>
      </c>
      <c r="AX1199" t="str">
        <f t="shared" si="90"/>
        <v>FOR</v>
      </c>
      <c r="AY1199" t="s">
        <v>55</v>
      </c>
    </row>
    <row r="1200" spans="1:51" hidden="1">
      <c r="A1200">
        <v>100270</v>
      </c>
      <c r="B1200" t="s">
        <v>108</v>
      </c>
      <c r="C1200" t="str">
        <f t="shared" si="93"/>
        <v>01364640233</v>
      </c>
      <c r="D1200" t="str">
        <f t="shared" si="94"/>
        <v>03748120155</v>
      </c>
      <c r="E1200" t="s">
        <v>52</v>
      </c>
      <c r="F1200">
        <v>2014</v>
      </c>
      <c r="G1200">
        <v>31405561</v>
      </c>
      <c r="H1200" s="1">
        <v>41801</v>
      </c>
      <c r="I1200" s="1">
        <v>41815</v>
      </c>
      <c r="J1200" s="1">
        <v>41815</v>
      </c>
      <c r="K1200" s="1">
        <v>41905</v>
      </c>
      <c r="N1200" s="5"/>
      <c r="O1200">
        <v>297.60000000000002</v>
      </c>
      <c r="P1200">
        <v>254</v>
      </c>
      <c r="Q1200" s="2">
        <v>75590.399999999994</v>
      </c>
      <c r="R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 s="1">
        <v>42382</v>
      </c>
      <c r="AC1200" t="s">
        <v>53</v>
      </c>
      <c r="AD1200" t="s">
        <v>53</v>
      </c>
      <c r="AK1200">
        <v>0</v>
      </c>
      <c r="AU1200" s="6">
        <v>42159</v>
      </c>
      <c r="AV1200" s="6">
        <v>42159</v>
      </c>
      <c r="AW1200" t="s">
        <v>54</v>
      </c>
      <c r="AX1200" t="str">
        <f t="shared" si="90"/>
        <v>FOR</v>
      </c>
      <c r="AY1200" t="s">
        <v>55</v>
      </c>
    </row>
    <row r="1201" spans="1:51" hidden="1">
      <c r="A1201">
        <v>100270</v>
      </c>
      <c r="B1201" t="s">
        <v>108</v>
      </c>
      <c r="C1201" t="str">
        <f t="shared" si="93"/>
        <v>01364640233</v>
      </c>
      <c r="D1201" t="str">
        <f t="shared" si="94"/>
        <v>03748120155</v>
      </c>
      <c r="E1201" t="s">
        <v>52</v>
      </c>
      <c r="F1201">
        <v>2014</v>
      </c>
      <c r="G1201">
        <v>31405562</v>
      </c>
      <c r="H1201" s="1">
        <v>41801</v>
      </c>
      <c r="I1201" s="1">
        <v>41815</v>
      </c>
      <c r="J1201" s="1">
        <v>41815</v>
      </c>
      <c r="K1201" s="1">
        <v>41905</v>
      </c>
      <c r="N1201" s="5"/>
      <c r="O1201">
        <v>297.60000000000002</v>
      </c>
      <c r="P1201">
        <v>254</v>
      </c>
      <c r="Q1201" s="2">
        <v>75590.399999999994</v>
      </c>
      <c r="R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 s="1">
        <v>42382</v>
      </c>
      <c r="AC1201" t="s">
        <v>53</v>
      </c>
      <c r="AD1201" t="s">
        <v>53</v>
      </c>
      <c r="AK1201">
        <v>0</v>
      </c>
      <c r="AU1201" s="6">
        <v>42159</v>
      </c>
      <c r="AV1201" s="6">
        <v>42159</v>
      </c>
      <c r="AW1201" t="s">
        <v>54</v>
      </c>
      <c r="AX1201" t="str">
        <f t="shared" si="90"/>
        <v>FOR</v>
      </c>
      <c r="AY1201" t="s">
        <v>55</v>
      </c>
    </row>
    <row r="1202" spans="1:51" hidden="1">
      <c r="A1202">
        <v>100270</v>
      </c>
      <c r="B1202" t="s">
        <v>108</v>
      </c>
      <c r="C1202" t="str">
        <f t="shared" si="93"/>
        <v>01364640233</v>
      </c>
      <c r="D1202" t="str">
        <f t="shared" si="94"/>
        <v>03748120155</v>
      </c>
      <c r="E1202" t="s">
        <v>52</v>
      </c>
      <c r="F1202">
        <v>2014</v>
      </c>
      <c r="G1202">
        <v>31406095</v>
      </c>
      <c r="H1202" s="1">
        <v>41815</v>
      </c>
      <c r="I1202" s="1">
        <v>41827</v>
      </c>
      <c r="J1202" s="1">
        <v>41827</v>
      </c>
      <c r="K1202" s="1">
        <v>41917</v>
      </c>
      <c r="N1202" s="5"/>
      <c r="O1202" s="2">
        <v>2253.66</v>
      </c>
      <c r="P1202">
        <v>242</v>
      </c>
      <c r="Q1202" s="2">
        <v>545385.72</v>
      </c>
      <c r="R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 s="1">
        <v>42382</v>
      </c>
      <c r="AC1202" t="s">
        <v>53</v>
      </c>
      <c r="AD1202" t="s">
        <v>53</v>
      </c>
      <c r="AK1202">
        <v>0</v>
      </c>
      <c r="AU1202" s="6">
        <v>42159</v>
      </c>
      <c r="AV1202" s="6">
        <v>42159</v>
      </c>
      <c r="AW1202" t="s">
        <v>54</v>
      </c>
      <c r="AX1202" t="str">
        <f t="shared" si="90"/>
        <v>FOR</v>
      </c>
      <c r="AY1202" t="s">
        <v>55</v>
      </c>
    </row>
    <row r="1203" spans="1:51" hidden="1">
      <c r="A1203">
        <v>100270</v>
      </c>
      <c r="B1203" t="s">
        <v>108</v>
      </c>
      <c r="C1203" t="str">
        <f t="shared" si="93"/>
        <v>01364640233</v>
      </c>
      <c r="D1203" t="str">
        <f t="shared" si="94"/>
        <v>03748120155</v>
      </c>
      <c r="E1203" t="s">
        <v>52</v>
      </c>
      <c r="F1203">
        <v>2014</v>
      </c>
      <c r="G1203">
        <v>31406096</v>
      </c>
      <c r="H1203" s="1">
        <v>41815</v>
      </c>
      <c r="I1203" s="1">
        <v>41829</v>
      </c>
      <c r="J1203" s="1">
        <v>41829</v>
      </c>
      <c r="K1203" s="1">
        <v>41919</v>
      </c>
      <c r="N1203" s="5"/>
      <c r="O1203">
        <v>297.60000000000002</v>
      </c>
      <c r="P1203">
        <v>240</v>
      </c>
      <c r="Q1203" s="2">
        <v>71424</v>
      </c>
      <c r="R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 s="1">
        <v>42382</v>
      </c>
      <c r="AC1203" t="s">
        <v>53</v>
      </c>
      <c r="AD1203" t="s">
        <v>53</v>
      </c>
      <c r="AK1203">
        <v>0</v>
      </c>
      <c r="AU1203" s="6">
        <v>42159</v>
      </c>
      <c r="AV1203" s="6">
        <v>42159</v>
      </c>
      <c r="AW1203" t="s">
        <v>54</v>
      </c>
      <c r="AX1203" t="str">
        <f t="shared" si="90"/>
        <v>FOR</v>
      </c>
      <c r="AY1203" t="s">
        <v>55</v>
      </c>
    </row>
    <row r="1204" spans="1:51" hidden="1">
      <c r="A1204">
        <v>100270</v>
      </c>
      <c r="B1204" t="s">
        <v>108</v>
      </c>
      <c r="C1204" t="str">
        <f t="shared" si="93"/>
        <v>01364640233</v>
      </c>
      <c r="D1204" t="str">
        <f t="shared" si="94"/>
        <v>03748120155</v>
      </c>
      <c r="E1204" t="s">
        <v>52</v>
      </c>
      <c r="F1204">
        <v>2014</v>
      </c>
      <c r="G1204">
        <v>31406097</v>
      </c>
      <c r="H1204" s="1">
        <v>41815</v>
      </c>
      <c r="I1204" s="1">
        <v>41827</v>
      </c>
      <c r="J1204" s="1">
        <v>41827</v>
      </c>
      <c r="K1204" s="1">
        <v>41917</v>
      </c>
      <c r="N1204" s="5"/>
      <c r="O1204">
        <v>297.60000000000002</v>
      </c>
      <c r="P1204">
        <v>242</v>
      </c>
      <c r="Q1204" s="2">
        <v>72019.199999999997</v>
      </c>
      <c r="R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 s="1">
        <v>42382</v>
      </c>
      <c r="AC1204" t="s">
        <v>53</v>
      </c>
      <c r="AD1204" t="s">
        <v>53</v>
      </c>
      <c r="AK1204">
        <v>0</v>
      </c>
      <c r="AU1204" s="6">
        <v>42159</v>
      </c>
      <c r="AV1204" s="6">
        <v>42159</v>
      </c>
      <c r="AW1204" t="s">
        <v>54</v>
      </c>
      <c r="AX1204" t="str">
        <f t="shared" si="90"/>
        <v>FOR</v>
      </c>
      <c r="AY1204" t="s">
        <v>55</v>
      </c>
    </row>
    <row r="1205" spans="1:51" hidden="1">
      <c r="A1205">
        <v>100270</v>
      </c>
      <c r="B1205" t="s">
        <v>108</v>
      </c>
      <c r="C1205" t="str">
        <f t="shared" si="93"/>
        <v>01364640233</v>
      </c>
      <c r="D1205" t="str">
        <f t="shared" si="94"/>
        <v>03748120155</v>
      </c>
      <c r="E1205" t="s">
        <v>52</v>
      </c>
      <c r="F1205">
        <v>2014</v>
      </c>
      <c r="G1205">
        <v>31406099</v>
      </c>
      <c r="H1205" s="1">
        <v>41815</v>
      </c>
      <c r="I1205" s="1">
        <v>41827</v>
      </c>
      <c r="J1205" s="1">
        <v>41827</v>
      </c>
      <c r="K1205" s="1">
        <v>41917</v>
      </c>
      <c r="N1205" s="5"/>
      <c r="O1205" s="2">
        <v>2543.1799999999998</v>
      </c>
      <c r="P1205">
        <v>242</v>
      </c>
      <c r="Q1205" s="2">
        <v>615449.56000000006</v>
      </c>
      <c r="R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 s="1">
        <v>42382</v>
      </c>
      <c r="AC1205" t="s">
        <v>53</v>
      </c>
      <c r="AD1205" t="s">
        <v>53</v>
      </c>
      <c r="AK1205">
        <v>0</v>
      </c>
      <c r="AU1205" s="6">
        <v>42159</v>
      </c>
      <c r="AV1205" s="6">
        <v>42159</v>
      </c>
      <c r="AW1205" t="s">
        <v>54</v>
      </c>
      <c r="AX1205" t="str">
        <f t="shared" si="90"/>
        <v>FOR</v>
      </c>
      <c r="AY1205" t="s">
        <v>55</v>
      </c>
    </row>
    <row r="1206" spans="1:51" hidden="1">
      <c r="A1206">
        <v>100270</v>
      </c>
      <c r="B1206" t="s">
        <v>108</v>
      </c>
      <c r="C1206" t="str">
        <f t="shared" si="93"/>
        <v>01364640233</v>
      </c>
      <c r="D1206" t="str">
        <f t="shared" si="94"/>
        <v>03748120155</v>
      </c>
      <c r="E1206" t="s">
        <v>52</v>
      </c>
      <c r="F1206">
        <v>2014</v>
      </c>
      <c r="G1206">
        <v>31406169</v>
      </c>
      <c r="H1206" s="1">
        <v>41816</v>
      </c>
      <c r="I1206" s="1">
        <v>41827</v>
      </c>
      <c r="J1206" s="1">
        <v>41827</v>
      </c>
      <c r="K1206" s="1">
        <v>41917</v>
      </c>
      <c r="N1206" s="5"/>
      <c r="O1206">
        <v>297.60000000000002</v>
      </c>
      <c r="P1206">
        <v>242</v>
      </c>
      <c r="Q1206" s="2">
        <v>72019.199999999997</v>
      </c>
      <c r="R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 s="1">
        <v>42382</v>
      </c>
      <c r="AC1206" t="s">
        <v>53</v>
      </c>
      <c r="AD1206" t="s">
        <v>53</v>
      </c>
      <c r="AK1206">
        <v>0</v>
      </c>
      <c r="AU1206" s="6">
        <v>42159</v>
      </c>
      <c r="AV1206" s="6">
        <v>42159</v>
      </c>
      <c r="AW1206" t="s">
        <v>54</v>
      </c>
      <c r="AX1206" t="str">
        <f t="shared" si="90"/>
        <v>FOR</v>
      </c>
      <c r="AY1206" t="s">
        <v>55</v>
      </c>
    </row>
    <row r="1207" spans="1:51" hidden="1">
      <c r="A1207">
        <v>100270</v>
      </c>
      <c r="B1207" t="s">
        <v>108</v>
      </c>
      <c r="C1207" t="str">
        <f t="shared" si="93"/>
        <v>01364640233</v>
      </c>
      <c r="D1207" t="str">
        <f t="shared" si="94"/>
        <v>03748120155</v>
      </c>
      <c r="E1207" t="s">
        <v>52</v>
      </c>
      <c r="F1207">
        <v>2014</v>
      </c>
      <c r="G1207">
        <v>31406572</v>
      </c>
      <c r="H1207" s="1">
        <v>41827</v>
      </c>
      <c r="I1207" s="1">
        <v>41837</v>
      </c>
      <c r="J1207" s="1">
        <v>41837</v>
      </c>
      <c r="K1207" s="1">
        <v>41927</v>
      </c>
      <c r="N1207" s="5"/>
      <c r="O1207">
        <v>297.60000000000002</v>
      </c>
      <c r="P1207">
        <v>261</v>
      </c>
      <c r="Q1207" s="2">
        <v>77673.600000000006</v>
      </c>
      <c r="R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 s="1">
        <v>42382</v>
      </c>
      <c r="AC1207" t="s">
        <v>53</v>
      </c>
      <c r="AD1207" t="s">
        <v>53</v>
      </c>
      <c r="AK1207">
        <v>0</v>
      </c>
      <c r="AU1207" s="6">
        <v>42188</v>
      </c>
      <c r="AV1207" s="6">
        <v>42188</v>
      </c>
      <c r="AW1207" t="s">
        <v>54</v>
      </c>
      <c r="AX1207" t="str">
        <f t="shared" si="90"/>
        <v>FOR</v>
      </c>
      <c r="AY1207" t="s">
        <v>55</v>
      </c>
    </row>
    <row r="1208" spans="1:51" hidden="1">
      <c r="A1208">
        <v>100270</v>
      </c>
      <c r="B1208" t="s">
        <v>108</v>
      </c>
      <c r="C1208" t="str">
        <f t="shared" si="93"/>
        <v>01364640233</v>
      </c>
      <c r="D1208" t="str">
        <f t="shared" si="94"/>
        <v>03748120155</v>
      </c>
      <c r="E1208" t="s">
        <v>52</v>
      </c>
      <c r="F1208">
        <v>2014</v>
      </c>
      <c r="G1208">
        <v>31406573</v>
      </c>
      <c r="H1208" s="1">
        <v>41827</v>
      </c>
      <c r="I1208" s="1">
        <v>41837</v>
      </c>
      <c r="J1208" s="1">
        <v>41837</v>
      </c>
      <c r="K1208" s="1">
        <v>41927</v>
      </c>
      <c r="N1208" s="5"/>
      <c r="O1208">
        <v>297.60000000000002</v>
      </c>
      <c r="P1208">
        <v>261</v>
      </c>
      <c r="Q1208" s="2">
        <v>77673.600000000006</v>
      </c>
      <c r="R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 s="1">
        <v>42382</v>
      </c>
      <c r="AC1208" t="s">
        <v>53</v>
      </c>
      <c r="AD1208" t="s">
        <v>53</v>
      </c>
      <c r="AK1208">
        <v>0</v>
      </c>
      <c r="AU1208" s="6">
        <v>42188</v>
      </c>
      <c r="AV1208" s="6">
        <v>42188</v>
      </c>
      <c r="AW1208" t="s">
        <v>54</v>
      </c>
      <c r="AX1208" t="str">
        <f t="shared" si="90"/>
        <v>FOR</v>
      </c>
      <c r="AY1208" t="s">
        <v>55</v>
      </c>
    </row>
    <row r="1209" spans="1:51" hidden="1">
      <c r="A1209">
        <v>100270</v>
      </c>
      <c r="B1209" t="s">
        <v>108</v>
      </c>
      <c r="C1209" t="str">
        <f t="shared" si="93"/>
        <v>01364640233</v>
      </c>
      <c r="D1209" t="str">
        <f t="shared" si="94"/>
        <v>03748120155</v>
      </c>
      <c r="E1209" t="s">
        <v>52</v>
      </c>
      <c r="F1209">
        <v>2014</v>
      </c>
      <c r="G1209">
        <v>31406574</v>
      </c>
      <c r="H1209" s="1">
        <v>41827</v>
      </c>
      <c r="I1209" s="1">
        <v>41837</v>
      </c>
      <c r="J1209" s="1">
        <v>41837</v>
      </c>
      <c r="K1209" s="1">
        <v>41927</v>
      </c>
      <c r="N1209" s="5"/>
      <c r="O1209">
        <v>294.57</v>
      </c>
      <c r="P1209">
        <v>261</v>
      </c>
      <c r="Q1209" s="2">
        <v>76882.77</v>
      </c>
      <c r="R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 s="1">
        <v>42382</v>
      </c>
      <c r="AC1209" t="s">
        <v>53</v>
      </c>
      <c r="AD1209" t="s">
        <v>53</v>
      </c>
      <c r="AK1209">
        <v>0</v>
      </c>
      <c r="AU1209" s="6">
        <v>42188</v>
      </c>
      <c r="AV1209" s="6">
        <v>42188</v>
      </c>
      <c r="AW1209" t="s">
        <v>54</v>
      </c>
      <c r="AX1209" t="str">
        <f t="shared" si="90"/>
        <v>FOR</v>
      </c>
      <c r="AY1209" t="s">
        <v>55</v>
      </c>
    </row>
    <row r="1210" spans="1:51" hidden="1">
      <c r="A1210">
        <v>100270</v>
      </c>
      <c r="B1210" t="s">
        <v>108</v>
      </c>
      <c r="C1210" t="str">
        <f t="shared" si="93"/>
        <v>01364640233</v>
      </c>
      <c r="D1210" t="str">
        <f t="shared" si="94"/>
        <v>03748120155</v>
      </c>
      <c r="E1210" t="s">
        <v>52</v>
      </c>
      <c r="F1210">
        <v>2014</v>
      </c>
      <c r="G1210">
        <v>31406773</v>
      </c>
      <c r="H1210" s="1">
        <v>41831</v>
      </c>
      <c r="I1210" s="1">
        <v>41845</v>
      </c>
      <c r="J1210" s="1">
        <v>41845</v>
      </c>
      <c r="K1210" s="1">
        <v>41935</v>
      </c>
      <c r="N1210" s="5"/>
      <c r="O1210">
        <v>450.88</v>
      </c>
      <c r="P1210">
        <v>253</v>
      </c>
      <c r="Q1210" s="2">
        <v>114072.64</v>
      </c>
      <c r="R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 s="1">
        <v>42382</v>
      </c>
      <c r="AC1210" t="s">
        <v>53</v>
      </c>
      <c r="AD1210" t="s">
        <v>53</v>
      </c>
      <c r="AK1210">
        <v>0</v>
      </c>
      <c r="AU1210" s="6">
        <v>42188</v>
      </c>
      <c r="AV1210" s="6">
        <v>42188</v>
      </c>
      <c r="AW1210" t="s">
        <v>54</v>
      </c>
      <c r="AX1210" t="str">
        <f t="shared" si="90"/>
        <v>FOR</v>
      </c>
      <c r="AY1210" t="s">
        <v>55</v>
      </c>
    </row>
    <row r="1211" spans="1:51" hidden="1">
      <c r="A1211">
        <v>100270</v>
      </c>
      <c r="B1211" t="s">
        <v>108</v>
      </c>
      <c r="C1211" t="str">
        <f t="shared" si="93"/>
        <v>01364640233</v>
      </c>
      <c r="D1211" t="str">
        <f t="shared" si="94"/>
        <v>03748120155</v>
      </c>
      <c r="E1211" t="s">
        <v>52</v>
      </c>
      <c r="F1211">
        <v>2014</v>
      </c>
      <c r="G1211">
        <v>31406984</v>
      </c>
      <c r="H1211" s="1">
        <v>41837</v>
      </c>
      <c r="I1211" s="1">
        <v>41849</v>
      </c>
      <c r="J1211" s="1">
        <v>41849</v>
      </c>
      <c r="K1211" s="1">
        <v>41939</v>
      </c>
      <c r="N1211" s="5"/>
      <c r="O1211">
        <v>297.60000000000002</v>
      </c>
      <c r="P1211">
        <v>249</v>
      </c>
      <c r="Q1211" s="2">
        <v>74102.399999999994</v>
      </c>
      <c r="R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 s="1">
        <v>42382</v>
      </c>
      <c r="AC1211" t="s">
        <v>53</v>
      </c>
      <c r="AD1211" t="s">
        <v>53</v>
      </c>
      <c r="AK1211">
        <v>0</v>
      </c>
      <c r="AU1211" s="6">
        <v>42188</v>
      </c>
      <c r="AV1211" s="6">
        <v>42188</v>
      </c>
      <c r="AW1211" t="s">
        <v>54</v>
      </c>
      <c r="AX1211" t="str">
        <f t="shared" si="90"/>
        <v>FOR</v>
      </c>
      <c r="AY1211" t="s">
        <v>55</v>
      </c>
    </row>
    <row r="1212" spans="1:51" hidden="1">
      <c r="A1212">
        <v>100270</v>
      </c>
      <c r="B1212" t="s">
        <v>108</v>
      </c>
      <c r="C1212" t="str">
        <f t="shared" si="93"/>
        <v>01364640233</v>
      </c>
      <c r="D1212" t="str">
        <f t="shared" si="94"/>
        <v>03748120155</v>
      </c>
      <c r="E1212" t="s">
        <v>52</v>
      </c>
      <c r="F1212">
        <v>2014</v>
      </c>
      <c r="G1212">
        <v>31406985</v>
      </c>
      <c r="H1212" s="1">
        <v>41837</v>
      </c>
      <c r="I1212" s="1">
        <v>41849</v>
      </c>
      <c r="J1212" s="1">
        <v>41849</v>
      </c>
      <c r="K1212" s="1">
        <v>41939</v>
      </c>
      <c r="N1212" s="5"/>
      <c r="O1212">
        <v>297.60000000000002</v>
      </c>
      <c r="P1212">
        <v>249</v>
      </c>
      <c r="Q1212" s="2">
        <v>74102.399999999994</v>
      </c>
      <c r="R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 s="1">
        <v>42382</v>
      </c>
      <c r="AC1212" t="s">
        <v>53</v>
      </c>
      <c r="AD1212" t="s">
        <v>53</v>
      </c>
      <c r="AK1212">
        <v>0</v>
      </c>
      <c r="AU1212" s="6">
        <v>42188</v>
      </c>
      <c r="AV1212" s="6">
        <v>42188</v>
      </c>
      <c r="AW1212" t="s">
        <v>54</v>
      </c>
      <c r="AX1212" t="str">
        <f t="shared" si="90"/>
        <v>FOR</v>
      </c>
      <c r="AY1212" t="s">
        <v>55</v>
      </c>
    </row>
    <row r="1213" spans="1:51" hidden="1">
      <c r="A1213">
        <v>100270</v>
      </c>
      <c r="B1213" t="s">
        <v>108</v>
      </c>
      <c r="C1213" t="str">
        <f t="shared" si="93"/>
        <v>01364640233</v>
      </c>
      <c r="D1213" t="str">
        <f t="shared" si="94"/>
        <v>03748120155</v>
      </c>
      <c r="E1213" t="s">
        <v>52</v>
      </c>
      <c r="F1213">
        <v>2014</v>
      </c>
      <c r="G1213">
        <v>31406986</v>
      </c>
      <c r="H1213" s="1">
        <v>41837</v>
      </c>
      <c r="I1213" s="1">
        <v>41849</v>
      </c>
      <c r="J1213" s="1">
        <v>41849</v>
      </c>
      <c r="K1213" s="1">
        <v>41939</v>
      </c>
      <c r="N1213" s="5"/>
      <c r="O1213" s="2">
        <v>2543.1799999999998</v>
      </c>
      <c r="P1213">
        <v>249</v>
      </c>
      <c r="Q1213" s="2">
        <v>633251.81999999995</v>
      </c>
      <c r="R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 s="1">
        <v>42382</v>
      </c>
      <c r="AC1213" t="s">
        <v>53</v>
      </c>
      <c r="AD1213" t="s">
        <v>53</v>
      </c>
      <c r="AK1213">
        <v>0</v>
      </c>
      <c r="AU1213" s="6">
        <v>42188</v>
      </c>
      <c r="AV1213" s="6">
        <v>42188</v>
      </c>
      <c r="AW1213" t="s">
        <v>54</v>
      </c>
      <c r="AX1213" t="str">
        <f t="shared" si="90"/>
        <v>FOR</v>
      </c>
      <c r="AY1213" t="s">
        <v>55</v>
      </c>
    </row>
    <row r="1214" spans="1:51" hidden="1">
      <c r="A1214">
        <v>100270</v>
      </c>
      <c r="B1214" t="s">
        <v>108</v>
      </c>
      <c r="C1214" t="str">
        <f t="shared" si="93"/>
        <v>01364640233</v>
      </c>
      <c r="D1214" t="str">
        <f t="shared" si="94"/>
        <v>03748120155</v>
      </c>
      <c r="E1214" t="s">
        <v>52</v>
      </c>
      <c r="F1214">
        <v>2014</v>
      </c>
      <c r="G1214">
        <v>31407591</v>
      </c>
      <c r="H1214" s="1">
        <v>41855</v>
      </c>
      <c r="I1214" s="1">
        <v>41876</v>
      </c>
      <c r="J1214" s="1">
        <v>41876</v>
      </c>
      <c r="K1214" s="1">
        <v>41966</v>
      </c>
      <c r="N1214" s="5"/>
      <c r="O1214">
        <v>297.60000000000002</v>
      </c>
      <c r="P1214">
        <v>222</v>
      </c>
      <c r="Q1214" s="2">
        <v>66067.199999999997</v>
      </c>
      <c r="R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 s="1">
        <v>42382</v>
      </c>
      <c r="AC1214" t="s">
        <v>53</v>
      </c>
      <c r="AD1214" t="s">
        <v>53</v>
      </c>
      <c r="AK1214">
        <v>0</v>
      </c>
      <c r="AU1214" s="6">
        <v>42188</v>
      </c>
      <c r="AV1214" s="6">
        <v>42188</v>
      </c>
      <c r="AW1214" t="s">
        <v>54</v>
      </c>
      <c r="AX1214" t="str">
        <f t="shared" si="90"/>
        <v>FOR</v>
      </c>
      <c r="AY1214" t="s">
        <v>55</v>
      </c>
    </row>
    <row r="1215" spans="1:51" hidden="1">
      <c r="A1215">
        <v>100270</v>
      </c>
      <c r="B1215" t="s">
        <v>108</v>
      </c>
      <c r="C1215" t="str">
        <f t="shared" si="93"/>
        <v>01364640233</v>
      </c>
      <c r="D1215" t="str">
        <f t="shared" si="94"/>
        <v>03748120155</v>
      </c>
      <c r="E1215" t="s">
        <v>52</v>
      </c>
      <c r="F1215">
        <v>2014</v>
      </c>
      <c r="G1215">
        <v>31407592</v>
      </c>
      <c r="H1215" s="1">
        <v>41855</v>
      </c>
      <c r="I1215" s="1">
        <v>41876</v>
      </c>
      <c r="J1215" s="1">
        <v>41876</v>
      </c>
      <c r="K1215" s="1">
        <v>41966</v>
      </c>
      <c r="N1215" s="5"/>
      <c r="O1215">
        <v>294.57</v>
      </c>
      <c r="P1215">
        <v>222</v>
      </c>
      <c r="Q1215" s="2">
        <v>65394.54</v>
      </c>
      <c r="R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 s="1">
        <v>42382</v>
      </c>
      <c r="AC1215" t="s">
        <v>53</v>
      </c>
      <c r="AD1215" t="s">
        <v>53</v>
      </c>
      <c r="AK1215">
        <v>0</v>
      </c>
      <c r="AU1215" s="6">
        <v>42188</v>
      </c>
      <c r="AV1215" s="6">
        <v>42188</v>
      </c>
      <c r="AW1215" t="s">
        <v>54</v>
      </c>
      <c r="AX1215" t="str">
        <f t="shared" si="90"/>
        <v>FOR</v>
      </c>
      <c r="AY1215" t="s">
        <v>55</v>
      </c>
    </row>
    <row r="1216" spans="1:51">
      <c r="A1216">
        <v>100270</v>
      </c>
      <c r="B1216" t="s">
        <v>108</v>
      </c>
      <c r="C1216" t="str">
        <f t="shared" si="93"/>
        <v>01364640233</v>
      </c>
      <c r="D1216" t="str">
        <f t="shared" si="94"/>
        <v>03748120155</v>
      </c>
      <c r="E1216" t="s">
        <v>52</v>
      </c>
      <c r="F1216">
        <v>2014</v>
      </c>
      <c r="G1216">
        <v>31407593</v>
      </c>
      <c r="H1216" s="1">
        <v>41855</v>
      </c>
      <c r="I1216" s="1">
        <v>42333</v>
      </c>
      <c r="J1216" s="1">
        <v>42333</v>
      </c>
      <c r="K1216" s="1">
        <v>42393</v>
      </c>
      <c r="L1216" s="7">
        <v>2253.66</v>
      </c>
      <c r="M1216" s="5">
        <v>-37</v>
      </c>
      <c r="N1216" s="7">
        <v>-83385.42</v>
      </c>
      <c r="O1216" s="2">
        <v>2253.66</v>
      </c>
      <c r="P1216">
        <v>-37</v>
      </c>
      <c r="Q1216" s="2">
        <v>-83385.42</v>
      </c>
      <c r="R1216">
        <v>0</v>
      </c>
      <c r="V1216">
        <v>0</v>
      </c>
      <c r="W1216" s="2">
        <v>2253.66</v>
      </c>
      <c r="X1216">
        <v>0</v>
      </c>
      <c r="Y1216">
        <v>0</v>
      </c>
      <c r="Z1216" s="2">
        <v>2253.66</v>
      </c>
      <c r="AA1216">
        <v>0</v>
      </c>
      <c r="AB1216" s="1">
        <v>42382</v>
      </c>
      <c r="AC1216" t="s">
        <v>53</v>
      </c>
      <c r="AD1216" t="s">
        <v>53</v>
      </c>
      <c r="AK1216">
        <v>0</v>
      </c>
      <c r="AU1216" s="6">
        <v>42356</v>
      </c>
      <c r="AV1216" s="6">
        <v>42356</v>
      </c>
      <c r="AW1216" t="s">
        <v>54</v>
      </c>
      <c r="AX1216" t="str">
        <f t="shared" si="90"/>
        <v>FOR</v>
      </c>
      <c r="AY1216" t="s">
        <v>55</v>
      </c>
    </row>
    <row r="1217" spans="1:51" hidden="1">
      <c r="A1217">
        <v>100270</v>
      </c>
      <c r="B1217" t="s">
        <v>108</v>
      </c>
      <c r="C1217" t="str">
        <f t="shared" si="93"/>
        <v>01364640233</v>
      </c>
      <c r="D1217" t="str">
        <f t="shared" si="94"/>
        <v>03748120155</v>
      </c>
      <c r="E1217" t="s">
        <v>52</v>
      </c>
      <c r="F1217">
        <v>2014</v>
      </c>
      <c r="G1217">
        <v>31407594</v>
      </c>
      <c r="H1217" s="1">
        <v>41855</v>
      </c>
      <c r="I1217" s="1">
        <v>41877</v>
      </c>
      <c r="J1217" s="1">
        <v>41877</v>
      </c>
      <c r="K1217" s="1">
        <v>41967</v>
      </c>
      <c r="N1217" s="5"/>
      <c r="O1217" s="2">
        <v>2253.5700000000002</v>
      </c>
      <c r="P1217">
        <v>221</v>
      </c>
      <c r="Q1217" s="2">
        <v>498038.97</v>
      </c>
      <c r="R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 s="1">
        <v>42382</v>
      </c>
      <c r="AC1217" t="s">
        <v>53</v>
      </c>
      <c r="AD1217" t="s">
        <v>53</v>
      </c>
      <c r="AK1217">
        <v>0</v>
      </c>
      <c r="AU1217" s="6">
        <v>42188</v>
      </c>
      <c r="AV1217" s="6">
        <v>42188</v>
      </c>
      <c r="AW1217" t="s">
        <v>54</v>
      </c>
      <c r="AX1217" t="str">
        <f t="shared" si="90"/>
        <v>FOR</v>
      </c>
      <c r="AY1217" t="s">
        <v>55</v>
      </c>
    </row>
    <row r="1218" spans="1:51" hidden="1">
      <c r="A1218">
        <v>100270</v>
      </c>
      <c r="B1218" t="s">
        <v>108</v>
      </c>
      <c r="C1218" t="str">
        <f t="shared" si="93"/>
        <v>01364640233</v>
      </c>
      <c r="D1218" t="str">
        <f t="shared" si="94"/>
        <v>03748120155</v>
      </c>
      <c r="E1218" t="s">
        <v>52</v>
      </c>
      <c r="F1218">
        <v>2014</v>
      </c>
      <c r="G1218">
        <v>31407595</v>
      </c>
      <c r="H1218" s="1">
        <v>41855</v>
      </c>
      <c r="I1218" s="1">
        <v>41877</v>
      </c>
      <c r="J1218" s="1">
        <v>41877</v>
      </c>
      <c r="K1218" s="1">
        <v>41967</v>
      </c>
      <c r="N1218" s="5"/>
      <c r="O1218" s="2">
        <v>1825.93</v>
      </c>
      <c r="P1218">
        <v>221</v>
      </c>
      <c r="Q1218" s="2">
        <v>403530.53</v>
      </c>
      <c r="R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 s="1">
        <v>42382</v>
      </c>
      <c r="AC1218" t="s">
        <v>53</v>
      </c>
      <c r="AD1218" t="s">
        <v>53</v>
      </c>
      <c r="AK1218">
        <v>0</v>
      </c>
      <c r="AU1218" s="6">
        <v>42188</v>
      </c>
      <c r="AV1218" s="6">
        <v>42188</v>
      </c>
      <c r="AW1218" t="s">
        <v>54</v>
      </c>
      <c r="AX1218" t="str">
        <f t="shared" si="90"/>
        <v>FOR</v>
      </c>
      <c r="AY1218" t="s">
        <v>55</v>
      </c>
    </row>
    <row r="1219" spans="1:51" hidden="1">
      <c r="A1219">
        <v>100270</v>
      </c>
      <c r="B1219" t="s">
        <v>108</v>
      </c>
      <c r="C1219" t="str">
        <f t="shared" si="93"/>
        <v>01364640233</v>
      </c>
      <c r="D1219" t="str">
        <f t="shared" si="94"/>
        <v>03748120155</v>
      </c>
      <c r="E1219" t="s">
        <v>52</v>
      </c>
      <c r="F1219">
        <v>2014</v>
      </c>
      <c r="G1219">
        <v>31407777</v>
      </c>
      <c r="H1219" s="1">
        <v>41863</v>
      </c>
      <c r="I1219" s="1">
        <v>41878</v>
      </c>
      <c r="J1219" s="1">
        <v>41878</v>
      </c>
      <c r="K1219" s="1">
        <v>41968</v>
      </c>
      <c r="N1219" s="5"/>
      <c r="O1219" s="2">
        <v>2253.66</v>
      </c>
      <c r="P1219">
        <v>220</v>
      </c>
      <c r="Q1219" s="2">
        <v>495805.2</v>
      </c>
      <c r="R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 s="1">
        <v>42382</v>
      </c>
      <c r="AC1219" t="s">
        <v>53</v>
      </c>
      <c r="AD1219" t="s">
        <v>53</v>
      </c>
      <c r="AK1219">
        <v>0</v>
      </c>
      <c r="AU1219" s="6">
        <v>42188</v>
      </c>
      <c r="AV1219" s="6">
        <v>42188</v>
      </c>
      <c r="AW1219" t="s">
        <v>54</v>
      </c>
      <c r="AX1219" t="str">
        <f t="shared" ref="AX1219:AX1282" si="95">"FOR"</f>
        <v>FOR</v>
      </c>
      <c r="AY1219" t="s">
        <v>55</v>
      </c>
    </row>
    <row r="1220" spans="1:51" hidden="1">
      <c r="A1220">
        <v>100270</v>
      </c>
      <c r="B1220" t="s">
        <v>108</v>
      </c>
      <c r="C1220" t="str">
        <f t="shared" si="93"/>
        <v>01364640233</v>
      </c>
      <c r="D1220" t="str">
        <f t="shared" si="94"/>
        <v>03748120155</v>
      </c>
      <c r="E1220" t="s">
        <v>52</v>
      </c>
      <c r="F1220">
        <v>2014</v>
      </c>
      <c r="G1220">
        <v>31407778</v>
      </c>
      <c r="H1220" s="1">
        <v>41863</v>
      </c>
      <c r="I1220" s="1">
        <v>41878</v>
      </c>
      <c r="J1220" s="1">
        <v>41878</v>
      </c>
      <c r="K1220" s="1">
        <v>41968</v>
      </c>
      <c r="N1220" s="5"/>
      <c r="O1220" s="2">
        <v>2543.1799999999998</v>
      </c>
      <c r="P1220">
        <v>220</v>
      </c>
      <c r="Q1220" s="2">
        <v>559499.6</v>
      </c>
      <c r="R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 s="1">
        <v>42382</v>
      </c>
      <c r="AC1220" t="s">
        <v>53</v>
      </c>
      <c r="AD1220" t="s">
        <v>53</v>
      </c>
      <c r="AK1220">
        <v>0</v>
      </c>
      <c r="AU1220" s="6">
        <v>42188</v>
      </c>
      <c r="AV1220" s="6">
        <v>42188</v>
      </c>
      <c r="AW1220" t="s">
        <v>54</v>
      </c>
      <c r="AX1220" t="str">
        <f t="shared" si="95"/>
        <v>FOR</v>
      </c>
      <c r="AY1220" t="s">
        <v>55</v>
      </c>
    </row>
    <row r="1221" spans="1:51" hidden="1">
      <c r="A1221">
        <v>100270</v>
      </c>
      <c r="B1221" t="s">
        <v>108</v>
      </c>
      <c r="C1221" t="str">
        <f t="shared" si="93"/>
        <v>01364640233</v>
      </c>
      <c r="D1221" t="str">
        <f t="shared" si="94"/>
        <v>03748120155</v>
      </c>
      <c r="E1221" t="s">
        <v>52</v>
      </c>
      <c r="F1221">
        <v>2014</v>
      </c>
      <c r="G1221">
        <v>31408811</v>
      </c>
      <c r="H1221" s="1">
        <v>41906</v>
      </c>
      <c r="I1221" s="1">
        <v>41920</v>
      </c>
      <c r="J1221" s="1">
        <v>41920</v>
      </c>
      <c r="K1221" s="1">
        <v>42010</v>
      </c>
      <c r="N1221" s="5"/>
      <c r="O1221">
        <v>297.60000000000002</v>
      </c>
      <c r="P1221">
        <v>239</v>
      </c>
      <c r="Q1221" s="2">
        <v>71126.399999999994</v>
      </c>
      <c r="R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 s="1">
        <v>42382</v>
      </c>
      <c r="AC1221" t="s">
        <v>53</v>
      </c>
      <c r="AD1221" t="s">
        <v>53</v>
      </c>
      <c r="AK1221">
        <v>0</v>
      </c>
      <c r="AU1221" s="6">
        <v>42249</v>
      </c>
      <c r="AV1221" s="6">
        <v>42249</v>
      </c>
      <c r="AW1221" t="s">
        <v>54</v>
      </c>
      <c r="AX1221" t="str">
        <f t="shared" si="95"/>
        <v>FOR</v>
      </c>
      <c r="AY1221" t="s">
        <v>55</v>
      </c>
    </row>
    <row r="1222" spans="1:51" hidden="1">
      <c r="A1222">
        <v>100270</v>
      </c>
      <c r="B1222" t="s">
        <v>108</v>
      </c>
      <c r="C1222" t="str">
        <f t="shared" si="93"/>
        <v>01364640233</v>
      </c>
      <c r="D1222" t="str">
        <f t="shared" si="94"/>
        <v>03748120155</v>
      </c>
      <c r="E1222" t="s">
        <v>52</v>
      </c>
      <c r="F1222">
        <v>2014</v>
      </c>
      <c r="G1222">
        <v>31408812</v>
      </c>
      <c r="H1222" s="1">
        <v>41906</v>
      </c>
      <c r="I1222" s="1">
        <v>41920</v>
      </c>
      <c r="J1222" s="1">
        <v>41920</v>
      </c>
      <c r="K1222" s="1">
        <v>42010</v>
      </c>
      <c r="N1222" s="5"/>
      <c r="O1222" s="2">
        <v>2543.1799999999998</v>
      </c>
      <c r="P1222">
        <v>239</v>
      </c>
      <c r="Q1222" s="2">
        <v>607820.02</v>
      </c>
      <c r="R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 s="1">
        <v>42382</v>
      </c>
      <c r="AC1222" t="s">
        <v>53</v>
      </c>
      <c r="AD1222" t="s">
        <v>53</v>
      </c>
      <c r="AK1222">
        <v>0</v>
      </c>
      <c r="AU1222" s="6">
        <v>42249</v>
      </c>
      <c r="AV1222" s="6">
        <v>42249</v>
      </c>
      <c r="AW1222" t="s">
        <v>54</v>
      </c>
      <c r="AX1222" t="str">
        <f t="shared" si="95"/>
        <v>FOR</v>
      </c>
      <c r="AY1222" t="s">
        <v>55</v>
      </c>
    </row>
    <row r="1223" spans="1:51" hidden="1">
      <c r="A1223">
        <v>100270</v>
      </c>
      <c r="B1223" t="s">
        <v>108</v>
      </c>
      <c r="C1223" t="str">
        <f t="shared" si="93"/>
        <v>01364640233</v>
      </c>
      <c r="D1223" t="str">
        <f t="shared" si="94"/>
        <v>03748120155</v>
      </c>
      <c r="E1223" t="s">
        <v>52</v>
      </c>
      <c r="F1223">
        <v>2014</v>
      </c>
      <c r="G1223">
        <v>31408813</v>
      </c>
      <c r="H1223" s="1">
        <v>41906</v>
      </c>
      <c r="I1223" s="1">
        <v>41920</v>
      </c>
      <c r="J1223" s="1">
        <v>41920</v>
      </c>
      <c r="K1223" s="1">
        <v>42010</v>
      </c>
      <c r="N1223" s="5"/>
      <c r="O1223" s="2">
        <v>2253.66</v>
      </c>
      <c r="P1223">
        <v>239</v>
      </c>
      <c r="Q1223" s="2">
        <v>538624.74</v>
      </c>
      <c r="R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 s="1">
        <v>42382</v>
      </c>
      <c r="AC1223" t="s">
        <v>53</v>
      </c>
      <c r="AD1223" t="s">
        <v>53</v>
      </c>
      <c r="AK1223">
        <v>0</v>
      </c>
      <c r="AU1223" s="6">
        <v>42249</v>
      </c>
      <c r="AV1223" s="6">
        <v>42249</v>
      </c>
      <c r="AW1223" t="s">
        <v>54</v>
      </c>
      <c r="AX1223" t="str">
        <f t="shared" si="95"/>
        <v>FOR</v>
      </c>
      <c r="AY1223" t="s">
        <v>55</v>
      </c>
    </row>
    <row r="1224" spans="1:51" hidden="1">
      <c r="A1224">
        <v>100270</v>
      </c>
      <c r="B1224" t="s">
        <v>108</v>
      </c>
      <c r="C1224" t="str">
        <f t="shared" si="93"/>
        <v>01364640233</v>
      </c>
      <c r="D1224" t="str">
        <f t="shared" si="94"/>
        <v>03748120155</v>
      </c>
      <c r="E1224" t="s">
        <v>52</v>
      </c>
      <c r="F1224">
        <v>2014</v>
      </c>
      <c r="G1224">
        <v>31408814</v>
      </c>
      <c r="H1224" s="1">
        <v>41906</v>
      </c>
      <c r="I1224" s="1">
        <v>41920</v>
      </c>
      <c r="J1224" s="1">
        <v>41920</v>
      </c>
      <c r="K1224" s="1">
        <v>42010</v>
      </c>
      <c r="N1224" s="5"/>
      <c r="O1224">
        <v>297.60000000000002</v>
      </c>
      <c r="P1224">
        <v>239</v>
      </c>
      <c r="Q1224" s="2">
        <v>71126.399999999994</v>
      </c>
      <c r="R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 s="1">
        <v>42382</v>
      </c>
      <c r="AC1224" t="s">
        <v>53</v>
      </c>
      <c r="AD1224" t="s">
        <v>53</v>
      </c>
      <c r="AK1224">
        <v>0</v>
      </c>
      <c r="AU1224" s="6">
        <v>42249</v>
      </c>
      <c r="AV1224" s="6">
        <v>42249</v>
      </c>
      <c r="AW1224" t="s">
        <v>54</v>
      </c>
      <c r="AX1224" t="str">
        <f t="shared" si="95"/>
        <v>FOR</v>
      </c>
      <c r="AY1224" t="s">
        <v>55</v>
      </c>
    </row>
    <row r="1225" spans="1:51" hidden="1">
      <c r="A1225">
        <v>100270</v>
      </c>
      <c r="B1225" t="s">
        <v>108</v>
      </c>
      <c r="C1225" t="str">
        <f t="shared" ref="C1225:C1249" si="96">"01364640233"</f>
        <v>01364640233</v>
      </c>
      <c r="D1225" t="str">
        <f t="shared" ref="D1225:D1249" si="97">"03748120155"</f>
        <v>03748120155</v>
      </c>
      <c r="E1225" t="s">
        <v>52</v>
      </c>
      <c r="F1225">
        <v>2014</v>
      </c>
      <c r="G1225">
        <v>31409035</v>
      </c>
      <c r="H1225" s="1">
        <v>41912</v>
      </c>
      <c r="I1225" s="1">
        <v>41922</v>
      </c>
      <c r="J1225" s="1">
        <v>41922</v>
      </c>
      <c r="K1225" s="1">
        <v>42012</v>
      </c>
      <c r="N1225" s="5"/>
      <c r="O1225">
        <v>297.60000000000002</v>
      </c>
      <c r="P1225">
        <v>237</v>
      </c>
      <c r="Q1225" s="2">
        <v>70531.199999999997</v>
      </c>
      <c r="R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 s="1">
        <v>42382</v>
      </c>
      <c r="AC1225" t="s">
        <v>53</v>
      </c>
      <c r="AD1225" t="s">
        <v>53</v>
      </c>
      <c r="AK1225">
        <v>0</v>
      </c>
      <c r="AU1225" s="6">
        <v>42249</v>
      </c>
      <c r="AV1225" s="6">
        <v>42249</v>
      </c>
      <c r="AW1225" t="s">
        <v>54</v>
      </c>
      <c r="AX1225" t="str">
        <f t="shared" si="95"/>
        <v>FOR</v>
      </c>
      <c r="AY1225" t="s">
        <v>55</v>
      </c>
    </row>
    <row r="1226" spans="1:51">
      <c r="A1226">
        <v>100270</v>
      </c>
      <c r="B1226" t="s">
        <v>108</v>
      </c>
      <c r="C1226" t="str">
        <f t="shared" si="96"/>
        <v>01364640233</v>
      </c>
      <c r="D1226" t="str">
        <f t="shared" si="97"/>
        <v>03748120155</v>
      </c>
      <c r="E1226" t="s">
        <v>52</v>
      </c>
      <c r="F1226">
        <v>2014</v>
      </c>
      <c r="G1226">
        <v>31409473</v>
      </c>
      <c r="H1226" s="1">
        <v>41923</v>
      </c>
      <c r="I1226" s="1">
        <v>41932</v>
      </c>
      <c r="J1226" s="1">
        <v>41932</v>
      </c>
      <c r="K1226" s="1">
        <v>41992</v>
      </c>
      <c r="L1226" s="7">
        <v>9883.68</v>
      </c>
      <c r="M1226" s="5">
        <v>286</v>
      </c>
      <c r="N1226" s="7">
        <v>2826732.48</v>
      </c>
      <c r="O1226" s="2">
        <v>9883.68</v>
      </c>
      <c r="P1226">
        <v>286</v>
      </c>
      <c r="Q1226" s="2">
        <v>2826732.48</v>
      </c>
      <c r="R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 s="1">
        <v>42382</v>
      </c>
      <c r="AC1226" t="s">
        <v>53</v>
      </c>
      <c r="AD1226" t="s">
        <v>53</v>
      </c>
      <c r="AK1226">
        <v>0</v>
      </c>
      <c r="AU1226" s="6">
        <v>42278</v>
      </c>
      <c r="AV1226" s="6">
        <v>42278</v>
      </c>
      <c r="AW1226" t="s">
        <v>54</v>
      </c>
      <c r="AX1226" t="str">
        <f t="shared" si="95"/>
        <v>FOR</v>
      </c>
      <c r="AY1226" t="s">
        <v>55</v>
      </c>
    </row>
    <row r="1227" spans="1:51">
      <c r="A1227">
        <v>100270</v>
      </c>
      <c r="B1227" t="s">
        <v>108</v>
      </c>
      <c r="C1227" t="str">
        <f t="shared" si="96"/>
        <v>01364640233</v>
      </c>
      <c r="D1227" t="str">
        <f t="shared" si="97"/>
        <v>03748120155</v>
      </c>
      <c r="E1227" t="s">
        <v>52</v>
      </c>
      <c r="F1227">
        <v>2014</v>
      </c>
      <c r="G1227">
        <v>31409481</v>
      </c>
      <c r="H1227" s="1">
        <v>41923</v>
      </c>
      <c r="I1227" s="1">
        <v>41932</v>
      </c>
      <c r="J1227" s="1">
        <v>41932</v>
      </c>
      <c r="K1227" s="1">
        <v>41992</v>
      </c>
      <c r="L1227" s="7">
        <v>13811.1</v>
      </c>
      <c r="M1227" s="5">
        <v>286</v>
      </c>
      <c r="N1227" s="7">
        <v>3949974.6</v>
      </c>
      <c r="O1227" s="2">
        <v>13811.1</v>
      </c>
      <c r="P1227">
        <v>286</v>
      </c>
      <c r="Q1227" s="2">
        <v>3949974.6</v>
      </c>
      <c r="R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 s="1">
        <v>42382</v>
      </c>
      <c r="AC1227" t="s">
        <v>53</v>
      </c>
      <c r="AD1227" t="s">
        <v>53</v>
      </c>
      <c r="AK1227">
        <v>0</v>
      </c>
      <c r="AU1227" s="6">
        <v>42278</v>
      </c>
      <c r="AV1227" s="6">
        <v>42278</v>
      </c>
      <c r="AW1227" t="s">
        <v>54</v>
      </c>
      <c r="AX1227" t="str">
        <f t="shared" si="95"/>
        <v>FOR</v>
      </c>
      <c r="AY1227" t="s">
        <v>55</v>
      </c>
    </row>
    <row r="1228" spans="1:51">
      <c r="A1228">
        <v>100270</v>
      </c>
      <c r="B1228" t="s">
        <v>108</v>
      </c>
      <c r="C1228" t="str">
        <f t="shared" si="96"/>
        <v>01364640233</v>
      </c>
      <c r="D1228" t="str">
        <f t="shared" si="97"/>
        <v>03748120155</v>
      </c>
      <c r="E1228" t="s">
        <v>52</v>
      </c>
      <c r="F1228">
        <v>2014</v>
      </c>
      <c r="G1228">
        <v>31409482</v>
      </c>
      <c r="H1228" s="1">
        <v>41923</v>
      </c>
      <c r="I1228" s="1">
        <v>41932</v>
      </c>
      <c r="J1228" s="1">
        <v>41932</v>
      </c>
      <c r="K1228" s="1">
        <v>41992</v>
      </c>
      <c r="L1228" s="7">
        <v>9883.68</v>
      </c>
      <c r="M1228" s="5">
        <v>286</v>
      </c>
      <c r="N1228" s="7">
        <v>2826732.48</v>
      </c>
      <c r="O1228" s="2">
        <v>9883.68</v>
      </c>
      <c r="P1228">
        <v>286</v>
      </c>
      <c r="Q1228" s="2">
        <v>2826732.48</v>
      </c>
      <c r="R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 s="1">
        <v>42382</v>
      </c>
      <c r="AC1228" t="s">
        <v>53</v>
      </c>
      <c r="AD1228" t="s">
        <v>53</v>
      </c>
      <c r="AK1228">
        <v>0</v>
      </c>
      <c r="AU1228" s="6">
        <v>42278</v>
      </c>
      <c r="AV1228" s="6">
        <v>42278</v>
      </c>
      <c r="AW1228" t="s">
        <v>54</v>
      </c>
      <c r="AX1228" t="str">
        <f t="shared" si="95"/>
        <v>FOR</v>
      </c>
      <c r="AY1228" t="s">
        <v>55</v>
      </c>
    </row>
    <row r="1229" spans="1:51">
      <c r="A1229">
        <v>100270</v>
      </c>
      <c r="B1229" t="s">
        <v>108</v>
      </c>
      <c r="C1229" t="str">
        <f t="shared" si="96"/>
        <v>01364640233</v>
      </c>
      <c r="D1229" t="str">
        <f t="shared" si="97"/>
        <v>03748120155</v>
      </c>
      <c r="E1229" t="s">
        <v>52</v>
      </c>
      <c r="F1229">
        <v>2014</v>
      </c>
      <c r="G1229">
        <v>31409549</v>
      </c>
      <c r="H1229" s="1">
        <v>41926</v>
      </c>
      <c r="I1229" s="1">
        <v>41936</v>
      </c>
      <c r="J1229" s="1">
        <v>41936</v>
      </c>
      <c r="K1229" s="1">
        <v>41996</v>
      </c>
      <c r="L1229" s="7">
        <v>17431.080000000002</v>
      </c>
      <c r="M1229" s="5">
        <v>282</v>
      </c>
      <c r="N1229" s="7">
        <v>4915564.5599999996</v>
      </c>
      <c r="O1229" s="2">
        <v>17431.080000000002</v>
      </c>
      <c r="P1229">
        <v>282</v>
      </c>
      <c r="Q1229" s="2">
        <v>4915564.5599999996</v>
      </c>
      <c r="R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 s="1">
        <v>42382</v>
      </c>
      <c r="AC1229" t="s">
        <v>53</v>
      </c>
      <c r="AD1229" t="s">
        <v>53</v>
      </c>
      <c r="AK1229">
        <v>0</v>
      </c>
      <c r="AU1229" s="6">
        <v>42278</v>
      </c>
      <c r="AV1229" s="6">
        <v>42278</v>
      </c>
      <c r="AW1229" t="s">
        <v>54</v>
      </c>
      <c r="AX1229" t="str">
        <f t="shared" si="95"/>
        <v>FOR</v>
      </c>
      <c r="AY1229" t="s">
        <v>55</v>
      </c>
    </row>
    <row r="1230" spans="1:51">
      <c r="A1230">
        <v>100270</v>
      </c>
      <c r="B1230" t="s">
        <v>108</v>
      </c>
      <c r="C1230" t="str">
        <f t="shared" si="96"/>
        <v>01364640233</v>
      </c>
      <c r="D1230" t="str">
        <f t="shared" si="97"/>
        <v>03748120155</v>
      </c>
      <c r="E1230" t="s">
        <v>52</v>
      </c>
      <c r="F1230">
        <v>2014</v>
      </c>
      <c r="G1230">
        <v>31409557</v>
      </c>
      <c r="H1230" s="1">
        <v>41926</v>
      </c>
      <c r="I1230" s="1">
        <v>41936</v>
      </c>
      <c r="J1230" s="1">
        <v>41936</v>
      </c>
      <c r="K1230" s="1">
        <v>41996</v>
      </c>
      <c r="L1230" s="7">
        <v>9883.68</v>
      </c>
      <c r="M1230" s="5">
        <v>282</v>
      </c>
      <c r="N1230" s="7">
        <v>2787197.76</v>
      </c>
      <c r="O1230" s="2">
        <v>9883.68</v>
      </c>
      <c r="P1230">
        <v>282</v>
      </c>
      <c r="Q1230" s="2">
        <v>2787197.76</v>
      </c>
      <c r="R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 s="1">
        <v>42382</v>
      </c>
      <c r="AC1230" t="s">
        <v>53</v>
      </c>
      <c r="AD1230" t="s">
        <v>53</v>
      </c>
      <c r="AK1230">
        <v>0</v>
      </c>
      <c r="AU1230" s="6">
        <v>42278</v>
      </c>
      <c r="AV1230" s="6">
        <v>42278</v>
      </c>
      <c r="AW1230" t="s">
        <v>54</v>
      </c>
      <c r="AX1230" t="str">
        <f t="shared" si="95"/>
        <v>FOR</v>
      </c>
      <c r="AY1230" t="s">
        <v>55</v>
      </c>
    </row>
    <row r="1231" spans="1:51">
      <c r="A1231">
        <v>100270</v>
      </c>
      <c r="B1231" t="s">
        <v>108</v>
      </c>
      <c r="C1231" t="str">
        <f t="shared" si="96"/>
        <v>01364640233</v>
      </c>
      <c r="D1231" t="str">
        <f t="shared" si="97"/>
        <v>03748120155</v>
      </c>
      <c r="E1231" t="s">
        <v>52</v>
      </c>
      <c r="F1231">
        <v>2014</v>
      </c>
      <c r="G1231">
        <v>31409909</v>
      </c>
      <c r="H1231" s="1">
        <v>41934</v>
      </c>
      <c r="I1231" s="1">
        <v>41946</v>
      </c>
      <c r="J1231" s="1">
        <v>41946</v>
      </c>
      <c r="K1231" s="1">
        <v>42006</v>
      </c>
      <c r="L1231" s="7">
        <v>297.60000000000002</v>
      </c>
      <c r="M1231" s="5">
        <v>272</v>
      </c>
      <c r="N1231" s="7">
        <v>80947.199999999997</v>
      </c>
      <c r="O1231">
        <v>297.60000000000002</v>
      </c>
      <c r="P1231">
        <v>272</v>
      </c>
      <c r="Q1231" s="2">
        <v>80947.199999999997</v>
      </c>
      <c r="R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 s="1">
        <v>42382</v>
      </c>
      <c r="AC1231" t="s">
        <v>53</v>
      </c>
      <c r="AD1231" t="s">
        <v>53</v>
      </c>
      <c r="AK1231">
        <v>0</v>
      </c>
      <c r="AU1231" s="6">
        <v>42278</v>
      </c>
      <c r="AV1231" s="6">
        <v>42278</v>
      </c>
      <c r="AW1231" t="s">
        <v>54</v>
      </c>
      <c r="AX1231" t="str">
        <f t="shared" si="95"/>
        <v>FOR</v>
      </c>
      <c r="AY1231" t="s">
        <v>55</v>
      </c>
    </row>
    <row r="1232" spans="1:51">
      <c r="A1232">
        <v>100270</v>
      </c>
      <c r="B1232" t="s">
        <v>108</v>
      </c>
      <c r="C1232" t="str">
        <f t="shared" si="96"/>
        <v>01364640233</v>
      </c>
      <c r="D1232" t="str">
        <f t="shared" si="97"/>
        <v>03748120155</v>
      </c>
      <c r="E1232" t="s">
        <v>52</v>
      </c>
      <c r="F1232">
        <v>2014</v>
      </c>
      <c r="G1232">
        <v>31409910</v>
      </c>
      <c r="H1232" s="1">
        <v>41934</v>
      </c>
      <c r="I1232" s="1">
        <v>41946</v>
      </c>
      <c r="J1232" s="1">
        <v>41946</v>
      </c>
      <c r="K1232" s="1">
        <v>42006</v>
      </c>
      <c r="L1232" s="7">
        <v>297.60000000000002</v>
      </c>
      <c r="M1232" s="5">
        <v>272</v>
      </c>
      <c r="N1232" s="7">
        <v>80947.199999999997</v>
      </c>
      <c r="O1232">
        <v>297.60000000000002</v>
      </c>
      <c r="P1232">
        <v>272</v>
      </c>
      <c r="Q1232" s="2">
        <v>80947.199999999997</v>
      </c>
      <c r="R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 s="1">
        <v>42382</v>
      </c>
      <c r="AC1232" t="s">
        <v>53</v>
      </c>
      <c r="AD1232" t="s">
        <v>53</v>
      </c>
      <c r="AK1232">
        <v>0</v>
      </c>
      <c r="AU1232" s="6">
        <v>42278</v>
      </c>
      <c r="AV1232" s="6">
        <v>42278</v>
      </c>
      <c r="AW1232" t="s">
        <v>54</v>
      </c>
      <c r="AX1232" t="str">
        <f t="shared" si="95"/>
        <v>FOR</v>
      </c>
      <c r="AY1232" t="s">
        <v>55</v>
      </c>
    </row>
    <row r="1233" spans="1:51">
      <c r="A1233">
        <v>100270</v>
      </c>
      <c r="B1233" t="s">
        <v>108</v>
      </c>
      <c r="C1233" t="str">
        <f t="shared" si="96"/>
        <v>01364640233</v>
      </c>
      <c r="D1233" t="str">
        <f t="shared" si="97"/>
        <v>03748120155</v>
      </c>
      <c r="E1233" t="s">
        <v>52</v>
      </c>
      <c r="F1233">
        <v>2014</v>
      </c>
      <c r="G1233">
        <v>31409911</v>
      </c>
      <c r="H1233" s="1">
        <v>41934</v>
      </c>
      <c r="I1233" s="1">
        <v>41946</v>
      </c>
      <c r="J1233" s="1">
        <v>41946</v>
      </c>
      <c r="K1233" s="1">
        <v>42006</v>
      </c>
      <c r="L1233" s="7">
        <v>297.60000000000002</v>
      </c>
      <c r="M1233" s="5">
        <v>272</v>
      </c>
      <c r="N1233" s="7">
        <v>80947.199999999997</v>
      </c>
      <c r="O1233">
        <v>297.60000000000002</v>
      </c>
      <c r="P1233">
        <v>272</v>
      </c>
      <c r="Q1233" s="2">
        <v>80947.199999999997</v>
      </c>
      <c r="R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 s="1">
        <v>42382</v>
      </c>
      <c r="AC1233" t="s">
        <v>53</v>
      </c>
      <c r="AD1233" t="s">
        <v>53</v>
      </c>
      <c r="AK1233">
        <v>0</v>
      </c>
      <c r="AU1233" s="6">
        <v>42278</v>
      </c>
      <c r="AV1233" s="6">
        <v>42278</v>
      </c>
      <c r="AW1233" t="s">
        <v>54</v>
      </c>
      <c r="AX1233" t="str">
        <f t="shared" si="95"/>
        <v>FOR</v>
      </c>
      <c r="AY1233" t="s">
        <v>55</v>
      </c>
    </row>
    <row r="1234" spans="1:51">
      <c r="A1234">
        <v>100270</v>
      </c>
      <c r="B1234" t="s">
        <v>108</v>
      </c>
      <c r="C1234" t="str">
        <f t="shared" si="96"/>
        <v>01364640233</v>
      </c>
      <c r="D1234" t="str">
        <f t="shared" si="97"/>
        <v>03748120155</v>
      </c>
      <c r="E1234" t="s">
        <v>52</v>
      </c>
      <c r="F1234">
        <v>2014</v>
      </c>
      <c r="G1234">
        <v>31410016</v>
      </c>
      <c r="H1234" s="1">
        <v>41939</v>
      </c>
      <c r="I1234" s="1">
        <v>41953</v>
      </c>
      <c r="J1234" s="1">
        <v>41953</v>
      </c>
      <c r="K1234" s="1">
        <v>42013</v>
      </c>
      <c r="L1234" s="7">
        <v>297.60000000000002</v>
      </c>
      <c r="M1234" s="5">
        <v>265</v>
      </c>
      <c r="N1234" s="7">
        <v>78864</v>
      </c>
      <c r="O1234">
        <v>297.60000000000002</v>
      </c>
      <c r="P1234">
        <v>265</v>
      </c>
      <c r="Q1234" s="2">
        <v>78864</v>
      </c>
      <c r="R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 s="1">
        <v>42382</v>
      </c>
      <c r="AC1234" t="s">
        <v>53</v>
      </c>
      <c r="AD1234" t="s">
        <v>53</v>
      </c>
      <c r="AK1234">
        <v>0</v>
      </c>
      <c r="AU1234" s="6">
        <v>42278</v>
      </c>
      <c r="AV1234" s="6">
        <v>42278</v>
      </c>
      <c r="AW1234" t="s">
        <v>54</v>
      </c>
      <c r="AX1234" t="str">
        <f t="shared" si="95"/>
        <v>FOR</v>
      </c>
      <c r="AY1234" t="s">
        <v>55</v>
      </c>
    </row>
    <row r="1235" spans="1:51">
      <c r="A1235">
        <v>100270</v>
      </c>
      <c r="B1235" t="s">
        <v>108</v>
      </c>
      <c r="C1235" t="str">
        <f t="shared" si="96"/>
        <v>01364640233</v>
      </c>
      <c r="D1235" t="str">
        <f t="shared" si="97"/>
        <v>03748120155</v>
      </c>
      <c r="E1235" t="s">
        <v>52</v>
      </c>
      <c r="F1235">
        <v>2014</v>
      </c>
      <c r="G1235">
        <v>31410018</v>
      </c>
      <c r="H1235" s="1">
        <v>41939</v>
      </c>
      <c r="I1235" s="1">
        <v>41953</v>
      </c>
      <c r="J1235" s="1">
        <v>41953</v>
      </c>
      <c r="K1235" s="1">
        <v>42013</v>
      </c>
      <c r="L1235" s="7">
        <v>2543.1799999999998</v>
      </c>
      <c r="M1235" s="5">
        <v>265</v>
      </c>
      <c r="N1235" s="7">
        <v>673942.7</v>
      </c>
      <c r="O1235" s="2">
        <v>2543.1799999999998</v>
      </c>
      <c r="P1235">
        <v>265</v>
      </c>
      <c r="Q1235" s="2">
        <v>673942.7</v>
      </c>
      <c r="R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 s="1">
        <v>42382</v>
      </c>
      <c r="AC1235" t="s">
        <v>53</v>
      </c>
      <c r="AD1235" t="s">
        <v>53</v>
      </c>
      <c r="AK1235">
        <v>0</v>
      </c>
      <c r="AU1235" s="6">
        <v>42278</v>
      </c>
      <c r="AV1235" s="6">
        <v>42278</v>
      </c>
      <c r="AW1235" t="s">
        <v>54</v>
      </c>
      <c r="AX1235" t="str">
        <f t="shared" si="95"/>
        <v>FOR</v>
      </c>
      <c r="AY1235" t="s">
        <v>55</v>
      </c>
    </row>
    <row r="1236" spans="1:51">
      <c r="A1236">
        <v>100270</v>
      </c>
      <c r="B1236" t="s">
        <v>108</v>
      </c>
      <c r="C1236" t="str">
        <f t="shared" si="96"/>
        <v>01364640233</v>
      </c>
      <c r="D1236" t="str">
        <f t="shared" si="97"/>
        <v>03748120155</v>
      </c>
      <c r="E1236" t="s">
        <v>52</v>
      </c>
      <c r="F1236">
        <v>2014</v>
      </c>
      <c r="G1236">
        <v>31410781</v>
      </c>
      <c r="H1236" s="1">
        <v>41957</v>
      </c>
      <c r="I1236" s="1">
        <v>41971</v>
      </c>
      <c r="J1236" s="1">
        <v>41971</v>
      </c>
      <c r="K1236" s="1">
        <v>42031</v>
      </c>
      <c r="L1236" s="7">
        <v>2543.1799999999998</v>
      </c>
      <c r="M1236" s="5">
        <v>268</v>
      </c>
      <c r="N1236" s="7">
        <v>681572.24</v>
      </c>
      <c r="O1236" s="2">
        <v>2543.1799999999998</v>
      </c>
      <c r="P1236">
        <v>268</v>
      </c>
      <c r="Q1236" s="2">
        <v>681572.24</v>
      </c>
      <c r="R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 s="1">
        <v>42382</v>
      </c>
      <c r="AC1236" t="s">
        <v>53</v>
      </c>
      <c r="AD1236" t="s">
        <v>53</v>
      </c>
      <c r="AK1236">
        <v>0</v>
      </c>
      <c r="AU1236" s="6">
        <v>42299</v>
      </c>
      <c r="AV1236" s="6">
        <v>42299</v>
      </c>
      <c r="AW1236" t="s">
        <v>54</v>
      </c>
      <c r="AX1236" t="str">
        <f t="shared" si="95"/>
        <v>FOR</v>
      </c>
      <c r="AY1236" t="s">
        <v>55</v>
      </c>
    </row>
    <row r="1237" spans="1:51">
      <c r="A1237">
        <v>100270</v>
      </c>
      <c r="B1237" t="s">
        <v>108</v>
      </c>
      <c r="C1237" t="str">
        <f t="shared" si="96"/>
        <v>01364640233</v>
      </c>
      <c r="D1237" t="str">
        <f t="shared" si="97"/>
        <v>03748120155</v>
      </c>
      <c r="E1237" t="s">
        <v>52</v>
      </c>
      <c r="F1237">
        <v>2014</v>
      </c>
      <c r="G1237">
        <v>31411931</v>
      </c>
      <c r="H1237" s="1">
        <v>41990</v>
      </c>
      <c r="I1237" s="1">
        <v>42004</v>
      </c>
      <c r="J1237" s="1">
        <v>42004</v>
      </c>
      <c r="K1237" s="1">
        <v>42064</v>
      </c>
      <c r="L1237" s="7">
        <v>297.60000000000002</v>
      </c>
      <c r="M1237" s="5">
        <v>276</v>
      </c>
      <c r="N1237" s="7">
        <v>82137.600000000006</v>
      </c>
      <c r="O1237">
        <v>297.60000000000002</v>
      </c>
      <c r="P1237">
        <v>276</v>
      </c>
      <c r="Q1237" s="2">
        <v>82137.600000000006</v>
      </c>
      <c r="R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 s="1">
        <v>42382</v>
      </c>
      <c r="AC1237" t="s">
        <v>53</v>
      </c>
      <c r="AD1237" t="s">
        <v>53</v>
      </c>
      <c r="AK1237">
        <v>0</v>
      </c>
      <c r="AU1237" s="6">
        <v>42340</v>
      </c>
      <c r="AV1237" s="6">
        <v>42340</v>
      </c>
      <c r="AW1237" t="s">
        <v>54</v>
      </c>
      <c r="AX1237" t="str">
        <f t="shared" si="95"/>
        <v>FOR</v>
      </c>
      <c r="AY1237" t="s">
        <v>55</v>
      </c>
    </row>
    <row r="1238" spans="1:51">
      <c r="A1238">
        <v>100270</v>
      </c>
      <c r="B1238" t="s">
        <v>108</v>
      </c>
      <c r="C1238" t="str">
        <f t="shared" si="96"/>
        <v>01364640233</v>
      </c>
      <c r="D1238" t="str">
        <f t="shared" si="97"/>
        <v>03748120155</v>
      </c>
      <c r="E1238" t="s">
        <v>52</v>
      </c>
      <c r="F1238">
        <v>2014</v>
      </c>
      <c r="G1238">
        <v>31411932</v>
      </c>
      <c r="H1238" s="1">
        <v>41990</v>
      </c>
      <c r="I1238" s="1">
        <v>42004</v>
      </c>
      <c r="J1238" s="1">
        <v>42004</v>
      </c>
      <c r="K1238" s="1">
        <v>42064</v>
      </c>
      <c r="L1238" s="7">
        <v>297.60000000000002</v>
      </c>
      <c r="M1238" s="5">
        <v>276</v>
      </c>
      <c r="N1238" s="7">
        <v>82137.600000000006</v>
      </c>
      <c r="O1238">
        <v>297.60000000000002</v>
      </c>
      <c r="P1238">
        <v>276</v>
      </c>
      <c r="Q1238" s="2">
        <v>82137.600000000006</v>
      </c>
      <c r="R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 s="1">
        <v>42382</v>
      </c>
      <c r="AC1238" t="s">
        <v>53</v>
      </c>
      <c r="AD1238" t="s">
        <v>53</v>
      </c>
      <c r="AK1238">
        <v>0</v>
      </c>
      <c r="AU1238" s="6">
        <v>42340</v>
      </c>
      <c r="AV1238" s="6">
        <v>42340</v>
      </c>
      <c r="AW1238" t="s">
        <v>54</v>
      </c>
      <c r="AX1238" t="str">
        <f t="shared" si="95"/>
        <v>FOR</v>
      </c>
      <c r="AY1238" t="s">
        <v>55</v>
      </c>
    </row>
    <row r="1239" spans="1:51">
      <c r="A1239">
        <v>100270</v>
      </c>
      <c r="B1239" t="s">
        <v>108</v>
      </c>
      <c r="C1239" t="str">
        <f t="shared" si="96"/>
        <v>01364640233</v>
      </c>
      <c r="D1239" t="str">
        <f t="shared" si="97"/>
        <v>03748120155</v>
      </c>
      <c r="E1239" t="s">
        <v>52</v>
      </c>
      <c r="F1239">
        <v>2014</v>
      </c>
      <c r="G1239">
        <v>31411934</v>
      </c>
      <c r="H1239" s="1">
        <v>41990</v>
      </c>
      <c r="I1239" s="1">
        <v>42004</v>
      </c>
      <c r="J1239" s="1">
        <v>42004</v>
      </c>
      <c r="K1239" s="1">
        <v>42064</v>
      </c>
      <c r="L1239" s="7">
        <v>2543.1799999999998</v>
      </c>
      <c r="M1239" s="5">
        <v>276</v>
      </c>
      <c r="N1239" s="7">
        <v>701917.68</v>
      </c>
      <c r="O1239" s="2">
        <v>2543.1799999999998</v>
      </c>
      <c r="P1239">
        <v>276</v>
      </c>
      <c r="Q1239" s="2">
        <v>701917.68</v>
      </c>
      <c r="R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 s="1">
        <v>42382</v>
      </c>
      <c r="AC1239" t="s">
        <v>53</v>
      </c>
      <c r="AD1239" t="s">
        <v>53</v>
      </c>
      <c r="AK1239">
        <v>0</v>
      </c>
      <c r="AU1239" s="6">
        <v>42340</v>
      </c>
      <c r="AV1239" s="6">
        <v>42340</v>
      </c>
      <c r="AW1239" t="s">
        <v>54</v>
      </c>
      <c r="AX1239" t="str">
        <f t="shared" si="95"/>
        <v>FOR</v>
      </c>
      <c r="AY1239" t="s">
        <v>55</v>
      </c>
    </row>
    <row r="1240" spans="1:51">
      <c r="A1240">
        <v>100270</v>
      </c>
      <c r="B1240" t="s">
        <v>108</v>
      </c>
      <c r="C1240" t="str">
        <f t="shared" si="96"/>
        <v>01364640233</v>
      </c>
      <c r="D1240" t="str">
        <f t="shared" si="97"/>
        <v>03748120155</v>
      </c>
      <c r="E1240" t="s">
        <v>52</v>
      </c>
      <c r="F1240">
        <v>2014</v>
      </c>
      <c r="G1240">
        <v>31411936</v>
      </c>
      <c r="H1240" s="1">
        <v>41990</v>
      </c>
      <c r="I1240" s="1">
        <v>42004</v>
      </c>
      <c r="J1240" s="1">
        <v>42004</v>
      </c>
      <c r="K1240" s="1">
        <v>42064</v>
      </c>
      <c r="L1240" s="7">
        <v>2543.1799999999998</v>
      </c>
      <c r="M1240" s="5">
        <v>276</v>
      </c>
      <c r="N1240" s="7">
        <v>701917.68</v>
      </c>
      <c r="O1240" s="2">
        <v>2543.1799999999998</v>
      </c>
      <c r="P1240">
        <v>276</v>
      </c>
      <c r="Q1240" s="2">
        <v>701917.68</v>
      </c>
      <c r="R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 s="1">
        <v>42382</v>
      </c>
      <c r="AC1240" t="s">
        <v>53</v>
      </c>
      <c r="AD1240" t="s">
        <v>53</v>
      </c>
      <c r="AK1240">
        <v>0</v>
      </c>
      <c r="AU1240" s="6">
        <v>42340</v>
      </c>
      <c r="AV1240" s="6">
        <v>42340</v>
      </c>
      <c r="AW1240" t="s">
        <v>54</v>
      </c>
      <c r="AX1240" t="str">
        <f t="shared" si="95"/>
        <v>FOR</v>
      </c>
      <c r="AY1240" t="s">
        <v>55</v>
      </c>
    </row>
    <row r="1241" spans="1:51">
      <c r="A1241">
        <v>100270</v>
      </c>
      <c r="B1241" t="s">
        <v>108</v>
      </c>
      <c r="C1241" t="str">
        <f t="shared" si="96"/>
        <v>01364640233</v>
      </c>
      <c r="D1241" t="str">
        <f t="shared" si="97"/>
        <v>03748120155</v>
      </c>
      <c r="E1241" t="s">
        <v>52</v>
      </c>
      <c r="F1241">
        <v>2014</v>
      </c>
      <c r="G1241">
        <v>31411937</v>
      </c>
      <c r="H1241" s="1">
        <v>41990</v>
      </c>
      <c r="I1241" s="1">
        <v>42004</v>
      </c>
      <c r="J1241" s="1">
        <v>42004</v>
      </c>
      <c r="K1241" s="1">
        <v>42064</v>
      </c>
      <c r="L1241" s="7">
        <v>297.60000000000002</v>
      </c>
      <c r="M1241" s="5">
        <v>276</v>
      </c>
      <c r="N1241" s="7">
        <v>82137.600000000006</v>
      </c>
      <c r="O1241">
        <v>297.60000000000002</v>
      </c>
      <c r="P1241">
        <v>276</v>
      </c>
      <c r="Q1241" s="2">
        <v>82137.600000000006</v>
      </c>
      <c r="R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 s="1">
        <v>42382</v>
      </c>
      <c r="AC1241" t="s">
        <v>53</v>
      </c>
      <c r="AD1241" t="s">
        <v>53</v>
      </c>
      <c r="AK1241">
        <v>0</v>
      </c>
      <c r="AU1241" s="6">
        <v>42340</v>
      </c>
      <c r="AV1241" s="6">
        <v>42340</v>
      </c>
      <c r="AW1241" t="s">
        <v>54</v>
      </c>
      <c r="AX1241" t="str">
        <f t="shared" si="95"/>
        <v>FOR</v>
      </c>
      <c r="AY1241" t="s">
        <v>55</v>
      </c>
    </row>
    <row r="1242" spans="1:51">
      <c r="A1242">
        <v>100270</v>
      </c>
      <c r="B1242" t="s">
        <v>108</v>
      </c>
      <c r="C1242" t="str">
        <f t="shared" si="96"/>
        <v>01364640233</v>
      </c>
      <c r="D1242" t="str">
        <f t="shared" si="97"/>
        <v>03748120155</v>
      </c>
      <c r="E1242" t="s">
        <v>52</v>
      </c>
      <c r="F1242">
        <v>2014</v>
      </c>
      <c r="G1242">
        <v>31411939</v>
      </c>
      <c r="H1242" s="1">
        <v>41990</v>
      </c>
      <c r="I1242" s="1">
        <v>42004</v>
      </c>
      <c r="J1242" s="1">
        <v>42004</v>
      </c>
      <c r="K1242" s="1">
        <v>42064</v>
      </c>
      <c r="L1242" s="7">
        <v>1825.93</v>
      </c>
      <c r="M1242" s="5">
        <v>276</v>
      </c>
      <c r="N1242" s="7">
        <v>503956.68</v>
      </c>
      <c r="O1242" s="2">
        <v>1825.93</v>
      </c>
      <c r="P1242">
        <v>276</v>
      </c>
      <c r="Q1242" s="2">
        <v>503956.68</v>
      </c>
      <c r="R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 s="1">
        <v>42382</v>
      </c>
      <c r="AC1242" t="s">
        <v>53</v>
      </c>
      <c r="AD1242" t="s">
        <v>53</v>
      </c>
      <c r="AK1242">
        <v>0</v>
      </c>
      <c r="AU1242" s="6">
        <v>42340</v>
      </c>
      <c r="AV1242" s="6">
        <v>42340</v>
      </c>
      <c r="AW1242" t="s">
        <v>54</v>
      </c>
      <c r="AX1242" t="str">
        <f t="shared" si="95"/>
        <v>FOR</v>
      </c>
      <c r="AY1242" t="s">
        <v>55</v>
      </c>
    </row>
    <row r="1243" spans="1:51">
      <c r="A1243">
        <v>100270</v>
      </c>
      <c r="B1243" t="s">
        <v>108</v>
      </c>
      <c r="C1243" t="str">
        <f t="shared" si="96"/>
        <v>01364640233</v>
      </c>
      <c r="D1243" t="str">
        <f t="shared" si="97"/>
        <v>03748120155</v>
      </c>
      <c r="E1243" t="s">
        <v>52</v>
      </c>
      <c r="F1243">
        <v>2014</v>
      </c>
      <c r="G1243">
        <v>31411940</v>
      </c>
      <c r="H1243" s="1">
        <v>41990</v>
      </c>
      <c r="I1243" s="1">
        <v>42004</v>
      </c>
      <c r="J1243" s="1">
        <v>42004</v>
      </c>
      <c r="K1243" s="1">
        <v>42064</v>
      </c>
      <c r="L1243" s="7">
        <v>297.60000000000002</v>
      </c>
      <c r="M1243" s="5">
        <v>276</v>
      </c>
      <c r="N1243" s="7">
        <v>82137.600000000006</v>
      </c>
      <c r="O1243">
        <v>297.60000000000002</v>
      </c>
      <c r="P1243">
        <v>276</v>
      </c>
      <c r="Q1243" s="2">
        <v>82137.600000000006</v>
      </c>
      <c r="R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 s="1">
        <v>42382</v>
      </c>
      <c r="AC1243" t="s">
        <v>53</v>
      </c>
      <c r="AD1243" t="s">
        <v>53</v>
      </c>
      <c r="AK1243">
        <v>0</v>
      </c>
      <c r="AU1243" s="6">
        <v>42340</v>
      </c>
      <c r="AV1243" s="6">
        <v>42340</v>
      </c>
      <c r="AW1243" t="s">
        <v>54</v>
      </c>
      <c r="AX1243" t="str">
        <f t="shared" si="95"/>
        <v>FOR</v>
      </c>
      <c r="AY1243" t="s">
        <v>55</v>
      </c>
    </row>
    <row r="1244" spans="1:51">
      <c r="A1244">
        <v>100270</v>
      </c>
      <c r="B1244" t="s">
        <v>108</v>
      </c>
      <c r="C1244" t="str">
        <f t="shared" si="96"/>
        <v>01364640233</v>
      </c>
      <c r="D1244" t="str">
        <f t="shared" si="97"/>
        <v>03748120155</v>
      </c>
      <c r="E1244" t="s">
        <v>52</v>
      </c>
      <c r="F1244">
        <v>2014</v>
      </c>
      <c r="G1244">
        <v>31412197</v>
      </c>
      <c r="H1244" s="1">
        <v>42002</v>
      </c>
      <c r="I1244" s="1">
        <v>42018</v>
      </c>
      <c r="J1244" s="1">
        <v>42018</v>
      </c>
      <c r="K1244" s="1">
        <v>42078</v>
      </c>
      <c r="L1244" s="7">
        <v>294.57</v>
      </c>
      <c r="M1244" s="5">
        <v>262</v>
      </c>
      <c r="N1244" s="7">
        <v>77177.34</v>
      </c>
      <c r="O1244">
        <v>294.57</v>
      </c>
      <c r="P1244">
        <v>262</v>
      </c>
      <c r="Q1244" s="2">
        <v>77177.34</v>
      </c>
      <c r="R1244">
        <v>0</v>
      </c>
      <c r="V1244">
        <v>0</v>
      </c>
      <c r="W1244">
        <v>0</v>
      </c>
      <c r="X1244">
        <v>0</v>
      </c>
      <c r="Y1244">
        <v>0</v>
      </c>
      <c r="Z1244">
        <v>294.57</v>
      </c>
      <c r="AA1244">
        <v>0</v>
      </c>
      <c r="AB1244" s="1">
        <v>42382</v>
      </c>
      <c r="AC1244" t="s">
        <v>53</v>
      </c>
      <c r="AD1244" t="s">
        <v>53</v>
      </c>
      <c r="AK1244">
        <v>0</v>
      </c>
      <c r="AU1244" s="6">
        <v>42340</v>
      </c>
      <c r="AV1244" s="6">
        <v>42340</v>
      </c>
      <c r="AW1244" t="s">
        <v>54</v>
      </c>
      <c r="AX1244" t="str">
        <f t="shared" si="95"/>
        <v>FOR</v>
      </c>
      <c r="AY1244" t="s">
        <v>55</v>
      </c>
    </row>
    <row r="1245" spans="1:51">
      <c r="A1245">
        <v>100270</v>
      </c>
      <c r="B1245" t="s">
        <v>108</v>
      </c>
      <c r="C1245" t="str">
        <f t="shared" si="96"/>
        <v>01364640233</v>
      </c>
      <c r="D1245" t="str">
        <f t="shared" si="97"/>
        <v>03748120155</v>
      </c>
      <c r="E1245" t="s">
        <v>52</v>
      </c>
      <c r="F1245">
        <v>2014</v>
      </c>
      <c r="G1245">
        <v>31412198</v>
      </c>
      <c r="H1245" s="1">
        <v>42002</v>
      </c>
      <c r="I1245" s="1">
        <v>42018</v>
      </c>
      <c r="J1245" s="1">
        <v>42018</v>
      </c>
      <c r="K1245" s="1">
        <v>42078</v>
      </c>
      <c r="L1245" s="7">
        <v>297.60000000000002</v>
      </c>
      <c r="M1245" s="5">
        <v>262</v>
      </c>
      <c r="N1245" s="7">
        <v>77971.199999999997</v>
      </c>
      <c r="O1245">
        <v>297.60000000000002</v>
      </c>
      <c r="P1245">
        <v>262</v>
      </c>
      <c r="Q1245" s="2">
        <v>77971.199999999997</v>
      </c>
      <c r="R1245">
        <v>0</v>
      </c>
      <c r="V1245">
        <v>0</v>
      </c>
      <c r="W1245">
        <v>0</v>
      </c>
      <c r="X1245">
        <v>0</v>
      </c>
      <c r="Y1245">
        <v>0</v>
      </c>
      <c r="Z1245">
        <v>297.60000000000002</v>
      </c>
      <c r="AA1245">
        <v>0</v>
      </c>
      <c r="AB1245" s="1">
        <v>42382</v>
      </c>
      <c r="AC1245" t="s">
        <v>53</v>
      </c>
      <c r="AD1245" t="s">
        <v>53</v>
      </c>
      <c r="AK1245">
        <v>0</v>
      </c>
      <c r="AU1245" s="6">
        <v>42340</v>
      </c>
      <c r="AV1245" s="6">
        <v>42340</v>
      </c>
      <c r="AW1245" t="s">
        <v>54</v>
      </c>
      <c r="AX1245" t="str">
        <f t="shared" si="95"/>
        <v>FOR</v>
      </c>
      <c r="AY1245" t="s">
        <v>55</v>
      </c>
    </row>
    <row r="1246" spans="1:51">
      <c r="A1246">
        <v>100270</v>
      </c>
      <c r="B1246" t="s">
        <v>108</v>
      </c>
      <c r="C1246" t="str">
        <f t="shared" si="96"/>
        <v>01364640233</v>
      </c>
      <c r="D1246" t="str">
        <f t="shared" si="97"/>
        <v>03748120155</v>
      </c>
      <c r="E1246" t="s">
        <v>52</v>
      </c>
      <c r="F1246">
        <v>2014</v>
      </c>
      <c r="G1246">
        <v>31412250</v>
      </c>
      <c r="H1246" s="1">
        <v>42003</v>
      </c>
      <c r="I1246" s="1">
        <v>42018</v>
      </c>
      <c r="J1246" s="1">
        <v>42018</v>
      </c>
      <c r="K1246" s="1">
        <v>42078</v>
      </c>
      <c r="L1246" s="7">
        <v>16057.6</v>
      </c>
      <c r="M1246" s="5">
        <v>262</v>
      </c>
      <c r="N1246" s="7">
        <v>4207091.2</v>
      </c>
      <c r="O1246" s="2">
        <v>16057.6</v>
      </c>
      <c r="P1246">
        <v>262</v>
      </c>
      <c r="Q1246" s="2">
        <v>4207091.2</v>
      </c>
      <c r="R1246">
        <v>0</v>
      </c>
      <c r="V1246">
        <v>0</v>
      </c>
      <c r="W1246">
        <v>0</v>
      </c>
      <c r="X1246">
        <v>0</v>
      </c>
      <c r="Y1246">
        <v>0</v>
      </c>
      <c r="Z1246" s="2">
        <v>16057.6</v>
      </c>
      <c r="AA1246">
        <v>0</v>
      </c>
      <c r="AB1246" s="1">
        <v>42382</v>
      </c>
      <c r="AC1246" t="s">
        <v>53</v>
      </c>
      <c r="AD1246" t="s">
        <v>53</v>
      </c>
      <c r="AK1246">
        <v>0</v>
      </c>
      <c r="AU1246" s="6">
        <v>42340</v>
      </c>
      <c r="AV1246" s="6">
        <v>42340</v>
      </c>
      <c r="AW1246" t="s">
        <v>54</v>
      </c>
      <c r="AX1246" t="str">
        <f t="shared" si="95"/>
        <v>FOR</v>
      </c>
      <c r="AY1246" t="s">
        <v>55</v>
      </c>
    </row>
    <row r="1247" spans="1:51">
      <c r="A1247">
        <v>100270</v>
      </c>
      <c r="B1247" t="s">
        <v>108</v>
      </c>
      <c r="C1247" t="str">
        <f t="shared" si="96"/>
        <v>01364640233</v>
      </c>
      <c r="D1247" t="str">
        <f t="shared" si="97"/>
        <v>03748120155</v>
      </c>
      <c r="E1247" t="s">
        <v>52</v>
      </c>
      <c r="F1247">
        <v>2014</v>
      </c>
      <c r="G1247">
        <v>31412251</v>
      </c>
      <c r="H1247" s="1">
        <v>42003</v>
      </c>
      <c r="I1247" s="1">
        <v>42018</v>
      </c>
      <c r="J1247" s="1">
        <v>42018</v>
      </c>
      <c r="K1247" s="1">
        <v>42078</v>
      </c>
      <c r="L1247" s="7">
        <v>469.7</v>
      </c>
      <c r="M1247" s="5">
        <v>262</v>
      </c>
      <c r="N1247" s="7">
        <v>123061.4</v>
      </c>
      <c r="O1247">
        <v>469.7</v>
      </c>
      <c r="P1247">
        <v>262</v>
      </c>
      <c r="Q1247" s="2">
        <v>123061.4</v>
      </c>
      <c r="R1247">
        <v>0</v>
      </c>
      <c r="V1247">
        <v>0</v>
      </c>
      <c r="W1247">
        <v>0</v>
      </c>
      <c r="X1247">
        <v>0</v>
      </c>
      <c r="Y1247">
        <v>0</v>
      </c>
      <c r="Z1247">
        <v>469.7</v>
      </c>
      <c r="AA1247">
        <v>0</v>
      </c>
      <c r="AB1247" s="1">
        <v>42382</v>
      </c>
      <c r="AC1247" t="s">
        <v>53</v>
      </c>
      <c r="AD1247" t="s">
        <v>53</v>
      </c>
      <c r="AK1247">
        <v>0</v>
      </c>
      <c r="AU1247" s="6">
        <v>42340</v>
      </c>
      <c r="AV1247" s="6">
        <v>42340</v>
      </c>
      <c r="AW1247" t="s">
        <v>54</v>
      </c>
      <c r="AX1247" t="str">
        <f t="shared" si="95"/>
        <v>FOR</v>
      </c>
      <c r="AY1247" t="s">
        <v>55</v>
      </c>
    </row>
    <row r="1248" spans="1:51">
      <c r="A1248">
        <v>100270</v>
      </c>
      <c r="B1248" t="s">
        <v>108</v>
      </c>
      <c r="C1248" t="str">
        <f t="shared" si="96"/>
        <v>01364640233</v>
      </c>
      <c r="D1248" t="str">
        <f t="shared" si="97"/>
        <v>03748120155</v>
      </c>
      <c r="E1248" t="s">
        <v>52</v>
      </c>
      <c r="F1248">
        <v>2015</v>
      </c>
      <c r="G1248">
        <v>31500238</v>
      </c>
      <c r="H1248" s="1">
        <v>42017</v>
      </c>
      <c r="I1248" s="1">
        <v>42025</v>
      </c>
      <c r="J1248" s="1">
        <v>42025</v>
      </c>
      <c r="K1248" s="1">
        <v>42085</v>
      </c>
      <c r="L1248" s="7">
        <v>2166.98</v>
      </c>
      <c r="M1248" s="5">
        <v>271</v>
      </c>
      <c r="N1248" s="7">
        <v>587251.57999999996</v>
      </c>
      <c r="O1248" s="2">
        <v>2166.98</v>
      </c>
      <c r="P1248">
        <v>271</v>
      </c>
      <c r="Q1248" s="2">
        <v>587251.57999999996</v>
      </c>
      <c r="R1248">
        <v>86.68</v>
      </c>
      <c r="V1248">
        <v>0</v>
      </c>
      <c r="W1248">
        <v>0</v>
      </c>
      <c r="X1248">
        <v>0</v>
      </c>
      <c r="Y1248" s="2">
        <v>2253.66</v>
      </c>
      <c r="Z1248" s="2">
        <v>2253.66</v>
      </c>
      <c r="AA1248" s="2">
        <v>2253.66</v>
      </c>
      <c r="AB1248" s="1">
        <v>42382</v>
      </c>
      <c r="AC1248" t="s">
        <v>53</v>
      </c>
      <c r="AD1248" t="s">
        <v>53</v>
      </c>
      <c r="AK1248">
        <v>86.68</v>
      </c>
      <c r="AU1248" s="6">
        <v>42356</v>
      </c>
      <c r="AV1248" s="6">
        <v>42356</v>
      </c>
      <c r="AW1248" t="s">
        <v>54</v>
      </c>
      <c r="AX1248" t="str">
        <f t="shared" si="95"/>
        <v>FOR</v>
      </c>
      <c r="AY1248" t="s">
        <v>55</v>
      </c>
    </row>
    <row r="1249" spans="1:51">
      <c r="A1249">
        <v>100270</v>
      </c>
      <c r="B1249" t="s">
        <v>108</v>
      </c>
      <c r="C1249" t="str">
        <f t="shared" si="96"/>
        <v>01364640233</v>
      </c>
      <c r="D1249" t="str">
        <f t="shared" si="97"/>
        <v>03748120155</v>
      </c>
      <c r="E1249" t="s">
        <v>52</v>
      </c>
      <c r="F1249">
        <v>2015</v>
      </c>
      <c r="G1249">
        <v>31500858</v>
      </c>
      <c r="H1249" s="1">
        <v>42032</v>
      </c>
      <c r="I1249" s="1">
        <v>42041</v>
      </c>
      <c r="J1249" s="1">
        <v>42041</v>
      </c>
      <c r="K1249" s="1">
        <v>42101</v>
      </c>
      <c r="L1249" s="7">
        <v>20580</v>
      </c>
      <c r="M1249" s="5">
        <v>255</v>
      </c>
      <c r="N1249" s="7">
        <v>5247900</v>
      </c>
      <c r="O1249" s="2">
        <v>20580</v>
      </c>
      <c r="P1249">
        <v>255</v>
      </c>
      <c r="Q1249" s="2">
        <v>5247900</v>
      </c>
      <c r="R1249">
        <v>823.2</v>
      </c>
      <c r="V1249">
        <v>0</v>
      </c>
      <c r="W1249">
        <v>0</v>
      </c>
      <c r="X1249">
        <v>0</v>
      </c>
      <c r="Y1249" s="2">
        <v>21403.200000000001</v>
      </c>
      <c r="Z1249" s="2">
        <v>21403.200000000001</v>
      </c>
      <c r="AA1249" s="2">
        <v>21403.200000000001</v>
      </c>
      <c r="AB1249" s="1">
        <v>42382</v>
      </c>
      <c r="AC1249" t="s">
        <v>53</v>
      </c>
      <c r="AD1249" t="s">
        <v>53</v>
      </c>
      <c r="AK1249">
        <v>823.2</v>
      </c>
      <c r="AU1249" s="6">
        <v>42356</v>
      </c>
      <c r="AV1249" s="6">
        <v>42356</v>
      </c>
      <c r="AW1249" t="s">
        <v>54</v>
      </c>
      <c r="AX1249" t="str">
        <f t="shared" si="95"/>
        <v>FOR</v>
      </c>
      <c r="AY1249" t="s">
        <v>55</v>
      </c>
    </row>
    <row r="1250" spans="1:51" hidden="1">
      <c r="A1250">
        <v>100272</v>
      </c>
      <c r="B1250" t="s">
        <v>109</v>
      </c>
      <c r="C1250" t="str">
        <f t="shared" ref="C1250:D1254" si="98">"12792100153"</f>
        <v>12792100153</v>
      </c>
      <c r="D1250" t="str">
        <f t="shared" si="98"/>
        <v>12792100153</v>
      </c>
      <c r="E1250" t="s">
        <v>52</v>
      </c>
      <c r="F1250">
        <v>2014</v>
      </c>
      <c r="G1250">
        <v>12203612</v>
      </c>
      <c r="H1250" s="1">
        <v>41872</v>
      </c>
      <c r="I1250" s="1">
        <v>41877</v>
      </c>
      <c r="J1250" s="1">
        <v>41877</v>
      </c>
      <c r="K1250" s="1">
        <v>41967</v>
      </c>
      <c r="N1250" s="5"/>
      <c r="O1250" s="2">
        <v>5105.84</v>
      </c>
      <c r="P1250">
        <v>74</v>
      </c>
      <c r="Q1250" s="2">
        <v>377832.16</v>
      </c>
      <c r="R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 s="1">
        <v>42382</v>
      </c>
      <c r="AC1250" t="s">
        <v>53</v>
      </c>
      <c r="AD1250" t="s">
        <v>53</v>
      </c>
      <c r="AK1250">
        <v>0</v>
      </c>
      <c r="AU1250" s="6">
        <v>42041</v>
      </c>
      <c r="AV1250" s="6">
        <v>42041</v>
      </c>
      <c r="AW1250" t="s">
        <v>54</v>
      </c>
      <c r="AX1250" t="str">
        <f t="shared" si="95"/>
        <v>FOR</v>
      </c>
      <c r="AY1250" t="s">
        <v>55</v>
      </c>
    </row>
    <row r="1251" spans="1:51" hidden="1">
      <c r="A1251">
        <v>100272</v>
      </c>
      <c r="B1251" t="s">
        <v>109</v>
      </c>
      <c r="C1251" t="str">
        <f t="shared" si="98"/>
        <v>12792100153</v>
      </c>
      <c r="D1251" t="str">
        <f t="shared" si="98"/>
        <v>12792100153</v>
      </c>
      <c r="E1251" t="s">
        <v>52</v>
      </c>
      <c r="F1251">
        <v>2014</v>
      </c>
      <c r="G1251">
        <v>14229343</v>
      </c>
      <c r="H1251" s="1">
        <v>41694</v>
      </c>
      <c r="I1251" s="1">
        <v>41703</v>
      </c>
      <c r="J1251" s="1">
        <v>41703</v>
      </c>
      <c r="K1251" s="1">
        <v>41793</v>
      </c>
      <c r="N1251" s="5"/>
      <c r="O1251" s="2">
        <v>1383.48</v>
      </c>
      <c r="P1251">
        <v>246</v>
      </c>
      <c r="Q1251" s="2">
        <v>340336.08</v>
      </c>
      <c r="R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 s="1">
        <v>42382</v>
      </c>
      <c r="AC1251" t="s">
        <v>53</v>
      </c>
      <c r="AD1251" t="s">
        <v>53</v>
      </c>
      <c r="AK1251">
        <v>0</v>
      </c>
      <c r="AU1251" s="6">
        <v>42039</v>
      </c>
      <c r="AV1251" s="6">
        <v>42039</v>
      </c>
      <c r="AW1251" t="s">
        <v>54</v>
      </c>
      <c r="AX1251" t="str">
        <f t="shared" si="95"/>
        <v>FOR</v>
      </c>
      <c r="AY1251" t="s">
        <v>55</v>
      </c>
    </row>
    <row r="1252" spans="1:51" hidden="1">
      <c r="A1252">
        <v>100272</v>
      </c>
      <c r="B1252" t="s">
        <v>109</v>
      </c>
      <c r="C1252" t="str">
        <f t="shared" si="98"/>
        <v>12792100153</v>
      </c>
      <c r="D1252" t="str">
        <f t="shared" si="98"/>
        <v>12792100153</v>
      </c>
      <c r="E1252" t="s">
        <v>52</v>
      </c>
      <c r="F1252">
        <v>2014</v>
      </c>
      <c r="G1252">
        <v>14237384</v>
      </c>
      <c r="H1252" s="1">
        <v>41764</v>
      </c>
      <c r="I1252" s="1">
        <v>41771</v>
      </c>
      <c r="J1252" s="1">
        <v>41771</v>
      </c>
      <c r="K1252" s="1">
        <v>41861</v>
      </c>
      <c r="N1252" s="5"/>
      <c r="O1252">
        <v>473.24</v>
      </c>
      <c r="P1252">
        <v>178</v>
      </c>
      <c r="Q1252" s="2">
        <v>84236.72</v>
      </c>
      <c r="R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 s="1">
        <v>42382</v>
      </c>
      <c r="AC1252" t="s">
        <v>53</v>
      </c>
      <c r="AD1252" t="s">
        <v>53</v>
      </c>
      <c r="AK1252">
        <v>0</v>
      </c>
      <c r="AU1252" s="6">
        <v>42039</v>
      </c>
      <c r="AV1252" s="6">
        <v>42039</v>
      </c>
      <c r="AW1252" t="s">
        <v>54</v>
      </c>
      <c r="AX1252" t="str">
        <f t="shared" si="95"/>
        <v>FOR</v>
      </c>
      <c r="AY1252" t="s">
        <v>55</v>
      </c>
    </row>
    <row r="1253" spans="1:51" hidden="1">
      <c r="A1253">
        <v>100272</v>
      </c>
      <c r="B1253" t="s">
        <v>109</v>
      </c>
      <c r="C1253" t="str">
        <f t="shared" si="98"/>
        <v>12792100153</v>
      </c>
      <c r="D1253" t="str">
        <f t="shared" si="98"/>
        <v>12792100153</v>
      </c>
      <c r="E1253" t="s">
        <v>52</v>
      </c>
      <c r="F1253">
        <v>2014</v>
      </c>
      <c r="G1253">
        <v>14246067</v>
      </c>
      <c r="H1253" s="1">
        <v>41834</v>
      </c>
      <c r="I1253" s="1">
        <v>41842</v>
      </c>
      <c r="J1253" s="1">
        <v>41842</v>
      </c>
      <c r="K1253" s="1">
        <v>41932</v>
      </c>
      <c r="N1253" s="5"/>
      <c r="O1253" s="2">
        <v>1045.8499999999999</v>
      </c>
      <c r="P1253">
        <v>107</v>
      </c>
      <c r="Q1253" s="2">
        <v>111905.95</v>
      </c>
      <c r="R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 s="1">
        <v>42382</v>
      </c>
      <c r="AC1253" t="s">
        <v>53</v>
      </c>
      <c r="AD1253" t="s">
        <v>53</v>
      </c>
      <c r="AK1253">
        <v>0</v>
      </c>
      <c r="AU1253" s="6">
        <v>42039</v>
      </c>
      <c r="AV1253" s="6">
        <v>42039</v>
      </c>
      <c r="AW1253" t="s">
        <v>54</v>
      </c>
      <c r="AX1253" t="str">
        <f t="shared" si="95"/>
        <v>FOR</v>
      </c>
      <c r="AY1253" t="s">
        <v>55</v>
      </c>
    </row>
    <row r="1254" spans="1:51" hidden="1">
      <c r="A1254">
        <v>100272</v>
      </c>
      <c r="B1254" t="s">
        <v>109</v>
      </c>
      <c r="C1254" t="str">
        <f t="shared" si="98"/>
        <v>12792100153</v>
      </c>
      <c r="D1254" t="str">
        <f t="shared" si="98"/>
        <v>12792100153</v>
      </c>
      <c r="E1254" t="s">
        <v>52</v>
      </c>
      <c r="F1254">
        <v>2015</v>
      </c>
      <c r="G1254">
        <v>15267086</v>
      </c>
      <c r="H1254" s="1">
        <v>42044</v>
      </c>
      <c r="I1254" s="1">
        <v>42059</v>
      </c>
      <c r="J1254" s="1">
        <v>42059</v>
      </c>
      <c r="K1254" s="1">
        <v>42119</v>
      </c>
      <c r="N1254" s="5"/>
      <c r="O1254" s="2">
        <v>4149.8999999999996</v>
      </c>
      <c r="P1254">
        <v>156</v>
      </c>
      <c r="Q1254" s="2">
        <v>647384.4</v>
      </c>
      <c r="R1254">
        <v>0</v>
      </c>
      <c r="V1254">
        <v>0</v>
      </c>
      <c r="W1254">
        <v>0</v>
      </c>
      <c r="X1254">
        <v>0</v>
      </c>
      <c r="Y1254" s="2">
        <v>5062.88</v>
      </c>
      <c r="Z1254" s="2">
        <v>5062.88</v>
      </c>
      <c r="AA1254" s="2">
        <v>5062.88</v>
      </c>
      <c r="AB1254" s="1">
        <v>42382</v>
      </c>
      <c r="AC1254" t="s">
        <v>53</v>
      </c>
      <c r="AD1254" t="s">
        <v>53</v>
      </c>
      <c r="AK1254">
        <v>0</v>
      </c>
      <c r="AU1254" s="6">
        <v>42275</v>
      </c>
      <c r="AV1254" s="6">
        <v>42275</v>
      </c>
      <c r="AW1254" t="s">
        <v>54</v>
      </c>
      <c r="AX1254" t="str">
        <f t="shared" si="95"/>
        <v>FOR</v>
      </c>
      <c r="AY1254" t="s">
        <v>55</v>
      </c>
    </row>
    <row r="1255" spans="1:51" hidden="1">
      <c r="A1255">
        <v>100281</v>
      </c>
      <c r="B1255" t="s">
        <v>110</v>
      </c>
      <c r="C1255" t="str">
        <f>"03717020964"</f>
        <v>03717020964</v>
      </c>
      <c r="D1255" t="str">
        <f>"03717020964"</f>
        <v>03717020964</v>
      </c>
      <c r="E1255" t="s">
        <v>52</v>
      </c>
      <c r="F1255">
        <v>2014</v>
      </c>
      <c r="G1255">
        <v>10606</v>
      </c>
      <c r="H1255" s="1">
        <v>41957</v>
      </c>
      <c r="I1255" s="1">
        <v>41967</v>
      </c>
      <c r="J1255" s="1">
        <v>41967</v>
      </c>
      <c r="K1255" s="1">
        <v>42027</v>
      </c>
      <c r="N1255" s="5"/>
      <c r="O1255" s="2">
        <v>1184.01</v>
      </c>
      <c r="P1255">
        <v>104</v>
      </c>
      <c r="Q1255" s="2">
        <v>123137.04</v>
      </c>
      <c r="R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 s="1">
        <v>42382</v>
      </c>
      <c r="AC1255" t="s">
        <v>53</v>
      </c>
      <c r="AD1255" t="s">
        <v>53</v>
      </c>
      <c r="AK1255">
        <v>0</v>
      </c>
      <c r="AU1255" s="6">
        <v>42131</v>
      </c>
      <c r="AV1255" s="6">
        <v>42131</v>
      </c>
      <c r="AW1255" t="s">
        <v>54</v>
      </c>
      <c r="AX1255" t="str">
        <f t="shared" si="95"/>
        <v>FOR</v>
      </c>
      <c r="AY1255" t="s">
        <v>55</v>
      </c>
    </row>
    <row r="1256" spans="1:51" hidden="1">
      <c r="A1256">
        <v>100294</v>
      </c>
      <c r="B1256" t="s">
        <v>111</v>
      </c>
      <c r="C1256" t="str">
        <f t="shared" ref="C1256:D1277" si="99">"06068041000"</f>
        <v>06068041000</v>
      </c>
      <c r="D1256" t="str">
        <f t="shared" si="99"/>
        <v>06068041000</v>
      </c>
      <c r="E1256" t="s">
        <v>52</v>
      </c>
      <c r="F1256">
        <v>2013</v>
      </c>
      <c r="G1256">
        <v>21312930</v>
      </c>
      <c r="H1256" s="1">
        <v>41480</v>
      </c>
      <c r="I1256" s="1">
        <v>41515</v>
      </c>
      <c r="J1256" s="1">
        <v>41515</v>
      </c>
      <c r="K1256" s="1">
        <v>41605</v>
      </c>
      <c r="N1256" s="5"/>
      <c r="O1256" s="2">
        <v>1621.4</v>
      </c>
      <c r="P1256">
        <v>432</v>
      </c>
      <c r="Q1256" s="2">
        <v>700444.8</v>
      </c>
      <c r="R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 s="1">
        <v>42382</v>
      </c>
      <c r="AC1256" t="s">
        <v>53</v>
      </c>
      <c r="AD1256" t="s">
        <v>53</v>
      </c>
      <c r="AK1256">
        <v>0</v>
      </c>
      <c r="AU1256" s="6">
        <v>42037</v>
      </c>
      <c r="AV1256" s="6">
        <v>42037</v>
      </c>
      <c r="AW1256" t="s">
        <v>54</v>
      </c>
      <c r="AX1256" t="str">
        <f t="shared" si="95"/>
        <v>FOR</v>
      </c>
      <c r="AY1256" t="s">
        <v>55</v>
      </c>
    </row>
    <row r="1257" spans="1:51" hidden="1">
      <c r="A1257">
        <v>100294</v>
      </c>
      <c r="B1257" t="s">
        <v>111</v>
      </c>
      <c r="C1257" t="str">
        <f t="shared" si="99"/>
        <v>06068041000</v>
      </c>
      <c r="D1257" t="str">
        <f t="shared" si="99"/>
        <v>06068041000</v>
      </c>
      <c r="E1257" t="s">
        <v>52</v>
      </c>
      <c r="F1257">
        <v>2013</v>
      </c>
      <c r="G1257">
        <v>21313018</v>
      </c>
      <c r="H1257" s="1">
        <v>41481</v>
      </c>
      <c r="I1257" s="1">
        <v>41515</v>
      </c>
      <c r="J1257" s="1">
        <v>41515</v>
      </c>
      <c r="K1257" s="1">
        <v>41605</v>
      </c>
      <c r="N1257" s="5"/>
      <c r="O1257">
        <v>931.7</v>
      </c>
      <c r="P1257">
        <v>432</v>
      </c>
      <c r="Q1257" s="2">
        <v>402494.4</v>
      </c>
      <c r="R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 s="1">
        <v>42382</v>
      </c>
      <c r="AC1257" t="s">
        <v>53</v>
      </c>
      <c r="AD1257" t="s">
        <v>53</v>
      </c>
      <c r="AK1257">
        <v>0</v>
      </c>
      <c r="AU1257" s="6">
        <v>42037</v>
      </c>
      <c r="AV1257" s="6">
        <v>42037</v>
      </c>
      <c r="AW1257" t="s">
        <v>54</v>
      </c>
      <c r="AX1257" t="str">
        <f t="shared" si="95"/>
        <v>FOR</v>
      </c>
      <c r="AY1257" t="s">
        <v>55</v>
      </c>
    </row>
    <row r="1258" spans="1:51" hidden="1">
      <c r="A1258">
        <v>100294</v>
      </c>
      <c r="B1258" t="s">
        <v>111</v>
      </c>
      <c r="C1258" t="str">
        <f t="shared" si="99"/>
        <v>06068041000</v>
      </c>
      <c r="D1258" t="str">
        <f t="shared" si="99"/>
        <v>06068041000</v>
      </c>
      <c r="E1258" t="s">
        <v>52</v>
      </c>
      <c r="F1258">
        <v>2013</v>
      </c>
      <c r="G1258">
        <v>21315220</v>
      </c>
      <c r="H1258" s="1">
        <v>41535</v>
      </c>
      <c r="I1258" s="1">
        <v>41556</v>
      </c>
      <c r="J1258" s="1">
        <v>41556</v>
      </c>
      <c r="K1258" s="1">
        <v>41646</v>
      </c>
      <c r="N1258" s="5"/>
      <c r="O1258">
        <v>931.7</v>
      </c>
      <c r="P1258">
        <v>391</v>
      </c>
      <c r="Q1258" s="2">
        <v>364294.7</v>
      </c>
      <c r="R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 s="1">
        <v>42382</v>
      </c>
      <c r="AC1258" t="s">
        <v>53</v>
      </c>
      <c r="AD1258" t="s">
        <v>53</v>
      </c>
      <c r="AK1258">
        <v>0</v>
      </c>
      <c r="AU1258" s="6">
        <v>42037</v>
      </c>
      <c r="AV1258" s="6">
        <v>42037</v>
      </c>
      <c r="AW1258" t="s">
        <v>54</v>
      </c>
      <c r="AX1258" t="str">
        <f t="shared" si="95"/>
        <v>FOR</v>
      </c>
      <c r="AY1258" t="s">
        <v>55</v>
      </c>
    </row>
    <row r="1259" spans="1:51" hidden="1">
      <c r="A1259">
        <v>100294</v>
      </c>
      <c r="B1259" t="s">
        <v>111</v>
      </c>
      <c r="C1259" t="str">
        <f t="shared" si="99"/>
        <v>06068041000</v>
      </c>
      <c r="D1259" t="str">
        <f t="shared" si="99"/>
        <v>06068041000</v>
      </c>
      <c r="E1259" t="s">
        <v>52</v>
      </c>
      <c r="F1259">
        <v>2013</v>
      </c>
      <c r="G1259">
        <v>21317237</v>
      </c>
      <c r="H1259" s="1">
        <v>41569</v>
      </c>
      <c r="I1259" s="1">
        <v>41582</v>
      </c>
      <c r="J1259" s="1">
        <v>41582</v>
      </c>
      <c r="K1259" s="1">
        <v>41672</v>
      </c>
      <c r="N1259" s="5"/>
      <c r="O1259" s="2">
        <v>2859.68</v>
      </c>
      <c r="P1259">
        <v>365</v>
      </c>
      <c r="Q1259" s="2">
        <v>1043783.2</v>
      </c>
      <c r="R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 s="1">
        <v>42382</v>
      </c>
      <c r="AC1259" t="s">
        <v>53</v>
      </c>
      <c r="AD1259" t="s">
        <v>53</v>
      </c>
      <c r="AK1259">
        <v>0</v>
      </c>
      <c r="AU1259" s="6">
        <v>42037</v>
      </c>
      <c r="AV1259" s="6">
        <v>42037</v>
      </c>
      <c r="AW1259" t="s">
        <v>54</v>
      </c>
      <c r="AX1259" t="str">
        <f t="shared" si="95"/>
        <v>FOR</v>
      </c>
      <c r="AY1259" t="s">
        <v>55</v>
      </c>
    </row>
    <row r="1260" spans="1:51" hidden="1">
      <c r="A1260">
        <v>100294</v>
      </c>
      <c r="B1260" t="s">
        <v>111</v>
      </c>
      <c r="C1260" t="str">
        <f t="shared" si="99"/>
        <v>06068041000</v>
      </c>
      <c r="D1260" t="str">
        <f t="shared" si="99"/>
        <v>06068041000</v>
      </c>
      <c r="E1260" t="s">
        <v>52</v>
      </c>
      <c r="F1260">
        <v>2013</v>
      </c>
      <c r="G1260">
        <v>21320632</v>
      </c>
      <c r="H1260" s="1">
        <v>41627</v>
      </c>
      <c r="I1260" s="1">
        <v>41675</v>
      </c>
      <c r="J1260" s="1">
        <v>41675</v>
      </c>
      <c r="K1260" s="1">
        <v>41765</v>
      </c>
      <c r="N1260" s="5"/>
      <c r="O1260" s="2">
        <v>3464.8</v>
      </c>
      <c r="P1260">
        <v>272</v>
      </c>
      <c r="Q1260" s="2">
        <v>942425.59999999998</v>
      </c>
      <c r="R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 s="1">
        <v>42382</v>
      </c>
      <c r="AC1260" t="s">
        <v>53</v>
      </c>
      <c r="AD1260" t="s">
        <v>53</v>
      </c>
      <c r="AK1260">
        <v>0</v>
      </c>
      <c r="AU1260" s="6">
        <v>42037</v>
      </c>
      <c r="AV1260" s="6">
        <v>42037</v>
      </c>
      <c r="AW1260" t="s">
        <v>54</v>
      </c>
      <c r="AX1260" t="str">
        <f t="shared" si="95"/>
        <v>FOR</v>
      </c>
      <c r="AY1260" t="s">
        <v>55</v>
      </c>
    </row>
    <row r="1261" spans="1:51" hidden="1">
      <c r="A1261">
        <v>100294</v>
      </c>
      <c r="B1261" t="s">
        <v>111</v>
      </c>
      <c r="C1261" t="str">
        <f t="shared" si="99"/>
        <v>06068041000</v>
      </c>
      <c r="D1261" t="str">
        <f t="shared" si="99"/>
        <v>06068041000</v>
      </c>
      <c r="E1261" t="s">
        <v>52</v>
      </c>
      <c r="F1261">
        <v>2013</v>
      </c>
      <c r="G1261">
        <v>213311793</v>
      </c>
      <c r="H1261" s="1">
        <v>41463</v>
      </c>
      <c r="I1261" s="1">
        <v>42052</v>
      </c>
      <c r="J1261" s="1">
        <v>42052</v>
      </c>
      <c r="K1261" s="1">
        <v>42112</v>
      </c>
      <c r="N1261" s="5"/>
      <c r="O1261" s="2">
        <v>2420</v>
      </c>
      <c r="P1261">
        <v>-37</v>
      </c>
      <c r="Q1261" s="2">
        <v>-89540</v>
      </c>
      <c r="R1261">
        <v>0</v>
      </c>
      <c r="V1261">
        <v>0</v>
      </c>
      <c r="W1261">
        <v>0</v>
      </c>
      <c r="X1261">
        <v>0</v>
      </c>
      <c r="Y1261">
        <v>0</v>
      </c>
      <c r="Z1261" s="2">
        <v>2420</v>
      </c>
      <c r="AA1261">
        <v>0</v>
      </c>
      <c r="AB1261" s="1">
        <v>42382</v>
      </c>
      <c r="AC1261" t="s">
        <v>53</v>
      </c>
      <c r="AD1261" t="s">
        <v>53</v>
      </c>
      <c r="AK1261">
        <v>0</v>
      </c>
      <c r="AU1261" s="6">
        <v>42075</v>
      </c>
      <c r="AV1261" s="6">
        <v>42075</v>
      </c>
      <c r="AW1261" t="s">
        <v>54</v>
      </c>
      <c r="AX1261" t="str">
        <f t="shared" si="95"/>
        <v>FOR</v>
      </c>
      <c r="AY1261" t="s">
        <v>55</v>
      </c>
    </row>
    <row r="1262" spans="1:51" hidden="1">
      <c r="A1262">
        <v>100294</v>
      </c>
      <c r="B1262" t="s">
        <v>111</v>
      </c>
      <c r="C1262" t="str">
        <f t="shared" si="99"/>
        <v>06068041000</v>
      </c>
      <c r="D1262" t="str">
        <f t="shared" si="99"/>
        <v>06068041000</v>
      </c>
      <c r="E1262" t="s">
        <v>52</v>
      </c>
      <c r="F1262">
        <v>2014</v>
      </c>
      <c r="G1262">
        <v>21402574</v>
      </c>
      <c r="H1262" s="1">
        <v>41684</v>
      </c>
      <c r="I1262" s="1">
        <v>41701</v>
      </c>
      <c r="J1262" s="1">
        <v>41701</v>
      </c>
      <c r="K1262" s="1">
        <v>41791</v>
      </c>
      <c r="N1262" s="5"/>
      <c r="O1262" s="2">
        <v>2574.1999999999998</v>
      </c>
      <c r="P1262">
        <v>246</v>
      </c>
      <c r="Q1262" s="2">
        <v>633253.19999999995</v>
      </c>
      <c r="R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 s="1">
        <v>42382</v>
      </c>
      <c r="AC1262" t="s">
        <v>53</v>
      </c>
      <c r="AD1262" t="s">
        <v>53</v>
      </c>
      <c r="AK1262">
        <v>0</v>
      </c>
      <c r="AU1262" s="6">
        <v>42037</v>
      </c>
      <c r="AV1262" s="6">
        <v>42037</v>
      </c>
      <c r="AW1262" t="s">
        <v>54</v>
      </c>
      <c r="AX1262" t="str">
        <f t="shared" si="95"/>
        <v>FOR</v>
      </c>
      <c r="AY1262" t="s">
        <v>55</v>
      </c>
    </row>
    <row r="1263" spans="1:51" hidden="1">
      <c r="A1263">
        <v>100294</v>
      </c>
      <c r="B1263" t="s">
        <v>111</v>
      </c>
      <c r="C1263" t="str">
        <f t="shared" si="99"/>
        <v>06068041000</v>
      </c>
      <c r="D1263" t="str">
        <f t="shared" si="99"/>
        <v>06068041000</v>
      </c>
      <c r="E1263" t="s">
        <v>52</v>
      </c>
      <c r="F1263">
        <v>2014</v>
      </c>
      <c r="G1263">
        <v>21403207</v>
      </c>
      <c r="H1263" s="1">
        <v>41694</v>
      </c>
      <c r="I1263" s="1">
        <v>41703</v>
      </c>
      <c r="J1263" s="1">
        <v>41703</v>
      </c>
      <c r="K1263" s="1">
        <v>41793</v>
      </c>
      <c r="N1263" s="5"/>
      <c r="O1263" s="2">
        <v>2440</v>
      </c>
      <c r="P1263">
        <v>244</v>
      </c>
      <c r="Q1263" s="2">
        <v>595360</v>
      </c>
      <c r="R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 s="1">
        <v>42382</v>
      </c>
      <c r="AC1263" t="s">
        <v>53</v>
      </c>
      <c r="AD1263" t="s">
        <v>53</v>
      </c>
      <c r="AK1263">
        <v>0</v>
      </c>
      <c r="AU1263" s="6">
        <v>42037</v>
      </c>
      <c r="AV1263" s="6">
        <v>42037</v>
      </c>
      <c r="AW1263" t="s">
        <v>54</v>
      </c>
      <c r="AX1263" t="str">
        <f t="shared" si="95"/>
        <v>FOR</v>
      </c>
      <c r="AY1263" t="s">
        <v>55</v>
      </c>
    </row>
    <row r="1264" spans="1:51" hidden="1">
      <c r="A1264">
        <v>100294</v>
      </c>
      <c r="B1264" t="s">
        <v>111</v>
      </c>
      <c r="C1264" t="str">
        <f t="shared" si="99"/>
        <v>06068041000</v>
      </c>
      <c r="D1264" t="str">
        <f t="shared" si="99"/>
        <v>06068041000</v>
      </c>
      <c r="E1264" t="s">
        <v>52</v>
      </c>
      <c r="F1264">
        <v>2014</v>
      </c>
      <c r="G1264">
        <v>21405137</v>
      </c>
      <c r="H1264" s="1">
        <v>41725</v>
      </c>
      <c r="I1264" s="1">
        <v>41751</v>
      </c>
      <c r="J1264" s="1">
        <v>41751</v>
      </c>
      <c r="K1264" s="1">
        <v>41841</v>
      </c>
      <c r="N1264" s="5"/>
      <c r="O1264" s="2">
        <v>2440</v>
      </c>
      <c r="P1264">
        <v>234</v>
      </c>
      <c r="Q1264" s="2">
        <v>570960</v>
      </c>
      <c r="R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 s="1">
        <v>42382</v>
      </c>
      <c r="AC1264" t="s">
        <v>53</v>
      </c>
      <c r="AD1264" t="s">
        <v>53</v>
      </c>
      <c r="AK1264">
        <v>0</v>
      </c>
      <c r="AU1264" s="6">
        <v>42075</v>
      </c>
      <c r="AV1264" s="6">
        <v>42075</v>
      </c>
      <c r="AW1264" t="s">
        <v>54</v>
      </c>
      <c r="AX1264" t="str">
        <f t="shared" si="95"/>
        <v>FOR</v>
      </c>
      <c r="AY1264" t="s">
        <v>55</v>
      </c>
    </row>
    <row r="1265" spans="1:51" hidden="1">
      <c r="A1265">
        <v>100294</v>
      </c>
      <c r="B1265" t="s">
        <v>111</v>
      </c>
      <c r="C1265" t="str">
        <f t="shared" si="99"/>
        <v>06068041000</v>
      </c>
      <c r="D1265" t="str">
        <f t="shared" si="99"/>
        <v>06068041000</v>
      </c>
      <c r="E1265" t="s">
        <v>52</v>
      </c>
      <c r="F1265">
        <v>2014</v>
      </c>
      <c r="G1265">
        <v>21405553</v>
      </c>
      <c r="H1265" s="1">
        <v>41732</v>
      </c>
      <c r="I1265" s="1">
        <v>41764</v>
      </c>
      <c r="J1265" s="1">
        <v>41764</v>
      </c>
      <c r="K1265" s="1">
        <v>41854</v>
      </c>
      <c r="N1265" s="5"/>
      <c r="O1265" s="2">
        <v>3186.64</v>
      </c>
      <c r="P1265">
        <v>248</v>
      </c>
      <c r="Q1265" s="2">
        <v>790286.72</v>
      </c>
      <c r="R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 s="1">
        <v>42382</v>
      </c>
      <c r="AC1265" t="s">
        <v>53</v>
      </c>
      <c r="AD1265" t="s">
        <v>53</v>
      </c>
      <c r="AK1265">
        <v>0</v>
      </c>
      <c r="AU1265" s="6">
        <v>42102</v>
      </c>
      <c r="AV1265" s="6">
        <v>42102</v>
      </c>
      <c r="AW1265" t="s">
        <v>54</v>
      </c>
      <c r="AX1265" t="str">
        <f t="shared" si="95"/>
        <v>FOR</v>
      </c>
      <c r="AY1265" t="s">
        <v>55</v>
      </c>
    </row>
    <row r="1266" spans="1:51" hidden="1">
      <c r="A1266">
        <v>100294</v>
      </c>
      <c r="B1266" t="s">
        <v>111</v>
      </c>
      <c r="C1266" t="str">
        <f t="shared" si="99"/>
        <v>06068041000</v>
      </c>
      <c r="D1266" t="str">
        <f t="shared" si="99"/>
        <v>06068041000</v>
      </c>
      <c r="E1266" t="s">
        <v>52</v>
      </c>
      <c r="F1266">
        <v>2014</v>
      </c>
      <c r="G1266">
        <v>21410901</v>
      </c>
      <c r="H1266" s="1">
        <v>41817</v>
      </c>
      <c r="I1266" s="1">
        <v>41836</v>
      </c>
      <c r="J1266" s="1">
        <v>41836</v>
      </c>
      <c r="K1266" s="1">
        <v>41926</v>
      </c>
      <c r="N1266" s="5"/>
      <c r="O1266">
        <v>187.88</v>
      </c>
      <c r="P1266">
        <v>233</v>
      </c>
      <c r="Q1266" s="2">
        <v>43776.04</v>
      </c>
      <c r="R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 s="1">
        <v>42382</v>
      </c>
      <c r="AC1266" t="s">
        <v>53</v>
      </c>
      <c r="AD1266" t="s">
        <v>53</v>
      </c>
      <c r="AK1266">
        <v>0</v>
      </c>
      <c r="AU1266" s="6">
        <v>42159</v>
      </c>
      <c r="AV1266" s="6">
        <v>42159</v>
      </c>
      <c r="AW1266" t="s">
        <v>54</v>
      </c>
      <c r="AX1266" t="str">
        <f t="shared" si="95"/>
        <v>FOR</v>
      </c>
      <c r="AY1266" t="s">
        <v>55</v>
      </c>
    </row>
    <row r="1267" spans="1:51" hidden="1">
      <c r="A1267">
        <v>100294</v>
      </c>
      <c r="B1267" t="s">
        <v>111</v>
      </c>
      <c r="C1267" t="str">
        <f t="shared" si="99"/>
        <v>06068041000</v>
      </c>
      <c r="D1267" t="str">
        <f t="shared" si="99"/>
        <v>06068041000</v>
      </c>
      <c r="E1267" t="s">
        <v>52</v>
      </c>
      <c r="F1267">
        <v>2014</v>
      </c>
      <c r="G1267">
        <v>21412628</v>
      </c>
      <c r="H1267" s="1">
        <v>41844</v>
      </c>
      <c r="I1267" s="1">
        <v>41877</v>
      </c>
      <c r="J1267" s="1">
        <v>41877</v>
      </c>
      <c r="K1267" s="1">
        <v>41967</v>
      </c>
      <c r="N1267" s="5"/>
      <c r="O1267" s="2">
        <v>4880</v>
      </c>
      <c r="P1267">
        <v>192</v>
      </c>
      <c r="Q1267" s="2">
        <v>936960</v>
      </c>
      <c r="R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 s="1">
        <v>42382</v>
      </c>
      <c r="AC1267" t="s">
        <v>53</v>
      </c>
      <c r="AD1267" t="s">
        <v>53</v>
      </c>
      <c r="AK1267">
        <v>0</v>
      </c>
      <c r="AU1267" s="6">
        <v>42159</v>
      </c>
      <c r="AV1267" s="6">
        <v>42159</v>
      </c>
      <c r="AW1267" t="s">
        <v>54</v>
      </c>
      <c r="AX1267" t="str">
        <f t="shared" si="95"/>
        <v>FOR</v>
      </c>
      <c r="AY1267" t="s">
        <v>55</v>
      </c>
    </row>
    <row r="1268" spans="1:51" hidden="1">
      <c r="A1268">
        <v>100294</v>
      </c>
      <c r="B1268" t="s">
        <v>111</v>
      </c>
      <c r="C1268" t="str">
        <f t="shared" si="99"/>
        <v>06068041000</v>
      </c>
      <c r="D1268" t="str">
        <f t="shared" si="99"/>
        <v>06068041000</v>
      </c>
      <c r="E1268" t="s">
        <v>52</v>
      </c>
      <c r="F1268">
        <v>2014</v>
      </c>
      <c r="G1268">
        <v>21413178</v>
      </c>
      <c r="H1268" s="1">
        <v>41852</v>
      </c>
      <c r="I1268" s="1">
        <v>41877</v>
      </c>
      <c r="J1268" s="1">
        <v>41877</v>
      </c>
      <c r="K1268" s="1">
        <v>41967</v>
      </c>
      <c r="N1268" s="5"/>
      <c r="O1268" s="2">
        <v>2440</v>
      </c>
      <c r="P1268">
        <v>217</v>
      </c>
      <c r="Q1268" s="2">
        <v>529480</v>
      </c>
      <c r="R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 s="1">
        <v>42382</v>
      </c>
      <c r="AC1268" t="s">
        <v>53</v>
      </c>
      <c r="AD1268" t="s">
        <v>53</v>
      </c>
      <c r="AK1268">
        <v>0</v>
      </c>
      <c r="AU1268" s="6">
        <v>42184</v>
      </c>
      <c r="AV1268" s="6">
        <v>42184</v>
      </c>
      <c r="AW1268" t="s">
        <v>54</v>
      </c>
      <c r="AX1268" t="str">
        <f t="shared" si="95"/>
        <v>FOR</v>
      </c>
      <c r="AY1268" t="s">
        <v>55</v>
      </c>
    </row>
    <row r="1269" spans="1:51" hidden="1">
      <c r="A1269">
        <v>100294</v>
      </c>
      <c r="B1269" t="s">
        <v>111</v>
      </c>
      <c r="C1269" t="str">
        <f t="shared" si="99"/>
        <v>06068041000</v>
      </c>
      <c r="D1269" t="str">
        <f t="shared" si="99"/>
        <v>06068041000</v>
      </c>
      <c r="E1269" t="s">
        <v>52</v>
      </c>
      <c r="F1269">
        <v>2014</v>
      </c>
      <c r="G1269">
        <v>21413179</v>
      </c>
      <c r="H1269" s="1">
        <v>41852</v>
      </c>
      <c r="I1269" s="1">
        <v>41877</v>
      </c>
      <c r="J1269" s="1">
        <v>41877</v>
      </c>
      <c r="K1269" s="1">
        <v>41967</v>
      </c>
      <c r="N1269" s="5"/>
      <c r="O1269" s="2">
        <v>4880</v>
      </c>
      <c r="P1269">
        <v>217</v>
      </c>
      <c r="Q1269" s="2">
        <v>1058960</v>
      </c>
      <c r="R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 s="1">
        <v>42382</v>
      </c>
      <c r="AC1269" t="s">
        <v>53</v>
      </c>
      <c r="AD1269" t="s">
        <v>53</v>
      </c>
      <c r="AK1269">
        <v>0</v>
      </c>
      <c r="AU1269" s="6">
        <v>42184</v>
      </c>
      <c r="AV1269" s="6">
        <v>42184</v>
      </c>
      <c r="AW1269" t="s">
        <v>54</v>
      </c>
      <c r="AX1269" t="str">
        <f t="shared" si="95"/>
        <v>FOR</v>
      </c>
      <c r="AY1269" t="s">
        <v>55</v>
      </c>
    </row>
    <row r="1270" spans="1:51" hidden="1">
      <c r="A1270">
        <v>100294</v>
      </c>
      <c r="B1270" t="s">
        <v>111</v>
      </c>
      <c r="C1270" t="str">
        <f t="shared" si="99"/>
        <v>06068041000</v>
      </c>
      <c r="D1270" t="str">
        <f t="shared" si="99"/>
        <v>06068041000</v>
      </c>
      <c r="E1270" t="s">
        <v>52</v>
      </c>
      <c r="F1270">
        <v>2014</v>
      </c>
      <c r="G1270">
        <v>21413810</v>
      </c>
      <c r="H1270" s="1">
        <v>41872</v>
      </c>
      <c r="I1270" s="1">
        <v>41904</v>
      </c>
      <c r="J1270" s="1">
        <v>41904</v>
      </c>
      <c r="K1270" s="1">
        <v>41994</v>
      </c>
      <c r="N1270" s="5"/>
      <c r="O1270">
        <v>244</v>
      </c>
      <c r="P1270">
        <v>190</v>
      </c>
      <c r="Q1270" s="2">
        <v>46360</v>
      </c>
      <c r="R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 s="1">
        <v>42382</v>
      </c>
      <c r="AC1270" t="s">
        <v>53</v>
      </c>
      <c r="AD1270" t="s">
        <v>53</v>
      </c>
      <c r="AK1270">
        <v>0</v>
      </c>
      <c r="AU1270" s="6">
        <v>42184</v>
      </c>
      <c r="AV1270" s="6">
        <v>42184</v>
      </c>
      <c r="AW1270" t="s">
        <v>54</v>
      </c>
      <c r="AX1270" t="str">
        <f t="shared" si="95"/>
        <v>FOR</v>
      </c>
      <c r="AY1270" t="s">
        <v>55</v>
      </c>
    </row>
    <row r="1271" spans="1:51" hidden="1">
      <c r="A1271">
        <v>100294</v>
      </c>
      <c r="B1271" t="s">
        <v>111</v>
      </c>
      <c r="C1271" t="str">
        <f t="shared" si="99"/>
        <v>06068041000</v>
      </c>
      <c r="D1271" t="str">
        <f t="shared" si="99"/>
        <v>06068041000</v>
      </c>
      <c r="E1271" t="s">
        <v>52</v>
      </c>
      <c r="F1271">
        <v>2014</v>
      </c>
      <c r="G1271">
        <v>21414094</v>
      </c>
      <c r="H1271" s="1">
        <v>41880</v>
      </c>
      <c r="I1271" s="1">
        <v>41907</v>
      </c>
      <c r="J1271" s="1">
        <v>41907</v>
      </c>
      <c r="K1271" s="1">
        <v>41997</v>
      </c>
      <c r="N1271" s="5"/>
      <c r="O1271">
        <v>341.6</v>
      </c>
      <c r="P1271">
        <v>187</v>
      </c>
      <c r="Q1271" s="2">
        <v>63879.199999999997</v>
      </c>
      <c r="R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 s="1">
        <v>42382</v>
      </c>
      <c r="AC1271" t="s">
        <v>53</v>
      </c>
      <c r="AD1271" t="s">
        <v>53</v>
      </c>
      <c r="AK1271">
        <v>0</v>
      </c>
      <c r="AU1271" s="6">
        <v>42184</v>
      </c>
      <c r="AV1271" s="6">
        <v>42184</v>
      </c>
      <c r="AW1271" t="s">
        <v>54</v>
      </c>
      <c r="AX1271" t="str">
        <f t="shared" si="95"/>
        <v>FOR</v>
      </c>
      <c r="AY1271" t="s">
        <v>55</v>
      </c>
    </row>
    <row r="1272" spans="1:51" hidden="1">
      <c r="A1272">
        <v>100294</v>
      </c>
      <c r="B1272" t="s">
        <v>111</v>
      </c>
      <c r="C1272" t="str">
        <f t="shared" si="99"/>
        <v>06068041000</v>
      </c>
      <c r="D1272" t="str">
        <f t="shared" si="99"/>
        <v>06068041000</v>
      </c>
      <c r="E1272" t="s">
        <v>52</v>
      </c>
      <c r="F1272">
        <v>2014</v>
      </c>
      <c r="G1272">
        <v>21415396</v>
      </c>
      <c r="H1272" s="1">
        <v>41906</v>
      </c>
      <c r="I1272" s="1">
        <v>41914</v>
      </c>
      <c r="J1272" s="1">
        <v>41914</v>
      </c>
      <c r="K1272" s="1">
        <v>42004</v>
      </c>
      <c r="N1272" s="5"/>
      <c r="O1272">
        <v>951.6</v>
      </c>
      <c r="P1272">
        <v>245</v>
      </c>
      <c r="Q1272" s="2">
        <v>233142</v>
      </c>
      <c r="R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 s="1">
        <v>42382</v>
      </c>
      <c r="AC1272" t="s">
        <v>53</v>
      </c>
      <c r="AD1272" t="s">
        <v>53</v>
      </c>
      <c r="AK1272">
        <v>0</v>
      </c>
      <c r="AU1272" s="6">
        <v>42249</v>
      </c>
      <c r="AV1272" s="6">
        <v>42249</v>
      </c>
      <c r="AW1272" t="s">
        <v>54</v>
      </c>
      <c r="AX1272" t="str">
        <f t="shared" si="95"/>
        <v>FOR</v>
      </c>
      <c r="AY1272" t="s">
        <v>55</v>
      </c>
    </row>
    <row r="1273" spans="1:51">
      <c r="A1273">
        <v>100294</v>
      </c>
      <c r="B1273" t="s">
        <v>111</v>
      </c>
      <c r="C1273" t="str">
        <f t="shared" si="99"/>
        <v>06068041000</v>
      </c>
      <c r="D1273" t="str">
        <f t="shared" si="99"/>
        <v>06068041000</v>
      </c>
      <c r="E1273" t="s">
        <v>52</v>
      </c>
      <c r="F1273">
        <v>2014</v>
      </c>
      <c r="G1273">
        <v>21417443</v>
      </c>
      <c r="H1273" s="1">
        <v>41942</v>
      </c>
      <c r="I1273" s="1">
        <v>41955</v>
      </c>
      <c r="J1273" s="1">
        <v>41955</v>
      </c>
      <c r="K1273" s="1">
        <v>42015</v>
      </c>
      <c r="L1273" s="7">
        <v>854</v>
      </c>
      <c r="M1273" s="5">
        <v>268</v>
      </c>
      <c r="N1273" s="7">
        <v>228872</v>
      </c>
      <c r="O1273">
        <v>854</v>
      </c>
      <c r="P1273">
        <v>268</v>
      </c>
      <c r="Q1273" s="2">
        <v>228872</v>
      </c>
      <c r="R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 s="1">
        <v>42382</v>
      </c>
      <c r="AC1273" t="s">
        <v>53</v>
      </c>
      <c r="AD1273" t="s">
        <v>53</v>
      </c>
      <c r="AK1273">
        <v>0</v>
      </c>
      <c r="AU1273" s="6">
        <v>42283</v>
      </c>
      <c r="AV1273" s="6">
        <v>42283</v>
      </c>
      <c r="AW1273" t="s">
        <v>54</v>
      </c>
      <c r="AX1273" t="str">
        <f t="shared" si="95"/>
        <v>FOR</v>
      </c>
      <c r="AY1273" t="s">
        <v>55</v>
      </c>
    </row>
    <row r="1274" spans="1:51">
      <c r="A1274">
        <v>100294</v>
      </c>
      <c r="B1274" t="s">
        <v>111</v>
      </c>
      <c r="C1274" t="str">
        <f t="shared" si="99"/>
        <v>06068041000</v>
      </c>
      <c r="D1274" t="str">
        <f t="shared" si="99"/>
        <v>06068041000</v>
      </c>
      <c r="E1274" t="s">
        <v>52</v>
      </c>
      <c r="F1274">
        <v>2014</v>
      </c>
      <c r="G1274">
        <v>21418346</v>
      </c>
      <c r="H1274" s="1">
        <v>41955</v>
      </c>
      <c r="I1274" s="1">
        <v>41964</v>
      </c>
      <c r="J1274" s="1">
        <v>41964</v>
      </c>
      <c r="K1274" s="1">
        <v>42024</v>
      </c>
      <c r="L1274" s="7">
        <v>1708</v>
      </c>
      <c r="M1274" s="5">
        <v>281</v>
      </c>
      <c r="N1274" s="7">
        <v>479948</v>
      </c>
      <c r="O1274" s="2">
        <v>1708</v>
      </c>
      <c r="P1274">
        <v>281</v>
      </c>
      <c r="Q1274" s="2">
        <v>479948</v>
      </c>
      <c r="R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 s="1">
        <v>42382</v>
      </c>
      <c r="AC1274" t="s">
        <v>53</v>
      </c>
      <c r="AD1274" t="s">
        <v>53</v>
      </c>
      <c r="AK1274">
        <v>0</v>
      </c>
      <c r="AU1274" s="6">
        <v>42305</v>
      </c>
      <c r="AV1274" s="6">
        <v>42305</v>
      </c>
      <c r="AW1274" t="s">
        <v>54</v>
      </c>
      <c r="AX1274" t="str">
        <f t="shared" si="95"/>
        <v>FOR</v>
      </c>
      <c r="AY1274" t="s">
        <v>55</v>
      </c>
    </row>
    <row r="1275" spans="1:51">
      <c r="A1275">
        <v>100294</v>
      </c>
      <c r="B1275" t="s">
        <v>111</v>
      </c>
      <c r="C1275" t="str">
        <f t="shared" si="99"/>
        <v>06068041000</v>
      </c>
      <c r="D1275" t="str">
        <f t="shared" si="99"/>
        <v>06068041000</v>
      </c>
      <c r="E1275" t="s">
        <v>52</v>
      </c>
      <c r="F1275">
        <v>2014</v>
      </c>
      <c r="G1275">
        <v>21418496</v>
      </c>
      <c r="H1275" s="1">
        <v>41957</v>
      </c>
      <c r="I1275" s="1">
        <v>41971</v>
      </c>
      <c r="J1275" s="1">
        <v>41971</v>
      </c>
      <c r="K1275" s="1">
        <v>42030</v>
      </c>
      <c r="L1275" s="7">
        <v>951.6</v>
      </c>
      <c r="M1275" s="5">
        <v>275</v>
      </c>
      <c r="N1275" s="7">
        <v>261690</v>
      </c>
      <c r="O1275">
        <v>951.6</v>
      </c>
      <c r="P1275">
        <v>275</v>
      </c>
      <c r="Q1275" s="2">
        <v>261690</v>
      </c>
      <c r="R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 s="1">
        <v>42382</v>
      </c>
      <c r="AC1275" t="s">
        <v>53</v>
      </c>
      <c r="AD1275" t="s">
        <v>53</v>
      </c>
      <c r="AK1275">
        <v>0</v>
      </c>
      <c r="AU1275" s="6">
        <v>42305</v>
      </c>
      <c r="AV1275" s="6">
        <v>42305</v>
      </c>
      <c r="AW1275" t="s">
        <v>54</v>
      </c>
      <c r="AX1275" t="str">
        <f t="shared" si="95"/>
        <v>FOR</v>
      </c>
      <c r="AY1275" t="s">
        <v>55</v>
      </c>
    </row>
    <row r="1276" spans="1:51">
      <c r="A1276">
        <v>100294</v>
      </c>
      <c r="B1276" t="s">
        <v>111</v>
      </c>
      <c r="C1276" t="str">
        <f t="shared" si="99"/>
        <v>06068041000</v>
      </c>
      <c r="D1276" t="str">
        <f t="shared" si="99"/>
        <v>06068041000</v>
      </c>
      <c r="E1276" t="s">
        <v>52</v>
      </c>
      <c r="F1276">
        <v>2015</v>
      </c>
      <c r="G1276">
        <v>21500309</v>
      </c>
      <c r="H1276" s="1">
        <v>42024</v>
      </c>
      <c r="I1276" s="1">
        <v>42045</v>
      </c>
      <c r="J1276" s="1">
        <v>42045</v>
      </c>
      <c r="K1276" s="1">
        <v>42105</v>
      </c>
      <c r="L1276" s="7">
        <v>2700</v>
      </c>
      <c r="M1276" s="5">
        <v>250</v>
      </c>
      <c r="N1276" s="7">
        <v>675000</v>
      </c>
      <c r="O1276" s="2">
        <v>2700</v>
      </c>
      <c r="P1276">
        <v>250</v>
      </c>
      <c r="Q1276" s="2">
        <v>675000</v>
      </c>
      <c r="R1276">
        <v>594</v>
      </c>
      <c r="V1276">
        <v>0</v>
      </c>
      <c r="W1276">
        <v>0</v>
      </c>
      <c r="X1276">
        <v>0</v>
      </c>
      <c r="Y1276" s="2">
        <v>3294</v>
      </c>
      <c r="Z1276" s="2">
        <v>3294</v>
      </c>
      <c r="AA1276" s="2">
        <v>3294</v>
      </c>
      <c r="AB1276" s="1">
        <v>42382</v>
      </c>
      <c r="AC1276" t="s">
        <v>53</v>
      </c>
      <c r="AD1276" t="s">
        <v>53</v>
      </c>
      <c r="AK1276">
        <v>594</v>
      </c>
      <c r="AU1276" s="6">
        <v>42355</v>
      </c>
      <c r="AV1276" s="6">
        <v>42355</v>
      </c>
      <c r="AW1276" t="s">
        <v>54</v>
      </c>
      <c r="AX1276" t="str">
        <f t="shared" si="95"/>
        <v>FOR</v>
      </c>
      <c r="AY1276" t="s">
        <v>55</v>
      </c>
    </row>
    <row r="1277" spans="1:51">
      <c r="A1277">
        <v>100294</v>
      </c>
      <c r="B1277" t="s">
        <v>111</v>
      </c>
      <c r="C1277" t="str">
        <f t="shared" si="99"/>
        <v>06068041000</v>
      </c>
      <c r="D1277" t="str">
        <f t="shared" si="99"/>
        <v>06068041000</v>
      </c>
      <c r="E1277" t="s">
        <v>52</v>
      </c>
      <c r="F1277">
        <v>2015</v>
      </c>
      <c r="G1277">
        <v>21502542</v>
      </c>
      <c r="H1277" s="1">
        <v>42058</v>
      </c>
      <c r="I1277" s="1">
        <v>42081</v>
      </c>
      <c r="J1277" s="1">
        <v>42081</v>
      </c>
      <c r="K1277" s="1">
        <v>42141</v>
      </c>
      <c r="L1277" s="7">
        <v>2700</v>
      </c>
      <c r="M1277" s="5">
        <v>214</v>
      </c>
      <c r="N1277" s="7">
        <v>577800</v>
      </c>
      <c r="O1277" s="2">
        <v>2700</v>
      </c>
      <c r="P1277">
        <v>214</v>
      </c>
      <c r="Q1277" s="2">
        <v>577800</v>
      </c>
      <c r="R1277">
        <v>594</v>
      </c>
      <c r="V1277">
        <v>0</v>
      </c>
      <c r="W1277">
        <v>0</v>
      </c>
      <c r="X1277">
        <v>0</v>
      </c>
      <c r="Y1277" s="2">
        <v>3294</v>
      </c>
      <c r="Z1277" s="2">
        <v>3294</v>
      </c>
      <c r="AA1277" s="2">
        <v>3294</v>
      </c>
      <c r="AB1277" s="1">
        <v>42382</v>
      </c>
      <c r="AC1277" t="s">
        <v>53</v>
      </c>
      <c r="AD1277" t="s">
        <v>53</v>
      </c>
      <c r="AK1277">
        <v>594</v>
      </c>
      <c r="AU1277" s="6">
        <v>42355</v>
      </c>
      <c r="AV1277" s="6">
        <v>42355</v>
      </c>
      <c r="AW1277" t="s">
        <v>54</v>
      </c>
      <c r="AX1277" t="str">
        <f t="shared" si="95"/>
        <v>FOR</v>
      </c>
      <c r="AY1277" t="s">
        <v>55</v>
      </c>
    </row>
    <row r="1278" spans="1:51" hidden="1">
      <c r="A1278">
        <v>100308</v>
      </c>
      <c r="B1278" t="s">
        <v>112</v>
      </c>
      <c r="C1278" t="str">
        <f t="shared" ref="C1278:D1280" si="100">"02461070043"</f>
        <v>02461070043</v>
      </c>
      <c r="D1278" t="str">
        <f t="shared" si="100"/>
        <v>02461070043</v>
      </c>
      <c r="E1278" t="s">
        <v>52</v>
      </c>
      <c r="F1278">
        <v>2014</v>
      </c>
      <c r="G1278">
        <v>11</v>
      </c>
      <c r="H1278" s="1">
        <v>41695</v>
      </c>
      <c r="I1278" s="1">
        <v>41701</v>
      </c>
      <c r="J1278" s="1">
        <v>41701</v>
      </c>
      <c r="K1278" s="1">
        <v>41791</v>
      </c>
      <c r="N1278" s="5"/>
      <c r="O1278" s="2">
        <v>6832</v>
      </c>
      <c r="P1278">
        <v>246</v>
      </c>
      <c r="Q1278" s="2">
        <v>1680672</v>
      </c>
      <c r="R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 s="1">
        <v>42382</v>
      </c>
      <c r="AC1278" t="s">
        <v>53</v>
      </c>
      <c r="AD1278" t="s">
        <v>53</v>
      </c>
      <c r="AK1278">
        <v>0</v>
      </c>
      <c r="AU1278" s="6">
        <v>42037</v>
      </c>
      <c r="AV1278" s="6">
        <v>42037</v>
      </c>
      <c r="AW1278" t="s">
        <v>54</v>
      </c>
      <c r="AX1278" t="str">
        <f t="shared" si="95"/>
        <v>FOR</v>
      </c>
      <c r="AY1278" t="s">
        <v>55</v>
      </c>
    </row>
    <row r="1279" spans="1:51" hidden="1">
      <c r="A1279">
        <v>100308</v>
      </c>
      <c r="B1279" t="s">
        <v>112</v>
      </c>
      <c r="C1279" t="str">
        <f t="shared" si="100"/>
        <v>02461070043</v>
      </c>
      <c r="D1279" t="str">
        <f t="shared" si="100"/>
        <v>02461070043</v>
      </c>
      <c r="E1279" t="s">
        <v>52</v>
      </c>
      <c r="F1279">
        <v>2014</v>
      </c>
      <c r="G1279">
        <v>17</v>
      </c>
      <c r="H1279" s="1">
        <v>41698</v>
      </c>
      <c r="I1279" s="1">
        <v>41705</v>
      </c>
      <c r="J1279" s="1">
        <v>41705</v>
      </c>
      <c r="K1279" s="1">
        <v>41795</v>
      </c>
      <c r="N1279" s="5"/>
      <c r="O1279" s="2">
        <v>8418</v>
      </c>
      <c r="P1279">
        <v>242</v>
      </c>
      <c r="Q1279" s="2">
        <v>2037156</v>
      </c>
      <c r="R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 s="1">
        <v>42382</v>
      </c>
      <c r="AC1279" t="s">
        <v>53</v>
      </c>
      <c r="AD1279" t="s">
        <v>53</v>
      </c>
      <c r="AK1279">
        <v>0</v>
      </c>
      <c r="AU1279" s="6">
        <v>42037</v>
      </c>
      <c r="AV1279" s="6">
        <v>42037</v>
      </c>
      <c r="AW1279" t="s">
        <v>54</v>
      </c>
      <c r="AX1279" t="str">
        <f t="shared" si="95"/>
        <v>FOR</v>
      </c>
      <c r="AY1279" t="s">
        <v>55</v>
      </c>
    </row>
    <row r="1280" spans="1:51" hidden="1">
      <c r="A1280">
        <v>100308</v>
      </c>
      <c r="B1280" t="s">
        <v>112</v>
      </c>
      <c r="C1280" t="str">
        <f t="shared" si="100"/>
        <v>02461070043</v>
      </c>
      <c r="D1280" t="str">
        <f t="shared" si="100"/>
        <v>02461070043</v>
      </c>
      <c r="E1280" t="s">
        <v>52</v>
      </c>
      <c r="F1280">
        <v>2014</v>
      </c>
      <c r="G1280">
        <v>156</v>
      </c>
      <c r="H1280" s="1">
        <v>41759</v>
      </c>
      <c r="I1280" s="1">
        <v>41764</v>
      </c>
      <c r="J1280" s="1">
        <v>41764</v>
      </c>
      <c r="K1280" s="1">
        <v>41854</v>
      </c>
      <c r="N1280" s="5"/>
      <c r="O1280" s="2">
        <v>1586</v>
      </c>
      <c r="P1280">
        <v>208</v>
      </c>
      <c r="Q1280" s="2">
        <v>329888</v>
      </c>
      <c r="R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 s="1">
        <v>42382</v>
      </c>
      <c r="AC1280" t="s">
        <v>53</v>
      </c>
      <c r="AD1280" t="s">
        <v>53</v>
      </c>
      <c r="AK1280">
        <v>0</v>
      </c>
      <c r="AU1280" s="6">
        <v>42062</v>
      </c>
      <c r="AV1280" s="6">
        <v>42062</v>
      </c>
      <c r="AW1280" t="s">
        <v>54</v>
      </c>
      <c r="AX1280" t="str">
        <f t="shared" si="95"/>
        <v>FOR</v>
      </c>
      <c r="AY1280" t="s">
        <v>55</v>
      </c>
    </row>
    <row r="1281" spans="1:51" hidden="1">
      <c r="A1281">
        <v>100309</v>
      </c>
      <c r="B1281" t="s">
        <v>113</v>
      </c>
      <c r="C1281" t="str">
        <f t="shared" ref="C1281:D1296" si="101">"00311430375"</f>
        <v>00311430375</v>
      </c>
      <c r="D1281" t="str">
        <f t="shared" si="101"/>
        <v>00311430375</v>
      </c>
      <c r="E1281" t="s">
        <v>52</v>
      </c>
      <c r="F1281">
        <v>2014</v>
      </c>
      <c r="G1281">
        <v>14340179</v>
      </c>
      <c r="H1281" s="1">
        <v>41759</v>
      </c>
      <c r="I1281" s="1">
        <v>41841</v>
      </c>
      <c r="J1281" s="1">
        <v>41841</v>
      </c>
      <c r="K1281" s="1">
        <v>41931</v>
      </c>
      <c r="N1281" s="5"/>
      <c r="O1281" s="2">
        <v>2196</v>
      </c>
      <c r="P1281">
        <v>131</v>
      </c>
      <c r="Q1281" s="2">
        <v>287676</v>
      </c>
      <c r="R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 s="1">
        <v>42382</v>
      </c>
      <c r="AC1281" t="s">
        <v>53</v>
      </c>
      <c r="AD1281" t="s">
        <v>53</v>
      </c>
      <c r="AK1281">
        <v>0</v>
      </c>
      <c r="AU1281" s="6">
        <v>42062</v>
      </c>
      <c r="AV1281" s="6">
        <v>42062</v>
      </c>
      <c r="AW1281" t="s">
        <v>54</v>
      </c>
      <c r="AX1281" t="str">
        <f t="shared" si="95"/>
        <v>FOR</v>
      </c>
      <c r="AY1281" t="s">
        <v>55</v>
      </c>
    </row>
    <row r="1282" spans="1:51" hidden="1">
      <c r="A1282">
        <v>100309</v>
      </c>
      <c r="B1282" t="s">
        <v>113</v>
      </c>
      <c r="C1282" t="str">
        <f t="shared" si="101"/>
        <v>00311430375</v>
      </c>
      <c r="D1282" t="str">
        <f t="shared" si="101"/>
        <v>00311430375</v>
      </c>
      <c r="E1282" t="s">
        <v>52</v>
      </c>
      <c r="F1282">
        <v>2014</v>
      </c>
      <c r="G1282">
        <v>14340180</v>
      </c>
      <c r="H1282" s="1">
        <v>41759</v>
      </c>
      <c r="I1282" s="1">
        <v>41841</v>
      </c>
      <c r="J1282" s="1">
        <v>41841</v>
      </c>
      <c r="K1282" s="1">
        <v>41931</v>
      </c>
      <c r="N1282" s="5"/>
      <c r="O1282" s="2">
        <v>2196</v>
      </c>
      <c r="P1282">
        <v>131</v>
      </c>
      <c r="Q1282" s="2">
        <v>287676</v>
      </c>
      <c r="R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 s="1">
        <v>42382</v>
      </c>
      <c r="AC1282" t="s">
        <v>53</v>
      </c>
      <c r="AD1282" t="s">
        <v>53</v>
      </c>
      <c r="AK1282">
        <v>0</v>
      </c>
      <c r="AU1282" s="6">
        <v>42062</v>
      </c>
      <c r="AV1282" s="6">
        <v>42062</v>
      </c>
      <c r="AW1282" t="s">
        <v>54</v>
      </c>
      <c r="AX1282" t="str">
        <f t="shared" si="95"/>
        <v>FOR</v>
      </c>
      <c r="AY1282" t="s">
        <v>55</v>
      </c>
    </row>
    <row r="1283" spans="1:51" hidden="1">
      <c r="A1283">
        <v>100309</v>
      </c>
      <c r="B1283" t="s">
        <v>113</v>
      </c>
      <c r="C1283" t="str">
        <f t="shared" si="101"/>
        <v>00311430375</v>
      </c>
      <c r="D1283" t="str">
        <f t="shared" si="101"/>
        <v>00311430375</v>
      </c>
      <c r="E1283" t="s">
        <v>52</v>
      </c>
      <c r="F1283">
        <v>2014</v>
      </c>
      <c r="G1283">
        <v>14340435</v>
      </c>
      <c r="H1283" s="1">
        <v>41912</v>
      </c>
      <c r="I1283" s="1">
        <v>41920</v>
      </c>
      <c r="J1283" s="1">
        <v>41920</v>
      </c>
      <c r="K1283" s="1">
        <v>42010</v>
      </c>
      <c r="N1283" s="5"/>
      <c r="O1283" s="2">
        <v>2379</v>
      </c>
      <c r="P1283">
        <v>239</v>
      </c>
      <c r="Q1283" s="2">
        <v>568581</v>
      </c>
      <c r="R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 s="1">
        <v>42382</v>
      </c>
      <c r="AC1283" t="s">
        <v>53</v>
      </c>
      <c r="AD1283" t="s">
        <v>53</v>
      </c>
      <c r="AK1283">
        <v>0</v>
      </c>
      <c r="AU1283" s="6">
        <v>42249</v>
      </c>
      <c r="AV1283" s="6">
        <v>42249</v>
      </c>
      <c r="AW1283" t="s">
        <v>54</v>
      </c>
      <c r="AX1283" t="str">
        <f t="shared" ref="AX1283:AX1346" si="102">"FOR"</f>
        <v>FOR</v>
      </c>
      <c r="AY1283" t="s">
        <v>55</v>
      </c>
    </row>
    <row r="1284" spans="1:51" hidden="1">
      <c r="A1284">
        <v>100309</v>
      </c>
      <c r="B1284" t="s">
        <v>113</v>
      </c>
      <c r="C1284" t="str">
        <f t="shared" si="101"/>
        <v>00311430375</v>
      </c>
      <c r="D1284" t="str">
        <f t="shared" si="101"/>
        <v>00311430375</v>
      </c>
      <c r="E1284" t="s">
        <v>52</v>
      </c>
      <c r="F1284">
        <v>2014</v>
      </c>
      <c r="G1284">
        <v>14340438</v>
      </c>
      <c r="H1284" s="1">
        <v>41912</v>
      </c>
      <c r="I1284" s="1">
        <v>42088</v>
      </c>
      <c r="J1284" s="1">
        <v>42088</v>
      </c>
      <c r="K1284" s="1">
        <v>42148</v>
      </c>
      <c r="N1284" s="5"/>
      <c r="O1284" s="2">
        <v>2196</v>
      </c>
      <c r="P1284">
        <v>101</v>
      </c>
      <c r="Q1284" s="2">
        <v>221796</v>
      </c>
      <c r="R1284">
        <v>0</v>
      </c>
      <c r="V1284">
        <v>0</v>
      </c>
      <c r="W1284">
        <v>0</v>
      </c>
      <c r="X1284">
        <v>0</v>
      </c>
      <c r="Y1284">
        <v>0</v>
      </c>
      <c r="Z1284" s="2">
        <v>2196</v>
      </c>
      <c r="AA1284">
        <v>0</v>
      </c>
      <c r="AB1284" s="1">
        <v>42382</v>
      </c>
      <c r="AC1284" t="s">
        <v>53</v>
      </c>
      <c r="AD1284" t="s">
        <v>53</v>
      </c>
      <c r="AK1284">
        <v>0</v>
      </c>
      <c r="AU1284" s="6">
        <v>42249</v>
      </c>
      <c r="AV1284" s="6">
        <v>42249</v>
      </c>
      <c r="AW1284" t="s">
        <v>54</v>
      </c>
      <c r="AX1284" t="str">
        <f t="shared" si="102"/>
        <v>FOR</v>
      </c>
      <c r="AY1284" t="s">
        <v>55</v>
      </c>
    </row>
    <row r="1285" spans="1:51">
      <c r="A1285">
        <v>100309</v>
      </c>
      <c r="B1285" t="s">
        <v>113</v>
      </c>
      <c r="C1285" t="str">
        <f t="shared" si="101"/>
        <v>00311430375</v>
      </c>
      <c r="D1285" t="str">
        <f t="shared" si="101"/>
        <v>00311430375</v>
      </c>
      <c r="E1285" t="s">
        <v>52</v>
      </c>
      <c r="F1285">
        <v>2014</v>
      </c>
      <c r="G1285">
        <v>14340482</v>
      </c>
      <c r="H1285" s="1">
        <v>41943</v>
      </c>
      <c r="I1285" s="1">
        <v>41962</v>
      </c>
      <c r="J1285" s="1">
        <v>41962</v>
      </c>
      <c r="K1285" s="1">
        <v>42022</v>
      </c>
      <c r="L1285" s="7">
        <v>14178.84</v>
      </c>
      <c r="M1285" s="5">
        <v>256</v>
      </c>
      <c r="N1285" s="7">
        <v>3629783.04</v>
      </c>
      <c r="O1285" s="2">
        <v>14178.84</v>
      </c>
      <c r="P1285">
        <v>256</v>
      </c>
      <c r="Q1285" s="2">
        <v>3629783.04</v>
      </c>
      <c r="R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 s="1">
        <v>42382</v>
      </c>
      <c r="AC1285" t="s">
        <v>53</v>
      </c>
      <c r="AD1285" t="s">
        <v>53</v>
      </c>
      <c r="AK1285">
        <v>0</v>
      </c>
      <c r="AU1285" s="6">
        <v>42278</v>
      </c>
      <c r="AV1285" s="6">
        <v>42278</v>
      </c>
      <c r="AW1285" t="s">
        <v>54</v>
      </c>
      <c r="AX1285" t="str">
        <f t="shared" si="102"/>
        <v>FOR</v>
      </c>
      <c r="AY1285" t="s">
        <v>55</v>
      </c>
    </row>
    <row r="1286" spans="1:51">
      <c r="A1286">
        <v>100309</v>
      </c>
      <c r="B1286" t="s">
        <v>113</v>
      </c>
      <c r="C1286" t="str">
        <f t="shared" si="101"/>
        <v>00311430375</v>
      </c>
      <c r="D1286" t="str">
        <f t="shared" si="101"/>
        <v>00311430375</v>
      </c>
      <c r="E1286" t="s">
        <v>52</v>
      </c>
      <c r="F1286">
        <v>2014</v>
      </c>
      <c r="G1286">
        <v>14340483</v>
      </c>
      <c r="H1286" s="1">
        <v>41943</v>
      </c>
      <c r="I1286" s="1">
        <v>41962</v>
      </c>
      <c r="J1286" s="1">
        <v>41962</v>
      </c>
      <c r="K1286" s="1">
        <v>42022</v>
      </c>
      <c r="L1286" s="7">
        <v>19621.87</v>
      </c>
      <c r="M1286" s="5">
        <v>256</v>
      </c>
      <c r="N1286" s="7">
        <v>5023198.72</v>
      </c>
      <c r="O1286" s="2">
        <v>19621.87</v>
      </c>
      <c r="P1286">
        <v>256</v>
      </c>
      <c r="Q1286" s="2">
        <v>5023198.72</v>
      </c>
      <c r="R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 s="1">
        <v>42382</v>
      </c>
      <c r="AC1286" t="s">
        <v>53</v>
      </c>
      <c r="AD1286" t="s">
        <v>53</v>
      </c>
      <c r="AK1286">
        <v>0</v>
      </c>
      <c r="AU1286" s="6">
        <v>42278</v>
      </c>
      <c r="AV1286" s="6">
        <v>42278</v>
      </c>
      <c r="AW1286" t="s">
        <v>54</v>
      </c>
      <c r="AX1286" t="str">
        <f t="shared" si="102"/>
        <v>FOR</v>
      </c>
      <c r="AY1286" t="s">
        <v>55</v>
      </c>
    </row>
    <row r="1287" spans="1:51">
      <c r="A1287">
        <v>100309</v>
      </c>
      <c r="B1287" t="s">
        <v>113</v>
      </c>
      <c r="C1287" t="str">
        <f t="shared" si="101"/>
        <v>00311430375</v>
      </c>
      <c r="D1287" t="str">
        <f t="shared" si="101"/>
        <v>00311430375</v>
      </c>
      <c r="E1287" t="s">
        <v>52</v>
      </c>
      <c r="F1287">
        <v>2014</v>
      </c>
      <c r="G1287">
        <v>14340485</v>
      </c>
      <c r="H1287" s="1">
        <v>41943</v>
      </c>
      <c r="I1287" s="1">
        <v>41962</v>
      </c>
      <c r="J1287" s="1">
        <v>41962</v>
      </c>
      <c r="K1287" s="1">
        <v>42022</v>
      </c>
      <c r="L1287" s="7">
        <v>4270</v>
      </c>
      <c r="M1287" s="5">
        <v>256</v>
      </c>
      <c r="N1287" s="7">
        <v>1093120</v>
      </c>
      <c r="O1287" s="2">
        <v>4270</v>
      </c>
      <c r="P1287">
        <v>256</v>
      </c>
      <c r="Q1287" s="2">
        <v>1093120</v>
      </c>
      <c r="R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 s="1">
        <v>42382</v>
      </c>
      <c r="AC1287" t="s">
        <v>53</v>
      </c>
      <c r="AD1287" t="s">
        <v>53</v>
      </c>
      <c r="AK1287">
        <v>0</v>
      </c>
      <c r="AU1287" s="6">
        <v>42278</v>
      </c>
      <c r="AV1287" s="6">
        <v>42278</v>
      </c>
      <c r="AW1287" t="s">
        <v>54</v>
      </c>
      <c r="AX1287" t="str">
        <f t="shared" si="102"/>
        <v>FOR</v>
      </c>
      <c r="AY1287" t="s">
        <v>55</v>
      </c>
    </row>
    <row r="1288" spans="1:51">
      <c r="A1288">
        <v>100309</v>
      </c>
      <c r="B1288" t="s">
        <v>113</v>
      </c>
      <c r="C1288" t="str">
        <f t="shared" si="101"/>
        <v>00311430375</v>
      </c>
      <c r="D1288" t="str">
        <f t="shared" si="101"/>
        <v>00311430375</v>
      </c>
      <c r="E1288" t="s">
        <v>52</v>
      </c>
      <c r="F1288">
        <v>2014</v>
      </c>
      <c r="G1288">
        <v>14340504</v>
      </c>
      <c r="H1288" s="1">
        <v>41943</v>
      </c>
      <c r="I1288" s="1">
        <v>42037</v>
      </c>
      <c r="J1288" s="1">
        <v>42037</v>
      </c>
      <c r="K1288" s="1">
        <v>42097</v>
      </c>
      <c r="L1288" s="7">
        <v>2196</v>
      </c>
      <c r="M1288" s="5">
        <v>181</v>
      </c>
      <c r="N1288" s="7">
        <v>397476</v>
      </c>
      <c r="O1288" s="2">
        <v>2196</v>
      </c>
      <c r="P1288">
        <v>181</v>
      </c>
      <c r="Q1288" s="2">
        <v>397476</v>
      </c>
      <c r="R1288">
        <v>0</v>
      </c>
      <c r="V1288">
        <v>0</v>
      </c>
      <c r="W1288">
        <v>0</v>
      </c>
      <c r="X1288">
        <v>0</v>
      </c>
      <c r="Y1288">
        <v>0</v>
      </c>
      <c r="Z1288" s="2">
        <v>2196</v>
      </c>
      <c r="AA1288">
        <v>0</v>
      </c>
      <c r="AB1288" s="1">
        <v>42382</v>
      </c>
      <c r="AC1288" t="s">
        <v>53</v>
      </c>
      <c r="AD1288" t="s">
        <v>53</v>
      </c>
      <c r="AK1288">
        <v>0</v>
      </c>
      <c r="AU1288" s="6">
        <v>42278</v>
      </c>
      <c r="AV1288" s="6">
        <v>42278</v>
      </c>
      <c r="AW1288" t="s">
        <v>54</v>
      </c>
      <c r="AX1288" t="str">
        <f t="shared" si="102"/>
        <v>FOR</v>
      </c>
      <c r="AY1288" t="s">
        <v>55</v>
      </c>
    </row>
    <row r="1289" spans="1:51">
      <c r="A1289">
        <v>100309</v>
      </c>
      <c r="B1289" t="s">
        <v>113</v>
      </c>
      <c r="C1289" t="str">
        <f t="shared" si="101"/>
        <v>00311430375</v>
      </c>
      <c r="D1289" t="str">
        <f t="shared" si="101"/>
        <v>00311430375</v>
      </c>
      <c r="E1289" t="s">
        <v>52</v>
      </c>
      <c r="F1289">
        <v>2014</v>
      </c>
      <c r="G1289">
        <v>14340555</v>
      </c>
      <c r="H1289" s="1">
        <v>41970</v>
      </c>
      <c r="I1289" s="1">
        <v>42037</v>
      </c>
      <c r="J1289" s="1">
        <v>42037</v>
      </c>
      <c r="K1289" s="1">
        <v>42097</v>
      </c>
      <c r="L1289" s="7">
        <v>2196</v>
      </c>
      <c r="M1289" s="5">
        <v>181</v>
      </c>
      <c r="N1289" s="7">
        <v>397476</v>
      </c>
      <c r="O1289" s="2">
        <v>2196</v>
      </c>
      <c r="P1289">
        <v>181</v>
      </c>
      <c r="Q1289" s="2">
        <v>397476</v>
      </c>
      <c r="R1289">
        <v>0</v>
      </c>
      <c r="V1289">
        <v>0</v>
      </c>
      <c r="W1289">
        <v>0</v>
      </c>
      <c r="X1289">
        <v>0</v>
      </c>
      <c r="Y1289">
        <v>0</v>
      </c>
      <c r="Z1289" s="2">
        <v>2196</v>
      </c>
      <c r="AA1289">
        <v>0</v>
      </c>
      <c r="AB1289" s="1">
        <v>42382</v>
      </c>
      <c r="AC1289" t="s">
        <v>53</v>
      </c>
      <c r="AD1289" t="s">
        <v>53</v>
      </c>
      <c r="AK1289">
        <v>0</v>
      </c>
      <c r="AU1289" s="6">
        <v>42278</v>
      </c>
      <c r="AV1289" s="6">
        <v>42278</v>
      </c>
      <c r="AW1289" t="s">
        <v>54</v>
      </c>
      <c r="AX1289" t="str">
        <f t="shared" si="102"/>
        <v>FOR</v>
      </c>
      <c r="AY1289" t="s">
        <v>55</v>
      </c>
    </row>
    <row r="1290" spans="1:51">
      <c r="A1290">
        <v>100309</v>
      </c>
      <c r="B1290" t="s">
        <v>113</v>
      </c>
      <c r="C1290" t="str">
        <f t="shared" si="101"/>
        <v>00311430375</v>
      </c>
      <c r="D1290" t="str">
        <f t="shared" si="101"/>
        <v>00311430375</v>
      </c>
      <c r="E1290" t="s">
        <v>52</v>
      </c>
      <c r="F1290">
        <v>2014</v>
      </c>
      <c r="G1290">
        <v>14340646</v>
      </c>
      <c r="H1290" s="1">
        <v>42003</v>
      </c>
      <c r="I1290" s="1">
        <v>42088</v>
      </c>
      <c r="J1290" s="1">
        <v>42088</v>
      </c>
      <c r="K1290" s="1">
        <v>42148</v>
      </c>
      <c r="L1290" s="7">
        <v>2928</v>
      </c>
      <c r="M1290" s="5">
        <v>152</v>
      </c>
      <c r="N1290" s="7">
        <v>445056</v>
      </c>
      <c r="O1290" s="2">
        <v>2928</v>
      </c>
      <c r="P1290">
        <v>152</v>
      </c>
      <c r="Q1290" s="2">
        <v>445056</v>
      </c>
      <c r="R1290">
        <v>0</v>
      </c>
      <c r="V1290">
        <v>0</v>
      </c>
      <c r="W1290">
        <v>0</v>
      </c>
      <c r="X1290">
        <v>0</v>
      </c>
      <c r="Y1290">
        <v>0</v>
      </c>
      <c r="Z1290" s="2">
        <v>2928</v>
      </c>
      <c r="AA1290">
        <v>0</v>
      </c>
      <c r="AB1290" s="1">
        <v>42382</v>
      </c>
      <c r="AC1290" t="s">
        <v>53</v>
      </c>
      <c r="AD1290" t="s">
        <v>53</v>
      </c>
      <c r="AK1290">
        <v>0</v>
      </c>
      <c r="AU1290" s="6">
        <v>42300</v>
      </c>
      <c r="AV1290" s="6">
        <v>42300</v>
      </c>
      <c r="AW1290" t="s">
        <v>54</v>
      </c>
      <c r="AX1290" t="str">
        <f t="shared" si="102"/>
        <v>FOR</v>
      </c>
      <c r="AY1290" t="s">
        <v>55</v>
      </c>
    </row>
    <row r="1291" spans="1:51">
      <c r="A1291">
        <v>100309</v>
      </c>
      <c r="B1291" t="s">
        <v>113</v>
      </c>
      <c r="C1291" t="str">
        <f t="shared" si="101"/>
        <v>00311430375</v>
      </c>
      <c r="D1291" t="str">
        <f t="shared" si="101"/>
        <v>00311430375</v>
      </c>
      <c r="E1291" t="s">
        <v>52</v>
      </c>
      <c r="F1291">
        <v>2014</v>
      </c>
      <c r="G1291">
        <v>14340705</v>
      </c>
      <c r="H1291" s="1">
        <v>42004</v>
      </c>
      <c r="I1291" s="1">
        <v>42088</v>
      </c>
      <c r="J1291" s="1">
        <v>42088</v>
      </c>
      <c r="K1291" s="1">
        <v>42148</v>
      </c>
      <c r="L1291" s="7">
        <v>2196</v>
      </c>
      <c r="M1291" s="5">
        <v>152</v>
      </c>
      <c r="N1291" s="7">
        <v>333792</v>
      </c>
      <c r="O1291" s="2">
        <v>2196</v>
      </c>
      <c r="P1291">
        <v>152</v>
      </c>
      <c r="Q1291" s="2">
        <v>333792</v>
      </c>
      <c r="R1291">
        <v>0</v>
      </c>
      <c r="V1291">
        <v>0</v>
      </c>
      <c r="W1291">
        <v>0</v>
      </c>
      <c r="X1291">
        <v>0</v>
      </c>
      <c r="Y1291">
        <v>0</v>
      </c>
      <c r="Z1291" s="2">
        <v>2196</v>
      </c>
      <c r="AA1291">
        <v>0</v>
      </c>
      <c r="AB1291" s="1">
        <v>42382</v>
      </c>
      <c r="AC1291" t="s">
        <v>53</v>
      </c>
      <c r="AD1291" t="s">
        <v>53</v>
      </c>
      <c r="AK1291">
        <v>0</v>
      </c>
      <c r="AU1291" s="6">
        <v>42300</v>
      </c>
      <c r="AV1291" s="6">
        <v>42300</v>
      </c>
      <c r="AW1291" t="s">
        <v>54</v>
      </c>
      <c r="AX1291" t="str">
        <f t="shared" si="102"/>
        <v>FOR</v>
      </c>
      <c r="AY1291" t="s">
        <v>55</v>
      </c>
    </row>
    <row r="1292" spans="1:51">
      <c r="A1292">
        <v>100309</v>
      </c>
      <c r="B1292" t="s">
        <v>113</v>
      </c>
      <c r="C1292" t="str">
        <f t="shared" si="101"/>
        <v>00311430375</v>
      </c>
      <c r="D1292" t="str">
        <f t="shared" si="101"/>
        <v>00311430375</v>
      </c>
      <c r="E1292" t="s">
        <v>52</v>
      </c>
      <c r="F1292">
        <v>2015</v>
      </c>
      <c r="G1292">
        <v>15240120</v>
      </c>
      <c r="H1292" s="1">
        <v>42093</v>
      </c>
      <c r="I1292" s="1">
        <v>42192</v>
      </c>
      <c r="J1292" s="1">
        <v>42192</v>
      </c>
      <c r="K1292" s="1">
        <v>42252</v>
      </c>
      <c r="L1292" s="7">
        <v>396</v>
      </c>
      <c r="M1292" s="5">
        <v>87</v>
      </c>
      <c r="N1292" s="7">
        <v>34452</v>
      </c>
      <c r="O1292">
        <v>396</v>
      </c>
      <c r="P1292">
        <v>87</v>
      </c>
      <c r="Q1292" s="2">
        <v>34452</v>
      </c>
      <c r="R1292">
        <v>87.12</v>
      </c>
      <c r="V1292">
        <v>0</v>
      </c>
      <c r="W1292">
        <v>0</v>
      </c>
      <c r="X1292">
        <v>0</v>
      </c>
      <c r="Y1292">
        <v>483.12</v>
      </c>
      <c r="Z1292">
        <v>483.12</v>
      </c>
      <c r="AA1292">
        <v>483.12</v>
      </c>
      <c r="AB1292" s="1">
        <v>42382</v>
      </c>
      <c r="AC1292" t="s">
        <v>53</v>
      </c>
      <c r="AD1292" t="s">
        <v>53</v>
      </c>
      <c r="AH1292">
        <v>87.12</v>
      </c>
      <c r="AK1292">
        <v>0</v>
      </c>
      <c r="AU1292" s="6">
        <v>42339</v>
      </c>
      <c r="AV1292" s="6">
        <v>42339</v>
      </c>
      <c r="AW1292" t="s">
        <v>54</v>
      </c>
      <c r="AX1292" t="str">
        <f t="shared" si="102"/>
        <v>FOR</v>
      </c>
      <c r="AY1292" t="s">
        <v>55</v>
      </c>
    </row>
    <row r="1293" spans="1:51">
      <c r="A1293">
        <v>100309</v>
      </c>
      <c r="B1293" t="s">
        <v>113</v>
      </c>
      <c r="C1293" t="str">
        <f t="shared" si="101"/>
        <v>00311430375</v>
      </c>
      <c r="D1293" t="str">
        <f t="shared" si="101"/>
        <v>00311430375</v>
      </c>
      <c r="E1293" t="s">
        <v>52</v>
      </c>
      <c r="F1293">
        <v>2015</v>
      </c>
      <c r="G1293">
        <v>15340106</v>
      </c>
      <c r="H1293" s="1">
        <v>42093</v>
      </c>
      <c r="I1293" s="1">
        <v>42192</v>
      </c>
      <c r="J1293" s="1">
        <v>42192</v>
      </c>
      <c r="K1293" s="1">
        <v>42252</v>
      </c>
      <c r="L1293" s="7">
        <v>297</v>
      </c>
      <c r="M1293" s="5">
        <v>87</v>
      </c>
      <c r="N1293" s="7">
        <v>25839</v>
      </c>
      <c r="O1293">
        <v>297</v>
      </c>
      <c r="P1293">
        <v>87</v>
      </c>
      <c r="Q1293" s="2">
        <v>25839</v>
      </c>
      <c r="R1293">
        <v>65.34</v>
      </c>
      <c r="V1293">
        <v>0</v>
      </c>
      <c r="W1293">
        <v>0</v>
      </c>
      <c r="X1293">
        <v>0</v>
      </c>
      <c r="Y1293">
        <v>362.34</v>
      </c>
      <c r="Z1293">
        <v>362.34</v>
      </c>
      <c r="AA1293">
        <v>362.34</v>
      </c>
      <c r="AB1293" s="1">
        <v>42382</v>
      </c>
      <c r="AC1293" t="s">
        <v>53</v>
      </c>
      <c r="AD1293" t="s">
        <v>53</v>
      </c>
      <c r="AH1293">
        <v>65.34</v>
      </c>
      <c r="AK1293">
        <v>0</v>
      </c>
      <c r="AU1293" s="6">
        <v>42339</v>
      </c>
      <c r="AV1293" s="6">
        <v>42339</v>
      </c>
      <c r="AW1293" t="s">
        <v>54</v>
      </c>
      <c r="AX1293" t="str">
        <f t="shared" si="102"/>
        <v>FOR</v>
      </c>
      <c r="AY1293" t="s">
        <v>55</v>
      </c>
    </row>
    <row r="1294" spans="1:51">
      <c r="A1294">
        <v>100309</v>
      </c>
      <c r="B1294" t="s">
        <v>113</v>
      </c>
      <c r="C1294" t="str">
        <f t="shared" si="101"/>
        <v>00311430375</v>
      </c>
      <c r="D1294" t="str">
        <f t="shared" si="101"/>
        <v>00311430375</v>
      </c>
      <c r="E1294" t="s">
        <v>52</v>
      </c>
      <c r="F1294">
        <v>2015</v>
      </c>
      <c r="G1294">
        <v>15340107</v>
      </c>
      <c r="H1294" s="1">
        <v>42093</v>
      </c>
      <c r="I1294" s="1">
        <v>42194</v>
      </c>
      <c r="J1294" s="1">
        <v>42194</v>
      </c>
      <c r="K1294" s="1">
        <v>42254</v>
      </c>
      <c r="L1294" s="7">
        <v>1800</v>
      </c>
      <c r="M1294" s="5">
        <v>85</v>
      </c>
      <c r="N1294" s="7">
        <v>153000</v>
      </c>
      <c r="O1294" s="2">
        <v>1800</v>
      </c>
      <c r="P1294">
        <v>85</v>
      </c>
      <c r="Q1294" s="2">
        <v>153000</v>
      </c>
      <c r="R1294">
        <v>396</v>
      </c>
      <c r="V1294">
        <v>0</v>
      </c>
      <c r="W1294">
        <v>0</v>
      </c>
      <c r="X1294">
        <v>0</v>
      </c>
      <c r="Y1294" s="2">
        <v>2196</v>
      </c>
      <c r="Z1294" s="2">
        <v>2196</v>
      </c>
      <c r="AA1294" s="2">
        <v>2196</v>
      </c>
      <c r="AB1294" s="1">
        <v>42382</v>
      </c>
      <c r="AC1294" t="s">
        <v>53</v>
      </c>
      <c r="AD1294" t="s">
        <v>53</v>
      </c>
      <c r="AH1294">
        <v>396</v>
      </c>
      <c r="AK1294">
        <v>0</v>
      </c>
      <c r="AU1294" s="6">
        <v>42339</v>
      </c>
      <c r="AV1294" s="6">
        <v>42339</v>
      </c>
      <c r="AW1294" t="s">
        <v>54</v>
      </c>
      <c r="AX1294" t="str">
        <f t="shared" si="102"/>
        <v>FOR</v>
      </c>
      <c r="AY1294" t="s">
        <v>55</v>
      </c>
    </row>
    <row r="1295" spans="1:51">
      <c r="A1295">
        <v>100309</v>
      </c>
      <c r="B1295" t="s">
        <v>113</v>
      </c>
      <c r="C1295" t="str">
        <f t="shared" si="101"/>
        <v>00311430375</v>
      </c>
      <c r="D1295" t="str">
        <f t="shared" si="101"/>
        <v>00311430375</v>
      </c>
      <c r="E1295" t="s">
        <v>52</v>
      </c>
      <c r="F1295">
        <v>2015</v>
      </c>
      <c r="G1295">
        <v>15340108</v>
      </c>
      <c r="H1295" s="1">
        <v>42093</v>
      </c>
      <c r="I1295" s="1">
        <v>42192</v>
      </c>
      <c r="J1295" s="1">
        <v>42192</v>
      </c>
      <c r="K1295" s="1">
        <v>42252</v>
      </c>
      <c r="L1295" s="7">
        <v>396</v>
      </c>
      <c r="M1295" s="5">
        <v>87</v>
      </c>
      <c r="N1295" s="7">
        <v>34452</v>
      </c>
      <c r="O1295">
        <v>396</v>
      </c>
      <c r="P1295">
        <v>87</v>
      </c>
      <c r="Q1295" s="2">
        <v>34452</v>
      </c>
      <c r="R1295">
        <v>87.12</v>
      </c>
      <c r="V1295">
        <v>0</v>
      </c>
      <c r="W1295">
        <v>0</v>
      </c>
      <c r="X1295">
        <v>0</v>
      </c>
      <c r="Y1295">
        <v>483.12</v>
      </c>
      <c r="Z1295">
        <v>483.12</v>
      </c>
      <c r="AA1295">
        <v>483.12</v>
      </c>
      <c r="AB1295" s="1">
        <v>42382</v>
      </c>
      <c r="AC1295" t="s">
        <v>53</v>
      </c>
      <c r="AD1295" t="s">
        <v>53</v>
      </c>
      <c r="AH1295">
        <v>87.12</v>
      </c>
      <c r="AK1295">
        <v>0</v>
      </c>
      <c r="AU1295" s="6">
        <v>42339</v>
      </c>
      <c r="AV1295" s="6">
        <v>42339</v>
      </c>
      <c r="AW1295" t="s">
        <v>54</v>
      </c>
      <c r="AX1295" t="str">
        <f t="shared" si="102"/>
        <v>FOR</v>
      </c>
      <c r="AY1295" t="s">
        <v>55</v>
      </c>
    </row>
    <row r="1296" spans="1:51">
      <c r="A1296">
        <v>100309</v>
      </c>
      <c r="B1296" t="s">
        <v>113</v>
      </c>
      <c r="C1296" t="str">
        <f t="shared" si="101"/>
        <v>00311430375</v>
      </c>
      <c r="D1296" t="str">
        <f t="shared" si="101"/>
        <v>00311430375</v>
      </c>
      <c r="E1296" t="s">
        <v>52</v>
      </c>
      <c r="F1296">
        <v>2015</v>
      </c>
      <c r="G1296">
        <v>15340130</v>
      </c>
      <c r="H1296" s="1">
        <v>42093</v>
      </c>
      <c r="I1296" s="1">
        <v>42192</v>
      </c>
      <c r="J1296" s="1">
        <v>42192</v>
      </c>
      <c r="K1296" s="1">
        <v>42252</v>
      </c>
      <c r="L1296" s="7">
        <v>1200</v>
      </c>
      <c r="M1296" s="5">
        <v>87</v>
      </c>
      <c r="N1296" s="7">
        <v>104400</v>
      </c>
      <c r="O1296" s="2">
        <v>1200</v>
      </c>
      <c r="P1296">
        <v>87</v>
      </c>
      <c r="Q1296" s="2">
        <v>104400</v>
      </c>
      <c r="R1296">
        <v>264</v>
      </c>
      <c r="V1296">
        <v>0</v>
      </c>
      <c r="W1296">
        <v>0</v>
      </c>
      <c r="X1296">
        <v>0</v>
      </c>
      <c r="Y1296" s="2">
        <v>1464</v>
      </c>
      <c r="Z1296" s="2">
        <v>1464</v>
      </c>
      <c r="AA1296" s="2">
        <v>1464</v>
      </c>
      <c r="AB1296" s="1">
        <v>42382</v>
      </c>
      <c r="AC1296" t="s">
        <v>53</v>
      </c>
      <c r="AD1296" t="s">
        <v>53</v>
      </c>
      <c r="AH1296">
        <v>264</v>
      </c>
      <c r="AK1296">
        <v>0</v>
      </c>
      <c r="AU1296" s="6">
        <v>42339</v>
      </c>
      <c r="AV1296" s="6">
        <v>42339</v>
      </c>
      <c r="AW1296" t="s">
        <v>54</v>
      </c>
      <c r="AX1296" t="str">
        <f t="shared" si="102"/>
        <v>FOR</v>
      </c>
      <c r="AY1296" t="s">
        <v>55</v>
      </c>
    </row>
    <row r="1297" spans="1:51" hidden="1">
      <c r="A1297">
        <v>100325</v>
      </c>
      <c r="B1297" t="s">
        <v>114</v>
      </c>
      <c r="C1297" t="str">
        <f t="shared" ref="C1297:D1314" si="103">"00182080622"</f>
        <v>00182080622</v>
      </c>
      <c r="D1297" t="str">
        <f t="shared" si="103"/>
        <v>00182080622</v>
      </c>
      <c r="E1297" t="s">
        <v>52</v>
      </c>
      <c r="F1297">
        <v>2014</v>
      </c>
      <c r="G1297">
        <v>466</v>
      </c>
      <c r="H1297" s="1">
        <v>41705</v>
      </c>
      <c r="I1297" s="1">
        <v>41897</v>
      </c>
      <c r="J1297" s="1">
        <v>41897</v>
      </c>
      <c r="K1297" s="1">
        <v>41987</v>
      </c>
      <c r="N1297" s="5"/>
      <c r="O1297">
        <v>85.4</v>
      </c>
      <c r="P1297">
        <v>47</v>
      </c>
      <c r="Q1297" s="2">
        <v>4013.8</v>
      </c>
      <c r="R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 s="1">
        <v>42382</v>
      </c>
      <c r="AC1297" t="s">
        <v>53</v>
      </c>
      <c r="AD1297" t="s">
        <v>53</v>
      </c>
      <c r="AK1297">
        <v>0</v>
      </c>
      <c r="AU1297" s="6">
        <v>42034</v>
      </c>
      <c r="AV1297" s="6">
        <v>42034</v>
      </c>
      <c r="AW1297" t="s">
        <v>54</v>
      </c>
      <c r="AX1297" t="str">
        <f t="shared" si="102"/>
        <v>FOR</v>
      </c>
      <c r="AY1297" t="s">
        <v>55</v>
      </c>
    </row>
    <row r="1298" spans="1:51" hidden="1">
      <c r="A1298">
        <v>100325</v>
      </c>
      <c r="B1298" t="s">
        <v>114</v>
      </c>
      <c r="C1298" t="str">
        <f t="shared" si="103"/>
        <v>00182080622</v>
      </c>
      <c r="D1298" t="str">
        <f t="shared" si="103"/>
        <v>00182080622</v>
      </c>
      <c r="E1298" t="s">
        <v>52</v>
      </c>
      <c r="F1298">
        <v>2014</v>
      </c>
      <c r="G1298">
        <v>945</v>
      </c>
      <c r="H1298" s="1">
        <v>41764</v>
      </c>
      <c r="I1298" s="1">
        <v>41897</v>
      </c>
      <c r="J1298" s="1">
        <v>41897</v>
      </c>
      <c r="K1298" s="1">
        <v>41987</v>
      </c>
      <c r="N1298" s="5"/>
      <c r="O1298">
        <v>195.2</v>
      </c>
      <c r="P1298">
        <v>52</v>
      </c>
      <c r="Q1298" s="2">
        <v>10150.4</v>
      </c>
      <c r="R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 s="1">
        <v>42382</v>
      </c>
      <c r="AC1298" t="s">
        <v>53</v>
      </c>
      <c r="AD1298" t="s">
        <v>53</v>
      </c>
      <c r="AK1298">
        <v>0</v>
      </c>
      <c r="AU1298" s="6">
        <v>42039</v>
      </c>
      <c r="AV1298" s="6">
        <v>42039</v>
      </c>
      <c r="AW1298" t="s">
        <v>54</v>
      </c>
      <c r="AX1298" t="str">
        <f t="shared" si="102"/>
        <v>FOR</v>
      </c>
      <c r="AY1298" t="s">
        <v>55</v>
      </c>
    </row>
    <row r="1299" spans="1:51" hidden="1">
      <c r="A1299">
        <v>100325</v>
      </c>
      <c r="B1299" t="s">
        <v>114</v>
      </c>
      <c r="C1299" t="str">
        <f t="shared" si="103"/>
        <v>00182080622</v>
      </c>
      <c r="D1299" t="str">
        <f t="shared" si="103"/>
        <v>00182080622</v>
      </c>
      <c r="E1299" t="s">
        <v>52</v>
      </c>
      <c r="F1299">
        <v>2014</v>
      </c>
      <c r="G1299">
        <v>946</v>
      </c>
      <c r="H1299" s="1">
        <v>41764</v>
      </c>
      <c r="I1299" s="1">
        <v>41897</v>
      </c>
      <c r="J1299" s="1">
        <v>41897</v>
      </c>
      <c r="K1299" s="1">
        <v>41987</v>
      </c>
      <c r="N1299" s="5"/>
      <c r="O1299">
        <v>390.4</v>
      </c>
      <c r="P1299">
        <v>52</v>
      </c>
      <c r="Q1299" s="2">
        <v>20300.8</v>
      </c>
      <c r="R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 s="1">
        <v>42382</v>
      </c>
      <c r="AC1299" t="s">
        <v>53</v>
      </c>
      <c r="AD1299" t="s">
        <v>53</v>
      </c>
      <c r="AK1299">
        <v>0</v>
      </c>
      <c r="AU1299" s="6">
        <v>42039</v>
      </c>
      <c r="AV1299" s="6">
        <v>42039</v>
      </c>
      <c r="AW1299" t="s">
        <v>54</v>
      </c>
      <c r="AX1299" t="str">
        <f t="shared" si="102"/>
        <v>FOR</v>
      </c>
      <c r="AY1299" t="s">
        <v>55</v>
      </c>
    </row>
    <row r="1300" spans="1:51" hidden="1">
      <c r="A1300">
        <v>100325</v>
      </c>
      <c r="B1300" t="s">
        <v>114</v>
      </c>
      <c r="C1300" t="str">
        <f t="shared" si="103"/>
        <v>00182080622</v>
      </c>
      <c r="D1300" t="str">
        <f t="shared" si="103"/>
        <v>00182080622</v>
      </c>
      <c r="E1300" t="s">
        <v>52</v>
      </c>
      <c r="F1300">
        <v>2014</v>
      </c>
      <c r="G1300">
        <v>948</v>
      </c>
      <c r="H1300" s="1">
        <v>41764</v>
      </c>
      <c r="I1300" s="1">
        <v>41897</v>
      </c>
      <c r="J1300" s="1">
        <v>41897</v>
      </c>
      <c r="K1300" s="1">
        <v>41987</v>
      </c>
      <c r="N1300" s="5"/>
      <c r="O1300">
        <v>256.2</v>
      </c>
      <c r="P1300">
        <v>52</v>
      </c>
      <c r="Q1300" s="2">
        <v>13322.4</v>
      </c>
      <c r="R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 s="1">
        <v>42382</v>
      </c>
      <c r="AC1300" t="s">
        <v>53</v>
      </c>
      <c r="AD1300" t="s">
        <v>53</v>
      </c>
      <c r="AK1300">
        <v>0</v>
      </c>
      <c r="AU1300" s="6">
        <v>42039</v>
      </c>
      <c r="AV1300" s="6">
        <v>42039</v>
      </c>
      <c r="AW1300" t="s">
        <v>54</v>
      </c>
      <c r="AX1300" t="str">
        <f t="shared" si="102"/>
        <v>FOR</v>
      </c>
      <c r="AY1300" t="s">
        <v>55</v>
      </c>
    </row>
    <row r="1301" spans="1:51" hidden="1">
      <c r="A1301">
        <v>100325</v>
      </c>
      <c r="B1301" t="s">
        <v>114</v>
      </c>
      <c r="C1301" t="str">
        <f t="shared" si="103"/>
        <v>00182080622</v>
      </c>
      <c r="D1301" t="str">
        <f t="shared" si="103"/>
        <v>00182080622</v>
      </c>
      <c r="E1301" t="s">
        <v>52</v>
      </c>
      <c r="F1301">
        <v>2014</v>
      </c>
      <c r="G1301">
        <v>980</v>
      </c>
      <c r="H1301" s="1">
        <v>41782</v>
      </c>
      <c r="I1301" s="1">
        <v>41897</v>
      </c>
      <c r="J1301" s="1">
        <v>41897</v>
      </c>
      <c r="K1301" s="1">
        <v>41987</v>
      </c>
      <c r="N1301" s="5"/>
      <c r="O1301">
        <v>134.19999999999999</v>
      </c>
      <c r="P1301">
        <v>52</v>
      </c>
      <c r="Q1301" s="2">
        <v>6978.4</v>
      </c>
      <c r="R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 s="1">
        <v>42382</v>
      </c>
      <c r="AC1301" t="s">
        <v>53</v>
      </c>
      <c r="AD1301" t="s">
        <v>53</v>
      </c>
      <c r="AK1301">
        <v>0</v>
      </c>
      <c r="AU1301" s="6">
        <v>42039</v>
      </c>
      <c r="AV1301" s="6">
        <v>42039</v>
      </c>
      <c r="AW1301" t="s">
        <v>54</v>
      </c>
      <c r="AX1301" t="str">
        <f t="shared" si="102"/>
        <v>FOR</v>
      </c>
      <c r="AY1301" t="s">
        <v>55</v>
      </c>
    </row>
    <row r="1302" spans="1:51" hidden="1">
      <c r="A1302">
        <v>100325</v>
      </c>
      <c r="B1302" t="s">
        <v>114</v>
      </c>
      <c r="C1302" t="str">
        <f t="shared" si="103"/>
        <v>00182080622</v>
      </c>
      <c r="D1302" t="str">
        <f t="shared" si="103"/>
        <v>00182080622</v>
      </c>
      <c r="E1302" t="s">
        <v>52</v>
      </c>
      <c r="F1302">
        <v>2014</v>
      </c>
      <c r="G1302">
        <v>982</v>
      </c>
      <c r="H1302" s="1">
        <v>41786</v>
      </c>
      <c r="I1302" s="1">
        <v>41897</v>
      </c>
      <c r="J1302" s="1">
        <v>41897</v>
      </c>
      <c r="K1302" s="1">
        <v>41987</v>
      </c>
      <c r="N1302" s="5"/>
      <c r="O1302">
        <v>500.2</v>
      </c>
      <c r="P1302">
        <v>52</v>
      </c>
      <c r="Q1302" s="2">
        <v>26010.400000000001</v>
      </c>
      <c r="R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 s="1">
        <v>42382</v>
      </c>
      <c r="AC1302" t="s">
        <v>53</v>
      </c>
      <c r="AD1302" t="s">
        <v>53</v>
      </c>
      <c r="AK1302">
        <v>0</v>
      </c>
      <c r="AU1302" s="6">
        <v>42039</v>
      </c>
      <c r="AV1302" s="6">
        <v>42039</v>
      </c>
      <c r="AW1302" t="s">
        <v>54</v>
      </c>
      <c r="AX1302" t="str">
        <f t="shared" si="102"/>
        <v>FOR</v>
      </c>
      <c r="AY1302" t="s">
        <v>55</v>
      </c>
    </row>
    <row r="1303" spans="1:51" hidden="1">
      <c r="A1303">
        <v>100325</v>
      </c>
      <c r="B1303" t="s">
        <v>114</v>
      </c>
      <c r="C1303" t="str">
        <f t="shared" si="103"/>
        <v>00182080622</v>
      </c>
      <c r="D1303" t="str">
        <f t="shared" si="103"/>
        <v>00182080622</v>
      </c>
      <c r="E1303" t="s">
        <v>52</v>
      </c>
      <c r="F1303">
        <v>2014</v>
      </c>
      <c r="G1303">
        <v>991</v>
      </c>
      <c r="H1303" s="1">
        <v>41796</v>
      </c>
      <c r="I1303" s="1">
        <v>41897</v>
      </c>
      <c r="J1303" s="1">
        <v>41897</v>
      </c>
      <c r="K1303" s="1">
        <v>41987</v>
      </c>
      <c r="N1303" s="5"/>
      <c r="O1303">
        <v>390.4</v>
      </c>
      <c r="P1303">
        <v>144</v>
      </c>
      <c r="Q1303" s="2">
        <v>56217.599999999999</v>
      </c>
      <c r="R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 s="1">
        <v>42382</v>
      </c>
      <c r="AC1303" t="s">
        <v>53</v>
      </c>
      <c r="AD1303" t="s">
        <v>53</v>
      </c>
      <c r="AK1303">
        <v>0</v>
      </c>
      <c r="AU1303" s="6">
        <v>42131</v>
      </c>
      <c r="AV1303" s="6">
        <v>42131</v>
      </c>
      <c r="AW1303" t="s">
        <v>54</v>
      </c>
      <c r="AX1303" t="str">
        <f t="shared" si="102"/>
        <v>FOR</v>
      </c>
      <c r="AY1303" t="s">
        <v>55</v>
      </c>
    </row>
    <row r="1304" spans="1:51" hidden="1">
      <c r="A1304">
        <v>100325</v>
      </c>
      <c r="B1304" t="s">
        <v>114</v>
      </c>
      <c r="C1304" t="str">
        <f t="shared" si="103"/>
        <v>00182080622</v>
      </c>
      <c r="D1304" t="str">
        <f t="shared" si="103"/>
        <v>00182080622</v>
      </c>
      <c r="E1304" t="s">
        <v>52</v>
      </c>
      <c r="F1304">
        <v>2014</v>
      </c>
      <c r="G1304">
        <v>993</v>
      </c>
      <c r="H1304" s="1">
        <v>41796</v>
      </c>
      <c r="I1304" s="1">
        <v>41897</v>
      </c>
      <c r="J1304" s="1">
        <v>41897</v>
      </c>
      <c r="K1304" s="1">
        <v>41987</v>
      </c>
      <c r="N1304" s="5"/>
      <c r="O1304">
        <v>164.7</v>
      </c>
      <c r="P1304">
        <v>144</v>
      </c>
      <c r="Q1304" s="2">
        <v>23716.799999999999</v>
      </c>
      <c r="R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 s="1">
        <v>42382</v>
      </c>
      <c r="AC1304" t="s">
        <v>53</v>
      </c>
      <c r="AD1304" t="s">
        <v>53</v>
      </c>
      <c r="AK1304">
        <v>0</v>
      </c>
      <c r="AU1304" s="6">
        <v>42131</v>
      </c>
      <c r="AV1304" s="6">
        <v>42131</v>
      </c>
      <c r="AW1304" t="s">
        <v>54</v>
      </c>
      <c r="AX1304" t="str">
        <f t="shared" si="102"/>
        <v>FOR</v>
      </c>
      <c r="AY1304" t="s">
        <v>55</v>
      </c>
    </row>
    <row r="1305" spans="1:51" hidden="1">
      <c r="A1305">
        <v>100325</v>
      </c>
      <c r="B1305" t="s">
        <v>114</v>
      </c>
      <c r="C1305" t="str">
        <f t="shared" si="103"/>
        <v>00182080622</v>
      </c>
      <c r="D1305" t="str">
        <f t="shared" si="103"/>
        <v>00182080622</v>
      </c>
      <c r="E1305" t="s">
        <v>52</v>
      </c>
      <c r="F1305">
        <v>2014</v>
      </c>
      <c r="G1305">
        <v>1010</v>
      </c>
      <c r="H1305" s="1">
        <v>41807</v>
      </c>
      <c r="I1305" s="1">
        <v>41897</v>
      </c>
      <c r="J1305" s="1">
        <v>41897</v>
      </c>
      <c r="K1305" s="1">
        <v>41987</v>
      </c>
      <c r="N1305" s="5"/>
      <c r="O1305">
        <v>392.84</v>
      </c>
      <c r="P1305">
        <v>144</v>
      </c>
      <c r="Q1305" s="2">
        <v>56568.959999999999</v>
      </c>
      <c r="R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 s="1">
        <v>42382</v>
      </c>
      <c r="AC1305" t="s">
        <v>53</v>
      </c>
      <c r="AD1305" t="s">
        <v>53</v>
      </c>
      <c r="AK1305">
        <v>0</v>
      </c>
      <c r="AU1305" s="6">
        <v>42131</v>
      </c>
      <c r="AV1305" s="6">
        <v>42131</v>
      </c>
      <c r="AW1305" t="s">
        <v>54</v>
      </c>
      <c r="AX1305" t="str">
        <f t="shared" si="102"/>
        <v>FOR</v>
      </c>
      <c r="AY1305" t="s">
        <v>55</v>
      </c>
    </row>
    <row r="1306" spans="1:51" hidden="1">
      <c r="A1306">
        <v>100325</v>
      </c>
      <c r="B1306" t="s">
        <v>114</v>
      </c>
      <c r="C1306" t="str">
        <f t="shared" si="103"/>
        <v>00182080622</v>
      </c>
      <c r="D1306" t="str">
        <f t="shared" si="103"/>
        <v>00182080622</v>
      </c>
      <c r="E1306" t="s">
        <v>52</v>
      </c>
      <c r="F1306">
        <v>2014</v>
      </c>
      <c r="G1306">
        <v>1241</v>
      </c>
      <c r="H1306" s="1">
        <v>41823</v>
      </c>
      <c r="I1306" s="1">
        <v>41897</v>
      </c>
      <c r="J1306" s="1">
        <v>41897</v>
      </c>
      <c r="K1306" s="1">
        <v>41987</v>
      </c>
      <c r="N1306" s="5"/>
      <c r="O1306" s="2">
        <v>1256.77</v>
      </c>
      <c r="P1306">
        <v>144</v>
      </c>
      <c r="Q1306" s="2">
        <v>180974.88</v>
      </c>
      <c r="R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 s="1">
        <v>42382</v>
      </c>
      <c r="AC1306" t="s">
        <v>53</v>
      </c>
      <c r="AD1306" t="s">
        <v>53</v>
      </c>
      <c r="AK1306">
        <v>0</v>
      </c>
      <c r="AU1306" s="6">
        <v>42131</v>
      </c>
      <c r="AV1306" s="6">
        <v>42131</v>
      </c>
      <c r="AW1306" t="s">
        <v>54</v>
      </c>
      <c r="AX1306" t="str">
        <f t="shared" si="102"/>
        <v>FOR</v>
      </c>
      <c r="AY1306" t="s">
        <v>55</v>
      </c>
    </row>
    <row r="1307" spans="1:51" hidden="1">
      <c r="A1307">
        <v>100325</v>
      </c>
      <c r="B1307" t="s">
        <v>114</v>
      </c>
      <c r="C1307" t="str">
        <f t="shared" si="103"/>
        <v>00182080622</v>
      </c>
      <c r="D1307" t="str">
        <f t="shared" si="103"/>
        <v>00182080622</v>
      </c>
      <c r="E1307" t="s">
        <v>52</v>
      </c>
      <c r="F1307">
        <v>2014</v>
      </c>
      <c r="G1307">
        <v>1519</v>
      </c>
      <c r="H1307" s="1">
        <v>41899</v>
      </c>
      <c r="I1307" s="1">
        <v>42108</v>
      </c>
      <c r="J1307" s="1">
        <v>42108</v>
      </c>
      <c r="K1307" s="1">
        <v>42168</v>
      </c>
      <c r="N1307" s="5"/>
      <c r="O1307">
        <v>457.5</v>
      </c>
      <c r="P1307">
        <v>81</v>
      </c>
      <c r="Q1307" s="2">
        <v>37057.5</v>
      </c>
      <c r="R1307">
        <v>0</v>
      </c>
      <c r="V1307">
        <v>0</v>
      </c>
      <c r="W1307">
        <v>0</v>
      </c>
      <c r="X1307">
        <v>0</v>
      </c>
      <c r="Y1307">
        <v>0</v>
      </c>
      <c r="Z1307">
        <v>457.5</v>
      </c>
      <c r="AA1307">
        <v>0</v>
      </c>
      <c r="AB1307" s="1">
        <v>42382</v>
      </c>
      <c r="AC1307" t="s">
        <v>53</v>
      </c>
      <c r="AD1307" t="s">
        <v>53</v>
      </c>
      <c r="AK1307">
        <v>0</v>
      </c>
      <c r="AU1307" s="6">
        <v>42249</v>
      </c>
      <c r="AV1307" s="6">
        <v>42249</v>
      </c>
      <c r="AW1307" t="s">
        <v>54</v>
      </c>
      <c r="AX1307" t="str">
        <f t="shared" si="102"/>
        <v>FOR</v>
      </c>
      <c r="AY1307" t="s">
        <v>55</v>
      </c>
    </row>
    <row r="1308" spans="1:51">
      <c r="A1308">
        <v>100325</v>
      </c>
      <c r="B1308" t="s">
        <v>114</v>
      </c>
      <c r="C1308" t="str">
        <f t="shared" si="103"/>
        <v>00182080622</v>
      </c>
      <c r="D1308" t="str">
        <f t="shared" si="103"/>
        <v>00182080622</v>
      </c>
      <c r="E1308" t="s">
        <v>52</v>
      </c>
      <c r="F1308">
        <v>2014</v>
      </c>
      <c r="G1308">
        <v>1976</v>
      </c>
      <c r="H1308" s="1">
        <v>41957</v>
      </c>
      <c r="I1308" s="1">
        <v>42108</v>
      </c>
      <c r="J1308" s="1">
        <v>42108</v>
      </c>
      <c r="K1308" s="1">
        <v>42168</v>
      </c>
      <c r="L1308" s="7">
        <v>183</v>
      </c>
      <c r="M1308" s="5">
        <v>114</v>
      </c>
      <c r="N1308" s="7">
        <v>20862</v>
      </c>
      <c r="O1308">
        <v>183</v>
      </c>
      <c r="P1308">
        <v>114</v>
      </c>
      <c r="Q1308" s="2">
        <v>20862</v>
      </c>
      <c r="R1308">
        <v>0</v>
      </c>
      <c r="V1308">
        <v>0</v>
      </c>
      <c r="W1308">
        <v>0</v>
      </c>
      <c r="X1308">
        <v>0</v>
      </c>
      <c r="Y1308">
        <v>0</v>
      </c>
      <c r="Z1308">
        <v>183</v>
      </c>
      <c r="AA1308">
        <v>0</v>
      </c>
      <c r="AB1308" s="1">
        <v>42382</v>
      </c>
      <c r="AC1308" t="s">
        <v>53</v>
      </c>
      <c r="AD1308" t="s">
        <v>53</v>
      </c>
      <c r="AK1308">
        <v>0</v>
      </c>
      <c r="AU1308" s="6">
        <v>42282</v>
      </c>
      <c r="AV1308" s="6">
        <v>42282</v>
      </c>
      <c r="AW1308" t="s">
        <v>54</v>
      </c>
      <c r="AX1308" t="str">
        <f t="shared" si="102"/>
        <v>FOR</v>
      </c>
      <c r="AY1308" t="s">
        <v>55</v>
      </c>
    </row>
    <row r="1309" spans="1:51">
      <c r="A1309">
        <v>100325</v>
      </c>
      <c r="B1309" t="s">
        <v>114</v>
      </c>
      <c r="C1309" t="str">
        <f t="shared" si="103"/>
        <v>00182080622</v>
      </c>
      <c r="D1309" t="str">
        <f t="shared" si="103"/>
        <v>00182080622</v>
      </c>
      <c r="E1309" t="s">
        <v>52</v>
      </c>
      <c r="F1309">
        <v>2014</v>
      </c>
      <c r="G1309">
        <v>1977</v>
      </c>
      <c r="H1309" s="1">
        <v>41957</v>
      </c>
      <c r="I1309" s="1">
        <v>42108</v>
      </c>
      <c r="J1309" s="1">
        <v>42108</v>
      </c>
      <c r="K1309" s="1">
        <v>42168</v>
      </c>
      <c r="L1309" s="7">
        <v>146.4</v>
      </c>
      <c r="M1309" s="5">
        <v>114</v>
      </c>
      <c r="N1309" s="7">
        <v>16689.599999999999</v>
      </c>
      <c r="O1309">
        <v>146.4</v>
      </c>
      <c r="P1309">
        <v>114</v>
      </c>
      <c r="Q1309" s="2">
        <v>16689.599999999999</v>
      </c>
      <c r="R1309">
        <v>0</v>
      </c>
      <c r="V1309">
        <v>0</v>
      </c>
      <c r="W1309">
        <v>0</v>
      </c>
      <c r="X1309">
        <v>0</v>
      </c>
      <c r="Y1309">
        <v>0</v>
      </c>
      <c r="Z1309">
        <v>146.4</v>
      </c>
      <c r="AA1309">
        <v>0</v>
      </c>
      <c r="AB1309" s="1">
        <v>42382</v>
      </c>
      <c r="AC1309" t="s">
        <v>53</v>
      </c>
      <c r="AD1309" t="s">
        <v>53</v>
      </c>
      <c r="AK1309">
        <v>0</v>
      </c>
      <c r="AU1309" s="6">
        <v>42282</v>
      </c>
      <c r="AV1309" s="6">
        <v>42282</v>
      </c>
      <c r="AW1309" t="s">
        <v>54</v>
      </c>
      <c r="AX1309" t="str">
        <f t="shared" si="102"/>
        <v>FOR</v>
      </c>
      <c r="AY1309" t="s">
        <v>55</v>
      </c>
    </row>
    <row r="1310" spans="1:51">
      <c r="A1310">
        <v>100325</v>
      </c>
      <c r="B1310" t="s">
        <v>114</v>
      </c>
      <c r="C1310" t="str">
        <f t="shared" si="103"/>
        <v>00182080622</v>
      </c>
      <c r="D1310" t="str">
        <f t="shared" si="103"/>
        <v>00182080622</v>
      </c>
      <c r="E1310" t="s">
        <v>52</v>
      </c>
      <c r="F1310">
        <v>2014</v>
      </c>
      <c r="G1310">
        <v>2022</v>
      </c>
      <c r="H1310" s="1">
        <v>41974</v>
      </c>
      <c r="I1310" s="1">
        <v>42108</v>
      </c>
      <c r="J1310" s="1">
        <v>42108</v>
      </c>
      <c r="K1310" s="1">
        <v>42168</v>
      </c>
      <c r="L1310" s="7">
        <v>1256.77</v>
      </c>
      <c r="M1310" s="5">
        <v>114</v>
      </c>
      <c r="N1310" s="7">
        <v>143271.78</v>
      </c>
      <c r="O1310" s="2">
        <v>1256.77</v>
      </c>
      <c r="P1310">
        <v>114</v>
      </c>
      <c r="Q1310" s="2">
        <v>143271.78</v>
      </c>
      <c r="R1310">
        <v>0</v>
      </c>
      <c r="V1310">
        <v>0</v>
      </c>
      <c r="W1310">
        <v>0</v>
      </c>
      <c r="X1310">
        <v>0</v>
      </c>
      <c r="Y1310">
        <v>0</v>
      </c>
      <c r="Z1310" s="2">
        <v>1256.77</v>
      </c>
      <c r="AA1310">
        <v>0</v>
      </c>
      <c r="AB1310" s="1">
        <v>42382</v>
      </c>
      <c r="AC1310" t="s">
        <v>53</v>
      </c>
      <c r="AD1310" t="s">
        <v>53</v>
      </c>
      <c r="AK1310">
        <v>0</v>
      </c>
      <c r="AU1310" s="6">
        <v>42282</v>
      </c>
      <c r="AV1310" s="6">
        <v>42282</v>
      </c>
      <c r="AW1310" t="s">
        <v>54</v>
      </c>
      <c r="AX1310" t="str">
        <f t="shared" si="102"/>
        <v>FOR</v>
      </c>
      <c r="AY1310" t="s">
        <v>55</v>
      </c>
    </row>
    <row r="1311" spans="1:51">
      <c r="A1311">
        <v>100325</v>
      </c>
      <c r="B1311" t="s">
        <v>114</v>
      </c>
      <c r="C1311" t="str">
        <f t="shared" si="103"/>
        <v>00182080622</v>
      </c>
      <c r="D1311" t="str">
        <f t="shared" si="103"/>
        <v>00182080622</v>
      </c>
      <c r="E1311" t="s">
        <v>52</v>
      </c>
      <c r="F1311">
        <v>2014</v>
      </c>
      <c r="G1311">
        <v>2042</v>
      </c>
      <c r="H1311" s="1">
        <v>41983</v>
      </c>
      <c r="I1311" s="1">
        <v>42108</v>
      </c>
      <c r="J1311" s="1">
        <v>42108</v>
      </c>
      <c r="K1311" s="1">
        <v>42168</v>
      </c>
      <c r="L1311" s="7">
        <v>329.4</v>
      </c>
      <c r="M1311" s="5">
        <v>114</v>
      </c>
      <c r="N1311" s="7">
        <v>37551.599999999999</v>
      </c>
      <c r="O1311">
        <v>329.4</v>
      </c>
      <c r="P1311">
        <v>114</v>
      </c>
      <c r="Q1311" s="2">
        <v>37551.599999999999</v>
      </c>
      <c r="R1311">
        <v>0</v>
      </c>
      <c r="V1311">
        <v>0</v>
      </c>
      <c r="W1311">
        <v>0</v>
      </c>
      <c r="X1311">
        <v>0</v>
      </c>
      <c r="Y1311">
        <v>0</v>
      </c>
      <c r="Z1311">
        <v>329.4</v>
      </c>
      <c r="AA1311">
        <v>0</v>
      </c>
      <c r="AB1311" s="1">
        <v>42382</v>
      </c>
      <c r="AC1311" t="s">
        <v>53</v>
      </c>
      <c r="AD1311" t="s">
        <v>53</v>
      </c>
      <c r="AK1311">
        <v>0</v>
      </c>
      <c r="AU1311" s="6">
        <v>42282</v>
      </c>
      <c r="AV1311" s="6">
        <v>42282</v>
      </c>
      <c r="AW1311" t="s">
        <v>54</v>
      </c>
      <c r="AX1311" t="str">
        <f t="shared" si="102"/>
        <v>FOR</v>
      </c>
      <c r="AY1311" t="s">
        <v>55</v>
      </c>
    </row>
    <row r="1312" spans="1:51">
      <c r="A1312">
        <v>100325</v>
      </c>
      <c r="B1312" t="s">
        <v>114</v>
      </c>
      <c r="C1312" t="str">
        <f t="shared" si="103"/>
        <v>00182080622</v>
      </c>
      <c r="D1312" t="str">
        <f t="shared" si="103"/>
        <v>00182080622</v>
      </c>
      <c r="E1312" t="s">
        <v>52</v>
      </c>
      <c r="F1312">
        <v>2015</v>
      </c>
      <c r="G1312">
        <v>450</v>
      </c>
      <c r="H1312" s="1">
        <v>42052</v>
      </c>
      <c r="I1312" s="1">
        <v>42249</v>
      </c>
      <c r="J1312" s="1">
        <v>42249</v>
      </c>
      <c r="K1312" s="1">
        <v>42309</v>
      </c>
      <c r="L1312" s="7">
        <v>125</v>
      </c>
      <c r="M1312" s="5">
        <v>46</v>
      </c>
      <c r="N1312" s="7">
        <v>5750</v>
      </c>
      <c r="O1312">
        <v>125</v>
      </c>
      <c r="P1312">
        <v>46</v>
      </c>
      <c r="Q1312" s="2">
        <v>5750</v>
      </c>
      <c r="R1312">
        <v>27.5</v>
      </c>
      <c r="V1312">
        <v>0</v>
      </c>
      <c r="W1312">
        <v>0</v>
      </c>
      <c r="X1312">
        <v>0</v>
      </c>
      <c r="Y1312">
        <v>152.5</v>
      </c>
      <c r="Z1312">
        <v>152.5</v>
      </c>
      <c r="AA1312">
        <v>152.5</v>
      </c>
      <c r="AB1312" s="1">
        <v>42382</v>
      </c>
      <c r="AC1312" t="s">
        <v>53</v>
      </c>
      <c r="AD1312" t="s">
        <v>53</v>
      </c>
      <c r="AF1312">
        <v>27.5</v>
      </c>
      <c r="AK1312">
        <v>0</v>
      </c>
      <c r="AU1312" s="6">
        <v>42355</v>
      </c>
      <c r="AV1312" s="6">
        <v>42355</v>
      </c>
      <c r="AW1312" t="s">
        <v>54</v>
      </c>
      <c r="AX1312" t="str">
        <f t="shared" si="102"/>
        <v>FOR</v>
      </c>
      <c r="AY1312" t="s">
        <v>55</v>
      </c>
    </row>
    <row r="1313" spans="1:51">
      <c r="A1313">
        <v>100325</v>
      </c>
      <c r="B1313" t="s">
        <v>114</v>
      </c>
      <c r="C1313" t="str">
        <f t="shared" si="103"/>
        <v>00182080622</v>
      </c>
      <c r="D1313" t="str">
        <f t="shared" si="103"/>
        <v>00182080622</v>
      </c>
      <c r="E1313" t="s">
        <v>52</v>
      </c>
      <c r="F1313">
        <v>2015</v>
      </c>
      <c r="G1313">
        <v>451</v>
      </c>
      <c r="H1313" s="1">
        <v>42052</v>
      </c>
      <c r="I1313" s="1">
        <v>42249</v>
      </c>
      <c r="J1313" s="1">
        <v>42249</v>
      </c>
      <c r="K1313" s="1">
        <v>42309</v>
      </c>
      <c r="L1313" s="7">
        <v>165</v>
      </c>
      <c r="M1313" s="5">
        <v>46</v>
      </c>
      <c r="N1313" s="7">
        <v>7590</v>
      </c>
      <c r="O1313">
        <v>165</v>
      </c>
      <c r="P1313">
        <v>46</v>
      </c>
      <c r="Q1313" s="2">
        <v>7590</v>
      </c>
      <c r="R1313">
        <v>36.299999999999997</v>
      </c>
      <c r="V1313">
        <v>0</v>
      </c>
      <c r="W1313">
        <v>0</v>
      </c>
      <c r="X1313">
        <v>0</v>
      </c>
      <c r="Y1313">
        <v>201.3</v>
      </c>
      <c r="Z1313">
        <v>201.3</v>
      </c>
      <c r="AA1313">
        <v>201.3</v>
      </c>
      <c r="AB1313" s="1">
        <v>42382</v>
      </c>
      <c r="AC1313" t="s">
        <v>53</v>
      </c>
      <c r="AD1313" t="s">
        <v>53</v>
      </c>
      <c r="AF1313">
        <v>36.299999999999997</v>
      </c>
      <c r="AK1313">
        <v>0</v>
      </c>
      <c r="AU1313" s="6">
        <v>42355</v>
      </c>
      <c r="AV1313" s="6">
        <v>42355</v>
      </c>
      <c r="AW1313" t="s">
        <v>54</v>
      </c>
      <c r="AX1313" t="str">
        <f t="shared" si="102"/>
        <v>FOR</v>
      </c>
      <c r="AY1313" t="s">
        <v>55</v>
      </c>
    </row>
    <row r="1314" spans="1:51">
      <c r="A1314">
        <v>100325</v>
      </c>
      <c r="B1314" t="s">
        <v>114</v>
      </c>
      <c r="C1314" t="str">
        <f t="shared" si="103"/>
        <v>00182080622</v>
      </c>
      <c r="D1314" t="str">
        <f t="shared" si="103"/>
        <v>00182080622</v>
      </c>
      <c r="E1314" t="s">
        <v>52</v>
      </c>
      <c r="F1314">
        <v>2015</v>
      </c>
      <c r="G1314" t="s">
        <v>115</v>
      </c>
      <c r="H1314" s="1">
        <v>42172</v>
      </c>
      <c r="I1314" s="1">
        <v>42177</v>
      </c>
      <c r="J1314" s="1">
        <v>42172</v>
      </c>
      <c r="K1314" s="1">
        <v>42232</v>
      </c>
      <c r="L1314" s="7">
        <v>2550</v>
      </c>
      <c r="M1314" s="5">
        <v>123</v>
      </c>
      <c r="N1314" s="7">
        <v>313650</v>
      </c>
      <c r="O1314" s="2">
        <v>2550</v>
      </c>
      <c r="P1314">
        <v>123</v>
      </c>
      <c r="Q1314" s="2">
        <v>313650</v>
      </c>
      <c r="R1314">
        <v>561</v>
      </c>
      <c r="V1314">
        <v>0</v>
      </c>
      <c r="W1314">
        <v>0</v>
      </c>
      <c r="X1314">
        <v>0</v>
      </c>
      <c r="Y1314" s="2">
        <v>3111</v>
      </c>
      <c r="Z1314" s="2">
        <v>3111</v>
      </c>
      <c r="AA1314" s="2">
        <v>3111</v>
      </c>
      <c r="AB1314" s="1">
        <v>42382</v>
      </c>
      <c r="AC1314" t="s">
        <v>53</v>
      </c>
      <c r="AD1314" t="s">
        <v>53</v>
      </c>
      <c r="AI1314">
        <v>561</v>
      </c>
      <c r="AK1314">
        <v>0</v>
      </c>
      <c r="AU1314" s="6">
        <v>42355</v>
      </c>
      <c r="AV1314" s="6">
        <v>42355</v>
      </c>
      <c r="AW1314" t="s">
        <v>54</v>
      </c>
      <c r="AX1314" t="str">
        <f t="shared" si="102"/>
        <v>FOR</v>
      </c>
      <c r="AY1314" t="s">
        <v>55</v>
      </c>
    </row>
    <row r="1315" spans="1:51" hidden="1">
      <c r="A1315">
        <v>100338</v>
      </c>
      <c r="B1315" t="s">
        <v>116</v>
      </c>
      <c r="C1315" t="str">
        <f t="shared" ref="C1315:D1325" si="104">"02154270595"</f>
        <v>02154270595</v>
      </c>
      <c r="D1315" t="str">
        <f t="shared" si="104"/>
        <v>02154270595</v>
      </c>
      <c r="E1315" t="s">
        <v>52</v>
      </c>
      <c r="F1315">
        <v>2013</v>
      </c>
      <c r="G1315">
        <v>21314689</v>
      </c>
      <c r="H1315" s="1">
        <v>41512</v>
      </c>
      <c r="I1315" s="1">
        <v>41520</v>
      </c>
      <c r="J1315" s="1">
        <v>41520</v>
      </c>
      <c r="K1315" s="1">
        <v>41610</v>
      </c>
      <c r="N1315" s="5"/>
      <c r="O1315">
        <v>936</v>
      </c>
      <c r="P1315">
        <v>414</v>
      </c>
      <c r="Q1315" s="2">
        <v>387504</v>
      </c>
      <c r="R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 s="1">
        <v>42382</v>
      </c>
      <c r="AC1315" t="s">
        <v>53</v>
      </c>
      <c r="AD1315" t="s">
        <v>53</v>
      </c>
      <c r="AK1315">
        <v>0</v>
      </c>
      <c r="AU1315" s="6">
        <v>42024</v>
      </c>
      <c r="AV1315" s="6">
        <v>42024</v>
      </c>
      <c r="AW1315" t="s">
        <v>54</v>
      </c>
      <c r="AX1315" t="str">
        <f t="shared" si="102"/>
        <v>FOR</v>
      </c>
      <c r="AY1315" t="s">
        <v>55</v>
      </c>
    </row>
    <row r="1316" spans="1:51" hidden="1">
      <c r="A1316">
        <v>100338</v>
      </c>
      <c r="B1316" t="s">
        <v>116</v>
      </c>
      <c r="C1316" t="str">
        <f t="shared" si="104"/>
        <v>02154270595</v>
      </c>
      <c r="D1316" t="str">
        <f t="shared" si="104"/>
        <v>02154270595</v>
      </c>
      <c r="E1316" t="s">
        <v>52</v>
      </c>
      <c r="F1316">
        <v>2013</v>
      </c>
      <c r="G1316">
        <v>21319281</v>
      </c>
      <c r="H1316" s="1">
        <v>41599</v>
      </c>
      <c r="I1316" s="1">
        <v>41607</v>
      </c>
      <c r="J1316" s="1">
        <v>41607</v>
      </c>
      <c r="K1316" s="1">
        <v>41697</v>
      </c>
      <c r="N1316" s="5"/>
      <c r="O1316" s="2">
        <v>1497.6</v>
      </c>
      <c r="P1316">
        <v>327</v>
      </c>
      <c r="Q1316" s="2">
        <v>489715.20000000001</v>
      </c>
      <c r="R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 s="1">
        <v>42382</v>
      </c>
      <c r="AC1316" t="s">
        <v>53</v>
      </c>
      <c r="AD1316" t="s">
        <v>53</v>
      </c>
      <c r="AK1316">
        <v>0</v>
      </c>
      <c r="AU1316" s="6">
        <v>42024</v>
      </c>
      <c r="AV1316" s="6">
        <v>42024</v>
      </c>
      <c r="AW1316" t="s">
        <v>54</v>
      </c>
      <c r="AX1316" t="str">
        <f t="shared" si="102"/>
        <v>FOR</v>
      </c>
      <c r="AY1316" t="s">
        <v>55</v>
      </c>
    </row>
    <row r="1317" spans="1:51" hidden="1">
      <c r="A1317">
        <v>100338</v>
      </c>
      <c r="B1317" t="s">
        <v>116</v>
      </c>
      <c r="C1317" t="str">
        <f t="shared" si="104"/>
        <v>02154270595</v>
      </c>
      <c r="D1317" t="str">
        <f t="shared" si="104"/>
        <v>02154270595</v>
      </c>
      <c r="E1317" t="s">
        <v>52</v>
      </c>
      <c r="F1317">
        <v>2014</v>
      </c>
      <c r="G1317">
        <v>21413739</v>
      </c>
      <c r="H1317" s="1">
        <v>41857</v>
      </c>
      <c r="I1317" s="1">
        <v>41876</v>
      </c>
      <c r="J1317" s="1">
        <v>41876</v>
      </c>
      <c r="K1317" s="1">
        <v>41966</v>
      </c>
      <c r="N1317" s="5"/>
      <c r="O1317">
        <v>374.4</v>
      </c>
      <c r="P1317">
        <v>282</v>
      </c>
      <c r="Q1317" s="2">
        <v>105580.8</v>
      </c>
      <c r="R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 s="1">
        <v>42382</v>
      </c>
      <c r="AC1317" t="s">
        <v>53</v>
      </c>
      <c r="AD1317" t="s">
        <v>53</v>
      </c>
      <c r="AK1317">
        <v>0</v>
      </c>
      <c r="AU1317" s="6">
        <v>42248</v>
      </c>
      <c r="AV1317" s="6">
        <v>42248</v>
      </c>
      <c r="AW1317" t="s">
        <v>54</v>
      </c>
      <c r="AX1317" t="str">
        <f t="shared" si="102"/>
        <v>FOR</v>
      </c>
      <c r="AY1317" t="s">
        <v>55</v>
      </c>
    </row>
    <row r="1318" spans="1:51" hidden="1">
      <c r="A1318">
        <v>100338</v>
      </c>
      <c r="B1318" t="s">
        <v>116</v>
      </c>
      <c r="C1318" t="str">
        <f t="shared" si="104"/>
        <v>02154270595</v>
      </c>
      <c r="D1318" t="str">
        <f t="shared" si="104"/>
        <v>02154270595</v>
      </c>
      <c r="E1318" t="s">
        <v>52</v>
      </c>
      <c r="F1318">
        <v>2014</v>
      </c>
      <c r="G1318">
        <v>21414416</v>
      </c>
      <c r="H1318" s="1">
        <v>41881</v>
      </c>
      <c r="I1318" s="1">
        <v>41890</v>
      </c>
      <c r="J1318" s="1">
        <v>41890</v>
      </c>
      <c r="K1318" s="1">
        <v>41980</v>
      </c>
      <c r="N1318" s="5"/>
      <c r="O1318" s="2">
        <v>1098</v>
      </c>
      <c r="P1318">
        <v>268</v>
      </c>
      <c r="Q1318" s="2">
        <v>294264</v>
      </c>
      <c r="R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 s="1">
        <v>42382</v>
      </c>
      <c r="AC1318" t="s">
        <v>53</v>
      </c>
      <c r="AD1318" t="s">
        <v>53</v>
      </c>
      <c r="AK1318">
        <v>0</v>
      </c>
      <c r="AU1318" s="6">
        <v>42248</v>
      </c>
      <c r="AV1318" s="6">
        <v>42248</v>
      </c>
      <c r="AW1318" t="s">
        <v>54</v>
      </c>
      <c r="AX1318" t="str">
        <f t="shared" si="102"/>
        <v>FOR</v>
      </c>
      <c r="AY1318" t="s">
        <v>55</v>
      </c>
    </row>
    <row r="1319" spans="1:51" hidden="1">
      <c r="A1319">
        <v>100338</v>
      </c>
      <c r="B1319" t="s">
        <v>116</v>
      </c>
      <c r="C1319" t="str">
        <f t="shared" si="104"/>
        <v>02154270595</v>
      </c>
      <c r="D1319" t="str">
        <f t="shared" si="104"/>
        <v>02154270595</v>
      </c>
      <c r="E1319" t="s">
        <v>52</v>
      </c>
      <c r="F1319">
        <v>2014</v>
      </c>
      <c r="G1319">
        <v>21415368</v>
      </c>
      <c r="H1319" s="1">
        <v>41898</v>
      </c>
      <c r="I1319" s="1">
        <v>41907</v>
      </c>
      <c r="J1319" s="1">
        <v>41907</v>
      </c>
      <c r="K1319" s="1">
        <v>41997</v>
      </c>
      <c r="N1319" s="5"/>
      <c r="O1319" s="2">
        <v>2196</v>
      </c>
      <c r="P1319">
        <v>251</v>
      </c>
      <c r="Q1319" s="2">
        <v>551196</v>
      </c>
      <c r="R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 s="1">
        <v>42382</v>
      </c>
      <c r="AC1319" t="s">
        <v>53</v>
      </c>
      <c r="AD1319" t="s">
        <v>53</v>
      </c>
      <c r="AK1319">
        <v>0</v>
      </c>
      <c r="AU1319" s="6">
        <v>42248</v>
      </c>
      <c r="AV1319" s="6">
        <v>42248</v>
      </c>
      <c r="AW1319" t="s">
        <v>54</v>
      </c>
      <c r="AX1319" t="str">
        <f t="shared" si="102"/>
        <v>FOR</v>
      </c>
      <c r="AY1319" t="s">
        <v>55</v>
      </c>
    </row>
    <row r="1320" spans="1:51" hidden="1">
      <c r="A1320">
        <v>100338</v>
      </c>
      <c r="B1320" t="s">
        <v>116</v>
      </c>
      <c r="C1320" t="str">
        <f t="shared" si="104"/>
        <v>02154270595</v>
      </c>
      <c r="D1320" t="str">
        <f t="shared" si="104"/>
        <v>02154270595</v>
      </c>
      <c r="E1320" t="s">
        <v>52</v>
      </c>
      <c r="F1320">
        <v>2014</v>
      </c>
      <c r="G1320">
        <v>21415717</v>
      </c>
      <c r="H1320" s="1">
        <v>41905</v>
      </c>
      <c r="I1320" s="1">
        <v>41939</v>
      </c>
      <c r="J1320" s="1">
        <v>41939</v>
      </c>
      <c r="K1320" s="1">
        <v>41999</v>
      </c>
      <c r="N1320" s="5"/>
      <c r="O1320">
        <v>468</v>
      </c>
      <c r="P1320">
        <v>249</v>
      </c>
      <c r="Q1320" s="2">
        <v>116532</v>
      </c>
      <c r="R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 s="1">
        <v>42382</v>
      </c>
      <c r="AC1320" t="s">
        <v>53</v>
      </c>
      <c r="AD1320" t="s">
        <v>53</v>
      </c>
      <c r="AK1320">
        <v>0</v>
      </c>
      <c r="AU1320" s="6">
        <v>42248</v>
      </c>
      <c r="AV1320" s="6">
        <v>42248</v>
      </c>
      <c r="AW1320" t="s">
        <v>54</v>
      </c>
      <c r="AX1320" t="str">
        <f t="shared" si="102"/>
        <v>FOR</v>
      </c>
      <c r="AY1320" t="s">
        <v>55</v>
      </c>
    </row>
    <row r="1321" spans="1:51">
      <c r="A1321">
        <v>100338</v>
      </c>
      <c r="B1321" t="s">
        <v>116</v>
      </c>
      <c r="C1321" t="str">
        <f t="shared" si="104"/>
        <v>02154270595</v>
      </c>
      <c r="D1321" t="str">
        <f t="shared" si="104"/>
        <v>02154270595</v>
      </c>
      <c r="E1321" t="s">
        <v>52</v>
      </c>
      <c r="F1321">
        <v>2014</v>
      </c>
      <c r="G1321">
        <v>21417551</v>
      </c>
      <c r="H1321" s="1">
        <v>41936</v>
      </c>
      <c r="I1321" s="1">
        <v>41946</v>
      </c>
      <c r="J1321" s="1">
        <v>41946</v>
      </c>
      <c r="K1321" s="1">
        <v>42006</v>
      </c>
      <c r="L1321" s="7">
        <v>2928</v>
      </c>
      <c r="M1321" s="5">
        <v>276</v>
      </c>
      <c r="N1321" s="7">
        <v>808128</v>
      </c>
      <c r="O1321" s="2">
        <v>2928</v>
      </c>
      <c r="P1321">
        <v>276</v>
      </c>
      <c r="Q1321" s="2">
        <v>808128</v>
      </c>
      <c r="R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 s="1">
        <v>42382</v>
      </c>
      <c r="AC1321" t="s">
        <v>53</v>
      </c>
      <c r="AD1321" t="s">
        <v>53</v>
      </c>
      <c r="AK1321">
        <v>0</v>
      </c>
      <c r="AU1321" s="6">
        <v>42282</v>
      </c>
      <c r="AV1321" s="6">
        <v>42282</v>
      </c>
      <c r="AW1321" t="s">
        <v>54</v>
      </c>
      <c r="AX1321" t="str">
        <f t="shared" si="102"/>
        <v>FOR</v>
      </c>
      <c r="AY1321" t="s">
        <v>55</v>
      </c>
    </row>
    <row r="1322" spans="1:51">
      <c r="A1322">
        <v>100338</v>
      </c>
      <c r="B1322" t="s">
        <v>116</v>
      </c>
      <c r="C1322" t="str">
        <f t="shared" si="104"/>
        <v>02154270595</v>
      </c>
      <c r="D1322" t="str">
        <f t="shared" si="104"/>
        <v>02154270595</v>
      </c>
      <c r="E1322" t="s">
        <v>52</v>
      </c>
      <c r="F1322">
        <v>2014</v>
      </c>
      <c r="G1322">
        <v>21418619</v>
      </c>
      <c r="H1322" s="1">
        <v>41955</v>
      </c>
      <c r="I1322" s="1">
        <v>41964</v>
      </c>
      <c r="J1322" s="1">
        <v>41964</v>
      </c>
      <c r="K1322" s="1">
        <v>42024</v>
      </c>
      <c r="L1322" s="7">
        <v>936</v>
      </c>
      <c r="M1322" s="5">
        <v>258</v>
      </c>
      <c r="N1322" s="7">
        <v>241488</v>
      </c>
      <c r="O1322">
        <v>936</v>
      </c>
      <c r="P1322">
        <v>258</v>
      </c>
      <c r="Q1322" s="2">
        <v>241488</v>
      </c>
      <c r="R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 s="1">
        <v>42382</v>
      </c>
      <c r="AC1322" t="s">
        <v>53</v>
      </c>
      <c r="AD1322" t="s">
        <v>53</v>
      </c>
      <c r="AK1322">
        <v>0</v>
      </c>
      <c r="AU1322" s="6">
        <v>42282</v>
      </c>
      <c r="AV1322" s="6">
        <v>42282</v>
      </c>
      <c r="AW1322" t="s">
        <v>54</v>
      </c>
      <c r="AX1322" t="str">
        <f t="shared" si="102"/>
        <v>FOR</v>
      </c>
      <c r="AY1322" t="s">
        <v>55</v>
      </c>
    </row>
    <row r="1323" spans="1:51">
      <c r="A1323">
        <v>100338</v>
      </c>
      <c r="B1323" t="s">
        <v>116</v>
      </c>
      <c r="C1323" t="str">
        <f t="shared" si="104"/>
        <v>02154270595</v>
      </c>
      <c r="D1323" t="str">
        <f t="shared" si="104"/>
        <v>02154270595</v>
      </c>
      <c r="E1323" t="s">
        <v>52</v>
      </c>
      <c r="F1323">
        <v>2015</v>
      </c>
      <c r="G1323">
        <v>21501167</v>
      </c>
      <c r="H1323" s="1">
        <v>42026</v>
      </c>
      <c r="I1323" s="1">
        <v>42033</v>
      </c>
      <c r="J1323" s="1">
        <v>42033</v>
      </c>
      <c r="K1323" s="1">
        <v>42093</v>
      </c>
      <c r="L1323" s="7">
        <v>660</v>
      </c>
      <c r="M1323" s="5">
        <v>262</v>
      </c>
      <c r="N1323" s="7">
        <v>172920</v>
      </c>
      <c r="O1323">
        <v>660</v>
      </c>
      <c r="P1323">
        <v>262</v>
      </c>
      <c r="Q1323" s="2">
        <v>172920</v>
      </c>
      <c r="R1323">
        <v>145.19999999999999</v>
      </c>
      <c r="V1323">
        <v>0</v>
      </c>
      <c r="W1323">
        <v>0</v>
      </c>
      <c r="X1323">
        <v>0</v>
      </c>
      <c r="Y1323">
        <v>805.2</v>
      </c>
      <c r="Z1323">
        <v>805.2</v>
      </c>
      <c r="AA1323">
        <v>805.2</v>
      </c>
      <c r="AB1323" s="1">
        <v>42382</v>
      </c>
      <c r="AC1323" t="s">
        <v>53</v>
      </c>
      <c r="AD1323" t="s">
        <v>53</v>
      </c>
      <c r="AK1323">
        <v>145.19999999999999</v>
      </c>
      <c r="AU1323" s="6">
        <v>42355</v>
      </c>
      <c r="AV1323" s="6">
        <v>42355</v>
      </c>
      <c r="AW1323" t="s">
        <v>54</v>
      </c>
      <c r="AX1323" t="str">
        <f t="shared" si="102"/>
        <v>FOR</v>
      </c>
      <c r="AY1323" t="s">
        <v>55</v>
      </c>
    </row>
    <row r="1324" spans="1:51">
      <c r="A1324">
        <v>100338</v>
      </c>
      <c r="B1324" t="s">
        <v>116</v>
      </c>
      <c r="C1324" t="str">
        <f t="shared" si="104"/>
        <v>02154270595</v>
      </c>
      <c r="D1324" t="str">
        <f t="shared" si="104"/>
        <v>02154270595</v>
      </c>
      <c r="E1324" t="s">
        <v>52</v>
      </c>
      <c r="F1324">
        <v>2015</v>
      </c>
      <c r="G1324">
        <v>21501273</v>
      </c>
      <c r="H1324" s="1">
        <v>42027</v>
      </c>
      <c r="I1324" s="1">
        <v>42041</v>
      </c>
      <c r="J1324" s="1">
        <v>42041</v>
      </c>
      <c r="K1324" s="1">
        <v>42101</v>
      </c>
      <c r="L1324" s="7">
        <v>540</v>
      </c>
      <c r="M1324" s="5">
        <v>254</v>
      </c>
      <c r="N1324" s="7">
        <v>137160</v>
      </c>
      <c r="O1324">
        <v>540</v>
      </c>
      <c r="P1324">
        <v>254</v>
      </c>
      <c r="Q1324" s="2">
        <v>137160</v>
      </c>
      <c r="R1324">
        <v>118.8</v>
      </c>
      <c r="V1324">
        <v>0</v>
      </c>
      <c r="W1324">
        <v>0</v>
      </c>
      <c r="X1324">
        <v>0</v>
      </c>
      <c r="Y1324">
        <v>658.8</v>
      </c>
      <c r="Z1324">
        <v>658.8</v>
      </c>
      <c r="AA1324">
        <v>658.8</v>
      </c>
      <c r="AB1324" s="1">
        <v>42382</v>
      </c>
      <c r="AC1324" t="s">
        <v>53</v>
      </c>
      <c r="AD1324" t="s">
        <v>53</v>
      </c>
      <c r="AK1324">
        <v>118.8</v>
      </c>
      <c r="AU1324" s="6">
        <v>42355</v>
      </c>
      <c r="AV1324" s="6">
        <v>42355</v>
      </c>
      <c r="AW1324" t="s">
        <v>54</v>
      </c>
      <c r="AX1324" t="str">
        <f t="shared" si="102"/>
        <v>FOR</v>
      </c>
      <c r="AY1324" t="s">
        <v>55</v>
      </c>
    </row>
    <row r="1325" spans="1:51">
      <c r="A1325">
        <v>100338</v>
      </c>
      <c r="B1325" t="s">
        <v>116</v>
      </c>
      <c r="C1325" t="str">
        <f t="shared" si="104"/>
        <v>02154270595</v>
      </c>
      <c r="D1325" t="str">
        <f t="shared" si="104"/>
        <v>02154270595</v>
      </c>
      <c r="E1325" t="s">
        <v>52</v>
      </c>
      <c r="F1325">
        <v>2015</v>
      </c>
      <c r="G1325">
        <v>21501493</v>
      </c>
      <c r="H1325" s="1">
        <v>42031</v>
      </c>
      <c r="I1325" s="1">
        <v>42039</v>
      </c>
      <c r="J1325" s="1">
        <v>42039</v>
      </c>
      <c r="K1325" s="1">
        <v>42099</v>
      </c>
      <c r="L1325" s="7">
        <v>1200</v>
      </c>
      <c r="M1325" s="5">
        <v>256</v>
      </c>
      <c r="N1325" s="7">
        <v>307200</v>
      </c>
      <c r="O1325" s="2">
        <v>1200</v>
      </c>
      <c r="P1325">
        <v>256</v>
      </c>
      <c r="Q1325" s="2">
        <v>307200</v>
      </c>
      <c r="R1325">
        <v>264</v>
      </c>
      <c r="V1325">
        <v>0</v>
      </c>
      <c r="W1325">
        <v>0</v>
      </c>
      <c r="X1325">
        <v>0</v>
      </c>
      <c r="Y1325" s="2">
        <v>1464</v>
      </c>
      <c r="Z1325" s="2">
        <v>1464</v>
      </c>
      <c r="AA1325" s="2">
        <v>1464</v>
      </c>
      <c r="AB1325" s="1">
        <v>42382</v>
      </c>
      <c r="AC1325" t="s">
        <v>53</v>
      </c>
      <c r="AD1325" t="s">
        <v>53</v>
      </c>
      <c r="AK1325">
        <v>264</v>
      </c>
      <c r="AU1325" s="6">
        <v>42355</v>
      </c>
      <c r="AV1325" s="6">
        <v>42355</v>
      </c>
      <c r="AW1325" t="s">
        <v>54</v>
      </c>
      <c r="AX1325" t="str">
        <f t="shared" si="102"/>
        <v>FOR</v>
      </c>
      <c r="AY1325" t="s">
        <v>55</v>
      </c>
    </row>
    <row r="1326" spans="1:51" hidden="1">
      <c r="A1326">
        <v>100342</v>
      </c>
      <c r="B1326" t="s">
        <v>117</v>
      </c>
      <c r="C1326" t="str">
        <f t="shared" ref="C1326:C1332" si="105">"01589970506"</f>
        <v>01589970506</v>
      </c>
      <c r="D1326" t="str">
        <f t="shared" ref="D1326:D1332" si="106">"13089440153"</f>
        <v>13089440153</v>
      </c>
      <c r="E1326" t="s">
        <v>52</v>
      </c>
      <c r="F1326">
        <v>2013</v>
      </c>
      <c r="G1326">
        <v>4404</v>
      </c>
      <c r="H1326" s="1">
        <v>41418</v>
      </c>
      <c r="I1326" s="1">
        <v>41431</v>
      </c>
      <c r="J1326" s="1">
        <v>41431</v>
      </c>
      <c r="K1326" s="1">
        <v>41521</v>
      </c>
      <c r="N1326" s="5"/>
      <c r="O1326">
        <v>205</v>
      </c>
      <c r="P1326">
        <v>497</v>
      </c>
      <c r="Q1326" s="2">
        <v>101885</v>
      </c>
      <c r="R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 s="1">
        <v>42382</v>
      </c>
      <c r="AC1326" t="s">
        <v>53</v>
      </c>
      <c r="AD1326" t="s">
        <v>53</v>
      </c>
      <c r="AK1326">
        <v>0</v>
      </c>
      <c r="AU1326" s="6">
        <v>42018</v>
      </c>
      <c r="AV1326" s="6">
        <v>42018</v>
      </c>
      <c r="AW1326" t="s">
        <v>54</v>
      </c>
      <c r="AX1326" t="str">
        <f t="shared" si="102"/>
        <v>FOR</v>
      </c>
      <c r="AY1326" t="s">
        <v>55</v>
      </c>
    </row>
    <row r="1327" spans="1:51" hidden="1">
      <c r="A1327">
        <v>100342</v>
      </c>
      <c r="B1327" t="s">
        <v>117</v>
      </c>
      <c r="C1327" t="str">
        <f t="shared" si="105"/>
        <v>01589970506</v>
      </c>
      <c r="D1327" t="str">
        <f t="shared" si="106"/>
        <v>13089440153</v>
      </c>
      <c r="E1327" t="s">
        <v>52</v>
      </c>
      <c r="F1327">
        <v>2013</v>
      </c>
      <c r="G1327">
        <v>5330</v>
      </c>
      <c r="H1327" s="1">
        <v>41446</v>
      </c>
      <c r="I1327" s="1">
        <v>41460</v>
      </c>
      <c r="J1327" s="1">
        <v>41460</v>
      </c>
      <c r="K1327" s="1">
        <v>41550</v>
      </c>
      <c r="N1327" s="5"/>
      <c r="O1327">
        <v>328</v>
      </c>
      <c r="P1327">
        <v>468</v>
      </c>
      <c r="Q1327" s="2">
        <v>153504</v>
      </c>
      <c r="R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 s="1">
        <v>42382</v>
      </c>
      <c r="AC1327" t="s">
        <v>53</v>
      </c>
      <c r="AD1327" t="s">
        <v>53</v>
      </c>
      <c r="AK1327">
        <v>0</v>
      </c>
      <c r="AU1327" s="6">
        <v>42018</v>
      </c>
      <c r="AV1327" s="6">
        <v>42018</v>
      </c>
      <c r="AW1327" t="s">
        <v>54</v>
      </c>
      <c r="AX1327" t="str">
        <f t="shared" si="102"/>
        <v>FOR</v>
      </c>
      <c r="AY1327" t="s">
        <v>55</v>
      </c>
    </row>
    <row r="1328" spans="1:51" hidden="1">
      <c r="A1328">
        <v>100342</v>
      </c>
      <c r="B1328" t="s">
        <v>117</v>
      </c>
      <c r="C1328" t="str">
        <f t="shared" si="105"/>
        <v>01589970506</v>
      </c>
      <c r="D1328" t="str">
        <f t="shared" si="106"/>
        <v>13089440153</v>
      </c>
      <c r="E1328" t="s">
        <v>52</v>
      </c>
      <c r="F1328">
        <v>2013</v>
      </c>
      <c r="G1328">
        <v>6933</v>
      </c>
      <c r="H1328" s="1">
        <v>41523</v>
      </c>
      <c r="I1328" s="1">
        <v>41540</v>
      </c>
      <c r="J1328" s="1">
        <v>41540</v>
      </c>
      <c r="K1328" s="1">
        <v>41630</v>
      </c>
      <c r="N1328" s="5"/>
      <c r="O1328">
        <v>328</v>
      </c>
      <c r="P1328">
        <v>388</v>
      </c>
      <c r="Q1328" s="2">
        <v>127264</v>
      </c>
      <c r="R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 s="1">
        <v>42382</v>
      </c>
      <c r="AC1328" t="s">
        <v>53</v>
      </c>
      <c r="AD1328" t="s">
        <v>53</v>
      </c>
      <c r="AK1328">
        <v>0</v>
      </c>
      <c r="AU1328" s="6">
        <v>42018</v>
      </c>
      <c r="AV1328" s="6">
        <v>42018</v>
      </c>
      <c r="AW1328" t="s">
        <v>54</v>
      </c>
      <c r="AX1328" t="str">
        <f t="shared" si="102"/>
        <v>FOR</v>
      </c>
      <c r="AY1328" t="s">
        <v>55</v>
      </c>
    </row>
    <row r="1329" spans="1:51" hidden="1">
      <c r="A1329">
        <v>100342</v>
      </c>
      <c r="B1329" t="s">
        <v>117</v>
      </c>
      <c r="C1329" t="str">
        <f t="shared" si="105"/>
        <v>01589970506</v>
      </c>
      <c r="D1329" t="str">
        <f t="shared" si="106"/>
        <v>13089440153</v>
      </c>
      <c r="E1329" t="s">
        <v>52</v>
      </c>
      <c r="F1329">
        <v>2013</v>
      </c>
      <c r="G1329">
        <v>8546</v>
      </c>
      <c r="H1329" s="1">
        <v>41586</v>
      </c>
      <c r="I1329" s="1">
        <v>41598</v>
      </c>
      <c r="J1329" s="1">
        <v>41598</v>
      </c>
      <c r="K1329" s="1">
        <v>41688</v>
      </c>
      <c r="N1329" s="5"/>
      <c r="O1329">
        <v>328</v>
      </c>
      <c r="P1329">
        <v>330</v>
      </c>
      <c r="Q1329" s="2">
        <v>108240</v>
      </c>
      <c r="R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 s="1">
        <v>42382</v>
      </c>
      <c r="AC1329" t="s">
        <v>53</v>
      </c>
      <c r="AD1329" t="s">
        <v>53</v>
      </c>
      <c r="AK1329">
        <v>0</v>
      </c>
      <c r="AU1329" s="6">
        <v>42018</v>
      </c>
      <c r="AV1329" s="6">
        <v>42018</v>
      </c>
      <c r="AW1329" t="s">
        <v>54</v>
      </c>
      <c r="AX1329" t="str">
        <f t="shared" si="102"/>
        <v>FOR</v>
      </c>
      <c r="AY1329" t="s">
        <v>55</v>
      </c>
    </row>
    <row r="1330" spans="1:51" hidden="1">
      <c r="A1330">
        <v>100342</v>
      </c>
      <c r="B1330" t="s">
        <v>117</v>
      </c>
      <c r="C1330" t="str">
        <f t="shared" si="105"/>
        <v>01589970506</v>
      </c>
      <c r="D1330" t="str">
        <f t="shared" si="106"/>
        <v>13089440153</v>
      </c>
      <c r="E1330" t="s">
        <v>52</v>
      </c>
      <c r="F1330">
        <v>2013</v>
      </c>
      <c r="G1330">
        <v>9436</v>
      </c>
      <c r="H1330" s="1">
        <v>41621</v>
      </c>
      <c r="I1330" s="1">
        <v>41639</v>
      </c>
      <c r="J1330" s="1">
        <v>41639</v>
      </c>
      <c r="K1330" s="1">
        <v>41729</v>
      </c>
      <c r="N1330" s="5"/>
      <c r="O1330">
        <v>410</v>
      </c>
      <c r="P1330">
        <v>289</v>
      </c>
      <c r="Q1330" s="2">
        <v>118490</v>
      </c>
      <c r="R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 s="1">
        <v>42382</v>
      </c>
      <c r="AC1330" t="s">
        <v>53</v>
      </c>
      <c r="AD1330" t="s">
        <v>53</v>
      </c>
      <c r="AK1330">
        <v>0</v>
      </c>
      <c r="AU1330" s="6">
        <v>42018</v>
      </c>
      <c r="AV1330" s="6">
        <v>42018</v>
      </c>
      <c r="AW1330" t="s">
        <v>54</v>
      </c>
      <c r="AX1330" t="str">
        <f t="shared" si="102"/>
        <v>FOR</v>
      </c>
      <c r="AY1330" t="s">
        <v>55</v>
      </c>
    </row>
    <row r="1331" spans="1:51" hidden="1">
      <c r="A1331">
        <v>100342</v>
      </c>
      <c r="B1331" t="s">
        <v>117</v>
      </c>
      <c r="C1331" t="str">
        <f t="shared" si="105"/>
        <v>01589970506</v>
      </c>
      <c r="D1331" t="str">
        <f t="shared" si="106"/>
        <v>13089440153</v>
      </c>
      <c r="E1331" t="s">
        <v>52</v>
      </c>
      <c r="F1331">
        <v>2014</v>
      </c>
      <c r="G1331">
        <v>239</v>
      </c>
      <c r="H1331" s="1">
        <v>41656</v>
      </c>
      <c r="I1331" s="1">
        <v>41669</v>
      </c>
      <c r="J1331" s="1">
        <v>41669</v>
      </c>
      <c r="K1331" s="1">
        <v>41759</v>
      </c>
      <c r="N1331" s="5"/>
      <c r="O1331" s="2">
        <v>1230</v>
      </c>
      <c r="P1331">
        <v>265</v>
      </c>
      <c r="Q1331" s="2">
        <v>325950</v>
      </c>
      <c r="R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 s="1">
        <v>42382</v>
      </c>
      <c r="AC1331" t="s">
        <v>53</v>
      </c>
      <c r="AD1331" t="s">
        <v>53</v>
      </c>
      <c r="AK1331">
        <v>0</v>
      </c>
      <c r="AU1331" s="6">
        <v>42024</v>
      </c>
      <c r="AV1331" s="6">
        <v>42024</v>
      </c>
      <c r="AW1331" t="s">
        <v>54</v>
      </c>
      <c r="AX1331" t="str">
        <f t="shared" si="102"/>
        <v>FOR</v>
      </c>
      <c r="AY1331" t="s">
        <v>55</v>
      </c>
    </row>
    <row r="1332" spans="1:51" hidden="1">
      <c r="A1332">
        <v>100342</v>
      </c>
      <c r="B1332" t="s">
        <v>117</v>
      </c>
      <c r="C1332" t="str">
        <f t="shared" si="105"/>
        <v>01589970506</v>
      </c>
      <c r="D1332" t="str">
        <f t="shared" si="106"/>
        <v>13089440153</v>
      </c>
      <c r="E1332" t="s">
        <v>52</v>
      </c>
      <c r="F1332">
        <v>2014</v>
      </c>
      <c r="G1332">
        <v>3231</v>
      </c>
      <c r="H1332" s="1">
        <v>41768</v>
      </c>
      <c r="I1332" s="1">
        <v>41779</v>
      </c>
      <c r="J1332" s="1">
        <v>41779</v>
      </c>
      <c r="K1332" s="1">
        <v>41869</v>
      </c>
      <c r="N1332" s="5"/>
      <c r="O1332" s="2">
        <v>1230</v>
      </c>
      <c r="P1332">
        <v>380</v>
      </c>
      <c r="Q1332" s="2">
        <v>467400</v>
      </c>
      <c r="R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 s="1">
        <v>42382</v>
      </c>
      <c r="AC1332" t="s">
        <v>53</v>
      </c>
      <c r="AD1332" t="s">
        <v>53</v>
      </c>
      <c r="AK1332">
        <v>0</v>
      </c>
      <c r="AU1332" s="6">
        <v>42249</v>
      </c>
      <c r="AV1332" s="6">
        <v>42249</v>
      </c>
      <c r="AW1332" t="s">
        <v>54</v>
      </c>
      <c r="AX1332" t="str">
        <f t="shared" si="102"/>
        <v>FOR</v>
      </c>
      <c r="AY1332" t="s">
        <v>55</v>
      </c>
    </row>
    <row r="1333" spans="1:51" hidden="1">
      <c r="A1333">
        <v>100344</v>
      </c>
      <c r="B1333" t="s">
        <v>118</v>
      </c>
      <c r="C1333" t="str">
        <f t="shared" ref="C1333:D1335" si="107">"00204260285"</f>
        <v>00204260285</v>
      </c>
      <c r="D1333" t="str">
        <f t="shared" si="107"/>
        <v>00204260285</v>
      </c>
      <c r="E1333" t="s">
        <v>52</v>
      </c>
      <c r="F1333">
        <v>2014</v>
      </c>
      <c r="G1333">
        <v>14213356</v>
      </c>
      <c r="H1333" s="1">
        <v>41794</v>
      </c>
      <c r="I1333" s="1">
        <v>41809</v>
      </c>
      <c r="J1333" s="1">
        <v>41809</v>
      </c>
      <c r="K1333" s="1">
        <v>41899</v>
      </c>
      <c r="N1333" s="5"/>
      <c r="O1333">
        <v>484</v>
      </c>
      <c r="P1333">
        <v>266</v>
      </c>
      <c r="Q1333" s="2">
        <v>128744</v>
      </c>
      <c r="R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 s="1">
        <v>42382</v>
      </c>
      <c r="AC1333" t="s">
        <v>53</v>
      </c>
      <c r="AD1333" t="s">
        <v>53</v>
      </c>
      <c r="AK1333">
        <v>0</v>
      </c>
      <c r="AU1333" s="6">
        <v>42165</v>
      </c>
      <c r="AV1333" s="6">
        <v>42165</v>
      </c>
      <c r="AW1333" t="s">
        <v>54</v>
      </c>
      <c r="AX1333" t="str">
        <f t="shared" si="102"/>
        <v>FOR</v>
      </c>
      <c r="AY1333" t="s">
        <v>55</v>
      </c>
    </row>
    <row r="1334" spans="1:51" hidden="1">
      <c r="A1334">
        <v>100344</v>
      </c>
      <c r="B1334" t="s">
        <v>118</v>
      </c>
      <c r="C1334" t="str">
        <f t="shared" si="107"/>
        <v>00204260285</v>
      </c>
      <c r="D1334" t="str">
        <f t="shared" si="107"/>
        <v>00204260285</v>
      </c>
      <c r="E1334" t="s">
        <v>52</v>
      </c>
      <c r="F1334">
        <v>2014</v>
      </c>
      <c r="G1334">
        <v>14217415</v>
      </c>
      <c r="H1334" s="1">
        <v>41844</v>
      </c>
      <c r="I1334" s="1">
        <v>41872</v>
      </c>
      <c r="J1334" s="1">
        <v>41872</v>
      </c>
      <c r="K1334" s="1">
        <v>41962</v>
      </c>
      <c r="N1334" s="5"/>
      <c r="O1334">
        <v>242</v>
      </c>
      <c r="P1334">
        <v>203</v>
      </c>
      <c r="Q1334" s="2">
        <v>49126</v>
      </c>
      <c r="R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 s="1">
        <v>42382</v>
      </c>
      <c r="AC1334" t="s">
        <v>53</v>
      </c>
      <c r="AD1334" t="s">
        <v>53</v>
      </c>
      <c r="AK1334">
        <v>0</v>
      </c>
      <c r="AU1334" s="6">
        <v>42165</v>
      </c>
      <c r="AV1334" s="6">
        <v>42165</v>
      </c>
      <c r="AW1334" t="s">
        <v>54</v>
      </c>
      <c r="AX1334" t="str">
        <f t="shared" si="102"/>
        <v>FOR</v>
      </c>
      <c r="AY1334" t="s">
        <v>55</v>
      </c>
    </row>
    <row r="1335" spans="1:51" hidden="1">
      <c r="A1335">
        <v>100344</v>
      </c>
      <c r="B1335" t="s">
        <v>118</v>
      </c>
      <c r="C1335" t="str">
        <f t="shared" si="107"/>
        <v>00204260285</v>
      </c>
      <c r="D1335" t="str">
        <f t="shared" si="107"/>
        <v>00204260285</v>
      </c>
      <c r="E1335" t="s">
        <v>52</v>
      </c>
      <c r="F1335">
        <v>2014</v>
      </c>
      <c r="G1335">
        <v>14218286</v>
      </c>
      <c r="H1335" s="1">
        <v>41876</v>
      </c>
      <c r="I1335" s="1">
        <v>41890</v>
      </c>
      <c r="J1335" s="1">
        <v>41890</v>
      </c>
      <c r="K1335" s="1">
        <v>41980</v>
      </c>
      <c r="N1335" s="5"/>
      <c r="O1335">
        <v>484</v>
      </c>
      <c r="P1335">
        <v>185</v>
      </c>
      <c r="Q1335" s="2">
        <v>89540</v>
      </c>
      <c r="R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 s="1">
        <v>42382</v>
      </c>
      <c r="AC1335" t="s">
        <v>53</v>
      </c>
      <c r="AD1335" t="s">
        <v>53</v>
      </c>
      <c r="AK1335">
        <v>0</v>
      </c>
      <c r="AU1335" s="6">
        <v>42165</v>
      </c>
      <c r="AV1335" s="6">
        <v>42165</v>
      </c>
      <c r="AW1335" t="s">
        <v>54</v>
      </c>
      <c r="AX1335" t="str">
        <f t="shared" si="102"/>
        <v>FOR</v>
      </c>
      <c r="AY1335" t="s">
        <v>55</v>
      </c>
    </row>
    <row r="1336" spans="1:51" hidden="1">
      <c r="A1336">
        <v>100349</v>
      </c>
      <c r="B1336" t="s">
        <v>119</v>
      </c>
      <c r="C1336" t="str">
        <f t="shared" ref="C1336:D1352" si="108">"01434070155"</f>
        <v>01434070155</v>
      </c>
      <c r="D1336" t="str">
        <f t="shared" si="108"/>
        <v>01434070155</v>
      </c>
      <c r="E1336" t="s">
        <v>52</v>
      </c>
      <c r="F1336">
        <v>2014</v>
      </c>
      <c r="G1336">
        <v>12949</v>
      </c>
      <c r="H1336" s="1">
        <v>41722</v>
      </c>
      <c r="I1336" s="1">
        <v>41739</v>
      </c>
      <c r="J1336" s="1">
        <v>41739</v>
      </c>
      <c r="K1336" s="1">
        <v>41829</v>
      </c>
      <c r="N1336" s="5"/>
      <c r="O1336">
        <v>11.1</v>
      </c>
      <c r="P1336">
        <v>266</v>
      </c>
      <c r="Q1336" s="2">
        <v>2952.6</v>
      </c>
      <c r="R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 s="1">
        <v>42382</v>
      </c>
      <c r="AC1336" t="s">
        <v>53</v>
      </c>
      <c r="AD1336" t="s">
        <v>53</v>
      </c>
      <c r="AK1336">
        <v>0</v>
      </c>
      <c r="AU1336" s="6">
        <v>42095</v>
      </c>
      <c r="AV1336" s="6">
        <v>42095</v>
      </c>
      <c r="AW1336" t="s">
        <v>54</v>
      </c>
      <c r="AX1336" t="str">
        <f t="shared" si="102"/>
        <v>FOR</v>
      </c>
      <c r="AY1336" t="s">
        <v>55</v>
      </c>
    </row>
    <row r="1337" spans="1:51" hidden="1">
      <c r="A1337">
        <v>100349</v>
      </c>
      <c r="B1337" t="s">
        <v>119</v>
      </c>
      <c r="C1337" t="str">
        <f t="shared" si="108"/>
        <v>01434070155</v>
      </c>
      <c r="D1337" t="str">
        <f t="shared" si="108"/>
        <v>01434070155</v>
      </c>
      <c r="E1337" t="s">
        <v>52</v>
      </c>
      <c r="F1337">
        <v>2014</v>
      </c>
      <c r="G1337">
        <v>20005</v>
      </c>
      <c r="H1337" s="1">
        <v>41765</v>
      </c>
      <c r="I1337" s="1">
        <v>41778</v>
      </c>
      <c r="J1337" s="1">
        <v>41778</v>
      </c>
      <c r="K1337" s="1">
        <v>41868</v>
      </c>
      <c r="N1337" s="5"/>
      <c r="O1337">
        <v>22.19</v>
      </c>
      <c r="P1337">
        <v>227</v>
      </c>
      <c r="Q1337" s="2">
        <v>5037.13</v>
      </c>
      <c r="R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 s="1">
        <v>42382</v>
      </c>
      <c r="AC1337" t="s">
        <v>53</v>
      </c>
      <c r="AD1337" t="s">
        <v>53</v>
      </c>
      <c r="AK1337">
        <v>0</v>
      </c>
      <c r="AU1337" s="6">
        <v>42095</v>
      </c>
      <c r="AV1337" s="6">
        <v>42095</v>
      </c>
      <c r="AW1337" t="s">
        <v>54</v>
      </c>
      <c r="AX1337" t="str">
        <f t="shared" si="102"/>
        <v>FOR</v>
      </c>
      <c r="AY1337" t="s">
        <v>55</v>
      </c>
    </row>
    <row r="1338" spans="1:51" hidden="1">
      <c r="A1338">
        <v>100349</v>
      </c>
      <c r="B1338" t="s">
        <v>119</v>
      </c>
      <c r="C1338" t="str">
        <f t="shared" si="108"/>
        <v>01434070155</v>
      </c>
      <c r="D1338" t="str">
        <f t="shared" si="108"/>
        <v>01434070155</v>
      </c>
      <c r="E1338" t="s">
        <v>52</v>
      </c>
      <c r="F1338">
        <v>2014</v>
      </c>
      <c r="G1338">
        <v>27579</v>
      </c>
      <c r="H1338" s="1">
        <v>41801</v>
      </c>
      <c r="I1338" s="1">
        <v>41815</v>
      </c>
      <c r="J1338" s="1">
        <v>41815</v>
      </c>
      <c r="K1338" s="1">
        <v>41905</v>
      </c>
      <c r="N1338" s="5"/>
      <c r="O1338">
        <v>7.78</v>
      </c>
      <c r="P1338">
        <v>190</v>
      </c>
      <c r="Q1338" s="2">
        <v>1478.2</v>
      </c>
      <c r="R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 s="1">
        <v>42382</v>
      </c>
      <c r="AC1338" t="s">
        <v>53</v>
      </c>
      <c r="AD1338" t="s">
        <v>53</v>
      </c>
      <c r="AK1338">
        <v>0</v>
      </c>
      <c r="AU1338" s="6">
        <v>42095</v>
      </c>
      <c r="AV1338" s="6">
        <v>42095</v>
      </c>
      <c r="AW1338" t="s">
        <v>54</v>
      </c>
      <c r="AX1338" t="str">
        <f t="shared" si="102"/>
        <v>FOR</v>
      </c>
      <c r="AY1338" t="s">
        <v>55</v>
      </c>
    </row>
    <row r="1339" spans="1:51" hidden="1">
      <c r="A1339">
        <v>100349</v>
      </c>
      <c r="B1339" t="s">
        <v>119</v>
      </c>
      <c r="C1339" t="str">
        <f t="shared" si="108"/>
        <v>01434070155</v>
      </c>
      <c r="D1339" t="str">
        <f t="shared" si="108"/>
        <v>01434070155</v>
      </c>
      <c r="E1339" t="s">
        <v>52</v>
      </c>
      <c r="F1339">
        <v>2014</v>
      </c>
      <c r="G1339">
        <v>35189</v>
      </c>
      <c r="H1339" s="1">
        <v>41844</v>
      </c>
      <c r="I1339" s="1">
        <v>41876</v>
      </c>
      <c r="J1339" s="1">
        <v>41876</v>
      </c>
      <c r="K1339" s="1">
        <v>41966</v>
      </c>
      <c r="N1339" s="5"/>
      <c r="O1339">
        <v>8.8800000000000008</v>
      </c>
      <c r="P1339">
        <v>129</v>
      </c>
      <c r="Q1339" s="2">
        <v>1145.52</v>
      </c>
      <c r="R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 s="1">
        <v>42382</v>
      </c>
      <c r="AC1339" t="s">
        <v>53</v>
      </c>
      <c r="AD1339" t="s">
        <v>53</v>
      </c>
      <c r="AK1339">
        <v>0</v>
      </c>
      <c r="AU1339" s="6">
        <v>42095</v>
      </c>
      <c r="AV1339" s="6">
        <v>42095</v>
      </c>
      <c r="AW1339" t="s">
        <v>54</v>
      </c>
      <c r="AX1339" t="str">
        <f t="shared" si="102"/>
        <v>FOR</v>
      </c>
      <c r="AY1339" t="s">
        <v>55</v>
      </c>
    </row>
    <row r="1340" spans="1:51" hidden="1">
      <c r="A1340">
        <v>100349</v>
      </c>
      <c r="B1340" t="s">
        <v>119</v>
      </c>
      <c r="C1340" t="str">
        <f t="shared" si="108"/>
        <v>01434070155</v>
      </c>
      <c r="D1340" t="str">
        <f t="shared" si="108"/>
        <v>01434070155</v>
      </c>
      <c r="E1340" t="s">
        <v>52</v>
      </c>
      <c r="F1340">
        <v>2014</v>
      </c>
      <c r="G1340">
        <v>40532</v>
      </c>
      <c r="H1340" s="1">
        <v>41890</v>
      </c>
      <c r="I1340" s="1">
        <v>41901</v>
      </c>
      <c r="J1340" s="1">
        <v>41901</v>
      </c>
      <c r="K1340" s="1">
        <v>41991</v>
      </c>
      <c r="N1340" s="5"/>
      <c r="O1340">
        <v>8.8800000000000008</v>
      </c>
      <c r="P1340">
        <v>104</v>
      </c>
      <c r="Q1340">
        <v>923.52</v>
      </c>
      <c r="R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 s="1">
        <v>42382</v>
      </c>
      <c r="AC1340" t="s">
        <v>53</v>
      </c>
      <c r="AD1340" t="s">
        <v>53</v>
      </c>
      <c r="AK1340">
        <v>0</v>
      </c>
      <c r="AU1340" s="6">
        <v>42095</v>
      </c>
      <c r="AV1340" s="6">
        <v>42095</v>
      </c>
      <c r="AW1340" t="s">
        <v>54</v>
      </c>
      <c r="AX1340" t="str">
        <f t="shared" si="102"/>
        <v>FOR</v>
      </c>
      <c r="AY1340" t="s">
        <v>55</v>
      </c>
    </row>
    <row r="1341" spans="1:51" hidden="1">
      <c r="A1341">
        <v>100349</v>
      </c>
      <c r="B1341" t="s">
        <v>119</v>
      </c>
      <c r="C1341" t="str">
        <f t="shared" si="108"/>
        <v>01434070155</v>
      </c>
      <c r="D1341" t="str">
        <f t="shared" si="108"/>
        <v>01434070155</v>
      </c>
      <c r="E1341" t="s">
        <v>52</v>
      </c>
      <c r="F1341">
        <v>2014</v>
      </c>
      <c r="G1341">
        <v>52023</v>
      </c>
      <c r="H1341" s="1">
        <v>41950</v>
      </c>
      <c r="I1341" s="1">
        <v>41967</v>
      </c>
      <c r="J1341" s="1">
        <v>41967</v>
      </c>
      <c r="K1341" s="1">
        <v>42027</v>
      </c>
      <c r="N1341" s="5"/>
      <c r="O1341">
        <v>0.01</v>
      </c>
      <c r="P1341">
        <v>68</v>
      </c>
      <c r="Q1341">
        <v>0.68</v>
      </c>
      <c r="R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 s="1">
        <v>42382</v>
      </c>
      <c r="AC1341" t="s">
        <v>53</v>
      </c>
      <c r="AD1341" t="s">
        <v>53</v>
      </c>
      <c r="AK1341">
        <v>0</v>
      </c>
      <c r="AU1341" s="6">
        <v>42095</v>
      </c>
      <c r="AV1341" s="6">
        <v>42095</v>
      </c>
      <c r="AW1341" t="s">
        <v>54</v>
      </c>
      <c r="AX1341" t="str">
        <f t="shared" si="102"/>
        <v>FOR</v>
      </c>
      <c r="AY1341" t="s">
        <v>55</v>
      </c>
    </row>
    <row r="1342" spans="1:51">
      <c r="A1342">
        <v>100349</v>
      </c>
      <c r="B1342" t="s">
        <v>119</v>
      </c>
      <c r="C1342" t="str">
        <f t="shared" si="108"/>
        <v>01434070155</v>
      </c>
      <c r="D1342" t="str">
        <f t="shared" si="108"/>
        <v>01434070155</v>
      </c>
      <c r="E1342" t="s">
        <v>52</v>
      </c>
      <c r="F1342">
        <v>2015</v>
      </c>
      <c r="G1342">
        <v>1521</v>
      </c>
      <c r="H1342" s="1">
        <v>42024</v>
      </c>
      <c r="I1342" s="1">
        <v>42037</v>
      </c>
      <c r="J1342" s="1">
        <v>42037</v>
      </c>
      <c r="K1342" s="1">
        <v>42097</v>
      </c>
      <c r="L1342" s="7">
        <v>0.01</v>
      </c>
      <c r="M1342" s="5">
        <v>258</v>
      </c>
      <c r="N1342" s="7">
        <v>2.58</v>
      </c>
      <c r="O1342">
        <v>0.01</v>
      </c>
      <c r="P1342">
        <v>258</v>
      </c>
      <c r="Q1342">
        <v>2.58</v>
      </c>
      <c r="R1342">
        <v>0</v>
      </c>
      <c r="V1342">
        <v>0</v>
      </c>
      <c r="W1342">
        <v>0</v>
      </c>
      <c r="X1342">
        <v>0</v>
      </c>
      <c r="Y1342">
        <v>0.01</v>
      </c>
      <c r="Z1342">
        <v>0.01</v>
      </c>
      <c r="AA1342">
        <v>0.01</v>
      </c>
      <c r="AB1342" s="1">
        <v>42382</v>
      </c>
      <c r="AC1342" t="s">
        <v>53</v>
      </c>
      <c r="AD1342" t="s">
        <v>53</v>
      </c>
      <c r="AK1342">
        <v>0</v>
      </c>
      <c r="AU1342" s="6">
        <v>42355</v>
      </c>
      <c r="AV1342" s="6">
        <v>42355</v>
      </c>
      <c r="AW1342" t="s">
        <v>54</v>
      </c>
      <c r="AX1342" t="str">
        <f t="shared" si="102"/>
        <v>FOR</v>
      </c>
      <c r="AY1342" t="s">
        <v>55</v>
      </c>
    </row>
    <row r="1343" spans="1:51">
      <c r="A1343">
        <v>100349</v>
      </c>
      <c r="B1343" t="s">
        <v>119</v>
      </c>
      <c r="C1343" t="str">
        <f t="shared" si="108"/>
        <v>01434070155</v>
      </c>
      <c r="D1343" t="str">
        <f t="shared" si="108"/>
        <v>01434070155</v>
      </c>
      <c r="E1343" t="s">
        <v>52</v>
      </c>
      <c r="F1343">
        <v>2015</v>
      </c>
      <c r="G1343">
        <v>12322</v>
      </c>
      <c r="H1343" s="1">
        <v>42090</v>
      </c>
      <c r="I1343" s="1">
        <v>42109</v>
      </c>
      <c r="J1343" s="1">
        <v>42109</v>
      </c>
      <c r="K1343" s="1">
        <v>42169</v>
      </c>
      <c r="L1343" s="7">
        <v>6.25</v>
      </c>
      <c r="M1343" s="5">
        <v>186</v>
      </c>
      <c r="N1343" s="7">
        <v>1162.5</v>
      </c>
      <c r="O1343">
        <v>6.25</v>
      </c>
      <c r="P1343">
        <v>186</v>
      </c>
      <c r="Q1343" s="2">
        <v>1162.5</v>
      </c>
      <c r="R1343">
        <v>0.63</v>
      </c>
      <c r="V1343">
        <v>0</v>
      </c>
      <c r="W1343">
        <v>0</v>
      </c>
      <c r="X1343">
        <v>0</v>
      </c>
      <c r="Y1343">
        <v>6.88</v>
      </c>
      <c r="Z1343">
        <v>6.88</v>
      </c>
      <c r="AA1343">
        <v>6.88</v>
      </c>
      <c r="AB1343" s="1">
        <v>42382</v>
      </c>
      <c r="AC1343" t="s">
        <v>53</v>
      </c>
      <c r="AD1343" t="s">
        <v>53</v>
      </c>
      <c r="AK1343">
        <v>0.63</v>
      </c>
      <c r="AU1343" s="6">
        <v>42355</v>
      </c>
      <c r="AV1343" s="6">
        <v>42355</v>
      </c>
      <c r="AW1343" t="s">
        <v>54</v>
      </c>
      <c r="AX1343" t="str">
        <f t="shared" si="102"/>
        <v>FOR</v>
      </c>
      <c r="AY1343" t="s">
        <v>55</v>
      </c>
    </row>
    <row r="1344" spans="1:51">
      <c r="A1344">
        <v>100349</v>
      </c>
      <c r="B1344" t="s">
        <v>119</v>
      </c>
      <c r="C1344" t="str">
        <f t="shared" si="108"/>
        <v>01434070155</v>
      </c>
      <c r="D1344" t="str">
        <f t="shared" si="108"/>
        <v>01434070155</v>
      </c>
      <c r="E1344" t="s">
        <v>52</v>
      </c>
      <c r="F1344">
        <v>2015</v>
      </c>
      <c r="G1344" t="s">
        <v>120</v>
      </c>
      <c r="H1344" s="1">
        <v>42139</v>
      </c>
      <c r="I1344" s="1">
        <v>42163</v>
      </c>
      <c r="J1344" s="1">
        <v>42144</v>
      </c>
      <c r="K1344" s="1">
        <v>42204</v>
      </c>
      <c r="L1344" s="7">
        <v>249.6</v>
      </c>
      <c r="M1344" s="5">
        <v>151</v>
      </c>
      <c r="N1344" s="7">
        <v>37689.599999999999</v>
      </c>
      <c r="O1344">
        <v>249.6</v>
      </c>
      <c r="P1344">
        <v>151</v>
      </c>
      <c r="Q1344" s="2">
        <v>37689.599999999999</v>
      </c>
      <c r="R1344">
        <v>24.96</v>
      </c>
      <c r="V1344">
        <v>0</v>
      </c>
      <c r="W1344">
        <v>0</v>
      </c>
      <c r="X1344">
        <v>0</v>
      </c>
      <c r="Y1344">
        <v>274.56</v>
      </c>
      <c r="Z1344">
        <v>274.56</v>
      </c>
      <c r="AA1344">
        <v>274.56</v>
      </c>
      <c r="AB1344" s="1">
        <v>42382</v>
      </c>
      <c r="AC1344" t="s">
        <v>53</v>
      </c>
      <c r="AD1344" t="s">
        <v>53</v>
      </c>
      <c r="AJ1344">
        <v>24.96</v>
      </c>
      <c r="AK1344">
        <v>0</v>
      </c>
      <c r="AU1344" s="6">
        <v>42355</v>
      </c>
      <c r="AV1344" s="6">
        <v>42355</v>
      </c>
      <c r="AW1344" t="s">
        <v>54</v>
      </c>
      <c r="AX1344" t="str">
        <f t="shared" si="102"/>
        <v>FOR</v>
      </c>
      <c r="AY1344" t="s">
        <v>55</v>
      </c>
    </row>
    <row r="1345" spans="1:51">
      <c r="A1345">
        <v>100349</v>
      </c>
      <c r="B1345" t="s">
        <v>119</v>
      </c>
      <c r="C1345" t="str">
        <f t="shared" si="108"/>
        <v>01434070155</v>
      </c>
      <c r="D1345" t="str">
        <f t="shared" si="108"/>
        <v>01434070155</v>
      </c>
      <c r="E1345" t="s">
        <v>52</v>
      </c>
      <c r="F1345">
        <v>2015</v>
      </c>
      <c r="G1345" t="s">
        <v>121</v>
      </c>
      <c r="H1345" s="1">
        <v>42153</v>
      </c>
      <c r="I1345" s="1">
        <v>42163</v>
      </c>
      <c r="J1345" s="1">
        <v>42160</v>
      </c>
      <c r="K1345" s="1">
        <v>42220</v>
      </c>
      <c r="L1345" s="7">
        <v>9.01</v>
      </c>
      <c r="M1345" s="5">
        <v>135</v>
      </c>
      <c r="N1345" s="7">
        <v>1216.3499999999999</v>
      </c>
      <c r="O1345">
        <v>9.01</v>
      </c>
      <c r="P1345">
        <v>135</v>
      </c>
      <c r="Q1345" s="2">
        <v>1216.3499999999999</v>
      </c>
      <c r="R1345">
        <v>0.9</v>
      </c>
      <c r="V1345">
        <v>0</v>
      </c>
      <c r="W1345">
        <v>0</v>
      </c>
      <c r="X1345">
        <v>0</v>
      </c>
      <c r="Y1345">
        <v>9.91</v>
      </c>
      <c r="Z1345">
        <v>9.91</v>
      </c>
      <c r="AA1345">
        <v>9.91</v>
      </c>
      <c r="AB1345" s="1">
        <v>42382</v>
      </c>
      <c r="AC1345" t="s">
        <v>53</v>
      </c>
      <c r="AD1345" t="s">
        <v>53</v>
      </c>
      <c r="AI1345">
        <v>0.9</v>
      </c>
      <c r="AK1345">
        <v>0</v>
      </c>
      <c r="AU1345" s="6">
        <v>42355</v>
      </c>
      <c r="AV1345" s="6">
        <v>42355</v>
      </c>
      <c r="AW1345" t="s">
        <v>54</v>
      </c>
      <c r="AX1345" t="str">
        <f t="shared" si="102"/>
        <v>FOR</v>
      </c>
      <c r="AY1345" t="s">
        <v>55</v>
      </c>
    </row>
    <row r="1346" spans="1:51">
      <c r="A1346">
        <v>100349</v>
      </c>
      <c r="B1346" t="s">
        <v>119</v>
      </c>
      <c r="C1346" t="str">
        <f t="shared" si="108"/>
        <v>01434070155</v>
      </c>
      <c r="D1346" t="str">
        <f t="shared" si="108"/>
        <v>01434070155</v>
      </c>
      <c r="E1346" t="s">
        <v>52</v>
      </c>
      <c r="F1346">
        <v>2015</v>
      </c>
      <c r="G1346" t="s">
        <v>122</v>
      </c>
      <c r="H1346" s="1">
        <v>42163</v>
      </c>
      <c r="I1346" s="1">
        <v>42172</v>
      </c>
      <c r="J1346" s="1">
        <v>42167</v>
      </c>
      <c r="K1346" s="1">
        <v>42227</v>
      </c>
      <c r="L1346" s="7">
        <v>10.01</v>
      </c>
      <c r="M1346" s="5">
        <v>128</v>
      </c>
      <c r="N1346" s="7">
        <v>1281.28</v>
      </c>
      <c r="O1346">
        <v>10.01</v>
      </c>
      <c r="P1346">
        <v>128</v>
      </c>
      <c r="Q1346" s="2">
        <v>1281.28</v>
      </c>
      <c r="R1346">
        <v>1</v>
      </c>
      <c r="V1346">
        <v>0</v>
      </c>
      <c r="W1346">
        <v>0</v>
      </c>
      <c r="X1346">
        <v>0</v>
      </c>
      <c r="Y1346">
        <v>11.01</v>
      </c>
      <c r="Z1346">
        <v>11.01</v>
      </c>
      <c r="AA1346">
        <v>11.01</v>
      </c>
      <c r="AB1346" s="1">
        <v>42382</v>
      </c>
      <c r="AC1346" t="s">
        <v>53</v>
      </c>
      <c r="AD1346" t="s">
        <v>53</v>
      </c>
      <c r="AI1346">
        <v>1</v>
      </c>
      <c r="AK1346">
        <v>0</v>
      </c>
      <c r="AU1346" s="6">
        <v>42355</v>
      </c>
      <c r="AV1346" s="6">
        <v>42355</v>
      </c>
      <c r="AW1346" t="s">
        <v>54</v>
      </c>
      <c r="AX1346" t="str">
        <f t="shared" si="102"/>
        <v>FOR</v>
      </c>
      <c r="AY1346" t="s">
        <v>55</v>
      </c>
    </row>
    <row r="1347" spans="1:51">
      <c r="A1347">
        <v>100349</v>
      </c>
      <c r="B1347" t="s">
        <v>119</v>
      </c>
      <c r="C1347" t="str">
        <f t="shared" si="108"/>
        <v>01434070155</v>
      </c>
      <c r="D1347" t="str">
        <f t="shared" si="108"/>
        <v>01434070155</v>
      </c>
      <c r="E1347" t="s">
        <v>52</v>
      </c>
      <c r="F1347">
        <v>2015</v>
      </c>
      <c r="G1347" t="s">
        <v>123</v>
      </c>
      <c r="H1347" s="1">
        <v>42191</v>
      </c>
      <c r="I1347" s="1">
        <v>42195</v>
      </c>
      <c r="J1347" s="1">
        <v>42194</v>
      </c>
      <c r="K1347" s="1">
        <v>42254</v>
      </c>
      <c r="L1347" s="7">
        <v>40.04</v>
      </c>
      <c r="M1347" s="5">
        <v>101</v>
      </c>
      <c r="N1347" s="7">
        <v>4044.04</v>
      </c>
      <c r="O1347">
        <v>40.04</v>
      </c>
      <c r="P1347">
        <v>101</v>
      </c>
      <c r="Q1347" s="2">
        <v>4044.04</v>
      </c>
      <c r="R1347">
        <v>4</v>
      </c>
      <c r="V1347">
        <v>0</v>
      </c>
      <c r="W1347">
        <v>0</v>
      </c>
      <c r="X1347">
        <v>0</v>
      </c>
      <c r="Y1347">
        <v>44.04</v>
      </c>
      <c r="Z1347">
        <v>44.04</v>
      </c>
      <c r="AA1347">
        <v>44.04</v>
      </c>
      <c r="AB1347" s="1">
        <v>42382</v>
      </c>
      <c r="AC1347" t="s">
        <v>53</v>
      </c>
      <c r="AD1347" t="s">
        <v>53</v>
      </c>
      <c r="AH1347">
        <v>4</v>
      </c>
      <c r="AK1347">
        <v>0</v>
      </c>
      <c r="AU1347" s="6">
        <v>42355</v>
      </c>
      <c r="AV1347" s="6">
        <v>42355</v>
      </c>
      <c r="AW1347" t="s">
        <v>54</v>
      </c>
      <c r="AX1347" t="str">
        <f t="shared" ref="AX1347:AX1410" si="109">"FOR"</f>
        <v>FOR</v>
      </c>
      <c r="AY1347" t="s">
        <v>55</v>
      </c>
    </row>
    <row r="1348" spans="1:51">
      <c r="A1348">
        <v>100349</v>
      </c>
      <c r="B1348" t="s">
        <v>119</v>
      </c>
      <c r="C1348" t="str">
        <f t="shared" si="108"/>
        <v>01434070155</v>
      </c>
      <c r="D1348" t="str">
        <f t="shared" si="108"/>
        <v>01434070155</v>
      </c>
      <c r="E1348" t="s">
        <v>52</v>
      </c>
      <c r="F1348">
        <v>2015</v>
      </c>
      <c r="G1348" t="s">
        <v>124</v>
      </c>
      <c r="H1348" s="1">
        <v>42250</v>
      </c>
      <c r="I1348" s="1">
        <v>42255</v>
      </c>
      <c r="J1348" s="1">
        <v>42254</v>
      </c>
      <c r="K1348" s="1">
        <v>42314</v>
      </c>
      <c r="L1348" s="7">
        <v>250</v>
      </c>
      <c r="M1348" s="5">
        <v>41</v>
      </c>
      <c r="N1348" s="7">
        <v>10250</v>
      </c>
      <c r="O1348">
        <v>250</v>
      </c>
      <c r="P1348">
        <v>41</v>
      </c>
      <c r="Q1348" s="2">
        <v>10250</v>
      </c>
      <c r="R1348">
        <v>25</v>
      </c>
      <c r="V1348">
        <v>0</v>
      </c>
      <c r="W1348">
        <v>0</v>
      </c>
      <c r="X1348">
        <v>0</v>
      </c>
      <c r="Y1348">
        <v>275</v>
      </c>
      <c r="Z1348">
        <v>275</v>
      </c>
      <c r="AA1348">
        <v>275</v>
      </c>
      <c r="AB1348" s="1">
        <v>42382</v>
      </c>
      <c r="AC1348" t="s">
        <v>53</v>
      </c>
      <c r="AD1348" t="s">
        <v>53</v>
      </c>
      <c r="AF1348">
        <v>25</v>
      </c>
      <c r="AK1348">
        <v>0</v>
      </c>
      <c r="AU1348" s="6">
        <v>42355</v>
      </c>
      <c r="AV1348" s="6">
        <v>42355</v>
      </c>
      <c r="AW1348" t="s">
        <v>54</v>
      </c>
      <c r="AX1348" t="str">
        <f t="shared" si="109"/>
        <v>FOR</v>
      </c>
      <c r="AY1348" t="s">
        <v>55</v>
      </c>
    </row>
    <row r="1349" spans="1:51">
      <c r="A1349">
        <v>100349</v>
      </c>
      <c r="B1349" t="s">
        <v>119</v>
      </c>
      <c r="C1349" t="str">
        <f t="shared" si="108"/>
        <v>01434070155</v>
      </c>
      <c r="D1349" t="str">
        <f t="shared" si="108"/>
        <v>01434070155</v>
      </c>
      <c r="E1349" t="s">
        <v>52</v>
      </c>
      <c r="F1349">
        <v>2015</v>
      </c>
      <c r="G1349" t="s">
        <v>125</v>
      </c>
      <c r="H1349" s="1">
        <v>42261</v>
      </c>
      <c r="I1349" s="1">
        <v>42265</v>
      </c>
      <c r="J1349" s="1">
        <v>42263</v>
      </c>
      <c r="K1349" s="1">
        <v>42323</v>
      </c>
      <c r="L1349" s="7">
        <v>10.01</v>
      </c>
      <c r="M1349" s="5">
        <v>32</v>
      </c>
      <c r="N1349" s="7">
        <v>320.32</v>
      </c>
      <c r="O1349">
        <v>10.01</v>
      </c>
      <c r="P1349">
        <v>32</v>
      </c>
      <c r="Q1349">
        <v>320.32</v>
      </c>
      <c r="R1349">
        <v>1</v>
      </c>
      <c r="V1349">
        <v>0</v>
      </c>
      <c r="W1349">
        <v>0</v>
      </c>
      <c r="X1349">
        <v>0</v>
      </c>
      <c r="Y1349">
        <v>11.01</v>
      </c>
      <c r="Z1349">
        <v>11.01</v>
      </c>
      <c r="AA1349">
        <v>11.01</v>
      </c>
      <c r="AB1349" s="1">
        <v>42382</v>
      </c>
      <c r="AC1349" t="s">
        <v>53</v>
      </c>
      <c r="AD1349" t="s">
        <v>53</v>
      </c>
      <c r="AF1349">
        <v>1</v>
      </c>
      <c r="AK1349">
        <v>0</v>
      </c>
      <c r="AU1349" s="6">
        <v>42355</v>
      </c>
      <c r="AV1349" s="6">
        <v>42355</v>
      </c>
      <c r="AW1349" t="s">
        <v>54</v>
      </c>
      <c r="AX1349" t="str">
        <f t="shared" si="109"/>
        <v>FOR</v>
      </c>
      <c r="AY1349" t="s">
        <v>55</v>
      </c>
    </row>
    <row r="1350" spans="1:51">
      <c r="A1350">
        <v>100349</v>
      </c>
      <c r="B1350" t="s">
        <v>119</v>
      </c>
      <c r="C1350" t="str">
        <f t="shared" si="108"/>
        <v>01434070155</v>
      </c>
      <c r="D1350" t="str">
        <f t="shared" si="108"/>
        <v>01434070155</v>
      </c>
      <c r="E1350" t="s">
        <v>52</v>
      </c>
      <c r="F1350">
        <v>2015</v>
      </c>
      <c r="G1350" t="s">
        <v>126</v>
      </c>
      <c r="H1350" s="1">
        <v>42261</v>
      </c>
      <c r="I1350" s="1">
        <v>42265</v>
      </c>
      <c r="J1350" s="1">
        <v>42263</v>
      </c>
      <c r="K1350" s="1">
        <v>42323</v>
      </c>
      <c r="L1350" s="7">
        <v>15.01</v>
      </c>
      <c r="M1350" s="5">
        <v>32</v>
      </c>
      <c r="N1350" s="7">
        <v>480.32</v>
      </c>
      <c r="O1350">
        <v>15.01</v>
      </c>
      <c r="P1350">
        <v>32</v>
      </c>
      <c r="Q1350">
        <v>480.32</v>
      </c>
      <c r="R1350">
        <v>1.5</v>
      </c>
      <c r="V1350">
        <v>0</v>
      </c>
      <c r="W1350">
        <v>0</v>
      </c>
      <c r="X1350">
        <v>0</v>
      </c>
      <c r="Y1350">
        <v>16.510000000000002</v>
      </c>
      <c r="Z1350">
        <v>16.510000000000002</v>
      </c>
      <c r="AA1350">
        <v>16.510000000000002</v>
      </c>
      <c r="AB1350" s="1">
        <v>42382</v>
      </c>
      <c r="AC1350" t="s">
        <v>53</v>
      </c>
      <c r="AD1350" t="s">
        <v>53</v>
      </c>
      <c r="AF1350">
        <v>1.5</v>
      </c>
      <c r="AK1350">
        <v>0</v>
      </c>
      <c r="AU1350" s="6">
        <v>42355</v>
      </c>
      <c r="AV1350" s="6">
        <v>42355</v>
      </c>
      <c r="AW1350" t="s">
        <v>54</v>
      </c>
      <c r="AX1350" t="str">
        <f t="shared" si="109"/>
        <v>FOR</v>
      </c>
      <c r="AY1350" t="s">
        <v>55</v>
      </c>
    </row>
    <row r="1351" spans="1:51">
      <c r="A1351">
        <v>100349</v>
      </c>
      <c r="B1351" t="s">
        <v>119</v>
      </c>
      <c r="C1351" t="str">
        <f t="shared" si="108"/>
        <v>01434070155</v>
      </c>
      <c r="D1351" t="str">
        <f t="shared" si="108"/>
        <v>01434070155</v>
      </c>
      <c r="E1351" t="s">
        <v>52</v>
      </c>
      <c r="F1351">
        <v>2015</v>
      </c>
      <c r="G1351" t="s">
        <v>127</v>
      </c>
      <c r="H1351" s="1">
        <v>42308</v>
      </c>
      <c r="I1351" s="1">
        <v>42317</v>
      </c>
      <c r="J1351" s="1">
        <v>42312</v>
      </c>
      <c r="K1351" s="1">
        <v>42372</v>
      </c>
      <c r="L1351" s="7">
        <v>25.02</v>
      </c>
      <c r="M1351" s="5">
        <v>-17</v>
      </c>
      <c r="N1351" s="7">
        <v>-425.34</v>
      </c>
      <c r="O1351">
        <v>25.02</v>
      </c>
      <c r="P1351">
        <v>-17</v>
      </c>
      <c r="Q1351">
        <v>-425.34</v>
      </c>
      <c r="R1351">
        <v>2.5</v>
      </c>
      <c r="V1351">
        <v>27.52</v>
      </c>
      <c r="W1351">
        <v>27.52</v>
      </c>
      <c r="X1351">
        <v>27.52</v>
      </c>
      <c r="Y1351">
        <v>27.52</v>
      </c>
      <c r="Z1351">
        <v>27.52</v>
      </c>
      <c r="AA1351">
        <v>27.52</v>
      </c>
      <c r="AB1351" s="1">
        <v>42382</v>
      </c>
      <c r="AC1351" t="s">
        <v>53</v>
      </c>
      <c r="AD1351" t="s">
        <v>53</v>
      </c>
      <c r="AK1351">
        <v>0</v>
      </c>
      <c r="AM1351">
        <v>2.5</v>
      </c>
      <c r="AU1351" s="6">
        <v>42355</v>
      </c>
      <c r="AV1351" s="6">
        <v>42355</v>
      </c>
      <c r="AW1351" t="s">
        <v>54</v>
      </c>
      <c r="AX1351" t="str">
        <f t="shared" si="109"/>
        <v>FOR</v>
      </c>
      <c r="AY1351" t="s">
        <v>55</v>
      </c>
    </row>
    <row r="1352" spans="1:51">
      <c r="A1352">
        <v>100349</v>
      </c>
      <c r="B1352" t="s">
        <v>119</v>
      </c>
      <c r="C1352" t="str">
        <f t="shared" si="108"/>
        <v>01434070155</v>
      </c>
      <c r="D1352" t="str">
        <f t="shared" si="108"/>
        <v>01434070155</v>
      </c>
      <c r="E1352" t="s">
        <v>52</v>
      </c>
      <c r="F1352">
        <v>2015</v>
      </c>
      <c r="G1352" t="s">
        <v>128</v>
      </c>
      <c r="H1352" s="1">
        <v>42338</v>
      </c>
      <c r="I1352" s="1">
        <v>42342</v>
      </c>
      <c r="J1352" s="1">
        <v>42341</v>
      </c>
      <c r="K1352" s="1">
        <v>42401</v>
      </c>
      <c r="L1352" s="7">
        <v>25.02</v>
      </c>
      <c r="M1352" s="5">
        <v>-46</v>
      </c>
      <c r="N1352" s="7">
        <v>-1150.92</v>
      </c>
      <c r="O1352">
        <v>25.02</v>
      </c>
      <c r="P1352">
        <v>-46</v>
      </c>
      <c r="Q1352" s="2">
        <v>-1150.92</v>
      </c>
      <c r="R1352">
        <v>2.5</v>
      </c>
      <c r="V1352">
        <v>27.52</v>
      </c>
      <c r="W1352">
        <v>27.52</v>
      </c>
      <c r="X1352">
        <v>27.52</v>
      </c>
      <c r="Y1352">
        <v>27.52</v>
      </c>
      <c r="Z1352">
        <v>27.52</v>
      </c>
      <c r="AA1352">
        <v>27.52</v>
      </c>
      <c r="AB1352" s="1">
        <v>42382</v>
      </c>
      <c r="AC1352" t="s">
        <v>53</v>
      </c>
      <c r="AD1352" t="s">
        <v>53</v>
      </c>
      <c r="AK1352">
        <v>0</v>
      </c>
      <c r="AN1352">
        <v>2.5</v>
      </c>
      <c r="AU1352" s="6">
        <v>42355</v>
      </c>
      <c r="AV1352" s="6">
        <v>42355</v>
      </c>
      <c r="AW1352" t="s">
        <v>54</v>
      </c>
      <c r="AX1352" t="str">
        <f t="shared" si="109"/>
        <v>FOR</v>
      </c>
      <c r="AY1352" t="s">
        <v>55</v>
      </c>
    </row>
    <row r="1353" spans="1:51" hidden="1">
      <c r="A1353">
        <v>100352</v>
      </c>
      <c r="B1353" t="s">
        <v>129</v>
      </c>
      <c r="C1353" t="str">
        <f t="shared" ref="C1353:C1365" si="110">"00503151201"</f>
        <v>00503151201</v>
      </c>
      <c r="D1353" t="str">
        <f t="shared" ref="D1353:D1365" si="111">"00322800376"</f>
        <v>00322800376</v>
      </c>
      <c r="E1353" t="s">
        <v>52</v>
      </c>
      <c r="F1353">
        <v>2014</v>
      </c>
      <c r="G1353">
        <v>6176</v>
      </c>
      <c r="H1353" s="1">
        <v>41694</v>
      </c>
      <c r="I1353" s="1">
        <v>41711</v>
      </c>
      <c r="J1353" s="1">
        <v>41711</v>
      </c>
      <c r="K1353" s="1">
        <v>41801</v>
      </c>
      <c r="N1353" s="5"/>
      <c r="O1353">
        <v>251.32</v>
      </c>
      <c r="P1353">
        <v>236</v>
      </c>
      <c r="Q1353" s="2">
        <v>59311.519999999997</v>
      </c>
      <c r="R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 s="1">
        <v>42382</v>
      </c>
      <c r="AC1353" t="s">
        <v>53</v>
      </c>
      <c r="AD1353" t="s">
        <v>53</v>
      </c>
      <c r="AK1353">
        <v>0</v>
      </c>
      <c r="AU1353" s="6">
        <v>42037</v>
      </c>
      <c r="AV1353" s="6">
        <v>42037</v>
      </c>
      <c r="AW1353" t="s">
        <v>54</v>
      </c>
      <c r="AX1353" t="str">
        <f t="shared" si="109"/>
        <v>FOR</v>
      </c>
      <c r="AY1353" t="s">
        <v>55</v>
      </c>
    </row>
    <row r="1354" spans="1:51" hidden="1">
      <c r="A1354">
        <v>100352</v>
      </c>
      <c r="B1354" t="s">
        <v>129</v>
      </c>
      <c r="C1354" t="str">
        <f t="shared" si="110"/>
        <v>00503151201</v>
      </c>
      <c r="D1354" t="str">
        <f t="shared" si="111"/>
        <v>00322800376</v>
      </c>
      <c r="E1354" t="s">
        <v>52</v>
      </c>
      <c r="F1354">
        <v>2014</v>
      </c>
      <c r="G1354">
        <v>8568</v>
      </c>
      <c r="H1354" s="1">
        <v>41715</v>
      </c>
      <c r="I1354" s="1">
        <v>41725</v>
      </c>
      <c r="J1354" s="1">
        <v>41725</v>
      </c>
      <c r="K1354" s="1">
        <v>41815</v>
      </c>
      <c r="N1354" s="5"/>
      <c r="O1354">
        <v>457.87</v>
      </c>
      <c r="P1354">
        <v>287</v>
      </c>
      <c r="Q1354" s="2">
        <v>131408.69</v>
      </c>
      <c r="R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 s="1">
        <v>42382</v>
      </c>
      <c r="AC1354" t="s">
        <v>53</v>
      </c>
      <c r="AD1354" t="s">
        <v>53</v>
      </c>
      <c r="AK1354">
        <v>0</v>
      </c>
      <c r="AU1354" s="6">
        <v>42102</v>
      </c>
      <c r="AV1354" s="6">
        <v>42102</v>
      </c>
      <c r="AW1354" t="s">
        <v>54</v>
      </c>
      <c r="AX1354" t="str">
        <f t="shared" si="109"/>
        <v>FOR</v>
      </c>
      <c r="AY1354" t="s">
        <v>55</v>
      </c>
    </row>
    <row r="1355" spans="1:51" hidden="1">
      <c r="A1355">
        <v>100352</v>
      </c>
      <c r="B1355" t="s">
        <v>129</v>
      </c>
      <c r="C1355" t="str">
        <f t="shared" si="110"/>
        <v>00503151201</v>
      </c>
      <c r="D1355" t="str">
        <f t="shared" si="111"/>
        <v>00322800376</v>
      </c>
      <c r="E1355" t="s">
        <v>52</v>
      </c>
      <c r="F1355">
        <v>2014</v>
      </c>
      <c r="G1355">
        <v>10264</v>
      </c>
      <c r="H1355" s="1">
        <v>41723</v>
      </c>
      <c r="I1355" s="1">
        <v>41737</v>
      </c>
      <c r="J1355" s="1">
        <v>41737</v>
      </c>
      <c r="K1355" s="1">
        <v>41827</v>
      </c>
      <c r="N1355" s="5"/>
      <c r="O1355">
        <v>19.760000000000002</v>
      </c>
      <c r="P1355">
        <v>275</v>
      </c>
      <c r="Q1355" s="2">
        <v>5434</v>
      </c>
      <c r="R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 s="1">
        <v>42382</v>
      </c>
      <c r="AC1355" t="s">
        <v>53</v>
      </c>
      <c r="AD1355" t="s">
        <v>53</v>
      </c>
      <c r="AK1355">
        <v>0</v>
      </c>
      <c r="AU1355" s="6">
        <v>42102</v>
      </c>
      <c r="AV1355" s="6">
        <v>42102</v>
      </c>
      <c r="AW1355" t="s">
        <v>54</v>
      </c>
      <c r="AX1355" t="str">
        <f t="shared" si="109"/>
        <v>FOR</v>
      </c>
      <c r="AY1355" t="s">
        <v>55</v>
      </c>
    </row>
    <row r="1356" spans="1:51" hidden="1">
      <c r="A1356">
        <v>100352</v>
      </c>
      <c r="B1356" t="s">
        <v>129</v>
      </c>
      <c r="C1356" t="str">
        <f t="shared" si="110"/>
        <v>00503151201</v>
      </c>
      <c r="D1356" t="str">
        <f t="shared" si="111"/>
        <v>00322800376</v>
      </c>
      <c r="E1356" t="s">
        <v>52</v>
      </c>
      <c r="F1356">
        <v>2014</v>
      </c>
      <c r="G1356">
        <v>18094</v>
      </c>
      <c r="H1356" s="1">
        <v>41785</v>
      </c>
      <c r="I1356" s="1">
        <v>41800</v>
      </c>
      <c r="J1356" s="1">
        <v>41800</v>
      </c>
      <c r="K1356" s="1">
        <v>41890</v>
      </c>
      <c r="N1356" s="5"/>
      <c r="O1356">
        <v>376.98</v>
      </c>
      <c r="P1356">
        <v>240</v>
      </c>
      <c r="Q1356" s="2">
        <v>90475.199999999997</v>
      </c>
      <c r="R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 s="1">
        <v>42382</v>
      </c>
      <c r="AC1356" t="s">
        <v>53</v>
      </c>
      <c r="AD1356" t="s">
        <v>53</v>
      </c>
      <c r="AK1356">
        <v>0</v>
      </c>
      <c r="AU1356" s="6">
        <v>42130</v>
      </c>
      <c r="AV1356" s="6">
        <v>42130</v>
      </c>
      <c r="AW1356" t="s">
        <v>54</v>
      </c>
      <c r="AX1356" t="str">
        <f t="shared" si="109"/>
        <v>FOR</v>
      </c>
      <c r="AY1356" t="s">
        <v>55</v>
      </c>
    </row>
    <row r="1357" spans="1:51" hidden="1">
      <c r="A1357">
        <v>100352</v>
      </c>
      <c r="B1357" t="s">
        <v>129</v>
      </c>
      <c r="C1357" t="str">
        <f t="shared" si="110"/>
        <v>00503151201</v>
      </c>
      <c r="D1357" t="str">
        <f t="shared" si="111"/>
        <v>00322800376</v>
      </c>
      <c r="E1357" t="s">
        <v>52</v>
      </c>
      <c r="F1357">
        <v>2014</v>
      </c>
      <c r="G1357">
        <v>24238</v>
      </c>
      <c r="H1357" s="1">
        <v>41831</v>
      </c>
      <c r="I1357" s="1">
        <v>41845</v>
      </c>
      <c r="J1357" s="1">
        <v>41845</v>
      </c>
      <c r="K1357" s="1">
        <v>41935</v>
      </c>
      <c r="N1357" s="5"/>
      <c r="O1357" s="2">
        <v>2928</v>
      </c>
      <c r="P1357">
        <v>249</v>
      </c>
      <c r="Q1357" s="2">
        <v>729072</v>
      </c>
      <c r="R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 s="1">
        <v>42382</v>
      </c>
      <c r="AC1357" t="s">
        <v>53</v>
      </c>
      <c r="AD1357" t="s">
        <v>53</v>
      </c>
      <c r="AK1357">
        <v>0</v>
      </c>
      <c r="AU1357" s="6">
        <v>42184</v>
      </c>
      <c r="AV1357" s="6">
        <v>42184</v>
      </c>
      <c r="AW1357" t="s">
        <v>54</v>
      </c>
      <c r="AX1357" t="str">
        <f t="shared" si="109"/>
        <v>FOR</v>
      </c>
      <c r="AY1357" t="s">
        <v>55</v>
      </c>
    </row>
    <row r="1358" spans="1:51" hidden="1">
      <c r="A1358">
        <v>100352</v>
      </c>
      <c r="B1358" t="s">
        <v>129</v>
      </c>
      <c r="C1358" t="str">
        <f t="shared" si="110"/>
        <v>00503151201</v>
      </c>
      <c r="D1358" t="str">
        <f t="shared" si="111"/>
        <v>00322800376</v>
      </c>
      <c r="E1358" t="s">
        <v>52</v>
      </c>
      <c r="F1358">
        <v>2014</v>
      </c>
      <c r="G1358">
        <v>25664</v>
      </c>
      <c r="H1358" s="1">
        <v>41838</v>
      </c>
      <c r="I1358" s="1">
        <v>41851</v>
      </c>
      <c r="J1358" s="1">
        <v>41851</v>
      </c>
      <c r="K1358" s="1">
        <v>41941</v>
      </c>
      <c r="N1358" s="5"/>
      <c r="O1358">
        <v>251.32</v>
      </c>
      <c r="P1358">
        <v>243</v>
      </c>
      <c r="Q1358" s="2">
        <v>61070.76</v>
      </c>
      <c r="R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 s="1">
        <v>42382</v>
      </c>
      <c r="AC1358" t="s">
        <v>53</v>
      </c>
      <c r="AD1358" t="s">
        <v>53</v>
      </c>
      <c r="AK1358">
        <v>0</v>
      </c>
      <c r="AU1358" s="6">
        <v>42184</v>
      </c>
      <c r="AV1358" s="6">
        <v>42184</v>
      </c>
      <c r="AW1358" t="s">
        <v>54</v>
      </c>
      <c r="AX1358" t="str">
        <f t="shared" si="109"/>
        <v>FOR</v>
      </c>
      <c r="AY1358" t="s">
        <v>55</v>
      </c>
    </row>
    <row r="1359" spans="1:51" hidden="1">
      <c r="A1359">
        <v>100352</v>
      </c>
      <c r="B1359" t="s">
        <v>129</v>
      </c>
      <c r="C1359" t="str">
        <f t="shared" si="110"/>
        <v>00503151201</v>
      </c>
      <c r="D1359" t="str">
        <f t="shared" si="111"/>
        <v>00322800376</v>
      </c>
      <c r="E1359" t="s">
        <v>52</v>
      </c>
      <c r="F1359">
        <v>2014</v>
      </c>
      <c r="G1359">
        <v>30519</v>
      </c>
      <c r="H1359" s="1">
        <v>41894</v>
      </c>
      <c r="I1359" s="1">
        <v>41911</v>
      </c>
      <c r="J1359" s="1">
        <v>41911</v>
      </c>
      <c r="K1359" s="1">
        <v>42001</v>
      </c>
      <c r="N1359" s="5"/>
      <c r="O1359">
        <v>269.01</v>
      </c>
      <c r="P1359">
        <v>248</v>
      </c>
      <c r="Q1359" s="2">
        <v>66714.48</v>
      </c>
      <c r="R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 s="1">
        <v>42382</v>
      </c>
      <c r="AC1359" t="s">
        <v>53</v>
      </c>
      <c r="AD1359" t="s">
        <v>53</v>
      </c>
      <c r="AK1359">
        <v>0</v>
      </c>
      <c r="AU1359" s="6">
        <v>42249</v>
      </c>
      <c r="AV1359" s="6">
        <v>42249</v>
      </c>
      <c r="AW1359" t="s">
        <v>54</v>
      </c>
      <c r="AX1359" t="str">
        <f t="shared" si="109"/>
        <v>FOR</v>
      </c>
      <c r="AY1359" t="s">
        <v>55</v>
      </c>
    </row>
    <row r="1360" spans="1:51" hidden="1">
      <c r="A1360">
        <v>100352</v>
      </c>
      <c r="B1360" t="s">
        <v>129</v>
      </c>
      <c r="C1360" t="str">
        <f t="shared" si="110"/>
        <v>00503151201</v>
      </c>
      <c r="D1360" t="str">
        <f t="shared" si="111"/>
        <v>00322800376</v>
      </c>
      <c r="E1360" t="s">
        <v>52</v>
      </c>
      <c r="F1360">
        <v>2014</v>
      </c>
      <c r="G1360">
        <v>32033</v>
      </c>
      <c r="H1360" s="1">
        <v>41904</v>
      </c>
      <c r="I1360" s="1">
        <v>41920</v>
      </c>
      <c r="J1360" s="1">
        <v>41920</v>
      </c>
      <c r="K1360" s="1">
        <v>42010</v>
      </c>
      <c r="N1360" s="5"/>
      <c r="O1360">
        <v>251.32</v>
      </c>
      <c r="P1360">
        <v>239</v>
      </c>
      <c r="Q1360" s="2">
        <v>60065.48</v>
      </c>
      <c r="R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 s="1">
        <v>42382</v>
      </c>
      <c r="AC1360" t="s">
        <v>53</v>
      </c>
      <c r="AD1360" t="s">
        <v>53</v>
      </c>
      <c r="AK1360">
        <v>0</v>
      </c>
      <c r="AU1360" s="6">
        <v>42249</v>
      </c>
      <c r="AV1360" s="6">
        <v>42249</v>
      </c>
      <c r="AW1360" t="s">
        <v>54</v>
      </c>
      <c r="AX1360" t="str">
        <f t="shared" si="109"/>
        <v>FOR</v>
      </c>
      <c r="AY1360" t="s">
        <v>55</v>
      </c>
    </row>
    <row r="1361" spans="1:51">
      <c r="A1361">
        <v>100352</v>
      </c>
      <c r="B1361" t="s">
        <v>129</v>
      </c>
      <c r="C1361" t="str">
        <f t="shared" si="110"/>
        <v>00503151201</v>
      </c>
      <c r="D1361" t="str">
        <f t="shared" si="111"/>
        <v>00322800376</v>
      </c>
      <c r="E1361" t="s">
        <v>52</v>
      </c>
      <c r="F1361">
        <v>2014</v>
      </c>
      <c r="G1361">
        <v>36799</v>
      </c>
      <c r="H1361" s="1">
        <v>41940</v>
      </c>
      <c r="I1361" s="1">
        <v>41955</v>
      </c>
      <c r="J1361" s="1">
        <v>41955</v>
      </c>
      <c r="K1361" s="1">
        <v>42015</v>
      </c>
      <c r="L1361" s="7">
        <v>111.65</v>
      </c>
      <c r="M1361" s="5">
        <v>267</v>
      </c>
      <c r="N1361" s="7">
        <v>29810.55</v>
      </c>
      <c r="O1361">
        <v>111.65</v>
      </c>
      <c r="P1361">
        <v>267</v>
      </c>
      <c r="Q1361" s="2">
        <v>29810.55</v>
      </c>
      <c r="R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 s="1">
        <v>42382</v>
      </c>
      <c r="AC1361" t="s">
        <v>53</v>
      </c>
      <c r="AD1361" t="s">
        <v>53</v>
      </c>
      <c r="AK1361">
        <v>0</v>
      </c>
      <c r="AU1361" s="6">
        <v>42282</v>
      </c>
      <c r="AV1361" s="6">
        <v>42282</v>
      </c>
      <c r="AW1361" t="s">
        <v>54</v>
      </c>
      <c r="AX1361" t="str">
        <f t="shared" si="109"/>
        <v>FOR</v>
      </c>
      <c r="AY1361" t="s">
        <v>55</v>
      </c>
    </row>
    <row r="1362" spans="1:51">
      <c r="A1362">
        <v>100352</v>
      </c>
      <c r="B1362" t="s">
        <v>129</v>
      </c>
      <c r="C1362" t="str">
        <f t="shared" si="110"/>
        <v>00503151201</v>
      </c>
      <c r="D1362" t="str">
        <f t="shared" si="111"/>
        <v>00322800376</v>
      </c>
      <c r="E1362" t="s">
        <v>52</v>
      </c>
      <c r="F1362">
        <v>2014</v>
      </c>
      <c r="G1362">
        <v>36800</v>
      </c>
      <c r="H1362" s="1">
        <v>41940</v>
      </c>
      <c r="I1362" s="1">
        <v>41955</v>
      </c>
      <c r="J1362" s="1">
        <v>41955</v>
      </c>
      <c r="K1362" s="1">
        <v>42015</v>
      </c>
      <c r="L1362" s="7">
        <v>251.32</v>
      </c>
      <c r="M1362" s="5">
        <v>267</v>
      </c>
      <c r="N1362" s="7">
        <v>67102.44</v>
      </c>
      <c r="O1362">
        <v>251.32</v>
      </c>
      <c r="P1362">
        <v>267</v>
      </c>
      <c r="Q1362" s="2">
        <v>67102.44</v>
      </c>
      <c r="R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 s="1">
        <v>42382</v>
      </c>
      <c r="AC1362" t="s">
        <v>53</v>
      </c>
      <c r="AD1362" t="s">
        <v>53</v>
      </c>
      <c r="AK1362">
        <v>0</v>
      </c>
      <c r="AU1362" s="6">
        <v>42282</v>
      </c>
      <c r="AV1362" s="6">
        <v>42282</v>
      </c>
      <c r="AW1362" t="s">
        <v>54</v>
      </c>
      <c r="AX1362" t="str">
        <f t="shared" si="109"/>
        <v>FOR</v>
      </c>
      <c r="AY1362" t="s">
        <v>55</v>
      </c>
    </row>
    <row r="1363" spans="1:51">
      <c r="A1363">
        <v>100352</v>
      </c>
      <c r="B1363" t="s">
        <v>129</v>
      </c>
      <c r="C1363" t="str">
        <f t="shared" si="110"/>
        <v>00503151201</v>
      </c>
      <c r="D1363" t="str">
        <f t="shared" si="111"/>
        <v>00322800376</v>
      </c>
      <c r="E1363" t="s">
        <v>52</v>
      </c>
      <c r="F1363">
        <v>2014</v>
      </c>
      <c r="G1363">
        <v>41014</v>
      </c>
      <c r="H1363" s="1">
        <v>41972</v>
      </c>
      <c r="I1363" s="1">
        <v>41985</v>
      </c>
      <c r="J1363" s="1">
        <v>41985</v>
      </c>
      <c r="K1363" s="1">
        <v>42045</v>
      </c>
      <c r="L1363" s="7">
        <v>120.78</v>
      </c>
      <c r="M1363" s="5">
        <v>237</v>
      </c>
      <c r="N1363" s="7">
        <v>28624.86</v>
      </c>
      <c r="O1363">
        <v>120.78</v>
      </c>
      <c r="P1363">
        <v>237</v>
      </c>
      <c r="Q1363" s="2">
        <v>28624.86</v>
      </c>
      <c r="R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 s="1">
        <v>42382</v>
      </c>
      <c r="AC1363" t="s">
        <v>53</v>
      </c>
      <c r="AD1363" t="s">
        <v>53</v>
      </c>
      <c r="AK1363">
        <v>0</v>
      </c>
      <c r="AU1363" s="6">
        <v>42282</v>
      </c>
      <c r="AV1363" s="6">
        <v>42282</v>
      </c>
      <c r="AW1363" t="s">
        <v>54</v>
      </c>
      <c r="AX1363" t="str">
        <f t="shared" si="109"/>
        <v>FOR</v>
      </c>
      <c r="AY1363" t="s">
        <v>55</v>
      </c>
    </row>
    <row r="1364" spans="1:51">
      <c r="A1364">
        <v>100352</v>
      </c>
      <c r="B1364" t="s">
        <v>129</v>
      </c>
      <c r="C1364" t="str">
        <f t="shared" si="110"/>
        <v>00503151201</v>
      </c>
      <c r="D1364" t="str">
        <f t="shared" si="111"/>
        <v>00322800376</v>
      </c>
      <c r="E1364" t="s">
        <v>52</v>
      </c>
      <c r="F1364">
        <v>2015</v>
      </c>
      <c r="G1364">
        <v>8001189</v>
      </c>
      <c r="H1364" s="1">
        <v>42033</v>
      </c>
      <c r="I1364" s="1">
        <v>42047</v>
      </c>
      <c r="J1364" s="1">
        <v>42047</v>
      </c>
      <c r="K1364" s="1">
        <v>42107</v>
      </c>
      <c r="L1364" s="7">
        <v>1200</v>
      </c>
      <c r="M1364" s="5">
        <v>248</v>
      </c>
      <c r="N1364" s="7">
        <v>297600</v>
      </c>
      <c r="O1364" s="2">
        <v>1200</v>
      </c>
      <c r="P1364">
        <v>248</v>
      </c>
      <c r="Q1364" s="2">
        <v>297600</v>
      </c>
      <c r="R1364">
        <v>264</v>
      </c>
      <c r="V1364">
        <v>0</v>
      </c>
      <c r="W1364">
        <v>0</v>
      </c>
      <c r="X1364">
        <v>0</v>
      </c>
      <c r="Y1364" s="2">
        <v>1464</v>
      </c>
      <c r="Z1364" s="2">
        <v>1464</v>
      </c>
      <c r="AA1364" s="2">
        <v>1464</v>
      </c>
      <c r="AB1364" s="1">
        <v>42382</v>
      </c>
      <c r="AC1364" t="s">
        <v>53</v>
      </c>
      <c r="AD1364" t="s">
        <v>53</v>
      </c>
      <c r="AK1364">
        <v>264</v>
      </c>
      <c r="AU1364" s="6">
        <v>42355</v>
      </c>
      <c r="AV1364" s="6">
        <v>42355</v>
      </c>
      <c r="AW1364" t="s">
        <v>54</v>
      </c>
      <c r="AX1364" t="str">
        <f t="shared" si="109"/>
        <v>FOR</v>
      </c>
      <c r="AY1364" t="s">
        <v>55</v>
      </c>
    </row>
    <row r="1365" spans="1:51">
      <c r="A1365">
        <v>100352</v>
      </c>
      <c r="B1365" t="s">
        <v>129</v>
      </c>
      <c r="C1365" t="str">
        <f t="shared" si="110"/>
        <v>00503151201</v>
      </c>
      <c r="D1365" t="str">
        <f t="shared" si="111"/>
        <v>00322800376</v>
      </c>
      <c r="E1365" t="s">
        <v>52</v>
      </c>
      <c r="F1365">
        <v>2015</v>
      </c>
      <c r="G1365">
        <v>8001190</v>
      </c>
      <c r="H1365" s="1">
        <v>42033</v>
      </c>
      <c r="I1365" s="1">
        <v>42047</v>
      </c>
      <c r="J1365" s="1">
        <v>42047</v>
      </c>
      <c r="K1365" s="1">
        <v>42107</v>
      </c>
      <c r="L1365" s="7">
        <v>377.9</v>
      </c>
      <c r="M1365" s="5">
        <v>248</v>
      </c>
      <c r="N1365" s="7">
        <v>93719.2</v>
      </c>
      <c r="O1365">
        <v>377.9</v>
      </c>
      <c r="P1365">
        <v>248</v>
      </c>
      <c r="Q1365" s="2">
        <v>93719.2</v>
      </c>
      <c r="R1365">
        <v>83.14</v>
      </c>
      <c r="V1365">
        <v>0</v>
      </c>
      <c r="W1365">
        <v>0</v>
      </c>
      <c r="X1365">
        <v>0</v>
      </c>
      <c r="Y1365">
        <v>461.04</v>
      </c>
      <c r="Z1365">
        <v>461.04</v>
      </c>
      <c r="AA1365">
        <v>461.04</v>
      </c>
      <c r="AB1365" s="1">
        <v>42382</v>
      </c>
      <c r="AC1365" t="s">
        <v>53</v>
      </c>
      <c r="AD1365" t="s">
        <v>53</v>
      </c>
      <c r="AK1365">
        <v>83.14</v>
      </c>
      <c r="AU1365" s="6">
        <v>42355</v>
      </c>
      <c r="AV1365" s="6">
        <v>42355</v>
      </c>
      <c r="AW1365" t="s">
        <v>54</v>
      </c>
      <c r="AX1365" t="str">
        <f t="shared" si="109"/>
        <v>FOR</v>
      </c>
      <c r="AY1365" t="s">
        <v>55</v>
      </c>
    </row>
    <row r="1366" spans="1:51" hidden="1">
      <c r="A1366">
        <v>100353</v>
      </c>
      <c r="B1366" t="s">
        <v>130</v>
      </c>
      <c r="C1366" t="str">
        <f>"04559761210"</f>
        <v>04559761210</v>
      </c>
      <c r="D1366" t="str">
        <f>"04559761210"</f>
        <v>04559761210</v>
      </c>
      <c r="E1366" t="s">
        <v>52</v>
      </c>
      <c r="F1366">
        <v>2014</v>
      </c>
      <c r="G1366">
        <v>564</v>
      </c>
      <c r="H1366" s="1">
        <v>41824</v>
      </c>
      <c r="I1366" s="1">
        <v>41829</v>
      </c>
      <c r="J1366" s="1">
        <v>41829</v>
      </c>
      <c r="K1366" s="1">
        <v>41919</v>
      </c>
      <c r="N1366" s="5"/>
      <c r="O1366">
        <v>253.76</v>
      </c>
      <c r="P1366">
        <v>330</v>
      </c>
      <c r="Q1366" s="2">
        <v>83740.800000000003</v>
      </c>
      <c r="R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 s="1">
        <v>42382</v>
      </c>
      <c r="AC1366" t="s">
        <v>53</v>
      </c>
      <c r="AD1366" t="s">
        <v>53</v>
      </c>
      <c r="AK1366">
        <v>0</v>
      </c>
      <c r="AU1366" s="6">
        <v>42249</v>
      </c>
      <c r="AV1366" s="6">
        <v>42249</v>
      </c>
      <c r="AW1366" t="s">
        <v>54</v>
      </c>
      <c r="AX1366" t="str">
        <f t="shared" si="109"/>
        <v>FOR</v>
      </c>
      <c r="AY1366" t="s">
        <v>55</v>
      </c>
    </row>
    <row r="1367" spans="1:51" hidden="1">
      <c r="A1367">
        <v>100353</v>
      </c>
      <c r="B1367" t="s">
        <v>130</v>
      </c>
      <c r="C1367" t="str">
        <f>"04559761210"</f>
        <v>04559761210</v>
      </c>
      <c r="D1367" t="str">
        <f>"04559761210"</f>
        <v>04559761210</v>
      </c>
      <c r="E1367" t="s">
        <v>52</v>
      </c>
      <c r="F1367">
        <v>2014</v>
      </c>
      <c r="G1367">
        <v>738</v>
      </c>
      <c r="H1367" s="1">
        <v>41898</v>
      </c>
      <c r="I1367" s="1">
        <v>41901</v>
      </c>
      <c r="J1367" s="1">
        <v>41901</v>
      </c>
      <c r="K1367" s="1">
        <v>41991</v>
      </c>
      <c r="N1367" s="5"/>
      <c r="O1367">
        <v>761.28</v>
      </c>
      <c r="P1367">
        <v>258</v>
      </c>
      <c r="Q1367" s="2">
        <v>196410.23999999999</v>
      </c>
      <c r="R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 s="1">
        <v>42382</v>
      </c>
      <c r="AC1367" t="s">
        <v>53</v>
      </c>
      <c r="AD1367" t="s">
        <v>53</v>
      </c>
      <c r="AK1367">
        <v>0</v>
      </c>
      <c r="AU1367" s="6">
        <v>42249</v>
      </c>
      <c r="AV1367" s="6">
        <v>42249</v>
      </c>
      <c r="AW1367" t="s">
        <v>54</v>
      </c>
      <c r="AX1367" t="str">
        <f t="shared" si="109"/>
        <v>FOR</v>
      </c>
      <c r="AY1367" t="s">
        <v>55</v>
      </c>
    </row>
    <row r="1368" spans="1:51" hidden="1">
      <c r="A1368">
        <v>100360</v>
      </c>
      <c r="B1368" t="s">
        <v>131</v>
      </c>
      <c r="C1368" t="str">
        <f t="shared" ref="C1368:D1387" si="112">"00076810621"</f>
        <v>00076810621</v>
      </c>
      <c r="D1368" t="str">
        <f t="shared" si="112"/>
        <v>00076810621</v>
      </c>
      <c r="E1368" t="s">
        <v>52</v>
      </c>
      <c r="F1368">
        <v>2011</v>
      </c>
      <c r="G1368">
        <v>8742</v>
      </c>
      <c r="H1368" s="1">
        <v>40575</v>
      </c>
      <c r="I1368" s="1">
        <v>40578</v>
      </c>
      <c r="J1368" s="1">
        <v>40578</v>
      </c>
      <c r="K1368" s="1">
        <v>40668</v>
      </c>
      <c r="N1368" s="5"/>
      <c r="O1368">
        <v>11.48</v>
      </c>
      <c r="P1368">
        <v>1581</v>
      </c>
      <c r="Q1368" s="2">
        <v>18149.88</v>
      </c>
      <c r="R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 s="1">
        <v>42382</v>
      </c>
      <c r="AC1368" t="s">
        <v>53</v>
      </c>
      <c r="AD1368" t="s">
        <v>53</v>
      </c>
      <c r="AK1368">
        <v>0</v>
      </c>
      <c r="AU1368" s="6">
        <v>42249</v>
      </c>
      <c r="AV1368" s="6">
        <v>42249</v>
      </c>
      <c r="AW1368" t="s">
        <v>54</v>
      </c>
      <c r="AX1368" t="str">
        <f t="shared" si="109"/>
        <v>FOR</v>
      </c>
      <c r="AY1368" t="s">
        <v>55</v>
      </c>
    </row>
    <row r="1369" spans="1:51" hidden="1">
      <c r="A1369">
        <v>100360</v>
      </c>
      <c r="B1369" t="s">
        <v>131</v>
      </c>
      <c r="C1369" t="str">
        <f t="shared" si="112"/>
        <v>00076810621</v>
      </c>
      <c r="D1369" t="str">
        <f t="shared" si="112"/>
        <v>00076810621</v>
      </c>
      <c r="E1369" t="s">
        <v>52</v>
      </c>
      <c r="F1369">
        <v>2014</v>
      </c>
      <c r="G1369">
        <v>864</v>
      </c>
      <c r="H1369" s="1">
        <v>41642</v>
      </c>
      <c r="I1369" s="1">
        <v>41662</v>
      </c>
      <c r="J1369" s="1">
        <v>41662</v>
      </c>
      <c r="K1369" s="1">
        <v>41752</v>
      </c>
      <c r="N1369" s="5"/>
      <c r="O1369">
        <v>1.63</v>
      </c>
      <c r="P1369">
        <v>267</v>
      </c>
      <c r="Q1369">
        <v>435.21</v>
      </c>
      <c r="R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 s="1">
        <v>42382</v>
      </c>
      <c r="AC1369" t="s">
        <v>53</v>
      </c>
      <c r="AD1369" t="s">
        <v>53</v>
      </c>
      <c r="AK1369">
        <v>0</v>
      </c>
      <c r="AU1369" s="6">
        <v>42019</v>
      </c>
      <c r="AV1369" s="6">
        <v>42019</v>
      </c>
      <c r="AW1369" t="s">
        <v>54</v>
      </c>
      <c r="AX1369" t="str">
        <f t="shared" si="109"/>
        <v>FOR</v>
      </c>
      <c r="AY1369" t="s">
        <v>55</v>
      </c>
    </row>
    <row r="1370" spans="1:51" hidden="1">
      <c r="A1370">
        <v>100360</v>
      </c>
      <c r="B1370" t="s">
        <v>131</v>
      </c>
      <c r="C1370" t="str">
        <f t="shared" si="112"/>
        <v>00076810621</v>
      </c>
      <c r="D1370" t="str">
        <f t="shared" si="112"/>
        <v>00076810621</v>
      </c>
      <c r="E1370" t="s">
        <v>52</v>
      </c>
      <c r="F1370">
        <v>2014</v>
      </c>
      <c r="G1370">
        <v>1090</v>
      </c>
      <c r="H1370" s="1">
        <v>41817</v>
      </c>
      <c r="I1370" s="1">
        <v>41876</v>
      </c>
      <c r="J1370" s="1">
        <v>41876</v>
      </c>
      <c r="K1370" s="1">
        <v>41966</v>
      </c>
      <c r="N1370" s="5"/>
      <c r="O1370">
        <v>-39.159999999999997</v>
      </c>
      <c r="P1370">
        <v>193</v>
      </c>
      <c r="Q1370" s="2">
        <v>-7557.88</v>
      </c>
      <c r="R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 s="1">
        <v>42382</v>
      </c>
      <c r="AC1370" t="s">
        <v>53</v>
      </c>
      <c r="AD1370" t="s">
        <v>53</v>
      </c>
      <c r="AK1370">
        <v>0</v>
      </c>
      <c r="AU1370" s="6">
        <v>42159</v>
      </c>
      <c r="AV1370" s="6">
        <v>42159</v>
      </c>
      <c r="AW1370" t="s">
        <v>54</v>
      </c>
      <c r="AX1370" t="str">
        <f t="shared" si="109"/>
        <v>FOR</v>
      </c>
      <c r="AY1370" t="s">
        <v>55</v>
      </c>
    </row>
    <row r="1371" spans="1:51" hidden="1">
      <c r="A1371">
        <v>100360</v>
      </c>
      <c r="B1371" t="s">
        <v>131</v>
      </c>
      <c r="C1371" t="str">
        <f t="shared" si="112"/>
        <v>00076810621</v>
      </c>
      <c r="D1371" t="str">
        <f t="shared" si="112"/>
        <v>00076810621</v>
      </c>
      <c r="E1371" t="s">
        <v>52</v>
      </c>
      <c r="F1371">
        <v>2014</v>
      </c>
      <c r="G1371">
        <v>1109</v>
      </c>
      <c r="H1371" s="1">
        <v>41643</v>
      </c>
      <c r="I1371" s="1">
        <v>41662</v>
      </c>
      <c r="J1371" s="1">
        <v>41662</v>
      </c>
      <c r="K1371" s="1">
        <v>41752</v>
      </c>
      <c r="N1371" s="5"/>
      <c r="O1371">
        <v>18.760000000000002</v>
      </c>
      <c r="P1371">
        <v>267</v>
      </c>
      <c r="Q1371" s="2">
        <v>5008.92</v>
      </c>
      <c r="R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 s="1">
        <v>42382</v>
      </c>
      <c r="AC1371" t="s">
        <v>53</v>
      </c>
      <c r="AD1371" t="s">
        <v>53</v>
      </c>
      <c r="AK1371">
        <v>0</v>
      </c>
      <c r="AU1371" s="6">
        <v>42019</v>
      </c>
      <c r="AV1371" s="6">
        <v>42019</v>
      </c>
      <c r="AW1371" t="s">
        <v>54</v>
      </c>
      <c r="AX1371" t="str">
        <f t="shared" si="109"/>
        <v>FOR</v>
      </c>
      <c r="AY1371" t="s">
        <v>55</v>
      </c>
    </row>
    <row r="1372" spans="1:51" hidden="1">
      <c r="A1372">
        <v>100360</v>
      </c>
      <c r="B1372" t="s">
        <v>131</v>
      </c>
      <c r="C1372" t="str">
        <f t="shared" si="112"/>
        <v>00076810621</v>
      </c>
      <c r="D1372" t="str">
        <f t="shared" si="112"/>
        <v>00076810621</v>
      </c>
      <c r="E1372" t="s">
        <v>52</v>
      </c>
      <c r="F1372">
        <v>2014</v>
      </c>
      <c r="G1372">
        <v>1384</v>
      </c>
      <c r="H1372" s="1">
        <v>41646</v>
      </c>
      <c r="I1372" s="1">
        <v>41662</v>
      </c>
      <c r="J1372" s="1">
        <v>41662</v>
      </c>
      <c r="K1372" s="1">
        <v>41752</v>
      </c>
      <c r="N1372" s="5"/>
      <c r="O1372">
        <v>15.95</v>
      </c>
      <c r="P1372">
        <v>267</v>
      </c>
      <c r="Q1372" s="2">
        <v>4258.6499999999996</v>
      </c>
      <c r="R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 s="1">
        <v>42382</v>
      </c>
      <c r="AC1372" t="s">
        <v>53</v>
      </c>
      <c r="AD1372" t="s">
        <v>53</v>
      </c>
      <c r="AK1372">
        <v>0</v>
      </c>
      <c r="AU1372" s="6">
        <v>42019</v>
      </c>
      <c r="AV1372" s="6">
        <v>42019</v>
      </c>
      <c r="AW1372" t="s">
        <v>54</v>
      </c>
      <c r="AX1372" t="str">
        <f t="shared" si="109"/>
        <v>FOR</v>
      </c>
      <c r="AY1372" t="s">
        <v>55</v>
      </c>
    </row>
    <row r="1373" spans="1:51" hidden="1">
      <c r="A1373">
        <v>100360</v>
      </c>
      <c r="B1373" t="s">
        <v>131</v>
      </c>
      <c r="C1373" t="str">
        <f t="shared" si="112"/>
        <v>00076810621</v>
      </c>
      <c r="D1373" t="str">
        <f t="shared" si="112"/>
        <v>00076810621</v>
      </c>
      <c r="E1373" t="s">
        <v>52</v>
      </c>
      <c r="F1373">
        <v>2014</v>
      </c>
      <c r="G1373">
        <v>1973</v>
      </c>
      <c r="H1373" s="1">
        <v>41647</v>
      </c>
      <c r="I1373" s="1">
        <v>41662</v>
      </c>
      <c r="J1373" s="1">
        <v>41662</v>
      </c>
      <c r="K1373" s="1">
        <v>41752</v>
      </c>
      <c r="N1373" s="5"/>
      <c r="O1373">
        <v>13.77</v>
      </c>
      <c r="P1373">
        <v>267</v>
      </c>
      <c r="Q1373" s="2">
        <v>3676.59</v>
      </c>
      <c r="R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 s="1">
        <v>42382</v>
      </c>
      <c r="AC1373" t="s">
        <v>53</v>
      </c>
      <c r="AD1373" t="s">
        <v>53</v>
      </c>
      <c r="AK1373">
        <v>0</v>
      </c>
      <c r="AU1373" s="6">
        <v>42019</v>
      </c>
      <c r="AV1373" s="6">
        <v>42019</v>
      </c>
      <c r="AW1373" t="s">
        <v>54</v>
      </c>
      <c r="AX1373" t="str">
        <f t="shared" si="109"/>
        <v>FOR</v>
      </c>
      <c r="AY1373" t="s">
        <v>55</v>
      </c>
    </row>
    <row r="1374" spans="1:51" hidden="1">
      <c r="A1374">
        <v>100360</v>
      </c>
      <c r="B1374" t="s">
        <v>131</v>
      </c>
      <c r="C1374" t="str">
        <f t="shared" si="112"/>
        <v>00076810621</v>
      </c>
      <c r="D1374" t="str">
        <f t="shared" si="112"/>
        <v>00076810621</v>
      </c>
      <c r="E1374" t="s">
        <v>52</v>
      </c>
      <c r="F1374">
        <v>2014</v>
      </c>
      <c r="G1374">
        <v>2201</v>
      </c>
      <c r="H1374" s="1">
        <v>41647</v>
      </c>
      <c r="I1374" s="1">
        <v>41662</v>
      </c>
      <c r="J1374" s="1">
        <v>41662</v>
      </c>
      <c r="K1374" s="1">
        <v>41752</v>
      </c>
      <c r="N1374" s="5"/>
      <c r="O1374">
        <v>99.37</v>
      </c>
      <c r="P1374">
        <v>267</v>
      </c>
      <c r="Q1374" s="2">
        <v>26531.79</v>
      </c>
      <c r="R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 s="1">
        <v>42382</v>
      </c>
      <c r="AC1374" t="s">
        <v>53</v>
      </c>
      <c r="AD1374" t="s">
        <v>53</v>
      </c>
      <c r="AK1374">
        <v>0</v>
      </c>
      <c r="AU1374" s="6">
        <v>42019</v>
      </c>
      <c r="AV1374" s="6">
        <v>42019</v>
      </c>
      <c r="AW1374" t="s">
        <v>54</v>
      </c>
      <c r="AX1374" t="str">
        <f t="shared" si="109"/>
        <v>FOR</v>
      </c>
      <c r="AY1374" t="s">
        <v>55</v>
      </c>
    </row>
    <row r="1375" spans="1:51" hidden="1">
      <c r="A1375">
        <v>100360</v>
      </c>
      <c r="B1375" t="s">
        <v>131</v>
      </c>
      <c r="C1375" t="str">
        <f t="shared" si="112"/>
        <v>00076810621</v>
      </c>
      <c r="D1375" t="str">
        <f t="shared" si="112"/>
        <v>00076810621</v>
      </c>
      <c r="E1375" t="s">
        <v>52</v>
      </c>
      <c r="F1375">
        <v>2014</v>
      </c>
      <c r="G1375">
        <v>2457</v>
      </c>
      <c r="H1375" s="1">
        <v>41648</v>
      </c>
      <c r="I1375" s="1">
        <v>41662</v>
      </c>
      <c r="J1375" s="1">
        <v>41662</v>
      </c>
      <c r="K1375" s="1">
        <v>41752</v>
      </c>
      <c r="N1375" s="5"/>
      <c r="O1375">
        <v>8.83</v>
      </c>
      <c r="P1375">
        <v>267</v>
      </c>
      <c r="Q1375" s="2">
        <v>2357.61</v>
      </c>
      <c r="R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 s="1">
        <v>42382</v>
      </c>
      <c r="AC1375" t="s">
        <v>53</v>
      </c>
      <c r="AD1375" t="s">
        <v>53</v>
      </c>
      <c r="AK1375">
        <v>0</v>
      </c>
      <c r="AU1375" s="6">
        <v>42019</v>
      </c>
      <c r="AV1375" s="6">
        <v>42019</v>
      </c>
      <c r="AW1375" t="s">
        <v>54</v>
      </c>
      <c r="AX1375" t="str">
        <f t="shared" si="109"/>
        <v>FOR</v>
      </c>
      <c r="AY1375" t="s">
        <v>55</v>
      </c>
    </row>
    <row r="1376" spans="1:51" hidden="1">
      <c r="A1376">
        <v>100360</v>
      </c>
      <c r="B1376" t="s">
        <v>131</v>
      </c>
      <c r="C1376" t="str">
        <f t="shared" si="112"/>
        <v>00076810621</v>
      </c>
      <c r="D1376" t="str">
        <f t="shared" si="112"/>
        <v>00076810621</v>
      </c>
      <c r="E1376" t="s">
        <v>52</v>
      </c>
      <c r="F1376">
        <v>2014</v>
      </c>
      <c r="G1376">
        <v>2480</v>
      </c>
      <c r="H1376" s="1">
        <v>41648</v>
      </c>
      <c r="I1376" s="1">
        <v>41662</v>
      </c>
      <c r="J1376" s="1">
        <v>41662</v>
      </c>
      <c r="K1376" s="1">
        <v>41752</v>
      </c>
      <c r="N1376" s="5"/>
      <c r="O1376">
        <v>3.41</v>
      </c>
      <c r="P1376">
        <v>267</v>
      </c>
      <c r="Q1376">
        <v>910.47</v>
      </c>
      <c r="R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 s="1">
        <v>42382</v>
      </c>
      <c r="AC1376" t="s">
        <v>53</v>
      </c>
      <c r="AD1376" t="s">
        <v>53</v>
      </c>
      <c r="AK1376">
        <v>0</v>
      </c>
      <c r="AU1376" s="6">
        <v>42019</v>
      </c>
      <c r="AV1376" s="6">
        <v>42019</v>
      </c>
      <c r="AW1376" t="s">
        <v>54</v>
      </c>
      <c r="AX1376" t="str">
        <f t="shared" si="109"/>
        <v>FOR</v>
      </c>
      <c r="AY1376" t="s">
        <v>55</v>
      </c>
    </row>
    <row r="1377" spans="1:51" hidden="1">
      <c r="A1377">
        <v>100360</v>
      </c>
      <c r="B1377" t="s">
        <v>131</v>
      </c>
      <c r="C1377" t="str">
        <f t="shared" si="112"/>
        <v>00076810621</v>
      </c>
      <c r="D1377" t="str">
        <f t="shared" si="112"/>
        <v>00076810621</v>
      </c>
      <c r="E1377" t="s">
        <v>52</v>
      </c>
      <c r="F1377">
        <v>2014</v>
      </c>
      <c r="G1377">
        <v>2703</v>
      </c>
      <c r="H1377" s="1">
        <v>41648</v>
      </c>
      <c r="I1377" s="1">
        <v>41662</v>
      </c>
      <c r="J1377" s="1">
        <v>41662</v>
      </c>
      <c r="K1377" s="1">
        <v>41752</v>
      </c>
      <c r="N1377" s="5"/>
      <c r="O1377">
        <v>34.17</v>
      </c>
      <c r="P1377">
        <v>267</v>
      </c>
      <c r="Q1377" s="2">
        <v>9123.39</v>
      </c>
      <c r="R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 s="1">
        <v>42382</v>
      </c>
      <c r="AC1377" t="s">
        <v>53</v>
      </c>
      <c r="AD1377" t="s">
        <v>53</v>
      </c>
      <c r="AK1377">
        <v>0</v>
      </c>
      <c r="AU1377" s="6">
        <v>42019</v>
      </c>
      <c r="AV1377" s="6">
        <v>42019</v>
      </c>
      <c r="AW1377" t="s">
        <v>54</v>
      </c>
      <c r="AX1377" t="str">
        <f t="shared" si="109"/>
        <v>FOR</v>
      </c>
      <c r="AY1377" t="s">
        <v>55</v>
      </c>
    </row>
    <row r="1378" spans="1:51" hidden="1">
      <c r="A1378">
        <v>100360</v>
      </c>
      <c r="B1378" t="s">
        <v>131</v>
      </c>
      <c r="C1378" t="str">
        <f t="shared" si="112"/>
        <v>00076810621</v>
      </c>
      <c r="D1378" t="str">
        <f t="shared" si="112"/>
        <v>00076810621</v>
      </c>
      <c r="E1378" t="s">
        <v>52</v>
      </c>
      <c r="F1378">
        <v>2014</v>
      </c>
      <c r="G1378">
        <v>2731</v>
      </c>
      <c r="H1378" s="1">
        <v>41648</v>
      </c>
      <c r="I1378" s="1">
        <v>41663</v>
      </c>
      <c r="J1378" s="1">
        <v>41663</v>
      </c>
      <c r="K1378" s="1">
        <v>41753</v>
      </c>
      <c r="N1378" s="5"/>
      <c r="O1378">
        <v>7.28</v>
      </c>
      <c r="P1378">
        <v>266</v>
      </c>
      <c r="Q1378" s="2">
        <v>1936.48</v>
      </c>
      <c r="R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 s="1">
        <v>42382</v>
      </c>
      <c r="AC1378" t="s">
        <v>53</v>
      </c>
      <c r="AD1378" t="s">
        <v>53</v>
      </c>
      <c r="AK1378">
        <v>0</v>
      </c>
      <c r="AU1378" s="6">
        <v>42019</v>
      </c>
      <c r="AV1378" s="6">
        <v>42019</v>
      </c>
      <c r="AW1378" t="s">
        <v>54</v>
      </c>
      <c r="AX1378" t="str">
        <f t="shared" si="109"/>
        <v>FOR</v>
      </c>
      <c r="AY1378" t="s">
        <v>55</v>
      </c>
    </row>
    <row r="1379" spans="1:51" hidden="1">
      <c r="A1379">
        <v>100360</v>
      </c>
      <c r="B1379" t="s">
        <v>131</v>
      </c>
      <c r="C1379" t="str">
        <f t="shared" si="112"/>
        <v>00076810621</v>
      </c>
      <c r="D1379" t="str">
        <f t="shared" si="112"/>
        <v>00076810621</v>
      </c>
      <c r="E1379" t="s">
        <v>52</v>
      </c>
      <c r="F1379">
        <v>2014</v>
      </c>
      <c r="G1379">
        <v>3221</v>
      </c>
      <c r="H1379" s="1">
        <v>41649</v>
      </c>
      <c r="I1379" s="1">
        <v>41662</v>
      </c>
      <c r="J1379" s="1">
        <v>41662</v>
      </c>
      <c r="K1379" s="1">
        <v>41752</v>
      </c>
      <c r="N1379" s="5"/>
      <c r="O1379">
        <v>62.43</v>
      </c>
      <c r="P1379">
        <v>267</v>
      </c>
      <c r="Q1379" s="2">
        <v>16668.810000000001</v>
      </c>
      <c r="R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 s="1">
        <v>42382</v>
      </c>
      <c r="AC1379" t="s">
        <v>53</v>
      </c>
      <c r="AD1379" t="s">
        <v>53</v>
      </c>
      <c r="AK1379">
        <v>0</v>
      </c>
      <c r="AU1379" s="6">
        <v>42019</v>
      </c>
      <c r="AV1379" s="6">
        <v>42019</v>
      </c>
      <c r="AW1379" t="s">
        <v>54</v>
      </c>
      <c r="AX1379" t="str">
        <f t="shared" si="109"/>
        <v>FOR</v>
      </c>
      <c r="AY1379" t="s">
        <v>55</v>
      </c>
    </row>
    <row r="1380" spans="1:51" hidden="1">
      <c r="A1380">
        <v>100360</v>
      </c>
      <c r="B1380" t="s">
        <v>131</v>
      </c>
      <c r="C1380" t="str">
        <f t="shared" si="112"/>
        <v>00076810621</v>
      </c>
      <c r="D1380" t="str">
        <f t="shared" si="112"/>
        <v>00076810621</v>
      </c>
      <c r="E1380" t="s">
        <v>52</v>
      </c>
      <c r="F1380">
        <v>2014</v>
      </c>
      <c r="G1380">
        <v>4021</v>
      </c>
      <c r="H1380" s="1">
        <v>41652</v>
      </c>
      <c r="I1380" s="1">
        <v>41662</v>
      </c>
      <c r="J1380" s="1">
        <v>41662</v>
      </c>
      <c r="K1380" s="1">
        <v>41752</v>
      </c>
      <c r="N1380" s="5"/>
      <c r="O1380">
        <v>25.18</v>
      </c>
      <c r="P1380">
        <v>267</v>
      </c>
      <c r="Q1380" s="2">
        <v>6723.06</v>
      </c>
      <c r="R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 s="1">
        <v>42382</v>
      </c>
      <c r="AC1380" t="s">
        <v>53</v>
      </c>
      <c r="AD1380" t="s">
        <v>53</v>
      </c>
      <c r="AK1380">
        <v>0</v>
      </c>
      <c r="AU1380" s="6">
        <v>42019</v>
      </c>
      <c r="AV1380" s="6">
        <v>42019</v>
      </c>
      <c r="AW1380" t="s">
        <v>54</v>
      </c>
      <c r="AX1380" t="str">
        <f t="shared" si="109"/>
        <v>FOR</v>
      </c>
      <c r="AY1380" t="s">
        <v>55</v>
      </c>
    </row>
    <row r="1381" spans="1:51" hidden="1">
      <c r="A1381">
        <v>100360</v>
      </c>
      <c r="B1381" t="s">
        <v>131</v>
      </c>
      <c r="C1381" t="str">
        <f t="shared" si="112"/>
        <v>00076810621</v>
      </c>
      <c r="D1381" t="str">
        <f t="shared" si="112"/>
        <v>00076810621</v>
      </c>
      <c r="E1381" t="s">
        <v>52</v>
      </c>
      <c r="F1381">
        <v>2014</v>
      </c>
      <c r="G1381">
        <v>4047</v>
      </c>
      <c r="H1381" s="1">
        <v>41652</v>
      </c>
      <c r="I1381" s="1">
        <v>41662</v>
      </c>
      <c r="J1381" s="1">
        <v>41662</v>
      </c>
      <c r="K1381" s="1">
        <v>41752</v>
      </c>
      <c r="N1381" s="5"/>
      <c r="O1381">
        <v>14.89</v>
      </c>
      <c r="P1381">
        <v>267</v>
      </c>
      <c r="Q1381" s="2">
        <v>3975.63</v>
      </c>
      <c r="R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 s="1">
        <v>42382</v>
      </c>
      <c r="AC1381" t="s">
        <v>53</v>
      </c>
      <c r="AD1381" t="s">
        <v>53</v>
      </c>
      <c r="AK1381">
        <v>0</v>
      </c>
      <c r="AU1381" s="6">
        <v>42019</v>
      </c>
      <c r="AV1381" s="6">
        <v>42019</v>
      </c>
      <c r="AW1381" t="s">
        <v>54</v>
      </c>
      <c r="AX1381" t="str">
        <f t="shared" si="109"/>
        <v>FOR</v>
      </c>
      <c r="AY1381" t="s">
        <v>55</v>
      </c>
    </row>
    <row r="1382" spans="1:51" hidden="1">
      <c r="A1382">
        <v>100360</v>
      </c>
      <c r="B1382" t="s">
        <v>131</v>
      </c>
      <c r="C1382" t="str">
        <f t="shared" si="112"/>
        <v>00076810621</v>
      </c>
      <c r="D1382" t="str">
        <f t="shared" si="112"/>
        <v>00076810621</v>
      </c>
      <c r="E1382" t="s">
        <v>52</v>
      </c>
      <c r="F1382">
        <v>2014</v>
      </c>
      <c r="G1382">
        <v>5925</v>
      </c>
      <c r="H1382" s="1">
        <v>41656</v>
      </c>
      <c r="I1382" s="1">
        <v>41662</v>
      </c>
      <c r="J1382" s="1">
        <v>41662</v>
      </c>
      <c r="K1382" s="1">
        <v>41752</v>
      </c>
      <c r="N1382" s="5"/>
      <c r="O1382">
        <v>11.13</v>
      </c>
      <c r="P1382">
        <v>267</v>
      </c>
      <c r="Q1382" s="2">
        <v>2971.71</v>
      </c>
      <c r="R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 s="1">
        <v>42382</v>
      </c>
      <c r="AC1382" t="s">
        <v>53</v>
      </c>
      <c r="AD1382" t="s">
        <v>53</v>
      </c>
      <c r="AK1382">
        <v>0</v>
      </c>
      <c r="AU1382" s="6">
        <v>42019</v>
      </c>
      <c r="AV1382" s="6">
        <v>42019</v>
      </c>
      <c r="AW1382" t="s">
        <v>54</v>
      </c>
      <c r="AX1382" t="str">
        <f t="shared" si="109"/>
        <v>FOR</v>
      </c>
      <c r="AY1382" t="s">
        <v>55</v>
      </c>
    </row>
    <row r="1383" spans="1:51" hidden="1">
      <c r="A1383">
        <v>100360</v>
      </c>
      <c r="B1383" t="s">
        <v>131</v>
      </c>
      <c r="C1383" t="str">
        <f t="shared" si="112"/>
        <v>00076810621</v>
      </c>
      <c r="D1383" t="str">
        <f t="shared" si="112"/>
        <v>00076810621</v>
      </c>
      <c r="E1383" t="s">
        <v>52</v>
      </c>
      <c r="F1383">
        <v>2014</v>
      </c>
      <c r="G1383">
        <v>6636</v>
      </c>
      <c r="H1383" s="1">
        <v>41659</v>
      </c>
      <c r="I1383" s="1">
        <v>41662</v>
      </c>
      <c r="J1383" s="1">
        <v>41662</v>
      </c>
      <c r="K1383" s="1">
        <v>41752</v>
      </c>
      <c r="N1383" s="5"/>
      <c r="O1383">
        <v>124.67</v>
      </c>
      <c r="P1383">
        <v>267</v>
      </c>
      <c r="Q1383" s="2">
        <v>33286.89</v>
      </c>
      <c r="R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 s="1">
        <v>42382</v>
      </c>
      <c r="AC1383" t="s">
        <v>53</v>
      </c>
      <c r="AD1383" t="s">
        <v>53</v>
      </c>
      <c r="AK1383">
        <v>0</v>
      </c>
      <c r="AU1383" s="6">
        <v>42019</v>
      </c>
      <c r="AV1383" s="6">
        <v>42019</v>
      </c>
      <c r="AW1383" t="s">
        <v>54</v>
      </c>
      <c r="AX1383" t="str">
        <f t="shared" si="109"/>
        <v>FOR</v>
      </c>
      <c r="AY1383" t="s">
        <v>55</v>
      </c>
    </row>
    <row r="1384" spans="1:51" hidden="1">
      <c r="A1384">
        <v>100360</v>
      </c>
      <c r="B1384" t="s">
        <v>131</v>
      </c>
      <c r="C1384" t="str">
        <f t="shared" si="112"/>
        <v>00076810621</v>
      </c>
      <c r="D1384" t="str">
        <f t="shared" si="112"/>
        <v>00076810621</v>
      </c>
      <c r="E1384" t="s">
        <v>52</v>
      </c>
      <c r="F1384">
        <v>2014</v>
      </c>
      <c r="G1384">
        <v>7358</v>
      </c>
      <c r="H1384" s="1">
        <v>41661</v>
      </c>
      <c r="I1384" s="1">
        <v>41663</v>
      </c>
      <c r="J1384" s="1">
        <v>41663</v>
      </c>
      <c r="K1384" s="1">
        <v>41753</v>
      </c>
      <c r="N1384" s="5"/>
      <c r="O1384">
        <v>19.16</v>
      </c>
      <c r="P1384">
        <v>266</v>
      </c>
      <c r="Q1384" s="2">
        <v>5096.5600000000004</v>
      </c>
      <c r="R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 s="1">
        <v>42382</v>
      </c>
      <c r="AC1384" t="s">
        <v>53</v>
      </c>
      <c r="AD1384" t="s">
        <v>53</v>
      </c>
      <c r="AK1384">
        <v>0</v>
      </c>
      <c r="AU1384" s="6">
        <v>42019</v>
      </c>
      <c r="AV1384" s="6">
        <v>42019</v>
      </c>
      <c r="AW1384" t="s">
        <v>54</v>
      </c>
      <c r="AX1384" t="str">
        <f t="shared" si="109"/>
        <v>FOR</v>
      </c>
      <c r="AY1384" t="s">
        <v>55</v>
      </c>
    </row>
    <row r="1385" spans="1:51" hidden="1">
      <c r="A1385">
        <v>100360</v>
      </c>
      <c r="B1385" t="s">
        <v>131</v>
      </c>
      <c r="C1385" t="str">
        <f t="shared" si="112"/>
        <v>00076810621</v>
      </c>
      <c r="D1385" t="str">
        <f t="shared" si="112"/>
        <v>00076810621</v>
      </c>
      <c r="E1385" t="s">
        <v>52</v>
      </c>
      <c r="F1385">
        <v>2014</v>
      </c>
      <c r="G1385">
        <v>7841</v>
      </c>
      <c r="H1385" s="1">
        <v>41662</v>
      </c>
      <c r="I1385" s="1">
        <v>41667</v>
      </c>
      <c r="J1385" s="1">
        <v>41667</v>
      </c>
      <c r="K1385" s="1">
        <v>41757</v>
      </c>
      <c r="N1385" s="5"/>
      <c r="O1385">
        <v>15.95</v>
      </c>
      <c r="P1385">
        <v>262</v>
      </c>
      <c r="Q1385" s="2">
        <v>4178.8999999999996</v>
      </c>
      <c r="R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 s="1">
        <v>42382</v>
      </c>
      <c r="AC1385" t="s">
        <v>53</v>
      </c>
      <c r="AD1385" t="s">
        <v>53</v>
      </c>
      <c r="AK1385">
        <v>0</v>
      </c>
      <c r="AU1385" s="6">
        <v>42019</v>
      </c>
      <c r="AV1385" s="6">
        <v>42019</v>
      </c>
      <c r="AW1385" t="s">
        <v>54</v>
      </c>
      <c r="AX1385" t="str">
        <f t="shared" si="109"/>
        <v>FOR</v>
      </c>
      <c r="AY1385" t="s">
        <v>55</v>
      </c>
    </row>
    <row r="1386" spans="1:51" hidden="1">
      <c r="A1386">
        <v>100360</v>
      </c>
      <c r="B1386" t="s">
        <v>131</v>
      </c>
      <c r="C1386" t="str">
        <f t="shared" si="112"/>
        <v>00076810621</v>
      </c>
      <c r="D1386" t="str">
        <f t="shared" si="112"/>
        <v>00076810621</v>
      </c>
      <c r="E1386" t="s">
        <v>52</v>
      </c>
      <c r="F1386">
        <v>2014</v>
      </c>
      <c r="G1386">
        <v>8778</v>
      </c>
      <c r="H1386" s="1">
        <v>41664</v>
      </c>
      <c r="I1386" s="1">
        <v>41667</v>
      </c>
      <c r="J1386" s="1">
        <v>41667</v>
      </c>
      <c r="K1386" s="1">
        <v>41757</v>
      </c>
      <c r="N1386" s="5"/>
      <c r="O1386">
        <v>7.28</v>
      </c>
      <c r="P1386">
        <v>262</v>
      </c>
      <c r="Q1386" s="2">
        <v>1907.36</v>
      </c>
      <c r="R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 s="1">
        <v>42382</v>
      </c>
      <c r="AC1386" t="s">
        <v>53</v>
      </c>
      <c r="AD1386" t="s">
        <v>53</v>
      </c>
      <c r="AK1386">
        <v>0</v>
      </c>
      <c r="AU1386" s="6">
        <v>42019</v>
      </c>
      <c r="AV1386" s="6">
        <v>42019</v>
      </c>
      <c r="AW1386" t="s">
        <v>54</v>
      </c>
      <c r="AX1386" t="str">
        <f t="shared" si="109"/>
        <v>FOR</v>
      </c>
      <c r="AY1386" t="s">
        <v>55</v>
      </c>
    </row>
    <row r="1387" spans="1:51" hidden="1">
      <c r="A1387">
        <v>100360</v>
      </c>
      <c r="B1387" t="s">
        <v>131</v>
      </c>
      <c r="C1387" t="str">
        <f t="shared" si="112"/>
        <v>00076810621</v>
      </c>
      <c r="D1387" t="str">
        <f t="shared" si="112"/>
        <v>00076810621</v>
      </c>
      <c r="E1387" t="s">
        <v>52</v>
      </c>
      <c r="F1387">
        <v>2014</v>
      </c>
      <c r="G1387">
        <v>9530</v>
      </c>
      <c r="H1387" s="1">
        <v>41667</v>
      </c>
      <c r="I1387" s="1">
        <v>41670</v>
      </c>
      <c r="J1387" s="1">
        <v>41670</v>
      </c>
      <c r="K1387" s="1">
        <v>41760</v>
      </c>
      <c r="N1387" s="5"/>
      <c r="O1387">
        <v>6.33</v>
      </c>
      <c r="P1387">
        <v>259</v>
      </c>
      <c r="Q1387" s="2">
        <v>1639.47</v>
      </c>
      <c r="R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 s="1">
        <v>42382</v>
      </c>
      <c r="AC1387" t="s">
        <v>53</v>
      </c>
      <c r="AD1387" t="s">
        <v>53</v>
      </c>
      <c r="AK1387">
        <v>0</v>
      </c>
      <c r="AU1387" s="6">
        <v>42019</v>
      </c>
      <c r="AV1387" s="6">
        <v>42019</v>
      </c>
      <c r="AW1387" t="s">
        <v>54</v>
      </c>
      <c r="AX1387" t="str">
        <f t="shared" si="109"/>
        <v>FOR</v>
      </c>
      <c r="AY1387" t="s">
        <v>55</v>
      </c>
    </row>
    <row r="1388" spans="1:51" hidden="1">
      <c r="A1388">
        <v>100360</v>
      </c>
      <c r="B1388" t="s">
        <v>131</v>
      </c>
      <c r="C1388" t="str">
        <f t="shared" ref="C1388:D1407" si="113">"00076810621"</f>
        <v>00076810621</v>
      </c>
      <c r="D1388" t="str">
        <f t="shared" si="113"/>
        <v>00076810621</v>
      </c>
      <c r="E1388" t="s">
        <v>52</v>
      </c>
      <c r="F1388">
        <v>2014</v>
      </c>
      <c r="G1388">
        <v>9967</v>
      </c>
      <c r="H1388" s="1">
        <v>41668</v>
      </c>
      <c r="I1388" s="1">
        <v>41670</v>
      </c>
      <c r="J1388" s="1">
        <v>41670</v>
      </c>
      <c r="K1388" s="1">
        <v>41760</v>
      </c>
      <c r="N1388" s="5"/>
      <c r="O1388">
        <v>19.16</v>
      </c>
      <c r="P1388">
        <v>259</v>
      </c>
      <c r="Q1388" s="2">
        <v>4962.4399999999996</v>
      </c>
      <c r="R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 s="1">
        <v>42382</v>
      </c>
      <c r="AC1388" t="s">
        <v>53</v>
      </c>
      <c r="AD1388" t="s">
        <v>53</v>
      </c>
      <c r="AK1388">
        <v>0</v>
      </c>
      <c r="AU1388" s="6">
        <v>42019</v>
      </c>
      <c r="AV1388" s="6">
        <v>42019</v>
      </c>
      <c r="AW1388" t="s">
        <v>54</v>
      </c>
      <c r="AX1388" t="str">
        <f t="shared" si="109"/>
        <v>FOR</v>
      </c>
      <c r="AY1388" t="s">
        <v>55</v>
      </c>
    </row>
    <row r="1389" spans="1:51" hidden="1">
      <c r="A1389">
        <v>100360</v>
      </c>
      <c r="B1389" t="s">
        <v>131</v>
      </c>
      <c r="C1389" t="str">
        <f t="shared" si="113"/>
        <v>00076810621</v>
      </c>
      <c r="D1389" t="str">
        <f t="shared" si="113"/>
        <v>00076810621</v>
      </c>
      <c r="E1389" t="s">
        <v>52</v>
      </c>
      <c r="F1389">
        <v>2014</v>
      </c>
      <c r="G1389">
        <v>9984</v>
      </c>
      <c r="H1389" s="1">
        <v>41668</v>
      </c>
      <c r="I1389" s="1">
        <v>41673</v>
      </c>
      <c r="J1389" s="1">
        <v>41673</v>
      </c>
      <c r="K1389" s="1">
        <v>41763</v>
      </c>
      <c r="N1389" s="5"/>
      <c r="O1389">
        <v>4.53</v>
      </c>
      <c r="P1389">
        <v>256</v>
      </c>
      <c r="Q1389" s="2">
        <v>1159.68</v>
      </c>
      <c r="R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 s="1">
        <v>42382</v>
      </c>
      <c r="AC1389" t="s">
        <v>53</v>
      </c>
      <c r="AD1389" t="s">
        <v>53</v>
      </c>
      <c r="AK1389">
        <v>0</v>
      </c>
      <c r="AU1389" s="6">
        <v>42019</v>
      </c>
      <c r="AV1389" s="6">
        <v>42019</v>
      </c>
      <c r="AW1389" t="s">
        <v>54</v>
      </c>
      <c r="AX1389" t="str">
        <f t="shared" si="109"/>
        <v>FOR</v>
      </c>
      <c r="AY1389" t="s">
        <v>55</v>
      </c>
    </row>
    <row r="1390" spans="1:51" hidden="1">
      <c r="A1390">
        <v>100360</v>
      </c>
      <c r="B1390" t="s">
        <v>131</v>
      </c>
      <c r="C1390" t="str">
        <f t="shared" si="113"/>
        <v>00076810621</v>
      </c>
      <c r="D1390" t="str">
        <f t="shared" si="113"/>
        <v>00076810621</v>
      </c>
      <c r="E1390" t="s">
        <v>52</v>
      </c>
      <c r="F1390">
        <v>2014</v>
      </c>
      <c r="G1390">
        <v>10437</v>
      </c>
      <c r="H1390" s="1">
        <v>41669</v>
      </c>
      <c r="I1390" s="1">
        <v>41673</v>
      </c>
      <c r="J1390" s="1">
        <v>41673</v>
      </c>
      <c r="K1390" s="1">
        <v>41763</v>
      </c>
      <c r="N1390" s="5"/>
      <c r="O1390">
        <v>13.63</v>
      </c>
      <c r="P1390">
        <v>256</v>
      </c>
      <c r="Q1390" s="2">
        <v>3489.28</v>
      </c>
      <c r="R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 s="1">
        <v>42382</v>
      </c>
      <c r="AC1390" t="s">
        <v>53</v>
      </c>
      <c r="AD1390" t="s">
        <v>53</v>
      </c>
      <c r="AK1390">
        <v>0</v>
      </c>
      <c r="AU1390" s="6">
        <v>42019</v>
      </c>
      <c r="AV1390" s="6">
        <v>42019</v>
      </c>
      <c r="AW1390" t="s">
        <v>54</v>
      </c>
      <c r="AX1390" t="str">
        <f t="shared" si="109"/>
        <v>FOR</v>
      </c>
      <c r="AY1390" t="s">
        <v>55</v>
      </c>
    </row>
    <row r="1391" spans="1:51" hidden="1">
      <c r="A1391">
        <v>100360</v>
      </c>
      <c r="B1391" t="s">
        <v>131</v>
      </c>
      <c r="C1391" t="str">
        <f t="shared" si="113"/>
        <v>00076810621</v>
      </c>
      <c r="D1391" t="str">
        <f t="shared" si="113"/>
        <v>00076810621</v>
      </c>
      <c r="E1391" t="s">
        <v>52</v>
      </c>
      <c r="F1391">
        <v>2014</v>
      </c>
      <c r="G1391">
        <v>10668</v>
      </c>
      <c r="H1391" s="1">
        <v>41669</v>
      </c>
      <c r="I1391" s="1">
        <v>41673</v>
      </c>
      <c r="J1391" s="1">
        <v>41673</v>
      </c>
      <c r="K1391" s="1">
        <v>41763</v>
      </c>
      <c r="N1391" s="5"/>
      <c r="O1391">
        <v>70.83</v>
      </c>
      <c r="P1391">
        <v>256</v>
      </c>
      <c r="Q1391" s="2">
        <v>18132.48</v>
      </c>
      <c r="R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 s="1">
        <v>42382</v>
      </c>
      <c r="AC1391" t="s">
        <v>53</v>
      </c>
      <c r="AD1391" t="s">
        <v>53</v>
      </c>
      <c r="AK1391">
        <v>0</v>
      </c>
      <c r="AU1391" s="6">
        <v>42019</v>
      </c>
      <c r="AV1391" s="6">
        <v>42019</v>
      </c>
      <c r="AW1391" t="s">
        <v>54</v>
      </c>
      <c r="AX1391" t="str">
        <f t="shared" si="109"/>
        <v>FOR</v>
      </c>
      <c r="AY1391" t="s">
        <v>55</v>
      </c>
    </row>
    <row r="1392" spans="1:51" hidden="1">
      <c r="A1392">
        <v>100360</v>
      </c>
      <c r="B1392" t="s">
        <v>131</v>
      </c>
      <c r="C1392" t="str">
        <f t="shared" si="113"/>
        <v>00076810621</v>
      </c>
      <c r="D1392" t="str">
        <f t="shared" si="113"/>
        <v>00076810621</v>
      </c>
      <c r="E1392" t="s">
        <v>52</v>
      </c>
      <c r="F1392">
        <v>2014</v>
      </c>
      <c r="G1392">
        <v>10899</v>
      </c>
      <c r="H1392" s="1">
        <v>41670</v>
      </c>
      <c r="I1392" s="1">
        <v>41673</v>
      </c>
      <c r="J1392" s="1">
        <v>41673</v>
      </c>
      <c r="K1392" s="1">
        <v>41763</v>
      </c>
      <c r="N1392" s="5"/>
      <c r="O1392">
        <v>8.25</v>
      </c>
      <c r="P1392">
        <v>256</v>
      </c>
      <c r="Q1392" s="2">
        <v>2112</v>
      </c>
      <c r="R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 s="1">
        <v>42382</v>
      </c>
      <c r="AC1392" t="s">
        <v>53</v>
      </c>
      <c r="AD1392" t="s">
        <v>53</v>
      </c>
      <c r="AK1392">
        <v>0</v>
      </c>
      <c r="AU1392" s="6">
        <v>42019</v>
      </c>
      <c r="AV1392" s="6">
        <v>42019</v>
      </c>
      <c r="AW1392" t="s">
        <v>54</v>
      </c>
      <c r="AX1392" t="str">
        <f t="shared" si="109"/>
        <v>FOR</v>
      </c>
      <c r="AY1392" t="s">
        <v>55</v>
      </c>
    </row>
    <row r="1393" spans="1:51" hidden="1">
      <c r="A1393">
        <v>100360</v>
      </c>
      <c r="B1393" t="s">
        <v>131</v>
      </c>
      <c r="C1393" t="str">
        <f t="shared" si="113"/>
        <v>00076810621</v>
      </c>
      <c r="D1393" t="str">
        <f t="shared" si="113"/>
        <v>00076810621</v>
      </c>
      <c r="E1393" t="s">
        <v>52</v>
      </c>
      <c r="F1393">
        <v>2014</v>
      </c>
      <c r="G1393">
        <v>11297</v>
      </c>
      <c r="H1393" s="1">
        <v>41671</v>
      </c>
      <c r="I1393" s="1">
        <v>41673</v>
      </c>
      <c r="J1393" s="1">
        <v>41673</v>
      </c>
      <c r="K1393" s="1">
        <v>41763</v>
      </c>
      <c r="N1393" s="5"/>
      <c r="O1393">
        <v>5.4</v>
      </c>
      <c r="P1393">
        <v>339</v>
      </c>
      <c r="Q1393" s="2">
        <v>1830.6</v>
      </c>
      <c r="R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 s="1">
        <v>42382</v>
      </c>
      <c r="AC1393" t="s">
        <v>53</v>
      </c>
      <c r="AD1393" t="s">
        <v>53</v>
      </c>
      <c r="AK1393">
        <v>0</v>
      </c>
      <c r="AU1393" s="6">
        <v>42102</v>
      </c>
      <c r="AV1393" s="6">
        <v>42102</v>
      </c>
      <c r="AW1393" t="s">
        <v>54</v>
      </c>
      <c r="AX1393" t="str">
        <f t="shared" si="109"/>
        <v>FOR</v>
      </c>
      <c r="AY1393" t="s">
        <v>55</v>
      </c>
    </row>
    <row r="1394" spans="1:51" hidden="1">
      <c r="A1394">
        <v>100360</v>
      </c>
      <c r="B1394" t="s">
        <v>131</v>
      </c>
      <c r="C1394" t="str">
        <f t="shared" si="113"/>
        <v>00076810621</v>
      </c>
      <c r="D1394" t="str">
        <f t="shared" si="113"/>
        <v>00076810621</v>
      </c>
      <c r="E1394" t="s">
        <v>52</v>
      </c>
      <c r="F1394">
        <v>2014</v>
      </c>
      <c r="G1394">
        <v>11299</v>
      </c>
      <c r="H1394" s="1">
        <v>41671</v>
      </c>
      <c r="I1394" s="1">
        <v>41673</v>
      </c>
      <c r="J1394" s="1">
        <v>41673</v>
      </c>
      <c r="K1394" s="1">
        <v>41763</v>
      </c>
      <c r="N1394" s="5"/>
      <c r="O1394">
        <v>15.42</v>
      </c>
      <c r="P1394">
        <v>339</v>
      </c>
      <c r="Q1394" s="2">
        <v>5227.38</v>
      </c>
      <c r="R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 s="1">
        <v>42382</v>
      </c>
      <c r="AC1394" t="s">
        <v>53</v>
      </c>
      <c r="AD1394" t="s">
        <v>53</v>
      </c>
      <c r="AK1394">
        <v>0</v>
      </c>
      <c r="AU1394" s="6">
        <v>42102</v>
      </c>
      <c r="AV1394" s="6">
        <v>42102</v>
      </c>
      <c r="AW1394" t="s">
        <v>54</v>
      </c>
      <c r="AX1394" t="str">
        <f t="shared" si="109"/>
        <v>FOR</v>
      </c>
      <c r="AY1394" t="s">
        <v>55</v>
      </c>
    </row>
    <row r="1395" spans="1:51" hidden="1">
      <c r="A1395">
        <v>100360</v>
      </c>
      <c r="B1395" t="s">
        <v>131</v>
      </c>
      <c r="C1395" t="str">
        <f t="shared" si="113"/>
        <v>00076810621</v>
      </c>
      <c r="D1395" t="str">
        <f t="shared" si="113"/>
        <v>00076810621</v>
      </c>
      <c r="E1395" t="s">
        <v>52</v>
      </c>
      <c r="F1395">
        <v>2014</v>
      </c>
      <c r="G1395">
        <v>11806</v>
      </c>
      <c r="H1395" s="1">
        <v>41673</v>
      </c>
      <c r="I1395" s="1">
        <v>41676</v>
      </c>
      <c r="J1395" s="1">
        <v>41676</v>
      </c>
      <c r="K1395" s="1">
        <v>41766</v>
      </c>
      <c r="N1395" s="5"/>
      <c r="O1395">
        <v>6.97</v>
      </c>
      <c r="P1395">
        <v>336</v>
      </c>
      <c r="Q1395" s="2">
        <v>2341.92</v>
      </c>
      <c r="R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 s="1">
        <v>42382</v>
      </c>
      <c r="AC1395" t="s">
        <v>53</v>
      </c>
      <c r="AD1395" t="s">
        <v>53</v>
      </c>
      <c r="AK1395">
        <v>0</v>
      </c>
      <c r="AU1395" s="6">
        <v>42102</v>
      </c>
      <c r="AV1395" s="6">
        <v>42102</v>
      </c>
      <c r="AW1395" t="s">
        <v>54</v>
      </c>
      <c r="AX1395" t="str">
        <f t="shared" si="109"/>
        <v>FOR</v>
      </c>
      <c r="AY1395" t="s">
        <v>55</v>
      </c>
    </row>
    <row r="1396" spans="1:51" hidden="1">
      <c r="A1396">
        <v>100360</v>
      </c>
      <c r="B1396" t="s">
        <v>131</v>
      </c>
      <c r="C1396" t="str">
        <f t="shared" si="113"/>
        <v>00076810621</v>
      </c>
      <c r="D1396" t="str">
        <f t="shared" si="113"/>
        <v>00076810621</v>
      </c>
      <c r="E1396" t="s">
        <v>52</v>
      </c>
      <c r="F1396">
        <v>2014</v>
      </c>
      <c r="G1396">
        <v>12095</v>
      </c>
      <c r="H1396" s="1">
        <v>41674</v>
      </c>
      <c r="I1396" s="1">
        <v>41676</v>
      </c>
      <c r="J1396" s="1">
        <v>41676</v>
      </c>
      <c r="K1396" s="1">
        <v>41766</v>
      </c>
      <c r="N1396" s="5"/>
      <c r="O1396">
        <v>51.43</v>
      </c>
      <c r="P1396">
        <v>336</v>
      </c>
      <c r="Q1396" s="2">
        <v>17280.48</v>
      </c>
      <c r="R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 s="1">
        <v>42382</v>
      </c>
      <c r="AC1396" t="s">
        <v>53</v>
      </c>
      <c r="AD1396" t="s">
        <v>53</v>
      </c>
      <c r="AK1396">
        <v>0</v>
      </c>
      <c r="AU1396" s="6">
        <v>42102</v>
      </c>
      <c r="AV1396" s="6">
        <v>42102</v>
      </c>
      <c r="AW1396" t="s">
        <v>54</v>
      </c>
      <c r="AX1396" t="str">
        <f t="shared" si="109"/>
        <v>FOR</v>
      </c>
      <c r="AY1396" t="s">
        <v>55</v>
      </c>
    </row>
    <row r="1397" spans="1:51" hidden="1">
      <c r="A1397">
        <v>100360</v>
      </c>
      <c r="B1397" t="s">
        <v>131</v>
      </c>
      <c r="C1397" t="str">
        <f t="shared" si="113"/>
        <v>00076810621</v>
      </c>
      <c r="D1397" t="str">
        <f t="shared" si="113"/>
        <v>00076810621</v>
      </c>
      <c r="E1397" t="s">
        <v>52</v>
      </c>
      <c r="F1397">
        <v>2014</v>
      </c>
      <c r="G1397">
        <v>13080</v>
      </c>
      <c r="H1397" s="1">
        <v>41676</v>
      </c>
      <c r="I1397" s="1">
        <v>41681</v>
      </c>
      <c r="J1397" s="1">
        <v>41681</v>
      </c>
      <c r="K1397" s="1">
        <v>41771</v>
      </c>
      <c r="N1397" s="5"/>
      <c r="O1397">
        <v>44.34</v>
      </c>
      <c r="P1397">
        <v>388</v>
      </c>
      <c r="Q1397" s="2">
        <v>17203.919999999998</v>
      </c>
      <c r="R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 s="1">
        <v>42382</v>
      </c>
      <c r="AC1397" t="s">
        <v>53</v>
      </c>
      <c r="AD1397" t="s">
        <v>53</v>
      </c>
      <c r="AK1397">
        <v>0</v>
      </c>
      <c r="AU1397" s="6">
        <v>42159</v>
      </c>
      <c r="AV1397" s="6">
        <v>42159</v>
      </c>
      <c r="AW1397" t="s">
        <v>54</v>
      </c>
      <c r="AX1397" t="str">
        <f t="shared" si="109"/>
        <v>FOR</v>
      </c>
      <c r="AY1397" t="s">
        <v>55</v>
      </c>
    </row>
    <row r="1398" spans="1:51" hidden="1">
      <c r="A1398">
        <v>100360</v>
      </c>
      <c r="B1398" t="s">
        <v>131</v>
      </c>
      <c r="C1398" t="str">
        <f t="shared" si="113"/>
        <v>00076810621</v>
      </c>
      <c r="D1398" t="str">
        <f t="shared" si="113"/>
        <v>00076810621</v>
      </c>
      <c r="E1398" t="s">
        <v>52</v>
      </c>
      <c r="F1398">
        <v>2014</v>
      </c>
      <c r="G1398">
        <v>13514</v>
      </c>
      <c r="H1398" s="1">
        <v>41677</v>
      </c>
      <c r="I1398" s="1">
        <v>41681</v>
      </c>
      <c r="J1398" s="1">
        <v>41681</v>
      </c>
      <c r="K1398" s="1">
        <v>41771</v>
      </c>
      <c r="N1398" s="5"/>
      <c r="O1398">
        <v>5.01</v>
      </c>
      <c r="P1398">
        <v>331</v>
      </c>
      <c r="Q1398" s="2">
        <v>1658.31</v>
      </c>
      <c r="R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 s="1">
        <v>42382</v>
      </c>
      <c r="AC1398" t="s">
        <v>53</v>
      </c>
      <c r="AD1398" t="s">
        <v>53</v>
      </c>
      <c r="AK1398">
        <v>0</v>
      </c>
      <c r="AU1398" s="6">
        <v>42102</v>
      </c>
      <c r="AV1398" s="6">
        <v>42102</v>
      </c>
      <c r="AW1398" t="s">
        <v>54</v>
      </c>
      <c r="AX1398" t="str">
        <f t="shared" si="109"/>
        <v>FOR</v>
      </c>
      <c r="AY1398" t="s">
        <v>55</v>
      </c>
    </row>
    <row r="1399" spans="1:51" hidden="1">
      <c r="A1399">
        <v>100360</v>
      </c>
      <c r="B1399" t="s">
        <v>131</v>
      </c>
      <c r="C1399" t="str">
        <f t="shared" si="113"/>
        <v>00076810621</v>
      </c>
      <c r="D1399" t="str">
        <f t="shared" si="113"/>
        <v>00076810621</v>
      </c>
      <c r="E1399" t="s">
        <v>52</v>
      </c>
      <c r="F1399">
        <v>2014</v>
      </c>
      <c r="G1399">
        <v>13997</v>
      </c>
      <c r="H1399" s="1">
        <v>41678</v>
      </c>
      <c r="I1399" s="1">
        <v>41684</v>
      </c>
      <c r="J1399" s="1">
        <v>41684</v>
      </c>
      <c r="K1399" s="1">
        <v>41774</v>
      </c>
      <c r="N1399" s="5"/>
      <c r="O1399">
        <v>3.26</v>
      </c>
      <c r="P1399">
        <v>328</v>
      </c>
      <c r="Q1399" s="2">
        <v>1069.28</v>
      </c>
      <c r="R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 s="1">
        <v>42382</v>
      </c>
      <c r="AC1399" t="s">
        <v>53</v>
      </c>
      <c r="AD1399" t="s">
        <v>53</v>
      </c>
      <c r="AK1399">
        <v>0</v>
      </c>
      <c r="AU1399" s="6">
        <v>42102</v>
      </c>
      <c r="AV1399" s="6">
        <v>42102</v>
      </c>
      <c r="AW1399" t="s">
        <v>54</v>
      </c>
      <c r="AX1399" t="str">
        <f t="shared" si="109"/>
        <v>FOR</v>
      </c>
      <c r="AY1399" t="s">
        <v>55</v>
      </c>
    </row>
    <row r="1400" spans="1:51" hidden="1">
      <c r="A1400">
        <v>100360</v>
      </c>
      <c r="B1400" t="s">
        <v>131</v>
      </c>
      <c r="C1400" t="str">
        <f t="shared" si="113"/>
        <v>00076810621</v>
      </c>
      <c r="D1400" t="str">
        <f t="shared" si="113"/>
        <v>00076810621</v>
      </c>
      <c r="E1400" t="s">
        <v>52</v>
      </c>
      <c r="F1400">
        <v>2014</v>
      </c>
      <c r="G1400">
        <v>14689</v>
      </c>
      <c r="H1400" s="1">
        <v>41681</v>
      </c>
      <c r="I1400" s="1">
        <v>41684</v>
      </c>
      <c r="J1400" s="1">
        <v>41684</v>
      </c>
      <c r="K1400" s="1">
        <v>41774</v>
      </c>
      <c r="N1400" s="5"/>
      <c r="O1400">
        <v>32.57</v>
      </c>
      <c r="P1400">
        <v>328</v>
      </c>
      <c r="Q1400" s="2">
        <v>10682.96</v>
      </c>
      <c r="R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 s="1">
        <v>42382</v>
      </c>
      <c r="AC1400" t="s">
        <v>53</v>
      </c>
      <c r="AD1400" t="s">
        <v>53</v>
      </c>
      <c r="AK1400">
        <v>0</v>
      </c>
      <c r="AU1400" s="6">
        <v>42102</v>
      </c>
      <c r="AV1400" s="6">
        <v>42102</v>
      </c>
      <c r="AW1400" t="s">
        <v>54</v>
      </c>
      <c r="AX1400" t="str">
        <f t="shared" si="109"/>
        <v>FOR</v>
      </c>
      <c r="AY1400" t="s">
        <v>55</v>
      </c>
    </row>
    <row r="1401" spans="1:51" hidden="1">
      <c r="A1401">
        <v>100360</v>
      </c>
      <c r="B1401" t="s">
        <v>131</v>
      </c>
      <c r="C1401" t="str">
        <f t="shared" si="113"/>
        <v>00076810621</v>
      </c>
      <c r="D1401" t="str">
        <f t="shared" si="113"/>
        <v>00076810621</v>
      </c>
      <c r="E1401" t="s">
        <v>52</v>
      </c>
      <c r="F1401">
        <v>2014</v>
      </c>
      <c r="G1401">
        <v>15376</v>
      </c>
      <c r="H1401" s="1">
        <v>41682</v>
      </c>
      <c r="I1401" s="1">
        <v>41684</v>
      </c>
      <c r="J1401" s="1">
        <v>41684</v>
      </c>
      <c r="K1401" s="1">
        <v>41774</v>
      </c>
      <c r="N1401" s="5"/>
      <c r="O1401">
        <v>63.16</v>
      </c>
      <c r="P1401">
        <v>328</v>
      </c>
      <c r="Q1401" s="2">
        <v>20716.48</v>
      </c>
      <c r="R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 s="1">
        <v>42382</v>
      </c>
      <c r="AC1401" t="s">
        <v>53</v>
      </c>
      <c r="AD1401" t="s">
        <v>53</v>
      </c>
      <c r="AK1401">
        <v>0</v>
      </c>
      <c r="AU1401" s="6">
        <v>42102</v>
      </c>
      <c r="AV1401" s="6">
        <v>42102</v>
      </c>
      <c r="AW1401" t="s">
        <v>54</v>
      </c>
      <c r="AX1401" t="str">
        <f t="shared" si="109"/>
        <v>FOR</v>
      </c>
      <c r="AY1401" t="s">
        <v>55</v>
      </c>
    </row>
    <row r="1402" spans="1:51" hidden="1">
      <c r="A1402">
        <v>100360</v>
      </c>
      <c r="B1402" t="s">
        <v>131</v>
      </c>
      <c r="C1402" t="str">
        <f t="shared" si="113"/>
        <v>00076810621</v>
      </c>
      <c r="D1402" t="str">
        <f t="shared" si="113"/>
        <v>00076810621</v>
      </c>
      <c r="E1402" t="s">
        <v>52</v>
      </c>
      <c r="F1402">
        <v>2014</v>
      </c>
      <c r="G1402">
        <v>15631</v>
      </c>
      <c r="H1402" s="1">
        <v>41683</v>
      </c>
      <c r="I1402" s="1">
        <v>41687</v>
      </c>
      <c r="J1402" s="1">
        <v>41687</v>
      </c>
      <c r="K1402" s="1">
        <v>41777</v>
      </c>
      <c r="N1402" s="5"/>
      <c r="O1402">
        <v>38.81</v>
      </c>
      <c r="P1402">
        <v>325</v>
      </c>
      <c r="Q1402" s="2">
        <v>12613.25</v>
      </c>
      <c r="R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 s="1">
        <v>42382</v>
      </c>
      <c r="AC1402" t="s">
        <v>53</v>
      </c>
      <c r="AD1402" t="s">
        <v>53</v>
      </c>
      <c r="AK1402">
        <v>0</v>
      </c>
      <c r="AU1402" s="6">
        <v>42102</v>
      </c>
      <c r="AV1402" s="6">
        <v>42102</v>
      </c>
      <c r="AW1402" t="s">
        <v>54</v>
      </c>
      <c r="AX1402" t="str">
        <f t="shared" si="109"/>
        <v>FOR</v>
      </c>
      <c r="AY1402" t="s">
        <v>55</v>
      </c>
    </row>
    <row r="1403" spans="1:51" hidden="1">
      <c r="A1403">
        <v>100360</v>
      </c>
      <c r="B1403" t="s">
        <v>131</v>
      </c>
      <c r="C1403" t="str">
        <f t="shared" si="113"/>
        <v>00076810621</v>
      </c>
      <c r="D1403" t="str">
        <f t="shared" si="113"/>
        <v>00076810621</v>
      </c>
      <c r="E1403" t="s">
        <v>52</v>
      </c>
      <c r="F1403">
        <v>2014</v>
      </c>
      <c r="G1403">
        <v>16999</v>
      </c>
      <c r="H1403" s="1">
        <v>41687</v>
      </c>
      <c r="I1403" s="1">
        <v>41689</v>
      </c>
      <c r="J1403" s="1">
        <v>41689</v>
      </c>
      <c r="K1403" s="1">
        <v>41779</v>
      </c>
      <c r="N1403" s="5"/>
      <c r="O1403">
        <v>52.48</v>
      </c>
      <c r="P1403">
        <v>323</v>
      </c>
      <c r="Q1403" s="2">
        <v>16951.04</v>
      </c>
      <c r="R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 s="1">
        <v>42382</v>
      </c>
      <c r="AC1403" t="s">
        <v>53</v>
      </c>
      <c r="AD1403" t="s">
        <v>53</v>
      </c>
      <c r="AK1403">
        <v>0</v>
      </c>
      <c r="AU1403" s="6">
        <v>42102</v>
      </c>
      <c r="AV1403" s="6">
        <v>42102</v>
      </c>
      <c r="AW1403" t="s">
        <v>54</v>
      </c>
      <c r="AX1403" t="str">
        <f t="shared" si="109"/>
        <v>FOR</v>
      </c>
      <c r="AY1403" t="s">
        <v>55</v>
      </c>
    </row>
    <row r="1404" spans="1:51" hidden="1">
      <c r="A1404">
        <v>100360</v>
      </c>
      <c r="B1404" t="s">
        <v>131</v>
      </c>
      <c r="C1404" t="str">
        <f t="shared" si="113"/>
        <v>00076810621</v>
      </c>
      <c r="D1404" t="str">
        <f t="shared" si="113"/>
        <v>00076810621</v>
      </c>
      <c r="E1404" t="s">
        <v>52</v>
      </c>
      <c r="F1404">
        <v>2014</v>
      </c>
      <c r="G1404">
        <v>17488</v>
      </c>
      <c r="H1404" s="1">
        <v>41688</v>
      </c>
      <c r="I1404" s="1">
        <v>41691</v>
      </c>
      <c r="J1404" s="1">
        <v>41691</v>
      </c>
      <c r="K1404" s="1">
        <v>41781</v>
      </c>
      <c r="N1404" s="5"/>
      <c r="O1404">
        <v>25.18</v>
      </c>
      <c r="P1404">
        <v>321</v>
      </c>
      <c r="Q1404" s="2">
        <v>8082.78</v>
      </c>
      <c r="R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 s="1">
        <v>42382</v>
      </c>
      <c r="AC1404" t="s">
        <v>53</v>
      </c>
      <c r="AD1404" t="s">
        <v>53</v>
      </c>
      <c r="AK1404">
        <v>0</v>
      </c>
      <c r="AU1404" s="6">
        <v>42102</v>
      </c>
      <c r="AV1404" s="6">
        <v>42102</v>
      </c>
      <c r="AW1404" t="s">
        <v>54</v>
      </c>
      <c r="AX1404" t="str">
        <f t="shared" si="109"/>
        <v>FOR</v>
      </c>
      <c r="AY1404" t="s">
        <v>55</v>
      </c>
    </row>
    <row r="1405" spans="1:51" hidden="1">
      <c r="A1405">
        <v>100360</v>
      </c>
      <c r="B1405" t="s">
        <v>131</v>
      </c>
      <c r="C1405" t="str">
        <f t="shared" si="113"/>
        <v>00076810621</v>
      </c>
      <c r="D1405" t="str">
        <f t="shared" si="113"/>
        <v>00076810621</v>
      </c>
      <c r="E1405" t="s">
        <v>52</v>
      </c>
      <c r="F1405">
        <v>2014</v>
      </c>
      <c r="G1405">
        <v>18414</v>
      </c>
      <c r="H1405" s="1">
        <v>41690</v>
      </c>
      <c r="I1405" s="1">
        <v>41694</v>
      </c>
      <c r="J1405" s="1">
        <v>41694</v>
      </c>
      <c r="K1405" s="1">
        <v>41784</v>
      </c>
      <c r="N1405" s="5"/>
      <c r="O1405">
        <v>14.83</v>
      </c>
      <c r="P1405">
        <v>318</v>
      </c>
      <c r="Q1405" s="2">
        <v>4715.9399999999996</v>
      </c>
      <c r="R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 s="1">
        <v>42382</v>
      </c>
      <c r="AC1405" t="s">
        <v>53</v>
      </c>
      <c r="AD1405" t="s">
        <v>53</v>
      </c>
      <c r="AK1405">
        <v>0</v>
      </c>
      <c r="AU1405" s="6">
        <v>42102</v>
      </c>
      <c r="AV1405" s="6">
        <v>42102</v>
      </c>
      <c r="AW1405" t="s">
        <v>54</v>
      </c>
      <c r="AX1405" t="str">
        <f t="shared" si="109"/>
        <v>FOR</v>
      </c>
      <c r="AY1405" t="s">
        <v>55</v>
      </c>
    </row>
    <row r="1406" spans="1:51" hidden="1">
      <c r="A1406">
        <v>100360</v>
      </c>
      <c r="B1406" t="s">
        <v>131</v>
      </c>
      <c r="C1406" t="str">
        <f t="shared" si="113"/>
        <v>00076810621</v>
      </c>
      <c r="D1406" t="str">
        <f t="shared" si="113"/>
        <v>00076810621</v>
      </c>
      <c r="E1406" t="s">
        <v>52</v>
      </c>
      <c r="F1406">
        <v>2014</v>
      </c>
      <c r="G1406">
        <v>18891</v>
      </c>
      <c r="H1406" s="1">
        <v>41691</v>
      </c>
      <c r="I1406" s="1">
        <v>41698</v>
      </c>
      <c r="J1406" s="1">
        <v>41698</v>
      </c>
      <c r="K1406" s="1">
        <v>41788</v>
      </c>
      <c r="N1406" s="5"/>
      <c r="O1406">
        <v>6.05</v>
      </c>
      <c r="P1406">
        <v>314</v>
      </c>
      <c r="Q1406" s="2">
        <v>1899.7</v>
      </c>
      <c r="R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 s="1">
        <v>42382</v>
      </c>
      <c r="AC1406" t="s">
        <v>53</v>
      </c>
      <c r="AD1406" t="s">
        <v>53</v>
      </c>
      <c r="AK1406">
        <v>0</v>
      </c>
      <c r="AU1406" s="6">
        <v>42102</v>
      </c>
      <c r="AV1406" s="6">
        <v>42102</v>
      </c>
      <c r="AW1406" t="s">
        <v>54</v>
      </c>
      <c r="AX1406" t="str">
        <f t="shared" si="109"/>
        <v>FOR</v>
      </c>
      <c r="AY1406" t="s">
        <v>55</v>
      </c>
    </row>
    <row r="1407" spans="1:51" hidden="1">
      <c r="A1407">
        <v>100360</v>
      </c>
      <c r="B1407" t="s">
        <v>131</v>
      </c>
      <c r="C1407" t="str">
        <f t="shared" si="113"/>
        <v>00076810621</v>
      </c>
      <c r="D1407" t="str">
        <f t="shared" si="113"/>
        <v>00076810621</v>
      </c>
      <c r="E1407" t="s">
        <v>52</v>
      </c>
      <c r="F1407">
        <v>2014</v>
      </c>
      <c r="G1407">
        <v>19662</v>
      </c>
      <c r="H1407" s="1">
        <v>41694</v>
      </c>
      <c r="I1407" s="1">
        <v>41698</v>
      </c>
      <c r="J1407" s="1">
        <v>41698</v>
      </c>
      <c r="K1407" s="1">
        <v>41788</v>
      </c>
      <c r="N1407" s="5"/>
      <c r="O1407">
        <v>26.75</v>
      </c>
      <c r="P1407">
        <v>314</v>
      </c>
      <c r="Q1407" s="2">
        <v>8399.5</v>
      </c>
      <c r="R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 s="1">
        <v>42382</v>
      </c>
      <c r="AC1407" t="s">
        <v>53</v>
      </c>
      <c r="AD1407" t="s">
        <v>53</v>
      </c>
      <c r="AK1407">
        <v>0</v>
      </c>
      <c r="AU1407" s="6">
        <v>42102</v>
      </c>
      <c r="AV1407" s="6">
        <v>42102</v>
      </c>
      <c r="AW1407" t="s">
        <v>54</v>
      </c>
      <c r="AX1407" t="str">
        <f t="shared" si="109"/>
        <v>FOR</v>
      </c>
      <c r="AY1407" t="s">
        <v>55</v>
      </c>
    </row>
    <row r="1408" spans="1:51" hidden="1">
      <c r="A1408">
        <v>100360</v>
      </c>
      <c r="B1408" t="s">
        <v>131</v>
      </c>
      <c r="C1408" t="str">
        <f t="shared" ref="C1408:D1427" si="114">"00076810621"</f>
        <v>00076810621</v>
      </c>
      <c r="D1408" t="str">
        <f t="shared" si="114"/>
        <v>00076810621</v>
      </c>
      <c r="E1408" t="s">
        <v>52</v>
      </c>
      <c r="F1408">
        <v>2014</v>
      </c>
      <c r="G1408">
        <v>20571</v>
      </c>
      <c r="H1408" s="1">
        <v>41696</v>
      </c>
      <c r="I1408" s="1">
        <v>41701</v>
      </c>
      <c r="J1408" s="1">
        <v>41701</v>
      </c>
      <c r="K1408" s="1">
        <v>41791</v>
      </c>
      <c r="N1408" s="5"/>
      <c r="O1408">
        <v>20.46</v>
      </c>
      <c r="P1408">
        <v>311</v>
      </c>
      <c r="Q1408" s="2">
        <v>6363.06</v>
      </c>
      <c r="R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 s="1">
        <v>42382</v>
      </c>
      <c r="AC1408" t="s">
        <v>53</v>
      </c>
      <c r="AD1408" t="s">
        <v>53</v>
      </c>
      <c r="AK1408">
        <v>0</v>
      </c>
      <c r="AU1408" s="6">
        <v>42102</v>
      </c>
      <c r="AV1408" s="6">
        <v>42102</v>
      </c>
      <c r="AW1408" t="s">
        <v>54</v>
      </c>
      <c r="AX1408" t="str">
        <f t="shared" si="109"/>
        <v>FOR</v>
      </c>
      <c r="AY1408" t="s">
        <v>55</v>
      </c>
    </row>
    <row r="1409" spans="1:51" hidden="1">
      <c r="A1409">
        <v>100360</v>
      </c>
      <c r="B1409" t="s">
        <v>131</v>
      </c>
      <c r="C1409" t="str">
        <f t="shared" si="114"/>
        <v>00076810621</v>
      </c>
      <c r="D1409" t="str">
        <f t="shared" si="114"/>
        <v>00076810621</v>
      </c>
      <c r="E1409" t="s">
        <v>52</v>
      </c>
      <c r="F1409">
        <v>2014</v>
      </c>
      <c r="G1409">
        <v>21006</v>
      </c>
      <c r="H1409" s="1">
        <v>41697</v>
      </c>
      <c r="I1409" s="1">
        <v>41702</v>
      </c>
      <c r="J1409" s="1">
        <v>41702</v>
      </c>
      <c r="K1409" s="1">
        <v>41792</v>
      </c>
      <c r="N1409" s="5"/>
      <c r="O1409">
        <v>59.36</v>
      </c>
      <c r="P1409">
        <v>310</v>
      </c>
      <c r="Q1409" s="2">
        <v>18401.599999999999</v>
      </c>
      <c r="R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 s="1">
        <v>42382</v>
      </c>
      <c r="AC1409" t="s">
        <v>53</v>
      </c>
      <c r="AD1409" t="s">
        <v>53</v>
      </c>
      <c r="AK1409">
        <v>0</v>
      </c>
      <c r="AU1409" s="6">
        <v>42102</v>
      </c>
      <c r="AV1409" s="6">
        <v>42102</v>
      </c>
      <c r="AW1409" t="s">
        <v>54</v>
      </c>
      <c r="AX1409" t="str">
        <f t="shared" si="109"/>
        <v>FOR</v>
      </c>
      <c r="AY1409" t="s">
        <v>55</v>
      </c>
    </row>
    <row r="1410" spans="1:51" hidden="1">
      <c r="A1410">
        <v>100360</v>
      </c>
      <c r="B1410" t="s">
        <v>131</v>
      </c>
      <c r="C1410" t="str">
        <f t="shared" si="114"/>
        <v>00076810621</v>
      </c>
      <c r="D1410" t="str">
        <f t="shared" si="114"/>
        <v>00076810621</v>
      </c>
      <c r="E1410" t="s">
        <v>52</v>
      </c>
      <c r="F1410">
        <v>2014</v>
      </c>
      <c r="G1410">
        <v>21453</v>
      </c>
      <c r="H1410" s="1">
        <v>41698</v>
      </c>
      <c r="I1410" s="1">
        <v>41702</v>
      </c>
      <c r="J1410" s="1">
        <v>41702</v>
      </c>
      <c r="K1410" s="1">
        <v>41792</v>
      </c>
      <c r="N1410" s="5"/>
      <c r="O1410">
        <v>88.09</v>
      </c>
      <c r="P1410">
        <v>310</v>
      </c>
      <c r="Q1410" s="2">
        <v>27307.9</v>
      </c>
      <c r="R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 s="1">
        <v>42382</v>
      </c>
      <c r="AC1410" t="s">
        <v>53</v>
      </c>
      <c r="AD1410" t="s">
        <v>53</v>
      </c>
      <c r="AK1410">
        <v>0</v>
      </c>
      <c r="AU1410" s="6">
        <v>42102</v>
      </c>
      <c r="AV1410" s="6">
        <v>42102</v>
      </c>
      <c r="AW1410" t="s">
        <v>54</v>
      </c>
      <c r="AX1410" t="str">
        <f t="shared" si="109"/>
        <v>FOR</v>
      </c>
      <c r="AY1410" t="s">
        <v>55</v>
      </c>
    </row>
    <row r="1411" spans="1:51" hidden="1">
      <c r="A1411">
        <v>100360</v>
      </c>
      <c r="B1411" t="s">
        <v>131</v>
      </c>
      <c r="C1411" t="str">
        <f t="shared" si="114"/>
        <v>00076810621</v>
      </c>
      <c r="D1411" t="str">
        <f t="shared" si="114"/>
        <v>00076810621</v>
      </c>
      <c r="E1411" t="s">
        <v>52</v>
      </c>
      <c r="F1411">
        <v>2014</v>
      </c>
      <c r="G1411">
        <v>22210</v>
      </c>
      <c r="H1411" s="1">
        <v>41701</v>
      </c>
      <c r="I1411" s="1">
        <v>41711</v>
      </c>
      <c r="J1411" s="1">
        <v>41711</v>
      </c>
      <c r="K1411" s="1">
        <v>41801</v>
      </c>
      <c r="N1411" s="5"/>
      <c r="O1411">
        <v>6.2</v>
      </c>
      <c r="P1411">
        <v>301</v>
      </c>
      <c r="Q1411" s="2">
        <v>1866.2</v>
      </c>
      <c r="R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 s="1">
        <v>42382</v>
      </c>
      <c r="AC1411" t="s">
        <v>53</v>
      </c>
      <c r="AD1411" t="s">
        <v>53</v>
      </c>
      <c r="AK1411">
        <v>0</v>
      </c>
      <c r="AU1411" s="6">
        <v>42102</v>
      </c>
      <c r="AV1411" s="6">
        <v>42102</v>
      </c>
      <c r="AW1411" t="s">
        <v>54</v>
      </c>
      <c r="AX1411" t="str">
        <f t="shared" ref="AX1411:AX1474" si="115">"FOR"</f>
        <v>FOR</v>
      </c>
      <c r="AY1411" t="s">
        <v>55</v>
      </c>
    </row>
    <row r="1412" spans="1:51" hidden="1">
      <c r="A1412">
        <v>100360</v>
      </c>
      <c r="B1412" t="s">
        <v>131</v>
      </c>
      <c r="C1412" t="str">
        <f t="shared" si="114"/>
        <v>00076810621</v>
      </c>
      <c r="D1412" t="str">
        <f t="shared" si="114"/>
        <v>00076810621</v>
      </c>
      <c r="E1412" t="s">
        <v>52</v>
      </c>
      <c r="F1412">
        <v>2014</v>
      </c>
      <c r="G1412">
        <v>22496</v>
      </c>
      <c r="H1412" s="1">
        <v>41702</v>
      </c>
      <c r="I1412" s="1">
        <v>41711</v>
      </c>
      <c r="J1412" s="1">
        <v>41711</v>
      </c>
      <c r="K1412" s="1">
        <v>41801</v>
      </c>
      <c r="N1412" s="5"/>
      <c r="O1412">
        <v>140.24</v>
      </c>
      <c r="P1412">
        <v>301</v>
      </c>
      <c r="Q1412" s="2">
        <v>42212.24</v>
      </c>
      <c r="R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 s="1">
        <v>42382</v>
      </c>
      <c r="AC1412" t="s">
        <v>53</v>
      </c>
      <c r="AD1412" t="s">
        <v>53</v>
      </c>
      <c r="AK1412">
        <v>0</v>
      </c>
      <c r="AU1412" s="6">
        <v>42102</v>
      </c>
      <c r="AV1412" s="6">
        <v>42102</v>
      </c>
      <c r="AW1412" t="s">
        <v>54</v>
      </c>
      <c r="AX1412" t="str">
        <f t="shared" si="115"/>
        <v>FOR</v>
      </c>
      <c r="AY1412" t="s">
        <v>55</v>
      </c>
    </row>
    <row r="1413" spans="1:51" hidden="1">
      <c r="A1413">
        <v>100360</v>
      </c>
      <c r="B1413" t="s">
        <v>131</v>
      </c>
      <c r="C1413" t="str">
        <f t="shared" si="114"/>
        <v>00076810621</v>
      </c>
      <c r="D1413" t="str">
        <f t="shared" si="114"/>
        <v>00076810621</v>
      </c>
      <c r="E1413" t="s">
        <v>52</v>
      </c>
      <c r="F1413">
        <v>2014</v>
      </c>
      <c r="G1413">
        <v>22697</v>
      </c>
      <c r="H1413" s="1">
        <v>41702</v>
      </c>
      <c r="I1413" s="1">
        <v>41711</v>
      </c>
      <c r="J1413" s="1">
        <v>41711</v>
      </c>
      <c r="K1413" s="1">
        <v>41801</v>
      </c>
      <c r="N1413" s="5"/>
      <c r="O1413">
        <v>212.81</v>
      </c>
      <c r="P1413">
        <v>301</v>
      </c>
      <c r="Q1413" s="2">
        <v>64055.81</v>
      </c>
      <c r="R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 s="1">
        <v>42382</v>
      </c>
      <c r="AC1413" t="s">
        <v>53</v>
      </c>
      <c r="AD1413" t="s">
        <v>53</v>
      </c>
      <c r="AK1413">
        <v>0</v>
      </c>
      <c r="AU1413" s="6">
        <v>42102</v>
      </c>
      <c r="AV1413" s="6">
        <v>42102</v>
      </c>
      <c r="AW1413" t="s">
        <v>54</v>
      </c>
      <c r="AX1413" t="str">
        <f t="shared" si="115"/>
        <v>FOR</v>
      </c>
      <c r="AY1413" t="s">
        <v>55</v>
      </c>
    </row>
    <row r="1414" spans="1:51" hidden="1">
      <c r="A1414">
        <v>100360</v>
      </c>
      <c r="B1414" t="s">
        <v>131</v>
      </c>
      <c r="C1414" t="str">
        <f t="shared" si="114"/>
        <v>00076810621</v>
      </c>
      <c r="D1414" t="str">
        <f t="shared" si="114"/>
        <v>00076810621</v>
      </c>
      <c r="E1414" t="s">
        <v>52</v>
      </c>
      <c r="F1414">
        <v>2014</v>
      </c>
      <c r="G1414">
        <v>23582</v>
      </c>
      <c r="H1414" s="1">
        <v>41704</v>
      </c>
      <c r="I1414" s="1">
        <v>41711</v>
      </c>
      <c r="J1414" s="1">
        <v>41711</v>
      </c>
      <c r="K1414" s="1">
        <v>41801</v>
      </c>
      <c r="N1414" s="5"/>
      <c r="O1414">
        <v>17.920000000000002</v>
      </c>
      <c r="P1414">
        <v>301</v>
      </c>
      <c r="Q1414" s="2">
        <v>5393.92</v>
      </c>
      <c r="R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 s="1">
        <v>42382</v>
      </c>
      <c r="AC1414" t="s">
        <v>53</v>
      </c>
      <c r="AD1414" t="s">
        <v>53</v>
      </c>
      <c r="AK1414">
        <v>0</v>
      </c>
      <c r="AU1414" s="6">
        <v>42102</v>
      </c>
      <c r="AV1414" s="6">
        <v>42102</v>
      </c>
      <c r="AW1414" t="s">
        <v>54</v>
      </c>
      <c r="AX1414" t="str">
        <f t="shared" si="115"/>
        <v>FOR</v>
      </c>
      <c r="AY1414" t="s">
        <v>55</v>
      </c>
    </row>
    <row r="1415" spans="1:51" hidden="1">
      <c r="A1415">
        <v>100360</v>
      </c>
      <c r="B1415" t="s">
        <v>131</v>
      </c>
      <c r="C1415" t="str">
        <f t="shared" si="114"/>
        <v>00076810621</v>
      </c>
      <c r="D1415" t="str">
        <f t="shared" si="114"/>
        <v>00076810621</v>
      </c>
      <c r="E1415" t="s">
        <v>52</v>
      </c>
      <c r="F1415">
        <v>2014</v>
      </c>
      <c r="G1415">
        <v>23609</v>
      </c>
      <c r="H1415" s="1">
        <v>41704</v>
      </c>
      <c r="I1415" s="1">
        <v>41711</v>
      </c>
      <c r="J1415" s="1">
        <v>41711</v>
      </c>
      <c r="K1415" s="1">
        <v>41801</v>
      </c>
      <c r="N1415" s="5"/>
      <c r="O1415">
        <v>2.97</v>
      </c>
      <c r="P1415">
        <v>301</v>
      </c>
      <c r="Q1415">
        <v>893.97</v>
      </c>
      <c r="R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 s="1">
        <v>42382</v>
      </c>
      <c r="AC1415" t="s">
        <v>53</v>
      </c>
      <c r="AD1415" t="s">
        <v>53</v>
      </c>
      <c r="AK1415">
        <v>0</v>
      </c>
      <c r="AU1415" s="6">
        <v>42102</v>
      </c>
      <c r="AV1415" s="6">
        <v>42102</v>
      </c>
      <c r="AW1415" t="s">
        <v>54</v>
      </c>
      <c r="AX1415" t="str">
        <f t="shared" si="115"/>
        <v>FOR</v>
      </c>
      <c r="AY1415" t="s">
        <v>55</v>
      </c>
    </row>
    <row r="1416" spans="1:51" hidden="1">
      <c r="A1416">
        <v>100360</v>
      </c>
      <c r="B1416" t="s">
        <v>131</v>
      </c>
      <c r="C1416" t="str">
        <f t="shared" si="114"/>
        <v>00076810621</v>
      </c>
      <c r="D1416" t="str">
        <f t="shared" si="114"/>
        <v>00076810621</v>
      </c>
      <c r="E1416" t="s">
        <v>52</v>
      </c>
      <c r="F1416">
        <v>2014</v>
      </c>
      <c r="G1416">
        <v>24057</v>
      </c>
      <c r="H1416" s="1">
        <v>41705</v>
      </c>
      <c r="I1416" s="1">
        <v>41711</v>
      </c>
      <c r="J1416" s="1">
        <v>41711</v>
      </c>
      <c r="K1416" s="1">
        <v>41801</v>
      </c>
      <c r="N1416" s="5"/>
      <c r="O1416">
        <v>35.340000000000003</v>
      </c>
      <c r="P1416">
        <v>301</v>
      </c>
      <c r="Q1416" s="2">
        <v>10637.34</v>
      </c>
      <c r="R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 s="1">
        <v>42382</v>
      </c>
      <c r="AC1416" t="s">
        <v>53</v>
      </c>
      <c r="AD1416" t="s">
        <v>53</v>
      </c>
      <c r="AK1416">
        <v>0</v>
      </c>
      <c r="AU1416" s="6">
        <v>42102</v>
      </c>
      <c r="AV1416" s="6">
        <v>42102</v>
      </c>
      <c r="AW1416" t="s">
        <v>54</v>
      </c>
      <c r="AX1416" t="str">
        <f t="shared" si="115"/>
        <v>FOR</v>
      </c>
      <c r="AY1416" t="s">
        <v>55</v>
      </c>
    </row>
    <row r="1417" spans="1:51" hidden="1">
      <c r="A1417">
        <v>100360</v>
      </c>
      <c r="B1417" t="s">
        <v>131</v>
      </c>
      <c r="C1417" t="str">
        <f t="shared" si="114"/>
        <v>00076810621</v>
      </c>
      <c r="D1417" t="str">
        <f t="shared" si="114"/>
        <v>00076810621</v>
      </c>
      <c r="E1417" t="s">
        <v>52</v>
      </c>
      <c r="F1417">
        <v>2014</v>
      </c>
      <c r="G1417">
        <v>24288</v>
      </c>
      <c r="H1417" s="1">
        <v>41706</v>
      </c>
      <c r="I1417" s="1">
        <v>41711</v>
      </c>
      <c r="J1417" s="1">
        <v>41711</v>
      </c>
      <c r="K1417" s="1">
        <v>41801</v>
      </c>
      <c r="N1417" s="5"/>
      <c r="O1417">
        <v>160.94999999999999</v>
      </c>
      <c r="P1417">
        <v>301</v>
      </c>
      <c r="Q1417" s="2">
        <v>48445.95</v>
      </c>
      <c r="R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 s="1">
        <v>42382</v>
      </c>
      <c r="AC1417" t="s">
        <v>53</v>
      </c>
      <c r="AD1417" t="s">
        <v>53</v>
      </c>
      <c r="AK1417">
        <v>0</v>
      </c>
      <c r="AU1417" s="6">
        <v>42102</v>
      </c>
      <c r="AV1417" s="6">
        <v>42102</v>
      </c>
      <c r="AW1417" t="s">
        <v>54</v>
      </c>
      <c r="AX1417" t="str">
        <f t="shared" si="115"/>
        <v>FOR</v>
      </c>
      <c r="AY1417" t="s">
        <v>55</v>
      </c>
    </row>
    <row r="1418" spans="1:51" hidden="1">
      <c r="A1418">
        <v>100360</v>
      </c>
      <c r="B1418" t="s">
        <v>131</v>
      </c>
      <c r="C1418" t="str">
        <f t="shared" si="114"/>
        <v>00076810621</v>
      </c>
      <c r="D1418" t="str">
        <f t="shared" si="114"/>
        <v>00076810621</v>
      </c>
      <c r="E1418" t="s">
        <v>52</v>
      </c>
      <c r="F1418">
        <v>2014</v>
      </c>
      <c r="G1418">
        <v>24559</v>
      </c>
      <c r="H1418" s="1">
        <v>41708</v>
      </c>
      <c r="I1418" s="1">
        <v>41711</v>
      </c>
      <c r="J1418" s="1">
        <v>41711</v>
      </c>
      <c r="K1418" s="1">
        <v>41801</v>
      </c>
      <c r="N1418" s="5"/>
      <c r="O1418">
        <v>167.61</v>
      </c>
      <c r="P1418">
        <v>301</v>
      </c>
      <c r="Q1418" s="2">
        <v>50450.61</v>
      </c>
      <c r="R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 s="1">
        <v>42382</v>
      </c>
      <c r="AC1418" t="s">
        <v>53</v>
      </c>
      <c r="AD1418" t="s">
        <v>53</v>
      </c>
      <c r="AK1418">
        <v>0</v>
      </c>
      <c r="AU1418" s="6">
        <v>42102</v>
      </c>
      <c r="AV1418" s="6">
        <v>42102</v>
      </c>
      <c r="AW1418" t="s">
        <v>54</v>
      </c>
      <c r="AX1418" t="str">
        <f t="shared" si="115"/>
        <v>FOR</v>
      </c>
      <c r="AY1418" t="s">
        <v>55</v>
      </c>
    </row>
    <row r="1419" spans="1:51" hidden="1">
      <c r="A1419">
        <v>100360</v>
      </c>
      <c r="B1419" t="s">
        <v>131</v>
      </c>
      <c r="C1419" t="str">
        <f t="shared" si="114"/>
        <v>00076810621</v>
      </c>
      <c r="D1419" t="str">
        <f t="shared" si="114"/>
        <v>00076810621</v>
      </c>
      <c r="E1419" t="s">
        <v>52</v>
      </c>
      <c r="F1419">
        <v>2014</v>
      </c>
      <c r="G1419">
        <v>24821</v>
      </c>
      <c r="H1419" s="1">
        <v>41708</v>
      </c>
      <c r="I1419" s="1">
        <v>41711</v>
      </c>
      <c r="J1419" s="1">
        <v>41711</v>
      </c>
      <c r="K1419" s="1">
        <v>41801</v>
      </c>
      <c r="N1419" s="5"/>
      <c r="O1419">
        <v>28.81</v>
      </c>
      <c r="P1419">
        <v>301</v>
      </c>
      <c r="Q1419" s="2">
        <v>8671.81</v>
      </c>
      <c r="R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 s="1">
        <v>42382</v>
      </c>
      <c r="AC1419" t="s">
        <v>53</v>
      </c>
      <c r="AD1419" t="s">
        <v>53</v>
      </c>
      <c r="AK1419">
        <v>0</v>
      </c>
      <c r="AU1419" s="6">
        <v>42102</v>
      </c>
      <c r="AV1419" s="6">
        <v>42102</v>
      </c>
      <c r="AW1419" t="s">
        <v>54</v>
      </c>
      <c r="AX1419" t="str">
        <f t="shared" si="115"/>
        <v>FOR</v>
      </c>
      <c r="AY1419" t="s">
        <v>55</v>
      </c>
    </row>
    <row r="1420" spans="1:51" hidden="1">
      <c r="A1420">
        <v>100360</v>
      </c>
      <c r="B1420" t="s">
        <v>131</v>
      </c>
      <c r="C1420" t="str">
        <f t="shared" si="114"/>
        <v>00076810621</v>
      </c>
      <c r="D1420" t="str">
        <f t="shared" si="114"/>
        <v>00076810621</v>
      </c>
      <c r="E1420" t="s">
        <v>52</v>
      </c>
      <c r="F1420">
        <v>2014</v>
      </c>
      <c r="G1420">
        <v>25054</v>
      </c>
      <c r="H1420" s="1">
        <v>41709</v>
      </c>
      <c r="I1420" s="1">
        <v>41712</v>
      </c>
      <c r="J1420" s="1">
        <v>41712</v>
      </c>
      <c r="K1420" s="1">
        <v>41802</v>
      </c>
      <c r="N1420" s="5"/>
      <c r="O1420">
        <v>3.74</v>
      </c>
      <c r="P1420">
        <v>300</v>
      </c>
      <c r="Q1420" s="2">
        <v>1122</v>
      </c>
      <c r="R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 s="1">
        <v>42382</v>
      </c>
      <c r="AC1420" t="s">
        <v>53</v>
      </c>
      <c r="AD1420" t="s">
        <v>53</v>
      </c>
      <c r="AK1420">
        <v>0</v>
      </c>
      <c r="AU1420" s="6">
        <v>42102</v>
      </c>
      <c r="AV1420" s="6">
        <v>42102</v>
      </c>
      <c r="AW1420" t="s">
        <v>54</v>
      </c>
      <c r="AX1420" t="str">
        <f t="shared" si="115"/>
        <v>FOR</v>
      </c>
      <c r="AY1420" t="s">
        <v>55</v>
      </c>
    </row>
    <row r="1421" spans="1:51" hidden="1">
      <c r="A1421">
        <v>100360</v>
      </c>
      <c r="B1421" t="s">
        <v>131</v>
      </c>
      <c r="C1421" t="str">
        <f t="shared" si="114"/>
        <v>00076810621</v>
      </c>
      <c r="D1421" t="str">
        <f t="shared" si="114"/>
        <v>00076810621</v>
      </c>
      <c r="E1421" t="s">
        <v>52</v>
      </c>
      <c r="F1421">
        <v>2014</v>
      </c>
      <c r="G1421">
        <v>25769</v>
      </c>
      <c r="H1421" s="1">
        <v>41710</v>
      </c>
      <c r="I1421" s="1">
        <v>41715</v>
      </c>
      <c r="J1421" s="1">
        <v>41715</v>
      </c>
      <c r="K1421" s="1">
        <v>41805</v>
      </c>
      <c r="N1421" s="5"/>
      <c r="O1421">
        <v>32.65</v>
      </c>
      <c r="P1421">
        <v>297</v>
      </c>
      <c r="Q1421" s="2">
        <v>9697.0499999999993</v>
      </c>
      <c r="R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 s="1">
        <v>42382</v>
      </c>
      <c r="AC1421" t="s">
        <v>53</v>
      </c>
      <c r="AD1421" t="s">
        <v>53</v>
      </c>
      <c r="AK1421">
        <v>0</v>
      </c>
      <c r="AU1421" s="6">
        <v>42102</v>
      </c>
      <c r="AV1421" s="6">
        <v>42102</v>
      </c>
      <c r="AW1421" t="s">
        <v>54</v>
      </c>
      <c r="AX1421" t="str">
        <f t="shared" si="115"/>
        <v>FOR</v>
      </c>
      <c r="AY1421" t="s">
        <v>55</v>
      </c>
    </row>
    <row r="1422" spans="1:51" hidden="1">
      <c r="A1422">
        <v>100360</v>
      </c>
      <c r="B1422" t="s">
        <v>131</v>
      </c>
      <c r="C1422" t="str">
        <f t="shared" si="114"/>
        <v>00076810621</v>
      </c>
      <c r="D1422" t="str">
        <f t="shared" si="114"/>
        <v>00076810621</v>
      </c>
      <c r="E1422" t="s">
        <v>52</v>
      </c>
      <c r="F1422">
        <v>2014</v>
      </c>
      <c r="G1422">
        <v>25983</v>
      </c>
      <c r="H1422" s="1">
        <v>41711</v>
      </c>
      <c r="I1422" s="1">
        <v>41715</v>
      </c>
      <c r="J1422" s="1">
        <v>41715</v>
      </c>
      <c r="K1422" s="1">
        <v>41805</v>
      </c>
      <c r="N1422" s="5"/>
      <c r="O1422">
        <v>65.59</v>
      </c>
      <c r="P1422">
        <v>297</v>
      </c>
      <c r="Q1422" s="2">
        <v>19480.23</v>
      </c>
      <c r="R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 s="1">
        <v>42382</v>
      </c>
      <c r="AC1422" t="s">
        <v>53</v>
      </c>
      <c r="AD1422" t="s">
        <v>53</v>
      </c>
      <c r="AK1422">
        <v>0</v>
      </c>
      <c r="AU1422" s="6">
        <v>42102</v>
      </c>
      <c r="AV1422" s="6">
        <v>42102</v>
      </c>
      <c r="AW1422" t="s">
        <v>54</v>
      </c>
      <c r="AX1422" t="str">
        <f t="shared" si="115"/>
        <v>FOR</v>
      </c>
      <c r="AY1422" t="s">
        <v>55</v>
      </c>
    </row>
    <row r="1423" spans="1:51" hidden="1">
      <c r="A1423">
        <v>100360</v>
      </c>
      <c r="B1423" t="s">
        <v>131</v>
      </c>
      <c r="C1423" t="str">
        <f t="shared" si="114"/>
        <v>00076810621</v>
      </c>
      <c r="D1423" t="str">
        <f t="shared" si="114"/>
        <v>00076810621</v>
      </c>
      <c r="E1423" t="s">
        <v>52</v>
      </c>
      <c r="F1423">
        <v>2014</v>
      </c>
      <c r="G1423">
        <v>26206</v>
      </c>
      <c r="H1423" s="1">
        <v>41711</v>
      </c>
      <c r="I1423" s="1">
        <v>41715</v>
      </c>
      <c r="J1423" s="1">
        <v>41715</v>
      </c>
      <c r="K1423" s="1">
        <v>41805</v>
      </c>
      <c r="N1423" s="5"/>
      <c r="O1423">
        <v>76.98</v>
      </c>
      <c r="P1423">
        <v>297</v>
      </c>
      <c r="Q1423" s="2">
        <v>22863.06</v>
      </c>
      <c r="R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 s="1">
        <v>42382</v>
      </c>
      <c r="AC1423" t="s">
        <v>53</v>
      </c>
      <c r="AD1423" t="s">
        <v>53</v>
      </c>
      <c r="AK1423">
        <v>0</v>
      </c>
      <c r="AU1423" s="6">
        <v>42102</v>
      </c>
      <c r="AV1423" s="6">
        <v>42102</v>
      </c>
      <c r="AW1423" t="s">
        <v>54</v>
      </c>
      <c r="AX1423" t="str">
        <f t="shared" si="115"/>
        <v>FOR</v>
      </c>
      <c r="AY1423" t="s">
        <v>55</v>
      </c>
    </row>
    <row r="1424" spans="1:51" hidden="1">
      <c r="A1424">
        <v>100360</v>
      </c>
      <c r="B1424" t="s">
        <v>131</v>
      </c>
      <c r="C1424" t="str">
        <f t="shared" si="114"/>
        <v>00076810621</v>
      </c>
      <c r="D1424" t="str">
        <f t="shared" si="114"/>
        <v>00076810621</v>
      </c>
      <c r="E1424" t="s">
        <v>52</v>
      </c>
      <c r="F1424">
        <v>2014</v>
      </c>
      <c r="G1424">
        <v>26849</v>
      </c>
      <c r="H1424" s="1">
        <v>41713</v>
      </c>
      <c r="I1424" s="1">
        <v>41715</v>
      </c>
      <c r="J1424" s="1">
        <v>41715</v>
      </c>
      <c r="K1424" s="1">
        <v>41805</v>
      </c>
      <c r="N1424" s="5"/>
      <c r="O1424">
        <v>150.15</v>
      </c>
      <c r="P1424">
        <v>297</v>
      </c>
      <c r="Q1424" s="2">
        <v>44594.55</v>
      </c>
      <c r="R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 s="1">
        <v>42382</v>
      </c>
      <c r="AC1424" t="s">
        <v>53</v>
      </c>
      <c r="AD1424" t="s">
        <v>53</v>
      </c>
      <c r="AK1424">
        <v>0</v>
      </c>
      <c r="AU1424" s="6">
        <v>42102</v>
      </c>
      <c r="AV1424" s="6">
        <v>42102</v>
      </c>
      <c r="AW1424" t="s">
        <v>54</v>
      </c>
      <c r="AX1424" t="str">
        <f t="shared" si="115"/>
        <v>FOR</v>
      </c>
      <c r="AY1424" t="s">
        <v>55</v>
      </c>
    </row>
    <row r="1425" spans="1:51" hidden="1">
      <c r="A1425">
        <v>100360</v>
      </c>
      <c r="B1425" t="s">
        <v>131</v>
      </c>
      <c r="C1425" t="str">
        <f t="shared" si="114"/>
        <v>00076810621</v>
      </c>
      <c r="D1425" t="str">
        <f t="shared" si="114"/>
        <v>00076810621</v>
      </c>
      <c r="E1425" t="s">
        <v>52</v>
      </c>
      <c r="F1425">
        <v>2014</v>
      </c>
      <c r="G1425">
        <v>27124</v>
      </c>
      <c r="H1425" s="1">
        <v>41715</v>
      </c>
      <c r="I1425" s="1">
        <v>41716</v>
      </c>
      <c r="J1425" s="1">
        <v>41716</v>
      </c>
      <c r="K1425" s="1">
        <v>41806</v>
      </c>
      <c r="N1425" s="5"/>
      <c r="O1425">
        <v>25.18</v>
      </c>
      <c r="P1425">
        <v>296</v>
      </c>
      <c r="Q1425" s="2">
        <v>7453.28</v>
      </c>
      <c r="R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 s="1">
        <v>42382</v>
      </c>
      <c r="AC1425" t="s">
        <v>53</v>
      </c>
      <c r="AD1425" t="s">
        <v>53</v>
      </c>
      <c r="AK1425">
        <v>0</v>
      </c>
      <c r="AU1425" s="6">
        <v>42102</v>
      </c>
      <c r="AV1425" s="6">
        <v>42102</v>
      </c>
      <c r="AW1425" t="s">
        <v>54</v>
      </c>
      <c r="AX1425" t="str">
        <f t="shared" si="115"/>
        <v>FOR</v>
      </c>
      <c r="AY1425" t="s">
        <v>55</v>
      </c>
    </row>
    <row r="1426" spans="1:51" hidden="1">
      <c r="A1426">
        <v>100360</v>
      </c>
      <c r="B1426" t="s">
        <v>131</v>
      </c>
      <c r="C1426" t="str">
        <f t="shared" si="114"/>
        <v>00076810621</v>
      </c>
      <c r="D1426" t="str">
        <f t="shared" si="114"/>
        <v>00076810621</v>
      </c>
      <c r="E1426" t="s">
        <v>52</v>
      </c>
      <c r="F1426">
        <v>2014</v>
      </c>
      <c r="G1426">
        <v>27347</v>
      </c>
      <c r="H1426" s="1">
        <v>41715</v>
      </c>
      <c r="I1426" s="1">
        <v>41716</v>
      </c>
      <c r="J1426" s="1">
        <v>41716</v>
      </c>
      <c r="K1426" s="1">
        <v>41806</v>
      </c>
      <c r="N1426" s="5"/>
      <c r="O1426">
        <v>18.670000000000002</v>
      </c>
      <c r="P1426">
        <v>296</v>
      </c>
      <c r="Q1426" s="2">
        <v>5526.32</v>
      </c>
      <c r="R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 s="1">
        <v>42382</v>
      </c>
      <c r="AC1426" t="s">
        <v>53</v>
      </c>
      <c r="AD1426" t="s">
        <v>53</v>
      </c>
      <c r="AK1426">
        <v>0</v>
      </c>
      <c r="AU1426" s="6">
        <v>42102</v>
      </c>
      <c r="AV1426" s="6">
        <v>42102</v>
      </c>
      <c r="AW1426" t="s">
        <v>54</v>
      </c>
      <c r="AX1426" t="str">
        <f t="shared" si="115"/>
        <v>FOR</v>
      </c>
      <c r="AY1426" t="s">
        <v>55</v>
      </c>
    </row>
    <row r="1427" spans="1:51" hidden="1">
      <c r="A1427">
        <v>100360</v>
      </c>
      <c r="B1427" t="s">
        <v>131</v>
      </c>
      <c r="C1427" t="str">
        <f t="shared" si="114"/>
        <v>00076810621</v>
      </c>
      <c r="D1427" t="str">
        <f t="shared" si="114"/>
        <v>00076810621</v>
      </c>
      <c r="E1427" t="s">
        <v>52</v>
      </c>
      <c r="F1427">
        <v>2014</v>
      </c>
      <c r="G1427">
        <v>27836</v>
      </c>
      <c r="H1427" s="1">
        <v>41716</v>
      </c>
      <c r="I1427" s="1">
        <v>41719</v>
      </c>
      <c r="J1427" s="1">
        <v>41719</v>
      </c>
      <c r="K1427" s="1">
        <v>41809</v>
      </c>
      <c r="N1427" s="5"/>
      <c r="O1427">
        <v>50.9</v>
      </c>
      <c r="P1427">
        <v>293</v>
      </c>
      <c r="Q1427" s="2">
        <v>14913.7</v>
      </c>
      <c r="R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 s="1">
        <v>42382</v>
      </c>
      <c r="AC1427" t="s">
        <v>53</v>
      </c>
      <c r="AD1427" t="s">
        <v>53</v>
      </c>
      <c r="AK1427">
        <v>0</v>
      </c>
      <c r="AU1427" s="6">
        <v>42102</v>
      </c>
      <c r="AV1427" s="6">
        <v>42102</v>
      </c>
      <c r="AW1427" t="s">
        <v>54</v>
      </c>
      <c r="AX1427" t="str">
        <f t="shared" si="115"/>
        <v>FOR</v>
      </c>
      <c r="AY1427" t="s">
        <v>55</v>
      </c>
    </row>
    <row r="1428" spans="1:51" hidden="1">
      <c r="A1428">
        <v>100360</v>
      </c>
      <c r="B1428" t="s">
        <v>131</v>
      </c>
      <c r="C1428" t="str">
        <f t="shared" ref="C1428:D1447" si="116">"00076810621"</f>
        <v>00076810621</v>
      </c>
      <c r="D1428" t="str">
        <f t="shared" si="116"/>
        <v>00076810621</v>
      </c>
      <c r="E1428" t="s">
        <v>52</v>
      </c>
      <c r="F1428">
        <v>2014</v>
      </c>
      <c r="G1428">
        <v>28079</v>
      </c>
      <c r="H1428" s="1">
        <v>41717</v>
      </c>
      <c r="I1428" s="1">
        <v>41719</v>
      </c>
      <c r="J1428" s="1">
        <v>41719</v>
      </c>
      <c r="K1428" s="1">
        <v>41809</v>
      </c>
      <c r="N1428" s="5"/>
      <c r="O1428">
        <v>32</v>
      </c>
      <c r="P1428">
        <v>293</v>
      </c>
      <c r="Q1428" s="2">
        <v>9376</v>
      </c>
      <c r="R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 s="1">
        <v>42382</v>
      </c>
      <c r="AC1428" t="s">
        <v>53</v>
      </c>
      <c r="AD1428" t="s">
        <v>53</v>
      </c>
      <c r="AK1428">
        <v>0</v>
      </c>
      <c r="AU1428" s="6">
        <v>42102</v>
      </c>
      <c r="AV1428" s="6">
        <v>42102</v>
      </c>
      <c r="AW1428" t="s">
        <v>54</v>
      </c>
      <c r="AX1428" t="str">
        <f t="shared" si="115"/>
        <v>FOR</v>
      </c>
      <c r="AY1428" t="s">
        <v>55</v>
      </c>
    </row>
    <row r="1429" spans="1:51" hidden="1">
      <c r="A1429">
        <v>100360</v>
      </c>
      <c r="B1429" t="s">
        <v>131</v>
      </c>
      <c r="C1429" t="str">
        <f t="shared" si="116"/>
        <v>00076810621</v>
      </c>
      <c r="D1429" t="str">
        <f t="shared" si="116"/>
        <v>00076810621</v>
      </c>
      <c r="E1429" t="s">
        <v>52</v>
      </c>
      <c r="F1429">
        <v>2014</v>
      </c>
      <c r="G1429">
        <v>28744</v>
      </c>
      <c r="H1429" s="1">
        <v>41718</v>
      </c>
      <c r="I1429" s="1">
        <v>41722</v>
      </c>
      <c r="J1429" s="1">
        <v>41722</v>
      </c>
      <c r="K1429" s="1">
        <v>41812</v>
      </c>
      <c r="N1429" s="5"/>
      <c r="O1429">
        <v>13.83</v>
      </c>
      <c r="P1429">
        <v>290</v>
      </c>
      <c r="Q1429" s="2">
        <v>4010.7</v>
      </c>
      <c r="R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 s="1">
        <v>42382</v>
      </c>
      <c r="AC1429" t="s">
        <v>53</v>
      </c>
      <c r="AD1429" t="s">
        <v>53</v>
      </c>
      <c r="AK1429">
        <v>0</v>
      </c>
      <c r="AU1429" s="6">
        <v>42102</v>
      </c>
      <c r="AV1429" s="6">
        <v>42102</v>
      </c>
      <c r="AW1429" t="s">
        <v>54</v>
      </c>
      <c r="AX1429" t="str">
        <f t="shared" si="115"/>
        <v>FOR</v>
      </c>
      <c r="AY1429" t="s">
        <v>55</v>
      </c>
    </row>
    <row r="1430" spans="1:51" hidden="1">
      <c r="A1430">
        <v>100360</v>
      </c>
      <c r="B1430" t="s">
        <v>131</v>
      </c>
      <c r="C1430" t="str">
        <f t="shared" si="116"/>
        <v>00076810621</v>
      </c>
      <c r="D1430" t="str">
        <f t="shared" si="116"/>
        <v>00076810621</v>
      </c>
      <c r="E1430" t="s">
        <v>52</v>
      </c>
      <c r="F1430">
        <v>2014</v>
      </c>
      <c r="G1430">
        <v>29000</v>
      </c>
      <c r="H1430" s="1">
        <v>41719</v>
      </c>
      <c r="I1430" s="1">
        <v>41724</v>
      </c>
      <c r="J1430" s="1">
        <v>41724</v>
      </c>
      <c r="K1430" s="1">
        <v>41814</v>
      </c>
      <c r="N1430" s="5"/>
      <c r="O1430">
        <v>26.25</v>
      </c>
      <c r="P1430">
        <v>288</v>
      </c>
      <c r="Q1430" s="2">
        <v>7560</v>
      </c>
      <c r="R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 s="1">
        <v>42382</v>
      </c>
      <c r="AC1430" t="s">
        <v>53</v>
      </c>
      <c r="AD1430" t="s">
        <v>53</v>
      </c>
      <c r="AK1430">
        <v>0</v>
      </c>
      <c r="AU1430" s="6">
        <v>42102</v>
      </c>
      <c r="AV1430" s="6">
        <v>42102</v>
      </c>
      <c r="AW1430" t="s">
        <v>54</v>
      </c>
      <c r="AX1430" t="str">
        <f t="shared" si="115"/>
        <v>FOR</v>
      </c>
      <c r="AY1430" t="s">
        <v>55</v>
      </c>
    </row>
    <row r="1431" spans="1:51" hidden="1">
      <c r="A1431">
        <v>100360</v>
      </c>
      <c r="B1431" t="s">
        <v>131</v>
      </c>
      <c r="C1431" t="str">
        <f t="shared" si="116"/>
        <v>00076810621</v>
      </c>
      <c r="D1431" t="str">
        <f t="shared" si="116"/>
        <v>00076810621</v>
      </c>
      <c r="E1431" t="s">
        <v>52</v>
      </c>
      <c r="F1431">
        <v>2014</v>
      </c>
      <c r="G1431">
        <v>29196</v>
      </c>
      <c r="H1431" s="1">
        <v>41719</v>
      </c>
      <c r="I1431" s="1">
        <v>41724</v>
      </c>
      <c r="J1431" s="1">
        <v>41724</v>
      </c>
      <c r="K1431" s="1">
        <v>41814</v>
      </c>
      <c r="N1431" s="5"/>
      <c r="O1431">
        <v>1.0900000000000001</v>
      </c>
      <c r="P1431">
        <v>288</v>
      </c>
      <c r="Q1431">
        <v>313.92</v>
      </c>
      <c r="R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 s="1">
        <v>42382</v>
      </c>
      <c r="AC1431" t="s">
        <v>53</v>
      </c>
      <c r="AD1431" t="s">
        <v>53</v>
      </c>
      <c r="AK1431">
        <v>0</v>
      </c>
      <c r="AU1431" s="6">
        <v>42102</v>
      </c>
      <c r="AV1431" s="6">
        <v>42102</v>
      </c>
      <c r="AW1431" t="s">
        <v>54</v>
      </c>
      <c r="AX1431" t="str">
        <f t="shared" si="115"/>
        <v>FOR</v>
      </c>
      <c r="AY1431" t="s">
        <v>55</v>
      </c>
    </row>
    <row r="1432" spans="1:51" hidden="1">
      <c r="A1432">
        <v>100360</v>
      </c>
      <c r="B1432" t="s">
        <v>131</v>
      </c>
      <c r="C1432" t="str">
        <f t="shared" si="116"/>
        <v>00076810621</v>
      </c>
      <c r="D1432" t="str">
        <f t="shared" si="116"/>
        <v>00076810621</v>
      </c>
      <c r="E1432" t="s">
        <v>52</v>
      </c>
      <c r="F1432">
        <v>2014</v>
      </c>
      <c r="G1432">
        <v>29473</v>
      </c>
      <c r="H1432" s="1">
        <v>41720</v>
      </c>
      <c r="I1432" s="1">
        <v>41725</v>
      </c>
      <c r="J1432" s="1">
        <v>41725</v>
      </c>
      <c r="K1432" s="1">
        <v>41815</v>
      </c>
      <c r="N1432" s="5"/>
      <c r="O1432">
        <v>10.15</v>
      </c>
      <c r="P1432">
        <v>287</v>
      </c>
      <c r="Q1432" s="2">
        <v>2913.05</v>
      </c>
      <c r="R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 s="1">
        <v>42382</v>
      </c>
      <c r="AC1432" t="s">
        <v>53</v>
      </c>
      <c r="AD1432" t="s">
        <v>53</v>
      </c>
      <c r="AK1432">
        <v>0</v>
      </c>
      <c r="AU1432" s="6">
        <v>42102</v>
      </c>
      <c r="AV1432" s="6">
        <v>42102</v>
      </c>
      <c r="AW1432" t="s">
        <v>54</v>
      </c>
      <c r="AX1432" t="str">
        <f t="shared" si="115"/>
        <v>FOR</v>
      </c>
      <c r="AY1432" t="s">
        <v>55</v>
      </c>
    </row>
    <row r="1433" spans="1:51" hidden="1">
      <c r="A1433">
        <v>100360</v>
      </c>
      <c r="B1433" t="s">
        <v>131</v>
      </c>
      <c r="C1433" t="str">
        <f t="shared" si="116"/>
        <v>00076810621</v>
      </c>
      <c r="D1433" t="str">
        <f t="shared" si="116"/>
        <v>00076810621</v>
      </c>
      <c r="E1433" t="s">
        <v>52</v>
      </c>
      <c r="F1433">
        <v>2014</v>
      </c>
      <c r="G1433">
        <v>30436</v>
      </c>
      <c r="H1433" s="1">
        <v>41723</v>
      </c>
      <c r="I1433" s="1">
        <v>41725</v>
      </c>
      <c r="J1433" s="1">
        <v>41725</v>
      </c>
      <c r="K1433" s="1">
        <v>41815</v>
      </c>
      <c r="N1433" s="5"/>
      <c r="O1433">
        <v>103.73</v>
      </c>
      <c r="P1433">
        <v>287</v>
      </c>
      <c r="Q1433" s="2">
        <v>29770.51</v>
      </c>
      <c r="R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 s="1">
        <v>42382</v>
      </c>
      <c r="AC1433" t="s">
        <v>53</v>
      </c>
      <c r="AD1433" t="s">
        <v>53</v>
      </c>
      <c r="AK1433">
        <v>0</v>
      </c>
      <c r="AU1433" s="6">
        <v>42102</v>
      </c>
      <c r="AV1433" s="6">
        <v>42102</v>
      </c>
      <c r="AW1433" t="s">
        <v>54</v>
      </c>
      <c r="AX1433" t="str">
        <f t="shared" si="115"/>
        <v>FOR</v>
      </c>
      <c r="AY1433" t="s">
        <v>55</v>
      </c>
    </row>
    <row r="1434" spans="1:51" hidden="1">
      <c r="A1434">
        <v>100360</v>
      </c>
      <c r="B1434" t="s">
        <v>131</v>
      </c>
      <c r="C1434" t="str">
        <f t="shared" si="116"/>
        <v>00076810621</v>
      </c>
      <c r="D1434" t="str">
        <f t="shared" si="116"/>
        <v>00076810621</v>
      </c>
      <c r="E1434" t="s">
        <v>52</v>
      </c>
      <c r="F1434">
        <v>2014</v>
      </c>
      <c r="G1434">
        <v>30677</v>
      </c>
      <c r="H1434" s="1">
        <v>41724</v>
      </c>
      <c r="I1434" s="1">
        <v>41730</v>
      </c>
      <c r="J1434" s="1">
        <v>41730</v>
      </c>
      <c r="K1434" s="1">
        <v>41820</v>
      </c>
      <c r="N1434" s="5"/>
      <c r="O1434">
        <v>18.690000000000001</v>
      </c>
      <c r="P1434">
        <v>282</v>
      </c>
      <c r="Q1434" s="2">
        <v>5270.58</v>
      </c>
      <c r="R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 s="1">
        <v>42382</v>
      </c>
      <c r="AC1434" t="s">
        <v>53</v>
      </c>
      <c r="AD1434" t="s">
        <v>53</v>
      </c>
      <c r="AK1434">
        <v>0</v>
      </c>
      <c r="AU1434" s="6">
        <v>42102</v>
      </c>
      <c r="AV1434" s="6">
        <v>42102</v>
      </c>
      <c r="AW1434" t="s">
        <v>54</v>
      </c>
      <c r="AX1434" t="str">
        <f t="shared" si="115"/>
        <v>FOR</v>
      </c>
      <c r="AY1434" t="s">
        <v>55</v>
      </c>
    </row>
    <row r="1435" spans="1:51" hidden="1">
      <c r="A1435">
        <v>100360</v>
      </c>
      <c r="B1435" t="s">
        <v>131</v>
      </c>
      <c r="C1435" t="str">
        <f t="shared" si="116"/>
        <v>00076810621</v>
      </c>
      <c r="D1435" t="str">
        <f t="shared" si="116"/>
        <v>00076810621</v>
      </c>
      <c r="E1435" t="s">
        <v>52</v>
      </c>
      <c r="F1435">
        <v>2014</v>
      </c>
      <c r="G1435">
        <v>31303</v>
      </c>
      <c r="H1435" s="1">
        <v>41725</v>
      </c>
      <c r="I1435" s="1">
        <v>41730</v>
      </c>
      <c r="J1435" s="1">
        <v>41730</v>
      </c>
      <c r="K1435" s="1">
        <v>41820</v>
      </c>
      <c r="N1435" s="5"/>
      <c r="O1435">
        <v>25.18</v>
      </c>
      <c r="P1435">
        <v>282</v>
      </c>
      <c r="Q1435" s="2">
        <v>7100.76</v>
      </c>
      <c r="R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 s="1">
        <v>42382</v>
      </c>
      <c r="AC1435" t="s">
        <v>53</v>
      </c>
      <c r="AD1435" t="s">
        <v>53</v>
      </c>
      <c r="AK1435">
        <v>0</v>
      </c>
      <c r="AU1435" s="6">
        <v>42102</v>
      </c>
      <c r="AV1435" s="6">
        <v>42102</v>
      </c>
      <c r="AW1435" t="s">
        <v>54</v>
      </c>
      <c r="AX1435" t="str">
        <f t="shared" si="115"/>
        <v>FOR</v>
      </c>
      <c r="AY1435" t="s">
        <v>55</v>
      </c>
    </row>
    <row r="1436" spans="1:51" hidden="1">
      <c r="A1436">
        <v>100360</v>
      </c>
      <c r="B1436" t="s">
        <v>131</v>
      </c>
      <c r="C1436" t="str">
        <f t="shared" si="116"/>
        <v>00076810621</v>
      </c>
      <c r="D1436" t="str">
        <f t="shared" si="116"/>
        <v>00076810621</v>
      </c>
      <c r="E1436" t="s">
        <v>52</v>
      </c>
      <c r="F1436">
        <v>2014</v>
      </c>
      <c r="G1436">
        <v>31732</v>
      </c>
      <c r="H1436" s="1">
        <v>41726</v>
      </c>
      <c r="I1436" s="1">
        <v>41731</v>
      </c>
      <c r="J1436" s="1">
        <v>41731</v>
      </c>
      <c r="K1436" s="1">
        <v>41821</v>
      </c>
      <c r="N1436" s="5"/>
      <c r="O1436">
        <v>40.619999999999997</v>
      </c>
      <c r="P1436">
        <v>281</v>
      </c>
      <c r="Q1436" s="2">
        <v>11414.22</v>
      </c>
      <c r="R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 s="1">
        <v>42382</v>
      </c>
      <c r="AC1436" t="s">
        <v>53</v>
      </c>
      <c r="AD1436" t="s">
        <v>53</v>
      </c>
      <c r="AK1436">
        <v>0</v>
      </c>
      <c r="AU1436" s="6">
        <v>42102</v>
      </c>
      <c r="AV1436" s="6">
        <v>42102</v>
      </c>
      <c r="AW1436" t="s">
        <v>54</v>
      </c>
      <c r="AX1436" t="str">
        <f t="shared" si="115"/>
        <v>FOR</v>
      </c>
      <c r="AY1436" t="s">
        <v>55</v>
      </c>
    </row>
    <row r="1437" spans="1:51" hidden="1">
      <c r="A1437">
        <v>100360</v>
      </c>
      <c r="B1437" t="s">
        <v>131</v>
      </c>
      <c r="C1437" t="str">
        <f t="shared" si="116"/>
        <v>00076810621</v>
      </c>
      <c r="D1437" t="str">
        <f t="shared" si="116"/>
        <v>00076810621</v>
      </c>
      <c r="E1437" t="s">
        <v>52</v>
      </c>
      <c r="F1437">
        <v>2014</v>
      </c>
      <c r="G1437">
        <v>32438</v>
      </c>
      <c r="H1437" s="1">
        <v>41729</v>
      </c>
      <c r="I1437" s="1">
        <v>41736</v>
      </c>
      <c r="J1437" s="1">
        <v>41736</v>
      </c>
      <c r="K1437" s="1">
        <v>41826</v>
      </c>
      <c r="N1437" s="5"/>
      <c r="O1437">
        <v>31.87</v>
      </c>
      <c r="P1437">
        <v>276</v>
      </c>
      <c r="Q1437" s="2">
        <v>8796.1200000000008</v>
      </c>
      <c r="R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 s="1">
        <v>42382</v>
      </c>
      <c r="AC1437" t="s">
        <v>53</v>
      </c>
      <c r="AD1437" t="s">
        <v>53</v>
      </c>
      <c r="AK1437">
        <v>0</v>
      </c>
      <c r="AU1437" s="6">
        <v>42102</v>
      </c>
      <c r="AV1437" s="6">
        <v>42102</v>
      </c>
      <c r="AW1437" t="s">
        <v>54</v>
      </c>
      <c r="AX1437" t="str">
        <f t="shared" si="115"/>
        <v>FOR</v>
      </c>
      <c r="AY1437" t="s">
        <v>55</v>
      </c>
    </row>
    <row r="1438" spans="1:51" hidden="1">
      <c r="A1438">
        <v>100360</v>
      </c>
      <c r="B1438" t="s">
        <v>131</v>
      </c>
      <c r="C1438" t="str">
        <f t="shared" si="116"/>
        <v>00076810621</v>
      </c>
      <c r="D1438" t="str">
        <f t="shared" si="116"/>
        <v>00076810621</v>
      </c>
      <c r="E1438" t="s">
        <v>52</v>
      </c>
      <c r="F1438">
        <v>2014</v>
      </c>
      <c r="G1438">
        <v>32930</v>
      </c>
      <c r="H1438" s="1">
        <v>41730</v>
      </c>
      <c r="I1438" s="1">
        <v>41736</v>
      </c>
      <c r="J1438" s="1">
        <v>41736</v>
      </c>
      <c r="K1438" s="1">
        <v>41826</v>
      </c>
      <c r="N1438" s="5"/>
      <c r="O1438">
        <v>47.43</v>
      </c>
      <c r="P1438">
        <v>276</v>
      </c>
      <c r="Q1438" s="2">
        <v>13090.68</v>
      </c>
      <c r="R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 s="1">
        <v>42382</v>
      </c>
      <c r="AC1438" t="s">
        <v>53</v>
      </c>
      <c r="AD1438" t="s">
        <v>53</v>
      </c>
      <c r="AK1438">
        <v>0</v>
      </c>
      <c r="AU1438" s="6">
        <v>42102</v>
      </c>
      <c r="AV1438" s="6">
        <v>42102</v>
      </c>
      <c r="AW1438" t="s">
        <v>54</v>
      </c>
      <c r="AX1438" t="str">
        <f t="shared" si="115"/>
        <v>FOR</v>
      </c>
      <c r="AY1438" t="s">
        <v>55</v>
      </c>
    </row>
    <row r="1439" spans="1:51" hidden="1">
      <c r="A1439">
        <v>100360</v>
      </c>
      <c r="B1439" t="s">
        <v>131</v>
      </c>
      <c r="C1439" t="str">
        <f t="shared" si="116"/>
        <v>00076810621</v>
      </c>
      <c r="D1439" t="str">
        <f t="shared" si="116"/>
        <v>00076810621</v>
      </c>
      <c r="E1439" t="s">
        <v>52</v>
      </c>
      <c r="F1439">
        <v>2014</v>
      </c>
      <c r="G1439">
        <v>33422</v>
      </c>
      <c r="H1439" s="1">
        <v>41731</v>
      </c>
      <c r="I1439" s="1">
        <v>41736</v>
      </c>
      <c r="J1439" s="1">
        <v>41736</v>
      </c>
      <c r="K1439" s="1">
        <v>41826</v>
      </c>
      <c r="N1439" s="5"/>
      <c r="O1439">
        <v>57.45</v>
      </c>
      <c r="P1439">
        <v>276</v>
      </c>
      <c r="Q1439" s="2">
        <v>15856.2</v>
      </c>
      <c r="R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 s="1">
        <v>42382</v>
      </c>
      <c r="AC1439" t="s">
        <v>53</v>
      </c>
      <c r="AD1439" t="s">
        <v>53</v>
      </c>
      <c r="AK1439">
        <v>0</v>
      </c>
      <c r="AU1439" s="6">
        <v>42102</v>
      </c>
      <c r="AV1439" s="6">
        <v>42102</v>
      </c>
      <c r="AW1439" t="s">
        <v>54</v>
      </c>
      <c r="AX1439" t="str">
        <f t="shared" si="115"/>
        <v>FOR</v>
      </c>
      <c r="AY1439" t="s">
        <v>55</v>
      </c>
    </row>
    <row r="1440" spans="1:51" hidden="1">
      <c r="A1440">
        <v>100360</v>
      </c>
      <c r="B1440" t="s">
        <v>131</v>
      </c>
      <c r="C1440" t="str">
        <f t="shared" si="116"/>
        <v>00076810621</v>
      </c>
      <c r="D1440" t="str">
        <f t="shared" si="116"/>
        <v>00076810621</v>
      </c>
      <c r="E1440" t="s">
        <v>52</v>
      </c>
      <c r="F1440">
        <v>2014</v>
      </c>
      <c r="G1440">
        <v>33918</v>
      </c>
      <c r="H1440" s="1">
        <v>41732</v>
      </c>
      <c r="I1440" s="1">
        <v>41737</v>
      </c>
      <c r="J1440" s="1">
        <v>41737</v>
      </c>
      <c r="K1440" s="1">
        <v>41827</v>
      </c>
      <c r="N1440" s="5"/>
      <c r="O1440">
        <v>20.46</v>
      </c>
      <c r="P1440">
        <v>275</v>
      </c>
      <c r="Q1440" s="2">
        <v>5626.5</v>
      </c>
      <c r="R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 s="1">
        <v>42382</v>
      </c>
      <c r="AC1440" t="s">
        <v>53</v>
      </c>
      <c r="AD1440" t="s">
        <v>53</v>
      </c>
      <c r="AK1440">
        <v>0</v>
      </c>
      <c r="AU1440" s="6">
        <v>42102</v>
      </c>
      <c r="AV1440" s="6">
        <v>42102</v>
      </c>
      <c r="AW1440" t="s">
        <v>54</v>
      </c>
      <c r="AX1440" t="str">
        <f t="shared" si="115"/>
        <v>FOR</v>
      </c>
      <c r="AY1440" t="s">
        <v>55</v>
      </c>
    </row>
    <row r="1441" spans="1:51" hidden="1">
      <c r="A1441">
        <v>100360</v>
      </c>
      <c r="B1441" t="s">
        <v>131</v>
      </c>
      <c r="C1441" t="str">
        <f t="shared" si="116"/>
        <v>00076810621</v>
      </c>
      <c r="D1441" t="str">
        <f t="shared" si="116"/>
        <v>00076810621</v>
      </c>
      <c r="E1441" t="s">
        <v>52</v>
      </c>
      <c r="F1441">
        <v>2014</v>
      </c>
      <c r="G1441">
        <v>34390</v>
      </c>
      <c r="H1441" s="1">
        <v>41733</v>
      </c>
      <c r="I1441" s="1">
        <v>41737</v>
      </c>
      <c r="J1441" s="1">
        <v>41737</v>
      </c>
      <c r="K1441" s="1">
        <v>41827</v>
      </c>
      <c r="N1441" s="5"/>
      <c r="O1441">
        <v>15.9</v>
      </c>
      <c r="P1441">
        <v>275</v>
      </c>
      <c r="Q1441" s="2">
        <v>4372.5</v>
      </c>
      <c r="R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 s="1">
        <v>42382</v>
      </c>
      <c r="AC1441" t="s">
        <v>53</v>
      </c>
      <c r="AD1441" t="s">
        <v>53</v>
      </c>
      <c r="AK1441">
        <v>0</v>
      </c>
      <c r="AU1441" s="6">
        <v>42102</v>
      </c>
      <c r="AV1441" s="6">
        <v>42102</v>
      </c>
      <c r="AW1441" t="s">
        <v>54</v>
      </c>
      <c r="AX1441" t="str">
        <f t="shared" si="115"/>
        <v>FOR</v>
      </c>
      <c r="AY1441" t="s">
        <v>55</v>
      </c>
    </row>
    <row r="1442" spans="1:51" hidden="1">
      <c r="A1442">
        <v>100360</v>
      </c>
      <c r="B1442" t="s">
        <v>131</v>
      </c>
      <c r="C1442" t="str">
        <f t="shared" si="116"/>
        <v>00076810621</v>
      </c>
      <c r="D1442" t="str">
        <f t="shared" si="116"/>
        <v>00076810621</v>
      </c>
      <c r="E1442" t="s">
        <v>52</v>
      </c>
      <c r="F1442">
        <v>2014</v>
      </c>
      <c r="G1442">
        <v>35128</v>
      </c>
      <c r="H1442" s="1">
        <v>41736</v>
      </c>
      <c r="I1442" s="1">
        <v>41739</v>
      </c>
      <c r="J1442" s="1">
        <v>41739</v>
      </c>
      <c r="K1442" s="1">
        <v>41829</v>
      </c>
      <c r="N1442" s="5"/>
      <c r="O1442">
        <v>19.649999999999999</v>
      </c>
      <c r="P1442">
        <v>273</v>
      </c>
      <c r="Q1442" s="2">
        <v>5364.45</v>
      </c>
      <c r="R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 s="1">
        <v>42382</v>
      </c>
      <c r="AC1442" t="s">
        <v>53</v>
      </c>
      <c r="AD1442" t="s">
        <v>53</v>
      </c>
      <c r="AK1442">
        <v>0</v>
      </c>
      <c r="AU1442" s="6">
        <v>42102</v>
      </c>
      <c r="AV1442" s="6">
        <v>42102</v>
      </c>
      <c r="AW1442" t="s">
        <v>54</v>
      </c>
      <c r="AX1442" t="str">
        <f t="shared" si="115"/>
        <v>FOR</v>
      </c>
      <c r="AY1442" t="s">
        <v>55</v>
      </c>
    </row>
    <row r="1443" spans="1:51" hidden="1">
      <c r="A1443">
        <v>100360</v>
      </c>
      <c r="B1443" t="s">
        <v>131</v>
      </c>
      <c r="C1443" t="str">
        <f t="shared" si="116"/>
        <v>00076810621</v>
      </c>
      <c r="D1443" t="str">
        <f t="shared" si="116"/>
        <v>00076810621</v>
      </c>
      <c r="E1443" t="s">
        <v>52</v>
      </c>
      <c r="F1443">
        <v>2014</v>
      </c>
      <c r="G1443">
        <v>36292</v>
      </c>
      <c r="H1443" s="1">
        <v>41739</v>
      </c>
      <c r="I1443" s="1">
        <v>41743</v>
      </c>
      <c r="J1443" s="1">
        <v>41743</v>
      </c>
      <c r="K1443" s="1">
        <v>41833</v>
      </c>
      <c r="N1443" s="5"/>
      <c r="O1443">
        <v>81.41</v>
      </c>
      <c r="P1443">
        <v>269</v>
      </c>
      <c r="Q1443" s="2">
        <v>21899.29</v>
      </c>
      <c r="R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 s="1">
        <v>42382</v>
      </c>
      <c r="AC1443" t="s">
        <v>53</v>
      </c>
      <c r="AD1443" t="s">
        <v>53</v>
      </c>
      <c r="AK1443">
        <v>0</v>
      </c>
      <c r="AU1443" s="6">
        <v>42102</v>
      </c>
      <c r="AV1443" s="6">
        <v>42102</v>
      </c>
      <c r="AW1443" t="s">
        <v>54</v>
      </c>
      <c r="AX1443" t="str">
        <f t="shared" si="115"/>
        <v>FOR</v>
      </c>
      <c r="AY1443" t="s">
        <v>55</v>
      </c>
    </row>
    <row r="1444" spans="1:51" hidden="1">
      <c r="A1444">
        <v>100360</v>
      </c>
      <c r="B1444" t="s">
        <v>131</v>
      </c>
      <c r="C1444" t="str">
        <f t="shared" si="116"/>
        <v>00076810621</v>
      </c>
      <c r="D1444" t="str">
        <f t="shared" si="116"/>
        <v>00076810621</v>
      </c>
      <c r="E1444" t="s">
        <v>52</v>
      </c>
      <c r="F1444">
        <v>2014</v>
      </c>
      <c r="G1444">
        <v>37180</v>
      </c>
      <c r="H1444" s="1">
        <v>41741</v>
      </c>
      <c r="I1444" s="1">
        <v>42075</v>
      </c>
      <c r="J1444" s="1">
        <v>42075</v>
      </c>
      <c r="K1444" s="1">
        <v>42135</v>
      </c>
      <c r="N1444" s="5"/>
      <c r="O1444">
        <v>31.25</v>
      </c>
      <c r="P1444">
        <v>24</v>
      </c>
      <c r="Q1444">
        <v>750</v>
      </c>
      <c r="R1444">
        <v>0</v>
      </c>
      <c r="V1444">
        <v>0</v>
      </c>
      <c r="W1444">
        <v>0</v>
      </c>
      <c r="X1444">
        <v>0</v>
      </c>
      <c r="Y1444">
        <v>0</v>
      </c>
      <c r="Z1444">
        <v>31.25</v>
      </c>
      <c r="AA1444">
        <v>0</v>
      </c>
      <c r="AB1444" s="1">
        <v>42382</v>
      </c>
      <c r="AC1444" t="s">
        <v>53</v>
      </c>
      <c r="AD1444" t="s">
        <v>53</v>
      </c>
      <c r="AK1444">
        <v>0</v>
      </c>
      <c r="AU1444" s="6">
        <v>42159</v>
      </c>
      <c r="AV1444" s="6">
        <v>42159</v>
      </c>
      <c r="AW1444" t="s">
        <v>54</v>
      </c>
      <c r="AX1444" t="str">
        <f t="shared" si="115"/>
        <v>FOR</v>
      </c>
      <c r="AY1444" t="s">
        <v>55</v>
      </c>
    </row>
    <row r="1445" spans="1:51" hidden="1">
      <c r="A1445">
        <v>100360</v>
      </c>
      <c r="B1445" t="s">
        <v>131</v>
      </c>
      <c r="C1445" t="str">
        <f t="shared" si="116"/>
        <v>00076810621</v>
      </c>
      <c r="D1445" t="str">
        <f t="shared" si="116"/>
        <v>00076810621</v>
      </c>
      <c r="E1445" t="s">
        <v>52</v>
      </c>
      <c r="F1445">
        <v>2014</v>
      </c>
      <c r="G1445">
        <v>37347</v>
      </c>
      <c r="H1445" s="1">
        <v>41741</v>
      </c>
      <c r="I1445" s="1">
        <v>41743</v>
      </c>
      <c r="J1445" s="1">
        <v>41743</v>
      </c>
      <c r="K1445" s="1">
        <v>41833</v>
      </c>
      <c r="N1445" s="5"/>
      <c r="O1445">
        <v>13.63</v>
      </c>
      <c r="P1445">
        <v>269</v>
      </c>
      <c r="Q1445" s="2">
        <v>3666.47</v>
      </c>
      <c r="R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 s="1">
        <v>42382</v>
      </c>
      <c r="AC1445" t="s">
        <v>53</v>
      </c>
      <c r="AD1445" t="s">
        <v>53</v>
      </c>
      <c r="AK1445">
        <v>0</v>
      </c>
      <c r="AU1445" s="6">
        <v>42102</v>
      </c>
      <c r="AV1445" s="6">
        <v>42102</v>
      </c>
      <c r="AW1445" t="s">
        <v>54</v>
      </c>
      <c r="AX1445" t="str">
        <f t="shared" si="115"/>
        <v>FOR</v>
      </c>
      <c r="AY1445" t="s">
        <v>55</v>
      </c>
    </row>
    <row r="1446" spans="1:51" hidden="1">
      <c r="A1446">
        <v>100360</v>
      </c>
      <c r="B1446" t="s">
        <v>131</v>
      </c>
      <c r="C1446" t="str">
        <f t="shared" si="116"/>
        <v>00076810621</v>
      </c>
      <c r="D1446" t="str">
        <f t="shared" si="116"/>
        <v>00076810621</v>
      </c>
      <c r="E1446" t="s">
        <v>52</v>
      </c>
      <c r="F1446">
        <v>2014</v>
      </c>
      <c r="G1446">
        <v>37441</v>
      </c>
      <c r="H1446" s="1">
        <v>41743</v>
      </c>
      <c r="I1446" s="1">
        <v>41745</v>
      </c>
      <c r="J1446" s="1">
        <v>41745</v>
      </c>
      <c r="K1446" s="1">
        <v>41835</v>
      </c>
      <c r="N1446" s="5"/>
      <c r="O1446">
        <v>67.38</v>
      </c>
      <c r="P1446">
        <v>267</v>
      </c>
      <c r="Q1446" s="2">
        <v>17990.46</v>
      </c>
      <c r="R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 s="1">
        <v>42382</v>
      </c>
      <c r="AC1446" t="s">
        <v>53</v>
      </c>
      <c r="AD1446" t="s">
        <v>53</v>
      </c>
      <c r="AK1446">
        <v>0</v>
      </c>
      <c r="AU1446" s="6">
        <v>42102</v>
      </c>
      <c r="AV1446" s="6">
        <v>42102</v>
      </c>
      <c r="AW1446" t="s">
        <v>54</v>
      </c>
      <c r="AX1446" t="str">
        <f t="shared" si="115"/>
        <v>FOR</v>
      </c>
      <c r="AY1446" t="s">
        <v>55</v>
      </c>
    </row>
    <row r="1447" spans="1:51" hidden="1">
      <c r="A1447">
        <v>100360</v>
      </c>
      <c r="B1447" t="s">
        <v>131</v>
      </c>
      <c r="C1447" t="str">
        <f t="shared" si="116"/>
        <v>00076810621</v>
      </c>
      <c r="D1447" t="str">
        <f t="shared" si="116"/>
        <v>00076810621</v>
      </c>
      <c r="E1447" t="s">
        <v>52</v>
      </c>
      <c r="F1447">
        <v>2014</v>
      </c>
      <c r="G1447">
        <v>37695</v>
      </c>
      <c r="H1447" s="1">
        <v>41743</v>
      </c>
      <c r="I1447" s="1">
        <v>41745</v>
      </c>
      <c r="J1447" s="1">
        <v>41745</v>
      </c>
      <c r="K1447" s="1">
        <v>41835</v>
      </c>
      <c r="N1447" s="5"/>
      <c r="O1447">
        <v>7.68</v>
      </c>
      <c r="P1447">
        <v>267</v>
      </c>
      <c r="Q1447" s="2">
        <v>2050.56</v>
      </c>
      <c r="R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 s="1">
        <v>42382</v>
      </c>
      <c r="AC1447" t="s">
        <v>53</v>
      </c>
      <c r="AD1447" t="s">
        <v>53</v>
      </c>
      <c r="AK1447">
        <v>0</v>
      </c>
      <c r="AU1447" s="6">
        <v>42102</v>
      </c>
      <c r="AV1447" s="6">
        <v>42102</v>
      </c>
      <c r="AW1447" t="s">
        <v>54</v>
      </c>
      <c r="AX1447" t="str">
        <f t="shared" si="115"/>
        <v>FOR</v>
      </c>
      <c r="AY1447" t="s">
        <v>55</v>
      </c>
    </row>
    <row r="1448" spans="1:51" hidden="1">
      <c r="A1448">
        <v>100360</v>
      </c>
      <c r="B1448" t="s">
        <v>131</v>
      </c>
      <c r="C1448" t="str">
        <f t="shared" ref="C1448:D1467" si="117">"00076810621"</f>
        <v>00076810621</v>
      </c>
      <c r="D1448" t="str">
        <f t="shared" si="117"/>
        <v>00076810621</v>
      </c>
      <c r="E1448" t="s">
        <v>52</v>
      </c>
      <c r="F1448">
        <v>2014</v>
      </c>
      <c r="G1448">
        <v>38153</v>
      </c>
      <c r="H1448" s="1">
        <v>41744</v>
      </c>
      <c r="I1448" s="1">
        <v>41752</v>
      </c>
      <c r="J1448" s="1">
        <v>41752</v>
      </c>
      <c r="K1448" s="1">
        <v>41842</v>
      </c>
      <c r="N1448" s="5"/>
      <c r="O1448">
        <v>12.95</v>
      </c>
      <c r="P1448">
        <v>260</v>
      </c>
      <c r="Q1448" s="2">
        <v>3367</v>
      </c>
      <c r="R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 s="1">
        <v>42382</v>
      </c>
      <c r="AC1448" t="s">
        <v>53</v>
      </c>
      <c r="AD1448" t="s">
        <v>53</v>
      </c>
      <c r="AK1448">
        <v>0</v>
      </c>
      <c r="AU1448" s="6">
        <v>42102</v>
      </c>
      <c r="AV1448" s="6">
        <v>42102</v>
      </c>
      <c r="AW1448" t="s">
        <v>54</v>
      </c>
      <c r="AX1448" t="str">
        <f t="shared" si="115"/>
        <v>FOR</v>
      </c>
      <c r="AY1448" t="s">
        <v>55</v>
      </c>
    </row>
    <row r="1449" spans="1:51" hidden="1">
      <c r="A1449">
        <v>100360</v>
      </c>
      <c r="B1449" t="s">
        <v>131</v>
      </c>
      <c r="C1449" t="str">
        <f t="shared" si="117"/>
        <v>00076810621</v>
      </c>
      <c r="D1449" t="str">
        <f t="shared" si="117"/>
        <v>00076810621</v>
      </c>
      <c r="E1449" t="s">
        <v>52</v>
      </c>
      <c r="F1449">
        <v>2014</v>
      </c>
      <c r="G1449">
        <v>38598</v>
      </c>
      <c r="H1449" s="1">
        <v>41745</v>
      </c>
      <c r="I1449" s="1">
        <v>41752</v>
      </c>
      <c r="J1449" s="1">
        <v>41752</v>
      </c>
      <c r="K1449" s="1">
        <v>41842</v>
      </c>
      <c r="N1449" s="5"/>
      <c r="O1449">
        <v>15.27</v>
      </c>
      <c r="P1449">
        <v>260</v>
      </c>
      <c r="Q1449" s="2">
        <v>3970.2</v>
      </c>
      <c r="R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 s="1">
        <v>42382</v>
      </c>
      <c r="AC1449" t="s">
        <v>53</v>
      </c>
      <c r="AD1449" t="s">
        <v>53</v>
      </c>
      <c r="AK1449">
        <v>0</v>
      </c>
      <c r="AU1449" s="6">
        <v>42102</v>
      </c>
      <c r="AV1449" s="6">
        <v>42102</v>
      </c>
      <c r="AW1449" t="s">
        <v>54</v>
      </c>
      <c r="AX1449" t="str">
        <f t="shared" si="115"/>
        <v>FOR</v>
      </c>
      <c r="AY1449" t="s">
        <v>55</v>
      </c>
    </row>
    <row r="1450" spans="1:51" hidden="1">
      <c r="A1450">
        <v>100360</v>
      </c>
      <c r="B1450" t="s">
        <v>131</v>
      </c>
      <c r="C1450" t="str">
        <f t="shared" si="117"/>
        <v>00076810621</v>
      </c>
      <c r="D1450" t="str">
        <f t="shared" si="117"/>
        <v>00076810621</v>
      </c>
      <c r="E1450" t="s">
        <v>52</v>
      </c>
      <c r="F1450">
        <v>2014</v>
      </c>
      <c r="G1450">
        <v>39319</v>
      </c>
      <c r="H1450" s="1">
        <v>41747</v>
      </c>
      <c r="I1450" s="1">
        <v>41753</v>
      </c>
      <c r="J1450" s="1">
        <v>41753</v>
      </c>
      <c r="K1450" s="1">
        <v>41843</v>
      </c>
      <c r="N1450" s="5"/>
      <c r="O1450">
        <v>25.03</v>
      </c>
      <c r="P1450">
        <v>259</v>
      </c>
      <c r="Q1450" s="2">
        <v>6482.77</v>
      </c>
      <c r="R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 s="1">
        <v>42382</v>
      </c>
      <c r="AC1450" t="s">
        <v>53</v>
      </c>
      <c r="AD1450" t="s">
        <v>53</v>
      </c>
      <c r="AK1450">
        <v>0</v>
      </c>
      <c r="AU1450" s="6">
        <v>42102</v>
      </c>
      <c r="AV1450" s="6">
        <v>42102</v>
      </c>
      <c r="AW1450" t="s">
        <v>54</v>
      </c>
      <c r="AX1450" t="str">
        <f t="shared" si="115"/>
        <v>FOR</v>
      </c>
      <c r="AY1450" t="s">
        <v>55</v>
      </c>
    </row>
    <row r="1451" spans="1:51" hidden="1">
      <c r="A1451">
        <v>100360</v>
      </c>
      <c r="B1451" t="s">
        <v>131</v>
      </c>
      <c r="C1451" t="str">
        <f t="shared" si="117"/>
        <v>00076810621</v>
      </c>
      <c r="D1451" t="str">
        <f t="shared" si="117"/>
        <v>00076810621</v>
      </c>
      <c r="E1451" t="s">
        <v>52</v>
      </c>
      <c r="F1451">
        <v>2014</v>
      </c>
      <c r="G1451">
        <v>39760</v>
      </c>
      <c r="H1451" s="1">
        <v>41748</v>
      </c>
      <c r="I1451" s="1">
        <v>41753</v>
      </c>
      <c r="J1451" s="1">
        <v>41753</v>
      </c>
      <c r="K1451" s="1">
        <v>41843</v>
      </c>
      <c r="N1451" s="5"/>
      <c r="O1451">
        <v>7.28</v>
      </c>
      <c r="P1451">
        <v>259</v>
      </c>
      <c r="Q1451" s="2">
        <v>1885.52</v>
      </c>
      <c r="R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 s="1">
        <v>42382</v>
      </c>
      <c r="AC1451" t="s">
        <v>53</v>
      </c>
      <c r="AD1451" t="s">
        <v>53</v>
      </c>
      <c r="AK1451">
        <v>0</v>
      </c>
      <c r="AU1451" s="6">
        <v>42102</v>
      </c>
      <c r="AV1451" s="6">
        <v>42102</v>
      </c>
      <c r="AW1451" t="s">
        <v>54</v>
      </c>
      <c r="AX1451" t="str">
        <f t="shared" si="115"/>
        <v>FOR</v>
      </c>
      <c r="AY1451" t="s">
        <v>55</v>
      </c>
    </row>
    <row r="1452" spans="1:51" hidden="1">
      <c r="A1452">
        <v>100360</v>
      </c>
      <c r="B1452" t="s">
        <v>131</v>
      </c>
      <c r="C1452" t="str">
        <f t="shared" si="117"/>
        <v>00076810621</v>
      </c>
      <c r="D1452" t="str">
        <f t="shared" si="117"/>
        <v>00076810621</v>
      </c>
      <c r="E1452" t="s">
        <v>52</v>
      </c>
      <c r="F1452">
        <v>2014</v>
      </c>
      <c r="G1452">
        <v>40259</v>
      </c>
      <c r="H1452" s="1">
        <v>41751</v>
      </c>
      <c r="I1452" s="1">
        <v>41753</v>
      </c>
      <c r="J1452" s="1">
        <v>41753</v>
      </c>
      <c r="K1452" s="1">
        <v>41843</v>
      </c>
      <c r="N1452" s="5"/>
      <c r="O1452">
        <v>28.95</v>
      </c>
      <c r="P1452">
        <v>259</v>
      </c>
      <c r="Q1452" s="2">
        <v>7498.05</v>
      </c>
      <c r="R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 s="1">
        <v>42382</v>
      </c>
      <c r="AC1452" t="s">
        <v>53</v>
      </c>
      <c r="AD1452" t="s">
        <v>53</v>
      </c>
      <c r="AK1452">
        <v>0</v>
      </c>
      <c r="AU1452" s="6">
        <v>42102</v>
      </c>
      <c r="AV1452" s="6">
        <v>42102</v>
      </c>
      <c r="AW1452" t="s">
        <v>54</v>
      </c>
      <c r="AX1452" t="str">
        <f t="shared" si="115"/>
        <v>FOR</v>
      </c>
      <c r="AY1452" t="s">
        <v>55</v>
      </c>
    </row>
    <row r="1453" spans="1:51" hidden="1">
      <c r="A1453">
        <v>100360</v>
      </c>
      <c r="B1453" t="s">
        <v>131</v>
      </c>
      <c r="C1453" t="str">
        <f t="shared" si="117"/>
        <v>00076810621</v>
      </c>
      <c r="D1453" t="str">
        <f t="shared" si="117"/>
        <v>00076810621</v>
      </c>
      <c r="E1453" t="s">
        <v>52</v>
      </c>
      <c r="F1453">
        <v>2014</v>
      </c>
      <c r="G1453">
        <v>40933</v>
      </c>
      <c r="H1453" s="1">
        <v>41753</v>
      </c>
      <c r="I1453" s="1">
        <v>41757</v>
      </c>
      <c r="J1453" s="1">
        <v>41757</v>
      </c>
      <c r="K1453" s="1">
        <v>41847</v>
      </c>
      <c r="N1453" s="5"/>
      <c r="O1453">
        <v>65.430000000000007</v>
      </c>
      <c r="P1453">
        <v>255</v>
      </c>
      <c r="Q1453" s="2">
        <v>16684.650000000001</v>
      </c>
      <c r="R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 s="1">
        <v>42382</v>
      </c>
      <c r="AC1453" t="s">
        <v>53</v>
      </c>
      <c r="AD1453" t="s">
        <v>53</v>
      </c>
      <c r="AK1453">
        <v>0</v>
      </c>
      <c r="AU1453" s="6">
        <v>42102</v>
      </c>
      <c r="AV1453" s="6">
        <v>42102</v>
      </c>
      <c r="AW1453" t="s">
        <v>54</v>
      </c>
      <c r="AX1453" t="str">
        <f t="shared" si="115"/>
        <v>FOR</v>
      </c>
      <c r="AY1453" t="s">
        <v>55</v>
      </c>
    </row>
    <row r="1454" spans="1:51" hidden="1">
      <c r="A1454">
        <v>100360</v>
      </c>
      <c r="B1454" t="s">
        <v>131</v>
      </c>
      <c r="C1454" t="str">
        <f t="shared" si="117"/>
        <v>00076810621</v>
      </c>
      <c r="D1454" t="str">
        <f t="shared" si="117"/>
        <v>00076810621</v>
      </c>
      <c r="E1454" t="s">
        <v>52</v>
      </c>
      <c r="F1454">
        <v>2014</v>
      </c>
      <c r="G1454">
        <v>41403</v>
      </c>
      <c r="H1454" s="1">
        <v>41755</v>
      </c>
      <c r="I1454" s="1">
        <v>41757</v>
      </c>
      <c r="J1454" s="1">
        <v>41757</v>
      </c>
      <c r="K1454" s="1">
        <v>41847</v>
      </c>
      <c r="N1454" s="5"/>
      <c r="O1454">
        <v>9.4499999999999993</v>
      </c>
      <c r="P1454">
        <v>255</v>
      </c>
      <c r="Q1454" s="2">
        <v>2409.75</v>
      </c>
      <c r="R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 s="1">
        <v>42382</v>
      </c>
      <c r="AC1454" t="s">
        <v>53</v>
      </c>
      <c r="AD1454" t="s">
        <v>53</v>
      </c>
      <c r="AK1454">
        <v>0</v>
      </c>
      <c r="AU1454" s="6">
        <v>42102</v>
      </c>
      <c r="AV1454" s="6">
        <v>42102</v>
      </c>
      <c r="AW1454" t="s">
        <v>54</v>
      </c>
      <c r="AX1454" t="str">
        <f t="shared" si="115"/>
        <v>FOR</v>
      </c>
      <c r="AY1454" t="s">
        <v>55</v>
      </c>
    </row>
    <row r="1455" spans="1:51" hidden="1">
      <c r="A1455">
        <v>100360</v>
      </c>
      <c r="B1455" t="s">
        <v>131</v>
      </c>
      <c r="C1455" t="str">
        <f t="shared" si="117"/>
        <v>00076810621</v>
      </c>
      <c r="D1455" t="str">
        <f t="shared" si="117"/>
        <v>00076810621</v>
      </c>
      <c r="E1455" t="s">
        <v>52</v>
      </c>
      <c r="F1455">
        <v>2014</v>
      </c>
      <c r="G1455">
        <v>41890</v>
      </c>
      <c r="H1455" s="1">
        <v>41757</v>
      </c>
      <c r="I1455" s="1">
        <v>41758</v>
      </c>
      <c r="J1455" s="1">
        <v>41758</v>
      </c>
      <c r="K1455" s="1">
        <v>41848</v>
      </c>
      <c r="N1455" s="5"/>
      <c r="O1455">
        <v>15.51</v>
      </c>
      <c r="P1455">
        <v>254</v>
      </c>
      <c r="Q1455" s="2">
        <v>3939.54</v>
      </c>
      <c r="R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 s="1">
        <v>42382</v>
      </c>
      <c r="AC1455" t="s">
        <v>53</v>
      </c>
      <c r="AD1455" t="s">
        <v>53</v>
      </c>
      <c r="AK1455">
        <v>0</v>
      </c>
      <c r="AU1455" s="6">
        <v>42102</v>
      </c>
      <c r="AV1455" s="6">
        <v>42102</v>
      </c>
      <c r="AW1455" t="s">
        <v>54</v>
      </c>
      <c r="AX1455" t="str">
        <f t="shared" si="115"/>
        <v>FOR</v>
      </c>
      <c r="AY1455" t="s">
        <v>55</v>
      </c>
    </row>
    <row r="1456" spans="1:51" hidden="1">
      <c r="A1456">
        <v>100360</v>
      </c>
      <c r="B1456" t="s">
        <v>131</v>
      </c>
      <c r="C1456" t="str">
        <f t="shared" si="117"/>
        <v>00076810621</v>
      </c>
      <c r="D1456" t="str">
        <f t="shared" si="117"/>
        <v>00076810621</v>
      </c>
      <c r="E1456" t="s">
        <v>52</v>
      </c>
      <c r="F1456">
        <v>2014</v>
      </c>
      <c r="G1456">
        <v>41910</v>
      </c>
      <c r="H1456" s="1">
        <v>41757</v>
      </c>
      <c r="I1456" s="1">
        <v>41758</v>
      </c>
      <c r="J1456" s="1">
        <v>41758</v>
      </c>
      <c r="K1456" s="1">
        <v>41848</v>
      </c>
      <c r="N1456" s="5"/>
      <c r="O1456">
        <v>8.57</v>
      </c>
      <c r="P1456">
        <v>254</v>
      </c>
      <c r="Q1456" s="2">
        <v>2176.7800000000002</v>
      </c>
      <c r="R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 s="1">
        <v>42382</v>
      </c>
      <c r="AC1456" t="s">
        <v>53</v>
      </c>
      <c r="AD1456" t="s">
        <v>53</v>
      </c>
      <c r="AK1456">
        <v>0</v>
      </c>
      <c r="AU1456" s="6">
        <v>42102</v>
      </c>
      <c r="AV1456" s="6">
        <v>42102</v>
      </c>
      <c r="AW1456" t="s">
        <v>54</v>
      </c>
      <c r="AX1456" t="str">
        <f t="shared" si="115"/>
        <v>FOR</v>
      </c>
      <c r="AY1456" t="s">
        <v>55</v>
      </c>
    </row>
    <row r="1457" spans="1:51" hidden="1">
      <c r="A1457">
        <v>100360</v>
      </c>
      <c r="B1457" t="s">
        <v>131</v>
      </c>
      <c r="C1457" t="str">
        <f t="shared" si="117"/>
        <v>00076810621</v>
      </c>
      <c r="D1457" t="str">
        <f t="shared" si="117"/>
        <v>00076810621</v>
      </c>
      <c r="E1457" t="s">
        <v>52</v>
      </c>
      <c r="F1457">
        <v>2014</v>
      </c>
      <c r="G1457">
        <v>42391</v>
      </c>
      <c r="H1457" s="1">
        <v>41758</v>
      </c>
      <c r="I1457" s="1">
        <v>41764</v>
      </c>
      <c r="J1457" s="1">
        <v>41764</v>
      </c>
      <c r="K1457" s="1">
        <v>41854</v>
      </c>
      <c r="N1457" s="5"/>
      <c r="O1457">
        <v>81.96</v>
      </c>
      <c r="P1457">
        <v>248</v>
      </c>
      <c r="Q1457" s="2">
        <v>20326.080000000002</v>
      </c>
      <c r="R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 s="1">
        <v>42382</v>
      </c>
      <c r="AC1457" t="s">
        <v>53</v>
      </c>
      <c r="AD1457" t="s">
        <v>53</v>
      </c>
      <c r="AK1457">
        <v>0</v>
      </c>
      <c r="AU1457" s="6">
        <v>42102</v>
      </c>
      <c r="AV1457" s="6">
        <v>42102</v>
      </c>
      <c r="AW1457" t="s">
        <v>54</v>
      </c>
      <c r="AX1457" t="str">
        <f t="shared" si="115"/>
        <v>FOR</v>
      </c>
      <c r="AY1457" t="s">
        <v>55</v>
      </c>
    </row>
    <row r="1458" spans="1:51" hidden="1">
      <c r="A1458">
        <v>100360</v>
      </c>
      <c r="B1458" t="s">
        <v>131</v>
      </c>
      <c r="C1458" t="str">
        <f t="shared" si="117"/>
        <v>00076810621</v>
      </c>
      <c r="D1458" t="str">
        <f t="shared" si="117"/>
        <v>00076810621</v>
      </c>
      <c r="E1458" t="s">
        <v>52</v>
      </c>
      <c r="F1458">
        <v>2014</v>
      </c>
      <c r="G1458">
        <v>42642</v>
      </c>
      <c r="H1458" s="1">
        <v>41759</v>
      </c>
      <c r="I1458" s="1">
        <v>41765</v>
      </c>
      <c r="J1458" s="1">
        <v>41765</v>
      </c>
      <c r="K1458" s="1">
        <v>41855</v>
      </c>
      <c r="N1458" s="5"/>
      <c r="O1458">
        <v>18.48</v>
      </c>
      <c r="P1458">
        <v>247</v>
      </c>
      <c r="Q1458" s="2">
        <v>4564.5600000000004</v>
      </c>
      <c r="R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 s="1">
        <v>42382</v>
      </c>
      <c r="AC1458" t="s">
        <v>53</v>
      </c>
      <c r="AD1458" t="s">
        <v>53</v>
      </c>
      <c r="AK1458">
        <v>0</v>
      </c>
      <c r="AU1458" s="6">
        <v>42102</v>
      </c>
      <c r="AV1458" s="6">
        <v>42102</v>
      </c>
      <c r="AW1458" t="s">
        <v>54</v>
      </c>
      <c r="AX1458" t="str">
        <f t="shared" si="115"/>
        <v>FOR</v>
      </c>
      <c r="AY1458" t="s">
        <v>55</v>
      </c>
    </row>
    <row r="1459" spans="1:51" hidden="1">
      <c r="A1459">
        <v>100360</v>
      </c>
      <c r="B1459" t="s">
        <v>131</v>
      </c>
      <c r="C1459" t="str">
        <f t="shared" si="117"/>
        <v>00076810621</v>
      </c>
      <c r="D1459" t="str">
        <f t="shared" si="117"/>
        <v>00076810621</v>
      </c>
      <c r="E1459" t="s">
        <v>52</v>
      </c>
      <c r="F1459">
        <v>2014</v>
      </c>
      <c r="G1459">
        <v>42875</v>
      </c>
      <c r="H1459" s="1">
        <v>41759</v>
      </c>
      <c r="I1459" s="1">
        <v>41765</v>
      </c>
      <c r="J1459" s="1">
        <v>41765</v>
      </c>
      <c r="K1459" s="1">
        <v>41855</v>
      </c>
      <c r="N1459" s="5"/>
      <c r="O1459">
        <v>5.37</v>
      </c>
      <c r="P1459">
        <v>247</v>
      </c>
      <c r="Q1459" s="2">
        <v>1326.39</v>
      </c>
      <c r="R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 s="1">
        <v>42382</v>
      </c>
      <c r="AC1459" t="s">
        <v>53</v>
      </c>
      <c r="AD1459" t="s">
        <v>53</v>
      </c>
      <c r="AK1459">
        <v>0</v>
      </c>
      <c r="AU1459" s="6">
        <v>42102</v>
      </c>
      <c r="AV1459" s="6">
        <v>42102</v>
      </c>
      <c r="AW1459" t="s">
        <v>54</v>
      </c>
      <c r="AX1459" t="str">
        <f t="shared" si="115"/>
        <v>FOR</v>
      </c>
      <c r="AY1459" t="s">
        <v>55</v>
      </c>
    </row>
    <row r="1460" spans="1:51" hidden="1">
      <c r="A1460">
        <v>100360</v>
      </c>
      <c r="B1460" t="s">
        <v>131</v>
      </c>
      <c r="C1460" t="str">
        <f t="shared" si="117"/>
        <v>00076810621</v>
      </c>
      <c r="D1460" t="str">
        <f t="shared" si="117"/>
        <v>00076810621</v>
      </c>
      <c r="E1460" t="s">
        <v>52</v>
      </c>
      <c r="F1460">
        <v>2014</v>
      </c>
      <c r="G1460">
        <v>43391</v>
      </c>
      <c r="H1460" s="1">
        <v>41761</v>
      </c>
      <c r="I1460" s="1">
        <v>41765</v>
      </c>
      <c r="J1460" s="1">
        <v>41765</v>
      </c>
      <c r="K1460" s="1">
        <v>41855</v>
      </c>
      <c r="N1460" s="5"/>
      <c r="O1460">
        <v>20.63</v>
      </c>
      <c r="P1460">
        <v>304</v>
      </c>
      <c r="Q1460" s="2">
        <v>6271.52</v>
      </c>
      <c r="R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 s="1">
        <v>42382</v>
      </c>
      <c r="AC1460" t="s">
        <v>53</v>
      </c>
      <c r="AD1460" t="s">
        <v>53</v>
      </c>
      <c r="AK1460">
        <v>0</v>
      </c>
      <c r="AU1460" s="6">
        <v>42159</v>
      </c>
      <c r="AV1460" s="6">
        <v>42159</v>
      </c>
      <c r="AW1460" t="s">
        <v>54</v>
      </c>
      <c r="AX1460" t="str">
        <f t="shared" si="115"/>
        <v>FOR</v>
      </c>
      <c r="AY1460" t="s">
        <v>55</v>
      </c>
    </row>
    <row r="1461" spans="1:51" hidden="1">
      <c r="A1461">
        <v>100360</v>
      </c>
      <c r="B1461" t="s">
        <v>131</v>
      </c>
      <c r="C1461" t="str">
        <f t="shared" si="117"/>
        <v>00076810621</v>
      </c>
      <c r="D1461" t="str">
        <f t="shared" si="117"/>
        <v>00076810621</v>
      </c>
      <c r="E1461" t="s">
        <v>52</v>
      </c>
      <c r="F1461">
        <v>2014</v>
      </c>
      <c r="G1461">
        <v>43631</v>
      </c>
      <c r="H1461" s="1">
        <v>41762</v>
      </c>
      <c r="I1461" s="1">
        <v>41765</v>
      </c>
      <c r="J1461" s="1">
        <v>41765</v>
      </c>
      <c r="K1461" s="1">
        <v>41855</v>
      </c>
      <c r="N1461" s="5"/>
      <c r="O1461">
        <v>46.49</v>
      </c>
      <c r="P1461">
        <v>304</v>
      </c>
      <c r="Q1461" s="2">
        <v>14132.96</v>
      </c>
      <c r="R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 s="1">
        <v>42382</v>
      </c>
      <c r="AC1461" t="s">
        <v>53</v>
      </c>
      <c r="AD1461" t="s">
        <v>53</v>
      </c>
      <c r="AK1461">
        <v>0</v>
      </c>
      <c r="AU1461" s="6">
        <v>42159</v>
      </c>
      <c r="AV1461" s="6">
        <v>42159</v>
      </c>
      <c r="AW1461" t="s">
        <v>54</v>
      </c>
      <c r="AX1461" t="str">
        <f t="shared" si="115"/>
        <v>FOR</v>
      </c>
      <c r="AY1461" t="s">
        <v>55</v>
      </c>
    </row>
    <row r="1462" spans="1:51" hidden="1">
      <c r="A1462">
        <v>100360</v>
      </c>
      <c r="B1462" t="s">
        <v>131</v>
      </c>
      <c r="C1462" t="str">
        <f t="shared" si="117"/>
        <v>00076810621</v>
      </c>
      <c r="D1462" t="str">
        <f t="shared" si="117"/>
        <v>00076810621</v>
      </c>
      <c r="E1462" t="s">
        <v>52</v>
      </c>
      <c r="F1462">
        <v>2014</v>
      </c>
      <c r="G1462">
        <v>43671</v>
      </c>
      <c r="H1462" s="1">
        <v>41762</v>
      </c>
      <c r="I1462" s="1">
        <v>41768</v>
      </c>
      <c r="J1462" s="1">
        <v>41768</v>
      </c>
      <c r="K1462" s="1">
        <v>41858</v>
      </c>
      <c r="N1462" s="5"/>
      <c r="O1462">
        <v>32.65</v>
      </c>
      <c r="P1462">
        <v>301</v>
      </c>
      <c r="Q1462" s="2">
        <v>9827.65</v>
      </c>
      <c r="R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 s="1">
        <v>42382</v>
      </c>
      <c r="AC1462" t="s">
        <v>53</v>
      </c>
      <c r="AD1462" t="s">
        <v>53</v>
      </c>
      <c r="AK1462">
        <v>0</v>
      </c>
      <c r="AU1462" s="6">
        <v>42159</v>
      </c>
      <c r="AV1462" s="6">
        <v>42159</v>
      </c>
      <c r="AW1462" t="s">
        <v>54</v>
      </c>
      <c r="AX1462" t="str">
        <f t="shared" si="115"/>
        <v>FOR</v>
      </c>
      <c r="AY1462" t="s">
        <v>55</v>
      </c>
    </row>
    <row r="1463" spans="1:51" hidden="1">
      <c r="A1463">
        <v>100360</v>
      </c>
      <c r="B1463" t="s">
        <v>131</v>
      </c>
      <c r="C1463" t="str">
        <f t="shared" si="117"/>
        <v>00076810621</v>
      </c>
      <c r="D1463" t="str">
        <f t="shared" si="117"/>
        <v>00076810621</v>
      </c>
      <c r="E1463" t="s">
        <v>52</v>
      </c>
      <c r="F1463">
        <v>2014</v>
      </c>
      <c r="G1463">
        <v>43970</v>
      </c>
      <c r="H1463" s="1">
        <v>41764</v>
      </c>
      <c r="I1463" s="1">
        <v>41771</v>
      </c>
      <c r="J1463" s="1">
        <v>41771</v>
      </c>
      <c r="K1463" s="1">
        <v>41861</v>
      </c>
      <c r="N1463" s="5"/>
      <c r="O1463">
        <v>26.44</v>
      </c>
      <c r="P1463">
        <v>298</v>
      </c>
      <c r="Q1463" s="2">
        <v>7879.12</v>
      </c>
      <c r="R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 s="1">
        <v>42382</v>
      </c>
      <c r="AC1463" t="s">
        <v>53</v>
      </c>
      <c r="AD1463" t="s">
        <v>53</v>
      </c>
      <c r="AK1463">
        <v>0</v>
      </c>
      <c r="AU1463" s="6">
        <v>42159</v>
      </c>
      <c r="AV1463" s="6">
        <v>42159</v>
      </c>
      <c r="AW1463" t="s">
        <v>54</v>
      </c>
      <c r="AX1463" t="str">
        <f t="shared" si="115"/>
        <v>FOR</v>
      </c>
      <c r="AY1463" t="s">
        <v>55</v>
      </c>
    </row>
    <row r="1464" spans="1:51" hidden="1">
      <c r="A1464">
        <v>100360</v>
      </c>
      <c r="B1464" t="s">
        <v>131</v>
      </c>
      <c r="C1464" t="str">
        <f t="shared" si="117"/>
        <v>00076810621</v>
      </c>
      <c r="D1464" t="str">
        <f t="shared" si="117"/>
        <v>00076810621</v>
      </c>
      <c r="E1464" t="s">
        <v>52</v>
      </c>
      <c r="F1464">
        <v>2014</v>
      </c>
      <c r="G1464">
        <v>44200</v>
      </c>
      <c r="H1464" s="1">
        <v>41764</v>
      </c>
      <c r="I1464" s="1">
        <v>41768</v>
      </c>
      <c r="J1464" s="1">
        <v>41768</v>
      </c>
      <c r="K1464" s="1">
        <v>41858</v>
      </c>
      <c r="N1464" s="5"/>
      <c r="O1464">
        <v>10.09</v>
      </c>
      <c r="P1464">
        <v>301</v>
      </c>
      <c r="Q1464" s="2">
        <v>3037.09</v>
      </c>
      <c r="R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 s="1">
        <v>42382</v>
      </c>
      <c r="AC1464" t="s">
        <v>53</v>
      </c>
      <c r="AD1464" t="s">
        <v>53</v>
      </c>
      <c r="AK1464">
        <v>0</v>
      </c>
      <c r="AU1464" s="6">
        <v>42159</v>
      </c>
      <c r="AV1464" s="6">
        <v>42159</v>
      </c>
      <c r="AW1464" t="s">
        <v>54</v>
      </c>
      <c r="AX1464" t="str">
        <f t="shared" si="115"/>
        <v>FOR</v>
      </c>
      <c r="AY1464" t="s">
        <v>55</v>
      </c>
    </row>
    <row r="1465" spans="1:51" hidden="1">
      <c r="A1465">
        <v>100360</v>
      </c>
      <c r="B1465" t="s">
        <v>131</v>
      </c>
      <c r="C1465" t="str">
        <f t="shared" si="117"/>
        <v>00076810621</v>
      </c>
      <c r="D1465" t="str">
        <f t="shared" si="117"/>
        <v>00076810621</v>
      </c>
      <c r="E1465" t="s">
        <v>52</v>
      </c>
      <c r="F1465">
        <v>2014</v>
      </c>
      <c r="G1465">
        <v>45350</v>
      </c>
      <c r="H1465" s="1">
        <v>41767</v>
      </c>
      <c r="I1465" s="1">
        <v>41771</v>
      </c>
      <c r="J1465" s="1">
        <v>41771</v>
      </c>
      <c r="K1465" s="1">
        <v>41861</v>
      </c>
      <c r="N1465" s="5"/>
      <c r="O1465">
        <v>26.25</v>
      </c>
      <c r="P1465">
        <v>298</v>
      </c>
      <c r="Q1465" s="2">
        <v>7822.5</v>
      </c>
      <c r="R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 s="1">
        <v>42382</v>
      </c>
      <c r="AC1465" t="s">
        <v>53</v>
      </c>
      <c r="AD1465" t="s">
        <v>53</v>
      </c>
      <c r="AK1465">
        <v>0</v>
      </c>
      <c r="AU1465" s="6">
        <v>42159</v>
      </c>
      <c r="AV1465" s="6">
        <v>42159</v>
      </c>
      <c r="AW1465" t="s">
        <v>54</v>
      </c>
      <c r="AX1465" t="str">
        <f t="shared" si="115"/>
        <v>FOR</v>
      </c>
      <c r="AY1465" t="s">
        <v>55</v>
      </c>
    </row>
    <row r="1466" spans="1:51" hidden="1">
      <c r="A1466">
        <v>100360</v>
      </c>
      <c r="B1466" t="s">
        <v>131</v>
      </c>
      <c r="C1466" t="str">
        <f t="shared" si="117"/>
        <v>00076810621</v>
      </c>
      <c r="D1466" t="str">
        <f t="shared" si="117"/>
        <v>00076810621</v>
      </c>
      <c r="E1466" t="s">
        <v>52</v>
      </c>
      <c r="F1466">
        <v>2014</v>
      </c>
      <c r="G1466">
        <v>45543</v>
      </c>
      <c r="H1466" s="1">
        <v>41767</v>
      </c>
      <c r="I1466" s="1">
        <v>41771</v>
      </c>
      <c r="J1466" s="1">
        <v>41771</v>
      </c>
      <c r="K1466" s="1">
        <v>41861</v>
      </c>
      <c r="N1466" s="5"/>
      <c r="O1466">
        <v>3.74</v>
      </c>
      <c r="P1466">
        <v>298</v>
      </c>
      <c r="Q1466" s="2">
        <v>1114.52</v>
      </c>
      <c r="R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 s="1">
        <v>42382</v>
      </c>
      <c r="AC1466" t="s">
        <v>53</v>
      </c>
      <c r="AD1466" t="s">
        <v>53</v>
      </c>
      <c r="AK1466">
        <v>0</v>
      </c>
      <c r="AU1466" s="6">
        <v>42159</v>
      </c>
      <c r="AV1466" s="6">
        <v>42159</v>
      </c>
      <c r="AW1466" t="s">
        <v>54</v>
      </c>
      <c r="AX1466" t="str">
        <f t="shared" si="115"/>
        <v>FOR</v>
      </c>
      <c r="AY1466" t="s">
        <v>55</v>
      </c>
    </row>
    <row r="1467" spans="1:51" hidden="1">
      <c r="A1467">
        <v>100360</v>
      </c>
      <c r="B1467" t="s">
        <v>131</v>
      </c>
      <c r="C1467" t="str">
        <f t="shared" si="117"/>
        <v>00076810621</v>
      </c>
      <c r="D1467" t="str">
        <f t="shared" si="117"/>
        <v>00076810621</v>
      </c>
      <c r="E1467" t="s">
        <v>52</v>
      </c>
      <c r="F1467">
        <v>2014</v>
      </c>
      <c r="G1467">
        <v>45556</v>
      </c>
      <c r="H1467" s="1">
        <v>41767</v>
      </c>
      <c r="I1467" s="1">
        <v>41771</v>
      </c>
      <c r="J1467" s="1">
        <v>41771</v>
      </c>
      <c r="K1467" s="1">
        <v>41861</v>
      </c>
      <c r="N1467" s="5"/>
      <c r="O1467">
        <v>3.39</v>
      </c>
      <c r="P1467">
        <v>298</v>
      </c>
      <c r="Q1467" s="2">
        <v>1010.22</v>
      </c>
      <c r="R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 s="1">
        <v>42382</v>
      </c>
      <c r="AC1467" t="s">
        <v>53</v>
      </c>
      <c r="AD1467" t="s">
        <v>53</v>
      </c>
      <c r="AK1467">
        <v>0</v>
      </c>
      <c r="AU1467" s="6">
        <v>42159</v>
      </c>
      <c r="AV1467" s="6">
        <v>42159</v>
      </c>
      <c r="AW1467" t="s">
        <v>54</v>
      </c>
      <c r="AX1467" t="str">
        <f t="shared" si="115"/>
        <v>FOR</v>
      </c>
      <c r="AY1467" t="s">
        <v>55</v>
      </c>
    </row>
    <row r="1468" spans="1:51" hidden="1">
      <c r="A1468">
        <v>100360</v>
      </c>
      <c r="B1468" t="s">
        <v>131</v>
      </c>
      <c r="C1468" t="str">
        <f t="shared" ref="C1468:D1487" si="118">"00076810621"</f>
        <v>00076810621</v>
      </c>
      <c r="D1468" t="str">
        <f t="shared" si="118"/>
        <v>00076810621</v>
      </c>
      <c r="E1468" t="s">
        <v>52</v>
      </c>
      <c r="F1468">
        <v>2014</v>
      </c>
      <c r="G1468">
        <v>45774</v>
      </c>
      <c r="H1468" s="1">
        <v>41768</v>
      </c>
      <c r="I1468" s="1">
        <v>41771</v>
      </c>
      <c r="J1468" s="1">
        <v>41771</v>
      </c>
      <c r="K1468" s="1">
        <v>41861</v>
      </c>
      <c r="N1468" s="5"/>
      <c r="O1468">
        <v>18.690000000000001</v>
      </c>
      <c r="P1468">
        <v>298</v>
      </c>
      <c r="Q1468" s="2">
        <v>5569.62</v>
      </c>
      <c r="R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 s="1">
        <v>42382</v>
      </c>
      <c r="AC1468" t="s">
        <v>53</v>
      </c>
      <c r="AD1468" t="s">
        <v>53</v>
      </c>
      <c r="AK1468">
        <v>0</v>
      </c>
      <c r="AU1468" s="6">
        <v>42159</v>
      </c>
      <c r="AV1468" s="6">
        <v>42159</v>
      </c>
      <c r="AW1468" t="s">
        <v>54</v>
      </c>
      <c r="AX1468" t="str">
        <f t="shared" si="115"/>
        <v>FOR</v>
      </c>
      <c r="AY1468" t="s">
        <v>55</v>
      </c>
    </row>
    <row r="1469" spans="1:51" hidden="1">
      <c r="A1469">
        <v>100360</v>
      </c>
      <c r="B1469" t="s">
        <v>131</v>
      </c>
      <c r="C1469" t="str">
        <f t="shared" si="118"/>
        <v>00076810621</v>
      </c>
      <c r="D1469" t="str">
        <f t="shared" si="118"/>
        <v>00076810621</v>
      </c>
      <c r="E1469" t="s">
        <v>52</v>
      </c>
      <c r="F1469">
        <v>2014</v>
      </c>
      <c r="G1469">
        <v>45971</v>
      </c>
      <c r="H1469" s="1">
        <v>41768</v>
      </c>
      <c r="I1469" s="1">
        <v>41771</v>
      </c>
      <c r="J1469" s="1">
        <v>41771</v>
      </c>
      <c r="K1469" s="1">
        <v>41861</v>
      </c>
      <c r="N1469" s="5"/>
      <c r="O1469">
        <v>7.98</v>
      </c>
      <c r="P1469">
        <v>298</v>
      </c>
      <c r="Q1469" s="2">
        <v>2378.04</v>
      </c>
      <c r="R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 s="1">
        <v>42382</v>
      </c>
      <c r="AC1469" t="s">
        <v>53</v>
      </c>
      <c r="AD1469" t="s">
        <v>53</v>
      </c>
      <c r="AK1469">
        <v>0</v>
      </c>
      <c r="AU1469" s="6">
        <v>42159</v>
      </c>
      <c r="AV1469" s="6">
        <v>42159</v>
      </c>
      <c r="AW1469" t="s">
        <v>54</v>
      </c>
      <c r="AX1469" t="str">
        <f t="shared" si="115"/>
        <v>FOR</v>
      </c>
      <c r="AY1469" t="s">
        <v>55</v>
      </c>
    </row>
    <row r="1470" spans="1:51" hidden="1">
      <c r="A1470">
        <v>100360</v>
      </c>
      <c r="B1470" t="s">
        <v>131</v>
      </c>
      <c r="C1470" t="str">
        <f t="shared" si="118"/>
        <v>00076810621</v>
      </c>
      <c r="D1470" t="str">
        <f t="shared" si="118"/>
        <v>00076810621</v>
      </c>
      <c r="E1470" t="s">
        <v>52</v>
      </c>
      <c r="F1470">
        <v>2014</v>
      </c>
      <c r="G1470">
        <v>47215</v>
      </c>
      <c r="H1470" s="1">
        <v>41772</v>
      </c>
      <c r="I1470" s="1">
        <v>41773</v>
      </c>
      <c r="J1470" s="1">
        <v>41773</v>
      </c>
      <c r="K1470" s="1">
        <v>41863</v>
      </c>
      <c r="N1470" s="5"/>
      <c r="O1470">
        <v>34.72</v>
      </c>
      <c r="P1470">
        <v>296</v>
      </c>
      <c r="Q1470" s="2">
        <v>10277.120000000001</v>
      </c>
      <c r="R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 s="1">
        <v>42382</v>
      </c>
      <c r="AC1470" t="s">
        <v>53</v>
      </c>
      <c r="AD1470" t="s">
        <v>53</v>
      </c>
      <c r="AK1470">
        <v>0</v>
      </c>
      <c r="AU1470" s="6">
        <v>42159</v>
      </c>
      <c r="AV1470" s="6">
        <v>42159</v>
      </c>
      <c r="AW1470" t="s">
        <v>54</v>
      </c>
      <c r="AX1470" t="str">
        <f t="shared" si="115"/>
        <v>FOR</v>
      </c>
      <c r="AY1470" t="s">
        <v>55</v>
      </c>
    </row>
    <row r="1471" spans="1:51" hidden="1">
      <c r="A1471">
        <v>100360</v>
      </c>
      <c r="B1471" t="s">
        <v>131</v>
      </c>
      <c r="C1471" t="str">
        <f t="shared" si="118"/>
        <v>00076810621</v>
      </c>
      <c r="D1471" t="str">
        <f t="shared" si="118"/>
        <v>00076810621</v>
      </c>
      <c r="E1471" t="s">
        <v>52</v>
      </c>
      <c r="F1471">
        <v>2014</v>
      </c>
      <c r="G1471">
        <v>48351</v>
      </c>
      <c r="H1471" s="1">
        <v>41775</v>
      </c>
      <c r="I1471" s="1">
        <v>41778</v>
      </c>
      <c r="J1471" s="1">
        <v>41778</v>
      </c>
      <c r="K1471" s="1">
        <v>41868</v>
      </c>
      <c r="N1471" s="5"/>
      <c r="O1471">
        <v>18.690000000000001</v>
      </c>
      <c r="P1471">
        <v>291</v>
      </c>
      <c r="Q1471" s="2">
        <v>5438.79</v>
      </c>
      <c r="R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 s="1">
        <v>42382</v>
      </c>
      <c r="AC1471" t="s">
        <v>53</v>
      </c>
      <c r="AD1471" t="s">
        <v>53</v>
      </c>
      <c r="AK1471">
        <v>0</v>
      </c>
      <c r="AU1471" s="6">
        <v>42159</v>
      </c>
      <c r="AV1471" s="6">
        <v>42159</v>
      </c>
      <c r="AW1471" t="s">
        <v>54</v>
      </c>
      <c r="AX1471" t="str">
        <f t="shared" si="115"/>
        <v>FOR</v>
      </c>
      <c r="AY1471" t="s">
        <v>55</v>
      </c>
    </row>
    <row r="1472" spans="1:51" hidden="1">
      <c r="A1472">
        <v>100360</v>
      </c>
      <c r="B1472" t="s">
        <v>131</v>
      </c>
      <c r="C1472" t="str">
        <f t="shared" si="118"/>
        <v>00076810621</v>
      </c>
      <c r="D1472" t="str">
        <f t="shared" si="118"/>
        <v>00076810621</v>
      </c>
      <c r="E1472" t="s">
        <v>52</v>
      </c>
      <c r="F1472">
        <v>2014</v>
      </c>
      <c r="G1472">
        <v>48585</v>
      </c>
      <c r="H1472" s="1">
        <v>41775</v>
      </c>
      <c r="I1472" s="1">
        <v>41778</v>
      </c>
      <c r="J1472" s="1">
        <v>41778</v>
      </c>
      <c r="K1472" s="1">
        <v>41868</v>
      </c>
      <c r="N1472" s="5"/>
      <c r="O1472">
        <v>43.6</v>
      </c>
      <c r="P1472">
        <v>291</v>
      </c>
      <c r="Q1472" s="2">
        <v>12687.6</v>
      </c>
      <c r="R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 s="1">
        <v>42382</v>
      </c>
      <c r="AC1472" t="s">
        <v>53</v>
      </c>
      <c r="AD1472" t="s">
        <v>53</v>
      </c>
      <c r="AK1472">
        <v>0</v>
      </c>
      <c r="AU1472" s="6">
        <v>42159</v>
      </c>
      <c r="AV1472" s="6">
        <v>42159</v>
      </c>
      <c r="AW1472" t="s">
        <v>54</v>
      </c>
      <c r="AX1472" t="str">
        <f t="shared" si="115"/>
        <v>FOR</v>
      </c>
      <c r="AY1472" t="s">
        <v>55</v>
      </c>
    </row>
    <row r="1473" spans="1:51" hidden="1">
      <c r="A1473">
        <v>100360</v>
      </c>
      <c r="B1473" t="s">
        <v>131</v>
      </c>
      <c r="C1473" t="str">
        <f t="shared" si="118"/>
        <v>00076810621</v>
      </c>
      <c r="D1473" t="str">
        <f t="shared" si="118"/>
        <v>00076810621</v>
      </c>
      <c r="E1473" t="s">
        <v>52</v>
      </c>
      <c r="F1473">
        <v>2014</v>
      </c>
      <c r="G1473">
        <v>49125</v>
      </c>
      <c r="H1473" s="1">
        <v>41778</v>
      </c>
      <c r="I1473" s="1">
        <v>41779</v>
      </c>
      <c r="J1473" s="1">
        <v>41779</v>
      </c>
      <c r="K1473" s="1">
        <v>41869</v>
      </c>
      <c r="N1473" s="5"/>
      <c r="O1473">
        <v>25.18</v>
      </c>
      <c r="P1473">
        <v>290</v>
      </c>
      <c r="Q1473" s="2">
        <v>7302.2</v>
      </c>
      <c r="R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 s="1">
        <v>42382</v>
      </c>
      <c r="AC1473" t="s">
        <v>53</v>
      </c>
      <c r="AD1473" t="s">
        <v>53</v>
      </c>
      <c r="AK1473">
        <v>0</v>
      </c>
      <c r="AU1473" s="6">
        <v>42159</v>
      </c>
      <c r="AV1473" s="6">
        <v>42159</v>
      </c>
      <c r="AW1473" t="s">
        <v>54</v>
      </c>
      <c r="AX1473" t="str">
        <f t="shared" si="115"/>
        <v>FOR</v>
      </c>
      <c r="AY1473" t="s">
        <v>55</v>
      </c>
    </row>
    <row r="1474" spans="1:51" hidden="1">
      <c r="A1474">
        <v>100360</v>
      </c>
      <c r="B1474" t="s">
        <v>131</v>
      </c>
      <c r="C1474" t="str">
        <f t="shared" si="118"/>
        <v>00076810621</v>
      </c>
      <c r="D1474" t="str">
        <f t="shared" si="118"/>
        <v>00076810621</v>
      </c>
      <c r="E1474" t="s">
        <v>52</v>
      </c>
      <c r="F1474">
        <v>2014</v>
      </c>
      <c r="G1474">
        <v>49325</v>
      </c>
      <c r="H1474" s="1">
        <v>41778</v>
      </c>
      <c r="I1474" s="1">
        <v>41779</v>
      </c>
      <c r="J1474" s="1">
        <v>41779</v>
      </c>
      <c r="K1474" s="1">
        <v>41869</v>
      </c>
      <c r="N1474" s="5"/>
      <c r="O1474">
        <v>47.28</v>
      </c>
      <c r="P1474">
        <v>290</v>
      </c>
      <c r="Q1474" s="2">
        <v>13711.2</v>
      </c>
      <c r="R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 s="1">
        <v>42382</v>
      </c>
      <c r="AC1474" t="s">
        <v>53</v>
      </c>
      <c r="AD1474" t="s">
        <v>53</v>
      </c>
      <c r="AK1474">
        <v>0</v>
      </c>
      <c r="AU1474" s="6">
        <v>42159</v>
      </c>
      <c r="AV1474" s="6">
        <v>42159</v>
      </c>
      <c r="AW1474" t="s">
        <v>54</v>
      </c>
      <c r="AX1474" t="str">
        <f t="shared" si="115"/>
        <v>FOR</v>
      </c>
      <c r="AY1474" t="s">
        <v>55</v>
      </c>
    </row>
    <row r="1475" spans="1:51" hidden="1">
      <c r="A1475">
        <v>100360</v>
      </c>
      <c r="B1475" t="s">
        <v>131</v>
      </c>
      <c r="C1475" t="str">
        <f t="shared" si="118"/>
        <v>00076810621</v>
      </c>
      <c r="D1475" t="str">
        <f t="shared" si="118"/>
        <v>00076810621</v>
      </c>
      <c r="E1475" t="s">
        <v>52</v>
      </c>
      <c r="F1475">
        <v>2014</v>
      </c>
      <c r="G1475">
        <v>49602</v>
      </c>
      <c r="H1475" s="1">
        <v>41779</v>
      </c>
      <c r="I1475" s="1">
        <v>41782</v>
      </c>
      <c r="J1475" s="1">
        <v>41782</v>
      </c>
      <c r="K1475" s="1">
        <v>41872</v>
      </c>
      <c r="N1475" s="5"/>
      <c r="O1475">
        <v>49.15</v>
      </c>
      <c r="P1475">
        <v>287</v>
      </c>
      <c r="Q1475" s="2">
        <v>14106.05</v>
      </c>
      <c r="R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 s="1">
        <v>42382</v>
      </c>
      <c r="AC1475" t="s">
        <v>53</v>
      </c>
      <c r="AD1475" t="s">
        <v>53</v>
      </c>
      <c r="AK1475">
        <v>0</v>
      </c>
      <c r="AU1475" s="6">
        <v>42159</v>
      </c>
      <c r="AV1475" s="6">
        <v>42159</v>
      </c>
      <c r="AW1475" t="s">
        <v>54</v>
      </c>
      <c r="AX1475" t="str">
        <f t="shared" ref="AX1475:AX1538" si="119">"FOR"</f>
        <v>FOR</v>
      </c>
      <c r="AY1475" t="s">
        <v>55</v>
      </c>
    </row>
    <row r="1476" spans="1:51" hidden="1">
      <c r="A1476">
        <v>100360</v>
      </c>
      <c r="B1476" t="s">
        <v>131</v>
      </c>
      <c r="C1476" t="str">
        <f t="shared" si="118"/>
        <v>00076810621</v>
      </c>
      <c r="D1476" t="str">
        <f t="shared" si="118"/>
        <v>00076810621</v>
      </c>
      <c r="E1476" t="s">
        <v>52</v>
      </c>
      <c r="F1476">
        <v>2014</v>
      </c>
      <c r="G1476">
        <v>50046</v>
      </c>
      <c r="H1476" s="1">
        <v>41779</v>
      </c>
      <c r="I1476" s="1">
        <v>41782</v>
      </c>
      <c r="J1476" s="1">
        <v>41782</v>
      </c>
      <c r="K1476" s="1">
        <v>41872</v>
      </c>
      <c r="N1476" s="5"/>
      <c r="O1476">
        <v>70.47</v>
      </c>
      <c r="P1476">
        <v>287</v>
      </c>
      <c r="Q1476" s="2">
        <v>20224.89</v>
      </c>
      <c r="R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 s="1">
        <v>42382</v>
      </c>
      <c r="AC1476" t="s">
        <v>53</v>
      </c>
      <c r="AD1476" t="s">
        <v>53</v>
      </c>
      <c r="AK1476">
        <v>0</v>
      </c>
      <c r="AU1476" s="6">
        <v>42159</v>
      </c>
      <c r="AV1476" s="6">
        <v>42159</v>
      </c>
      <c r="AW1476" t="s">
        <v>54</v>
      </c>
      <c r="AX1476" t="str">
        <f t="shared" si="119"/>
        <v>FOR</v>
      </c>
      <c r="AY1476" t="s">
        <v>55</v>
      </c>
    </row>
    <row r="1477" spans="1:51" hidden="1">
      <c r="A1477">
        <v>100360</v>
      </c>
      <c r="B1477" t="s">
        <v>131</v>
      </c>
      <c r="C1477" t="str">
        <f t="shared" si="118"/>
        <v>00076810621</v>
      </c>
      <c r="D1477" t="str">
        <f t="shared" si="118"/>
        <v>00076810621</v>
      </c>
      <c r="E1477" t="s">
        <v>52</v>
      </c>
      <c r="F1477">
        <v>2014</v>
      </c>
      <c r="G1477">
        <v>50698</v>
      </c>
      <c r="H1477" s="1">
        <v>41781</v>
      </c>
      <c r="I1477" s="1">
        <v>41788</v>
      </c>
      <c r="J1477" s="1">
        <v>41788</v>
      </c>
      <c r="K1477" s="1">
        <v>41878</v>
      </c>
      <c r="N1477" s="5"/>
      <c r="O1477">
        <v>7</v>
      </c>
      <c r="P1477">
        <v>281</v>
      </c>
      <c r="Q1477" s="2">
        <v>1967</v>
      </c>
      <c r="R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 s="1">
        <v>42382</v>
      </c>
      <c r="AC1477" t="s">
        <v>53</v>
      </c>
      <c r="AD1477" t="s">
        <v>53</v>
      </c>
      <c r="AK1477">
        <v>0</v>
      </c>
      <c r="AU1477" s="6">
        <v>42159</v>
      </c>
      <c r="AV1477" s="6">
        <v>42159</v>
      </c>
      <c r="AW1477" t="s">
        <v>54</v>
      </c>
      <c r="AX1477" t="str">
        <f t="shared" si="119"/>
        <v>FOR</v>
      </c>
      <c r="AY1477" t="s">
        <v>55</v>
      </c>
    </row>
    <row r="1478" spans="1:51" hidden="1">
      <c r="A1478">
        <v>100360</v>
      </c>
      <c r="B1478" t="s">
        <v>131</v>
      </c>
      <c r="C1478" t="str">
        <f t="shared" si="118"/>
        <v>00076810621</v>
      </c>
      <c r="D1478" t="str">
        <f t="shared" si="118"/>
        <v>00076810621</v>
      </c>
      <c r="E1478" t="s">
        <v>52</v>
      </c>
      <c r="F1478">
        <v>2014</v>
      </c>
      <c r="G1478">
        <v>51361</v>
      </c>
      <c r="H1478" s="1">
        <v>41783</v>
      </c>
      <c r="I1478" s="1">
        <v>41788</v>
      </c>
      <c r="J1478" s="1">
        <v>41788</v>
      </c>
      <c r="K1478" s="1">
        <v>41878</v>
      </c>
      <c r="N1478" s="5"/>
      <c r="O1478">
        <v>7.87</v>
      </c>
      <c r="P1478">
        <v>281</v>
      </c>
      <c r="Q1478" s="2">
        <v>2211.4699999999998</v>
      </c>
      <c r="R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 s="1">
        <v>42382</v>
      </c>
      <c r="AC1478" t="s">
        <v>53</v>
      </c>
      <c r="AD1478" t="s">
        <v>53</v>
      </c>
      <c r="AK1478">
        <v>0</v>
      </c>
      <c r="AU1478" s="6">
        <v>42159</v>
      </c>
      <c r="AV1478" s="6">
        <v>42159</v>
      </c>
      <c r="AW1478" t="s">
        <v>54</v>
      </c>
      <c r="AX1478" t="str">
        <f t="shared" si="119"/>
        <v>FOR</v>
      </c>
      <c r="AY1478" t="s">
        <v>55</v>
      </c>
    </row>
    <row r="1479" spans="1:51" hidden="1">
      <c r="A1479">
        <v>100360</v>
      </c>
      <c r="B1479" t="s">
        <v>131</v>
      </c>
      <c r="C1479" t="str">
        <f t="shared" si="118"/>
        <v>00076810621</v>
      </c>
      <c r="D1479" t="str">
        <f t="shared" si="118"/>
        <v>00076810621</v>
      </c>
      <c r="E1479" t="s">
        <v>52</v>
      </c>
      <c r="F1479">
        <v>2014</v>
      </c>
      <c r="G1479">
        <v>51624</v>
      </c>
      <c r="H1479" s="1">
        <v>41785</v>
      </c>
      <c r="I1479" s="1">
        <v>42075</v>
      </c>
      <c r="J1479" s="1">
        <v>42075</v>
      </c>
      <c r="K1479" s="1">
        <v>42135</v>
      </c>
      <c r="N1479" s="5"/>
      <c r="O1479">
        <v>20.46</v>
      </c>
      <c r="P1479">
        <v>24</v>
      </c>
      <c r="Q1479">
        <v>491.04</v>
      </c>
      <c r="R1479">
        <v>0</v>
      </c>
      <c r="V1479">
        <v>0</v>
      </c>
      <c r="W1479">
        <v>0</v>
      </c>
      <c r="X1479">
        <v>0</v>
      </c>
      <c r="Y1479">
        <v>0</v>
      </c>
      <c r="Z1479">
        <v>20.46</v>
      </c>
      <c r="AA1479">
        <v>0</v>
      </c>
      <c r="AB1479" s="1">
        <v>42382</v>
      </c>
      <c r="AC1479" t="s">
        <v>53</v>
      </c>
      <c r="AD1479" t="s">
        <v>53</v>
      </c>
      <c r="AK1479">
        <v>0</v>
      </c>
      <c r="AU1479" s="6">
        <v>42159</v>
      </c>
      <c r="AV1479" s="6">
        <v>42159</v>
      </c>
      <c r="AW1479" t="s">
        <v>54</v>
      </c>
      <c r="AX1479" t="str">
        <f t="shared" si="119"/>
        <v>FOR</v>
      </c>
      <c r="AY1479" t="s">
        <v>55</v>
      </c>
    </row>
    <row r="1480" spans="1:51" hidden="1">
      <c r="A1480">
        <v>100360</v>
      </c>
      <c r="B1480" t="s">
        <v>131</v>
      </c>
      <c r="C1480" t="str">
        <f t="shared" si="118"/>
        <v>00076810621</v>
      </c>
      <c r="D1480" t="str">
        <f t="shared" si="118"/>
        <v>00076810621</v>
      </c>
      <c r="E1480" t="s">
        <v>52</v>
      </c>
      <c r="F1480">
        <v>2014</v>
      </c>
      <c r="G1480">
        <v>51849</v>
      </c>
      <c r="H1480" s="1">
        <v>41785</v>
      </c>
      <c r="I1480" s="1">
        <v>41788</v>
      </c>
      <c r="J1480" s="1">
        <v>41788</v>
      </c>
      <c r="K1480" s="1">
        <v>41878</v>
      </c>
      <c r="N1480" s="5"/>
      <c r="O1480">
        <v>26.25</v>
      </c>
      <c r="P1480">
        <v>281</v>
      </c>
      <c r="Q1480" s="2">
        <v>7376.25</v>
      </c>
      <c r="R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 s="1">
        <v>42382</v>
      </c>
      <c r="AC1480" t="s">
        <v>53</v>
      </c>
      <c r="AD1480" t="s">
        <v>53</v>
      </c>
      <c r="AK1480">
        <v>0</v>
      </c>
      <c r="AU1480" s="6">
        <v>42159</v>
      </c>
      <c r="AV1480" s="6">
        <v>42159</v>
      </c>
      <c r="AW1480" t="s">
        <v>54</v>
      </c>
      <c r="AX1480" t="str">
        <f t="shared" si="119"/>
        <v>FOR</v>
      </c>
      <c r="AY1480" t="s">
        <v>55</v>
      </c>
    </row>
    <row r="1481" spans="1:51" hidden="1">
      <c r="A1481">
        <v>100360</v>
      </c>
      <c r="B1481" t="s">
        <v>131</v>
      </c>
      <c r="C1481" t="str">
        <f t="shared" si="118"/>
        <v>00076810621</v>
      </c>
      <c r="D1481" t="str">
        <f t="shared" si="118"/>
        <v>00076810621</v>
      </c>
      <c r="E1481" t="s">
        <v>52</v>
      </c>
      <c r="F1481">
        <v>2014</v>
      </c>
      <c r="G1481">
        <v>51868</v>
      </c>
      <c r="H1481" s="1">
        <v>41785</v>
      </c>
      <c r="I1481" s="1">
        <v>41788</v>
      </c>
      <c r="J1481" s="1">
        <v>41788</v>
      </c>
      <c r="K1481" s="1">
        <v>41878</v>
      </c>
      <c r="N1481" s="5"/>
      <c r="O1481">
        <v>6.33</v>
      </c>
      <c r="P1481">
        <v>281</v>
      </c>
      <c r="Q1481" s="2">
        <v>1778.73</v>
      </c>
      <c r="R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 s="1">
        <v>42382</v>
      </c>
      <c r="AC1481" t="s">
        <v>53</v>
      </c>
      <c r="AD1481" t="s">
        <v>53</v>
      </c>
      <c r="AK1481">
        <v>0</v>
      </c>
      <c r="AU1481" s="6">
        <v>42159</v>
      </c>
      <c r="AV1481" s="6">
        <v>42159</v>
      </c>
      <c r="AW1481" t="s">
        <v>54</v>
      </c>
      <c r="AX1481" t="str">
        <f t="shared" si="119"/>
        <v>FOR</v>
      </c>
      <c r="AY1481" t="s">
        <v>55</v>
      </c>
    </row>
    <row r="1482" spans="1:51" hidden="1">
      <c r="A1482">
        <v>100360</v>
      </c>
      <c r="B1482" t="s">
        <v>131</v>
      </c>
      <c r="C1482" t="str">
        <f t="shared" si="118"/>
        <v>00076810621</v>
      </c>
      <c r="D1482" t="str">
        <f t="shared" si="118"/>
        <v>00076810621</v>
      </c>
      <c r="E1482" t="s">
        <v>52</v>
      </c>
      <c r="F1482">
        <v>2014</v>
      </c>
      <c r="G1482">
        <v>52305</v>
      </c>
      <c r="H1482" s="1">
        <v>41786</v>
      </c>
      <c r="I1482" s="1">
        <v>41788</v>
      </c>
      <c r="J1482" s="1">
        <v>41788</v>
      </c>
      <c r="K1482" s="1">
        <v>41878</v>
      </c>
      <c r="N1482" s="5"/>
      <c r="O1482">
        <v>39.159999999999997</v>
      </c>
      <c r="P1482">
        <v>281</v>
      </c>
      <c r="Q1482" s="2">
        <v>11003.96</v>
      </c>
      <c r="R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 s="1">
        <v>42382</v>
      </c>
      <c r="AC1482" t="s">
        <v>53</v>
      </c>
      <c r="AD1482" t="s">
        <v>53</v>
      </c>
      <c r="AK1482">
        <v>0</v>
      </c>
      <c r="AU1482" s="6">
        <v>42159</v>
      </c>
      <c r="AV1482" s="6">
        <v>42159</v>
      </c>
      <c r="AW1482" t="s">
        <v>54</v>
      </c>
      <c r="AX1482" t="str">
        <f t="shared" si="119"/>
        <v>FOR</v>
      </c>
      <c r="AY1482" t="s">
        <v>55</v>
      </c>
    </row>
    <row r="1483" spans="1:51" hidden="1">
      <c r="A1483">
        <v>100360</v>
      </c>
      <c r="B1483" t="s">
        <v>131</v>
      </c>
      <c r="C1483" t="str">
        <f t="shared" si="118"/>
        <v>00076810621</v>
      </c>
      <c r="D1483" t="str">
        <f t="shared" si="118"/>
        <v>00076810621</v>
      </c>
      <c r="E1483" t="s">
        <v>52</v>
      </c>
      <c r="F1483">
        <v>2014</v>
      </c>
      <c r="G1483">
        <v>53053</v>
      </c>
      <c r="H1483" s="1">
        <v>41788</v>
      </c>
      <c r="I1483" s="1">
        <v>41789</v>
      </c>
      <c r="J1483" s="1">
        <v>41789</v>
      </c>
      <c r="K1483" s="1">
        <v>41879</v>
      </c>
      <c r="N1483" s="5"/>
      <c r="O1483">
        <v>34.65</v>
      </c>
      <c r="P1483">
        <v>280</v>
      </c>
      <c r="Q1483" s="2">
        <v>9702</v>
      </c>
      <c r="R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 s="1">
        <v>42382</v>
      </c>
      <c r="AC1483" t="s">
        <v>53</v>
      </c>
      <c r="AD1483" t="s">
        <v>53</v>
      </c>
      <c r="AK1483">
        <v>0</v>
      </c>
      <c r="AU1483" s="6">
        <v>42159</v>
      </c>
      <c r="AV1483" s="6">
        <v>42159</v>
      </c>
      <c r="AW1483" t="s">
        <v>54</v>
      </c>
      <c r="AX1483" t="str">
        <f t="shared" si="119"/>
        <v>FOR</v>
      </c>
      <c r="AY1483" t="s">
        <v>55</v>
      </c>
    </row>
    <row r="1484" spans="1:51" hidden="1">
      <c r="A1484">
        <v>100360</v>
      </c>
      <c r="B1484" t="s">
        <v>131</v>
      </c>
      <c r="C1484" t="str">
        <f t="shared" si="118"/>
        <v>00076810621</v>
      </c>
      <c r="D1484" t="str">
        <f t="shared" si="118"/>
        <v>00076810621</v>
      </c>
      <c r="E1484" t="s">
        <v>52</v>
      </c>
      <c r="F1484">
        <v>2014</v>
      </c>
      <c r="G1484">
        <v>53516</v>
      </c>
      <c r="H1484" s="1">
        <v>41789</v>
      </c>
      <c r="I1484" s="1">
        <v>41793</v>
      </c>
      <c r="J1484" s="1">
        <v>41793</v>
      </c>
      <c r="K1484" s="1">
        <v>41883</v>
      </c>
      <c r="N1484" s="5"/>
      <c r="O1484">
        <v>7.91</v>
      </c>
      <c r="P1484">
        <v>276</v>
      </c>
      <c r="Q1484" s="2">
        <v>2183.16</v>
      </c>
      <c r="R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 s="1">
        <v>42382</v>
      </c>
      <c r="AC1484" t="s">
        <v>53</v>
      </c>
      <c r="AD1484" t="s">
        <v>53</v>
      </c>
      <c r="AK1484">
        <v>0</v>
      </c>
      <c r="AU1484" s="6">
        <v>42159</v>
      </c>
      <c r="AV1484" s="6">
        <v>42159</v>
      </c>
      <c r="AW1484" t="s">
        <v>54</v>
      </c>
      <c r="AX1484" t="str">
        <f t="shared" si="119"/>
        <v>FOR</v>
      </c>
      <c r="AY1484" t="s">
        <v>55</v>
      </c>
    </row>
    <row r="1485" spans="1:51" hidden="1">
      <c r="A1485">
        <v>100360</v>
      </c>
      <c r="B1485" t="s">
        <v>131</v>
      </c>
      <c r="C1485" t="str">
        <f t="shared" si="118"/>
        <v>00076810621</v>
      </c>
      <c r="D1485" t="str">
        <f t="shared" si="118"/>
        <v>00076810621</v>
      </c>
      <c r="E1485" t="s">
        <v>52</v>
      </c>
      <c r="F1485">
        <v>2014</v>
      </c>
      <c r="G1485">
        <v>53730</v>
      </c>
      <c r="H1485" s="1">
        <v>41789</v>
      </c>
      <c r="I1485" s="1">
        <v>41793</v>
      </c>
      <c r="J1485" s="1">
        <v>41793</v>
      </c>
      <c r="K1485" s="1">
        <v>41883</v>
      </c>
      <c r="N1485" s="5"/>
      <c r="O1485">
        <v>12.28</v>
      </c>
      <c r="P1485">
        <v>276</v>
      </c>
      <c r="Q1485" s="2">
        <v>3389.28</v>
      </c>
      <c r="R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 s="1">
        <v>42382</v>
      </c>
      <c r="AC1485" t="s">
        <v>53</v>
      </c>
      <c r="AD1485" t="s">
        <v>53</v>
      </c>
      <c r="AK1485">
        <v>0</v>
      </c>
      <c r="AU1485" s="6">
        <v>42159</v>
      </c>
      <c r="AV1485" s="6">
        <v>42159</v>
      </c>
      <c r="AW1485" t="s">
        <v>54</v>
      </c>
      <c r="AX1485" t="str">
        <f t="shared" si="119"/>
        <v>FOR</v>
      </c>
      <c r="AY1485" t="s">
        <v>55</v>
      </c>
    </row>
    <row r="1486" spans="1:51" hidden="1">
      <c r="A1486">
        <v>100360</v>
      </c>
      <c r="B1486" t="s">
        <v>131</v>
      </c>
      <c r="C1486" t="str">
        <f t="shared" si="118"/>
        <v>00076810621</v>
      </c>
      <c r="D1486" t="str">
        <f t="shared" si="118"/>
        <v>00076810621</v>
      </c>
      <c r="E1486" t="s">
        <v>52</v>
      </c>
      <c r="F1486">
        <v>2014</v>
      </c>
      <c r="G1486">
        <v>53954</v>
      </c>
      <c r="H1486" s="1">
        <v>41790</v>
      </c>
      <c r="I1486" s="1">
        <v>42075</v>
      </c>
      <c r="J1486" s="1">
        <v>42075</v>
      </c>
      <c r="K1486" s="1">
        <v>42135</v>
      </c>
      <c r="N1486" s="5"/>
      <c r="O1486">
        <v>72.040000000000006</v>
      </c>
      <c r="P1486">
        <v>24</v>
      </c>
      <c r="Q1486" s="2">
        <v>1728.96</v>
      </c>
      <c r="R1486">
        <v>0</v>
      </c>
      <c r="V1486">
        <v>0</v>
      </c>
      <c r="W1486">
        <v>0</v>
      </c>
      <c r="X1486">
        <v>0</v>
      </c>
      <c r="Y1486">
        <v>0</v>
      </c>
      <c r="Z1486">
        <v>72.040000000000006</v>
      </c>
      <c r="AA1486">
        <v>0</v>
      </c>
      <c r="AB1486" s="1">
        <v>42382</v>
      </c>
      <c r="AC1486" t="s">
        <v>53</v>
      </c>
      <c r="AD1486" t="s">
        <v>53</v>
      </c>
      <c r="AK1486">
        <v>0</v>
      </c>
      <c r="AU1486" s="6">
        <v>42159</v>
      </c>
      <c r="AV1486" s="6">
        <v>42159</v>
      </c>
      <c r="AW1486" t="s">
        <v>54</v>
      </c>
      <c r="AX1486" t="str">
        <f t="shared" si="119"/>
        <v>FOR</v>
      </c>
      <c r="AY1486" t="s">
        <v>55</v>
      </c>
    </row>
    <row r="1487" spans="1:51" hidden="1">
      <c r="A1487">
        <v>100360</v>
      </c>
      <c r="B1487" t="s">
        <v>131</v>
      </c>
      <c r="C1487" t="str">
        <f t="shared" si="118"/>
        <v>00076810621</v>
      </c>
      <c r="D1487" t="str">
        <f t="shared" si="118"/>
        <v>00076810621</v>
      </c>
      <c r="E1487" t="s">
        <v>52</v>
      </c>
      <c r="F1487">
        <v>2014</v>
      </c>
      <c r="G1487">
        <v>54266</v>
      </c>
      <c r="H1487" s="1">
        <v>41793</v>
      </c>
      <c r="I1487" s="1">
        <v>41795</v>
      </c>
      <c r="J1487" s="1">
        <v>41795</v>
      </c>
      <c r="K1487" s="1">
        <v>41885</v>
      </c>
      <c r="N1487" s="5"/>
      <c r="O1487">
        <v>66.81</v>
      </c>
      <c r="P1487">
        <v>274</v>
      </c>
      <c r="Q1487" s="2">
        <v>18305.939999999999</v>
      </c>
      <c r="R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 s="1">
        <v>42382</v>
      </c>
      <c r="AC1487" t="s">
        <v>53</v>
      </c>
      <c r="AD1487" t="s">
        <v>53</v>
      </c>
      <c r="AK1487">
        <v>0</v>
      </c>
      <c r="AU1487" s="6">
        <v>42159</v>
      </c>
      <c r="AV1487" s="6">
        <v>42159</v>
      </c>
      <c r="AW1487" t="s">
        <v>54</v>
      </c>
      <c r="AX1487" t="str">
        <f t="shared" si="119"/>
        <v>FOR</v>
      </c>
      <c r="AY1487" t="s">
        <v>55</v>
      </c>
    </row>
    <row r="1488" spans="1:51" hidden="1">
      <c r="A1488">
        <v>100360</v>
      </c>
      <c r="B1488" t="s">
        <v>131</v>
      </c>
      <c r="C1488" t="str">
        <f t="shared" ref="C1488:D1507" si="120">"00076810621"</f>
        <v>00076810621</v>
      </c>
      <c r="D1488" t="str">
        <f t="shared" si="120"/>
        <v>00076810621</v>
      </c>
      <c r="E1488" t="s">
        <v>52</v>
      </c>
      <c r="F1488">
        <v>2014</v>
      </c>
      <c r="G1488">
        <v>54511</v>
      </c>
      <c r="H1488" s="1">
        <v>41793</v>
      </c>
      <c r="I1488" s="1">
        <v>41795</v>
      </c>
      <c r="J1488" s="1">
        <v>41795</v>
      </c>
      <c r="K1488" s="1">
        <v>41885</v>
      </c>
      <c r="N1488" s="5"/>
      <c r="O1488">
        <v>78.23</v>
      </c>
      <c r="P1488">
        <v>274</v>
      </c>
      <c r="Q1488" s="2">
        <v>21435.02</v>
      </c>
      <c r="R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 s="1">
        <v>42382</v>
      </c>
      <c r="AC1488" t="s">
        <v>53</v>
      </c>
      <c r="AD1488" t="s">
        <v>53</v>
      </c>
      <c r="AK1488">
        <v>0</v>
      </c>
      <c r="AU1488" s="6">
        <v>42159</v>
      </c>
      <c r="AV1488" s="6">
        <v>42159</v>
      </c>
      <c r="AW1488" t="s">
        <v>54</v>
      </c>
      <c r="AX1488" t="str">
        <f t="shared" si="119"/>
        <v>FOR</v>
      </c>
      <c r="AY1488" t="s">
        <v>55</v>
      </c>
    </row>
    <row r="1489" spans="1:51" hidden="1">
      <c r="A1489">
        <v>100360</v>
      </c>
      <c r="B1489" t="s">
        <v>131</v>
      </c>
      <c r="C1489" t="str">
        <f t="shared" si="120"/>
        <v>00076810621</v>
      </c>
      <c r="D1489" t="str">
        <f t="shared" si="120"/>
        <v>00076810621</v>
      </c>
      <c r="E1489" t="s">
        <v>52</v>
      </c>
      <c r="F1489">
        <v>2014</v>
      </c>
      <c r="G1489">
        <v>55006</v>
      </c>
      <c r="H1489" s="1">
        <v>41794</v>
      </c>
      <c r="I1489" s="1">
        <v>41800</v>
      </c>
      <c r="J1489" s="1">
        <v>41800</v>
      </c>
      <c r="K1489" s="1">
        <v>41890</v>
      </c>
      <c r="N1489" s="5"/>
      <c r="O1489">
        <v>16.690000000000001</v>
      </c>
      <c r="P1489">
        <v>269</v>
      </c>
      <c r="Q1489" s="2">
        <v>4489.6099999999997</v>
      </c>
      <c r="R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 s="1">
        <v>42382</v>
      </c>
      <c r="AC1489" t="s">
        <v>53</v>
      </c>
      <c r="AD1489" t="s">
        <v>53</v>
      </c>
      <c r="AK1489">
        <v>0</v>
      </c>
      <c r="AU1489" s="6">
        <v>42159</v>
      </c>
      <c r="AV1489" s="6">
        <v>42159</v>
      </c>
      <c r="AW1489" t="s">
        <v>54</v>
      </c>
      <c r="AX1489" t="str">
        <f t="shared" si="119"/>
        <v>FOR</v>
      </c>
      <c r="AY1489" t="s">
        <v>55</v>
      </c>
    </row>
    <row r="1490" spans="1:51" hidden="1">
      <c r="A1490">
        <v>100360</v>
      </c>
      <c r="B1490" t="s">
        <v>131</v>
      </c>
      <c r="C1490" t="str">
        <f t="shared" si="120"/>
        <v>00076810621</v>
      </c>
      <c r="D1490" t="str">
        <f t="shared" si="120"/>
        <v>00076810621</v>
      </c>
      <c r="E1490" t="s">
        <v>52</v>
      </c>
      <c r="F1490">
        <v>2014</v>
      </c>
      <c r="G1490">
        <v>55679</v>
      </c>
      <c r="H1490" s="1">
        <v>41796</v>
      </c>
      <c r="I1490" s="1">
        <v>41800</v>
      </c>
      <c r="J1490" s="1">
        <v>41800</v>
      </c>
      <c r="K1490" s="1">
        <v>41890</v>
      </c>
      <c r="N1490" s="5"/>
      <c r="O1490">
        <v>51.43</v>
      </c>
      <c r="P1490">
        <v>269</v>
      </c>
      <c r="Q1490" s="2">
        <v>13834.67</v>
      </c>
      <c r="R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 s="1">
        <v>42382</v>
      </c>
      <c r="AC1490" t="s">
        <v>53</v>
      </c>
      <c r="AD1490" t="s">
        <v>53</v>
      </c>
      <c r="AK1490">
        <v>0</v>
      </c>
      <c r="AU1490" s="6">
        <v>42159</v>
      </c>
      <c r="AV1490" s="6">
        <v>42159</v>
      </c>
      <c r="AW1490" t="s">
        <v>54</v>
      </c>
      <c r="AX1490" t="str">
        <f t="shared" si="119"/>
        <v>FOR</v>
      </c>
      <c r="AY1490" t="s">
        <v>55</v>
      </c>
    </row>
    <row r="1491" spans="1:51" hidden="1">
      <c r="A1491">
        <v>100360</v>
      </c>
      <c r="B1491" t="s">
        <v>131</v>
      </c>
      <c r="C1491" t="str">
        <f t="shared" si="120"/>
        <v>00076810621</v>
      </c>
      <c r="D1491" t="str">
        <f t="shared" si="120"/>
        <v>00076810621</v>
      </c>
      <c r="E1491" t="s">
        <v>52</v>
      </c>
      <c r="F1491">
        <v>2014</v>
      </c>
      <c r="G1491">
        <v>55705</v>
      </c>
      <c r="H1491" s="1">
        <v>41796</v>
      </c>
      <c r="I1491" s="1">
        <v>41800</v>
      </c>
      <c r="J1491" s="1">
        <v>41800</v>
      </c>
      <c r="K1491" s="1">
        <v>41890</v>
      </c>
      <c r="N1491" s="5"/>
      <c r="O1491">
        <v>3.2</v>
      </c>
      <c r="P1491">
        <v>269</v>
      </c>
      <c r="Q1491">
        <v>860.8</v>
      </c>
      <c r="R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 s="1">
        <v>42382</v>
      </c>
      <c r="AC1491" t="s">
        <v>53</v>
      </c>
      <c r="AD1491" t="s">
        <v>53</v>
      </c>
      <c r="AK1491">
        <v>0</v>
      </c>
      <c r="AU1491" s="6">
        <v>42159</v>
      </c>
      <c r="AV1491" s="6">
        <v>42159</v>
      </c>
      <c r="AW1491" t="s">
        <v>54</v>
      </c>
      <c r="AX1491" t="str">
        <f t="shared" si="119"/>
        <v>FOR</v>
      </c>
      <c r="AY1491" t="s">
        <v>55</v>
      </c>
    </row>
    <row r="1492" spans="1:51" hidden="1">
      <c r="A1492">
        <v>100360</v>
      </c>
      <c r="B1492" t="s">
        <v>131</v>
      </c>
      <c r="C1492" t="str">
        <f t="shared" si="120"/>
        <v>00076810621</v>
      </c>
      <c r="D1492" t="str">
        <f t="shared" si="120"/>
        <v>00076810621</v>
      </c>
      <c r="E1492" t="s">
        <v>52</v>
      </c>
      <c r="F1492">
        <v>2014</v>
      </c>
      <c r="G1492">
        <v>56165</v>
      </c>
      <c r="H1492" s="1">
        <v>41797</v>
      </c>
      <c r="I1492" s="1">
        <v>41800</v>
      </c>
      <c r="J1492" s="1">
        <v>41800</v>
      </c>
      <c r="K1492" s="1">
        <v>41890</v>
      </c>
      <c r="N1492" s="5"/>
      <c r="O1492">
        <v>44.47</v>
      </c>
      <c r="P1492">
        <v>269</v>
      </c>
      <c r="Q1492" s="2">
        <v>11962.43</v>
      </c>
      <c r="R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 s="1">
        <v>42382</v>
      </c>
      <c r="AC1492" t="s">
        <v>53</v>
      </c>
      <c r="AD1492" t="s">
        <v>53</v>
      </c>
      <c r="AK1492">
        <v>0</v>
      </c>
      <c r="AU1492" s="6">
        <v>42159</v>
      </c>
      <c r="AV1492" s="6">
        <v>42159</v>
      </c>
      <c r="AW1492" t="s">
        <v>54</v>
      </c>
      <c r="AX1492" t="str">
        <f t="shared" si="119"/>
        <v>FOR</v>
      </c>
      <c r="AY1492" t="s">
        <v>55</v>
      </c>
    </row>
    <row r="1493" spans="1:51" hidden="1">
      <c r="A1493">
        <v>100360</v>
      </c>
      <c r="B1493" t="s">
        <v>131</v>
      </c>
      <c r="C1493" t="str">
        <f t="shared" si="120"/>
        <v>00076810621</v>
      </c>
      <c r="D1493" t="str">
        <f t="shared" si="120"/>
        <v>00076810621</v>
      </c>
      <c r="E1493" t="s">
        <v>52</v>
      </c>
      <c r="F1493">
        <v>2014</v>
      </c>
      <c r="G1493">
        <v>56648</v>
      </c>
      <c r="H1493" s="1">
        <v>41799</v>
      </c>
      <c r="I1493" s="1">
        <v>41800</v>
      </c>
      <c r="J1493" s="1">
        <v>41800</v>
      </c>
      <c r="K1493" s="1">
        <v>41890</v>
      </c>
      <c r="N1493" s="5"/>
      <c r="O1493">
        <v>41.7</v>
      </c>
      <c r="P1493">
        <v>269</v>
      </c>
      <c r="Q1493" s="2">
        <v>11217.3</v>
      </c>
      <c r="R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 s="1">
        <v>42382</v>
      </c>
      <c r="AC1493" t="s">
        <v>53</v>
      </c>
      <c r="AD1493" t="s">
        <v>53</v>
      </c>
      <c r="AK1493">
        <v>0</v>
      </c>
      <c r="AU1493" s="6">
        <v>42159</v>
      </c>
      <c r="AV1493" s="6">
        <v>42159</v>
      </c>
      <c r="AW1493" t="s">
        <v>54</v>
      </c>
      <c r="AX1493" t="str">
        <f t="shared" si="119"/>
        <v>FOR</v>
      </c>
      <c r="AY1493" t="s">
        <v>55</v>
      </c>
    </row>
    <row r="1494" spans="1:51" hidden="1">
      <c r="A1494">
        <v>100360</v>
      </c>
      <c r="B1494" t="s">
        <v>131</v>
      </c>
      <c r="C1494" t="str">
        <f t="shared" si="120"/>
        <v>00076810621</v>
      </c>
      <c r="D1494" t="str">
        <f t="shared" si="120"/>
        <v>00076810621</v>
      </c>
      <c r="E1494" t="s">
        <v>52</v>
      </c>
      <c r="F1494">
        <v>2014</v>
      </c>
      <c r="G1494">
        <v>56935</v>
      </c>
      <c r="H1494" s="1">
        <v>41800</v>
      </c>
      <c r="I1494" s="1">
        <v>41808</v>
      </c>
      <c r="J1494" s="1">
        <v>41808</v>
      </c>
      <c r="K1494" s="1">
        <v>41898</v>
      </c>
      <c r="N1494" s="5"/>
      <c r="O1494">
        <v>26.21</v>
      </c>
      <c r="P1494">
        <v>261</v>
      </c>
      <c r="Q1494" s="2">
        <v>6840.81</v>
      </c>
      <c r="R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 s="1">
        <v>42382</v>
      </c>
      <c r="AC1494" t="s">
        <v>53</v>
      </c>
      <c r="AD1494" t="s">
        <v>53</v>
      </c>
      <c r="AK1494">
        <v>0</v>
      </c>
      <c r="AU1494" s="6">
        <v>42159</v>
      </c>
      <c r="AV1494" s="6">
        <v>42159</v>
      </c>
      <c r="AW1494" t="s">
        <v>54</v>
      </c>
      <c r="AX1494" t="str">
        <f t="shared" si="119"/>
        <v>FOR</v>
      </c>
      <c r="AY1494" t="s">
        <v>55</v>
      </c>
    </row>
    <row r="1495" spans="1:51" hidden="1">
      <c r="A1495">
        <v>100360</v>
      </c>
      <c r="B1495" t="s">
        <v>131</v>
      </c>
      <c r="C1495" t="str">
        <f t="shared" si="120"/>
        <v>00076810621</v>
      </c>
      <c r="D1495" t="str">
        <f t="shared" si="120"/>
        <v>00076810621</v>
      </c>
      <c r="E1495" t="s">
        <v>52</v>
      </c>
      <c r="F1495">
        <v>2014</v>
      </c>
      <c r="G1495">
        <v>57604</v>
      </c>
      <c r="H1495" s="1">
        <v>41801</v>
      </c>
      <c r="I1495" s="1">
        <v>41803</v>
      </c>
      <c r="J1495" s="1">
        <v>41803</v>
      </c>
      <c r="K1495" s="1">
        <v>41893</v>
      </c>
      <c r="N1495" s="5"/>
      <c r="O1495">
        <v>26.1</v>
      </c>
      <c r="P1495">
        <v>266</v>
      </c>
      <c r="Q1495" s="2">
        <v>6942.6</v>
      </c>
      <c r="R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 s="1">
        <v>42382</v>
      </c>
      <c r="AC1495" t="s">
        <v>53</v>
      </c>
      <c r="AD1495" t="s">
        <v>53</v>
      </c>
      <c r="AK1495">
        <v>0</v>
      </c>
      <c r="AU1495" s="6">
        <v>42159</v>
      </c>
      <c r="AV1495" s="6">
        <v>42159</v>
      </c>
      <c r="AW1495" t="s">
        <v>54</v>
      </c>
      <c r="AX1495" t="str">
        <f t="shared" si="119"/>
        <v>FOR</v>
      </c>
      <c r="AY1495" t="s">
        <v>55</v>
      </c>
    </row>
    <row r="1496" spans="1:51" hidden="1">
      <c r="A1496">
        <v>100360</v>
      </c>
      <c r="B1496" t="s">
        <v>131</v>
      </c>
      <c r="C1496" t="str">
        <f t="shared" si="120"/>
        <v>00076810621</v>
      </c>
      <c r="D1496" t="str">
        <f t="shared" si="120"/>
        <v>00076810621</v>
      </c>
      <c r="E1496" t="s">
        <v>52</v>
      </c>
      <c r="F1496">
        <v>2014</v>
      </c>
      <c r="G1496">
        <v>57857</v>
      </c>
      <c r="H1496" s="1">
        <v>41802</v>
      </c>
      <c r="I1496" s="1">
        <v>41807</v>
      </c>
      <c r="J1496" s="1">
        <v>41807</v>
      </c>
      <c r="K1496" s="1">
        <v>41897</v>
      </c>
      <c r="N1496" s="5"/>
      <c r="O1496">
        <v>16.68</v>
      </c>
      <c r="P1496">
        <v>262</v>
      </c>
      <c r="Q1496" s="2">
        <v>4370.16</v>
      </c>
      <c r="R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 s="1">
        <v>42382</v>
      </c>
      <c r="AC1496" t="s">
        <v>53</v>
      </c>
      <c r="AD1496" t="s">
        <v>53</v>
      </c>
      <c r="AK1496">
        <v>0</v>
      </c>
      <c r="AU1496" s="6">
        <v>42159</v>
      </c>
      <c r="AV1496" s="6">
        <v>42159</v>
      </c>
      <c r="AW1496" t="s">
        <v>54</v>
      </c>
      <c r="AX1496" t="str">
        <f t="shared" si="119"/>
        <v>FOR</v>
      </c>
      <c r="AY1496" t="s">
        <v>55</v>
      </c>
    </row>
    <row r="1497" spans="1:51" hidden="1">
      <c r="A1497">
        <v>100360</v>
      </c>
      <c r="B1497" t="s">
        <v>131</v>
      </c>
      <c r="C1497" t="str">
        <f t="shared" si="120"/>
        <v>00076810621</v>
      </c>
      <c r="D1497" t="str">
        <f t="shared" si="120"/>
        <v>00076810621</v>
      </c>
      <c r="E1497" t="s">
        <v>52</v>
      </c>
      <c r="F1497">
        <v>2014</v>
      </c>
      <c r="G1497">
        <v>58513</v>
      </c>
      <c r="H1497" s="1">
        <v>41803</v>
      </c>
      <c r="I1497" s="1">
        <v>41808</v>
      </c>
      <c r="J1497" s="1">
        <v>41808</v>
      </c>
      <c r="K1497" s="1">
        <v>41898</v>
      </c>
      <c r="N1497" s="5"/>
      <c r="O1497">
        <v>36.5</v>
      </c>
      <c r="P1497">
        <v>261</v>
      </c>
      <c r="Q1497" s="2">
        <v>9526.5</v>
      </c>
      <c r="R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 s="1">
        <v>42382</v>
      </c>
      <c r="AC1497" t="s">
        <v>53</v>
      </c>
      <c r="AD1497" t="s">
        <v>53</v>
      </c>
      <c r="AK1497">
        <v>0</v>
      </c>
      <c r="AU1497" s="6">
        <v>42159</v>
      </c>
      <c r="AV1497" s="6">
        <v>42159</v>
      </c>
      <c r="AW1497" t="s">
        <v>54</v>
      </c>
      <c r="AX1497" t="str">
        <f t="shared" si="119"/>
        <v>FOR</v>
      </c>
      <c r="AY1497" t="s">
        <v>55</v>
      </c>
    </row>
    <row r="1498" spans="1:51" hidden="1">
      <c r="A1498">
        <v>100360</v>
      </c>
      <c r="B1498" t="s">
        <v>131</v>
      </c>
      <c r="C1498" t="str">
        <f t="shared" si="120"/>
        <v>00076810621</v>
      </c>
      <c r="D1498" t="str">
        <f t="shared" si="120"/>
        <v>00076810621</v>
      </c>
      <c r="E1498" t="s">
        <v>52</v>
      </c>
      <c r="F1498">
        <v>2014</v>
      </c>
      <c r="G1498">
        <v>59489</v>
      </c>
      <c r="H1498" s="1">
        <v>41807</v>
      </c>
      <c r="I1498" s="1">
        <v>41809</v>
      </c>
      <c r="J1498" s="1">
        <v>41809</v>
      </c>
      <c r="K1498" s="1">
        <v>41899</v>
      </c>
      <c r="N1498" s="5"/>
      <c r="O1498">
        <v>25.85</v>
      </c>
      <c r="P1498">
        <v>260</v>
      </c>
      <c r="Q1498" s="2">
        <v>6721</v>
      </c>
      <c r="R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 s="1">
        <v>42382</v>
      </c>
      <c r="AC1498" t="s">
        <v>53</v>
      </c>
      <c r="AD1498" t="s">
        <v>53</v>
      </c>
      <c r="AK1498">
        <v>0</v>
      </c>
      <c r="AU1498" s="6">
        <v>42159</v>
      </c>
      <c r="AV1498" s="6">
        <v>42159</v>
      </c>
      <c r="AW1498" t="s">
        <v>54</v>
      </c>
      <c r="AX1498" t="str">
        <f t="shared" si="119"/>
        <v>FOR</v>
      </c>
      <c r="AY1498" t="s">
        <v>55</v>
      </c>
    </row>
    <row r="1499" spans="1:51" hidden="1">
      <c r="A1499">
        <v>100360</v>
      </c>
      <c r="B1499" t="s">
        <v>131</v>
      </c>
      <c r="C1499" t="str">
        <f t="shared" si="120"/>
        <v>00076810621</v>
      </c>
      <c r="D1499" t="str">
        <f t="shared" si="120"/>
        <v>00076810621</v>
      </c>
      <c r="E1499" t="s">
        <v>52</v>
      </c>
      <c r="F1499">
        <v>2014</v>
      </c>
      <c r="G1499">
        <v>60530</v>
      </c>
      <c r="H1499" s="1">
        <v>41809</v>
      </c>
      <c r="I1499" s="1">
        <v>41816</v>
      </c>
      <c r="J1499" s="1">
        <v>41816</v>
      </c>
      <c r="K1499" s="1">
        <v>41906</v>
      </c>
      <c r="N1499" s="5"/>
      <c r="O1499">
        <v>47.69</v>
      </c>
      <c r="P1499">
        <v>253</v>
      </c>
      <c r="Q1499" s="2">
        <v>12065.57</v>
      </c>
      <c r="R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 s="1">
        <v>42382</v>
      </c>
      <c r="AC1499" t="s">
        <v>53</v>
      </c>
      <c r="AD1499" t="s">
        <v>53</v>
      </c>
      <c r="AK1499">
        <v>0</v>
      </c>
      <c r="AU1499" s="6">
        <v>42159</v>
      </c>
      <c r="AV1499" s="6">
        <v>42159</v>
      </c>
      <c r="AW1499" t="s">
        <v>54</v>
      </c>
      <c r="AX1499" t="str">
        <f t="shared" si="119"/>
        <v>FOR</v>
      </c>
      <c r="AY1499" t="s">
        <v>55</v>
      </c>
    </row>
    <row r="1500" spans="1:51" hidden="1">
      <c r="A1500">
        <v>100360</v>
      </c>
      <c r="B1500" t="s">
        <v>131</v>
      </c>
      <c r="C1500" t="str">
        <f t="shared" si="120"/>
        <v>00076810621</v>
      </c>
      <c r="D1500" t="str">
        <f t="shared" si="120"/>
        <v>00076810621</v>
      </c>
      <c r="E1500" t="s">
        <v>52</v>
      </c>
      <c r="F1500">
        <v>2014</v>
      </c>
      <c r="G1500">
        <v>60748</v>
      </c>
      <c r="H1500" s="1">
        <v>41810</v>
      </c>
      <c r="I1500" s="1">
        <v>41816</v>
      </c>
      <c r="J1500" s="1">
        <v>41816</v>
      </c>
      <c r="K1500" s="1">
        <v>41906</v>
      </c>
      <c r="N1500" s="5"/>
      <c r="O1500">
        <v>3.48</v>
      </c>
      <c r="P1500">
        <v>253</v>
      </c>
      <c r="Q1500">
        <v>880.44</v>
      </c>
      <c r="R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 s="1">
        <v>42382</v>
      </c>
      <c r="AC1500" t="s">
        <v>53</v>
      </c>
      <c r="AD1500" t="s">
        <v>53</v>
      </c>
      <c r="AK1500">
        <v>0</v>
      </c>
      <c r="AU1500" s="6">
        <v>42159</v>
      </c>
      <c r="AV1500" s="6">
        <v>42159</v>
      </c>
      <c r="AW1500" t="s">
        <v>54</v>
      </c>
      <c r="AX1500" t="str">
        <f t="shared" si="119"/>
        <v>FOR</v>
      </c>
      <c r="AY1500" t="s">
        <v>55</v>
      </c>
    </row>
    <row r="1501" spans="1:51" hidden="1">
      <c r="A1501">
        <v>100360</v>
      </c>
      <c r="B1501" t="s">
        <v>131</v>
      </c>
      <c r="C1501" t="str">
        <f t="shared" si="120"/>
        <v>00076810621</v>
      </c>
      <c r="D1501" t="str">
        <f t="shared" si="120"/>
        <v>00076810621</v>
      </c>
      <c r="E1501" t="s">
        <v>52</v>
      </c>
      <c r="F1501">
        <v>2014</v>
      </c>
      <c r="G1501">
        <v>61411</v>
      </c>
      <c r="H1501" s="1">
        <v>41813</v>
      </c>
      <c r="I1501" s="1">
        <v>41816</v>
      </c>
      <c r="J1501" s="1">
        <v>41816</v>
      </c>
      <c r="K1501" s="1">
        <v>41906</v>
      </c>
      <c r="N1501" s="5"/>
      <c r="O1501">
        <v>76.62</v>
      </c>
      <c r="P1501">
        <v>253</v>
      </c>
      <c r="Q1501" s="2">
        <v>19384.86</v>
      </c>
      <c r="R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 s="1">
        <v>42382</v>
      </c>
      <c r="AC1501" t="s">
        <v>53</v>
      </c>
      <c r="AD1501" t="s">
        <v>53</v>
      </c>
      <c r="AK1501">
        <v>0</v>
      </c>
      <c r="AU1501" s="6">
        <v>42159</v>
      </c>
      <c r="AV1501" s="6">
        <v>42159</v>
      </c>
      <c r="AW1501" t="s">
        <v>54</v>
      </c>
      <c r="AX1501" t="str">
        <f t="shared" si="119"/>
        <v>FOR</v>
      </c>
      <c r="AY1501" t="s">
        <v>55</v>
      </c>
    </row>
    <row r="1502" spans="1:51" hidden="1">
      <c r="A1502">
        <v>100360</v>
      </c>
      <c r="B1502" t="s">
        <v>131</v>
      </c>
      <c r="C1502" t="str">
        <f t="shared" si="120"/>
        <v>00076810621</v>
      </c>
      <c r="D1502" t="str">
        <f t="shared" si="120"/>
        <v>00076810621</v>
      </c>
      <c r="E1502" t="s">
        <v>52</v>
      </c>
      <c r="F1502">
        <v>2014</v>
      </c>
      <c r="G1502">
        <v>61625</v>
      </c>
      <c r="H1502" s="1">
        <v>41813</v>
      </c>
      <c r="I1502" s="1">
        <v>41816</v>
      </c>
      <c r="J1502" s="1">
        <v>41816</v>
      </c>
      <c r="K1502" s="1">
        <v>41906</v>
      </c>
      <c r="N1502" s="5"/>
      <c r="O1502">
        <v>16.68</v>
      </c>
      <c r="P1502">
        <v>253</v>
      </c>
      <c r="Q1502" s="2">
        <v>4220.04</v>
      </c>
      <c r="R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 s="1">
        <v>42382</v>
      </c>
      <c r="AC1502" t="s">
        <v>53</v>
      </c>
      <c r="AD1502" t="s">
        <v>53</v>
      </c>
      <c r="AK1502">
        <v>0</v>
      </c>
      <c r="AU1502" s="6">
        <v>42159</v>
      </c>
      <c r="AV1502" s="6">
        <v>42159</v>
      </c>
      <c r="AW1502" t="s">
        <v>54</v>
      </c>
      <c r="AX1502" t="str">
        <f t="shared" si="119"/>
        <v>FOR</v>
      </c>
      <c r="AY1502" t="s">
        <v>55</v>
      </c>
    </row>
    <row r="1503" spans="1:51" hidden="1">
      <c r="A1503">
        <v>100360</v>
      </c>
      <c r="B1503" t="s">
        <v>131</v>
      </c>
      <c r="C1503" t="str">
        <f t="shared" si="120"/>
        <v>00076810621</v>
      </c>
      <c r="D1503" t="str">
        <f t="shared" si="120"/>
        <v>00076810621</v>
      </c>
      <c r="E1503" t="s">
        <v>52</v>
      </c>
      <c r="F1503">
        <v>2014</v>
      </c>
      <c r="G1503">
        <v>61897</v>
      </c>
      <c r="H1503" s="1">
        <v>41814</v>
      </c>
      <c r="I1503" s="1">
        <v>41816</v>
      </c>
      <c r="J1503" s="1">
        <v>41816</v>
      </c>
      <c r="K1503" s="1">
        <v>41906</v>
      </c>
      <c r="N1503" s="5"/>
      <c r="O1503">
        <v>9.58</v>
      </c>
      <c r="P1503">
        <v>253</v>
      </c>
      <c r="Q1503" s="2">
        <v>2423.7399999999998</v>
      </c>
      <c r="R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 s="1">
        <v>42382</v>
      </c>
      <c r="AC1503" t="s">
        <v>53</v>
      </c>
      <c r="AD1503" t="s">
        <v>53</v>
      </c>
      <c r="AK1503">
        <v>0</v>
      </c>
      <c r="AU1503" s="6">
        <v>42159</v>
      </c>
      <c r="AV1503" s="6">
        <v>42159</v>
      </c>
      <c r="AW1503" t="s">
        <v>54</v>
      </c>
      <c r="AX1503" t="str">
        <f t="shared" si="119"/>
        <v>FOR</v>
      </c>
      <c r="AY1503" t="s">
        <v>55</v>
      </c>
    </row>
    <row r="1504" spans="1:51" hidden="1">
      <c r="A1504">
        <v>100360</v>
      </c>
      <c r="B1504" t="s">
        <v>131</v>
      </c>
      <c r="C1504" t="str">
        <f t="shared" si="120"/>
        <v>00076810621</v>
      </c>
      <c r="D1504" t="str">
        <f t="shared" si="120"/>
        <v>00076810621</v>
      </c>
      <c r="E1504" t="s">
        <v>52</v>
      </c>
      <c r="F1504">
        <v>2014</v>
      </c>
      <c r="G1504">
        <v>63398</v>
      </c>
      <c r="H1504" s="1">
        <v>41817</v>
      </c>
      <c r="I1504" s="1">
        <v>41821</v>
      </c>
      <c r="J1504" s="1">
        <v>41821</v>
      </c>
      <c r="K1504" s="1">
        <v>41911</v>
      </c>
      <c r="N1504" s="5"/>
      <c r="O1504">
        <v>26.25</v>
      </c>
      <c r="P1504">
        <v>248</v>
      </c>
      <c r="Q1504" s="2">
        <v>6510</v>
      </c>
      <c r="R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 s="1">
        <v>42382</v>
      </c>
      <c r="AC1504" t="s">
        <v>53</v>
      </c>
      <c r="AD1504" t="s">
        <v>53</v>
      </c>
      <c r="AK1504">
        <v>0</v>
      </c>
      <c r="AU1504" s="6">
        <v>42159</v>
      </c>
      <c r="AV1504" s="6">
        <v>42159</v>
      </c>
      <c r="AW1504" t="s">
        <v>54</v>
      </c>
      <c r="AX1504" t="str">
        <f t="shared" si="119"/>
        <v>FOR</v>
      </c>
      <c r="AY1504" t="s">
        <v>55</v>
      </c>
    </row>
    <row r="1505" spans="1:51" hidden="1">
      <c r="A1505">
        <v>100360</v>
      </c>
      <c r="B1505" t="s">
        <v>131</v>
      </c>
      <c r="C1505" t="str">
        <f t="shared" si="120"/>
        <v>00076810621</v>
      </c>
      <c r="D1505" t="str">
        <f t="shared" si="120"/>
        <v>00076810621</v>
      </c>
      <c r="E1505" t="s">
        <v>52</v>
      </c>
      <c r="F1505">
        <v>2014</v>
      </c>
      <c r="G1505">
        <v>63623</v>
      </c>
      <c r="H1505" s="1">
        <v>41818</v>
      </c>
      <c r="I1505" s="1">
        <v>41821</v>
      </c>
      <c r="J1505" s="1">
        <v>41821</v>
      </c>
      <c r="K1505" s="1">
        <v>41911</v>
      </c>
      <c r="N1505" s="5"/>
      <c r="O1505">
        <v>11</v>
      </c>
      <c r="P1505">
        <v>248</v>
      </c>
      <c r="Q1505" s="2">
        <v>2728</v>
      </c>
      <c r="R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 s="1">
        <v>42382</v>
      </c>
      <c r="AC1505" t="s">
        <v>53</v>
      </c>
      <c r="AD1505" t="s">
        <v>53</v>
      </c>
      <c r="AK1505">
        <v>0</v>
      </c>
      <c r="AU1505" s="6">
        <v>42159</v>
      </c>
      <c r="AV1505" s="6">
        <v>42159</v>
      </c>
      <c r="AW1505" t="s">
        <v>54</v>
      </c>
      <c r="AX1505" t="str">
        <f t="shared" si="119"/>
        <v>FOR</v>
      </c>
      <c r="AY1505" t="s">
        <v>55</v>
      </c>
    </row>
    <row r="1506" spans="1:51" hidden="1">
      <c r="A1506">
        <v>100360</v>
      </c>
      <c r="B1506" t="s">
        <v>131</v>
      </c>
      <c r="C1506" t="str">
        <f t="shared" si="120"/>
        <v>00076810621</v>
      </c>
      <c r="D1506" t="str">
        <f t="shared" si="120"/>
        <v>00076810621</v>
      </c>
      <c r="E1506" t="s">
        <v>52</v>
      </c>
      <c r="F1506">
        <v>2014</v>
      </c>
      <c r="G1506">
        <v>63914</v>
      </c>
      <c r="H1506" s="1">
        <v>41820</v>
      </c>
      <c r="I1506" s="1">
        <v>41821</v>
      </c>
      <c r="J1506" s="1">
        <v>41821</v>
      </c>
      <c r="K1506" s="1">
        <v>41911</v>
      </c>
      <c r="N1506" s="5"/>
      <c r="O1506">
        <v>9.58</v>
      </c>
      <c r="P1506">
        <v>248</v>
      </c>
      <c r="Q1506" s="2">
        <v>2375.84</v>
      </c>
      <c r="R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 s="1">
        <v>42382</v>
      </c>
      <c r="AC1506" t="s">
        <v>53</v>
      </c>
      <c r="AD1506" t="s">
        <v>53</v>
      </c>
      <c r="AK1506">
        <v>0</v>
      </c>
      <c r="AU1506" s="6">
        <v>42159</v>
      </c>
      <c r="AV1506" s="6">
        <v>42159</v>
      </c>
      <c r="AW1506" t="s">
        <v>54</v>
      </c>
      <c r="AX1506" t="str">
        <f t="shared" si="119"/>
        <v>FOR</v>
      </c>
      <c r="AY1506" t="s">
        <v>55</v>
      </c>
    </row>
    <row r="1507" spans="1:51" hidden="1">
      <c r="A1507">
        <v>100360</v>
      </c>
      <c r="B1507" t="s">
        <v>131</v>
      </c>
      <c r="C1507" t="str">
        <f t="shared" si="120"/>
        <v>00076810621</v>
      </c>
      <c r="D1507" t="str">
        <f t="shared" si="120"/>
        <v>00076810621</v>
      </c>
      <c r="E1507" t="s">
        <v>52</v>
      </c>
      <c r="F1507">
        <v>2014</v>
      </c>
      <c r="G1507">
        <v>64341</v>
      </c>
      <c r="H1507" s="1">
        <v>41821</v>
      </c>
      <c r="I1507" s="1">
        <v>41827</v>
      </c>
      <c r="J1507" s="1">
        <v>41827</v>
      </c>
      <c r="K1507" s="1">
        <v>41917</v>
      </c>
      <c r="N1507" s="5"/>
      <c r="O1507">
        <v>7</v>
      </c>
      <c r="P1507">
        <v>264</v>
      </c>
      <c r="Q1507" s="2">
        <v>1848</v>
      </c>
      <c r="R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 s="1">
        <v>42382</v>
      </c>
      <c r="AC1507" t="s">
        <v>53</v>
      </c>
      <c r="AD1507" t="s">
        <v>53</v>
      </c>
      <c r="AK1507">
        <v>0</v>
      </c>
      <c r="AU1507" s="6">
        <v>42181</v>
      </c>
      <c r="AV1507" s="6">
        <v>42181</v>
      </c>
      <c r="AW1507" t="s">
        <v>54</v>
      </c>
      <c r="AX1507" t="str">
        <f t="shared" si="119"/>
        <v>FOR</v>
      </c>
      <c r="AY1507" t="s">
        <v>55</v>
      </c>
    </row>
    <row r="1508" spans="1:51" hidden="1">
      <c r="A1508">
        <v>100360</v>
      </c>
      <c r="B1508" t="s">
        <v>131</v>
      </c>
      <c r="C1508" t="str">
        <f t="shared" ref="C1508:D1527" si="121">"00076810621"</f>
        <v>00076810621</v>
      </c>
      <c r="D1508" t="str">
        <f t="shared" si="121"/>
        <v>00076810621</v>
      </c>
      <c r="E1508" t="s">
        <v>52</v>
      </c>
      <c r="F1508">
        <v>2014</v>
      </c>
      <c r="G1508">
        <v>65427</v>
      </c>
      <c r="H1508" s="1">
        <v>41823</v>
      </c>
      <c r="I1508" s="1">
        <v>41829</v>
      </c>
      <c r="J1508" s="1">
        <v>41829</v>
      </c>
      <c r="K1508" s="1">
        <v>41919</v>
      </c>
      <c r="N1508" s="5"/>
      <c r="O1508">
        <v>74.260000000000005</v>
      </c>
      <c r="P1508">
        <v>262</v>
      </c>
      <c r="Q1508" s="2">
        <v>19456.12</v>
      </c>
      <c r="R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 s="1">
        <v>42382</v>
      </c>
      <c r="AC1508" t="s">
        <v>53</v>
      </c>
      <c r="AD1508" t="s">
        <v>53</v>
      </c>
      <c r="AK1508">
        <v>0</v>
      </c>
      <c r="AU1508" s="6">
        <v>42181</v>
      </c>
      <c r="AV1508" s="6">
        <v>42181</v>
      </c>
      <c r="AW1508" t="s">
        <v>54</v>
      </c>
      <c r="AX1508" t="str">
        <f t="shared" si="119"/>
        <v>FOR</v>
      </c>
      <c r="AY1508" t="s">
        <v>55</v>
      </c>
    </row>
    <row r="1509" spans="1:51" hidden="1">
      <c r="A1509">
        <v>100360</v>
      </c>
      <c r="B1509" t="s">
        <v>131</v>
      </c>
      <c r="C1509" t="str">
        <f t="shared" si="121"/>
        <v>00076810621</v>
      </c>
      <c r="D1509" t="str">
        <f t="shared" si="121"/>
        <v>00076810621</v>
      </c>
      <c r="E1509" t="s">
        <v>52</v>
      </c>
      <c r="F1509">
        <v>2014</v>
      </c>
      <c r="G1509">
        <v>65632</v>
      </c>
      <c r="H1509" s="1">
        <v>41824</v>
      </c>
      <c r="I1509" s="1">
        <v>41829</v>
      </c>
      <c r="J1509" s="1">
        <v>41829</v>
      </c>
      <c r="K1509" s="1">
        <v>41919</v>
      </c>
      <c r="N1509" s="5"/>
      <c r="O1509">
        <v>83.33</v>
      </c>
      <c r="P1509">
        <v>262</v>
      </c>
      <c r="Q1509" s="2">
        <v>21832.46</v>
      </c>
      <c r="R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 s="1">
        <v>42382</v>
      </c>
      <c r="AC1509" t="s">
        <v>53</v>
      </c>
      <c r="AD1509" t="s">
        <v>53</v>
      </c>
      <c r="AK1509">
        <v>0</v>
      </c>
      <c r="AU1509" s="6">
        <v>42181</v>
      </c>
      <c r="AV1509" s="6">
        <v>42181</v>
      </c>
      <c r="AW1509" t="s">
        <v>54</v>
      </c>
      <c r="AX1509" t="str">
        <f t="shared" si="119"/>
        <v>FOR</v>
      </c>
      <c r="AY1509" t="s">
        <v>55</v>
      </c>
    </row>
    <row r="1510" spans="1:51" hidden="1">
      <c r="A1510">
        <v>100360</v>
      </c>
      <c r="B1510" t="s">
        <v>131</v>
      </c>
      <c r="C1510" t="str">
        <f t="shared" si="121"/>
        <v>00076810621</v>
      </c>
      <c r="D1510" t="str">
        <f t="shared" si="121"/>
        <v>00076810621</v>
      </c>
      <c r="E1510" t="s">
        <v>52</v>
      </c>
      <c r="F1510">
        <v>2014</v>
      </c>
      <c r="G1510">
        <v>65673</v>
      </c>
      <c r="H1510" s="1">
        <v>41824</v>
      </c>
      <c r="I1510" s="1">
        <v>41829</v>
      </c>
      <c r="J1510" s="1">
        <v>41829</v>
      </c>
      <c r="K1510" s="1">
        <v>41919</v>
      </c>
      <c r="N1510" s="5"/>
      <c r="O1510">
        <v>23.95</v>
      </c>
      <c r="P1510">
        <v>262</v>
      </c>
      <c r="Q1510" s="2">
        <v>6274.9</v>
      </c>
      <c r="R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 s="1">
        <v>42382</v>
      </c>
      <c r="AC1510" t="s">
        <v>53</v>
      </c>
      <c r="AD1510" t="s">
        <v>53</v>
      </c>
      <c r="AK1510">
        <v>0</v>
      </c>
      <c r="AU1510" s="6">
        <v>42181</v>
      </c>
      <c r="AV1510" s="6">
        <v>42181</v>
      </c>
      <c r="AW1510" t="s">
        <v>54</v>
      </c>
      <c r="AX1510" t="str">
        <f t="shared" si="119"/>
        <v>FOR</v>
      </c>
      <c r="AY1510" t="s">
        <v>55</v>
      </c>
    </row>
    <row r="1511" spans="1:51" hidden="1">
      <c r="A1511">
        <v>100360</v>
      </c>
      <c r="B1511" t="s">
        <v>131</v>
      </c>
      <c r="C1511" t="str">
        <f t="shared" si="121"/>
        <v>00076810621</v>
      </c>
      <c r="D1511" t="str">
        <f t="shared" si="121"/>
        <v>00076810621</v>
      </c>
      <c r="E1511" t="s">
        <v>52</v>
      </c>
      <c r="F1511">
        <v>2014</v>
      </c>
      <c r="G1511">
        <v>65886</v>
      </c>
      <c r="H1511" s="1">
        <v>41824</v>
      </c>
      <c r="I1511" s="1">
        <v>41829</v>
      </c>
      <c r="J1511" s="1">
        <v>41829</v>
      </c>
      <c r="K1511" s="1">
        <v>41919</v>
      </c>
      <c r="N1511" s="5"/>
      <c r="O1511">
        <v>1.76</v>
      </c>
      <c r="P1511">
        <v>262</v>
      </c>
      <c r="Q1511">
        <v>461.12</v>
      </c>
      <c r="R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 s="1">
        <v>42382</v>
      </c>
      <c r="AC1511" t="s">
        <v>53</v>
      </c>
      <c r="AD1511" t="s">
        <v>53</v>
      </c>
      <c r="AK1511">
        <v>0</v>
      </c>
      <c r="AU1511" s="6">
        <v>42181</v>
      </c>
      <c r="AV1511" s="6">
        <v>42181</v>
      </c>
      <c r="AW1511" t="s">
        <v>54</v>
      </c>
      <c r="AX1511" t="str">
        <f t="shared" si="119"/>
        <v>FOR</v>
      </c>
      <c r="AY1511" t="s">
        <v>55</v>
      </c>
    </row>
    <row r="1512" spans="1:51" hidden="1">
      <c r="A1512">
        <v>100360</v>
      </c>
      <c r="B1512" t="s">
        <v>131</v>
      </c>
      <c r="C1512" t="str">
        <f t="shared" si="121"/>
        <v>00076810621</v>
      </c>
      <c r="D1512" t="str">
        <f t="shared" si="121"/>
        <v>00076810621</v>
      </c>
      <c r="E1512" t="s">
        <v>52</v>
      </c>
      <c r="F1512">
        <v>2014</v>
      </c>
      <c r="G1512">
        <v>66564</v>
      </c>
      <c r="H1512" s="1">
        <v>41827</v>
      </c>
      <c r="I1512" s="1">
        <v>41829</v>
      </c>
      <c r="J1512" s="1">
        <v>41829</v>
      </c>
      <c r="K1512" s="1">
        <v>41919</v>
      </c>
      <c r="N1512" s="5"/>
      <c r="O1512">
        <v>14.3</v>
      </c>
      <c r="P1512">
        <v>262</v>
      </c>
      <c r="Q1512" s="2">
        <v>3746.6</v>
      </c>
      <c r="R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 s="1">
        <v>42382</v>
      </c>
      <c r="AC1512" t="s">
        <v>53</v>
      </c>
      <c r="AD1512" t="s">
        <v>53</v>
      </c>
      <c r="AK1512">
        <v>0</v>
      </c>
      <c r="AU1512" s="6">
        <v>42181</v>
      </c>
      <c r="AV1512" s="6">
        <v>42181</v>
      </c>
      <c r="AW1512" t="s">
        <v>54</v>
      </c>
      <c r="AX1512" t="str">
        <f t="shared" si="119"/>
        <v>FOR</v>
      </c>
      <c r="AY1512" t="s">
        <v>55</v>
      </c>
    </row>
    <row r="1513" spans="1:51" hidden="1">
      <c r="A1513">
        <v>100360</v>
      </c>
      <c r="B1513" t="s">
        <v>131</v>
      </c>
      <c r="C1513" t="str">
        <f t="shared" si="121"/>
        <v>00076810621</v>
      </c>
      <c r="D1513" t="str">
        <f t="shared" si="121"/>
        <v>00076810621</v>
      </c>
      <c r="E1513" t="s">
        <v>52</v>
      </c>
      <c r="F1513">
        <v>2014</v>
      </c>
      <c r="G1513">
        <v>67014</v>
      </c>
      <c r="H1513" s="1">
        <v>41828</v>
      </c>
      <c r="I1513" s="1">
        <v>41829</v>
      </c>
      <c r="J1513" s="1">
        <v>41829</v>
      </c>
      <c r="K1513" s="1">
        <v>41919</v>
      </c>
      <c r="N1513" s="5"/>
      <c r="O1513">
        <v>15.09</v>
      </c>
      <c r="P1513">
        <v>262</v>
      </c>
      <c r="Q1513" s="2">
        <v>3953.58</v>
      </c>
      <c r="R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 s="1">
        <v>42382</v>
      </c>
      <c r="AC1513" t="s">
        <v>53</v>
      </c>
      <c r="AD1513" t="s">
        <v>53</v>
      </c>
      <c r="AK1513">
        <v>0</v>
      </c>
      <c r="AU1513" s="6">
        <v>42181</v>
      </c>
      <c r="AV1513" s="6">
        <v>42181</v>
      </c>
      <c r="AW1513" t="s">
        <v>54</v>
      </c>
      <c r="AX1513" t="str">
        <f t="shared" si="119"/>
        <v>FOR</v>
      </c>
      <c r="AY1513" t="s">
        <v>55</v>
      </c>
    </row>
    <row r="1514" spans="1:51" hidden="1">
      <c r="A1514">
        <v>100360</v>
      </c>
      <c r="B1514" t="s">
        <v>131</v>
      </c>
      <c r="C1514" t="str">
        <f t="shared" si="121"/>
        <v>00076810621</v>
      </c>
      <c r="D1514" t="str">
        <f t="shared" si="121"/>
        <v>00076810621</v>
      </c>
      <c r="E1514" t="s">
        <v>52</v>
      </c>
      <c r="F1514">
        <v>2014</v>
      </c>
      <c r="G1514">
        <v>67440</v>
      </c>
      <c r="H1514" s="1">
        <v>41829</v>
      </c>
      <c r="I1514" s="1">
        <v>41830</v>
      </c>
      <c r="J1514" s="1">
        <v>41830</v>
      </c>
      <c r="K1514" s="1">
        <v>41920</v>
      </c>
      <c r="N1514" s="5"/>
      <c r="O1514">
        <v>5.23</v>
      </c>
      <c r="P1514">
        <v>261</v>
      </c>
      <c r="Q1514" s="2">
        <v>1365.03</v>
      </c>
      <c r="R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 s="1">
        <v>42382</v>
      </c>
      <c r="AC1514" t="s">
        <v>53</v>
      </c>
      <c r="AD1514" t="s">
        <v>53</v>
      </c>
      <c r="AK1514">
        <v>0</v>
      </c>
      <c r="AU1514" s="6">
        <v>42181</v>
      </c>
      <c r="AV1514" s="6">
        <v>42181</v>
      </c>
      <c r="AW1514" t="s">
        <v>54</v>
      </c>
      <c r="AX1514" t="str">
        <f t="shared" si="119"/>
        <v>FOR</v>
      </c>
      <c r="AY1514" t="s">
        <v>55</v>
      </c>
    </row>
    <row r="1515" spans="1:51" hidden="1">
      <c r="A1515">
        <v>100360</v>
      </c>
      <c r="B1515" t="s">
        <v>131</v>
      </c>
      <c r="C1515" t="str">
        <f t="shared" si="121"/>
        <v>00076810621</v>
      </c>
      <c r="D1515" t="str">
        <f t="shared" si="121"/>
        <v>00076810621</v>
      </c>
      <c r="E1515" t="s">
        <v>52</v>
      </c>
      <c r="F1515">
        <v>2014</v>
      </c>
      <c r="G1515">
        <v>68322</v>
      </c>
      <c r="H1515" s="1">
        <v>41831</v>
      </c>
      <c r="I1515" s="1">
        <v>41834</v>
      </c>
      <c r="J1515" s="1">
        <v>41834</v>
      </c>
      <c r="K1515" s="1">
        <v>41924</v>
      </c>
      <c r="N1515" s="5"/>
      <c r="O1515">
        <v>52.31</v>
      </c>
      <c r="P1515">
        <v>257</v>
      </c>
      <c r="Q1515" s="2">
        <v>13443.67</v>
      </c>
      <c r="R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 s="1">
        <v>42382</v>
      </c>
      <c r="AC1515" t="s">
        <v>53</v>
      </c>
      <c r="AD1515" t="s">
        <v>53</v>
      </c>
      <c r="AK1515">
        <v>0</v>
      </c>
      <c r="AU1515" s="6">
        <v>42181</v>
      </c>
      <c r="AV1515" s="6">
        <v>42181</v>
      </c>
      <c r="AW1515" t="s">
        <v>54</v>
      </c>
      <c r="AX1515" t="str">
        <f t="shared" si="119"/>
        <v>FOR</v>
      </c>
      <c r="AY1515" t="s">
        <v>55</v>
      </c>
    </row>
    <row r="1516" spans="1:51" hidden="1">
      <c r="A1516">
        <v>100360</v>
      </c>
      <c r="B1516" t="s">
        <v>131</v>
      </c>
      <c r="C1516" t="str">
        <f t="shared" si="121"/>
        <v>00076810621</v>
      </c>
      <c r="D1516" t="str">
        <f t="shared" si="121"/>
        <v>00076810621</v>
      </c>
      <c r="E1516" t="s">
        <v>52</v>
      </c>
      <c r="F1516">
        <v>2014</v>
      </c>
      <c r="G1516">
        <v>68344</v>
      </c>
      <c r="H1516" s="1">
        <v>41831</v>
      </c>
      <c r="I1516" s="1">
        <v>41834</v>
      </c>
      <c r="J1516" s="1">
        <v>41834</v>
      </c>
      <c r="K1516" s="1">
        <v>41924</v>
      </c>
      <c r="N1516" s="5"/>
      <c r="O1516">
        <v>5.36</v>
      </c>
      <c r="P1516">
        <v>257</v>
      </c>
      <c r="Q1516" s="2">
        <v>1377.52</v>
      </c>
      <c r="R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 s="1">
        <v>42382</v>
      </c>
      <c r="AC1516" t="s">
        <v>53</v>
      </c>
      <c r="AD1516" t="s">
        <v>53</v>
      </c>
      <c r="AK1516">
        <v>0</v>
      </c>
      <c r="AU1516" s="6">
        <v>42181</v>
      </c>
      <c r="AV1516" s="6">
        <v>42181</v>
      </c>
      <c r="AW1516" t="s">
        <v>54</v>
      </c>
      <c r="AX1516" t="str">
        <f t="shared" si="119"/>
        <v>FOR</v>
      </c>
      <c r="AY1516" t="s">
        <v>55</v>
      </c>
    </row>
    <row r="1517" spans="1:51" hidden="1">
      <c r="A1517">
        <v>100360</v>
      </c>
      <c r="B1517" t="s">
        <v>131</v>
      </c>
      <c r="C1517" t="str">
        <f t="shared" si="121"/>
        <v>00076810621</v>
      </c>
      <c r="D1517" t="str">
        <f t="shared" si="121"/>
        <v>00076810621</v>
      </c>
      <c r="E1517" t="s">
        <v>52</v>
      </c>
      <c r="F1517">
        <v>2014</v>
      </c>
      <c r="G1517">
        <v>68629</v>
      </c>
      <c r="H1517" s="1">
        <v>41832</v>
      </c>
      <c r="I1517" s="1">
        <v>41834</v>
      </c>
      <c r="J1517" s="1">
        <v>41834</v>
      </c>
      <c r="K1517" s="1">
        <v>41924</v>
      </c>
      <c r="N1517" s="5"/>
      <c r="O1517">
        <v>17.14</v>
      </c>
      <c r="P1517">
        <v>257</v>
      </c>
      <c r="Q1517" s="2">
        <v>4404.9799999999996</v>
      </c>
      <c r="R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 s="1">
        <v>42382</v>
      </c>
      <c r="AC1517" t="s">
        <v>53</v>
      </c>
      <c r="AD1517" t="s">
        <v>53</v>
      </c>
      <c r="AK1517">
        <v>0</v>
      </c>
      <c r="AU1517" s="6">
        <v>42181</v>
      </c>
      <c r="AV1517" s="6">
        <v>42181</v>
      </c>
      <c r="AW1517" t="s">
        <v>54</v>
      </c>
      <c r="AX1517" t="str">
        <f t="shared" si="119"/>
        <v>FOR</v>
      </c>
      <c r="AY1517" t="s">
        <v>55</v>
      </c>
    </row>
    <row r="1518" spans="1:51" hidden="1">
      <c r="A1518">
        <v>100360</v>
      </c>
      <c r="B1518" t="s">
        <v>131</v>
      </c>
      <c r="C1518" t="str">
        <f t="shared" si="121"/>
        <v>00076810621</v>
      </c>
      <c r="D1518" t="str">
        <f t="shared" si="121"/>
        <v>00076810621</v>
      </c>
      <c r="E1518" t="s">
        <v>52</v>
      </c>
      <c r="F1518">
        <v>2014</v>
      </c>
      <c r="G1518">
        <v>68984</v>
      </c>
      <c r="H1518" s="1">
        <v>41834</v>
      </c>
      <c r="I1518" s="1">
        <v>41836</v>
      </c>
      <c r="J1518" s="1">
        <v>41836</v>
      </c>
      <c r="K1518" s="1">
        <v>41926</v>
      </c>
      <c r="N1518" s="5"/>
      <c r="O1518">
        <v>49.15</v>
      </c>
      <c r="P1518">
        <v>255</v>
      </c>
      <c r="Q1518" s="2">
        <v>12533.25</v>
      </c>
      <c r="R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 s="1">
        <v>42382</v>
      </c>
      <c r="AC1518" t="s">
        <v>53</v>
      </c>
      <c r="AD1518" t="s">
        <v>53</v>
      </c>
      <c r="AK1518">
        <v>0</v>
      </c>
      <c r="AU1518" s="6">
        <v>42181</v>
      </c>
      <c r="AV1518" s="6">
        <v>42181</v>
      </c>
      <c r="AW1518" t="s">
        <v>54</v>
      </c>
      <c r="AX1518" t="str">
        <f t="shared" si="119"/>
        <v>FOR</v>
      </c>
      <c r="AY1518" t="s">
        <v>55</v>
      </c>
    </row>
    <row r="1519" spans="1:51" hidden="1">
      <c r="A1519">
        <v>100360</v>
      </c>
      <c r="B1519" t="s">
        <v>131</v>
      </c>
      <c r="C1519" t="str">
        <f t="shared" si="121"/>
        <v>00076810621</v>
      </c>
      <c r="D1519" t="str">
        <f t="shared" si="121"/>
        <v>00076810621</v>
      </c>
      <c r="E1519" t="s">
        <v>52</v>
      </c>
      <c r="F1519">
        <v>2014</v>
      </c>
      <c r="G1519">
        <v>69387</v>
      </c>
      <c r="H1519" s="1">
        <v>41835</v>
      </c>
      <c r="I1519" s="1">
        <v>41841</v>
      </c>
      <c r="J1519" s="1">
        <v>41841</v>
      </c>
      <c r="K1519" s="1">
        <v>41931</v>
      </c>
      <c r="N1519" s="5"/>
      <c r="O1519">
        <v>3.85</v>
      </c>
      <c r="P1519">
        <v>250</v>
      </c>
      <c r="Q1519">
        <v>962.5</v>
      </c>
      <c r="R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 s="1">
        <v>42382</v>
      </c>
      <c r="AC1519" t="s">
        <v>53</v>
      </c>
      <c r="AD1519" t="s">
        <v>53</v>
      </c>
      <c r="AK1519">
        <v>0</v>
      </c>
      <c r="AU1519" s="6">
        <v>42181</v>
      </c>
      <c r="AV1519" s="6">
        <v>42181</v>
      </c>
      <c r="AW1519" t="s">
        <v>54</v>
      </c>
      <c r="AX1519" t="str">
        <f t="shared" si="119"/>
        <v>FOR</v>
      </c>
      <c r="AY1519" t="s">
        <v>55</v>
      </c>
    </row>
    <row r="1520" spans="1:51" hidden="1">
      <c r="A1520">
        <v>100360</v>
      </c>
      <c r="B1520" t="s">
        <v>131</v>
      </c>
      <c r="C1520" t="str">
        <f t="shared" si="121"/>
        <v>00076810621</v>
      </c>
      <c r="D1520" t="str">
        <f t="shared" si="121"/>
        <v>00076810621</v>
      </c>
      <c r="E1520" t="s">
        <v>52</v>
      </c>
      <c r="F1520">
        <v>2014</v>
      </c>
      <c r="G1520">
        <v>70187</v>
      </c>
      <c r="H1520" s="1">
        <v>41837</v>
      </c>
      <c r="I1520" s="1">
        <v>41842</v>
      </c>
      <c r="J1520" s="1">
        <v>41842</v>
      </c>
      <c r="K1520" s="1">
        <v>41932</v>
      </c>
      <c r="N1520" s="5"/>
      <c r="O1520">
        <v>42.92</v>
      </c>
      <c r="P1520">
        <v>249</v>
      </c>
      <c r="Q1520" s="2">
        <v>10687.08</v>
      </c>
      <c r="R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 s="1">
        <v>42382</v>
      </c>
      <c r="AC1520" t="s">
        <v>53</v>
      </c>
      <c r="AD1520" t="s">
        <v>53</v>
      </c>
      <c r="AK1520">
        <v>0</v>
      </c>
      <c r="AU1520" s="6">
        <v>42181</v>
      </c>
      <c r="AV1520" s="6">
        <v>42181</v>
      </c>
      <c r="AW1520" t="s">
        <v>54</v>
      </c>
      <c r="AX1520" t="str">
        <f t="shared" si="119"/>
        <v>FOR</v>
      </c>
      <c r="AY1520" t="s">
        <v>55</v>
      </c>
    </row>
    <row r="1521" spans="1:51" hidden="1">
      <c r="A1521">
        <v>100360</v>
      </c>
      <c r="B1521" t="s">
        <v>131</v>
      </c>
      <c r="C1521" t="str">
        <f t="shared" si="121"/>
        <v>00076810621</v>
      </c>
      <c r="D1521" t="str">
        <f t="shared" si="121"/>
        <v>00076810621</v>
      </c>
      <c r="E1521" t="s">
        <v>52</v>
      </c>
      <c r="F1521">
        <v>2014</v>
      </c>
      <c r="G1521">
        <v>70613</v>
      </c>
      <c r="H1521" s="1">
        <v>41838</v>
      </c>
      <c r="I1521" s="1">
        <v>41842</v>
      </c>
      <c r="J1521" s="1">
        <v>41842</v>
      </c>
      <c r="K1521" s="1">
        <v>41932</v>
      </c>
      <c r="N1521" s="5"/>
      <c r="O1521">
        <v>18.45</v>
      </c>
      <c r="P1521">
        <v>249</v>
      </c>
      <c r="Q1521" s="2">
        <v>4594.05</v>
      </c>
      <c r="R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 s="1">
        <v>42382</v>
      </c>
      <c r="AC1521" t="s">
        <v>53</v>
      </c>
      <c r="AD1521" t="s">
        <v>53</v>
      </c>
      <c r="AK1521">
        <v>0</v>
      </c>
      <c r="AU1521" s="6">
        <v>42181</v>
      </c>
      <c r="AV1521" s="6">
        <v>42181</v>
      </c>
      <c r="AW1521" t="s">
        <v>54</v>
      </c>
      <c r="AX1521" t="str">
        <f t="shared" si="119"/>
        <v>FOR</v>
      </c>
      <c r="AY1521" t="s">
        <v>55</v>
      </c>
    </row>
    <row r="1522" spans="1:51" hidden="1">
      <c r="A1522">
        <v>100360</v>
      </c>
      <c r="B1522" t="s">
        <v>131</v>
      </c>
      <c r="C1522" t="str">
        <f t="shared" si="121"/>
        <v>00076810621</v>
      </c>
      <c r="D1522" t="str">
        <f t="shared" si="121"/>
        <v>00076810621</v>
      </c>
      <c r="E1522" t="s">
        <v>52</v>
      </c>
      <c r="F1522">
        <v>2014</v>
      </c>
      <c r="G1522">
        <v>71050</v>
      </c>
      <c r="H1522" s="1">
        <v>41841</v>
      </c>
      <c r="I1522" s="1">
        <v>41844</v>
      </c>
      <c r="J1522" s="1">
        <v>41844</v>
      </c>
      <c r="K1522" s="1">
        <v>41934</v>
      </c>
      <c r="N1522" s="5"/>
      <c r="O1522">
        <v>8.69</v>
      </c>
      <c r="P1522">
        <v>247</v>
      </c>
      <c r="Q1522" s="2">
        <v>2146.4299999999998</v>
      </c>
      <c r="R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 s="1">
        <v>42382</v>
      </c>
      <c r="AC1522" t="s">
        <v>53</v>
      </c>
      <c r="AD1522" t="s">
        <v>53</v>
      </c>
      <c r="AK1522">
        <v>0</v>
      </c>
      <c r="AU1522" s="6">
        <v>42181</v>
      </c>
      <c r="AV1522" s="6">
        <v>42181</v>
      </c>
      <c r="AW1522" t="s">
        <v>54</v>
      </c>
      <c r="AX1522" t="str">
        <f t="shared" si="119"/>
        <v>FOR</v>
      </c>
      <c r="AY1522" t="s">
        <v>55</v>
      </c>
    </row>
    <row r="1523" spans="1:51" hidden="1">
      <c r="A1523">
        <v>100360</v>
      </c>
      <c r="B1523" t="s">
        <v>131</v>
      </c>
      <c r="C1523" t="str">
        <f t="shared" si="121"/>
        <v>00076810621</v>
      </c>
      <c r="D1523" t="str">
        <f t="shared" si="121"/>
        <v>00076810621</v>
      </c>
      <c r="E1523" t="s">
        <v>52</v>
      </c>
      <c r="F1523">
        <v>2014</v>
      </c>
      <c r="G1523">
        <v>72037</v>
      </c>
      <c r="H1523" s="1">
        <v>41843</v>
      </c>
      <c r="I1523" s="1">
        <v>41845</v>
      </c>
      <c r="J1523" s="1">
        <v>41845</v>
      </c>
      <c r="K1523" s="1">
        <v>41935</v>
      </c>
      <c r="N1523" s="5"/>
      <c r="O1523">
        <v>49.15</v>
      </c>
      <c r="P1523">
        <v>246</v>
      </c>
      <c r="Q1523" s="2">
        <v>12090.9</v>
      </c>
      <c r="R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 s="1">
        <v>42382</v>
      </c>
      <c r="AC1523" t="s">
        <v>53</v>
      </c>
      <c r="AD1523" t="s">
        <v>53</v>
      </c>
      <c r="AK1523">
        <v>0</v>
      </c>
      <c r="AU1523" s="6">
        <v>42181</v>
      </c>
      <c r="AV1523" s="6">
        <v>42181</v>
      </c>
      <c r="AW1523" t="s">
        <v>54</v>
      </c>
      <c r="AX1523" t="str">
        <f t="shared" si="119"/>
        <v>FOR</v>
      </c>
      <c r="AY1523" t="s">
        <v>55</v>
      </c>
    </row>
    <row r="1524" spans="1:51" hidden="1">
      <c r="A1524">
        <v>100360</v>
      </c>
      <c r="B1524" t="s">
        <v>131</v>
      </c>
      <c r="C1524" t="str">
        <f t="shared" si="121"/>
        <v>00076810621</v>
      </c>
      <c r="D1524" t="str">
        <f t="shared" si="121"/>
        <v>00076810621</v>
      </c>
      <c r="E1524" t="s">
        <v>52</v>
      </c>
      <c r="F1524">
        <v>2014</v>
      </c>
      <c r="G1524">
        <v>72676</v>
      </c>
      <c r="H1524" s="1">
        <v>41845</v>
      </c>
      <c r="I1524" s="1">
        <v>41849</v>
      </c>
      <c r="J1524" s="1">
        <v>41849</v>
      </c>
      <c r="K1524" s="1">
        <v>41939</v>
      </c>
      <c r="N1524" s="5"/>
      <c r="O1524">
        <v>84.08</v>
      </c>
      <c r="P1524">
        <v>242</v>
      </c>
      <c r="Q1524" s="2">
        <v>20347.36</v>
      </c>
      <c r="R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 s="1">
        <v>42382</v>
      </c>
      <c r="AC1524" t="s">
        <v>53</v>
      </c>
      <c r="AD1524" t="s">
        <v>53</v>
      </c>
      <c r="AK1524">
        <v>0</v>
      </c>
      <c r="AU1524" s="6">
        <v>42181</v>
      </c>
      <c r="AV1524" s="6">
        <v>42181</v>
      </c>
      <c r="AW1524" t="s">
        <v>54</v>
      </c>
      <c r="AX1524" t="str">
        <f t="shared" si="119"/>
        <v>FOR</v>
      </c>
      <c r="AY1524" t="s">
        <v>55</v>
      </c>
    </row>
    <row r="1525" spans="1:51" hidden="1">
      <c r="A1525">
        <v>100360</v>
      </c>
      <c r="B1525" t="s">
        <v>131</v>
      </c>
      <c r="C1525" t="str">
        <f t="shared" si="121"/>
        <v>00076810621</v>
      </c>
      <c r="D1525" t="str">
        <f t="shared" si="121"/>
        <v>00076810621</v>
      </c>
      <c r="E1525" t="s">
        <v>52</v>
      </c>
      <c r="F1525">
        <v>2014</v>
      </c>
      <c r="G1525">
        <v>73371</v>
      </c>
      <c r="H1525" s="1">
        <v>41848</v>
      </c>
      <c r="I1525" s="1">
        <v>41851</v>
      </c>
      <c r="J1525" s="1">
        <v>41851</v>
      </c>
      <c r="K1525" s="1">
        <v>41941</v>
      </c>
      <c r="N1525" s="5"/>
      <c r="O1525">
        <v>27.85</v>
      </c>
      <c r="P1525">
        <v>240</v>
      </c>
      <c r="Q1525" s="2">
        <v>6684</v>
      </c>
      <c r="R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 s="1">
        <v>42382</v>
      </c>
      <c r="AC1525" t="s">
        <v>53</v>
      </c>
      <c r="AD1525" t="s">
        <v>53</v>
      </c>
      <c r="AK1525">
        <v>0</v>
      </c>
      <c r="AU1525" s="6">
        <v>42181</v>
      </c>
      <c r="AV1525" s="6">
        <v>42181</v>
      </c>
      <c r="AW1525" t="s">
        <v>54</v>
      </c>
      <c r="AX1525" t="str">
        <f t="shared" si="119"/>
        <v>FOR</v>
      </c>
      <c r="AY1525" t="s">
        <v>55</v>
      </c>
    </row>
    <row r="1526" spans="1:51" hidden="1">
      <c r="A1526">
        <v>100360</v>
      </c>
      <c r="B1526" t="s">
        <v>131</v>
      </c>
      <c r="C1526" t="str">
        <f t="shared" si="121"/>
        <v>00076810621</v>
      </c>
      <c r="D1526" t="str">
        <f t="shared" si="121"/>
        <v>00076810621</v>
      </c>
      <c r="E1526" t="s">
        <v>52</v>
      </c>
      <c r="F1526">
        <v>2014</v>
      </c>
      <c r="G1526">
        <v>73938</v>
      </c>
      <c r="H1526" s="1">
        <v>41849</v>
      </c>
      <c r="I1526" s="1">
        <v>41851</v>
      </c>
      <c r="J1526" s="1">
        <v>41851</v>
      </c>
      <c r="K1526" s="1">
        <v>41941</v>
      </c>
      <c r="N1526" s="5"/>
      <c r="O1526">
        <v>25.18</v>
      </c>
      <c r="P1526">
        <v>240</v>
      </c>
      <c r="Q1526" s="2">
        <v>6043.2</v>
      </c>
      <c r="R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 s="1">
        <v>42382</v>
      </c>
      <c r="AC1526" t="s">
        <v>53</v>
      </c>
      <c r="AD1526" t="s">
        <v>53</v>
      </c>
      <c r="AK1526">
        <v>0</v>
      </c>
      <c r="AU1526" s="6">
        <v>42181</v>
      </c>
      <c r="AV1526" s="6">
        <v>42181</v>
      </c>
      <c r="AW1526" t="s">
        <v>54</v>
      </c>
      <c r="AX1526" t="str">
        <f t="shared" si="119"/>
        <v>FOR</v>
      </c>
      <c r="AY1526" t="s">
        <v>55</v>
      </c>
    </row>
    <row r="1527" spans="1:51" hidden="1">
      <c r="A1527">
        <v>100360</v>
      </c>
      <c r="B1527" t="s">
        <v>131</v>
      </c>
      <c r="C1527" t="str">
        <f t="shared" si="121"/>
        <v>00076810621</v>
      </c>
      <c r="D1527" t="str">
        <f t="shared" si="121"/>
        <v>00076810621</v>
      </c>
      <c r="E1527" t="s">
        <v>52</v>
      </c>
      <c r="F1527">
        <v>2014</v>
      </c>
      <c r="G1527">
        <v>73949</v>
      </c>
      <c r="H1527" s="1">
        <v>41849</v>
      </c>
      <c r="I1527" s="1">
        <v>41852</v>
      </c>
      <c r="J1527" s="1">
        <v>41852</v>
      </c>
      <c r="K1527" s="1">
        <v>41942</v>
      </c>
      <c r="N1527" s="5"/>
      <c r="O1527">
        <v>75.41</v>
      </c>
      <c r="P1527">
        <v>239</v>
      </c>
      <c r="Q1527" s="2">
        <v>18022.990000000002</v>
      </c>
      <c r="R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 s="1">
        <v>42382</v>
      </c>
      <c r="AC1527" t="s">
        <v>53</v>
      </c>
      <c r="AD1527" t="s">
        <v>53</v>
      </c>
      <c r="AK1527">
        <v>0</v>
      </c>
      <c r="AU1527" s="6">
        <v>42181</v>
      </c>
      <c r="AV1527" s="6">
        <v>42181</v>
      </c>
      <c r="AW1527" t="s">
        <v>54</v>
      </c>
      <c r="AX1527" t="str">
        <f t="shared" si="119"/>
        <v>FOR</v>
      </c>
      <c r="AY1527" t="s">
        <v>55</v>
      </c>
    </row>
    <row r="1528" spans="1:51" hidden="1">
      <c r="A1528">
        <v>100360</v>
      </c>
      <c r="B1528" t="s">
        <v>131</v>
      </c>
      <c r="C1528" t="str">
        <f t="shared" ref="C1528:D1547" si="122">"00076810621"</f>
        <v>00076810621</v>
      </c>
      <c r="D1528" t="str">
        <f t="shared" si="122"/>
        <v>00076810621</v>
      </c>
      <c r="E1528" t="s">
        <v>52</v>
      </c>
      <c r="F1528">
        <v>2014</v>
      </c>
      <c r="G1528">
        <v>74143</v>
      </c>
      <c r="H1528" s="1">
        <v>41850</v>
      </c>
      <c r="I1528" s="1">
        <v>41852</v>
      </c>
      <c r="J1528" s="1">
        <v>41852</v>
      </c>
      <c r="K1528" s="1">
        <v>41942</v>
      </c>
      <c r="N1528" s="5"/>
      <c r="O1528">
        <v>3.85</v>
      </c>
      <c r="P1528">
        <v>239</v>
      </c>
      <c r="Q1528">
        <v>920.15</v>
      </c>
      <c r="R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 s="1">
        <v>42382</v>
      </c>
      <c r="AC1528" t="s">
        <v>53</v>
      </c>
      <c r="AD1528" t="s">
        <v>53</v>
      </c>
      <c r="AK1528">
        <v>0</v>
      </c>
      <c r="AU1528" s="6">
        <v>42181</v>
      </c>
      <c r="AV1528" s="6">
        <v>42181</v>
      </c>
      <c r="AW1528" t="s">
        <v>54</v>
      </c>
      <c r="AX1528" t="str">
        <f t="shared" si="119"/>
        <v>FOR</v>
      </c>
      <c r="AY1528" t="s">
        <v>55</v>
      </c>
    </row>
    <row r="1529" spans="1:51" hidden="1">
      <c r="A1529">
        <v>100360</v>
      </c>
      <c r="B1529" t="s">
        <v>131</v>
      </c>
      <c r="C1529" t="str">
        <f t="shared" si="122"/>
        <v>00076810621</v>
      </c>
      <c r="D1529" t="str">
        <f t="shared" si="122"/>
        <v>00076810621</v>
      </c>
      <c r="E1529" t="s">
        <v>52</v>
      </c>
      <c r="F1529">
        <v>2014</v>
      </c>
      <c r="G1529">
        <v>74682</v>
      </c>
      <c r="H1529" s="1">
        <v>41851</v>
      </c>
      <c r="I1529" s="1">
        <v>41852</v>
      </c>
      <c r="J1529" s="1">
        <v>41852</v>
      </c>
      <c r="K1529" s="1">
        <v>41942</v>
      </c>
      <c r="N1529" s="5"/>
      <c r="O1529">
        <v>7.98</v>
      </c>
      <c r="P1529">
        <v>239</v>
      </c>
      <c r="Q1529" s="2">
        <v>1907.22</v>
      </c>
      <c r="R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 s="1">
        <v>42382</v>
      </c>
      <c r="AC1529" t="s">
        <v>53</v>
      </c>
      <c r="AD1529" t="s">
        <v>53</v>
      </c>
      <c r="AK1529">
        <v>0</v>
      </c>
      <c r="AU1529" s="6">
        <v>42181</v>
      </c>
      <c r="AV1529" s="6">
        <v>42181</v>
      </c>
      <c r="AW1529" t="s">
        <v>54</v>
      </c>
      <c r="AX1529" t="str">
        <f t="shared" si="119"/>
        <v>FOR</v>
      </c>
      <c r="AY1529" t="s">
        <v>55</v>
      </c>
    </row>
    <row r="1530" spans="1:51" hidden="1">
      <c r="A1530">
        <v>100360</v>
      </c>
      <c r="B1530" t="s">
        <v>131</v>
      </c>
      <c r="C1530" t="str">
        <f t="shared" si="122"/>
        <v>00076810621</v>
      </c>
      <c r="D1530" t="str">
        <f t="shared" si="122"/>
        <v>00076810621</v>
      </c>
      <c r="E1530" t="s">
        <v>52</v>
      </c>
      <c r="F1530">
        <v>2014</v>
      </c>
      <c r="G1530">
        <v>75249</v>
      </c>
      <c r="H1530" s="1">
        <v>41853</v>
      </c>
      <c r="I1530" s="1">
        <v>41872</v>
      </c>
      <c r="J1530" s="1">
        <v>41872</v>
      </c>
      <c r="K1530" s="1">
        <v>41962</v>
      </c>
      <c r="N1530" s="5"/>
      <c r="O1530">
        <v>5.51</v>
      </c>
      <c r="P1530">
        <v>219</v>
      </c>
      <c r="Q1530" s="2">
        <v>1206.69</v>
      </c>
      <c r="R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 s="1">
        <v>42382</v>
      </c>
      <c r="AC1530" t="s">
        <v>53</v>
      </c>
      <c r="AD1530" t="s">
        <v>53</v>
      </c>
      <c r="AK1530">
        <v>0</v>
      </c>
      <c r="AU1530" s="6">
        <v>42181</v>
      </c>
      <c r="AV1530" s="6">
        <v>42181</v>
      </c>
      <c r="AW1530" t="s">
        <v>54</v>
      </c>
      <c r="AX1530" t="str">
        <f t="shared" si="119"/>
        <v>FOR</v>
      </c>
      <c r="AY1530" t="s">
        <v>55</v>
      </c>
    </row>
    <row r="1531" spans="1:51" hidden="1">
      <c r="A1531">
        <v>100360</v>
      </c>
      <c r="B1531" t="s">
        <v>131</v>
      </c>
      <c r="C1531" t="str">
        <f t="shared" si="122"/>
        <v>00076810621</v>
      </c>
      <c r="D1531" t="str">
        <f t="shared" si="122"/>
        <v>00076810621</v>
      </c>
      <c r="E1531" t="s">
        <v>52</v>
      </c>
      <c r="F1531">
        <v>2014</v>
      </c>
      <c r="G1531">
        <v>75721</v>
      </c>
      <c r="H1531" s="1">
        <v>41855</v>
      </c>
      <c r="I1531" s="1">
        <v>41872</v>
      </c>
      <c r="J1531" s="1">
        <v>41872</v>
      </c>
      <c r="K1531" s="1">
        <v>41962</v>
      </c>
      <c r="N1531" s="5"/>
      <c r="O1531">
        <v>49.15</v>
      </c>
      <c r="P1531">
        <v>219</v>
      </c>
      <c r="Q1531" s="2">
        <v>10763.85</v>
      </c>
      <c r="R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 s="1">
        <v>42382</v>
      </c>
      <c r="AC1531" t="s">
        <v>53</v>
      </c>
      <c r="AD1531" t="s">
        <v>53</v>
      </c>
      <c r="AK1531">
        <v>0</v>
      </c>
      <c r="AU1531" s="6">
        <v>42181</v>
      </c>
      <c r="AV1531" s="6">
        <v>42181</v>
      </c>
      <c r="AW1531" t="s">
        <v>54</v>
      </c>
      <c r="AX1531" t="str">
        <f t="shared" si="119"/>
        <v>FOR</v>
      </c>
      <c r="AY1531" t="s">
        <v>55</v>
      </c>
    </row>
    <row r="1532" spans="1:51" hidden="1">
      <c r="A1532">
        <v>100360</v>
      </c>
      <c r="B1532" t="s">
        <v>131</v>
      </c>
      <c r="C1532" t="str">
        <f t="shared" si="122"/>
        <v>00076810621</v>
      </c>
      <c r="D1532" t="str">
        <f t="shared" si="122"/>
        <v>00076810621</v>
      </c>
      <c r="E1532" t="s">
        <v>52</v>
      </c>
      <c r="F1532">
        <v>2014</v>
      </c>
      <c r="G1532">
        <v>76118</v>
      </c>
      <c r="H1532" s="1">
        <v>41856</v>
      </c>
      <c r="I1532" s="1">
        <v>41872</v>
      </c>
      <c r="J1532" s="1">
        <v>41872</v>
      </c>
      <c r="K1532" s="1">
        <v>41962</v>
      </c>
      <c r="N1532" s="5"/>
      <c r="O1532">
        <v>15.95</v>
      </c>
      <c r="P1532">
        <v>219</v>
      </c>
      <c r="Q1532" s="2">
        <v>3493.05</v>
      </c>
      <c r="R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 s="1">
        <v>42382</v>
      </c>
      <c r="AC1532" t="s">
        <v>53</v>
      </c>
      <c r="AD1532" t="s">
        <v>53</v>
      </c>
      <c r="AK1532">
        <v>0</v>
      </c>
      <c r="AU1532" s="6">
        <v>42181</v>
      </c>
      <c r="AV1532" s="6">
        <v>42181</v>
      </c>
      <c r="AW1532" t="s">
        <v>54</v>
      </c>
      <c r="AX1532" t="str">
        <f t="shared" si="119"/>
        <v>FOR</v>
      </c>
      <c r="AY1532" t="s">
        <v>55</v>
      </c>
    </row>
    <row r="1533" spans="1:51" hidden="1">
      <c r="A1533">
        <v>100360</v>
      </c>
      <c r="B1533" t="s">
        <v>131</v>
      </c>
      <c r="C1533" t="str">
        <f t="shared" si="122"/>
        <v>00076810621</v>
      </c>
      <c r="D1533" t="str">
        <f t="shared" si="122"/>
        <v>00076810621</v>
      </c>
      <c r="E1533" t="s">
        <v>52</v>
      </c>
      <c r="F1533">
        <v>2014</v>
      </c>
      <c r="G1533">
        <v>76310</v>
      </c>
      <c r="H1533" s="1">
        <v>41857</v>
      </c>
      <c r="I1533" s="1">
        <v>42075</v>
      </c>
      <c r="J1533" s="1">
        <v>42075</v>
      </c>
      <c r="K1533" s="1">
        <v>42135</v>
      </c>
      <c r="N1533" s="5"/>
      <c r="O1533">
        <v>91.42</v>
      </c>
      <c r="P1533">
        <v>46</v>
      </c>
      <c r="Q1533" s="2">
        <v>4205.32</v>
      </c>
      <c r="R1533">
        <v>0</v>
      </c>
      <c r="V1533">
        <v>0</v>
      </c>
      <c r="W1533">
        <v>0</v>
      </c>
      <c r="X1533">
        <v>0</v>
      </c>
      <c r="Y1533">
        <v>0</v>
      </c>
      <c r="Z1533">
        <v>91.42</v>
      </c>
      <c r="AA1533">
        <v>0</v>
      </c>
      <c r="AB1533" s="1">
        <v>42382</v>
      </c>
      <c r="AC1533" t="s">
        <v>53</v>
      </c>
      <c r="AD1533" t="s">
        <v>53</v>
      </c>
      <c r="AK1533">
        <v>0</v>
      </c>
      <c r="AU1533" s="6">
        <v>42181</v>
      </c>
      <c r="AV1533" s="6">
        <v>42181</v>
      </c>
      <c r="AW1533" t="s">
        <v>54</v>
      </c>
      <c r="AX1533" t="str">
        <f t="shared" si="119"/>
        <v>FOR</v>
      </c>
      <c r="AY1533" t="s">
        <v>55</v>
      </c>
    </row>
    <row r="1534" spans="1:51" hidden="1">
      <c r="A1534">
        <v>100360</v>
      </c>
      <c r="B1534" t="s">
        <v>131</v>
      </c>
      <c r="C1534" t="str">
        <f t="shared" si="122"/>
        <v>00076810621</v>
      </c>
      <c r="D1534" t="str">
        <f t="shared" si="122"/>
        <v>00076810621</v>
      </c>
      <c r="E1534" t="s">
        <v>52</v>
      </c>
      <c r="F1534">
        <v>2014</v>
      </c>
      <c r="G1534">
        <v>76333</v>
      </c>
      <c r="H1534" s="1">
        <v>41857</v>
      </c>
      <c r="I1534" s="1">
        <v>41873</v>
      </c>
      <c r="J1534" s="1">
        <v>41873</v>
      </c>
      <c r="K1534" s="1">
        <v>41963</v>
      </c>
      <c r="N1534" s="5"/>
      <c r="O1534">
        <v>59.98</v>
      </c>
      <c r="P1534">
        <v>218</v>
      </c>
      <c r="Q1534" s="2">
        <v>13075.64</v>
      </c>
      <c r="R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 s="1">
        <v>42382</v>
      </c>
      <c r="AC1534" t="s">
        <v>53</v>
      </c>
      <c r="AD1534" t="s">
        <v>53</v>
      </c>
      <c r="AK1534">
        <v>0</v>
      </c>
      <c r="AU1534" s="6">
        <v>42181</v>
      </c>
      <c r="AV1534" s="6">
        <v>42181</v>
      </c>
      <c r="AW1534" t="s">
        <v>54</v>
      </c>
      <c r="AX1534" t="str">
        <f t="shared" si="119"/>
        <v>FOR</v>
      </c>
      <c r="AY1534" t="s">
        <v>55</v>
      </c>
    </row>
    <row r="1535" spans="1:51" hidden="1">
      <c r="A1535">
        <v>100360</v>
      </c>
      <c r="B1535" t="s">
        <v>131</v>
      </c>
      <c r="C1535" t="str">
        <f t="shared" si="122"/>
        <v>00076810621</v>
      </c>
      <c r="D1535" t="str">
        <f t="shared" si="122"/>
        <v>00076810621</v>
      </c>
      <c r="E1535" t="s">
        <v>52</v>
      </c>
      <c r="F1535">
        <v>2014</v>
      </c>
      <c r="G1535">
        <v>76716</v>
      </c>
      <c r="H1535" s="1">
        <v>41858</v>
      </c>
      <c r="I1535" s="1">
        <v>41873</v>
      </c>
      <c r="J1535" s="1">
        <v>41873</v>
      </c>
      <c r="K1535" s="1">
        <v>41963</v>
      </c>
      <c r="N1535" s="5"/>
      <c r="O1535">
        <v>26.25</v>
      </c>
      <c r="P1535">
        <v>218</v>
      </c>
      <c r="Q1535" s="2">
        <v>5722.5</v>
      </c>
      <c r="R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 s="1">
        <v>42382</v>
      </c>
      <c r="AC1535" t="s">
        <v>53</v>
      </c>
      <c r="AD1535" t="s">
        <v>53</v>
      </c>
      <c r="AK1535">
        <v>0</v>
      </c>
      <c r="AU1535" s="6">
        <v>42181</v>
      </c>
      <c r="AV1535" s="6">
        <v>42181</v>
      </c>
      <c r="AW1535" t="s">
        <v>54</v>
      </c>
      <c r="AX1535" t="str">
        <f t="shared" si="119"/>
        <v>FOR</v>
      </c>
      <c r="AY1535" t="s">
        <v>55</v>
      </c>
    </row>
    <row r="1536" spans="1:51" hidden="1">
      <c r="A1536">
        <v>100360</v>
      </c>
      <c r="B1536" t="s">
        <v>131</v>
      </c>
      <c r="C1536" t="str">
        <f t="shared" si="122"/>
        <v>00076810621</v>
      </c>
      <c r="D1536" t="str">
        <f t="shared" si="122"/>
        <v>00076810621</v>
      </c>
      <c r="E1536" t="s">
        <v>52</v>
      </c>
      <c r="F1536">
        <v>2014</v>
      </c>
      <c r="G1536">
        <v>77715</v>
      </c>
      <c r="H1536" s="1">
        <v>41862</v>
      </c>
      <c r="I1536" s="1">
        <v>41877</v>
      </c>
      <c r="J1536" s="1">
        <v>41877</v>
      </c>
      <c r="K1536" s="1">
        <v>41967</v>
      </c>
      <c r="N1536" s="5"/>
      <c r="O1536">
        <v>25.18</v>
      </c>
      <c r="P1536">
        <v>214</v>
      </c>
      <c r="Q1536" s="2">
        <v>5388.52</v>
      </c>
      <c r="R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 s="1">
        <v>42382</v>
      </c>
      <c r="AC1536" t="s">
        <v>53</v>
      </c>
      <c r="AD1536" t="s">
        <v>53</v>
      </c>
      <c r="AK1536">
        <v>0</v>
      </c>
      <c r="AU1536" s="6">
        <v>42181</v>
      </c>
      <c r="AV1536" s="6">
        <v>42181</v>
      </c>
      <c r="AW1536" t="s">
        <v>54</v>
      </c>
      <c r="AX1536" t="str">
        <f t="shared" si="119"/>
        <v>FOR</v>
      </c>
      <c r="AY1536" t="s">
        <v>55</v>
      </c>
    </row>
    <row r="1537" spans="1:51" hidden="1">
      <c r="A1537">
        <v>100360</v>
      </c>
      <c r="B1537" t="s">
        <v>131</v>
      </c>
      <c r="C1537" t="str">
        <f t="shared" si="122"/>
        <v>00076810621</v>
      </c>
      <c r="D1537" t="str">
        <f t="shared" si="122"/>
        <v>00076810621</v>
      </c>
      <c r="E1537" t="s">
        <v>52</v>
      </c>
      <c r="F1537">
        <v>2014</v>
      </c>
      <c r="G1537">
        <v>77888</v>
      </c>
      <c r="H1537" s="1">
        <v>41862</v>
      </c>
      <c r="I1537" s="1">
        <v>41877</v>
      </c>
      <c r="J1537" s="1">
        <v>41877</v>
      </c>
      <c r="K1537" s="1">
        <v>41967</v>
      </c>
      <c r="N1537" s="5"/>
      <c r="O1537">
        <v>53.36</v>
      </c>
      <c r="P1537">
        <v>214</v>
      </c>
      <c r="Q1537" s="2">
        <v>11419.04</v>
      </c>
      <c r="R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 s="1">
        <v>42382</v>
      </c>
      <c r="AC1537" t="s">
        <v>53</v>
      </c>
      <c r="AD1537" t="s">
        <v>53</v>
      </c>
      <c r="AK1537">
        <v>0</v>
      </c>
      <c r="AU1537" s="6">
        <v>42181</v>
      </c>
      <c r="AV1537" s="6">
        <v>42181</v>
      </c>
      <c r="AW1537" t="s">
        <v>54</v>
      </c>
      <c r="AX1537" t="str">
        <f t="shared" si="119"/>
        <v>FOR</v>
      </c>
      <c r="AY1537" t="s">
        <v>55</v>
      </c>
    </row>
    <row r="1538" spans="1:51" hidden="1">
      <c r="A1538">
        <v>100360</v>
      </c>
      <c r="B1538" t="s">
        <v>131</v>
      </c>
      <c r="C1538" t="str">
        <f t="shared" si="122"/>
        <v>00076810621</v>
      </c>
      <c r="D1538" t="str">
        <f t="shared" si="122"/>
        <v>00076810621</v>
      </c>
      <c r="E1538" t="s">
        <v>52</v>
      </c>
      <c r="F1538">
        <v>2014</v>
      </c>
      <c r="G1538">
        <v>78414</v>
      </c>
      <c r="H1538" s="1">
        <v>41864</v>
      </c>
      <c r="I1538" s="1">
        <v>42075</v>
      </c>
      <c r="J1538" s="1">
        <v>42075</v>
      </c>
      <c r="K1538" s="1">
        <v>42135</v>
      </c>
      <c r="N1538" s="5"/>
      <c r="O1538">
        <v>4.08</v>
      </c>
      <c r="P1538">
        <v>46</v>
      </c>
      <c r="Q1538">
        <v>187.68</v>
      </c>
      <c r="R1538">
        <v>0</v>
      </c>
      <c r="V1538">
        <v>0</v>
      </c>
      <c r="W1538">
        <v>0</v>
      </c>
      <c r="X1538">
        <v>0</v>
      </c>
      <c r="Y1538">
        <v>0</v>
      </c>
      <c r="Z1538">
        <v>4.08</v>
      </c>
      <c r="AA1538">
        <v>0</v>
      </c>
      <c r="AB1538" s="1">
        <v>42382</v>
      </c>
      <c r="AC1538" t="s">
        <v>53</v>
      </c>
      <c r="AD1538" t="s">
        <v>53</v>
      </c>
      <c r="AK1538">
        <v>0</v>
      </c>
      <c r="AU1538" s="6">
        <v>42181</v>
      </c>
      <c r="AV1538" s="6">
        <v>42181</v>
      </c>
      <c r="AW1538" t="s">
        <v>54</v>
      </c>
      <c r="AX1538" t="str">
        <f t="shared" si="119"/>
        <v>FOR</v>
      </c>
      <c r="AY1538" t="s">
        <v>55</v>
      </c>
    </row>
    <row r="1539" spans="1:51" hidden="1">
      <c r="A1539">
        <v>100360</v>
      </c>
      <c r="B1539" t="s">
        <v>131</v>
      </c>
      <c r="C1539" t="str">
        <f t="shared" si="122"/>
        <v>00076810621</v>
      </c>
      <c r="D1539" t="str">
        <f t="shared" si="122"/>
        <v>00076810621</v>
      </c>
      <c r="E1539" t="s">
        <v>52</v>
      </c>
      <c r="F1539">
        <v>2014</v>
      </c>
      <c r="G1539">
        <v>78747</v>
      </c>
      <c r="H1539" s="1">
        <v>41865</v>
      </c>
      <c r="I1539" s="1">
        <v>41877</v>
      </c>
      <c r="J1539" s="1">
        <v>41877</v>
      </c>
      <c r="K1539" s="1">
        <v>41967</v>
      </c>
      <c r="N1539" s="5"/>
      <c r="O1539">
        <v>89.9</v>
      </c>
      <c r="P1539">
        <v>214</v>
      </c>
      <c r="Q1539" s="2">
        <v>19238.599999999999</v>
      </c>
      <c r="R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 s="1">
        <v>42382</v>
      </c>
      <c r="AC1539" t="s">
        <v>53</v>
      </c>
      <c r="AD1539" t="s">
        <v>53</v>
      </c>
      <c r="AK1539">
        <v>0</v>
      </c>
      <c r="AU1539" s="6">
        <v>42181</v>
      </c>
      <c r="AV1539" s="6">
        <v>42181</v>
      </c>
      <c r="AW1539" t="s">
        <v>54</v>
      </c>
      <c r="AX1539" t="str">
        <f t="shared" ref="AX1539:AX1602" si="123">"FOR"</f>
        <v>FOR</v>
      </c>
      <c r="AY1539" t="s">
        <v>55</v>
      </c>
    </row>
    <row r="1540" spans="1:51" hidden="1">
      <c r="A1540">
        <v>100360</v>
      </c>
      <c r="B1540" t="s">
        <v>131</v>
      </c>
      <c r="C1540" t="str">
        <f t="shared" si="122"/>
        <v>00076810621</v>
      </c>
      <c r="D1540" t="str">
        <f t="shared" si="122"/>
        <v>00076810621</v>
      </c>
      <c r="E1540" t="s">
        <v>52</v>
      </c>
      <c r="F1540">
        <v>2014</v>
      </c>
      <c r="G1540">
        <v>78919</v>
      </c>
      <c r="H1540" s="1">
        <v>41865</v>
      </c>
      <c r="I1540" s="1">
        <v>41877</v>
      </c>
      <c r="J1540" s="1">
        <v>41877</v>
      </c>
      <c r="K1540" s="1">
        <v>41967</v>
      </c>
      <c r="N1540" s="5"/>
      <c r="O1540">
        <v>11.07</v>
      </c>
      <c r="P1540">
        <v>214</v>
      </c>
      <c r="Q1540" s="2">
        <v>2368.98</v>
      </c>
      <c r="R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 s="1">
        <v>42382</v>
      </c>
      <c r="AC1540" t="s">
        <v>53</v>
      </c>
      <c r="AD1540" t="s">
        <v>53</v>
      </c>
      <c r="AK1540">
        <v>0</v>
      </c>
      <c r="AU1540" s="6">
        <v>42181</v>
      </c>
      <c r="AV1540" s="6">
        <v>42181</v>
      </c>
      <c r="AW1540" t="s">
        <v>54</v>
      </c>
      <c r="AX1540" t="str">
        <f t="shared" si="123"/>
        <v>FOR</v>
      </c>
      <c r="AY1540" t="s">
        <v>55</v>
      </c>
    </row>
    <row r="1541" spans="1:51" hidden="1">
      <c r="A1541">
        <v>100360</v>
      </c>
      <c r="B1541" t="s">
        <v>131</v>
      </c>
      <c r="C1541" t="str">
        <f t="shared" si="122"/>
        <v>00076810621</v>
      </c>
      <c r="D1541" t="str">
        <f t="shared" si="122"/>
        <v>00076810621</v>
      </c>
      <c r="E1541" t="s">
        <v>52</v>
      </c>
      <c r="F1541">
        <v>2014</v>
      </c>
      <c r="G1541">
        <v>79235</v>
      </c>
      <c r="H1541" s="1">
        <v>41869</v>
      </c>
      <c r="I1541" s="1">
        <v>41877</v>
      </c>
      <c r="J1541" s="1">
        <v>41877</v>
      </c>
      <c r="K1541" s="1">
        <v>41967</v>
      </c>
      <c r="N1541" s="5"/>
      <c r="O1541">
        <v>26.25</v>
      </c>
      <c r="P1541">
        <v>214</v>
      </c>
      <c r="Q1541" s="2">
        <v>5617.5</v>
      </c>
      <c r="R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 s="1">
        <v>42382</v>
      </c>
      <c r="AC1541" t="s">
        <v>53</v>
      </c>
      <c r="AD1541" t="s">
        <v>53</v>
      </c>
      <c r="AK1541">
        <v>0</v>
      </c>
      <c r="AU1541" s="6">
        <v>42181</v>
      </c>
      <c r="AV1541" s="6">
        <v>42181</v>
      </c>
      <c r="AW1541" t="s">
        <v>54</v>
      </c>
      <c r="AX1541" t="str">
        <f t="shared" si="123"/>
        <v>FOR</v>
      </c>
      <c r="AY1541" t="s">
        <v>55</v>
      </c>
    </row>
    <row r="1542" spans="1:51" hidden="1">
      <c r="A1542">
        <v>100360</v>
      </c>
      <c r="B1542" t="s">
        <v>131</v>
      </c>
      <c r="C1542" t="str">
        <f t="shared" si="122"/>
        <v>00076810621</v>
      </c>
      <c r="D1542" t="str">
        <f t="shared" si="122"/>
        <v>00076810621</v>
      </c>
      <c r="E1542" t="s">
        <v>52</v>
      </c>
      <c r="F1542">
        <v>2014</v>
      </c>
      <c r="G1542">
        <v>79412</v>
      </c>
      <c r="H1542" s="1">
        <v>41869</v>
      </c>
      <c r="I1542" s="1">
        <v>41877</v>
      </c>
      <c r="J1542" s="1">
        <v>41877</v>
      </c>
      <c r="K1542" s="1">
        <v>41967</v>
      </c>
      <c r="N1542" s="5"/>
      <c r="O1542">
        <v>3.53</v>
      </c>
      <c r="P1542">
        <v>214</v>
      </c>
      <c r="Q1542">
        <v>755.42</v>
      </c>
      <c r="R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 s="1">
        <v>42382</v>
      </c>
      <c r="AC1542" t="s">
        <v>53</v>
      </c>
      <c r="AD1542" t="s">
        <v>53</v>
      </c>
      <c r="AK1542">
        <v>0</v>
      </c>
      <c r="AU1542" s="6">
        <v>42181</v>
      </c>
      <c r="AV1542" s="6">
        <v>42181</v>
      </c>
      <c r="AW1542" t="s">
        <v>54</v>
      </c>
      <c r="AX1542" t="str">
        <f t="shared" si="123"/>
        <v>FOR</v>
      </c>
      <c r="AY1542" t="s">
        <v>55</v>
      </c>
    </row>
    <row r="1543" spans="1:51" hidden="1">
      <c r="A1543">
        <v>100360</v>
      </c>
      <c r="B1543" t="s">
        <v>131</v>
      </c>
      <c r="C1543" t="str">
        <f t="shared" si="122"/>
        <v>00076810621</v>
      </c>
      <c r="D1543" t="str">
        <f t="shared" si="122"/>
        <v>00076810621</v>
      </c>
      <c r="E1543" t="s">
        <v>52</v>
      </c>
      <c r="F1543">
        <v>2014</v>
      </c>
      <c r="G1543">
        <v>79602</v>
      </c>
      <c r="H1543" s="1">
        <v>41870</v>
      </c>
      <c r="I1543" s="1">
        <v>41877</v>
      </c>
      <c r="J1543" s="1">
        <v>41877</v>
      </c>
      <c r="K1543" s="1">
        <v>41967</v>
      </c>
      <c r="N1543" s="5"/>
      <c r="O1543">
        <v>15.95</v>
      </c>
      <c r="P1543">
        <v>214</v>
      </c>
      <c r="Q1543" s="2">
        <v>3413.3</v>
      </c>
      <c r="R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 s="1">
        <v>42382</v>
      </c>
      <c r="AC1543" t="s">
        <v>53</v>
      </c>
      <c r="AD1543" t="s">
        <v>53</v>
      </c>
      <c r="AK1543">
        <v>0</v>
      </c>
      <c r="AU1543" s="6">
        <v>42181</v>
      </c>
      <c r="AV1543" s="6">
        <v>42181</v>
      </c>
      <c r="AW1543" t="s">
        <v>54</v>
      </c>
      <c r="AX1543" t="str">
        <f t="shared" si="123"/>
        <v>FOR</v>
      </c>
      <c r="AY1543" t="s">
        <v>55</v>
      </c>
    </row>
    <row r="1544" spans="1:51" hidden="1">
      <c r="A1544">
        <v>100360</v>
      </c>
      <c r="B1544" t="s">
        <v>131</v>
      </c>
      <c r="C1544" t="str">
        <f t="shared" si="122"/>
        <v>00076810621</v>
      </c>
      <c r="D1544" t="str">
        <f t="shared" si="122"/>
        <v>00076810621</v>
      </c>
      <c r="E1544" t="s">
        <v>52</v>
      </c>
      <c r="F1544">
        <v>2014</v>
      </c>
      <c r="G1544">
        <v>79774</v>
      </c>
      <c r="H1544" s="1">
        <v>41870</v>
      </c>
      <c r="I1544" s="1">
        <v>41877</v>
      </c>
      <c r="J1544" s="1">
        <v>41877</v>
      </c>
      <c r="K1544" s="1">
        <v>41967</v>
      </c>
      <c r="N1544" s="5"/>
      <c r="O1544">
        <v>111.19</v>
      </c>
      <c r="P1544">
        <v>214</v>
      </c>
      <c r="Q1544" s="2">
        <v>23794.66</v>
      </c>
      <c r="R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 s="1">
        <v>42382</v>
      </c>
      <c r="AC1544" t="s">
        <v>53</v>
      </c>
      <c r="AD1544" t="s">
        <v>53</v>
      </c>
      <c r="AK1544">
        <v>0</v>
      </c>
      <c r="AU1544" s="6">
        <v>42181</v>
      </c>
      <c r="AV1544" s="6">
        <v>42181</v>
      </c>
      <c r="AW1544" t="s">
        <v>54</v>
      </c>
      <c r="AX1544" t="str">
        <f t="shared" si="123"/>
        <v>FOR</v>
      </c>
      <c r="AY1544" t="s">
        <v>55</v>
      </c>
    </row>
    <row r="1545" spans="1:51" hidden="1">
      <c r="A1545">
        <v>100360</v>
      </c>
      <c r="B1545" t="s">
        <v>131</v>
      </c>
      <c r="C1545" t="str">
        <f t="shared" si="122"/>
        <v>00076810621</v>
      </c>
      <c r="D1545" t="str">
        <f t="shared" si="122"/>
        <v>00076810621</v>
      </c>
      <c r="E1545" t="s">
        <v>52</v>
      </c>
      <c r="F1545">
        <v>2014</v>
      </c>
      <c r="G1545">
        <v>79953</v>
      </c>
      <c r="H1545" s="1">
        <v>41871</v>
      </c>
      <c r="I1545" s="1">
        <v>41878</v>
      </c>
      <c r="J1545" s="1">
        <v>41878</v>
      </c>
      <c r="K1545" s="1">
        <v>41968</v>
      </c>
      <c r="N1545" s="5"/>
      <c r="O1545">
        <v>26.25</v>
      </c>
      <c r="P1545">
        <v>213</v>
      </c>
      <c r="Q1545" s="2">
        <v>5591.25</v>
      </c>
      <c r="R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 s="1">
        <v>42382</v>
      </c>
      <c r="AC1545" t="s">
        <v>53</v>
      </c>
      <c r="AD1545" t="s">
        <v>53</v>
      </c>
      <c r="AK1545">
        <v>0</v>
      </c>
      <c r="AU1545" s="6">
        <v>42181</v>
      </c>
      <c r="AV1545" s="6">
        <v>42181</v>
      </c>
      <c r="AW1545" t="s">
        <v>54</v>
      </c>
      <c r="AX1545" t="str">
        <f t="shared" si="123"/>
        <v>FOR</v>
      </c>
      <c r="AY1545" t="s">
        <v>55</v>
      </c>
    </row>
    <row r="1546" spans="1:51" hidden="1">
      <c r="A1546">
        <v>100360</v>
      </c>
      <c r="B1546" t="s">
        <v>131</v>
      </c>
      <c r="C1546" t="str">
        <f t="shared" si="122"/>
        <v>00076810621</v>
      </c>
      <c r="D1546" t="str">
        <f t="shared" si="122"/>
        <v>00076810621</v>
      </c>
      <c r="E1546" t="s">
        <v>52</v>
      </c>
      <c r="F1546">
        <v>2014</v>
      </c>
      <c r="G1546">
        <v>80484</v>
      </c>
      <c r="H1546" s="1">
        <v>41872</v>
      </c>
      <c r="I1546" s="1">
        <v>41878</v>
      </c>
      <c r="J1546" s="1">
        <v>41878</v>
      </c>
      <c r="K1546" s="1">
        <v>41968</v>
      </c>
      <c r="N1546" s="5"/>
      <c r="O1546">
        <v>81.510000000000005</v>
      </c>
      <c r="P1546">
        <v>213</v>
      </c>
      <c r="Q1546" s="2">
        <v>17361.63</v>
      </c>
      <c r="R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 s="1">
        <v>42382</v>
      </c>
      <c r="AC1546" t="s">
        <v>53</v>
      </c>
      <c r="AD1546" t="s">
        <v>53</v>
      </c>
      <c r="AK1546">
        <v>0</v>
      </c>
      <c r="AU1546" s="6">
        <v>42181</v>
      </c>
      <c r="AV1546" s="6">
        <v>42181</v>
      </c>
      <c r="AW1546" t="s">
        <v>54</v>
      </c>
      <c r="AX1546" t="str">
        <f t="shared" si="123"/>
        <v>FOR</v>
      </c>
      <c r="AY1546" t="s">
        <v>55</v>
      </c>
    </row>
    <row r="1547" spans="1:51" hidden="1">
      <c r="A1547">
        <v>100360</v>
      </c>
      <c r="B1547" t="s">
        <v>131</v>
      </c>
      <c r="C1547" t="str">
        <f t="shared" si="122"/>
        <v>00076810621</v>
      </c>
      <c r="D1547" t="str">
        <f t="shared" si="122"/>
        <v>00076810621</v>
      </c>
      <c r="E1547" t="s">
        <v>52</v>
      </c>
      <c r="F1547">
        <v>2014</v>
      </c>
      <c r="G1547">
        <v>80659</v>
      </c>
      <c r="H1547" s="1">
        <v>41873</v>
      </c>
      <c r="I1547" s="1">
        <v>41878</v>
      </c>
      <c r="J1547" s="1">
        <v>41878</v>
      </c>
      <c r="K1547" s="1">
        <v>41968</v>
      </c>
      <c r="N1547" s="5"/>
      <c r="O1547">
        <v>81.209999999999994</v>
      </c>
      <c r="P1547">
        <v>213</v>
      </c>
      <c r="Q1547" s="2">
        <v>17297.73</v>
      </c>
      <c r="R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 s="1">
        <v>42382</v>
      </c>
      <c r="AC1547" t="s">
        <v>53</v>
      </c>
      <c r="AD1547" t="s">
        <v>53</v>
      </c>
      <c r="AK1547">
        <v>0</v>
      </c>
      <c r="AU1547" s="6">
        <v>42181</v>
      </c>
      <c r="AV1547" s="6">
        <v>42181</v>
      </c>
      <c r="AW1547" t="s">
        <v>54</v>
      </c>
      <c r="AX1547" t="str">
        <f t="shared" si="123"/>
        <v>FOR</v>
      </c>
      <c r="AY1547" t="s">
        <v>55</v>
      </c>
    </row>
    <row r="1548" spans="1:51" hidden="1">
      <c r="A1548">
        <v>100360</v>
      </c>
      <c r="B1548" t="s">
        <v>131</v>
      </c>
      <c r="C1548" t="str">
        <f t="shared" ref="C1548:D1567" si="124">"00076810621"</f>
        <v>00076810621</v>
      </c>
      <c r="D1548" t="str">
        <f t="shared" si="124"/>
        <v>00076810621</v>
      </c>
      <c r="E1548" t="s">
        <v>52</v>
      </c>
      <c r="F1548">
        <v>2014</v>
      </c>
      <c r="G1548">
        <v>80841</v>
      </c>
      <c r="H1548" s="1">
        <v>41873</v>
      </c>
      <c r="I1548" s="1">
        <v>41878</v>
      </c>
      <c r="J1548" s="1">
        <v>41878</v>
      </c>
      <c r="K1548" s="1">
        <v>41968</v>
      </c>
      <c r="N1548" s="5"/>
      <c r="O1548">
        <v>7.54</v>
      </c>
      <c r="P1548">
        <v>213</v>
      </c>
      <c r="Q1548" s="2">
        <v>1606.02</v>
      </c>
      <c r="R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 s="1">
        <v>42382</v>
      </c>
      <c r="AC1548" t="s">
        <v>53</v>
      </c>
      <c r="AD1548" t="s">
        <v>53</v>
      </c>
      <c r="AK1548">
        <v>0</v>
      </c>
      <c r="AU1548" s="6">
        <v>42181</v>
      </c>
      <c r="AV1548" s="6">
        <v>42181</v>
      </c>
      <c r="AW1548" t="s">
        <v>54</v>
      </c>
      <c r="AX1548" t="str">
        <f t="shared" si="123"/>
        <v>FOR</v>
      </c>
      <c r="AY1548" t="s">
        <v>55</v>
      </c>
    </row>
    <row r="1549" spans="1:51" hidden="1">
      <c r="A1549">
        <v>100360</v>
      </c>
      <c r="B1549" t="s">
        <v>131</v>
      </c>
      <c r="C1549" t="str">
        <f t="shared" si="124"/>
        <v>00076810621</v>
      </c>
      <c r="D1549" t="str">
        <f t="shared" si="124"/>
        <v>00076810621</v>
      </c>
      <c r="E1549" t="s">
        <v>52</v>
      </c>
      <c r="F1549">
        <v>2014</v>
      </c>
      <c r="G1549">
        <v>81227</v>
      </c>
      <c r="H1549" s="1">
        <v>41876</v>
      </c>
      <c r="I1549" s="1">
        <v>41878</v>
      </c>
      <c r="J1549" s="1">
        <v>41878</v>
      </c>
      <c r="K1549" s="1">
        <v>41968</v>
      </c>
      <c r="N1549" s="5"/>
      <c r="O1549">
        <v>13.77</v>
      </c>
      <c r="P1549">
        <v>213</v>
      </c>
      <c r="Q1549" s="2">
        <v>2933.01</v>
      </c>
      <c r="R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 s="1">
        <v>42382</v>
      </c>
      <c r="AC1549" t="s">
        <v>53</v>
      </c>
      <c r="AD1549" t="s">
        <v>53</v>
      </c>
      <c r="AK1549">
        <v>0</v>
      </c>
      <c r="AU1549" s="6">
        <v>42181</v>
      </c>
      <c r="AV1549" s="6">
        <v>42181</v>
      </c>
      <c r="AW1549" t="s">
        <v>54</v>
      </c>
      <c r="AX1549" t="str">
        <f t="shared" si="123"/>
        <v>FOR</v>
      </c>
      <c r="AY1549" t="s">
        <v>55</v>
      </c>
    </row>
    <row r="1550" spans="1:51" hidden="1">
      <c r="A1550">
        <v>100360</v>
      </c>
      <c r="B1550" t="s">
        <v>131</v>
      </c>
      <c r="C1550" t="str">
        <f t="shared" si="124"/>
        <v>00076810621</v>
      </c>
      <c r="D1550" t="str">
        <f t="shared" si="124"/>
        <v>00076810621</v>
      </c>
      <c r="E1550" t="s">
        <v>52</v>
      </c>
      <c r="F1550">
        <v>2014</v>
      </c>
      <c r="G1550">
        <v>81434</v>
      </c>
      <c r="H1550" s="1">
        <v>41876</v>
      </c>
      <c r="I1550" s="1">
        <v>41878</v>
      </c>
      <c r="J1550" s="1">
        <v>41878</v>
      </c>
      <c r="K1550" s="1">
        <v>41968</v>
      </c>
      <c r="N1550" s="5"/>
      <c r="O1550">
        <v>1.88</v>
      </c>
      <c r="P1550">
        <v>213</v>
      </c>
      <c r="Q1550">
        <v>400.44</v>
      </c>
      <c r="R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 s="1">
        <v>42382</v>
      </c>
      <c r="AC1550" t="s">
        <v>53</v>
      </c>
      <c r="AD1550" t="s">
        <v>53</v>
      </c>
      <c r="AK1550">
        <v>0</v>
      </c>
      <c r="AU1550" s="6">
        <v>42181</v>
      </c>
      <c r="AV1550" s="6">
        <v>42181</v>
      </c>
      <c r="AW1550" t="s">
        <v>54</v>
      </c>
      <c r="AX1550" t="str">
        <f t="shared" si="123"/>
        <v>FOR</v>
      </c>
      <c r="AY1550" t="s">
        <v>55</v>
      </c>
    </row>
    <row r="1551" spans="1:51" hidden="1">
      <c r="A1551">
        <v>100360</v>
      </c>
      <c r="B1551" t="s">
        <v>131</v>
      </c>
      <c r="C1551" t="str">
        <f t="shared" si="124"/>
        <v>00076810621</v>
      </c>
      <c r="D1551" t="str">
        <f t="shared" si="124"/>
        <v>00076810621</v>
      </c>
      <c r="E1551" t="s">
        <v>52</v>
      </c>
      <c r="F1551">
        <v>2014</v>
      </c>
      <c r="G1551">
        <v>81828</v>
      </c>
      <c r="H1551" s="1">
        <v>41877</v>
      </c>
      <c r="I1551" s="1">
        <v>41883</v>
      </c>
      <c r="J1551" s="1">
        <v>41883</v>
      </c>
      <c r="K1551" s="1">
        <v>41973</v>
      </c>
      <c r="N1551" s="5"/>
      <c r="O1551">
        <v>14.37</v>
      </c>
      <c r="P1551">
        <v>208</v>
      </c>
      <c r="Q1551" s="2">
        <v>2988.96</v>
      </c>
      <c r="R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 s="1">
        <v>42382</v>
      </c>
      <c r="AC1551" t="s">
        <v>53</v>
      </c>
      <c r="AD1551" t="s">
        <v>53</v>
      </c>
      <c r="AK1551">
        <v>0</v>
      </c>
      <c r="AU1551" s="6">
        <v>42181</v>
      </c>
      <c r="AV1551" s="6">
        <v>42181</v>
      </c>
      <c r="AW1551" t="s">
        <v>54</v>
      </c>
      <c r="AX1551" t="str">
        <f t="shared" si="123"/>
        <v>FOR</v>
      </c>
      <c r="AY1551" t="s">
        <v>55</v>
      </c>
    </row>
    <row r="1552" spans="1:51" hidden="1">
      <c r="A1552">
        <v>100360</v>
      </c>
      <c r="B1552" t="s">
        <v>131</v>
      </c>
      <c r="C1552" t="str">
        <f t="shared" si="124"/>
        <v>00076810621</v>
      </c>
      <c r="D1552" t="str">
        <f t="shared" si="124"/>
        <v>00076810621</v>
      </c>
      <c r="E1552" t="s">
        <v>52</v>
      </c>
      <c r="F1552">
        <v>2014</v>
      </c>
      <c r="G1552">
        <v>82376</v>
      </c>
      <c r="H1552" s="1">
        <v>41879</v>
      </c>
      <c r="I1552" s="1">
        <v>41883</v>
      </c>
      <c r="J1552" s="1">
        <v>41883</v>
      </c>
      <c r="K1552" s="1">
        <v>41973</v>
      </c>
      <c r="N1552" s="5"/>
      <c r="O1552">
        <v>98.3</v>
      </c>
      <c r="P1552">
        <v>208</v>
      </c>
      <c r="Q1552" s="2">
        <v>20446.400000000001</v>
      </c>
      <c r="R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 s="1">
        <v>42382</v>
      </c>
      <c r="AC1552" t="s">
        <v>53</v>
      </c>
      <c r="AD1552" t="s">
        <v>53</v>
      </c>
      <c r="AK1552">
        <v>0</v>
      </c>
      <c r="AU1552" s="6">
        <v>42181</v>
      </c>
      <c r="AV1552" s="6">
        <v>42181</v>
      </c>
      <c r="AW1552" t="s">
        <v>54</v>
      </c>
      <c r="AX1552" t="str">
        <f t="shared" si="123"/>
        <v>FOR</v>
      </c>
      <c r="AY1552" t="s">
        <v>55</v>
      </c>
    </row>
    <row r="1553" spans="1:51" hidden="1">
      <c r="A1553">
        <v>100360</v>
      </c>
      <c r="B1553" t="s">
        <v>131</v>
      </c>
      <c r="C1553" t="str">
        <f t="shared" si="124"/>
        <v>00076810621</v>
      </c>
      <c r="D1553" t="str">
        <f t="shared" si="124"/>
        <v>00076810621</v>
      </c>
      <c r="E1553" t="s">
        <v>52</v>
      </c>
      <c r="F1553">
        <v>2014</v>
      </c>
      <c r="G1553">
        <v>83879</v>
      </c>
      <c r="H1553" s="1">
        <v>41884</v>
      </c>
      <c r="I1553" s="1">
        <v>41886</v>
      </c>
      <c r="J1553" s="1">
        <v>41886</v>
      </c>
      <c r="K1553" s="1">
        <v>41976</v>
      </c>
      <c r="N1553" s="5"/>
      <c r="O1553">
        <v>16.04</v>
      </c>
      <c r="P1553">
        <v>273</v>
      </c>
      <c r="Q1553" s="2">
        <v>4378.92</v>
      </c>
      <c r="R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 s="1">
        <v>42382</v>
      </c>
      <c r="AC1553" t="s">
        <v>53</v>
      </c>
      <c r="AD1553" t="s">
        <v>53</v>
      </c>
      <c r="AK1553">
        <v>0</v>
      </c>
      <c r="AU1553" s="6">
        <v>42249</v>
      </c>
      <c r="AV1553" s="6">
        <v>42249</v>
      </c>
      <c r="AW1553" t="s">
        <v>54</v>
      </c>
      <c r="AX1553" t="str">
        <f t="shared" si="123"/>
        <v>FOR</v>
      </c>
      <c r="AY1553" t="s">
        <v>55</v>
      </c>
    </row>
    <row r="1554" spans="1:51" hidden="1">
      <c r="A1554">
        <v>100360</v>
      </c>
      <c r="B1554" t="s">
        <v>131</v>
      </c>
      <c r="C1554" t="str">
        <f t="shared" si="124"/>
        <v>00076810621</v>
      </c>
      <c r="D1554" t="str">
        <f t="shared" si="124"/>
        <v>00076810621</v>
      </c>
      <c r="E1554" t="s">
        <v>52</v>
      </c>
      <c r="F1554">
        <v>2014</v>
      </c>
      <c r="G1554">
        <v>83884</v>
      </c>
      <c r="H1554" s="1">
        <v>41884</v>
      </c>
      <c r="I1554" s="1">
        <v>41886</v>
      </c>
      <c r="J1554" s="1">
        <v>41886</v>
      </c>
      <c r="K1554" s="1">
        <v>41976</v>
      </c>
      <c r="N1554" s="5"/>
      <c r="O1554">
        <v>49.15</v>
      </c>
      <c r="P1554">
        <v>273</v>
      </c>
      <c r="Q1554" s="2">
        <v>13417.95</v>
      </c>
      <c r="R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 s="1">
        <v>42382</v>
      </c>
      <c r="AC1554" t="s">
        <v>53</v>
      </c>
      <c r="AD1554" t="s">
        <v>53</v>
      </c>
      <c r="AK1554">
        <v>0</v>
      </c>
      <c r="AU1554" s="6">
        <v>42249</v>
      </c>
      <c r="AV1554" s="6">
        <v>42249</v>
      </c>
      <c r="AW1554" t="s">
        <v>54</v>
      </c>
      <c r="AX1554" t="str">
        <f t="shared" si="123"/>
        <v>FOR</v>
      </c>
      <c r="AY1554" t="s">
        <v>55</v>
      </c>
    </row>
    <row r="1555" spans="1:51" hidden="1">
      <c r="A1555">
        <v>100360</v>
      </c>
      <c r="B1555" t="s">
        <v>131</v>
      </c>
      <c r="C1555" t="str">
        <f t="shared" si="124"/>
        <v>00076810621</v>
      </c>
      <c r="D1555" t="str">
        <f t="shared" si="124"/>
        <v>00076810621</v>
      </c>
      <c r="E1555" t="s">
        <v>52</v>
      </c>
      <c r="F1555">
        <v>2014</v>
      </c>
      <c r="G1555">
        <v>85176</v>
      </c>
      <c r="H1555" s="1">
        <v>41887</v>
      </c>
      <c r="I1555" s="1">
        <v>41891</v>
      </c>
      <c r="J1555" s="1">
        <v>41891</v>
      </c>
      <c r="K1555" s="1">
        <v>41981</v>
      </c>
      <c r="N1555" s="5"/>
      <c r="O1555">
        <v>94.05</v>
      </c>
      <c r="P1555">
        <v>268</v>
      </c>
      <c r="Q1555" s="2">
        <v>25205.4</v>
      </c>
      <c r="R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 s="1">
        <v>42382</v>
      </c>
      <c r="AC1555" t="s">
        <v>53</v>
      </c>
      <c r="AD1555" t="s">
        <v>53</v>
      </c>
      <c r="AK1555">
        <v>0</v>
      </c>
      <c r="AU1555" s="6">
        <v>42249</v>
      </c>
      <c r="AV1555" s="6">
        <v>42249</v>
      </c>
      <c r="AW1555" t="s">
        <v>54</v>
      </c>
      <c r="AX1555" t="str">
        <f t="shared" si="123"/>
        <v>FOR</v>
      </c>
      <c r="AY1555" t="s">
        <v>55</v>
      </c>
    </row>
    <row r="1556" spans="1:51" hidden="1">
      <c r="A1556">
        <v>100360</v>
      </c>
      <c r="B1556" t="s">
        <v>131</v>
      </c>
      <c r="C1556" t="str">
        <f t="shared" si="124"/>
        <v>00076810621</v>
      </c>
      <c r="D1556" t="str">
        <f t="shared" si="124"/>
        <v>00076810621</v>
      </c>
      <c r="E1556" t="s">
        <v>52</v>
      </c>
      <c r="F1556">
        <v>2014</v>
      </c>
      <c r="G1556">
        <v>85627</v>
      </c>
      <c r="H1556" s="1">
        <v>41888</v>
      </c>
      <c r="I1556" s="1">
        <v>41891</v>
      </c>
      <c r="J1556" s="1">
        <v>41891</v>
      </c>
      <c r="K1556" s="1">
        <v>41981</v>
      </c>
      <c r="N1556" s="5"/>
      <c r="O1556">
        <v>56.02</v>
      </c>
      <c r="P1556">
        <v>268</v>
      </c>
      <c r="Q1556" s="2">
        <v>15013.36</v>
      </c>
      <c r="R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 s="1">
        <v>42382</v>
      </c>
      <c r="AC1556" t="s">
        <v>53</v>
      </c>
      <c r="AD1556" t="s">
        <v>53</v>
      </c>
      <c r="AK1556">
        <v>0</v>
      </c>
      <c r="AU1556" s="6">
        <v>42249</v>
      </c>
      <c r="AV1556" s="6">
        <v>42249</v>
      </c>
      <c r="AW1556" t="s">
        <v>54</v>
      </c>
      <c r="AX1556" t="str">
        <f t="shared" si="123"/>
        <v>FOR</v>
      </c>
      <c r="AY1556" t="s">
        <v>55</v>
      </c>
    </row>
    <row r="1557" spans="1:51" hidden="1">
      <c r="A1557">
        <v>100360</v>
      </c>
      <c r="B1557" t="s">
        <v>131</v>
      </c>
      <c r="C1557" t="str">
        <f t="shared" si="124"/>
        <v>00076810621</v>
      </c>
      <c r="D1557" t="str">
        <f t="shared" si="124"/>
        <v>00076810621</v>
      </c>
      <c r="E1557" t="s">
        <v>52</v>
      </c>
      <c r="F1557">
        <v>2014</v>
      </c>
      <c r="G1557">
        <v>85860</v>
      </c>
      <c r="H1557" s="1">
        <v>41890</v>
      </c>
      <c r="I1557" s="1">
        <v>41892</v>
      </c>
      <c r="J1557" s="1">
        <v>41892</v>
      </c>
      <c r="K1557" s="1">
        <v>41982</v>
      </c>
      <c r="N1557" s="5"/>
      <c r="O1557">
        <v>98.3</v>
      </c>
      <c r="P1557">
        <v>267</v>
      </c>
      <c r="Q1557" s="2">
        <v>26246.1</v>
      </c>
      <c r="R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 s="1">
        <v>42382</v>
      </c>
      <c r="AC1557" t="s">
        <v>53</v>
      </c>
      <c r="AD1557" t="s">
        <v>53</v>
      </c>
      <c r="AK1557">
        <v>0</v>
      </c>
      <c r="AU1557" s="6">
        <v>42249</v>
      </c>
      <c r="AV1557" s="6">
        <v>42249</v>
      </c>
      <c r="AW1557" t="s">
        <v>54</v>
      </c>
      <c r="AX1557" t="str">
        <f t="shared" si="123"/>
        <v>FOR</v>
      </c>
      <c r="AY1557" t="s">
        <v>55</v>
      </c>
    </row>
    <row r="1558" spans="1:51" hidden="1">
      <c r="A1558">
        <v>100360</v>
      </c>
      <c r="B1558" t="s">
        <v>131</v>
      </c>
      <c r="C1558" t="str">
        <f t="shared" si="124"/>
        <v>00076810621</v>
      </c>
      <c r="D1558" t="str">
        <f t="shared" si="124"/>
        <v>00076810621</v>
      </c>
      <c r="E1558" t="s">
        <v>52</v>
      </c>
      <c r="F1558">
        <v>2014</v>
      </c>
      <c r="G1558">
        <v>86292</v>
      </c>
      <c r="H1558" s="1">
        <v>41891</v>
      </c>
      <c r="I1558" s="1">
        <v>41893</v>
      </c>
      <c r="J1558" s="1">
        <v>41893</v>
      </c>
      <c r="K1558" s="1">
        <v>41983</v>
      </c>
      <c r="N1558" s="5"/>
      <c r="O1558">
        <v>17.16</v>
      </c>
      <c r="P1558">
        <v>266</v>
      </c>
      <c r="Q1558" s="2">
        <v>4564.5600000000004</v>
      </c>
      <c r="R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 s="1">
        <v>42382</v>
      </c>
      <c r="AC1558" t="s">
        <v>53</v>
      </c>
      <c r="AD1558" t="s">
        <v>53</v>
      </c>
      <c r="AK1558">
        <v>0</v>
      </c>
      <c r="AU1558" s="6">
        <v>42249</v>
      </c>
      <c r="AV1558" s="6">
        <v>42249</v>
      </c>
      <c r="AW1558" t="s">
        <v>54</v>
      </c>
      <c r="AX1558" t="str">
        <f t="shared" si="123"/>
        <v>FOR</v>
      </c>
      <c r="AY1558" t="s">
        <v>55</v>
      </c>
    </row>
    <row r="1559" spans="1:51" hidden="1">
      <c r="A1559">
        <v>100360</v>
      </c>
      <c r="B1559" t="s">
        <v>131</v>
      </c>
      <c r="C1559" t="str">
        <f t="shared" si="124"/>
        <v>00076810621</v>
      </c>
      <c r="D1559" t="str">
        <f t="shared" si="124"/>
        <v>00076810621</v>
      </c>
      <c r="E1559" t="s">
        <v>52</v>
      </c>
      <c r="F1559">
        <v>2014</v>
      </c>
      <c r="G1559">
        <v>86300</v>
      </c>
      <c r="H1559" s="1">
        <v>41891</v>
      </c>
      <c r="I1559" s="1">
        <v>41893</v>
      </c>
      <c r="J1559" s="1">
        <v>41893</v>
      </c>
      <c r="K1559" s="1">
        <v>41983</v>
      </c>
      <c r="N1559" s="5"/>
      <c r="O1559">
        <v>3.83</v>
      </c>
      <c r="P1559">
        <v>266</v>
      </c>
      <c r="Q1559" s="2">
        <v>1018.78</v>
      </c>
      <c r="R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 s="1">
        <v>42382</v>
      </c>
      <c r="AC1559" t="s">
        <v>53</v>
      </c>
      <c r="AD1559" t="s">
        <v>53</v>
      </c>
      <c r="AK1559">
        <v>0</v>
      </c>
      <c r="AU1559" s="6">
        <v>42249</v>
      </c>
      <c r="AV1559" s="6">
        <v>42249</v>
      </c>
      <c r="AW1559" t="s">
        <v>54</v>
      </c>
      <c r="AX1559" t="str">
        <f t="shared" si="123"/>
        <v>FOR</v>
      </c>
      <c r="AY1559" t="s">
        <v>55</v>
      </c>
    </row>
    <row r="1560" spans="1:51" hidden="1">
      <c r="A1560">
        <v>100360</v>
      </c>
      <c r="B1560" t="s">
        <v>131</v>
      </c>
      <c r="C1560" t="str">
        <f t="shared" si="124"/>
        <v>00076810621</v>
      </c>
      <c r="D1560" t="str">
        <f t="shared" si="124"/>
        <v>00076810621</v>
      </c>
      <c r="E1560" t="s">
        <v>52</v>
      </c>
      <c r="F1560">
        <v>2014</v>
      </c>
      <c r="G1560">
        <v>87123</v>
      </c>
      <c r="H1560" s="1">
        <v>41893</v>
      </c>
      <c r="I1560" s="1">
        <v>41899</v>
      </c>
      <c r="J1560" s="1">
        <v>41899</v>
      </c>
      <c r="K1560" s="1">
        <v>41989</v>
      </c>
      <c r="N1560" s="5"/>
      <c r="O1560">
        <v>66.900000000000006</v>
      </c>
      <c r="P1560">
        <v>260</v>
      </c>
      <c r="Q1560" s="2">
        <v>17394</v>
      </c>
      <c r="R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 s="1">
        <v>42382</v>
      </c>
      <c r="AC1560" t="s">
        <v>53</v>
      </c>
      <c r="AD1560" t="s">
        <v>53</v>
      </c>
      <c r="AK1560">
        <v>0</v>
      </c>
      <c r="AU1560" s="6">
        <v>42249</v>
      </c>
      <c r="AV1560" s="6">
        <v>42249</v>
      </c>
      <c r="AW1560" t="s">
        <v>54</v>
      </c>
      <c r="AX1560" t="str">
        <f t="shared" si="123"/>
        <v>FOR</v>
      </c>
      <c r="AY1560" t="s">
        <v>55</v>
      </c>
    </row>
    <row r="1561" spans="1:51" hidden="1">
      <c r="A1561">
        <v>100360</v>
      </c>
      <c r="B1561" t="s">
        <v>131</v>
      </c>
      <c r="C1561" t="str">
        <f t="shared" si="124"/>
        <v>00076810621</v>
      </c>
      <c r="D1561" t="str">
        <f t="shared" si="124"/>
        <v>00076810621</v>
      </c>
      <c r="E1561" t="s">
        <v>52</v>
      </c>
      <c r="F1561">
        <v>2014</v>
      </c>
      <c r="G1561">
        <v>87517</v>
      </c>
      <c r="H1561" s="1">
        <v>41894</v>
      </c>
      <c r="I1561" s="1">
        <v>41899</v>
      </c>
      <c r="J1561" s="1">
        <v>41899</v>
      </c>
      <c r="K1561" s="1">
        <v>41989</v>
      </c>
      <c r="N1561" s="5"/>
      <c r="O1561">
        <v>24.11</v>
      </c>
      <c r="P1561">
        <v>266</v>
      </c>
      <c r="Q1561" s="2">
        <v>6413.26</v>
      </c>
      <c r="R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 s="1">
        <v>42382</v>
      </c>
      <c r="AC1561" t="s">
        <v>53</v>
      </c>
      <c r="AD1561" t="s">
        <v>53</v>
      </c>
      <c r="AK1561">
        <v>0</v>
      </c>
      <c r="AU1561" s="6">
        <v>42255</v>
      </c>
      <c r="AV1561" s="6">
        <v>42255</v>
      </c>
      <c r="AW1561" t="s">
        <v>54</v>
      </c>
      <c r="AX1561" t="str">
        <f t="shared" si="123"/>
        <v>FOR</v>
      </c>
      <c r="AY1561" t="s">
        <v>55</v>
      </c>
    </row>
    <row r="1562" spans="1:51" hidden="1">
      <c r="A1562">
        <v>100360</v>
      </c>
      <c r="B1562" t="s">
        <v>131</v>
      </c>
      <c r="C1562" t="str">
        <f t="shared" si="124"/>
        <v>00076810621</v>
      </c>
      <c r="D1562" t="str">
        <f t="shared" si="124"/>
        <v>00076810621</v>
      </c>
      <c r="E1562" t="s">
        <v>52</v>
      </c>
      <c r="F1562">
        <v>2014</v>
      </c>
      <c r="G1562">
        <v>87878</v>
      </c>
      <c r="H1562" s="1">
        <v>41895</v>
      </c>
      <c r="I1562" s="1">
        <v>41899</v>
      </c>
      <c r="J1562" s="1">
        <v>41899</v>
      </c>
      <c r="K1562" s="1">
        <v>41989</v>
      </c>
      <c r="N1562" s="5"/>
      <c r="O1562">
        <v>8.25</v>
      </c>
      <c r="P1562">
        <v>260</v>
      </c>
      <c r="Q1562" s="2">
        <v>2145</v>
      </c>
      <c r="R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 s="1">
        <v>42382</v>
      </c>
      <c r="AC1562" t="s">
        <v>53</v>
      </c>
      <c r="AD1562" t="s">
        <v>53</v>
      </c>
      <c r="AK1562">
        <v>0</v>
      </c>
      <c r="AU1562" s="6">
        <v>42249</v>
      </c>
      <c r="AV1562" s="6">
        <v>42249</v>
      </c>
      <c r="AW1562" t="s">
        <v>54</v>
      </c>
      <c r="AX1562" t="str">
        <f t="shared" si="123"/>
        <v>FOR</v>
      </c>
      <c r="AY1562" t="s">
        <v>55</v>
      </c>
    </row>
    <row r="1563" spans="1:51" hidden="1">
      <c r="A1563">
        <v>100360</v>
      </c>
      <c r="B1563" t="s">
        <v>131</v>
      </c>
      <c r="C1563" t="str">
        <f t="shared" si="124"/>
        <v>00076810621</v>
      </c>
      <c r="D1563" t="str">
        <f t="shared" si="124"/>
        <v>00076810621</v>
      </c>
      <c r="E1563" t="s">
        <v>52</v>
      </c>
      <c r="F1563">
        <v>2014</v>
      </c>
      <c r="G1563">
        <v>87894</v>
      </c>
      <c r="H1563" s="1">
        <v>41895</v>
      </c>
      <c r="I1563" s="1">
        <v>41899</v>
      </c>
      <c r="J1563" s="1">
        <v>41899</v>
      </c>
      <c r="K1563" s="1">
        <v>41989</v>
      </c>
      <c r="N1563" s="5"/>
      <c r="O1563">
        <v>3.38</v>
      </c>
      <c r="P1563">
        <v>260</v>
      </c>
      <c r="Q1563">
        <v>878.8</v>
      </c>
      <c r="R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 s="1">
        <v>42382</v>
      </c>
      <c r="AC1563" t="s">
        <v>53</v>
      </c>
      <c r="AD1563" t="s">
        <v>53</v>
      </c>
      <c r="AK1563">
        <v>0</v>
      </c>
      <c r="AU1563" s="6">
        <v>42249</v>
      </c>
      <c r="AV1563" s="6">
        <v>42249</v>
      </c>
      <c r="AW1563" t="s">
        <v>54</v>
      </c>
      <c r="AX1563" t="str">
        <f t="shared" si="123"/>
        <v>FOR</v>
      </c>
      <c r="AY1563" t="s">
        <v>55</v>
      </c>
    </row>
    <row r="1564" spans="1:51" hidden="1">
      <c r="A1564">
        <v>100360</v>
      </c>
      <c r="B1564" t="s">
        <v>131</v>
      </c>
      <c r="C1564" t="str">
        <f t="shared" si="124"/>
        <v>00076810621</v>
      </c>
      <c r="D1564" t="str">
        <f t="shared" si="124"/>
        <v>00076810621</v>
      </c>
      <c r="E1564" t="s">
        <v>52</v>
      </c>
      <c r="F1564">
        <v>2014</v>
      </c>
      <c r="G1564">
        <v>88319</v>
      </c>
      <c r="H1564" s="1">
        <v>41897</v>
      </c>
      <c r="I1564" s="1">
        <v>41899</v>
      </c>
      <c r="J1564" s="1">
        <v>41899</v>
      </c>
      <c r="K1564" s="1">
        <v>41989</v>
      </c>
      <c r="N1564" s="5"/>
      <c r="O1564">
        <v>50.05</v>
      </c>
      <c r="P1564">
        <v>260</v>
      </c>
      <c r="Q1564" s="2">
        <v>13013</v>
      </c>
      <c r="R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 s="1">
        <v>42382</v>
      </c>
      <c r="AC1564" t="s">
        <v>53</v>
      </c>
      <c r="AD1564" t="s">
        <v>53</v>
      </c>
      <c r="AK1564">
        <v>0</v>
      </c>
      <c r="AU1564" s="6">
        <v>42249</v>
      </c>
      <c r="AV1564" s="6">
        <v>42249</v>
      </c>
      <c r="AW1564" t="s">
        <v>54</v>
      </c>
      <c r="AX1564" t="str">
        <f t="shared" si="123"/>
        <v>FOR</v>
      </c>
      <c r="AY1564" t="s">
        <v>55</v>
      </c>
    </row>
    <row r="1565" spans="1:51" hidden="1">
      <c r="A1565">
        <v>100360</v>
      </c>
      <c r="B1565" t="s">
        <v>131</v>
      </c>
      <c r="C1565" t="str">
        <f t="shared" si="124"/>
        <v>00076810621</v>
      </c>
      <c r="D1565" t="str">
        <f t="shared" si="124"/>
        <v>00076810621</v>
      </c>
      <c r="E1565" t="s">
        <v>52</v>
      </c>
      <c r="F1565">
        <v>2014</v>
      </c>
      <c r="G1565">
        <v>88576</v>
      </c>
      <c r="H1565" s="1">
        <v>41898</v>
      </c>
      <c r="I1565" s="1">
        <v>41904</v>
      </c>
      <c r="J1565" s="1">
        <v>41904</v>
      </c>
      <c r="K1565" s="1">
        <v>41994</v>
      </c>
      <c r="N1565" s="5"/>
      <c r="O1565">
        <v>111.3</v>
      </c>
      <c r="P1565">
        <v>255</v>
      </c>
      <c r="Q1565" s="2">
        <v>28381.5</v>
      </c>
      <c r="R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 s="1">
        <v>42382</v>
      </c>
      <c r="AC1565" t="s">
        <v>53</v>
      </c>
      <c r="AD1565" t="s">
        <v>53</v>
      </c>
      <c r="AK1565">
        <v>0</v>
      </c>
      <c r="AU1565" s="6">
        <v>42249</v>
      </c>
      <c r="AV1565" s="6">
        <v>42249</v>
      </c>
      <c r="AW1565" t="s">
        <v>54</v>
      </c>
      <c r="AX1565" t="str">
        <f t="shared" si="123"/>
        <v>FOR</v>
      </c>
      <c r="AY1565" t="s">
        <v>55</v>
      </c>
    </row>
    <row r="1566" spans="1:51" hidden="1">
      <c r="A1566">
        <v>100360</v>
      </c>
      <c r="B1566" t="s">
        <v>131</v>
      </c>
      <c r="C1566" t="str">
        <f t="shared" si="124"/>
        <v>00076810621</v>
      </c>
      <c r="D1566" t="str">
        <f t="shared" si="124"/>
        <v>00076810621</v>
      </c>
      <c r="E1566" t="s">
        <v>52</v>
      </c>
      <c r="F1566">
        <v>2014</v>
      </c>
      <c r="G1566">
        <v>89426</v>
      </c>
      <c r="H1566" s="1">
        <v>41900</v>
      </c>
      <c r="I1566" s="1">
        <v>41904</v>
      </c>
      <c r="J1566" s="1">
        <v>41904</v>
      </c>
      <c r="K1566" s="1">
        <v>41994</v>
      </c>
      <c r="N1566" s="5"/>
      <c r="O1566">
        <v>7</v>
      </c>
      <c r="P1566">
        <v>255</v>
      </c>
      <c r="Q1566" s="2">
        <v>1785</v>
      </c>
      <c r="R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 s="1">
        <v>42382</v>
      </c>
      <c r="AC1566" t="s">
        <v>53</v>
      </c>
      <c r="AD1566" t="s">
        <v>53</v>
      </c>
      <c r="AK1566">
        <v>0</v>
      </c>
      <c r="AU1566" s="6">
        <v>42249</v>
      </c>
      <c r="AV1566" s="6">
        <v>42249</v>
      </c>
      <c r="AW1566" t="s">
        <v>54</v>
      </c>
      <c r="AX1566" t="str">
        <f t="shared" si="123"/>
        <v>FOR</v>
      </c>
      <c r="AY1566" t="s">
        <v>55</v>
      </c>
    </row>
    <row r="1567" spans="1:51" hidden="1">
      <c r="A1567">
        <v>100360</v>
      </c>
      <c r="B1567" t="s">
        <v>131</v>
      </c>
      <c r="C1567" t="str">
        <f t="shared" si="124"/>
        <v>00076810621</v>
      </c>
      <c r="D1567" t="str">
        <f t="shared" si="124"/>
        <v>00076810621</v>
      </c>
      <c r="E1567" t="s">
        <v>52</v>
      </c>
      <c r="F1567">
        <v>2014</v>
      </c>
      <c r="G1567">
        <v>90291</v>
      </c>
      <c r="H1567" s="1">
        <v>41902</v>
      </c>
      <c r="I1567" s="1">
        <v>41907</v>
      </c>
      <c r="J1567" s="1">
        <v>41907</v>
      </c>
      <c r="K1567" s="1">
        <v>41997</v>
      </c>
      <c r="N1567" s="5"/>
      <c r="O1567">
        <v>45.12</v>
      </c>
      <c r="P1567">
        <v>252</v>
      </c>
      <c r="Q1567" s="2">
        <v>11370.24</v>
      </c>
      <c r="R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 s="1">
        <v>42382</v>
      </c>
      <c r="AC1567" t="s">
        <v>53</v>
      </c>
      <c r="AD1567" t="s">
        <v>53</v>
      </c>
      <c r="AK1567">
        <v>0</v>
      </c>
      <c r="AU1567" s="6">
        <v>42249</v>
      </c>
      <c r="AV1567" s="6">
        <v>42249</v>
      </c>
      <c r="AW1567" t="s">
        <v>54</v>
      </c>
      <c r="AX1567" t="str">
        <f t="shared" si="123"/>
        <v>FOR</v>
      </c>
      <c r="AY1567" t="s">
        <v>55</v>
      </c>
    </row>
    <row r="1568" spans="1:51" hidden="1">
      <c r="A1568">
        <v>100360</v>
      </c>
      <c r="B1568" t="s">
        <v>131</v>
      </c>
      <c r="C1568" t="str">
        <f t="shared" ref="C1568:D1587" si="125">"00076810621"</f>
        <v>00076810621</v>
      </c>
      <c r="D1568" t="str">
        <f t="shared" si="125"/>
        <v>00076810621</v>
      </c>
      <c r="E1568" t="s">
        <v>52</v>
      </c>
      <c r="F1568">
        <v>2014</v>
      </c>
      <c r="G1568">
        <v>91169</v>
      </c>
      <c r="H1568" s="1">
        <v>41905</v>
      </c>
      <c r="I1568" s="1">
        <v>41907</v>
      </c>
      <c r="J1568" s="1">
        <v>41907</v>
      </c>
      <c r="K1568" s="1">
        <v>41997</v>
      </c>
      <c r="N1568" s="5"/>
      <c r="O1568">
        <v>38.18</v>
      </c>
      <c r="P1568">
        <v>252</v>
      </c>
      <c r="Q1568" s="2">
        <v>9621.36</v>
      </c>
      <c r="R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 s="1">
        <v>42382</v>
      </c>
      <c r="AC1568" t="s">
        <v>53</v>
      </c>
      <c r="AD1568" t="s">
        <v>53</v>
      </c>
      <c r="AK1568">
        <v>0</v>
      </c>
      <c r="AU1568" s="6">
        <v>42249</v>
      </c>
      <c r="AV1568" s="6">
        <v>42249</v>
      </c>
      <c r="AW1568" t="s">
        <v>54</v>
      </c>
      <c r="AX1568" t="str">
        <f t="shared" si="123"/>
        <v>FOR</v>
      </c>
      <c r="AY1568" t="s">
        <v>55</v>
      </c>
    </row>
    <row r="1569" spans="1:51" hidden="1">
      <c r="A1569">
        <v>100360</v>
      </c>
      <c r="B1569" t="s">
        <v>131</v>
      </c>
      <c r="C1569" t="str">
        <f t="shared" si="125"/>
        <v>00076810621</v>
      </c>
      <c r="D1569" t="str">
        <f t="shared" si="125"/>
        <v>00076810621</v>
      </c>
      <c r="E1569" t="s">
        <v>52</v>
      </c>
      <c r="F1569">
        <v>2014</v>
      </c>
      <c r="G1569">
        <v>91797</v>
      </c>
      <c r="H1569" s="1">
        <v>41907</v>
      </c>
      <c r="I1569" s="1">
        <v>41911</v>
      </c>
      <c r="J1569" s="1">
        <v>41911</v>
      </c>
      <c r="K1569" s="1">
        <v>42001</v>
      </c>
      <c r="N1569" s="5"/>
      <c r="O1569">
        <v>9.17</v>
      </c>
      <c r="P1569">
        <v>248</v>
      </c>
      <c r="Q1569" s="2">
        <v>2274.16</v>
      </c>
      <c r="R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 s="1">
        <v>42382</v>
      </c>
      <c r="AC1569" t="s">
        <v>53</v>
      </c>
      <c r="AD1569" t="s">
        <v>53</v>
      </c>
      <c r="AK1569">
        <v>0</v>
      </c>
      <c r="AU1569" s="6">
        <v>42249</v>
      </c>
      <c r="AV1569" s="6">
        <v>42249</v>
      </c>
      <c r="AW1569" t="s">
        <v>54</v>
      </c>
      <c r="AX1569" t="str">
        <f t="shared" si="123"/>
        <v>FOR</v>
      </c>
      <c r="AY1569" t="s">
        <v>55</v>
      </c>
    </row>
    <row r="1570" spans="1:51" hidden="1">
      <c r="A1570">
        <v>100360</v>
      </c>
      <c r="B1570" t="s">
        <v>131</v>
      </c>
      <c r="C1570" t="str">
        <f t="shared" si="125"/>
        <v>00076810621</v>
      </c>
      <c r="D1570" t="str">
        <f t="shared" si="125"/>
        <v>00076810621</v>
      </c>
      <c r="E1570" t="s">
        <v>52</v>
      </c>
      <c r="F1570">
        <v>2014</v>
      </c>
      <c r="G1570">
        <v>91993</v>
      </c>
      <c r="H1570" s="1">
        <v>41907</v>
      </c>
      <c r="I1570" s="1">
        <v>41911</v>
      </c>
      <c r="J1570" s="1">
        <v>41911</v>
      </c>
      <c r="K1570" s="1">
        <v>42001</v>
      </c>
      <c r="N1570" s="5"/>
      <c r="O1570">
        <v>69.94</v>
      </c>
      <c r="P1570">
        <v>248</v>
      </c>
      <c r="Q1570" s="2">
        <v>17345.12</v>
      </c>
      <c r="R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 s="1">
        <v>42382</v>
      </c>
      <c r="AC1570" t="s">
        <v>53</v>
      </c>
      <c r="AD1570" t="s">
        <v>53</v>
      </c>
      <c r="AK1570">
        <v>0</v>
      </c>
      <c r="AU1570" s="6">
        <v>42249</v>
      </c>
      <c r="AV1570" s="6">
        <v>42249</v>
      </c>
      <c r="AW1570" t="s">
        <v>54</v>
      </c>
      <c r="AX1570" t="str">
        <f t="shared" si="123"/>
        <v>FOR</v>
      </c>
      <c r="AY1570" t="s">
        <v>55</v>
      </c>
    </row>
    <row r="1571" spans="1:51" hidden="1">
      <c r="A1571">
        <v>100360</v>
      </c>
      <c r="B1571" t="s">
        <v>131</v>
      </c>
      <c r="C1571" t="str">
        <f t="shared" si="125"/>
        <v>00076810621</v>
      </c>
      <c r="D1571" t="str">
        <f t="shared" si="125"/>
        <v>00076810621</v>
      </c>
      <c r="E1571" t="s">
        <v>52</v>
      </c>
      <c r="F1571">
        <v>2014</v>
      </c>
      <c r="G1571">
        <v>92011</v>
      </c>
      <c r="H1571" s="1">
        <v>41907</v>
      </c>
      <c r="I1571" s="1">
        <v>41915</v>
      </c>
      <c r="J1571" s="1">
        <v>41915</v>
      </c>
      <c r="K1571" s="1">
        <v>42005</v>
      </c>
      <c r="N1571" s="5"/>
      <c r="O1571">
        <v>11.97</v>
      </c>
      <c r="P1571">
        <v>244</v>
      </c>
      <c r="Q1571" s="2">
        <v>2920.68</v>
      </c>
      <c r="R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 s="1">
        <v>42382</v>
      </c>
      <c r="AC1571" t="s">
        <v>53</v>
      </c>
      <c r="AD1571" t="s">
        <v>53</v>
      </c>
      <c r="AK1571">
        <v>0</v>
      </c>
      <c r="AU1571" s="6">
        <v>42249</v>
      </c>
      <c r="AV1571" s="6">
        <v>42249</v>
      </c>
      <c r="AW1571" t="s">
        <v>54</v>
      </c>
      <c r="AX1571" t="str">
        <f t="shared" si="123"/>
        <v>FOR</v>
      </c>
      <c r="AY1571" t="s">
        <v>55</v>
      </c>
    </row>
    <row r="1572" spans="1:51" hidden="1">
      <c r="A1572">
        <v>100360</v>
      </c>
      <c r="B1572" t="s">
        <v>131</v>
      </c>
      <c r="C1572" t="str">
        <f t="shared" si="125"/>
        <v>00076810621</v>
      </c>
      <c r="D1572" t="str">
        <f t="shared" si="125"/>
        <v>00076810621</v>
      </c>
      <c r="E1572" t="s">
        <v>52</v>
      </c>
      <c r="F1572">
        <v>2014</v>
      </c>
      <c r="G1572">
        <v>92415</v>
      </c>
      <c r="H1572" s="1">
        <v>41908</v>
      </c>
      <c r="I1572" s="1">
        <v>41915</v>
      </c>
      <c r="J1572" s="1">
        <v>41915</v>
      </c>
      <c r="K1572" s="1">
        <v>42005</v>
      </c>
      <c r="N1572" s="5"/>
      <c r="O1572">
        <v>11.97</v>
      </c>
      <c r="P1572">
        <v>244</v>
      </c>
      <c r="Q1572" s="2">
        <v>2920.68</v>
      </c>
      <c r="R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 s="1">
        <v>42382</v>
      </c>
      <c r="AC1572" t="s">
        <v>53</v>
      </c>
      <c r="AD1572" t="s">
        <v>53</v>
      </c>
      <c r="AK1572">
        <v>0</v>
      </c>
      <c r="AU1572" s="6">
        <v>42249</v>
      </c>
      <c r="AV1572" s="6">
        <v>42249</v>
      </c>
      <c r="AW1572" t="s">
        <v>54</v>
      </c>
      <c r="AX1572" t="str">
        <f t="shared" si="123"/>
        <v>FOR</v>
      </c>
      <c r="AY1572" t="s">
        <v>55</v>
      </c>
    </row>
    <row r="1573" spans="1:51" hidden="1">
      <c r="A1573">
        <v>100360</v>
      </c>
      <c r="B1573" t="s">
        <v>131</v>
      </c>
      <c r="C1573" t="str">
        <f t="shared" si="125"/>
        <v>00076810621</v>
      </c>
      <c r="D1573" t="str">
        <f t="shared" si="125"/>
        <v>00076810621</v>
      </c>
      <c r="E1573" t="s">
        <v>52</v>
      </c>
      <c r="F1573">
        <v>2014</v>
      </c>
      <c r="G1573">
        <v>92869</v>
      </c>
      <c r="H1573" s="1">
        <v>41911</v>
      </c>
      <c r="I1573" s="1">
        <v>41915</v>
      </c>
      <c r="J1573" s="1">
        <v>41915</v>
      </c>
      <c r="K1573" s="1">
        <v>42005</v>
      </c>
      <c r="N1573" s="5"/>
      <c r="O1573">
        <v>35.89</v>
      </c>
      <c r="P1573">
        <v>244</v>
      </c>
      <c r="Q1573" s="2">
        <v>8757.16</v>
      </c>
      <c r="R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 s="1">
        <v>42382</v>
      </c>
      <c r="AC1573" t="s">
        <v>53</v>
      </c>
      <c r="AD1573" t="s">
        <v>53</v>
      </c>
      <c r="AK1573">
        <v>0</v>
      </c>
      <c r="AU1573" s="6">
        <v>42249</v>
      </c>
      <c r="AV1573" s="6">
        <v>42249</v>
      </c>
      <c r="AW1573" t="s">
        <v>54</v>
      </c>
      <c r="AX1573" t="str">
        <f t="shared" si="123"/>
        <v>FOR</v>
      </c>
      <c r="AY1573" t="s">
        <v>55</v>
      </c>
    </row>
    <row r="1574" spans="1:51" hidden="1">
      <c r="A1574">
        <v>100360</v>
      </c>
      <c r="B1574" t="s">
        <v>131</v>
      </c>
      <c r="C1574" t="str">
        <f t="shared" si="125"/>
        <v>00076810621</v>
      </c>
      <c r="D1574" t="str">
        <f t="shared" si="125"/>
        <v>00076810621</v>
      </c>
      <c r="E1574" t="s">
        <v>52</v>
      </c>
      <c r="F1574">
        <v>2014</v>
      </c>
      <c r="G1574">
        <v>93096</v>
      </c>
      <c r="H1574" s="1">
        <v>41911</v>
      </c>
      <c r="I1574" s="1">
        <v>41915</v>
      </c>
      <c r="J1574" s="1">
        <v>41915</v>
      </c>
      <c r="K1574" s="1">
        <v>42005</v>
      </c>
      <c r="N1574" s="5"/>
      <c r="O1574">
        <v>39.520000000000003</v>
      </c>
      <c r="P1574">
        <v>244</v>
      </c>
      <c r="Q1574" s="2">
        <v>9642.8799999999992</v>
      </c>
      <c r="R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 s="1">
        <v>42382</v>
      </c>
      <c r="AC1574" t="s">
        <v>53</v>
      </c>
      <c r="AD1574" t="s">
        <v>53</v>
      </c>
      <c r="AK1574">
        <v>0</v>
      </c>
      <c r="AU1574" s="6">
        <v>42249</v>
      </c>
      <c r="AV1574" s="6">
        <v>42249</v>
      </c>
      <c r="AW1574" t="s">
        <v>54</v>
      </c>
      <c r="AX1574" t="str">
        <f t="shared" si="123"/>
        <v>FOR</v>
      </c>
      <c r="AY1574" t="s">
        <v>55</v>
      </c>
    </row>
    <row r="1575" spans="1:51" hidden="1">
      <c r="A1575">
        <v>100360</v>
      </c>
      <c r="B1575" t="s">
        <v>131</v>
      </c>
      <c r="C1575" t="str">
        <f t="shared" si="125"/>
        <v>00076810621</v>
      </c>
      <c r="D1575" t="str">
        <f t="shared" si="125"/>
        <v>00076810621</v>
      </c>
      <c r="E1575" t="s">
        <v>52</v>
      </c>
      <c r="F1575">
        <v>2014</v>
      </c>
      <c r="G1575">
        <v>93544</v>
      </c>
      <c r="H1575" s="1">
        <v>41912</v>
      </c>
      <c r="I1575" s="1">
        <v>41915</v>
      </c>
      <c r="J1575" s="1">
        <v>41915</v>
      </c>
      <c r="K1575" s="1">
        <v>42005</v>
      </c>
      <c r="N1575" s="5"/>
      <c r="O1575">
        <v>25.18</v>
      </c>
      <c r="P1575">
        <v>244</v>
      </c>
      <c r="Q1575" s="2">
        <v>6143.92</v>
      </c>
      <c r="R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 s="1">
        <v>42382</v>
      </c>
      <c r="AC1575" t="s">
        <v>53</v>
      </c>
      <c r="AD1575" t="s">
        <v>53</v>
      </c>
      <c r="AK1575">
        <v>0</v>
      </c>
      <c r="AU1575" s="6">
        <v>42249</v>
      </c>
      <c r="AV1575" s="6">
        <v>42249</v>
      </c>
      <c r="AW1575" t="s">
        <v>54</v>
      </c>
      <c r="AX1575" t="str">
        <f t="shared" si="123"/>
        <v>FOR</v>
      </c>
      <c r="AY1575" t="s">
        <v>55</v>
      </c>
    </row>
    <row r="1576" spans="1:51" hidden="1">
      <c r="A1576">
        <v>100360</v>
      </c>
      <c r="B1576" t="s">
        <v>131</v>
      </c>
      <c r="C1576" t="str">
        <f t="shared" si="125"/>
        <v>00076810621</v>
      </c>
      <c r="D1576" t="str">
        <f t="shared" si="125"/>
        <v>00076810621</v>
      </c>
      <c r="E1576" t="s">
        <v>52</v>
      </c>
      <c r="F1576">
        <v>2014</v>
      </c>
      <c r="G1576">
        <v>93998</v>
      </c>
      <c r="H1576" s="1">
        <v>41913</v>
      </c>
      <c r="I1576" s="1">
        <v>41920</v>
      </c>
      <c r="J1576" s="1">
        <v>41920</v>
      </c>
      <c r="K1576" s="1">
        <v>42010</v>
      </c>
      <c r="N1576" s="5"/>
      <c r="O1576">
        <v>7</v>
      </c>
      <c r="P1576">
        <v>245</v>
      </c>
      <c r="Q1576" s="2">
        <v>1715</v>
      </c>
      <c r="R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 s="1">
        <v>42382</v>
      </c>
      <c r="AC1576" t="s">
        <v>53</v>
      </c>
      <c r="AD1576" t="s">
        <v>53</v>
      </c>
      <c r="AK1576">
        <v>0</v>
      </c>
      <c r="AU1576" s="6">
        <v>42255</v>
      </c>
      <c r="AV1576" s="6">
        <v>42255</v>
      </c>
      <c r="AW1576" t="s">
        <v>54</v>
      </c>
      <c r="AX1576" t="str">
        <f t="shared" si="123"/>
        <v>FOR</v>
      </c>
      <c r="AY1576" t="s">
        <v>55</v>
      </c>
    </row>
    <row r="1577" spans="1:51" hidden="1">
      <c r="A1577">
        <v>100360</v>
      </c>
      <c r="B1577" t="s">
        <v>131</v>
      </c>
      <c r="C1577" t="str">
        <f t="shared" si="125"/>
        <v>00076810621</v>
      </c>
      <c r="D1577" t="str">
        <f t="shared" si="125"/>
        <v>00076810621</v>
      </c>
      <c r="E1577" t="s">
        <v>52</v>
      </c>
      <c r="F1577">
        <v>2014</v>
      </c>
      <c r="G1577">
        <v>94256</v>
      </c>
      <c r="H1577" s="1">
        <v>41914</v>
      </c>
      <c r="I1577" s="1">
        <v>41920</v>
      </c>
      <c r="J1577" s="1">
        <v>41920</v>
      </c>
      <c r="K1577" s="1">
        <v>42010</v>
      </c>
      <c r="N1577" s="5"/>
      <c r="O1577">
        <v>25.18</v>
      </c>
      <c r="P1577">
        <v>245</v>
      </c>
      <c r="Q1577" s="2">
        <v>6169.1</v>
      </c>
      <c r="R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 s="1">
        <v>42382</v>
      </c>
      <c r="AC1577" t="s">
        <v>53</v>
      </c>
      <c r="AD1577" t="s">
        <v>53</v>
      </c>
      <c r="AK1577">
        <v>0</v>
      </c>
      <c r="AU1577" s="6">
        <v>42255</v>
      </c>
      <c r="AV1577" s="6">
        <v>42255</v>
      </c>
      <c r="AW1577" t="s">
        <v>54</v>
      </c>
      <c r="AX1577" t="str">
        <f t="shared" si="123"/>
        <v>FOR</v>
      </c>
      <c r="AY1577" t="s">
        <v>55</v>
      </c>
    </row>
    <row r="1578" spans="1:51" hidden="1">
      <c r="A1578">
        <v>100360</v>
      </c>
      <c r="B1578" t="s">
        <v>131</v>
      </c>
      <c r="C1578" t="str">
        <f t="shared" si="125"/>
        <v>00076810621</v>
      </c>
      <c r="D1578" t="str">
        <f t="shared" si="125"/>
        <v>00076810621</v>
      </c>
      <c r="E1578" t="s">
        <v>52</v>
      </c>
      <c r="F1578">
        <v>2014</v>
      </c>
      <c r="G1578">
        <v>94652</v>
      </c>
      <c r="H1578" s="1">
        <v>41915</v>
      </c>
      <c r="I1578" s="1">
        <v>41920</v>
      </c>
      <c r="J1578" s="1">
        <v>41920</v>
      </c>
      <c r="K1578" s="1">
        <v>42010</v>
      </c>
      <c r="N1578" s="5"/>
      <c r="O1578">
        <v>3.62</v>
      </c>
      <c r="P1578">
        <v>245</v>
      </c>
      <c r="Q1578">
        <v>886.9</v>
      </c>
      <c r="R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 s="1">
        <v>42382</v>
      </c>
      <c r="AC1578" t="s">
        <v>53</v>
      </c>
      <c r="AD1578" t="s">
        <v>53</v>
      </c>
      <c r="AK1578">
        <v>0</v>
      </c>
      <c r="AU1578" s="6">
        <v>42255</v>
      </c>
      <c r="AV1578" s="6">
        <v>42255</v>
      </c>
      <c r="AW1578" t="s">
        <v>54</v>
      </c>
      <c r="AX1578" t="str">
        <f t="shared" si="123"/>
        <v>FOR</v>
      </c>
      <c r="AY1578" t="s">
        <v>55</v>
      </c>
    </row>
    <row r="1579" spans="1:51" hidden="1">
      <c r="A1579">
        <v>100360</v>
      </c>
      <c r="B1579" t="s">
        <v>131</v>
      </c>
      <c r="C1579" t="str">
        <f t="shared" si="125"/>
        <v>00076810621</v>
      </c>
      <c r="D1579" t="str">
        <f t="shared" si="125"/>
        <v>00076810621</v>
      </c>
      <c r="E1579" t="s">
        <v>52</v>
      </c>
      <c r="F1579">
        <v>2014</v>
      </c>
      <c r="G1579">
        <v>94673</v>
      </c>
      <c r="H1579" s="1">
        <v>41915</v>
      </c>
      <c r="I1579" s="1">
        <v>41920</v>
      </c>
      <c r="J1579" s="1">
        <v>41920</v>
      </c>
      <c r="K1579" s="1">
        <v>42010</v>
      </c>
      <c r="N1579" s="5"/>
      <c r="O1579">
        <v>3.25</v>
      </c>
      <c r="P1579">
        <v>245</v>
      </c>
      <c r="Q1579">
        <v>796.25</v>
      </c>
      <c r="R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 s="1">
        <v>42382</v>
      </c>
      <c r="AC1579" t="s">
        <v>53</v>
      </c>
      <c r="AD1579" t="s">
        <v>53</v>
      </c>
      <c r="AK1579">
        <v>0</v>
      </c>
      <c r="AU1579" s="6">
        <v>42255</v>
      </c>
      <c r="AV1579" s="6">
        <v>42255</v>
      </c>
      <c r="AW1579" t="s">
        <v>54</v>
      </c>
      <c r="AX1579" t="str">
        <f t="shared" si="123"/>
        <v>FOR</v>
      </c>
      <c r="AY1579" t="s">
        <v>55</v>
      </c>
    </row>
    <row r="1580" spans="1:51" hidden="1">
      <c r="A1580">
        <v>100360</v>
      </c>
      <c r="B1580" t="s">
        <v>131</v>
      </c>
      <c r="C1580" t="str">
        <f t="shared" si="125"/>
        <v>00076810621</v>
      </c>
      <c r="D1580" t="str">
        <f t="shared" si="125"/>
        <v>00076810621</v>
      </c>
      <c r="E1580" t="s">
        <v>52</v>
      </c>
      <c r="F1580">
        <v>2014</v>
      </c>
      <c r="G1580">
        <v>94870</v>
      </c>
      <c r="H1580" s="1">
        <v>41915</v>
      </c>
      <c r="I1580" s="1">
        <v>41920</v>
      </c>
      <c r="J1580" s="1">
        <v>41920</v>
      </c>
      <c r="K1580" s="1">
        <v>42010</v>
      </c>
      <c r="N1580" s="5"/>
      <c r="O1580">
        <v>47.27</v>
      </c>
      <c r="P1580">
        <v>245</v>
      </c>
      <c r="Q1580" s="2">
        <v>11581.15</v>
      </c>
      <c r="R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 s="1">
        <v>42382</v>
      </c>
      <c r="AC1580" t="s">
        <v>53</v>
      </c>
      <c r="AD1580" t="s">
        <v>53</v>
      </c>
      <c r="AK1580">
        <v>0</v>
      </c>
      <c r="AU1580" s="6">
        <v>42255</v>
      </c>
      <c r="AV1580" s="6">
        <v>42255</v>
      </c>
      <c r="AW1580" t="s">
        <v>54</v>
      </c>
      <c r="AX1580" t="str">
        <f t="shared" si="123"/>
        <v>FOR</v>
      </c>
      <c r="AY1580" t="s">
        <v>55</v>
      </c>
    </row>
    <row r="1581" spans="1:51" hidden="1">
      <c r="A1581">
        <v>100360</v>
      </c>
      <c r="B1581" t="s">
        <v>131</v>
      </c>
      <c r="C1581" t="str">
        <f t="shared" si="125"/>
        <v>00076810621</v>
      </c>
      <c r="D1581" t="str">
        <f t="shared" si="125"/>
        <v>00076810621</v>
      </c>
      <c r="E1581" t="s">
        <v>52</v>
      </c>
      <c r="F1581">
        <v>2014</v>
      </c>
      <c r="G1581">
        <v>95579</v>
      </c>
      <c r="H1581" s="1">
        <v>41918</v>
      </c>
      <c r="I1581" s="1">
        <v>41921</v>
      </c>
      <c r="J1581" s="1">
        <v>41921</v>
      </c>
      <c r="K1581" s="1">
        <v>42011</v>
      </c>
      <c r="N1581" s="5"/>
      <c r="O1581">
        <v>216.6</v>
      </c>
      <c r="P1581">
        <v>244</v>
      </c>
      <c r="Q1581" s="2">
        <v>52850.400000000001</v>
      </c>
      <c r="R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 s="1">
        <v>42382</v>
      </c>
      <c r="AC1581" t="s">
        <v>53</v>
      </c>
      <c r="AD1581" t="s">
        <v>53</v>
      </c>
      <c r="AK1581">
        <v>0</v>
      </c>
      <c r="AU1581" s="6">
        <v>42255</v>
      </c>
      <c r="AV1581" s="6">
        <v>42255</v>
      </c>
      <c r="AW1581" t="s">
        <v>54</v>
      </c>
      <c r="AX1581" t="str">
        <f t="shared" si="123"/>
        <v>FOR</v>
      </c>
      <c r="AY1581" t="s">
        <v>55</v>
      </c>
    </row>
    <row r="1582" spans="1:51" hidden="1">
      <c r="A1582">
        <v>100360</v>
      </c>
      <c r="B1582" t="s">
        <v>131</v>
      </c>
      <c r="C1582" t="str">
        <f t="shared" si="125"/>
        <v>00076810621</v>
      </c>
      <c r="D1582" t="str">
        <f t="shared" si="125"/>
        <v>00076810621</v>
      </c>
      <c r="E1582" t="s">
        <v>52</v>
      </c>
      <c r="F1582">
        <v>2014</v>
      </c>
      <c r="G1582">
        <v>95848</v>
      </c>
      <c r="H1582" s="1">
        <v>41919</v>
      </c>
      <c r="I1582" s="1">
        <v>41921</v>
      </c>
      <c r="J1582" s="1">
        <v>41921</v>
      </c>
      <c r="K1582" s="1">
        <v>42011</v>
      </c>
      <c r="N1582" s="5"/>
      <c r="O1582">
        <v>14.73</v>
      </c>
      <c r="P1582">
        <v>244</v>
      </c>
      <c r="Q1582" s="2">
        <v>3594.12</v>
      </c>
      <c r="R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 s="1">
        <v>42382</v>
      </c>
      <c r="AC1582" t="s">
        <v>53</v>
      </c>
      <c r="AD1582" t="s">
        <v>53</v>
      </c>
      <c r="AK1582">
        <v>0</v>
      </c>
      <c r="AU1582" s="6">
        <v>42255</v>
      </c>
      <c r="AV1582" s="6">
        <v>42255</v>
      </c>
      <c r="AW1582" t="s">
        <v>54</v>
      </c>
      <c r="AX1582" t="str">
        <f t="shared" si="123"/>
        <v>FOR</v>
      </c>
      <c r="AY1582" t="s">
        <v>55</v>
      </c>
    </row>
    <row r="1583" spans="1:51" hidden="1">
      <c r="A1583">
        <v>100360</v>
      </c>
      <c r="B1583" t="s">
        <v>131</v>
      </c>
      <c r="C1583" t="str">
        <f t="shared" si="125"/>
        <v>00076810621</v>
      </c>
      <c r="D1583" t="str">
        <f t="shared" si="125"/>
        <v>00076810621</v>
      </c>
      <c r="E1583" t="s">
        <v>52</v>
      </c>
      <c r="F1583">
        <v>2014</v>
      </c>
      <c r="G1583">
        <v>96044</v>
      </c>
      <c r="H1583" s="1">
        <v>41919</v>
      </c>
      <c r="I1583" s="1">
        <v>41955</v>
      </c>
      <c r="J1583" s="1">
        <v>41955</v>
      </c>
      <c r="K1583" s="1">
        <v>42015</v>
      </c>
      <c r="N1583" s="5"/>
      <c r="O1583">
        <v>53.9</v>
      </c>
      <c r="P1583">
        <v>240</v>
      </c>
      <c r="Q1583" s="2">
        <v>12936</v>
      </c>
      <c r="R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 s="1">
        <v>42382</v>
      </c>
      <c r="AC1583" t="s">
        <v>53</v>
      </c>
      <c r="AD1583" t="s">
        <v>53</v>
      </c>
      <c r="AK1583">
        <v>0</v>
      </c>
      <c r="AU1583" s="6">
        <v>42255</v>
      </c>
      <c r="AV1583" s="6">
        <v>42255</v>
      </c>
      <c r="AW1583" t="s">
        <v>54</v>
      </c>
      <c r="AX1583" t="str">
        <f t="shared" si="123"/>
        <v>FOR</v>
      </c>
      <c r="AY1583" t="s">
        <v>55</v>
      </c>
    </row>
    <row r="1584" spans="1:51" hidden="1">
      <c r="A1584">
        <v>100360</v>
      </c>
      <c r="B1584" t="s">
        <v>131</v>
      </c>
      <c r="C1584" t="str">
        <f t="shared" si="125"/>
        <v>00076810621</v>
      </c>
      <c r="D1584" t="str">
        <f t="shared" si="125"/>
        <v>00076810621</v>
      </c>
      <c r="E1584" t="s">
        <v>52</v>
      </c>
      <c r="F1584">
        <v>2014</v>
      </c>
      <c r="G1584">
        <v>96244</v>
      </c>
      <c r="H1584" s="1">
        <v>41920</v>
      </c>
      <c r="I1584" s="1">
        <v>41921</v>
      </c>
      <c r="J1584" s="1">
        <v>41921</v>
      </c>
      <c r="K1584" s="1">
        <v>42011</v>
      </c>
      <c r="N1584" s="5"/>
      <c r="O1584">
        <v>52.48</v>
      </c>
      <c r="P1584">
        <v>244</v>
      </c>
      <c r="Q1584" s="2">
        <v>12805.12</v>
      </c>
      <c r="R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 s="1">
        <v>42382</v>
      </c>
      <c r="AC1584" t="s">
        <v>53</v>
      </c>
      <c r="AD1584" t="s">
        <v>53</v>
      </c>
      <c r="AK1584">
        <v>0</v>
      </c>
      <c r="AU1584" s="6">
        <v>42255</v>
      </c>
      <c r="AV1584" s="6">
        <v>42255</v>
      </c>
      <c r="AW1584" t="s">
        <v>54</v>
      </c>
      <c r="AX1584" t="str">
        <f t="shared" si="123"/>
        <v>FOR</v>
      </c>
      <c r="AY1584" t="s">
        <v>55</v>
      </c>
    </row>
    <row r="1585" spans="1:51" hidden="1">
      <c r="A1585">
        <v>100360</v>
      </c>
      <c r="B1585" t="s">
        <v>131</v>
      </c>
      <c r="C1585" t="str">
        <f t="shared" si="125"/>
        <v>00076810621</v>
      </c>
      <c r="D1585" t="str">
        <f t="shared" si="125"/>
        <v>00076810621</v>
      </c>
      <c r="E1585" t="s">
        <v>52</v>
      </c>
      <c r="F1585">
        <v>2014</v>
      </c>
      <c r="G1585">
        <v>96692</v>
      </c>
      <c r="H1585" s="1">
        <v>41921</v>
      </c>
      <c r="I1585" s="1">
        <v>41928</v>
      </c>
      <c r="J1585" s="1">
        <v>41928</v>
      </c>
      <c r="K1585" s="1">
        <v>41988</v>
      </c>
      <c r="N1585" s="5"/>
      <c r="O1585">
        <v>4.97</v>
      </c>
      <c r="P1585">
        <v>267</v>
      </c>
      <c r="Q1585" s="2">
        <v>1326.99</v>
      </c>
      <c r="R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 s="1">
        <v>42382</v>
      </c>
      <c r="AC1585" t="s">
        <v>53</v>
      </c>
      <c r="AD1585" t="s">
        <v>53</v>
      </c>
      <c r="AK1585">
        <v>0</v>
      </c>
      <c r="AU1585" s="6">
        <v>42255</v>
      </c>
      <c r="AV1585" s="6">
        <v>42255</v>
      </c>
      <c r="AW1585" t="s">
        <v>54</v>
      </c>
      <c r="AX1585" t="str">
        <f t="shared" si="123"/>
        <v>FOR</v>
      </c>
      <c r="AY1585" t="s">
        <v>55</v>
      </c>
    </row>
    <row r="1586" spans="1:51" hidden="1">
      <c r="A1586">
        <v>100360</v>
      </c>
      <c r="B1586" t="s">
        <v>131</v>
      </c>
      <c r="C1586" t="str">
        <f t="shared" si="125"/>
        <v>00076810621</v>
      </c>
      <c r="D1586" t="str">
        <f t="shared" si="125"/>
        <v>00076810621</v>
      </c>
      <c r="E1586" t="s">
        <v>52</v>
      </c>
      <c r="F1586">
        <v>2014</v>
      </c>
      <c r="G1586">
        <v>96891</v>
      </c>
      <c r="H1586" s="1">
        <v>41921</v>
      </c>
      <c r="I1586" s="1">
        <v>41928</v>
      </c>
      <c r="J1586" s="1">
        <v>41928</v>
      </c>
      <c r="K1586" s="1">
        <v>41988</v>
      </c>
      <c r="N1586" s="5"/>
      <c r="O1586">
        <v>14.74</v>
      </c>
      <c r="P1586">
        <v>267</v>
      </c>
      <c r="Q1586" s="2">
        <v>3935.58</v>
      </c>
      <c r="R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 s="1">
        <v>42382</v>
      </c>
      <c r="AC1586" t="s">
        <v>53</v>
      </c>
      <c r="AD1586" t="s">
        <v>53</v>
      </c>
      <c r="AK1586">
        <v>0</v>
      </c>
      <c r="AU1586" s="6">
        <v>42255</v>
      </c>
      <c r="AV1586" s="6">
        <v>42255</v>
      </c>
      <c r="AW1586" t="s">
        <v>54</v>
      </c>
      <c r="AX1586" t="str">
        <f t="shared" si="123"/>
        <v>FOR</v>
      </c>
      <c r="AY1586" t="s">
        <v>55</v>
      </c>
    </row>
    <row r="1587" spans="1:51" hidden="1">
      <c r="A1587">
        <v>100360</v>
      </c>
      <c r="B1587" t="s">
        <v>131</v>
      </c>
      <c r="C1587" t="str">
        <f t="shared" si="125"/>
        <v>00076810621</v>
      </c>
      <c r="D1587" t="str">
        <f t="shared" si="125"/>
        <v>00076810621</v>
      </c>
      <c r="E1587" t="s">
        <v>52</v>
      </c>
      <c r="F1587">
        <v>2014</v>
      </c>
      <c r="G1587">
        <v>96911</v>
      </c>
      <c r="H1587" s="1">
        <v>41921</v>
      </c>
      <c r="I1587" s="1">
        <v>41941</v>
      </c>
      <c r="J1587" s="1">
        <v>41941</v>
      </c>
      <c r="K1587" s="1">
        <v>42001</v>
      </c>
      <c r="N1587" s="5"/>
      <c r="O1587">
        <v>29.79</v>
      </c>
      <c r="P1587">
        <v>254</v>
      </c>
      <c r="Q1587" s="2">
        <v>7566.66</v>
      </c>
      <c r="R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 s="1">
        <v>42382</v>
      </c>
      <c r="AC1587" t="s">
        <v>53</v>
      </c>
      <c r="AD1587" t="s">
        <v>53</v>
      </c>
      <c r="AK1587">
        <v>0</v>
      </c>
      <c r="AU1587" s="6">
        <v>42255</v>
      </c>
      <c r="AV1587" s="6">
        <v>42255</v>
      </c>
      <c r="AW1587" t="s">
        <v>54</v>
      </c>
      <c r="AX1587" t="str">
        <f t="shared" si="123"/>
        <v>FOR</v>
      </c>
      <c r="AY1587" t="s">
        <v>55</v>
      </c>
    </row>
    <row r="1588" spans="1:51" hidden="1">
      <c r="A1588">
        <v>100360</v>
      </c>
      <c r="B1588" t="s">
        <v>131</v>
      </c>
      <c r="C1588" t="str">
        <f t="shared" ref="C1588:D1607" si="126">"00076810621"</f>
        <v>00076810621</v>
      </c>
      <c r="D1588" t="str">
        <f t="shared" si="126"/>
        <v>00076810621</v>
      </c>
      <c r="E1588" t="s">
        <v>52</v>
      </c>
      <c r="F1588">
        <v>2014</v>
      </c>
      <c r="G1588">
        <v>97115</v>
      </c>
      <c r="H1588" s="1">
        <v>41922</v>
      </c>
      <c r="I1588" s="1">
        <v>41995</v>
      </c>
      <c r="J1588" s="1">
        <v>41995</v>
      </c>
      <c r="K1588" s="1">
        <v>42055</v>
      </c>
      <c r="N1588" s="5"/>
      <c r="O1588">
        <v>174.02</v>
      </c>
      <c r="P1588">
        <v>200</v>
      </c>
      <c r="Q1588" s="2">
        <v>34804</v>
      </c>
      <c r="R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 s="1">
        <v>42382</v>
      </c>
      <c r="AC1588" t="s">
        <v>53</v>
      </c>
      <c r="AD1588" t="s">
        <v>53</v>
      </c>
      <c r="AK1588">
        <v>0</v>
      </c>
      <c r="AU1588" s="6">
        <v>42255</v>
      </c>
      <c r="AV1588" s="6">
        <v>42255</v>
      </c>
      <c r="AW1588" t="s">
        <v>54</v>
      </c>
      <c r="AX1588" t="str">
        <f t="shared" si="123"/>
        <v>FOR</v>
      </c>
      <c r="AY1588" t="s">
        <v>55</v>
      </c>
    </row>
    <row r="1589" spans="1:51" hidden="1">
      <c r="A1589">
        <v>100360</v>
      </c>
      <c r="B1589" t="s">
        <v>131</v>
      </c>
      <c r="C1589" t="str">
        <f t="shared" si="126"/>
        <v>00076810621</v>
      </c>
      <c r="D1589" t="str">
        <f t="shared" si="126"/>
        <v>00076810621</v>
      </c>
      <c r="E1589" t="s">
        <v>52</v>
      </c>
      <c r="F1589">
        <v>2014</v>
      </c>
      <c r="G1589">
        <v>97971</v>
      </c>
      <c r="H1589" s="1">
        <v>41925</v>
      </c>
      <c r="I1589" s="1">
        <v>41929</v>
      </c>
      <c r="J1589" s="1">
        <v>41929</v>
      </c>
      <c r="K1589" s="1">
        <v>41989</v>
      </c>
      <c r="N1589" s="5"/>
      <c r="O1589">
        <v>7</v>
      </c>
      <c r="P1589">
        <v>266</v>
      </c>
      <c r="Q1589" s="2">
        <v>1862</v>
      </c>
      <c r="R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 s="1">
        <v>42382</v>
      </c>
      <c r="AC1589" t="s">
        <v>53</v>
      </c>
      <c r="AD1589" t="s">
        <v>53</v>
      </c>
      <c r="AK1589">
        <v>0</v>
      </c>
      <c r="AU1589" s="6">
        <v>42255</v>
      </c>
      <c r="AV1589" s="6">
        <v>42255</v>
      </c>
      <c r="AW1589" t="s">
        <v>54</v>
      </c>
      <c r="AX1589" t="str">
        <f t="shared" si="123"/>
        <v>FOR</v>
      </c>
      <c r="AY1589" t="s">
        <v>55</v>
      </c>
    </row>
    <row r="1590" spans="1:51" hidden="1">
      <c r="A1590">
        <v>100360</v>
      </c>
      <c r="B1590" t="s">
        <v>131</v>
      </c>
      <c r="C1590" t="str">
        <f t="shared" si="126"/>
        <v>00076810621</v>
      </c>
      <c r="D1590" t="str">
        <f t="shared" si="126"/>
        <v>00076810621</v>
      </c>
      <c r="E1590" t="s">
        <v>52</v>
      </c>
      <c r="F1590">
        <v>2014</v>
      </c>
      <c r="G1590">
        <v>98666</v>
      </c>
      <c r="H1590" s="1">
        <v>41927</v>
      </c>
      <c r="I1590" s="1">
        <v>41932</v>
      </c>
      <c r="J1590" s="1">
        <v>41932</v>
      </c>
      <c r="K1590" s="1">
        <v>41992</v>
      </c>
      <c r="N1590" s="5"/>
      <c r="O1590">
        <v>2.74</v>
      </c>
      <c r="P1590">
        <v>263</v>
      </c>
      <c r="Q1590">
        <v>720.62</v>
      </c>
      <c r="R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 s="1">
        <v>42382</v>
      </c>
      <c r="AC1590" t="s">
        <v>53</v>
      </c>
      <c r="AD1590" t="s">
        <v>53</v>
      </c>
      <c r="AK1590">
        <v>0</v>
      </c>
      <c r="AU1590" s="6">
        <v>42255</v>
      </c>
      <c r="AV1590" s="6">
        <v>42255</v>
      </c>
      <c r="AW1590" t="s">
        <v>54</v>
      </c>
      <c r="AX1590" t="str">
        <f t="shared" si="123"/>
        <v>FOR</v>
      </c>
      <c r="AY1590" t="s">
        <v>55</v>
      </c>
    </row>
    <row r="1591" spans="1:51" hidden="1">
      <c r="A1591">
        <v>100360</v>
      </c>
      <c r="B1591" t="s">
        <v>131</v>
      </c>
      <c r="C1591" t="str">
        <f t="shared" si="126"/>
        <v>00076810621</v>
      </c>
      <c r="D1591" t="str">
        <f t="shared" si="126"/>
        <v>00076810621</v>
      </c>
      <c r="E1591" t="s">
        <v>52</v>
      </c>
      <c r="F1591">
        <v>2014</v>
      </c>
      <c r="G1591">
        <v>99097</v>
      </c>
      <c r="H1591" s="1">
        <v>41922</v>
      </c>
      <c r="I1591" s="1">
        <v>41955</v>
      </c>
      <c r="J1591" s="1">
        <v>41955</v>
      </c>
      <c r="K1591" s="1">
        <v>42015</v>
      </c>
      <c r="N1591" s="5"/>
      <c r="O1591">
        <v>297.88</v>
      </c>
      <c r="P1591">
        <v>240</v>
      </c>
      <c r="Q1591" s="2">
        <v>71491.199999999997</v>
      </c>
      <c r="R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 s="1">
        <v>42382</v>
      </c>
      <c r="AC1591" t="s">
        <v>53</v>
      </c>
      <c r="AD1591" t="s">
        <v>53</v>
      </c>
      <c r="AK1591">
        <v>0</v>
      </c>
      <c r="AU1591" s="6">
        <v>42255</v>
      </c>
      <c r="AV1591" s="6">
        <v>42255</v>
      </c>
      <c r="AW1591" t="s">
        <v>54</v>
      </c>
      <c r="AX1591" t="str">
        <f t="shared" si="123"/>
        <v>FOR</v>
      </c>
      <c r="AY1591" t="s">
        <v>55</v>
      </c>
    </row>
    <row r="1592" spans="1:51" hidden="1">
      <c r="A1592">
        <v>100360</v>
      </c>
      <c r="B1592" t="s">
        <v>131</v>
      </c>
      <c r="C1592" t="str">
        <f t="shared" si="126"/>
        <v>00076810621</v>
      </c>
      <c r="D1592" t="str">
        <f t="shared" si="126"/>
        <v>00076810621</v>
      </c>
      <c r="E1592" t="s">
        <v>52</v>
      </c>
      <c r="F1592">
        <v>2014</v>
      </c>
      <c r="G1592">
        <v>99289</v>
      </c>
      <c r="H1592" s="1">
        <v>41928</v>
      </c>
      <c r="I1592" s="1">
        <v>41932</v>
      </c>
      <c r="J1592" s="1">
        <v>41932</v>
      </c>
      <c r="K1592" s="1">
        <v>41992</v>
      </c>
      <c r="N1592" s="5"/>
      <c r="O1592">
        <v>74.33</v>
      </c>
      <c r="P1592">
        <v>263</v>
      </c>
      <c r="Q1592" s="2">
        <v>19548.79</v>
      </c>
      <c r="R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 s="1">
        <v>42382</v>
      </c>
      <c r="AC1592" t="s">
        <v>53</v>
      </c>
      <c r="AD1592" t="s">
        <v>53</v>
      </c>
      <c r="AK1592">
        <v>0</v>
      </c>
      <c r="AU1592" s="6">
        <v>42255</v>
      </c>
      <c r="AV1592" s="6">
        <v>42255</v>
      </c>
      <c r="AW1592" t="s">
        <v>54</v>
      </c>
      <c r="AX1592" t="str">
        <f t="shared" si="123"/>
        <v>FOR</v>
      </c>
      <c r="AY1592" t="s">
        <v>55</v>
      </c>
    </row>
    <row r="1593" spans="1:51" hidden="1">
      <c r="A1593">
        <v>100360</v>
      </c>
      <c r="B1593" t="s">
        <v>131</v>
      </c>
      <c r="C1593" t="str">
        <f t="shared" si="126"/>
        <v>00076810621</v>
      </c>
      <c r="D1593" t="str">
        <f t="shared" si="126"/>
        <v>00076810621</v>
      </c>
      <c r="E1593" t="s">
        <v>52</v>
      </c>
      <c r="F1593">
        <v>2014</v>
      </c>
      <c r="G1593">
        <v>99306</v>
      </c>
      <c r="H1593" s="1">
        <v>41928</v>
      </c>
      <c r="I1593" s="1">
        <v>41932</v>
      </c>
      <c r="J1593" s="1">
        <v>41932</v>
      </c>
      <c r="K1593" s="1">
        <v>41992</v>
      </c>
      <c r="N1593" s="5"/>
      <c r="O1593">
        <v>10.15</v>
      </c>
      <c r="P1593">
        <v>263</v>
      </c>
      <c r="Q1593" s="2">
        <v>2669.45</v>
      </c>
      <c r="R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 s="1">
        <v>42382</v>
      </c>
      <c r="AC1593" t="s">
        <v>53</v>
      </c>
      <c r="AD1593" t="s">
        <v>53</v>
      </c>
      <c r="AK1593">
        <v>0</v>
      </c>
      <c r="AU1593" s="6">
        <v>42255</v>
      </c>
      <c r="AV1593" s="6">
        <v>42255</v>
      </c>
      <c r="AW1593" t="s">
        <v>54</v>
      </c>
      <c r="AX1593" t="str">
        <f t="shared" si="123"/>
        <v>FOR</v>
      </c>
      <c r="AY1593" t="s">
        <v>55</v>
      </c>
    </row>
    <row r="1594" spans="1:51" hidden="1">
      <c r="A1594">
        <v>100360</v>
      </c>
      <c r="B1594" t="s">
        <v>131</v>
      </c>
      <c r="C1594" t="str">
        <f t="shared" si="126"/>
        <v>00076810621</v>
      </c>
      <c r="D1594" t="str">
        <f t="shared" si="126"/>
        <v>00076810621</v>
      </c>
      <c r="E1594" t="s">
        <v>52</v>
      </c>
      <c r="F1594">
        <v>2014</v>
      </c>
      <c r="G1594">
        <v>99721</v>
      </c>
      <c r="H1594" s="1">
        <v>41929</v>
      </c>
      <c r="I1594" s="1">
        <v>41939</v>
      </c>
      <c r="J1594" s="1">
        <v>41939</v>
      </c>
      <c r="K1594" s="1">
        <v>41999</v>
      </c>
      <c r="N1594" s="5"/>
      <c r="O1594">
        <v>19.760000000000002</v>
      </c>
      <c r="P1594">
        <v>256</v>
      </c>
      <c r="Q1594" s="2">
        <v>5058.5600000000004</v>
      </c>
      <c r="R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 s="1">
        <v>42382</v>
      </c>
      <c r="AC1594" t="s">
        <v>53</v>
      </c>
      <c r="AD1594" t="s">
        <v>53</v>
      </c>
      <c r="AK1594">
        <v>0</v>
      </c>
      <c r="AU1594" s="6">
        <v>42255</v>
      </c>
      <c r="AV1594" s="6">
        <v>42255</v>
      </c>
      <c r="AW1594" t="s">
        <v>54</v>
      </c>
      <c r="AX1594" t="str">
        <f t="shared" si="123"/>
        <v>FOR</v>
      </c>
      <c r="AY1594" t="s">
        <v>55</v>
      </c>
    </row>
    <row r="1595" spans="1:51" hidden="1">
      <c r="A1595">
        <v>100360</v>
      </c>
      <c r="B1595" t="s">
        <v>131</v>
      </c>
      <c r="C1595" t="str">
        <f t="shared" si="126"/>
        <v>00076810621</v>
      </c>
      <c r="D1595" t="str">
        <f t="shared" si="126"/>
        <v>00076810621</v>
      </c>
      <c r="E1595" t="s">
        <v>52</v>
      </c>
      <c r="F1595">
        <v>2014</v>
      </c>
      <c r="G1595">
        <v>99970</v>
      </c>
      <c r="H1595" s="1">
        <v>41930</v>
      </c>
      <c r="I1595" s="1">
        <v>41935</v>
      </c>
      <c r="J1595" s="1">
        <v>41935</v>
      </c>
      <c r="K1595" s="1">
        <v>41995</v>
      </c>
      <c r="N1595" s="5"/>
      <c r="O1595">
        <v>21.62</v>
      </c>
      <c r="P1595">
        <v>260</v>
      </c>
      <c r="Q1595" s="2">
        <v>5621.2</v>
      </c>
      <c r="R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 s="1">
        <v>42382</v>
      </c>
      <c r="AC1595" t="s">
        <v>53</v>
      </c>
      <c r="AD1595" t="s">
        <v>53</v>
      </c>
      <c r="AK1595">
        <v>0</v>
      </c>
      <c r="AU1595" s="6">
        <v>42255</v>
      </c>
      <c r="AV1595" s="6">
        <v>42255</v>
      </c>
      <c r="AW1595" t="s">
        <v>54</v>
      </c>
      <c r="AX1595" t="str">
        <f t="shared" si="123"/>
        <v>FOR</v>
      </c>
      <c r="AY1595" t="s">
        <v>55</v>
      </c>
    </row>
    <row r="1596" spans="1:51" hidden="1">
      <c r="A1596">
        <v>100360</v>
      </c>
      <c r="B1596" t="s">
        <v>131</v>
      </c>
      <c r="C1596" t="str">
        <f t="shared" si="126"/>
        <v>00076810621</v>
      </c>
      <c r="D1596" t="str">
        <f t="shared" si="126"/>
        <v>00076810621</v>
      </c>
      <c r="E1596" t="s">
        <v>52</v>
      </c>
      <c r="F1596">
        <v>2014</v>
      </c>
      <c r="G1596">
        <v>100408</v>
      </c>
      <c r="H1596" s="1">
        <v>41932</v>
      </c>
      <c r="I1596" s="1">
        <v>41935</v>
      </c>
      <c r="J1596" s="1">
        <v>41935</v>
      </c>
      <c r="K1596" s="1">
        <v>41995</v>
      </c>
      <c r="N1596" s="5"/>
      <c r="O1596">
        <v>49.15</v>
      </c>
      <c r="P1596">
        <v>260</v>
      </c>
      <c r="Q1596" s="2">
        <v>12779</v>
      </c>
      <c r="R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 s="1">
        <v>42382</v>
      </c>
      <c r="AC1596" t="s">
        <v>53</v>
      </c>
      <c r="AD1596" t="s">
        <v>53</v>
      </c>
      <c r="AK1596">
        <v>0</v>
      </c>
      <c r="AU1596" s="6">
        <v>42255</v>
      </c>
      <c r="AV1596" s="6">
        <v>42255</v>
      </c>
      <c r="AW1596" t="s">
        <v>54</v>
      </c>
      <c r="AX1596" t="str">
        <f t="shared" si="123"/>
        <v>FOR</v>
      </c>
      <c r="AY1596" t="s">
        <v>55</v>
      </c>
    </row>
    <row r="1597" spans="1:51" hidden="1">
      <c r="A1597">
        <v>100360</v>
      </c>
      <c r="B1597" t="s">
        <v>131</v>
      </c>
      <c r="C1597" t="str">
        <f t="shared" si="126"/>
        <v>00076810621</v>
      </c>
      <c r="D1597" t="str">
        <f t="shared" si="126"/>
        <v>00076810621</v>
      </c>
      <c r="E1597" t="s">
        <v>52</v>
      </c>
      <c r="F1597">
        <v>2014</v>
      </c>
      <c r="G1597">
        <v>100645</v>
      </c>
      <c r="H1597" s="1">
        <v>41933</v>
      </c>
      <c r="I1597" s="1">
        <v>41935</v>
      </c>
      <c r="J1597" s="1">
        <v>41935</v>
      </c>
      <c r="K1597" s="1">
        <v>41995</v>
      </c>
      <c r="N1597" s="5"/>
      <c r="O1597">
        <v>6.2</v>
      </c>
      <c r="P1597">
        <v>260</v>
      </c>
      <c r="Q1597" s="2">
        <v>1612</v>
      </c>
      <c r="R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 s="1">
        <v>42382</v>
      </c>
      <c r="AC1597" t="s">
        <v>53</v>
      </c>
      <c r="AD1597" t="s">
        <v>53</v>
      </c>
      <c r="AK1597">
        <v>0</v>
      </c>
      <c r="AU1597" s="6">
        <v>42255</v>
      </c>
      <c r="AV1597" s="6">
        <v>42255</v>
      </c>
      <c r="AW1597" t="s">
        <v>54</v>
      </c>
      <c r="AX1597" t="str">
        <f t="shared" si="123"/>
        <v>FOR</v>
      </c>
      <c r="AY1597" t="s">
        <v>55</v>
      </c>
    </row>
    <row r="1598" spans="1:51" hidden="1">
      <c r="A1598">
        <v>100360</v>
      </c>
      <c r="B1598" t="s">
        <v>131</v>
      </c>
      <c r="C1598" t="str">
        <f t="shared" si="126"/>
        <v>00076810621</v>
      </c>
      <c r="D1598" t="str">
        <f t="shared" si="126"/>
        <v>00076810621</v>
      </c>
      <c r="E1598" t="s">
        <v>52</v>
      </c>
      <c r="F1598">
        <v>2014</v>
      </c>
      <c r="G1598">
        <v>101046</v>
      </c>
      <c r="H1598" s="1">
        <v>41934</v>
      </c>
      <c r="I1598" s="1">
        <v>41939</v>
      </c>
      <c r="J1598" s="1">
        <v>41939</v>
      </c>
      <c r="K1598" s="1">
        <v>41999</v>
      </c>
      <c r="N1598" s="5"/>
      <c r="O1598">
        <v>149.88</v>
      </c>
      <c r="P1598">
        <v>256</v>
      </c>
      <c r="Q1598" s="2">
        <v>38369.279999999999</v>
      </c>
      <c r="R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 s="1">
        <v>42382</v>
      </c>
      <c r="AC1598" t="s">
        <v>53</v>
      </c>
      <c r="AD1598" t="s">
        <v>53</v>
      </c>
      <c r="AK1598">
        <v>0</v>
      </c>
      <c r="AU1598" s="6">
        <v>42255</v>
      </c>
      <c r="AV1598" s="6">
        <v>42255</v>
      </c>
      <c r="AW1598" t="s">
        <v>54</v>
      </c>
      <c r="AX1598" t="str">
        <f t="shared" si="123"/>
        <v>FOR</v>
      </c>
      <c r="AY1598" t="s">
        <v>55</v>
      </c>
    </row>
    <row r="1599" spans="1:51" hidden="1">
      <c r="A1599">
        <v>100360</v>
      </c>
      <c r="B1599" t="s">
        <v>131</v>
      </c>
      <c r="C1599" t="str">
        <f t="shared" si="126"/>
        <v>00076810621</v>
      </c>
      <c r="D1599" t="str">
        <f t="shared" si="126"/>
        <v>00076810621</v>
      </c>
      <c r="E1599" t="s">
        <v>52</v>
      </c>
      <c r="F1599">
        <v>2014</v>
      </c>
      <c r="G1599">
        <v>101252</v>
      </c>
      <c r="H1599" s="1">
        <v>41934</v>
      </c>
      <c r="I1599" s="1">
        <v>41939</v>
      </c>
      <c r="J1599" s="1">
        <v>41939</v>
      </c>
      <c r="K1599" s="1">
        <v>41999</v>
      </c>
      <c r="N1599" s="5"/>
      <c r="O1599">
        <v>21.82</v>
      </c>
      <c r="P1599">
        <v>256</v>
      </c>
      <c r="Q1599" s="2">
        <v>5585.92</v>
      </c>
      <c r="R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 s="1">
        <v>42382</v>
      </c>
      <c r="AC1599" t="s">
        <v>53</v>
      </c>
      <c r="AD1599" t="s">
        <v>53</v>
      </c>
      <c r="AK1599">
        <v>0</v>
      </c>
      <c r="AU1599" s="6">
        <v>42255</v>
      </c>
      <c r="AV1599" s="6">
        <v>42255</v>
      </c>
      <c r="AW1599" t="s">
        <v>54</v>
      </c>
      <c r="AX1599" t="str">
        <f t="shared" si="123"/>
        <v>FOR</v>
      </c>
      <c r="AY1599" t="s">
        <v>55</v>
      </c>
    </row>
    <row r="1600" spans="1:51" hidden="1">
      <c r="A1600">
        <v>100360</v>
      </c>
      <c r="B1600" t="s">
        <v>131</v>
      </c>
      <c r="C1600" t="str">
        <f t="shared" si="126"/>
        <v>00076810621</v>
      </c>
      <c r="D1600" t="str">
        <f t="shared" si="126"/>
        <v>00076810621</v>
      </c>
      <c r="E1600" t="s">
        <v>52</v>
      </c>
      <c r="F1600">
        <v>2014</v>
      </c>
      <c r="G1600">
        <v>101637</v>
      </c>
      <c r="H1600" s="1">
        <v>41935</v>
      </c>
      <c r="I1600" s="1">
        <v>41939</v>
      </c>
      <c r="J1600" s="1">
        <v>41939</v>
      </c>
      <c r="K1600" s="1">
        <v>41999</v>
      </c>
      <c r="N1600" s="5"/>
      <c r="O1600">
        <v>67.239999999999995</v>
      </c>
      <c r="P1600">
        <v>256</v>
      </c>
      <c r="Q1600" s="2">
        <v>17213.439999999999</v>
      </c>
      <c r="R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 s="1">
        <v>42382</v>
      </c>
      <c r="AC1600" t="s">
        <v>53</v>
      </c>
      <c r="AD1600" t="s">
        <v>53</v>
      </c>
      <c r="AK1600">
        <v>0</v>
      </c>
      <c r="AU1600" s="6">
        <v>42255</v>
      </c>
      <c r="AV1600" s="6">
        <v>42255</v>
      </c>
      <c r="AW1600" t="s">
        <v>54</v>
      </c>
      <c r="AX1600" t="str">
        <f t="shared" si="123"/>
        <v>FOR</v>
      </c>
      <c r="AY1600" t="s">
        <v>55</v>
      </c>
    </row>
    <row r="1601" spans="1:51" hidden="1">
      <c r="A1601">
        <v>100360</v>
      </c>
      <c r="B1601" t="s">
        <v>131</v>
      </c>
      <c r="C1601" t="str">
        <f t="shared" si="126"/>
        <v>00076810621</v>
      </c>
      <c r="D1601" t="str">
        <f t="shared" si="126"/>
        <v>00076810621</v>
      </c>
      <c r="E1601" t="s">
        <v>52</v>
      </c>
      <c r="F1601">
        <v>2014</v>
      </c>
      <c r="G1601">
        <v>101865</v>
      </c>
      <c r="H1601" s="1">
        <v>41936</v>
      </c>
      <c r="I1601" s="1">
        <v>41941</v>
      </c>
      <c r="J1601" s="1">
        <v>41941</v>
      </c>
      <c r="K1601" s="1">
        <v>42001</v>
      </c>
      <c r="N1601" s="5"/>
      <c r="O1601">
        <v>47.71</v>
      </c>
      <c r="P1601">
        <v>254</v>
      </c>
      <c r="Q1601" s="2">
        <v>12118.34</v>
      </c>
      <c r="R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 s="1">
        <v>42382</v>
      </c>
      <c r="AC1601" t="s">
        <v>53</v>
      </c>
      <c r="AD1601" t="s">
        <v>53</v>
      </c>
      <c r="AK1601">
        <v>0</v>
      </c>
      <c r="AU1601" s="6">
        <v>42255</v>
      </c>
      <c r="AV1601" s="6">
        <v>42255</v>
      </c>
      <c r="AW1601" t="s">
        <v>54</v>
      </c>
      <c r="AX1601" t="str">
        <f t="shared" si="123"/>
        <v>FOR</v>
      </c>
      <c r="AY1601" t="s">
        <v>55</v>
      </c>
    </row>
    <row r="1602" spans="1:51" hidden="1">
      <c r="A1602">
        <v>100360</v>
      </c>
      <c r="B1602" t="s">
        <v>131</v>
      </c>
      <c r="C1602" t="str">
        <f t="shared" si="126"/>
        <v>00076810621</v>
      </c>
      <c r="D1602" t="str">
        <f t="shared" si="126"/>
        <v>00076810621</v>
      </c>
      <c r="E1602" t="s">
        <v>52</v>
      </c>
      <c r="F1602">
        <v>2014</v>
      </c>
      <c r="G1602">
        <v>102998</v>
      </c>
      <c r="H1602" s="1">
        <v>41940</v>
      </c>
      <c r="I1602" s="1">
        <v>41995</v>
      </c>
      <c r="J1602" s="1">
        <v>41995</v>
      </c>
      <c r="K1602" s="1">
        <v>42055</v>
      </c>
      <c r="N1602" s="5"/>
      <c r="O1602">
        <v>16.68</v>
      </c>
      <c r="P1602">
        <v>200</v>
      </c>
      <c r="Q1602" s="2">
        <v>3336</v>
      </c>
      <c r="R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 s="1">
        <v>42382</v>
      </c>
      <c r="AC1602" t="s">
        <v>53</v>
      </c>
      <c r="AD1602" t="s">
        <v>53</v>
      </c>
      <c r="AK1602">
        <v>0</v>
      </c>
      <c r="AU1602" s="6">
        <v>42255</v>
      </c>
      <c r="AV1602" s="6">
        <v>42255</v>
      </c>
      <c r="AW1602" t="s">
        <v>54</v>
      </c>
      <c r="AX1602" t="str">
        <f t="shared" si="123"/>
        <v>FOR</v>
      </c>
      <c r="AY1602" t="s">
        <v>55</v>
      </c>
    </row>
    <row r="1603" spans="1:51" hidden="1">
      <c r="A1603">
        <v>100360</v>
      </c>
      <c r="B1603" t="s">
        <v>131</v>
      </c>
      <c r="C1603" t="str">
        <f t="shared" si="126"/>
        <v>00076810621</v>
      </c>
      <c r="D1603" t="str">
        <f t="shared" si="126"/>
        <v>00076810621</v>
      </c>
      <c r="E1603" t="s">
        <v>52</v>
      </c>
      <c r="F1603">
        <v>2014</v>
      </c>
      <c r="G1603">
        <v>103222</v>
      </c>
      <c r="H1603" s="1">
        <v>41940</v>
      </c>
      <c r="I1603" s="1">
        <v>41995</v>
      </c>
      <c r="J1603" s="1">
        <v>41995</v>
      </c>
      <c r="K1603" s="1">
        <v>42055</v>
      </c>
      <c r="N1603" s="5"/>
      <c r="O1603">
        <v>26.25</v>
      </c>
      <c r="P1603">
        <v>200</v>
      </c>
      <c r="Q1603" s="2">
        <v>5250</v>
      </c>
      <c r="R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 s="1">
        <v>42382</v>
      </c>
      <c r="AC1603" t="s">
        <v>53</v>
      </c>
      <c r="AD1603" t="s">
        <v>53</v>
      </c>
      <c r="AK1603">
        <v>0</v>
      </c>
      <c r="AU1603" s="6">
        <v>42255</v>
      </c>
      <c r="AV1603" s="6">
        <v>42255</v>
      </c>
      <c r="AW1603" t="s">
        <v>54</v>
      </c>
      <c r="AX1603" t="str">
        <f t="shared" ref="AX1603:AX1666" si="127">"FOR"</f>
        <v>FOR</v>
      </c>
      <c r="AY1603" t="s">
        <v>55</v>
      </c>
    </row>
    <row r="1604" spans="1:51" hidden="1">
      <c r="A1604">
        <v>100360</v>
      </c>
      <c r="B1604" t="s">
        <v>131</v>
      </c>
      <c r="C1604" t="str">
        <f t="shared" si="126"/>
        <v>00076810621</v>
      </c>
      <c r="D1604" t="str">
        <f t="shared" si="126"/>
        <v>00076810621</v>
      </c>
      <c r="E1604" t="s">
        <v>52</v>
      </c>
      <c r="F1604">
        <v>2014</v>
      </c>
      <c r="G1604">
        <v>103634</v>
      </c>
      <c r="H1604" s="1">
        <v>41941</v>
      </c>
      <c r="I1604" s="1">
        <v>41995</v>
      </c>
      <c r="J1604" s="1">
        <v>41995</v>
      </c>
      <c r="K1604" s="1">
        <v>42055</v>
      </c>
      <c r="N1604" s="5"/>
      <c r="O1604">
        <v>10.15</v>
      </c>
      <c r="P1604">
        <v>200</v>
      </c>
      <c r="Q1604" s="2">
        <v>2030</v>
      </c>
      <c r="R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 s="1">
        <v>42382</v>
      </c>
      <c r="AC1604" t="s">
        <v>53</v>
      </c>
      <c r="AD1604" t="s">
        <v>53</v>
      </c>
      <c r="AK1604">
        <v>0</v>
      </c>
      <c r="AU1604" s="6">
        <v>42255</v>
      </c>
      <c r="AV1604" s="6">
        <v>42255</v>
      </c>
      <c r="AW1604" t="s">
        <v>54</v>
      </c>
      <c r="AX1604" t="str">
        <f t="shared" si="127"/>
        <v>FOR</v>
      </c>
      <c r="AY1604" t="s">
        <v>55</v>
      </c>
    </row>
    <row r="1605" spans="1:51" hidden="1">
      <c r="A1605">
        <v>100360</v>
      </c>
      <c r="B1605" t="s">
        <v>131</v>
      </c>
      <c r="C1605" t="str">
        <f t="shared" si="126"/>
        <v>00076810621</v>
      </c>
      <c r="D1605" t="str">
        <f t="shared" si="126"/>
        <v>00076810621</v>
      </c>
      <c r="E1605" t="s">
        <v>52</v>
      </c>
      <c r="F1605">
        <v>2014</v>
      </c>
      <c r="G1605">
        <v>105379</v>
      </c>
      <c r="H1605" s="1">
        <v>41947</v>
      </c>
      <c r="I1605" s="1">
        <v>41995</v>
      </c>
      <c r="J1605" s="1">
        <v>41995</v>
      </c>
      <c r="K1605" s="1">
        <v>42055</v>
      </c>
      <c r="N1605" s="5"/>
      <c r="O1605">
        <v>73.06</v>
      </c>
      <c r="P1605">
        <v>200</v>
      </c>
      <c r="Q1605" s="2">
        <v>14612</v>
      </c>
      <c r="R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 s="1">
        <v>42382</v>
      </c>
      <c r="AC1605" t="s">
        <v>53</v>
      </c>
      <c r="AD1605" t="s">
        <v>53</v>
      </c>
      <c r="AK1605">
        <v>0</v>
      </c>
      <c r="AU1605" s="6">
        <v>42255</v>
      </c>
      <c r="AV1605" s="6">
        <v>42255</v>
      </c>
      <c r="AW1605" t="s">
        <v>54</v>
      </c>
      <c r="AX1605" t="str">
        <f t="shared" si="127"/>
        <v>FOR</v>
      </c>
      <c r="AY1605" t="s">
        <v>55</v>
      </c>
    </row>
    <row r="1606" spans="1:51" hidden="1">
      <c r="A1606">
        <v>100360</v>
      </c>
      <c r="B1606" t="s">
        <v>131</v>
      </c>
      <c r="C1606" t="str">
        <f t="shared" si="126"/>
        <v>00076810621</v>
      </c>
      <c r="D1606" t="str">
        <f t="shared" si="126"/>
        <v>00076810621</v>
      </c>
      <c r="E1606" t="s">
        <v>52</v>
      </c>
      <c r="F1606">
        <v>2014</v>
      </c>
      <c r="G1606">
        <v>105631</v>
      </c>
      <c r="H1606" s="1">
        <v>41948</v>
      </c>
      <c r="I1606" s="1">
        <v>41995</v>
      </c>
      <c r="J1606" s="1">
        <v>41995</v>
      </c>
      <c r="K1606" s="1">
        <v>42055</v>
      </c>
      <c r="N1606" s="5"/>
      <c r="O1606">
        <v>5.23</v>
      </c>
      <c r="P1606">
        <v>200</v>
      </c>
      <c r="Q1606" s="2">
        <v>1046</v>
      </c>
      <c r="R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 s="1">
        <v>42382</v>
      </c>
      <c r="AC1606" t="s">
        <v>53</v>
      </c>
      <c r="AD1606" t="s">
        <v>53</v>
      </c>
      <c r="AK1606">
        <v>0</v>
      </c>
      <c r="AU1606" s="6">
        <v>42255</v>
      </c>
      <c r="AV1606" s="6">
        <v>42255</v>
      </c>
      <c r="AW1606" t="s">
        <v>54</v>
      </c>
      <c r="AX1606" t="str">
        <f t="shared" si="127"/>
        <v>FOR</v>
      </c>
      <c r="AY1606" t="s">
        <v>55</v>
      </c>
    </row>
    <row r="1607" spans="1:51" hidden="1">
      <c r="A1607">
        <v>100360</v>
      </c>
      <c r="B1607" t="s">
        <v>131</v>
      </c>
      <c r="C1607" t="str">
        <f t="shared" si="126"/>
        <v>00076810621</v>
      </c>
      <c r="D1607" t="str">
        <f t="shared" si="126"/>
        <v>00076810621</v>
      </c>
      <c r="E1607" t="s">
        <v>52</v>
      </c>
      <c r="F1607">
        <v>2014</v>
      </c>
      <c r="G1607">
        <v>105816</v>
      </c>
      <c r="H1607" s="1">
        <v>41948</v>
      </c>
      <c r="I1607" s="1">
        <v>41995</v>
      </c>
      <c r="J1607" s="1">
        <v>41995</v>
      </c>
      <c r="K1607" s="1">
        <v>42055</v>
      </c>
      <c r="N1607" s="5"/>
      <c r="O1607">
        <v>3.2</v>
      </c>
      <c r="P1607">
        <v>200</v>
      </c>
      <c r="Q1607">
        <v>640</v>
      </c>
      <c r="R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 s="1">
        <v>42382</v>
      </c>
      <c r="AC1607" t="s">
        <v>53</v>
      </c>
      <c r="AD1607" t="s">
        <v>53</v>
      </c>
      <c r="AK1607">
        <v>0</v>
      </c>
      <c r="AU1607" s="6">
        <v>42255</v>
      </c>
      <c r="AV1607" s="6">
        <v>42255</v>
      </c>
      <c r="AW1607" t="s">
        <v>54</v>
      </c>
      <c r="AX1607" t="str">
        <f t="shared" si="127"/>
        <v>FOR</v>
      </c>
      <c r="AY1607" t="s">
        <v>55</v>
      </c>
    </row>
    <row r="1608" spans="1:51" hidden="1">
      <c r="A1608">
        <v>100360</v>
      </c>
      <c r="B1608" t="s">
        <v>131</v>
      </c>
      <c r="C1608" t="str">
        <f t="shared" ref="C1608:D1627" si="128">"00076810621"</f>
        <v>00076810621</v>
      </c>
      <c r="D1608" t="str">
        <f t="shared" si="128"/>
        <v>00076810621</v>
      </c>
      <c r="E1608" t="s">
        <v>52</v>
      </c>
      <c r="F1608">
        <v>2014</v>
      </c>
      <c r="G1608">
        <v>106227</v>
      </c>
      <c r="H1608" s="1">
        <v>41949</v>
      </c>
      <c r="I1608" s="1">
        <v>41995</v>
      </c>
      <c r="J1608" s="1">
        <v>41995</v>
      </c>
      <c r="K1608" s="1">
        <v>42055</v>
      </c>
      <c r="N1608" s="5"/>
      <c r="O1608">
        <v>34.22</v>
      </c>
      <c r="P1608">
        <v>200</v>
      </c>
      <c r="Q1608" s="2">
        <v>6844</v>
      </c>
      <c r="R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 s="1">
        <v>42382</v>
      </c>
      <c r="AC1608" t="s">
        <v>53</v>
      </c>
      <c r="AD1608" t="s">
        <v>53</v>
      </c>
      <c r="AK1608">
        <v>0</v>
      </c>
      <c r="AU1608" s="6">
        <v>42255</v>
      </c>
      <c r="AV1608" s="6">
        <v>42255</v>
      </c>
      <c r="AW1608" t="s">
        <v>54</v>
      </c>
      <c r="AX1608" t="str">
        <f t="shared" si="127"/>
        <v>FOR</v>
      </c>
      <c r="AY1608" t="s">
        <v>55</v>
      </c>
    </row>
    <row r="1609" spans="1:51" hidden="1">
      <c r="A1609">
        <v>100360</v>
      </c>
      <c r="B1609" t="s">
        <v>131</v>
      </c>
      <c r="C1609" t="str">
        <f t="shared" si="128"/>
        <v>00076810621</v>
      </c>
      <c r="D1609" t="str">
        <f t="shared" si="128"/>
        <v>00076810621</v>
      </c>
      <c r="E1609" t="s">
        <v>52</v>
      </c>
      <c r="F1609">
        <v>2014</v>
      </c>
      <c r="G1609">
        <v>106654</v>
      </c>
      <c r="H1609" s="1">
        <v>41950</v>
      </c>
      <c r="I1609" s="1">
        <v>41995</v>
      </c>
      <c r="J1609" s="1">
        <v>41995</v>
      </c>
      <c r="K1609" s="1">
        <v>42055</v>
      </c>
      <c r="N1609" s="5"/>
      <c r="O1609">
        <v>57.4</v>
      </c>
      <c r="P1609">
        <v>200</v>
      </c>
      <c r="Q1609" s="2">
        <v>11480</v>
      </c>
      <c r="R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 s="1">
        <v>42382</v>
      </c>
      <c r="AC1609" t="s">
        <v>53</v>
      </c>
      <c r="AD1609" t="s">
        <v>53</v>
      </c>
      <c r="AK1609">
        <v>0</v>
      </c>
      <c r="AU1609" s="6">
        <v>42255</v>
      </c>
      <c r="AV1609" s="6">
        <v>42255</v>
      </c>
      <c r="AW1609" t="s">
        <v>54</v>
      </c>
      <c r="AX1609" t="str">
        <f t="shared" si="127"/>
        <v>FOR</v>
      </c>
      <c r="AY1609" t="s">
        <v>55</v>
      </c>
    </row>
    <row r="1610" spans="1:51" hidden="1">
      <c r="A1610">
        <v>100360</v>
      </c>
      <c r="B1610" t="s">
        <v>131</v>
      </c>
      <c r="C1610" t="str">
        <f t="shared" si="128"/>
        <v>00076810621</v>
      </c>
      <c r="D1610" t="str">
        <f t="shared" si="128"/>
        <v>00076810621</v>
      </c>
      <c r="E1610" t="s">
        <v>52</v>
      </c>
      <c r="F1610">
        <v>2014</v>
      </c>
      <c r="G1610">
        <v>106860</v>
      </c>
      <c r="H1610" s="1">
        <v>41951</v>
      </c>
      <c r="I1610" s="1">
        <v>41995</v>
      </c>
      <c r="J1610" s="1">
        <v>41995</v>
      </c>
      <c r="K1610" s="1">
        <v>42055</v>
      </c>
      <c r="N1610" s="5"/>
      <c r="O1610">
        <v>47.88</v>
      </c>
      <c r="P1610">
        <v>200</v>
      </c>
      <c r="Q1610" s="2">
        <v>9576</v>
      </c>
      <c r="R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 s="1">
        <v>42382</v>
      </c>
      <c r="AC1610" t="s">
        <v>53</v>
      </c>
      <c r="AD1610" t="s">
        <v>53</v>
      </c>
      <c r="AK1610">
        <v>0</v>
      </c>
      <c r="AU1610" s="6">
        <v>42255</v>
      </c>
      <c r="AV1610" s="6">
        <v>42255</v>
      </c>
      <c r="AW1610" t="s">
        <v>54</v>
      </c>
      <c r="AX1610" t="str">
        <f t="shared" si="127"/>
        <v>FOR</v>
      </c>
      <c r="AY1610" t="s">
        <v>55</v>
      </c>
    </row>
    <row r="1611" spans="1:51" hidden="1">
      <c r="A1611">
        <v>100360</v>
      </c>
      <c r="B1611" t="s">
        <v>131</v>
      </c>
      <c r="C1611" t="str">
        <f t="shared" si="128"/>
        <v>00076810621</v>
      </c>
      <c r="D1611" t="str">
        <f t="shared" si="128"/>
        <v>00076810621</v>
      </c>
      <c r="E1611" t="s">
        <v>52</v>
      </c>
      <c r="F1611">
        <v>2014</v>
      </c>
      <c r="G1611">
        <v>106879</v>
      </c>
      <c r="H1611" s="1">
        <v>41951</v>
      </c>
      <c r="I1611" s="1">
        <v>41995</v>
      </c>
      <c r="J1611" s="1">
        <v>41995</v>
      </c>
      <c r="K1611" s="1">
        <v>42055</v>
      </c>
      <c r="N1611" s="5"/>
      <c r="O1611">
        <v>47.88</v>
      </c>
      <c r="P1611">
        <v>200</v>
      </c>
      <c r="Q1611" s="2">
        <v>9576</v>
      </c>
      <c r="R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 s="1">
        <v>42382</v>
      </c>
      <c r="AC1611" t="s">
        <v>53</v>
      </c>
      <c r="AD1611" t="s">
        <v>53</v>
      </c>
      <c r="AK1611">
        <v>0</v>
      </c>
      <c r="AU1611" s="6">
        <v>42255</v>
      </c>
      <c r="AV1611" s="6">
        <v>42255</v>
      </c>
      <c r="AW1611" t="s">
        <v>54</v>
      </c>
      <c r="AX1611" t="str">
        <f t="shared" si="127"/>
        <v>FOR</v>
      </c>
      <c r="AY1611" t="s">
        <v>55</v>
      </c>
    </row>
    <row r="1612" spans="1:51" hidden="1">
      <c r="A1612">
        <v>100360</v>
      </c>
      <c r="B1612" t="s">
        <v>131</v>
      </c>
      <c r="C1612" t="str">
        <f t="shared" si="128"/>
        <v>00076810621</v>
      </c>
      <c r="D1612" t="str">
        <f t="shared" si="128"/>
        <v>00076810621</v>
      </c>
      <c r="E1612" t="s">
        <v>52</v>
      </c>
      <c r="F1612">
        <v>2014</v>
      </c>
      <c r="G1612">
        <v>107318</v>
      </c>
      <c r="H1612" s="1">
        <v>41953</v>
      </c>
      <c r="I1612" s="1">
        <v>41995</v>
      </c>
      <c r="J1612" s="1">
        <v>41995</v>
      </c>
      <c r="K1612" s="1">
        <v>42055</v>
      </c>
      <c r="N1612" s="5"/>
      <c r="O1612">
        <v>26.25</v>
      </c>
      <c r="P1612">
        <v>200</v>
      </c>
      <c r="Q1612" s="2">
        <v>5250</v>
      </c>
      <c r="R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 s="1">
        <v>42382</v>
      </c>
      <c r="AC1612" t="s">
        <v>53</v>
      </c>
      <c r="AD1612" t="s">
        <v>53</v>
      </c>
      <c r="AK1612">
        <v>0</v>
      </c>
      <c r="AU1612" s="6">
        <v>42255</v>
      </c>
      <c r="AV1612" s="6">
        <v>42255</v>
      </c>
      <c r="AW1612" t="s">
        <v>54</v>
      </c>
      <c r="AX1612" t="str">
        <f t="shared" si="127"/>
        <v>FOR</v>
      </c>
      <c r="AY1612" t="s">
        <v>55</v>
      </c>
    </row>
    <row r="1613" spans="1:51" hidden="1">
      <c r="A1613">
        <v>100360</v>
      </c>
      <c r="B1613" t="s">
        <v>131</v>
      </c>
      <c r="C1613" t="str">
        <f t="shared" si="128"/>
        <v>00076810621</v>
      </c>
      <c r="D1613" t="str">
        <f t="shared" si="128"/>
        <v>00076810621</v>
      </c>
      <c r="E1613" t="s">
        <v>52</v>
      </c>
      <c r="F1613">
        <v>2014</v>
      </c>
      <c r="G1613">
        <v>107794</v>
      </c>
      <c r="H1613" s="1">
        <v>41954</v>
      </c>
      <c r="I1613" s="1">
        <v>41995</v>
      </c>
      <c r="J1613" s="1">
        <v>41995</v>
      </c>
      <c r="K1613" s="1">
        <v>42055</v>
      </c>
      <c r="N1613" s="5"/>
      <c r="O1613">
        <v>32.65</v>
      </c>
      <c r="P1613">
        <v>200</v>
      </c>
      <c r="Q1613" s="2">
        <v>6530</v>
      </c>
      <c r="R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 s="1">
        <v>42382</v>
      </c>
      <c r="AC1613" t="s">
        <v>53</v>
      </c>
      <c r="AD1613" t="s">
        <v>53</v>
      </c>
      <c r="AK1613">
        <v>0</v>
      </c>
      <c r="AU1613" s="6">
        <v>42255</v>
      </c>
      <c r="AV1613" s="6">
        <v>42255</v>
      </c>
      <c r="AW1613" t="s">
        <v>54</v>
      </c>
      <c r="AX1613" t="str">
        <f t="shared" si="127"/>
        <v>FOR</v>
      </c>
      <c r="AY1613" t="s">
        <v>55</v>
      </c>
    </row>
    <row r="1614" spans="1:51" hidden="1">
      <c r="A1614">
        <v>100360</v>
      </c>
      <c r="B1614" t="s">
        <v>131</v>
      </c>
      <c r="C1614" t="str">
        <f t="shared" si="128"/>
        <v>00076810621</v>
      </c>
      <c r="D1614" t="str">
        <f t="shared" si="128"/>
        <v>00076810621</v>
      </c>
      <c r="E1614" t="s">
        <v>52</v>
      </c>
      <c r="F1614">
        <v>2014</v>
      </c>
      <c r="G1614">
        <v>108225</v>
      </c>
      <c r="H1614" s="1">
        <v>41955</v>
      </c>
      <c r="I1614" s="1">
        <v>41995</v>
      </c>
      <c r="J1614" s="1">
        <v>41995</v>
      </c>
      <c r="K1614" s="1">
        <v>42055</v>
      </c>
      <c r="N1614" s="5"/>
      <c r="O1614">
        <v>26.25</v>
      </c>
      <c r="P1614">
        <v>200</v>
      </c>
      <c r="Q1614" s="2">
        <v>5250</v>
      </c>
      <c r="R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 s="1">
        <v>42382</v>
      </c>
      <c r="AC1614" t="s">
        <v>53</v>
      </c>
      <c r="AD1614" t="s">
        <v>53</v>
      </c>
      <c r="AK1614">
        <v>0</v>
      </c>
      <c r="AU1614" s="6">
        <v>42255</v>
      </c>
      <c r="AV1614" s="6">
        <v>42255</v>
      </c>
      <c r="AW1614" t="s">
        <v>54</v>
      </c>
      <c r="AX1614" t="str">
        <f t="shared" si="127"/>
        <v>FOR</v>
      </c>
      <c r="AY1614" t="s">
        <v>55</v>
      </c>
    </row>
    <row r="1615" spans="1:51" hidden="1">
      <c r="A1615">
        <v>100360</v>
      </c>
      <c r="B1615" t="s">
        <v>131</v>
      </c>
      <c r="C1615" t="str">
        <f t="shared" si="128"/>
        <v>00076810621</v>
      </c>
      <c r="D1615" t="str">
        <f t="shared" si="128"/>
        <v>00076810621</v>
      </c>
      <c r="E1615" t="s">
        <v>52</v>
      </c>
      <c r="F1615">
        <v>2014</v>
      </c>
      <c r="G1615">
        <v>108653</v>
      </c>
      <c r="H1615" s="1">
        <v>41956</v>
      </c>
      <c r="I1615" s="1">
        <v>41995</v>
      </c>
      <c r="J1615" s="1">
        <v>41995</v>
      </c>
      <c r="K1615" s="1">
        <v>42055</v>
      </c>
      <c r="N1615" s="5"/>
      <c r="O1615">
        <v>57.85</v>
      </c>
      <c r="P1615">
        <v>200</v>
      </c>
      <c r="Q1615" s="2">
        <v>11570</v>
      </c>
      <c r="R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 s="1">
        <v>42382</v>
      </c>
      <c r="AC1615" t="s">
        <v>53</v>
      </c>
      <c r="AD1615" t="s">
        <v>53</v>
      </c>
      <c r="AK1615">
        <v>0</v>
      </c>
      <c r="AU1615" s="6">
        <v>42255</v>
      </c>
      <c r="AV1615" s="6">
        <v>42255</v>
      </c>
      <c r="AW1615" t="s">
        <v>54</v>
      </c>
      <c r="AX1615" t="str">
        <f t="shared" si="127"/>
        <v>FOR</v>
      </c>
      <c r="AY1615" t="s">
        <v>55</v>
      </c>
    </row>
    <row r="1616" spans="1:51" hidden="1">
      <c r="A1616">
        <v>100360</v>
      </c>
      <c r="B1616" t="s">
        <v>131</v>
      </c>
      <c r="C1616" t="str">
        <f t="shared" si="128"/>
        <v>00076810621</v>
      </c>
      <c r="D1616" t="str">
        <f t="shared" si="128"/>
        <v>00076810621</v>
      </c>
      <c r="E1616" t="s">
        <v>52</v>
      </c>
      <c r="F1616">
        <v>2014</v>
      </c>
      <c r="G1616">
        <v>109291</v>
      </c>
      <c r="H1616" s="1">
        <v>41958</v>
      </c>
      <c r="I1616" s="1">
        <v>42002</v>
      </c>
      <c r="J1616" s="1">
        <v>42002</v>
      </c>
      <c r="K1616" s="1">
        <v>42062</v>
      </c>
      <c r="N1616" s="5"/>
      <c r="O1616">
        <v>5.5</v>
      </c>
      <c r="P1616">
        <v>193</v>
      </c>
      <c r="Q1616" s="2">
        <v>1061.5</v>
      </c>
      <c r="R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 s="1">
        <v>42382</v>
      </c>
      <c r="AC1616" t="s">
        <v>53</v>
      </c>
      <c r="AD1616" t="s">
        <v>53</v>
      </c>
      <c r="AK1616">
        <v>0</v>
      </c>
      <c r="AU1616" s="6">
        <v>42255</v>
      </c>
      <c r="AV1616" s="6">
        <v>42255</v>
      </c>
      <c r="AW1616" t="s">
        <v>54</v>
      </c>
      <c r="AX1616" t="str">
        <f t="shared" si="127"/>
        <v>FOR</v>
      </c>
      <c r="AY1616" t="s">
        <v>55</v>
      </c>
    </row>
    <row r="1617" spans="1:51" hidden="1">
      <c r="A1617">
        <v>100360</v>
      </c>
      <c r="B1617" t="s">
        <v>131</v>
      </c>
      <c r="C1617" t="str">
        <f t="shared" si="128"/>
        <v>00076810621</v>
      </c>
      <c r="D1617" t="str">
        <f t="shared" si="128"/>
        <v>00076810621</v>
      </c>
      <c r="E1617" t="s">
        <v>52</v>
      </c>
      <c r="F1617">
        <v>2014</v>
      </c>
      <c r="G1617">
        <v>109299</v>
      </c>
      <c r="H1617" s="1">
        <v>41958</v>
      </c>
      <c r="I1617" s="1">
        <v>42002</v>
      </c>
      <c r="J1617" s="1">
        <v>42002</v>
      </c>
      <c r="K1617" s="1">
        <v>42062</v>
      </c>
      <c r="N1617" s="5"/>
      <c r="O1617">
        <v>37.770000000000003</v>
      </c>
      <c r="P1617">
        <v>193</v>
      </c>
      <c r="Q1617" s="2">
        <v>7289.61</v>
      </c>
      <c r="R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 s="1">
        <v>42382</v>
      </c>
      <c r="AC1617" t="s">
        <v>53</v>
      </c>
      <c r="AD1617" t="s">
        <v>53</v>
      </c>
      <c r="AK1617">
        <v>0</v>
      </c>
      <c r="AU1617" s="6">
        <v>42255</v>
      </c>
      <c r="AV1617" s="6">
        <v>42255</v>
      </c>
      <c r="AW1617" t="s">
        <v>54</v>
      </c>
      <c r="AX1617" t="str">
        <f t="shared" si="127"/>
        <v>FOR</v>
      </c>
      <c r="AY1617" t="s">
        <v>55</v>
      </c>
    </row>
    <row r="1618" spans="1:51" hidden="1">
      <c r="A1618">
        <v>100360</v>
      </c>
      <c r="B1618" t="s">
        <v>131</v>
      </c>
      <c r="C1618" t="str">
        <f t="shared" si="128"/>
        <v>00076810621</v>
      </c>
      <c r="D1618" t="str">
        <f t="shared" si="128"/>
        <v>00076810621</v>
      </c>
      <c r="E1618" t="s">
        <v>52</v>
      </c>
      <c r="F1618">
        <v>2014</v>
      </c>
      <c r="G1618">
        <v>109743</v>
      </c>
      <c r="H1618" s="1">
        <v>41960</v>
      </c>
      <c r="I1618" s="1">
        <v>41995</v>
      </c>
      <c r="J1618" s="1">
        <v>41995</v>
      </c>
      <c r="K1618" s="1">
        <v>42055</v>
      </c>
      <c r="N1618" s="5"/>
      <c r="O1618">
        <v>8.7799999999999994</v>
      </c>
      <c r="P1618">
        <v>200</v>
      </c>
      <c r="Q1618" s="2">
        <v>1756</v>
      </c>
      <c r="R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 s="1">
        <v>42382</v>
      </c>
      <c r="AC1618" t="s">
        <v>53</v>
      </c>
      <c r="AD1618" t="s">
        <v>53</v>
      </c>
      <c r="AK1618">
        <v>0</v>
      </c>
      <c r="AU1618" s="6">
        <v>42255</v>
      </c>
      <c r="AV1618" s="6">
        <v>42255</v>
      </c>
      <c r="AW1618" t="s">
        <v>54</v>
      </c>
      <c r="AX1618" t="str">
        <f t="shared" si="127"/>
        <v>FOR</v>
      </c>
      <c r="AY1618" t="s">
        <v>55</v>
      </c>
    </row>
    <row r="1619" spans="1:51" hidden="1">
      <c r="A1619">
        <v>100360</v>
      </c>
      <c r="B1619" t="s">
        <v>131</v>
      </c>
      <c r="C1619" t="str">
        <f t="shared" si="128"/>
        <v>00076810621</v>
      </c>
      <c r="D1619" t="str">
        <f t="shared" si="128"/>
        <v>00076810621</v>
      </c>
      <c r="E1619" t="s">
        <v>52</v>
      </c>
      <c r="F1619">
        <v>2014</v>
      </c>
      <c r="G1619">
        <v>109765</v>
      </c>
      <c r="H1619" s="1">
        <v>41960</v>
      </c>
      <c r="I1619" s="1">
        <v>41995</v>
      </c>
      <c r="J1619" s="1">
        <v>41995</v>
      </c>
      <c r="K1619" s="1">
        <v>42055</v>
      </c>
      <c r="N1619" s="5"/>
      <c r="O1619">
        <v>9.58</v>
      </c>
      <c r="P1619">
        <v>200</v>
      </c>
      <c r="Q1619" s="2">
        <v>1916</v>
      </c>
      <c r="R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 s="1">
        <v>42382</v>
      </c>
      <c r="AC1619" t="s">
        <v>53</v>
      </c>
      <c r="AD1619" t="s">
        <v>53</v>
      </c>
      <c r="AK1619">
        <v>0</v>
      </c>
      <c r="AU1619" s="6">
        <v>42255</v>
      </c>
      <c r="AV1619" s="6">
        <v>42255</v>
      </c>
      <c r="AW1619" t="s">
        <v>54</v>
      </c>
      <c r="AX1619" t="str">
        <f t="shared" si="127"/>
        <v>FOR</v>
      </c>
      <c r="AY1619" t="s">
        <v>55</v>
      </c>
    </row>
    <row r="1620" spans="1:51" hidden="1">
      <c r="A1620">
        <v>100360</v>
      </c>
      <c r="B1620" t="s">
        <v>131</v>
      </c>
      <c r="C1620" t="str">
        <f t="shared" si="128"/>
        <v>00076810621</v>
      </c>
      <c r="D1620" t="str">
        <f t="shared" si="128"/>
        <v>00076810621</v>
      </c>
      <c r="E1620" t="s">
        <v>52</v>
      </c>
      <c r="F1620">
        <v>2014</v>
      </c>
      <c r="G1620">
        <v>110193</v>
      </c>
      <c r="H1620" s="1">
        <v>41961</v>
      </c>
      <c r="I1620" s="1">
        <v>41995</v>
      </c>
      <c r="J1620" s="1">
        <v>41995</v>
      </c>
      <c r="K1620" s="1">
        <v>42055</v>
      </c>
      <c r="N1620" s="5"/>
      <c r="O1620">
        <v>9.4700000000000006</v>
      </c>
      <c r="P1620">
        <v>200</v>
      </c>
      <c r="Q1620" s="2">
        <v>1894</v>
      </c>
      <c r="R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 s="1">
        <v>42382</v>
      </c>
      <c r="AC1620" t="s">
        <v>53</v>
      </c>
      <c r="AD1620" t="s">
        <v>53</v>
      </c>
      <c r="AK1620">
        <v>0</v>
      </c>
      <c r="AU1620" s="6">
        <v>42255</v>
      </c>
      <c r="AV1620" s="6">
        <v>42255</v>
      </c>
      <c r="AW1620" t="s">
        <v>54</v>
      </c>
      <c r="AX1620" t="str">
        <f t="shared" si="127"/>
        <v>FOR</v>
      </c>
      <c r="AY1620" t="s">
        <v>55</v>
      </c>
    </row>
    <row r="1621" spans="1:51" hidden="1">
      <c r="A1621">
        <v>100360</v>
      </c>
      <c r="B1621" t="s">
        <v>131</v>
      </c>
      <c r="C1621" t="str">
        <f t="shared" si="128"/>
        <v>00076810621</v>
      </c>
      <c r="D1621" t="str">
        <f t="shared" si="128"/>
        <v>00076810621</v>
      </c>
      <c r="E1621" t="s">
        <v>52</v>
      </c>
      <c r="F1621">
        <v>2014</v>
      </c>
      <c r="G1621">
        <v>110389</v>
      </c>
      <c r="H1621" s="1">
        <v>41962</v>
      </c>
      <c r="I1621" s="1">
        <v>41995</v>
      </c>
      <c r="J1621" s="1">
        <v>41995</v>
      </c>
      <c r="K1621" s="1">
        <v>42055</v>
      </c>
      <c r="N1621" s="5"/>
      <c r="O1621">
        <v>20.46</v>
      </c>
      <c r="P1621">
        <v>200</v>
      </c>
      <c r="Q1621" s="2">
        <v>4092</v>
      </c>
      <c r="R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 s="1">
        <v>42382</v>
      </c>
      <c r="AC1621" t="s">
        <v>53</v>
      </c>
      <c r="AD1621" t="s">
        <v>53</v>
      </c>
      <c r="AK1621">
        <v>0</v>
      </c>
      <c r="AU1621" s="6">
        <v>42255</v>
      </c>
      <c r="AV1621" s="6">
        <v>42255</v>
      </c>
      <c r="AW1621" t="s">
        <v>54</v>
      </c>
      <c r="AX1621" t="str">
        <f t="shared" si="127"/>
        <v>FOR</v>
      </c>
      <c r="AY1621" t="s">
        <v>55</v>
      </c>
    </row>
    <row r="1622" spans="1:51" hidden="1">
      <c r="A1622">
        <v>100360</v>
      </c>
      <c r="B1622" t="s">
        <v>131</v>
      </c>
      <c r="C1622" t="str">
        <f t="shared" si="128"/>
        <v>00076810621</v>
      </c>
      <c r="D1622" t="str">
        <f t="shared" si="128"/>
        <v>00076810621</v>
      </c>
      <c r="E1622" t="s">
        <v>52</v>
      </c>
      <c r="F1622">
        <v>2014</v>
      </c>
      <c r="G1622">
        <v>111011</v>
      </c>
      <c r="H1622" s="1">
        <v>41963</v>
      </c>
      <c r="I1622" s="1">
        <v>41995</v>
      </c>
      <c r="J1622" s="1">
        <v>41995</v>
      </c>
      <c r="K1622" s="1">
        <v>42055</v>
      </c>
      <c r="N1622" s="5"/>
      <c r="O1622">
        <v>13.06</v>
      </c>
      <c r="P1622">
        <v>200</v>
      </c>
      <c r="Q1622" s="2">
        <v>2612</v>
      </c>
      <c r="R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 s="1">
        <v>42382</v>
      </c>
      <c r="AC1622" t="s">
        <v>53</v>
      </c>
      <c r="AD1622" t="s">
        <v>53</v>
      </c>
      <c r="AK1622">
        <v>0</v>
      </c>
      <c r="AU1622" s="6">
        <v>42255</v>
      </c>
      <c r="AV1622" s="6">
        <v>42255</v>
      </c>
      <c r="AW1622" t="s">
        <v>54</v>
      </c>
      <c r="AX1622" t="str">
        <f t="shared" si="127"/>
        <v>FOR</v>
      </c>
      <c r="AY1622" t="s">
        <v>55</v>
      </c>
    </row>
    <row r="1623" spans="1:51" hidden="1">
      <c r="A1623">
        <v>100360</v>
      </c>
      <c r="B1623" t="s">
        <v>131</v>
      </c>
      <c r="C1623" t="str">
        <f t="shared" si="128"/>
        <v>00076810621</v>
      </c>
      <c r="D1623" t="str">
        <f t="shared" si="128"/>
        <v>00076810621</v>
      </c>
      <c r="E1623" t="s">
        <v>52</v>
      </c>
      <c r="F1623">
        <v>2014</v>
      </c>
      <c r="G1623">
        <v>111226</v>
      </c>
      <c r="H1623" s="1">
        <v>41964</v>
      </c>
      <c r="I1623" s="1">
        <v>41995</v>
      </c>
      <c r="J1623" s="1">
        <v>41995</v>
      </c>
      <c r="K1623" s="1">
        <v>42055</v>
      </c>
      <c r="N1623" s="5"/>
      <c r="O1623">
        <v>55.17</v>
      </c>
      <c r="P1623">
        <v>200</v>
      </c>
      <c r="Q1623" s="2">
        <v>11034</v>
      </c>
      <c r="R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 s="1">
        <v>42382</v>
      </c>
      <c r="AC1623" t="s">
        <v>53</v>
      </c>
      <c r="AD1623" t="s">
        <v>53</v>
      </c>
      <c r="AK1623">
        <v>0</v>
      </c>
      <c r="AU1623" s="6">
        <v>42255</v>
      </c>
      <c r="AV1623" s="6">
        <v>42255</v>
      </c>
      <c r="AW1623" t="s">
        <v>54</v>
      </c>
      <c r="AX1623" t="str">
        <f t="shared" si="127"/>
        <v>FOR</v>
      </c>
      <c r="AY1623" t="s">
        <v>55</v>
      </c>
    </row>
    <row r="1624" spans="1:51" hidden="1">
      <c r="A1624">
        <v>100360</v>
      </c>
      <c r="B1624" t="s">
        <v>131</v>
      </c>
      <c r="C1624" t="str">
        <f t="shared" si="128"/>
        <v>00076810621</v>
      </c>
      <c r="D1624" t="str">
        <f t="shared" si="128"/>
        <v>00076810621</v>
      </c>
      <c r="E1624" t="s">
        <v>52</v>
      </c>
      <c r="F1624">
        <v>2014</v>
      </c>
      <c r="G1624">
        <v>111605</v>
      </c>
      <c r="H1624" s="1">
        <v>41965</v>
      </c>
      <c r="I1624" s="1">
        <v>41995</v>
      </c>
      <c r="J1624" s="1">
        <v>41995</v>
      </c>
      <c r="K1624" s="1">
        <v>42055</v>
      </c>
      <c r="N1624" s="5"/>
      <c r="O1624">
        <v>19.239999999999998</v>
      </c>
      <c r="P1624">
        <v>200</v>
      </c>
      <c r="Q1624" s="2">
        <v>3848</v>
      </c>
      <c r="R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 s="1">
        <v>42382</v>
      </c>
      <c r="AC1624" t="s">
        <v>53</v>
      </c>
      <c r="AD1624" t="s">
        <v>53</v>
      </c>
      <c r="AK1624">
        <v>0</v>
      </c>
      <c r="AU1624" s="6">
        <v>42255</v>
      </c>
      <c r="AV1624" s="6">
        <v>42255</v>
      </c>
      <c r="AW1624" t="s">
        <v>54</v>
      </c>
      <c r="AX1624" t="str">
        <f t="shared" si="127"/>
        <v>FOR</v>
      </c>
      <c r="AY1624" t="s">
        <v>55</v>
      </c>
    </row>
    <row r="1625" spans="1:51" hidden="1">
      <c r="A1625">
        <v>100360</v>
      </c>
      <c r="B1625" t="s">
        <v>131</v>
      </c>
      <c r="C1625" t="str">
        <f t="shared" si="128"/>
        <v>00076810621</v>
      </c>
      <c r="D1625" t="str">
        <f t="shared" si="128"/>
        <v>00076810621</v>
      </c>
      <c r="E1625" t="s">
        <v>52</v>
      </c>
      <c r="F1625">
        <v>2014</v>
      </c>
      <c r="G1625">
        <v>112080</v>
      </c>
      <c r="H1625" s="1">
        <v>41967</v>
      </c>
      <c r="I1625" s="1">
        <v>41995</v>
      </c>
      <c r="J1625" s="1">
        <v>41995</v>
      </c>
      <c r="K1625" s="1">
        <v>42055</v>
      </c>
      <c r="N1625" s="5"/>
      <c r="O1625">
        <v>93.64</v>
      </c>
      <c r="P1625">
        <v>200</v>
      </c>
      <c r="Q1625" s="2">
        <v>18728</v>
      </c>
      <c r="R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 s="1">
        <v>42382</v>
      </c>
      <c r="AC1625" t="s">
        <v>53</v>
      </c>
      <c r="AD1625" t="s">
        <v>53</v>
      </c>
      <c r="AK1625">
        <v>0</v>
      </c>
      <c r="AU1625" s="6">
        <v>42255</v>
      </c>
      <c r="AV1625" s="6">
        <v>42255</v>
      </c>
      <c r="AW1625" t="s">
        <v>54</v>
      </c>
      <c r="AX1625" t="str">
        <f t="shared" si="127"/>
        <v>FOR</v>
      </c>
      <c r="AY1625" t="s">
        <v>55</v>
      </c>
    </row>
    <row r="1626" spans="1:51" hidden="1">
      <c r="A1626">
        <v>100360</v>
      </c>
      <c r="B1626" t="s">
        <v>131</v>
      </c>
      <c r="C1626" t="str">
        <f t="shared" si="128"/>
        <v>00076810621</v>
      </c>
      <c r="D1626" t="str">
        <f t="shared" si="128"/>
        <v>00076810621</v>
      </c>
      <c r="E1626" t="s">
        <v>52</v>
      </c>
      <c r="F1626">
        <v>2014</v>
      </c>
      <c r="G1626">
        <v>112513</v>
      </c>
      <c r="H1626" s="1">
        <v>41968</v>
      </c>
      <c r="I1626" s="1">
        <v>41995</v>
      </c>
      <c r="J1626" s="1">
        <v>41995</v>
      </c>
      <c r="K1626" s="1">
        <v>42055</v>
      </c>
      <c r="N1626" s="5"/>
      <c r="O1626">
        <v>41.86</v>
      </c>
      <c r="P1626">
        <v>200</v>
      </c>
      <c r="Q1626" s="2">
        <v>8372</v>
      </c>
      <c r="R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 s="1">
        <v>42382</v>
      </c>
      <c r="AC1626" t="s">
        <v>53</v>
      </c>
      <c r="AD1626" t="s">
        <v>53</v>
      </c>
      <c r="AK1626">
        <v>0</v>
      </c>
      <c r="AU1626" s="6">
        <v>42255</v>
      </c>
      <c r="AV1626" s="6">
        <v>42255</v>
      </c>
      <c r="AW1626" t="s">
        <v>54</v>
      </c>
      <c r="AX1626" t="str">
        <f t="shared" si="127"/>
        <v>FOR</v>
      </c>
      <c r="AY1626" t="s">
        <v>55</v>
      </c>
    </row>
    <row r="1627" spans="1:51" hidden="1">
      <c r="A1627">
        <v>100360</v>
      </c>
      <c r="B1627" t="s">
        <v>131</v>
      </c>
      <c r="C1627" t="str">
        <f t="shared" si="128"/>
        <v>00076810621</v>
      </c>
      <c r="D1627" t="str">
        <f t="shared" si="128"/>
        <v>00076810621</v>
      </c>
      <c r="E1627" t="s">
        <v>52</v>
      </c>
      <c r="F1627">
        <v>2014</v>
      </c>
      <c r="G1627">
        <v>112781</v>
      </c>
      <c r="H1627" s="1">
        <v>41969</v>
      </c>
      <c r="I1627" s="1">
        <v>41995</v>
      </c>
      <c r="J1627" s="1">
        <v>41995</v>
      </c>
      <c r="K1627" s="1">
        <v>42055</v>
      </c>
      <c r="N1627" s="5"/>
      <c r="O1627">
        <v>19.149999999999999</v>
      </c>
      <c r="P1627">
        <v>200</v>
      </c>
      <c r="Q1627" s="2">
        <v>3830</v>
      </c>
      <c r="R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 s="1">
        <v>42382</v>
      </c>
      <c r="AC1627" t="s">
        <v>53</v>
      </c>
      <c r="AD1627" t="s">
        <v>53</v>
      </c>
      <c r="AK1627">
        <v>0</v>
      </c>
      <c r="AU1627" s="6">
        <v>42255</v>
      </c>
      <c r="AV1627" s="6">
        <v>42255</v>
      </c>
      <c r="AW1627" t="s">
        <v>54</v>
      </c>
      <c r="AX1627" t="str">
        <f t="shared" si="127"/>
        <v>FOR</v>
      </c>
      <c r="AY1627" t="s">
        <v>55</v>
      </c>
    </row>
    <row r="1628" spans="1:51" hidden="1">
      <c r="A1628">
        <v>100360</v>
      </c>
      <c r="B1628" t="s">
        <v>131</v>
      </c>
      <c r="C1628" t="str">
        <f t="shared" ref="C1628:D1647" si="129">"00076810621"</f>
        <v>00076810621</v>
      </c>
      <c r="D1628" t="str">
        <f t="shared" si="129"/>
        <v>00076810621</v>
      </c>
      <c r="E1628" t="s">
        <v>52</v>
      </c>
      <c r="F1628">
        <v>2014</v>
      </c>
      <c r="G1628">
        <v>113199</v>
      </c>
      <c r="H1628" s="1">
        <v>41970</v>
      </c>
      <c r="I1628" s="1">
        <v>41995</v>
      </c>
      <c r="J1628" s="1">
        <v>41995</v>
      </c>
      <c r="K1628" s="1">
        <v>42055</v>
      </c>
      <c r="N1628" s="5"/>
      <c r="O1628">
        <v>4.3600000000000003</v>
      </c>
      <c r="P1628">
        <v>200</v>
      </c>
      <c r="Q1628">
        <v>872</v>
      </c>
      <c r="R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 s="1">
        <v>42382</v>
      </c>
      <c r="AC1628" t="s">
        <v>53</v>
      </c>
      <c r="AD1628" t="s">
        <v>53</v>
      </c>
      <c r="AK1628">
        <v>0</v>
      </c>
      <c r="AU1628" s="6">
        <v>42255</v>
      </c>
      <c r="AV1628" s="6">
        <v>42255</v>
      </c>
      <c r="AW1628" t="s">
        <v>54</v>
      </c>
      <c r="AX1628" t="str">
        <f t="shared" si="127"/>
        <v>FOR</v>
      </c>
      <c r="AY1628" t="s">
        <v>55</v>
      </c>
    </row>
    <row r="1629" spans="1:51" hidden="1">
      <c r="A1629">
        <v>100360</v>
      </c>
      <c r="B1629" t="s">
        <v>131</v>
      </c>
      <c r="C1629" t="str">
        <f t="shared" si="129"/>
        <v>00076810621</v>
      </c>
      <c r="D1629" t="str">
        <f t="shared" si="129"/>
        <v>00076810621</v>
      </c>
      <c r="E1629" t="s">
        <v>52</v>
      </c>
      <c r="F1629">
        <v>2014</v>
      </c>
      <c r="G1629">
        <v>113603</v>
      </c>
      <c r="H1629" s="1">
        <v>41971</v>
      </c>
      <c r="I1629" s="1">
        <v>41995</v>
      </c>
      <c r="J1629" s="1">
        <v>41995</v>
      </c>
      <c r="K1629" s="1">
        <v>42055</v>
      </c>
      <c r="N1629" s="5"/>
      <c r="O1629">
        <v>19.149999999999999</v>
      </c>
      <c r="P1629">
        <v>200</v>
      </c>
      <c r="Q1629" s="2">
        <v>3830</v>
      </c>
      <c r="R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 s="1">
        <v>42382</v>
      </c>
      <c r="AC1629" t="s">
        <v>53</v>
      </c>
      <c r="AD1629" t="s">
        <v>53</v>
      </c>
      <c r="AK1629">
        <v>0</v>
      </c>
      <c r="AU1629" s="6">
        <v>42255</v>
      </c>
      <c r="AV1629" s="6">
        <v>42255</v>
      </c>
      <c r="AW1629" t="s">
        <v>54</v>
      </c>
      <c r="AX1629" t="str">
        <f t="shared" si="127"/>
        <v>FOR</v>
      </c>
      <c r="AY1629" t="s">
        <v>55</v>
      </c>
    </row>
    <row r="1630" spans="1:51" hidden="1">
      <c r="A1630">
        <v>100360</v>
      </c>
      <c r="B1630" t="s">
        <v>131</v>
      </c>
      <c r="C1630" t="str">
        <f t="shared" si="129"/>
        <v>00076810621</v>
      </c>
      <c r="D1630" t="str">
        <f t="shared" si="129"/>
        <v>00076810621</v>
      </c>
      <c r="E1630" t="s">
        <v>52</v>
      </c>
      <c r="F1630">
        <v>2014</v>
      </c>
      <c r="G1630">
        <v>114450</v>
      </c>
      <c r="H1630" s="1">
        <v>41974</v>
      </c>
      <c r="I1630" s="1">
        <v>41995</v>
      </c>
      <c r="J1630" s="1">
        <v>41995</v>
      </c>
      <c r="K1630" s="1">
        <v>42055</v>
      </c>
      <c r="N1630" s="5"/>
      <c r="O1630">
        <v>8.6999999999999993</v>
      </c>
      <c r="P1630">
        <v>200</v>
      </c>
      <c r="Q1630" s="2">
        <v>1740</v>
      </c>
      <c r="R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 s="1">
        <v>42382</v>
      </c>
      <c r="AC1630" t="s">
        <v>53</v>
      </c>
      <c r="AD1630" t="s">
        <v>53</v>
      </c>
      <c r="AK1630">
        <v>0</v>
      </c>
      <c r="AU1630" s="6">
        <v>42255</v>
      </c>
      <c r="AV1630" s="6">
        <v>42255</v>
      </c>
      <c r="AW1630" t="s">
        <v>54</v>
      </c>
      <c r="AX1630" t="str">
        <f t="shared" si="127"/>
        <v>FOR</v>
      </c>
      <c r="AY1630" t="s">
        <v>55</v>
      </c>
    </row>
    <row r="1631" spans="1:51" hidden="1">
      <c r="A1631">
        <v>100360</v>
      </c>
      <c r="B1631" t="s">
        <v>131</v>
      </c>
      <c r="C1631" t="str">
        <f t="shared" si="129"/>
        <v>00076810621</v>
      </c>
      <c r="D1631" t="str">
        <f t="shared" si="129"/>
        <v>00076810621</v>
      </c>
      <c r="E1631" t="s">
        <v>52</v>
      </c>
      <c r="F1631">
        <v>2014</v>
      </c>
      <c r="G1631">
        <v>114896</v>
      </c>
      <c r="H1631" s="1">
        <v>41975</v>
      </c>
      <c r="I1631" s="1">
        <v>41995</v>
      </c>
      <c r="J1631" s="1">
        <v>41995</v>
      </c>
      <c r="K1631" s="1">
        <v>42055</v>
      </c>
      <c r="N1631" s="5"/>
      <c r="O1631">
        <v>33.369999999999997</v>
      </c>
      <c r="P1631">
        <v>200</v>
      </c>
      <c r="Q1631" s="2">
        <v>6674</v>
      </c>
      <c r="R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 s="1">
        <v>42382</v>
      </c>
      <c r="AC1631" t="s">
        <v>53</v>
      </c>
      <c r="AD1631" t="s">
        <v>53</v>
      </c>
      <c r="AK1631">
        <v>0</v>
      </c>
      <c r="AU1631" s="6">
        <v>42255</v>
      </c>
      <c r="AV1631" s="6">
        <v>42255</v>
      </c>
      <c r="AW1631" t="s">
        <v>54</v>
      </c>
      <c r="AX1631" t="str">
        <f t="shared" si="127"/>
        <v>FOR</v>
      </c>
      <c r="AY1631" t="s">
        <v>55</v>
      </c>
    </row>
    <row r="1632" spans="1:51" hidden="1">
      <c r="A1632">
        <v>100360</v>
      </c>
      <c r="B1632" t="s">
        <v>131</v>
      </c>
      <c r="C1632" t="str">
        <f t="shared" si="129"/>
        <v>00076810621</v>
      </c>
      <c r="D1632" t="str">
        <f t="shared" si="129"/>
        <v>00076810621</v>
      </c>
      <c r="E1632" t="s">
        <v>52</v>
      </c>
      <c r="F1632">
        <v>2014</v>
      </c>
      <c r="G1632">
        <v>115722</v>
      </c>
      <c r="H1632" s="1">
        <v>41977</v>
      </c>
      <c r="I1632" s="1">
        <v>41995</v>
      </c>
      <c r="J1632" s="1">
        <v>41995</v>
      </c>
      <c r="K1632" s="1">
        <v>42055</v>
      </c>
      <c r="N1632" s="5"/>
      <c r="O1632">
        <v>5.69</v>
      </c>
      <c r="P1632">
        <v>200</v>
      </c>
      <c r="Q1632" s="2">
        <v>1138</v>
      </c>
      <c r="R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 s="1">
        <v>42382</v>
      </c>
      <c r="AC1632" t="s">
        <v>53</v>
      </c>
      <c r="AD1632" t="s">
        <v>53</v>
      </c>
      <c r="AK1632">
        <v>0</v>
      </c>
      <c r="AU1632" s="6">
        <v>42255</v>
      </c>
      <c r="AV1632" s="6">
        <v>42255</v>
      </c>
      <c r="AW1632" t="s">
        <v>54</v>
      </c>
      <c r="AX1632" t="str">
        <f t="shared" si="127"/>
        <v>FOR</v>
      </c>
      <c r="AY1632" t="s">
        <v>55</v>
      </c>
    </row>
    <row r="1633" spans="1:51" hidden="1">
      <c r="A1633">
        <v>100360</v>
      </c>
      <c r="B1633" t="s">
        <v>131</v>
      </c>
      <c r="C1633" t="str">
        <f t="shared" si="129"/>
        <v>00076810621</v>
      </c>
      <c r="D1633" t="str">
        <f t="shared" si="129"/>
        <v>00076810621</v>
      </c>
      <c r="E1633" t="s">
        <v>52</v>
      </c>
      <c r="F1633">
        <v>2014</v>
      </c>
      <c r="G1633">
        <v>116177</v>
      </c>
      <c r="H1633" s="1">
        <v>41978</v>
      </c>
      <c r="I1633" s="1">
        <v>41995</v>
      </c>
      <c r="J1633" s="1">
        <v>41995</v>
      </c>
      <c r="K1633" s="1">
        <v>42055</v>
      </c>
      <c r="N1633" s="5"/>
      <c r="O1633">
        <v>2.2400000000000002</v>
      </c>
      <c r="P1633">
        <v>200</v>
      </c>
      <c r="Q1633">
        <v>448</v>
      </c>
      <c r="R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 s="1">
        <v>42382</v>
      </c>
      <c r="AC1633" t="s">
        <v>53</v>
      </c>
      <c r="AD1633" t="s">
        <v>53</v>
      </c>
      <c r="AK1633">
        <v>0</v>
      </c>
      <c r="AU1633" s="6">
        <v>42255</v>
      </c>
      <c r="AV1633" s="6">
        <v>42255</v>
      </c>
      <c r="AW1633" t="s">
        <v>54</v>
      </c>
      <c r="AX1633" t="str">
        <f t="shared" si="127"/>
        <v>FOR</v>
      </c>
      <c r="AY1633" t="s">
        <v>55</v>
      </c>
    </row>
    <row r="1634" spans="1:51" hidden="1">
      <c r="A1634">
        <v>100360</v>
      </c>
      <c r="B1634" t="s">
        <v>131</v>
      </c>
      <c r="C1634" t="str">
        <f t="shared" si="129"/>
        <v>00076810621</v>
      </c>
      <c r="D1634" t="str">
        <f t="shared" si="129"/>
        <v>00076810621</v>
      </c>
      <c r="E1634" t="s">
        <v>52</v>
      </c>
      <c r="F1634">
        <v>2014</v>
      </c>
      <c r="G1634">
        <v>116812</v>
      </c>
      <c r="H1634" s="1">
        <v>41982</v>
      </c>
      <c r="I1634" s="1">
        <v>41995</v>
      </c>
      <c r="J1634" s="1">
        <v>41995</v>
      </c>
      <c r="K1634" s="1">
        <v>42055</v>
      </c>
      <c r="N1634" s="5"/>
      <c r="O1634">
        <v>28.73</v>
      </c>
      <c r="P1634">
        <v>200</v>
      </c>
      <c r="Q1634" s="2">
        <v>5746</v>
      </c>
      <c r="R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 s="1">
        <v>42382</v>
      </c>
      <c r="AC1634" t="s">
        <v>53</v>
      </c>
      <c r="AD1634" t="s">
        <v>53</v>
      </c>
      <c r="AK1634">
        <v>0</v>
      </c>
      <c r="AU1634" s="6">
        <v>42255</v>
      </c>
      <c r="AV1634" s="6">
        <v>42255</v>
      </c>
      <c r="AW1634" t="s">
        <v>54</v>
      </c>
      <c r="AX1634" t="str">
        <f t="shared" si="127"/>
        <v>FOR</v>
      </c>
      <c r="AY1634" t="s">
        <v>55</v>
      </c>
    </row>
    <row r="1635" spans="1:51" hidden="1">
      <c r="A1635">
        <v>100360</v>
      </c>
      <c r="B1635" t="s">
        <v>131</v>
      </c>
      <c r="C1635" t="str">
        <f t="shared" si="129"/>
        <v>00076810621</v>
      </c>
      <c r="D1635" t="str">
        <f t="shared" si="129"/>
        <v>00076810621</v>
      </c>
      <c r="E1635" t="s">
        <v>52</v>
      </c>
      <c r="F1635">
        <v>2014</v>
      </c>
      <c r="G1635">
        <v>117944</v>
      </c>
      <c r="H1635" s="1">
        <v>41985</v>
      </c>
      <c r="I1635" s="1">
        <v>41995</v>
      </c>
      <c r="J1635" s="1">
        <v>41995</v>
      </c>
      <c r="K1635" s="1">
        <v>42055</v>
      </c>
      <c r="N1635" s="5"/>
      <c r="O1635">
        <v>28.73</v>
      </c>
      <c r="P1635">
        <v>200</v>
      </c>
      <c r="Q1635" s="2">
        <v>5746</v>
      </c>
      <c r="R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 s="1">
        <v>42382</v>
      </c>
      <c r="AC1635" t="s">
        <v>53</v>
      </c>
      <c r="AD1635" t="s">
        <v>53</v>
      </c>
      <c r="AK1635">
        <v>0</v>
      </c>
      <c r="AU1635" s="6">
        <v>42255</v>
      </c>
      <c r="AV1635" s="6">
        <v>42255</v>
      </c>
      <c r="AW1635" t="s">
        <v>54</v>
      </c>
      <c r="AX1635" t="str">
        <f t="shared" si="127"/>
        <v>FOR</v>
      </c>
      <c r="AY1635" t="s">
        <v>55</v>
      </c>
    </row>
    <row r="1636" spans="1:51" hidden="1">
      <c r="A1636">
        <v>100360</v>
      </c>
      <c r="B1636" t="s">
        <v>131</v>
      </c>
      <c r="C1636" t="str">
        <f t="shared" si="129"/>
        <v>00076810621</v>
      </c>
      <c r="D1636" t="str">
        <f t="shared" si="129"/>
        <v>00076810621</v>
      </c>
      <c r="E1636" t="s">
        <v>52</v>
      </c>
      <c r="F1636">
        <v>2014</v>
      </c>
      <c r="G1636">
        <v>118385</v>
      </c>
      <c r="H1636" s="1">
        <v>41986</v>
      </c>
      <c r="I1636" s="1">
        <v>41995</v>
      </c>
      <c r="J1636" s="1">
        <v>41995</v>
      </c>
      <c r="K1636" s="1">
        <v>42055</v>
      </c>
      <c r="N1636" s="5"/>
      <c r="O1636">
        <v>47.88</v>
      </c>
      <c r="P1636">
        <v>200</v>
      </c>
      <c r="Q1636" s="2">
        <v>9576</v>
      </c>
      <c r="R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 s="1">
        <v>42382</v>
      </c>
      <c r="AC1636" t="s">
        <v>53</v>
      </c>
      <c r="AD1636" t="s">
        <v>53</v>
      </c>
      <c r="AK1636">
        <v>0</v>
      </c>
      <c r="AU1636" s="6">
        <v>42255</v>
      </c>
      <c r="AV1636" s="6">
        <v>42255</v>
      </c>
      <c r="AW1636" t="s">
        <v>54</v>
      </c>
      <c r="AX1636" t="str">
        <f t="shared" si="127"/>
        <v>FOR</v>
      </c>
      <c r="AY1636" t="s">
        <v>55</v>
      </c>
    </row>
    <row r="1637" spans="1:51" hidden="1">
      <c r="A1637">
        <v>100360</v>
      </c>
      <c r="B1637" t="s">
        <v>131</v>
      </c>
      <c r="C1637" t="str">
        <f t="shared" si="129"/>
        <v>00076810621</v>
      </c>
      <c r="D1637" t="str">
        <f t="shared" si="129"/>
        <v>00076810621</v>
      </c>
      <c r="E1637" t="s">
        <v>52</v>
      </c>
      <c r="F1637">
        <v>2014</v>
      </c>
      <c r="G1637">
        <v>119086</v>
      </c>
      <c r="H1637" s="1">
        <v>41989</v>
      </c>
      <c r="I1637" s="1">
        <v>41995</v>
      </c>
      <c r="J1637" s="1">
        <v>41995</v>
      </c>
      <c r="K1637" s="1">
        <v>42055</v>
      </c>
      <c r="N1637" s="5"/>
      <c r="O1637">
        <v>28.73</v>
      </c>
      <c r="P1637">
        <v>200</v>
      </c>
      <c r="Q1637" s="2">
        <v>5746</v>
      </c>
      <c r="R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 s="1">
        <v>42382</v>
      </c>
      <c r="AC1637" t="s">
        <v>53</v>
      </c>
      <c r="AD1637" t="s">
        <v>53</v>
      </c>
      <c r="AK1637">
        <v>0</v>
      </c>
      <c r="AU1637" s="6">
        <v>42255</v>
      </c>
      <c r="AV1637" s="6">
        <v>42255</v>
      </c>
      <c r="AW1637" t="s">
        <v>54</v>
      </c>
      <c r="AX1637" t="str">
        <f t="shared" si="127"/>
        <v>FOR</v>
      </c>
      <c r="AY1637" t="s">
        <v>55</v>
      </c>
    </row>
    <row r="1638" spans="1:51" hidden="1">
      <c r="A1638">
        <v>100360</v>
      </c>
      <c r="B1638" t="s">
        <v>131</v>
      </c>
      <c r="C1638" t="str">
        <f t="shared" si="129"/>
        <v>00076810621</v>
      </c>
      <c r="D1638" t="str">
        <f t="shared" si="129"/>
        <v>00076810621</v>
      </c>
      <c r="E1638" t="s">
        <v>52</v>
      </c>
      <c r="F1638">
        <v>2014</v>
      </c>
      <c r="G1638">
        <v>120125</v>
      </c>
      <c r="H1638" s="1">
        <v>41991</v>
      </c>
      <c r="I1638" s="1">
        <v>41995</v>
      </c>
      <c r="J1638" s="1">
        <v>41995</v>
      </c>
      <c r="K1638" s="1">
        <v>42055</v>
      </c>
      <c r="N1638" s="5"/>
      <c r="O1638">
        <v>59.42</v>
      </c>
      <c r="P1638">
        <v>200</v>
      </c>
      <c r="Q1638" s="2">
        <v>11884</v>
      </c>
      <c r="R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 s="1">
        <v>42382</v>
      </c>
      <c r="AC1638" t="s">
        <v>53</v>
      </c>
      <c r="AD1638" t="s">
        <v>53</v>
      </c>
      <c r="AK1638">
        <v>0</v>
      </c>
      <c r="AU1638" s="6">
        <v>42255</v>
      </c>
      <c r="AV1638" s="6">
        <v>42255</v>
      </c>
      <c r="AW1638" t="s">
        <v>54</v>
      </c>
      <c r="AX1638" t="str">
        <f t="shared" si="127"/>
        <v>FOR</v>
      </c>
      <c r="AY1638" t="s">
        <v>55</v>
      </c>
    </row>
    <row r="1639" spans="1:51" hidden="1">
      <c r="A1639">
        <v>100360</v>
      </c>
      <c r="B1639" t="s">
        <v>131</v>
      </c>
      <c r="C1639" t="str">
        <f t="shared" si="129"/>
        <v>00076810621</v>
      </c>
      <c r="D1639" t="str">
        <f t="shared" si="129"/>
        <v>00076810621</v>
      </c>
      <c r="E1639" t="s">
        <v>52</v>
      </c>
      <c r="F1639">
        <v>2014</v>
      </c>
      <c r="G1639">
        <v>121206</v>
      </c>
      <c r="H1639" s="1">
        <v>41995</v>
      </c>
      <c r="I1639" s="1">
        <v>42002</v>
      </c>
      <c r="J1639" s="1">
        <v>42002</v>
      </c>
      <c r="K1639" s="1">
        <v>42062</v>
      </c>
      <c r="N1639" s="5"/>
      <c r="O1639">
        <v>50.43</v>
      </c>
      <c r="P1639">
        <v>193</v>
      </c>
      <c r="Q1639" s="2">
        <v>9732.99</v>
      </c>
      <c r="R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 s="1">
        <v>42382</v>
      </c>
      <c r="AC1639" t="s">
        <v>53</v>
      </c>
      <c r="AD1639" t="s">
        <v>53</v>
      </c>
      <c r="AK1639">
        <v>0</v>
      </c>
      <c r="AU1639" s="6">
        <v>42255</v>
      </c>
      <c r="AV1639" s="6">
        <v>42255</v>
      </c>
      <c r="AW1639" t="s">
        <v>54</v>
      </c>
      <c r="AX1639" t="str">
        <f t="shared" si="127"/>
        <v>FOR</v>
      </c>
      <c r="AY1639" t="s">
        <v>55</v>
      </c>
    </row>
    <row r="1640" spans="1:51" hidden="1">
      <c r="A1640">
        <v>100360</v>
      </c>
      <c r="B1640" t="s">
        <v>131</v>
      </c>
      <c r="C1640" t="str">
        <f t="shared" si="129"/>
        <v>00076810621</v>
      </c>
      <c r="D1640" t="str">
        <f t="shared" si="129"/>
        <v>00076810621</v>
      </c>
      <c r="E1640" t="s">
        <v>52</v>
      </c>
      <c r="F1640">
        <v>2014</v>
      </c>
      <c r="G1640">
        <v>121222</v>
      </c>
      <c r="H1640" s="1">
        <v>41995</v>
      </c>
      <c r="I1640" s="1">
        <v>42002</v>
      </c>
      <c r="J1640" s="1">
        <v>42002</v>
      </c>
      <c r="K1640" s="1">
        <v>42062</v>
      </c>
      <c r="N1640" s="5"/>
      <c r="O1640">
        <v>13.61</v>
      </c>
      <c r="P1640">
        <v>193</v>
      </c>
      <c r="Q1640" s="2">
        <v>2626.73</v>
      </c>
      <c r="R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 s="1">
        <v>42382</v>
      </c>
      <c r="AC1640" t="s">
        <v>53</v>
      </c>
      <c r="AD1640" t="s">
        <v>53</v>
      </c>
      <c r="AK1640">
        <v>0</v>
      </c>
      <c r="AU1640" s="6">
        <v>42255</v>
      </c>
      <c r="AV1640" s="6">
        <v>42255</v>
      </c>
      <c r="AW1640" t="s">
        <v>54</v>
      </c>
      <c r="AX1640" t="str">
        <f t="shared" si="127"/>
        <v>FOR</v>
      </c>
      <c r="AY1640" t="s">
        <v>55</v>
      </c>
    </row>
    <row r="1641" spans="1:51" hidden="1">
      <c r="A1641">
        <v>100360</v>
      </c>
      <c r="B1641" t="s">
        <v>131</v>
      </c>
      <c r="C1641" t="str">
        <f t="shared" si="129"/>
        <v>00076810621</v>
      </c>
      <c r="D1641" t="str">
        <f t="shared" si="129"/>
        <v>00076810621</v>
      </c>
      <c r="E1641" t="s">
        <v>52</v>
      </c>
      <c r="F1641">
        <v>2014</v>
      </c>
      <c r="G1641">
        <v>121646</v>
      </c>
      <c r="H1641" s="1">
        <v>41996</v>
      </c>
      <c r="I1641" s="1">
        <v>42002</v>
      </c>
      <c r="J1641" s="1">
        <v>42002</v>
      </c>
      <c r="K1641" s="1">
        <v>42062</v>
      </c>
      <c r="N1641" s="5"/>
      <c r="O1641">
        <v>124.97</v>
      </c>
      <c r="P1641">
        <v>193</v>
      </c>
      <c r="Q1641" s="2">
        <v>24119.21</v>
      </c>
      <c r="R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 s="1">
        <v>42382</v>
      </c>
      <c r="AC1641" t="s">
        <v>53</v>
      </c>
      <c r="AD1641" t="s">
        <v>53</v>
      </c>
      <c r="AK1641">
        <v>0</v>
      </c>
      <c r="AU1641" s="6">
        <v>42255</v>
      </c>
      <c r="AV1641" s="6">
        <v>42255</v>
      </c>
      <c r="AW1641" t="s">
        <v>54</v>
      </c>
      <c r="AX1641" t="str">
        <f t="shared" si="127"/>
        <v>FOR</v>
      </c>
      <c r="AY1641" t="s">
        <v>55</v>
      </c>
    </row>
    <row r="1642" spans="1:51" hidden="1">
      <c r="A1642">
        <v>100360</v>
      </c>
      <c r="B1642" t="s">
        <v>131</v>
      </c>
      <c r="C1642" t="str">
        <f t="shared" si="129"/>
        <v>00076810621</v>
      </c>
      <c r="D1642" t="str">
        <f t="shared" si="129"/>
        <v>00076810621</v>
      </c>
      <c r="E1642" t="s">
        <v>52</v>
      </c>
      <c r="F1642">
        <v>2014</v>
      </c>
      <c r="G1642">
        <v>122275</v>
      </c>
      <c r="H1642" s="1">
        <v>42000</v>
      </c>
      <c r="I1642" s="1">
        <v>42002</v>
      </c>
      <c r="J1642" s="1">
        <v>42002</v>
      </c>
      <c r="K1642" s="1">
        <v>42062</v>
      </c>
      <c r="N1642" s="5"/>
      <c r="O1642">
        <v>23.55</v>
      </c>
      <c r="P1642">
        <v>193</v>
      </c>
      <c r="Q1642" s="2">
        <v>4545.1499999999996</v>
      </c>
      <c r="R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 s="1">
        <v>42382</v>
      </c>
      <c r="AC1642" t="s">
        <v>53</v>
      </c>
      <c r="AD1642" t="s">
        <v>53</v>
      </c>
      <c r="AK1642">
        <v>0</v>
      </c>
      <c r="AU1642" s="6">
        <v>42255</v>
      </c>
      <c r="AV1642" s="6">
        <v>42255</v>
      </c>
      <c r="AW1642" t="s">
        <v>54</v>
      </c>
      <c r="AX1642" t="str">
        <f t="shared" si="127"/>
        <v>FOR</v>
      </c>
      <c r="AY1642" t="s">
        <v>55</v>
      </c>
    </row>
    <row r="1643" spans="1:51" hidden="1">
      <c r="A1643">
        <v>100360</v>
      </c>
      <c r="B1643" t="s">
        <v>131</v>
      </c>
      <c r="C1643" t="str">
        <f t="shared" si="129"/>
        <v>00076810621</v>
      </c>
      <c r="D1643" t="str">
        <f t="shared" si="129"/>
        <v>00076810621</v>
      </c>
      <c r="E1643" t="s">
        <v>52</v>
      </c>
      <c r="F1643">
        <v>2014</v>
      </c>
      <c r="G1643">
        <v>122698</v>
      </c>
      <c r="H1643" s="1">
        <v>42002</v>
      </c>
      <c r="I1643" s="1">
        <v>42004</v>
      </c>
      <c r="J1643" s="1">
        <v>42004</v>
      </c>
      <c r="K1643" s="1">
        <v>42064</v>
      </c>
      <c r="N1643" s="5"/>
      <c r="O1643">
        <v>31.77</v>
      </c>
      <c r="P1643">
        <v>191</v>
      </c>
      <c r="Q1643" s="2">
        <v>6068.07</v>
      </c>
      <c r="R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 s="1">
        <v>42382</v>
      </c>
      <c r="AC1643" t="s">
        <v>53</v>
      </c>
      <c r="AD1643" t="s">
        <v>53</v>
      </c>
      <c r="AK1643">
        <v>0</v>
      </c>
      <c r="AU1643" s="6">
        <v>42255</v>
      </c>
      <c r="AV1643" s="6">
        <v>42255</v>
      </c>
      <c r="AW1643" t="s">
        <v>54</v>
      </c>
      <c r="AX1643" t="str">
        <f t="shared" si="127"/>
        <v>FOR</v>
      </c>
      <c r="AY1643" t="s">
        <v>55</v>
      </c>
    </row>
    <row r="1644" spans="1:51" hidden="1">
      <c r="A1644">
        <v>100360</v>
      </c>
      <c r="B1644" t="s">
        <v>131</v>
      </c>
      <c r="C1644" t="str">
        <f t="shared" si="129"/>
        <v>00076810621</v>
      </c>
      <c r="D1644" t="str">
        <f t="shared" si="129"/>
        <v>00076810621</v>
      </c>
      <c r="E1644" t="s">
        <v>52</v>
      </c>
      <c r="F1644">
        <v>2015</v>
      </c>
      <c r="G1644">
        <v>962</v>
      </c>
      <c r="H1644" s="1">
        <v>42009</v>
      </c>
      <c r="I1644" s="1">
        <v>42030</v>
      </c>
      <c r="J1644" s="1">
        <v>42030</v>
      </c>
      <c r="K1644" s="1">
        <v>42090</v>
      </c>
      <c r="N1644" s="5"/>
      <c r="O1644">
        <v>67.67</v>
      </c>
      <c r="P1644">
        <v>165</v>
      </c>
      <c r="Q1644" s="2">
        <v>11165.55</v>
      </c>
      <c r="R1644">
        <v>0</v>
      </c>
      <c r="V1644">
        <v>0</v>
      </c>
      <c r="W1644">
        <v>0</v>
      </c>
      <c r="X1644">
        <v>0</v>
      </c>
      <c r="Y1644">
        <v>74.44</v>
      </c>
      <c r="Z1644">
        <v>74.44</v>
      </c>
      <c r="AA1644">
        <v>74.44</v>
      </c>
      <c r="AB1644" s="1">
        <v>42382</v>
      </c>
      <c r="AC1644" t="s">
        <v>53</v>
      </c>
      <c r="AD1644" t="s">
        <v>53</v>
      </c>
      <c r="AK1644">
        <v>0</v>
      </c>
      <c r="AU1644" s="6">
        <v>42255</v>
      </c>
      <c r="AV1644" s="6">
        <v>42255</v>
      </c>
      <c r="AW1644" t="s">
        <v>54</v>
      </c>
      <c r="AX1644" t="str">
        <f t="shared" si="127"/>
        <v>FOR</v>
      </c>
      <c r="AY1644" t="s">
        <v>55</v>
      </c>
    </row>
    <row r="1645" spans="1:51" hidden="1">
      <c r="A1645">
        <v>100360</v>
      </c>
      <c r="B1645" t="s">
        <v>131</v>
      </c>
      <c r="C1645" t="str">
        <f t="shared" si="129"/>
        <v>00076810621</v>
      </c>
      <c r="D1645" t="str">
        <f t="shared" si="129"/>
        <v>00076810621</v>
      </c>
      <c r="E1645" t="s">
        <v>52</v>
      </c>
      <c r="F1645">
        <v>2015</v>
      </c>
      <c r="G1645">
        <v>989</v>
      </c>
      <c r="H1645" s="1">
        <v>42009</v>
      </c>
      <c r="I1645" s="1">
        <v>42030</v>
      </c>
      <c r="J1645" s="1">
        <v>42030</v>
      </c>
      <c r="K1645" s="1">
        <v>42090</v>
      </c>
      <c r="N1645" s="5"/>
      <c r="O1645">
        <v>19.440000000000001</v>
      </c>
      <c r="P1645">
        <v>165</v>
      </c>
      <c r="Q1645" s="2">
        <v>3207.6</v>
      </c>
      <c r="R1645">
        <v>0</v>
      </c>
      <c r="V1645">
        <v>0</v>
      </c>
      <c r="W1645">
        <v>0</v>
      </c>
      <c r="X1645">
        <v>0</v>
      </c>
      <c r="Y1645">
        <v>21.38</v>
      </c>
      <c r="Z1645">
        <v>21.38</v>
      </c>
      <c r="AA1645">
        <v>21.38</v>
      </c>
      <c r="AB1645" s="1">
        <v>42382</v>
      </c>
      <c r="AC1645" t="s">
        <v>53</v>
      </c>
      <c r="AD1645" t="s">
        <v>53</v>
      </c>
      <c r="AK1645">
        <v>0</v>
      </c>
      <c r="AU1645" s="6">
        <v>42255</v>
      </c>
      <c r="AV1645" s="6">
        <v>42255</v>
      </c>
      <c r="AW1645" t="s">
        <v>54</v>
      </c>
      <c r="AX1645" t="str">
        <f t="shared" si="127"/>
        <v>FOR</v>
      </c>
      <c r="AY1645" t="s">
        <v>55</v>
      </c>
    </row>
    <row r="1646" spans="1:51" hidden="1">
      <c r="A1646">
        <v>100360</v>
      </c>
      <c r="B1646" t="s">
        <v>131</v>
      </c>
      <c r="C1646" t="str">
        <f t="shared" si="129"/>
        <v>00076810621</v>
      </c>
      <c r="D1646" t="str">
        <f t="shared" si="129"/>
        <v>00076810621</v>
      </c>
      <c r="E1646" t="s">
        <v>52</v>
      </c>
      <c r="F1646">
        <v>2015</v>
      </c>
      <c r="G1646">
        <v>1234</v>
      </c>
      <c r="H1646" s="1">
        <v>42011</v>
      </c>
      <c r="I1646" s="1">
        <v>42030</v>
      </c>
      <c r="J1646" s="1">
        <v>42030</v>
      </c>
      <c r="K1646" s="1">
        <v>42090</v>
      </c>
      <c r="N1646" s="5"/>
      <c r="O1646">
        <v>6.75</v>
      </c>
      <c r="P1646">
        <v>165</v>
      </c>
      <c r="Q1646" s="2">
        <v>1113.75</v>
      </c>
      <c r="R1646">
        <v>0</v>
      </c>
      <c r="V1646">
        <v>0</v>
      </c>
      <c r="W1646">
        <v>0</v>
      </c>
      <c r="X1646">
        <v>0</v>
      </c>
      <c r="Y1646">
        <v>7.43</v>
      </c>
      <c r="Z1646">
        <v>7.43</v>
      </c>
      <c r="AA1646">
        <v>7.43</v>
      </c>
      <c r="AB1646" s="1">
        <v>42382</v>
      </c>
      <c r="AC1646" t="s">
        <v>53</v>
      </c>
      <c r="AD1646" t="s">
        <v>53</v>
      </c>
      <c r="AK1646">
        <v>0</v>
      </c>
      <c r="AU1646" s="6">
        <v>42255</v>
      </c>
      <c r="AV1646" s="6">
        <v>42255</v>
      </c>
      <c r="AW1646" t="s">
        <v>54</v>
      </c>
      <c r="AX1646" t="str">
        <f t="shared" si="127"/>
        <v>FOR</v>
      </c>
      <c r="AY1646" t="s">
        <v>55</v>
      </c>
    </row>
    <row r="1647" spans="1:51" hidden="1">
      <c r="A1647">
        <v>100360</v>
      </c>
      <c r="B1647" t="s">
        <v>131</v>
      </c>
      <c r="C1647" t="str">
        <f t="shared" si="129"/>
        <v>00076810621</v>
      </c>
      <c r="D1647" t="str">
        <f t="shared" si="129"/>
        <v>00076810621</v>
      </c>
      <c r="E1647" t="s">
        <v>52</v>
      </c>
      <c r="F1647">
        <v>2015</v>
      </c>
      <c r="G1647">
        <v>1709</v>
      </c>
      <c r="H1647" s="1">
        <v>42012</v>
      </c>
      <c r="I1647" s="1">
        <v>42030</v>
      </c>
      <c r="J1647" s="1">
        <v>42030</v>
      </c>
      <c r="K1647" s="1">
        <v>42090</v>
      </c>
      <c r="N1647" s="5"/>
      <c r="O1647">
        <v>22.35</v>
      </c>
      <c r="P1647">
        <v>165</v>
      </c>
      <c r="Q1647" s="2">
        <v>3687.75</v>
      </c>
      <c r="R1647">
        <v>0</v>
      </c>
      <c r="V1647">
        <v>0</v>
      </c>
      <c r="W1647">
        <v>0</v>
      </c>
      <c r="X1647">
        <v>0</v>
      </c>
      <c r="Y1647">
        <v>24.59</v>
      </c>
      <c r="Z1647">
        <v>24.59</v>
      </c>
      <c r="AA1647">
        <v>24.59</v>
      </c>
      <c r="AB1647" s="1">
        <v>42382</v>
      </c>
      <c r="AC1647" t="s">
        <v>53</v>
      </c>
      <c r="AD1647" t="s">
        <v>53</v>
      </c>
      <c r="AK1647">
        <v>0</v>
      </c>
      <c r="AU1647" s="6">
        <v>42255</v>
      </c>
      <c r="AV1647" s="6">
        <v>42255</v>
      </c>
      <c r="AW1647" t="s">
        <v>54</v>
      </c>
      <c r="AX1647" t="str">
        <f t="shared" si="127"/>
        <v>FOR</v>
      </c>
      <c r="AY1647" t="s">
        <v>55</v>
      </c>
    </row>
    <row r="1648" spans="1:51" hidden="1">
      <c r="A1648">
        <v>100360</v>
      </c>
      <c r="B1648" t="s">
        <v>131</v>
      </c>
      <c r="C1648" t="str">
        <f t="shared" ref="C1648:D1667" si="130">"00076810621"</f>
        <v>00076810621</v>
      </c>
      <c r="D1648" t="str">
        <f t="shared" si="130"/>
        <v>00076810621</v>
      </c>
      <c r="E1648" t="s">
        <v>52</v>
      </c>
      <c r="F1648">
        <v>2015</v>
      </c>
      <c r="G1648">
        <v>1929</v>
      </c>
      <c r="H1648" s="1">
        <v>42012</v>
      </c>
      <c r="I1648" s="1">
        <v>42030</v>
      </c>
      <c r="J1648" s="1">
        <v>42030</v>
      </c>
      <c r="K1648" s="1">
        <v>42090</v>
      </c>
      <c r="N1648" s="5"/>
      <c r="O1648">
        <v>43.53</v>
      </c>
      <c r="P1648">
        <v>165</v>
      </c>
      <c r="Q1648" s="2">
        <v>7182.45</v>
      </c>
      <c r="R1648">
        <v>0</v>
      </c>
      <c r="V1648">
        <v>0</v>
      </c>
      <c r="W1648">
        <v>0</v>
      </c>
      <c r="X1648">
        <v>0</v>
      </c>
      <c r="Y1648">
        <v>47.88</v>
      </c>
      <c r="Z1648">
        <v>47.88</v>
      </c>
      <c r="AA1648">
        <v>47.88</v>
      </c>
      <c r="AB1648" s="1">
        <v>42382</v>
      </c>
      <c r="AC1648" t="s">
        <v>53</v>
      </c>
      <c r="AD1648" t="s">
        <v>53</v>
      </c>
      <c r="AK1648">
        <v>0</v>
      </c>
      <c r="AU1648" s="6">
        <v>42255</v>
      </c>
      <c r="AV1648" s="6">
        <v>42255</v>
      </c>
      <c r="AW1648" t="s">
        <v>54</v>
      </c>
      <c r="AX1648" t="str">
        <f t="shared" si="127"/>
        <v>FOR</v>
      </c>
      <c r="AY1648" t="s">
        <v>55</v>
      </c>
    </row>
    <row r="1649" spans="1:51" hidden="1">
      <c r="A1649">
        <v>100360</v>
      </c>
      <c r="B1649" t="s">
        <v>131</v>
      </c>
      <c r="C1649" t="str">
        <f t="shared" si="130"/>
        <v>00076810621</v>
      </c>
      <c r="D1649" t="str">
        <f t="shared" si="130"/>
        <v>00076810621</v>
      </c>
      <c r="E1649" t="s">
        <v>52</v>
      </c>
      <c r="F1649">
        <v>2015</v>
      </c>
      <c r="G1649">
        <v>1958</v>
      </c>
      <c r="H1649" s="1">
        <v>42012</v>
      </c>
      <c r="I1649" s="1">
        <v>42030</v>
      </c>
      <c r="J1649" s="1">
        <v>42030</v>
      </c>
      <c r="K1649" s="1">
        <v>42090</v>
      </c>
      <c r="N1649" s="5"/>
      <c r="O1649">
        <v>37.85</v>
      </c>
      <c r="P1649">
        <v>165</v>
      </c>
      <c r="Q1649" s="2">
        <v>6245.25</v>
      </c>
      <c r="R1649">
        <v>0</v>
      </c>
      <c r="V1649">
        <v>0</v>
      </c>
      <c r="W1649">
        <v>0</v>
      </c>
      <c r="X1649">
        <v>0</v>
      </c>
      <c r="Y1649">
        <v>41.64</v>
      </c>
      <c r="Z1649">
        <v>41.64</v>
      </c>
      <c r="AA1649">
        <v>41.64</v>
      </c>
      <c r="AB1649" s="1">
        <v>42382</v>
      </c>
      <c r="AC1649" t="s">
        <v>53</v>
      </c>
      <c r="AD1649" t="s">
        <v>53</v>
      </c>
      <c r="AK1649">
        <v>0</v>
      </c>
      <c r="AU1649" s="6">
        <v>42255</v>
      </c>
      <c r="AV1649" s="6">
        <v>42255</v>
      </c>
      <c r="AW1649" t="s">
        <v>54</v>
      </c>
      <c r="AX1649" t="str">
        <f t="shared" si="127"/>
        <v>FOR</v>
      </c>
      <c r="AY1649" t="s">
        <v>55</v>
      </c>
    </row>
    <row r="1650" spans="1:51" hidden="1">
      <c r="A1650">
        <v>100360</v>
      </c>
      <c r="B1650" t="s">
        <v>131</v>
      </c>
      <c r="C1650" t="str">
        <f t="shared" si="130"/>
        <v>00076810621</v>
      </c>
      <c r="D1650" t="str">
        <f t="shared" si="130"/>
        <v>00076810621</v>
      </c>
      <c r="E1650" t="s">
        <v>52</v>
      </c>
      <c r="F1650">
        <v>2015</v>
      </c>
      <c r="G1650">
        <v>2177</v>
      </c>
      <c r="H1650" s="1">
        <v>42013</v>
      </c>
      <c r="I1650" s="1">
        <v>42030</v>
      </c>
      <c r="J1650" s="1">
        <v>42030</v>
      </c>
      <c r="K1650" s="1">
        <v>42090</v>
      </c>
      <c r="N1650" s="5"/>
      <c r="O1650">
        <v>37.65</v>
      </c>
      <c r="P1650">
        <v>165</v>
      </c>
      <c r="Q1650" s="2">
        <v>6212.25</v>
      </c>
      <c r="R1650">
        <v>0</v>
      </c>
      <c r="V1650">
        <v>0</v>
      </c>
      <c r="W1650">
        <v>0</v>
      </c>
      <c r="X1650">
        <v>0</v>
      </c>
      <c r="Y1650">
        <v>41.42</v>
      </c>
      <c r="Z1650">
        <v>41.42</v>
      </c>
      <c r="AA1650">
        <v>41.42</v>
      </c>
      <c r="AB1650" s="1">
        <v>42382</v>
      </c>
      <c r="AC1650" t="s">
        <v>53</v>
      </c>
      <c r="AD1650" t="s">
        <v>53</v>
      </c>
      <c r="AK1650">
        <v>0</v>
      </c>
      <c r="AU1650" s="6">
        <v>42255</v>
      </c>
      <c r="AV1650" s="6">
        <v>42255</v>
      </c>
      <c r="AW1650" t="s">
        <v>54</v>
      </c>
      <c r="AX1650" t="str">
        <f t="shared" si="127"/>
        <v>FOR</v>
      </c>
      <c r="AY1650" t="s">
        <v>55</v>
      </c>
    </row>
    <row r="1651" spans="1:51" hidden="1">
      <c r="A1651">
        <v>100360</v>
      </c>
      <c r="B1651" t="s">
        <v>131</v>
      </c>
      <c r="C1651" t="str">
        <f t="shared" si="130"/>
        <v>00076810621</v>
      </c>
      <c r="D1651" t="str">
        <f t="shared" si="130"/>
        <v>00076810621</v>
      </c>
      <c r="E1651" t="s">
        <v>52</v>
      </c>
      <c r="F1651">
        <v>2015</v>
      </c>
      <c r="G1651">
        <v>2630</v>
      </c>
      <c r="H1651" s="1">
        <v>42014</v>
      </c>
      <c r="I1651" s="1">
        <v>42030</v>
      </c>
      <c r="J1651" s="1">
        <v>42030</v>
      </c>
      <c r="K1651" s="1">
        <v>42090</v>
      </c>
      <c r="N1651" s="5"/>
      <c r="O1651">
        <v>51.95</v>
      </c>
      <c r="P1651">
        <v>165</v>
      </c>
      <c r="Q1651" s="2">
        <v>8571.75</v>
      </c>
      <c r="R1651">
        <v>0</v>
      </c>
      <c r="V1651">
        <v>0</v>
      </c>
      <c r="W1651">
        <v>0</v>
      </c>
      <c r="X1651">
        <v>0</v>
      </c>
      <c r="Y1651">
        <v>57.15</v>
      </c>
      <c r="Z1651">
        <v>57.15</v>
      </c>
      <c r="AA1651">
        <v>57.15</v>
      </c>
      <c r="AB1651" s="1">
        <v>42382</v>
      </c>
      <c r="AC1651" t="s">
        <v>53</v>
      </c>
      <c r="AD1651" t="s">
        <v>53</v>
      </c>
      <c r="AK1651">
        <v>0</v>
      </c>
      <c r="AU1651" s="6">
        <v>42255</v>
      </c>
      <c r="AV1651" s="6">
        <v>42255</v>
      </c>
      <c r="AW1651" t="s">
        <v>54</v>
      </c>
      <c r="AX1651" t="str">
        <f t="shared" si="127"/>
        <v>FOR</v>
      </c>
      <c r="AY1651" t="s">
        <v>55</v>
      </c>
    </row>
    <row r="1652" spans="1:51" hidden="1">
      <c r="A1652">
        <v>100360</v>
      </c>
      <c r="B1652" t="s">
        <v>131</v>
      </c>
      <c r="C1652" t="str">
        <f t="shared" si="130"/>
        <v>00076810621</v>
      </c>
      <c r="D1652" t="str">
        <f t="shared" si="130"/>
        <v>00076810621</v>
      </c>
      <c r="E1652" t="s">
        <v>52</v>
      </c>
      <c r="F1652">
        <v>2015</v>
      </c>
      <c r="G1652">
        <v>3145</v>
      </c>
      <c r="H1652" s="1">
        <v>42016</v>
      </c>
      <c r="I1652" s="1">
        <v>42030</v>
      </c>
      <c r="J1652" s="1">
        <v>42030</v>
      </c>
      <c r="K1652" s="1">
        <v>42090</v>
      </c>
      <c r="N1652" s="5"/>
      <c r="O1652">
        <v>52.59</v>
      </c>
      <c r="P1652">
        <v>165</v>
      </c>
      <c r="Q1652" s="2">
        <v>8677.35</v>
      </c>
      <c r="R1652">
        <v>0</v>
      </c>
      <c r="V1652">
        <v>0</v>
      </c>
      <c r="W1652">
        <v>0</v>
      </c>
      <c r="X1652">
        <v>0</v>
      </c>
      <c r="Y1652">
        <v>57.85</v>
      </c>
      <c r="Z1652">
        <v>57.85</v>
      </c>
      <c r="AA1652">
        <v>57.85</v>
      </c>
      <c r="AB1652" s="1">
        <v>42382</v>
      </c>
      <c r="AC1652" t="s">
        <v>53</v>
      </c>
      <c r="AD1652" t="s">
        <v>53</v>
      </c>
      <c r="AK1652">
        <v>0</v>
      </c>
      <c r="AU1652" s="6">
        <v>42255</v>
      </c>
      <c r="AV1652" s="6">
        <v>42255</v>
      </c>
      <c r="AW1652" t="s">
        <v>54</v>
      </c>
      <c r="AX1652" t="str">
        <f t="shared" si="127"/>
        <v>FOR</v>
      </c>
      <c r="AY1652" t="s">
        <v>55</v>
      </c>
    </row>
    <row r="1653" spans="1:51" hidden="1">
      <c r="A1653">
        <v>100360</v>
      </c>
      <c r="B1653" t="s">
        <v>131</v>
      </c>
      <c r="C1653" t="str">
        <f t="shared" si="130"/>
        <v>00076810621</v>
      </c>
      <c r="D1653" t="str">
        <f t="shared" si="130"/>
        <v>00076810621</v>
      </c>
      <c r="E1653" t="s">
        <v>52</v>
      </c>
      <c r="F1653">
        <v>2015</v>
      </c>
      <c r="G1653">
        <v>3417</v>
      </c>
      <c r="H1653" s="1">
        <v>42017</v>
      </c>
      <c r="I1653" s="1">
        <v>42030</v>
      </c>
      <c r="J1653" s="1">
        <v>42030</v>
      </c>
      <c r="K1653" s="1">
        <v>42090</v>
      </c>
      <c r="N1653" s="5"/>
      <c r="O1653">
        <v>18.260000000000002</v>
      </c>
      <c r="P1653">
        <v>165</v>
      </c>
      <c r="Q1653" s="2">
        <v>3012.9</v>
      </c>
      <c r="R1653">
        <v>0</v>
      </c>
      <c r="V1653">
        <v>0</v>
      </c>
      <c r="W1653">
        <v>0</v>
      </c>
      <c r="X1653">
        <v>0</v>
      </c>
      <c r="Y1653">
        <v>20.09</v>
      </c>
      <c r="Z1653">
        <v>20.09</v>
      </c>
      <c r="AA1653">
        <v>20.09</v>
      </c>
      <c r="AB1653" s="1">
        <v>42382</v>
      </c>
      <c r="AC1653" t="s">
        <v>53</v>
      </c>
      <c r="AD1653" t="s">
        <v>53</v>
      </c>
      <c r="AK1653">
        <v>0</v>
      </c>
      <c r="AU1653" s="6">
        <v>42255</v>
      </c>
      <c r="AV1653" s="6">
        <v>42255</v>
      </c>
      <c r="AW1653" t="s">
        <v>54</v>
      </c>
      <c r="AX1653" t="str">
        <f t="shared" si="127"/>
        <v>FOR</v>
      </c>
      <c r="AY1653" t="s">
        <v>55</v>
      </c>
    </row>
    <row r="1654" spans="1:51" hidden="1">
      <c r="A1654">
        <v>100360</v>
      </c>
      <c r="B1654" t="s">
        <v>131</v>
      </c>
      <c r="C1654" t="str">
        <f t="shared" si="130"/>
        <v>00076810621</v>
      </c>
      <c r="D1654" t="str">
        <f t="shared" si="130"/>
        <v>00076810621</v>
      </c>
      <c r="E1654" t="s">
        <v>52</v>
      </c>
      <c r="F1654">
        <v>2015</v>
      </c>
      <c r="G1654">
        <v>3617</v>
      </c>
      <c r="H1654" s="1">
        <v>42017</v>
      </c>
      <c r="I1654" s="1">
        <v>42030</v>
      </c>
      <c r="J1654" s="1">
        <v>42030</v>
      </c>
      <c r="K1654" s="1">
        <v>42090</v>
      </c>
      <c r="N1654" s="5"/>
      <c r="O1654">
        <v>72.56</v>
      </c>
      <c r="P1654">
        <v>165</v>
      </c>
      <c r="Q1654" s="2">
        <v>11972.4</v>
      </c>
      <c r="R1654">
        <v>0</v>
      </c>
      <c r="V1654">
        <v>0</v>
      </c>
      <c r="W1654">
        <v>0</v>
      </c>
      <c r="X1654">
        <v>0</v>
      </c>
      <c r="Y1654">
        <v>79.819999999999993</v>
      </c>
      <c r="Z1654">
        <v>79.819999999999993</v>
      </c>
      <c r="AA1654">
        <v>79.819999999999993</v>
      </c>
      <c r="AB1654" s="1">
        <v>42382</v>
      </c>
      <c r="AC1654" t="s">
        <v>53</v>
      </c>
      <c r="AD1654" t="s">
        <v>53</v>
      </c>
      <c r="AK1654">
        <v>0</v>
      </c>
      <c r="AU1654" s="6">
        <v>42255</v>
      </c>
      <c r="AV1654" s="6">
        <v>42255</v>
      </c>
      <c r="AW1654" t="s">
        <v>54</v>
      </c>
      <c r="AX1654" t="str">
        <f t="shared" si="127"/>
        <v>FOR</v>
      </c>
      <c r="AY1654" t="s">
        <v>55</v>
      </c>
    </row>
    <row r="1655" spans="1:51" hidden="1">
      <c r="A1655">
        <v>100360</v>
      </c>
      <c r="B1655" t="s">
        <v>131</v>
      </c>
      <c r="C1655" t="str">
        <f t="shared" si="130"/>
        <v>00076810621</v>
      </c>
      <c r="D1655" t="str">
        <f t="shared" si="130"/>
        <v>00076810621</v>
      </c>
      <c r="E1655" t="s">
        <v>52</v>
      </c>
      <c r="F1655">
        <v>2015</v>
      </c>
      <c r="G1655">
        <v>4076</v>
      </c>
      <c r="H1655" s="1">
        <v>42018</v>
      </c>
      <c r="I1655" s="1">
        <v>42030</v>
      </c>
      <c r="J1655" s="1">
        <v>42030</v>
      </c>
      <c r="K1655" s="1">
        <v>42090</v>
      </c>
      <c r="N1655" s="5"/>
      <c r="O1655">
        <v>11.87</v>
      </c>
      <c r="P1655">
        <v>165</v>
      </c>
      <c r="Q1655" s="2">
        <v>1958.55</v>
      </c>
      <c r="R1655">
        <v>0</v>
      </c>
      <c r="V1655">
        <v>0</v>
      </c>
      <c r="W1655">
        <v>0</v>
      </c>
      <c r="X1655">
        <v>0</v>
      </c>
      <c r="Y1655">
        <v>13.06</v>
      </c>
      <c r="Z1655">
        <v>13.06</v>
      </c>
      <c r="AA1655">
        <v>13.06</v>
      </c>
      <c r="AB1655" s="1">
        <v>42382</v>
      </c>
      <c r="AC1655" t="s">
        <v>53</v>
      </c>
      <c r="AD1655" t="s">
        <v>53</v>
      </c>
      <c r="AK1655">
        <v>0</v>
      </c>
      <c r="AU1655" s="6">
        <v>42255</v>
      </c>
      <c r="AV1655" s="6">
        <v>42255</v>
      </c>
      <c r="AW1655" t="s">
        <v>54</v>
      </c>
      <c r="AX1655" t="str">
        <f t="shared" si="127"/>
        <v>FOR</v>
      </c>
      <c r="AY1655" t="s">
        <v>55</v>
      </c>
    </row>
    <row r="1656" spans="1:51" hidden="1">
      <c r="A1656">
        <v>100360</v>
      </c>
      <c r="B1656" t="s">
        <v>131</v>
      </c>
      <c r="C1656" t="str">
        <f t="shared" si="130"/>
        <v>00076810621</v>
      </c>
      <c r="D1656" t="str">
        <f t="shared" si="130"/>
        <v>00076810621</v>
      </c>
      <c r="E1656" t="s">
        <v>52</v>
      </c>
      <c r="F1656">
        <v>2015</v>
      </c>
      <c r="G1656">
        <v>4306</v>
      </c>
      <c r="H1656" s="1">
        <v>42019</v>
      </c>
      <c r="I1656" s="1">
        <v>42030</v>
      </c>
      <c r="J1656" s="1">
        <v>42030</v>
      </c>
      <c r="K1656" s="1">
        <v>42090</v>
      </c>
      <c r="N1656" s="5"/>
      <c r="O1656">
        <v>50.05</v>
      </c>
      <c r="P1656">
        <v>165</v>
      </c>
      <c r="Q1656" s="2">
        <v>8258.25</v>
      </c>
      <c r="R1656">
        <v>0</v>
      </c>
      <c r="V1656">
        <v>0</v>
      </c>
      <c r="W1656">
        <v>0</v>
      </c>
      <c r="X1656">
        <v>0</v>
      </c>
      <c r="Y1656">
        <v>55.06</v>
      </c>
      <c r="Z1656">
        <v>55.06</v>
      </c>
      <c r="AA1656">
        <v>55.06</v>
      </c>
      <c r="AB1656" s="1">
        <v>42382</v>
      </c>
      <c r="AC1656" t="s">
        <v>53</v>
      </c>
      <c r="AD1656" t="s">
        <v>53</v>
      </c>
      <c r="AK1656">
        <v>0</v>
      </c>
      <c r="AU1656" s="6">
        <v>42255</v>
      </c>
      <c r="AV1656" s="6">
        <v>42255</v>
      </c>
      <c r="AW1656" t="s">
        <v>54</v>
      </c>
      <c r="AX1656" t="str">
        <f t="shared" si="127"/>
        <v>FOR</v>
      </c>
      <c r="AY1656" t="s">
        <v>55</v>
      </c>
    </row>
    <row r="1657" spans="1:51" hidden="1">
      <c r="A1657">
        <v>100360</v>
      </c>
      <c r="B1657" t="s">
        <v>131</v>
      </c>
      <c r="C1657" t="str">
        <f t="shared" si="130"/>
        <v>00076810621</v>
      </c>
      <c r="D1657" t="str">
        <f t="shared" si="130"/>
        <v>00076810621</v>
      </c>
      <c r="E1657" t="s">
        <v>52</v>
      </c>
      <c r="F1657">
        <v>2015</v>
      </c>
      <c r="G1657">
        <v>4328</v>
      </c>
      <c r="H1657" s="1">
        <v>42019</v>
      </c>
      <c r="I1657" s="1">
        <v>42030</v>
      </c>
      <c r="J1657" s="1">
        <v>42030</v>
      </c>
      <c r="K1657" s="1">
        <v>42090</v>
      </c>
      <c r="N1657" s="5"/>
      <c r="O1657">
        <v>7.91</v>
      </c>
      <c r="P1657">
        <v>165</v>
      </c>
      <c r="Q1657" s="2">
        <v>1305.1500000000001</v>
      </c>
      <c r="R1657">
        <v>0</v>
      </c>
      <c r="V1657">
        <v>0</v>
      </c>
      <c r="W1657">
        <v>0</v>
      </c>
      <c r="X1657">
        <v>0</v>
      </c>
      <c r="Y1657">
        <v>8.6999999999999993</v>
      </c>
      <c r="Z1657">
        <v>8.6999999999999993</v>
      </c>
      <c r="AA1657">
        <v>8.6999999999999993</v>
      </c>
      <c r="AB1657" s="1">
        <v>42382</v>
      </c>
      <c r="AC1657" t="s">
        <v>53</v>
      </c>
      <c r="AD1657" t="s">
        <v>53</v>
      </c>
      <c r="AK1657">
        <v>0</v>
      </c>
      <c r="AU1657" s="6">
        <v>42255</v>
      </c>
      <c r="AV1657" s="6">
        <v>42255</v>
      </c>
      <c r="AW1657" t="s">
        <v>54</v>
      </c>
      <c r="AX1657" t="str">
        <f t="shared" si="127"/>
        <v>FOR</v>
      </c>
      <c r="AY1657" t="s">
        <v>55</v>
      </c>
    </row>
    <row r="1658" spans="1:51" hidden="1">
      <c r="A1658">
        <v>100360</v>
      </c>
      <c r="B1658" t="s">
        <v>131</v>
      </c>
      <c r="C1658" t="str">
        <f t="shared" si="130"/>
        <v>00076810621</v>
      </c>
      <c r="D1658" t="str">
        <f t="shared" si="130"/>
        <v>00076810621</v>
      </c>
      <c r="E1658" t="s">
        <v>52</v>
      </c>
      <c r="F1658">
        <v>2015</v>
      </c>
      <c r="G1658">
        <v>4759</v>
      </c>
      <c r="H1658" s="1">
        <v>42020</v>
      </c>
      <c r="I1658" s="1">
        <v>42025</v>
      </c>
      <c r="J1658" s="1">
        <v>42025</v>
      </c>
      <c r="K1658" s="1">
        <v>42085</v>
      </c>
      <c r="N1658" s="5"/>
      <c r="O1658">
        <v>4.74</v>
      </c>
      <c r="P1658">
        <v>170</v>
      </c>
      <c r="Q1658">
        <v>805.8</v>
      </c>
      <c r="R1658">
        <v>0</v>
      </c>
      <c r="V1658">
        <v>0</v>
      </c>
      <c r="W1658">
        <v>0</v>
      </c>
      <c r="X1658">
        <v>0</v>
      </c>
      <c r="Y1658">
        <v>5.21</v>
      </c>
      <c r="Z1658">
        <v>5.21</v>
      </c>
      <c r="AA1658">
        <v>5.21</v>
      </c>
      <c r="AB1658" s="1">
        <v>42382</v>
      </c>
      <c r="AC1658" t="s">
        <v>53</v>
      </c>
      <c r="AD1658" t="s">
        <v>53</v>
      </c>
      <c r="AK1658">
        <v>0</v>
      </c>
      <c r="AU1658" s="6">
        <v>42255</v>
      </c>
      <c r="AV1658" s="6">
        <v>42255</v>
      </c>
      <c r="AW1658" t="s">
        <v>54</v>
      </c>
      <c r="AX1658" t="str">
        <f t="shared" si="127"/>
        <v>FOR</v>
      </c>
      <c r="AY1658" t="s">
        <v>55</v>
      </c>
    </row>
    <row r="1659" spans="1:51" hidden="1">
      <c r="A1659">
        <v>100360</v>
      </c>
      <c r="B1659" t="s">
        <v>131</v>
      </c>
      <c r="C1659" t="str">
        <f t="shared" si="130"/>
        <v>00076810621</v>
      </c>
      <c r="D1659" t="str">
        <f t="shared" si="130"/>
        <v>00076810621</v>
      </c>
      <c r="E1659" t="s">
        <v>52</v>
      </c>
      <c r="F1659">
        <v>2015</v>
      </c>
      <c r="G1659">
        <v>4949</v>
      </c>
      <c r="H1659" s="1">
        <v>42020</v>
      </c>
      <c r="I1659" s="1">
        <v>42025</v>
      </c>
      <c r="J1659" s="1">
        <v>42025</v>
      </c>
      <c r="K1659" s="1">
        <v>42085</v>
      </c>
      <c r="N1659" s="5"/>
      <c r="O1659">
        <v>41.11</v>
      </c>
      <c r="P1659">
        <v>170</v>
      </c>
      <c r="Q1659" s="2">
        <v>6988.7</v>
      </c>
      <c r="R1659">
        <v>0</v>
      </c>
      <c r="V1659">
        <v>0</v>
      </c>
      <c r="W1659">
        <v>0</v>
      </c>
      <c r="X1659">
        <v>0</v>
      </c>
      <c r="Y1659">
        <v>45.22</v>
      </c>
      <c r="Z1659">
        <v>45.22</v>
      </c>
      <c r="AA1659">
        <v>45.22</v>
      </c>
      <c r="AB1659" s="1">
        <v>42382</v>
      </c>
      <c r="AC1659" t="s">
        <v>53</v>
      </c>
      <c r="AD1659" t="s">
        <v>53</v>
      </c>
      <c r="AK1659">
        <v>0</v>
      </c>
      <c r="AU1659" s="6">
        <v>42255</v>
      </c>
      <c r="AV1659" s="6">
        <v>42255</v>
      </c>
      <c r="AW1659" t="s">
        <v>54</v>
      </c>
      <c r="AX1659" t="str">
        <f t="shared" si="127"/>
        <v>FOR</v>
      </c>
      <c r="AY1659" t="s">
        <v>55</v>
      </c>
    </row>
    <row r="1660" spans="1:51" hidden="1">
      <c r="A1660">
        <v>100360</v>
      </c>
      <c r="B1660" t="s">
        <v>131</v>
      </c>
      <c r="C1660" t="str">
        <f t="shared" si="130"/>
        <v>00076810621</v>
      </c>
      <c r="D1660" t="str">
        <f t="shared" si="130"/>
        <v>00076810621</v>
      </c>
      <c r="E1660" t="s">
        <v>52</v>
      </c>
      <c r="F1660">
        <v>2015</v>
      </c>
      <c r="G1660">
        <v>5680</v>
      </c>
      <c r="H1660" s="1">
        <v>42023</v>
      </c>
      <c r="I1660" s="1">
        <v>42026</v>
      </c>
      <c r="J1660" s="1">
        <v>42026</v>
      </c>
      <c r="K1660" s="1">
        <v>42086</v>
      </c>
      <c r="N1660" s="5"/>
      <c r="O1660">
        <v>49.66</v>
      </c>
      <c r="P1660">
        <v>169</v>
      </c>
      <c r="Q1660" s="2">
        <v>8392.5400000000009</v>
      </c>
      <c r="R1660">
        <v>0</v>
      </c>
      <c r="V1660">
        <v>0</v>
      </c>
      <c r="W1660">
        <v>0</v>
      </c>
      <c r="X1660">
        <v>0</v>
      </c>
      <c r="Y1660">
        <v>54.63</v>
      </c>
      <c r="Z1660">
        <v>54.63</v>
      </c>
      <c r="AA1660">
        <v>54.63</v>
      </c>
      <c r="AB1660" s="1">
        <v>42382</v>
      </c>
      <c r="AC1660" t="s">
        <v>53</v>
      </c>
      <c r="AD1660" t="s">
        <v>53</v>
      </c>
      <c r="AK1660">
        <v>0</v>
      </c>
      <c r="AU1660" s="6">
        <v>42255</v>
      </c>
      <c r="AV1660" s="6">
        <v>42255</v>
      </c>
      <c r="AW1660" t="s">
        <v>54</v>
      </c>
      <c r="AX1660" t="str">
        <f t="shared" si="127"/>
        <v>FOR</v>
      </c>
      <c r="AY1660" t="s">
        <v>55</v>
      </c>
    </row>
    <row r="1661" spans="1:51" hidden="1">
      <c r="A1661">
        <v>100360</v>
      </c>
      <c r="B1661" t="s">
        <v>131</v>
      </c>
      <c r="C1661" t="str">
        <f t="shared" si="130"/>
        <v>00076810621</v>
      </c>
      <c r="D1661" t="str">
        <f t="shared" si="130"/>
        <v>00076810621</v>
      </c>
      <c r="E1661" t="s">
        <v>52</v>
      </c>
      <c r="F1661">
        <v>2015</v>
      </c>
      <c r="G1661">
        <v>5909</v>
      </c>
      <c r="H1661" s="1">
        <v>42024</v>
      </c>
      <c r="I1661" s="1">
        <v>42026</v>
      </c>
      <c r="J1661" s="1">
        <v>42026</v>
      </c>
      <c r="K1661" s="1">
        <v>42086</v>
      </c>
      <c r="N1661" s="5"/>
      <c r="O1661">
        <v>21.77</v>
      </c>
      <c r="P1661">
        <v>169</v>
      </c>
      <c r="Q1661" s="2">
        <v>3679.13</v>
      </c>
      <c r="R1661">
        <v>0</v>
      </c>
      <c r="V1661">
        <v>0</v>
      </c>
      <c r="W1661">
        <v>0</v>
      </c>
      <c r="X1661">
        <v>0</v>
      </c>
      <c r="Y1661">
        <v>23.95</v>
      </c>
      <c r="Z1661">
        <v>23.95</v>
      </c>
      <c r="AA1661">
        <v>23.95</v>
      </c>
      <c r="AB1661" s="1">
        <v>42382</v>
      </c>
      <c r="AC1661" t="s">
        <v>53</v>
      </c>
      <c r="AD1661" t="s">
        <v>53</v>
      </c>
      <c r="AK1661">
        <v>0</v>
      </c>
      <c r="AU1661" s="6">
        <v>42255</v>
      </c>
      <c r="AV1661" s="6">
        <v>42255</v>
      </c>
      <c r="AW1661" t="s">
        <v>54</v>
      </c>
      <c r="AX1661" t="str">
        <f t="shared" si="127"/>
        <v>FOR</v>
      </c>
      <c r="AY1661" t="s">
        <v>55</v>
      </c>
    </row>
    <row r="1662" spans="1:51" hidden="1">
      <c r="A1662">
        <v>100360</v>
      </c>
      <c r="B1662" t="s">
        <v>131</v>
      </c>
      <c r="C1662" t="str">
        <f t="shared" si="130"/>
        <v>00076810621</v>
      </c>
      <c r="D1662" t="str">
        <f t="shared" si="130"/>
        <v>00076810621</v>
      </c>
      <c r="E1662" t="s">
        <v>52</v>
      </c>
      <c r="F1662">
        <v>2015</v>
      </c>
      <c r="G1662">
        <v>5917</v>
      </c>
      <c r="H1662" s="1">
        <v>42024</v>
      </c>
      <c r="I1662" s="1">
        <v>42026</v>
      </c>
      <c r="J1662" s="1">
        <v>42026</v>
      </c>
      <c r="K1662" s="1">
        <v>42086</v>
      </c>
      <c r="N1662" s="5"/>
      <c r="O1662">
        <v>85.35</v>
      </c>
      <c r="P1662">
        <v>169</v>
      </c>
      <c r="Q1662" s="2">
        <v>14424.15</v>
      </c>
      <c r="R1662">
        <v>0</v>
      </c>
      <c r="V1662">
        <v>0</v>
      </c>
      <c r="W1662">
        <v>0</v>
      </c>
      <c r="X1662">
        <v>0</v>
      </c>
      <c r="Y1662">
        <v>93.89</v>
      </c>
      <c r="Z1662">
        <v>93.89</v>
      </c>
      <c r="AA1662">
        <v>93.89</v>
      </c>
      <c r="AB1662" s="1">
        <v>42382</v>
      </c>
      <c r="AC1662" t="s">
        <v>53</v>
      </c>
      <c r="AD1662" t="s">
        <v>53</v>
      </c>
      <c r="AK1662">
        <v>0</v>
      </c>
      <c r="AU1662" s="6">
        <v>42255</v>
      </c>
      <c r="AV1662" s="6">
        <v>42255</v>
      </c>
      <c r="AW1662" t="s">
        <v>54</v>
      </c>
      <c r="AX1662" t="str">
        <f t="shared" si="127"/>
        <v>FOR</v>
      </c>
      <c r="AY1662" t="s">
        <v>55</v>
      </c>
    </row>
    <row r="1663" spans="1:51" hidden="1">
      <c r="A1663">
        <v>100360</v>
      </c>
      <c r="B1663" t="s">
        <v>131</v>
      </c>
      <c r="C1663" t="str">
        <f t="shared" si="130"/>
        <v>00076810621</v>
      </c>
      <c r="D1663" t="str">
        <f t="shared" si="130"/>
        <v>00076810621</v>
      </c>
      <c r="E1663" t="s">
        <v>52</v>
      </c>
      <c r="F1663">
        <v>2015</v>
      </c>
      <c r="G1663">
        <v>6523</v>
      </c>
      <c r="H1663" s="1">
        <v>42025</v>
      </c>
      <c r="I1663" s="1">
        <v>42030</v>
      </c>
      <c r="J1663" s="1">
        <v>42030</v>
      </c>
      <c r="K1663" s="1">
        <v>42090</v>
      </c>
      <c r="N1663" s="5"/>
      <c r="O1663">
        <v>76.45</v>
      </c>
      <c r="P1663">
        <v>165</v>
      </c>
      <c r="Q1663" s="2">
        <v>12614.25</v>
      </c>
      <c r="R1663">
        <v>0</v>
      </c>
      <c r="V1663">
        <v>0</v>
      </c>
      <c r="W1663">
        <v>0</v>
      </c>
      <c r="X1663">
        <v>0</v>
      </c>
      <c r="Y1663">
        <v>84.1</v>
      </c>
      <c r="Z1663">
        <v>84.1</v>
      </c>
      <c r="AA1663">
        <v>84.1</v>
      </c>
      <c r="AB1663" s="1">
        <v>42382</v>
      </c>
      <c r="AC1663" t="s">
        <v>53</v>
      </c>
      <c r="AD1663" t="s">
        <v>53</v>
      </c>
      <c r="AK1663">
        <v>0</v>
      </c>
      <c r="AU1663" s="6">
        <v>42255</v>
      </c>
      <c r="AV1663" s="6">
        <v>42255</v>
      </c>
      <c r="AW1663" t="s">
        <v>54</v>
      </c>
      <c r="AX1663" t="str">
        <f t="shared" si="127"/>
        <v>FOR</v>
      </c>
      <c r="AY1663" t="s">
        <v>55</v>
      </c>
    </row>
    <row r="1664" spans="1:51" hidden="1">
      <c r="A1664">
        <v>100360</v>
      </c>
      <c r="B1664" t="s">
        <v>131</v>
      </c>
      <c r="C1664" t="str">
        <f t="shared" si="130"/>
        <v>00076810621</v>
      </c>
      <c r="D1664" t="str">
        <f t="shared" si="130"/>
        <v>00076810621</v>
      </c>
      <c r="E1664" t="s">
        <v>52</v>
      </c>
      <c r="F1664">
        <v>2015</v>
      </c>
      <c r="G1664">
        <v>6879</v>
      </c>
      <c r="H1664" s="1">
        <v>42026</v>
      </c>
      <c r="I1664" s="1">
        <v>42030</v>
      </c>
      <c r="J1664" s="1">
        <v>42030</v>
      </c>
      <c r="K1664" s="1">
        <v>42090</v>
      </c>
      <c r="N1664" s="5"/>
      <c r="O1664">
        <v>37.64</v>
      </c>
      <c r="P1664">
        <v>165</v>
      </c>
      <c r="Q1664" s="2">
        <v>6210.6</v>
      </c>
      <c r="R1664">
        <v>0</v>
      </c>
      <c r="V1664">
        <v>0</v>
      </c>
      <c r="W1664">
        <v>0</v>
      </c>
      <c r="X1664">
        <v>0</v>
      </c>
      <c r="Y1664">
        <v>41.4</v>
      </c>
      <c r="Z1664">
        <v>41.4</v>
      </c>
      <c r="AA1664">
        <v>41.4</v>
      </c>
      <c r="AB1664" s="1">
        <v>42382</v>
      </c>
      <c r="AC1664" t="s">
        <v>53</v>
      </c>
      <c r="AD1664" t="s">
        <v>53</v>
      </c>
      <c r="AK1664">
        <v>0</v>
      </c>
      <c r="AU1664" s="6">
        <v>42255</v>
      </c>
      <c r="AV1664" s="6">
        <v>42255</v>
      </c>
      <c r="AW1664" t="s">
        <v>54</v>
      </c>
      <c r="AX1664" t="str">
        <f t="shared" si="127"/>
        <v>FOR</v>
      </c>
      <c r="AY1664" t="s">
        <v>55</v>
      </c>
    </row>
    <row r="1665" spans="1:51" hidden="1">
      <c r="A1665">
        <v>100360</v>
      </c>
      <c r="B1665" t="s">
        <v>131</v>
      </c>
      <c r="C1665" t="str">
        <f t="shared" si="130"/>
        <v>00076810621</v>
      </c>
      <c r="D1665" t="str">
        <f t="shared" si="130"/>
        <v>00076810621</v>
      </c>
      <c r="E1665" t="s">
        <v>52</v>
      </c>
      <c r="F1665">
        <v>2015</v>
      </c>
      <c r="G1665">
        <v>7411</v>
      </c>
      <c r="H1665" s="1">
        <v>42027</v>
      </c>
      <c r="I1665" s="1">
        <v>42030</v>
      </c>
      <c r="J1665" s="1">
        <v>42030</v>
      </c>
      <c r="K1665" s="1">
        <v>42090</v>
      </c>
      <c r="N1665" s="5"/>
      <c r="O1665">
        <v>11.25</v>
      </c>
      <c r="P1665">
        <v>165</v>
      </c>
      <c r="Q1665" s="2">
        <v>1856.25</v>
      </c>
      <c r="R1665">
        <v>0</v>
      </c>
      <c r="V1665">
        <v>0</v>
      </c>
      <c r="W1665">
        <v>0</v>
      </c>
      <c r="X1665">
        <v>0</v>
      </c>
      <c r="Y1665">
        <v>12.38</v>
      </c>
      <c r="Z1665">
        <v>12.38</v>
      </c>
      <c r="AA1665">
        <v>12.38</v>
      </c>
      <c r="AB1665" s="1">
        <v>42382</v>
      </c>
      <c r="AC1665" t="s">
        <v>53</v>
      </c>
      <c r="AD1665" t="s">
        <v>53</v>
      </c>
      <c r="AK1665">
        <v>0</v>
      </c>
      <c r="AU1665" s="6">
        <v>42255</v>
      </c>
      <c r="AV1665" s="6">
        <v>42255</v>
      </c>
      <c r="AW1665" t="s">
        <v>54</v>
      </c>
      <c r="AX1665" t="str">
        <f t="shared" si="127"/>
        <v>FOR</v>
      </c>
      <c r="AY1665" t="s">
        <v>55</v>
      </c>
    </row>
    <row r="1666" spans="1:51" hidden="1">
      <c r="A1666">
        <v>100360</v>
      </c>
      <c r="B1666" t="s">
        <v>131</v>
      </c>
      <c r="C1666" t="str">
        <f t="shared" si="130"/>
        <v>00076810621</v>
      </c>
      <c r="D1666" t="str">
        <f t="shared" si="130"/>
        <v>00076810621</v>
      </c>
      <c r="E1666" t="s">
        <v>52</v>
      </c>
      <c r="F1666">
        <v>2015</v>
      </c>
      <c r="G1666">
        <v>7832</v>
      </c>
      <c r="H1666" s="1">
        <v>42030</v>
      </c>
      <c r="I1666" s="1">
        <v>42033</v>
      </c>
      <c r="J1666" s="1">
        <v>42033</v>
      </c>
      <c r="K1666" s="1">
        <v>42093</v>
      </c>
      <c r="N1666" s="5"/>
      <c r="O1666">
        <v>23.86</v>
      </c>
      <c r="P1666">
        <v>162</v>
      </c>
      <c r="Q1666" s="2">
        <v>3865.32</v>
      </c>
      <c r="R1666">
        <v>0</v>
      </c>
      <c r="V1666">
        <v>0</v>
      </c>
      <c r="W1666">
        <v>0</v>
      </c>
      <c r="X1666">
        <v>0</v>
      </c>
      <c r="Y1666">
        <v>26.25</v>
      </c>
      <c r="Z1666">
        <v>26.25</v>
      </c>
      <c r="AA1666">
        <v>26.25</v>
      </c>
      <c r="AB1666" s="1">
        <v>42382</v>
      </c>
      <c r="AC1666" t="s">
        <v>53</v>
      </c>
      <c r="AD1666" t="s">
        <v>53</v>
      </c>
      <c r="AK1666">
        <v>0</v>
      </c>
      <c r="AU1666" s="6">
        <v>42255</v>
      </c>
      <c r="AV1666" s="6">
        <v>42255</v>
      </c>
      <c r="AW1666" t="s">
        <v>54</v>
      </c>
      <c r="AX1666" t="str">
        <f t="shared" si="127"/>
        <v>FOR</v>
      </c>
      <c r="AY1666" t="s">
        <v>55</v>
      </c>
    </row>
    <row r="1667" spans="1:51" hidden="1">
      <c r="A1667">
        <v>100360</v>
      </c>
      <c r="B1667" t="s">
        <v>131</v>
      </c>
      <c r="C1667" t="str">
        <f t="shared" si="130"/>
        <v>00076810621</v>
      </c>
      <c r="D1667" t="str">
        <f t="shared" si="130"/>
        <v>00076810621</v>
      </c>
      <c r="E1667" t="s">
        <v>52</v>
      </c>
      <c r="F1667">
        <v>2015</v>
      </c>
      <c r="G1667">
        <v>8015</v>
      </c>
      <c r="H1667" s="1">
        <v>42030</v>
      </c>
      <c r="I1667" s="1">
        <v>42031</v>
      </c>
      <c r="J1667" s="1">
        <v>42031</v>
      </c>
      <c r="K1667" s="1">
        <v>42091</v>
      </c>
      <c r="N1667" s="5"/>
      <c r="O1667">
        <v>16.8</v>
      </c>
      <c r="P1667">
        <v>164</v>
      </c>
      <c r="Q1667" s="2">
        <v>2755.2</v>
      </c>
      <c r="R1667">
        <v>0</v>
      </c>
      <c r="V1667">
        <v>0</v>
      </c>
      <c r="W1667">
        <v>0</v>
      </c>
      <c r="X1667">
        <v>0</v>
      </c>
      <c r="Y1667">
        <v>18.48</v>
      </c>
      <c r="Z1667">
        <v>18.48</v>
      </c>
      <c r="AA1667">
        <v>18.48</v>
      </c>
      <c r="AB1667" s="1">
        <v>42382</v>
      </c>
      <c r="AC1667" t="s">
        <v>53</v>
      </c>
      <c r="AD1667" t="s">
        <v>53</v>
      </c>
      <c r="AK1667">
        <v>0</v>
      </c>
      <c r="AU1667" s="6">
        <v>42255</v>
      </c>
      <c r="AV1667" s="6">
        <v>42255</v>
      </c>
      <c r="AW1667" t="s">
        <v>54</v>
      </c>
      <c r="AX1667" t="str">
        <f t="shared" ref="AX1667:AX1730" si="131">"FOR"</f>
        <v>FOR</v>
      </c>
      <c r="AY1667" t="s">
        <v>55</v>
      </c>
    </row>
    <row r="1668" spans="1:51" hidden="1">
      <c r="A1668">
        <v>100360</v>
      </c>
      <c r="B1668" t="s">
        <v>131</v>
      </c>
      <c r="C1668" t="str">
        <f t="shared" ref="C1668:D1687" si="132">"00076810621"</f>
        <v>00076810621</v>
      </c>
      <c r="D1668" t="str">
        <f t="shared" si="132"/>
        <v>00076810621</v>
      </c>
      <c r="E1668" t="s">
        <v>52</v>
      </c>
      <c r="F1668">
        <v>2015</v>
      </c>
      <c r="G1668">
        <v>8254</v>
      </c>
      <c r="H1668" s="1">
        <v>42031</v>
      </c>
      <c r="I1668" s="1">
        <v>42033</v>
      </c>
      <c r="J1668" s="1">
        <v>42033</v>
      </c>
      <c r="K1668" s="1">
        <v>42093</v>
      </c>
      <c r="N1668" s="5"/>
      <c r="O1668">
        <v>50.81</v>
      </c>
      <c r="P1668">
        <v>162</v>
      </c>
      <c r="Q1668" s="2">
        <v>8231.2199999999993</v>
      </c>
      <c r="R1668">
        <v>0</v>
      </c>
      <c r="V1668">
        <v>0</v>
      </c>
      <c r="W1668">
        <v>0</v>
      </c>
      <c r="X1668">
        <v>0</v>
      </c>
      <c r="Y1668">
        <v>55.89</v>
      </c>
      <c r="Z1668">
        <v>55.89</v>
      </c>
      <c r="AA1668">
        <v>55.89</v>
      </c>
      <c r="AB1668" s="1">
        <v>42382</v>
      </c>
      <c r="AC1668" t="s">
        <v>53</v>
      </c>
      <c r="AD1668" t="s">
        <v>53</v>
      </c>
      <c r="AK1668">
        <v>0</v>
      </c>
      <c r="AU1668" s="6">
        <v>42255</v>
      </c>
      <c r="AV1668" s="6">
        <v>42255</v>
      </c>
      <c r="AW1668" t="s">
        <v>54</v>
      </c>
      <c r="AX1668" t="str">
        <f t="shared" si="131"/>
        <v>FOR</v>
      </c>
      <c r="AY1668" t="s">
        <v>55</v>
      </c>
    </row>
    <row r="1669" spans="1:51" hidden="1">
      <c r="A1669">
        <v>100360</v>
      </c>
      <c r="B1669" t="s">
        <v>131</v>
      </c>
      <c r="C1669" t="str">
        <f t="shared" si="132"/>
        <v>00076810621</v>
      </c>
      <c r="D1669" t="str">
        <f t="shared" si="132"/>
        <v>00076810621</v>
      </c>
      <c r="E1669" t="s">
        <v>52</v>
      </c>
      <c r="F1669">
        <v>2015</v>
      </c>
      <c r="G1669">
        <v>8473</v>
      </c>
      <c r="H1669" s="1">
        <v>42031</v>
      </c>
      <c r="I1669" s="1">
        <v>42033</v>
      </c>
      <c r="J1669" s="1">
        <v>42033</v>
      </c>
      <c r="K1669" s="1">
        <v>42093</v>
      </c>
      <c r="N1669" s="5"/>
      <c r="O1669">
        <v>40.39</v>
      </c>
      <c r="P1669">
        <v>162</v>
      </c>
      <c r="Q1669" s="2">
        <v>6543.18</v>
      </c>
      <c r="R1669">
        <v>0</v>
      </c>
      <c r="V1669">
        <v>0</v>
      </c>
      <c r="W1669">
        <v>0</v>
      </c>
      <c r="X1669">
        <v>0</v>
      </c>
      <c r="Y1669">
        <v>44.43</v>
      </c>
      <c r="Z1669">
        <v>44.43</v>
      </c>
      <c r="AA1669">
        <v>44.43</v>
      </c>
      <c r="AB1669" s="1">
        <v>42382</v>
      </c>
      <c r="AC1669" t="s">
        <v>53</v>
      </c>
      <c r="AD1669" t="s">
        <v>53</v>
      </c>
      <c r="AK1669">
        <v>0</v>
      </c>
      <c r="AU1669" s="6">
        <v>42255</v>
      </c>
      <c r="AV1669" s="6">
        <v>42255</v>
      </c>
      <c r="AW1669" t="s">
        <v>54</v>
      </c>
      <c r="AX1669" t="str">
        <f t="shared" si="131"/>
        <v>FOR</v>
      </c>
      <c r="AY1669" t="s">
        <v>55</v>
      </c>
    </row>
    <row r="1670" spans="1:51" hidden="1">
      <c r="A1670">
        <v>100360</v>
      </c>
      <c r="B1670" t="s">
        <v>131</v>
      </c>
      <c r="C1670" t="str">
        <f t="shared" si="132"/>
        <v>00076810621</v>
      </c>
      <c r="D1670" t="str">
        <f t="shared" si="132"/>
        <v>00076810621</v>
      </c>
      <c r="E1670" t="s">
        <v>52</v>
      </c>
      <c r="F1670">
        <v>2015</v>
      </c>
      <c r="G1670">
        <v>8884</v>
      </c>
      <c r="H1670" s="1">
        <v>42032</v>
      </c>
      <c r="I1670" s="1">
        <v>42033</v>
      </c>
      <c r="J1670" s="1">
        <v>42033</v>
      </c>
      <c r="K1670" s="1">
        <v>42093</v>
      </c>
      <c r="N1670" s="5"/>
      <c r="O1670">
        <v>46.32</v>
      </c>
      <c r="P1670">
        <v>162</v>
      </c>
      <c r="Q1670" s="2">
        <v>7503.84</v>
      </c>
      <c r="R1670">
        <v>0</v>
      </c>
      <c r="V1670">
        <v>0</v>
      </c>
      <c r="W1670">
        <v>0</v>
      </c>
      <c r="X1670">
        <v>0</v>
      </c>
      <c r="Y1670">
        <v>50.95</v>
      </c>
      <c r="Z1670">
        <v>50.95</v>
      </c>
      <c r="AA1670">
        <v>50.95</v>
      </c>
      <c r="AB1670" s="1">
        <v>42382</v>
      </c>
      <c r="AC1670" t="s">
        <v>53</v>
      </c>
      <c r="AD1670" t="s">
        <v>53</v>
      </c>
      <c r="AK1670">
        <v>0</v>
      </c>
      <c r="AU1670" s="6">
        <v>42255</v>
      </c>
      <c r="AV1670" s="6">
        <v>42255</v>
      </c>
      <c r="AW1670" t="s">
        <v>54</v>
      </c>
      <c r="AX1670" t="str">
        <f t="shared" si="131"/>
        <v>FOR</v>
      </c>
      <c r="AY1670" t="s">
        <v>55</v>
      </c>
    </row>
    <row r="1671" spans="1:51" hidden="1">
      <c r="A1671">
        <v>100360</v>
      </c>
      <c r="B1671" t="s">
        <v>131</v>
      </c>
      <c r="C1671" t="str">
        <f t="shared" si="132"/>
        <v>00076810621</v>
      </c>
      <c r="D1671" t="str">
        <f t="shared" si="132"/>
        <v>00076810621</v>
      </c>
      <c r="E1671" t="s">
        <v>52</v>
      </c>
      <c r="F1671">
        <v>2015</v>
      </c>
      <c r="G1671">
        <v>9304</v>
      </c>
      <c r="H1671" s="1">
        <v>42033</v>
      </c>
      <c r="I1671" s="1">
        <v>42038</v>
      </c>
      <c r="J1671" s="1">
        <v>42038</v>
      </c>
      <c r="K1671" s="1">
        <v>42098</v>
      </c>
      <c r="N1671" s="5"/>
      <c r="O1671">
        <v>55.9</v>
      </c>
      <c r="P1671">
        <v>157</v>
      </c>
      <c r="Q1671" s="2">
        <v>8776.2999999999993</v>
      </c>
      <c r="R1671">
        <v>0</v>
      </c>
      <c r="V1671">
        <v>0</v>
      </c>
      <c r="W1671">
        <v>0</v>
      </c>
      <c r="X1671">
        <v>0</v>
      </c>
      <c r="Y1671">
        <v>62.59</v>
      </c>
      <c r="Z1671">
        <v>62.59</v>
      </c>
      <c r="AA1671">
        <v>62.59</v>
      </c>
      <c r="AB1671" s="1">
        <v>42382</v>
      </c>
      <c r="AC1671" t="s">
        <v>53</v>
      </c>
      <c r="AD1671" t="s">
        <v>53</v>
      </c>
      <c r="AK1671">
        <v>0</v>
      </c>
      <c r="AU1671" s="6">
        <v>42255</v>
      </c>
      <c r="AV1671" s="6">
        <v>42255</v>
      </c>
      <c r="AW1671" t="s">
        <v>54</v>
      </c>
      <c r="AX1671" t="str">
        <f t="shared" si="131"/>
        <v>FOR</v>
      </c>
      <c r="AY1671" t="s">
        <v>55</v>
      </c>
    </row>
    <row r="1672" spans="1:51" hidden="1">
      <c r="A1672">
        <v>100360</v>
      </c>
      <c r="B1672" t="s">
        <v>131</v>
      </c>
      <c r="C1672" t="str">
        <f t="shared" si="132"/>
        <v>00076810621</v>
      </c>
      <c r="D1672" t="str">
        <f t="shared" si="132"/>
        <v>00076810621</v>
      </c>
      <c r="E1672" t="s">
        <v>52</v>
      </c>
      <c r="F1672">
        <v>2015</v>
      </c>
      <c r="G1672">
        <v>9712</v>
      </c>
      <c r="H1672" s="1">
        <v>42034</v>
      </c>
      <c r="I1672" s="1">
        <v>42038</v>
      </c>
      <c r="J1672" s="1">
        <v>42038</v>
      </c>
      <c r="K1672" s="1">
        <v>42098</v>
      </c>
      <c r="N1672" s="5"/>
      <c r="O1672">
        <v>22.23</v>
      </c>
      <c r="P1672">
        <v>157</v>
      </c>
      <c r="Q1672" s="2">
        <v>3490.11</v>
      </c>
      <c r="R1672">
        <v>0</v>
      </c>
      <c r="V1672">
        <v>0</v>
      </c>
      <c r="W1672">
        <v>0</v>
      </c>
      <c r="X1672">
        <v>0</v>
      </c>
      <c r="Y1672">
        <v>24.45</v>
      </c>
      <c r="Z1672">
        <v>24.45</v>
      </c>
      <c r="AA1672">
        <v>24.45</v>
      </c>
      <c r="AB1672" s="1">
        <v>42382</v>
      </c>
      <c r="AC1672" t="s">
        <v>53</v>
      </c>
      <c r="AD1672" t="s">
        <v>53</v>
      </c>
      <c r="AK1672">
        <v>0</v>
      </c>
      <c r="AU1672" s="6">
        <v>42255</v>
      </c>
      <c r="AV1672" s="6">
        <v>42255</v>
      </c>
      <c r="AW1672" t="s">
        <v>54</v>
      </c>
      <c r="AX1672" t="str">
        <f t="shared" si="131"/>
        <v>FOR</v>
      </c>
      <c r="AY1672" t="s">
        <v>55</v>
      </c>
    </row>
    <row r="1673" spans="1:51" hidden="1">
      <c r="A1673">
        <v>100360</v>
      </c>
      <c r="B1673" t="s">
        <v>131</v>
      </c>
      <c r="C1673" t="str">
        <f t="shared" si="132"/>
        <v>00076810621</v>
      </c>
      <c r="D1673" t="str">
        <f t="shared" si="132"/>
        <v>00076810621</v>
      </c>
      <c r="E1673" t="s">
        <v>52</v>
      </c>
      <c r="F1673">
        <v>2015</v>
      </c>
      <c r="G1673">
        <v>9891</v>
      </c>
      <c r="H1673" s="1">
        <v>42035</v>
      </c>
      <c r="I1673" s="1">
        <v>42038</v>
      </c>
      <c r="J1673" s="1">
        <v>42038</v>
      </c>
      <c r="K1673" s="1">
        <v>42098</v>
      </c>
      <c r="N1673" s="5"/>
      <c r="O1673">
        <v>41.92</v>
      </c>
      <c r="P1673">
        <v>157</v>
      </c>
      <c r="Q1673" s="2">
        <v>6581.44</v>
      </c>
      <c r="R1673">
        <v>0</v>
      </c>
      <c r="V1673">
        <v>0</v>
      </c>
      <c r="W1673">
        <v>0</v>
      </c>
      <c r="X1673">
        <v>0</v>
      </c>
      <c r="Y1673">
        <v>47.21</v>
      </c>
      <c r="Z1673">
        <v>47.21</v>
      </c>
      <c r="AA1673">
        <v>47.21</v>
      </c>
      <c r="AB1673" s="1">
        <v>42382</v>
      </c>
      <c r="AC1673" t="s">
        <v>53</v>
      </c>
      <c r="AD1673" t="s">
        <v>53</v>
      </c>
      <c r="AK1673">
        <v>0</v>
      </c>
      <c r="AU1673" s="6">
        <v>42255</v>
      </c>
      <c r="AV1673" s="6">
        <v>42255</v>
      </c>
      <c r="AW1673" t="s">
        <v>54</v>
      </c>
      <c r="AX1673" t="str">
        <f t="shared" si="131"/>
        <v>FOR</v>
      </c>
      <c r="AY1673" t="s">
        <v>55</v>
      </c>
    </row>
    <row r="1674" spans="1:51" hidden="1">
      <c r="A1674">
        <v>100360</v>
      </c>
      <c r="B1674" t="s">
        <v>131</v>
      </c>
      <c r="C1674" t="str">
        <f t="shared" si="132"/>
        <v>00076810621</v>
      </c>
      <c r="D1674" t="str">
        <f t="shared" si="132"/>
        <v>00076810621</v>
      </c>
      <c r="E1674" t="s">
        <v>52</v>
      </c>
      <c r="F1674">
        <v>2015</v>
      </c>
      <c r="G1674">
        <v>10144</v>
      </c>
      <c r="H1674" s="1">
        <v>42037</v>
      </c>
      <c r="I1674" s="1">
        <v>42040</v>
      </c>
      <c r="J1674" s="1">
        <v>42040</v>
      </c>
      <c r="K1674" s="1">
        <v>42100</v>
      </c>
      <c r="N1674" s="5"/>
      <c r="O1674">
        <v>44.68</v>
      </c>
      <c r="P1674">
        <v>155</v>
      </c>
      <c r="Q1674" s="2">
        <v>6925.4</v>
      </c>
      <c r="R1674">
        <v>0</v>
      </c>
      <c r="V1674">
        <v>0</v>
      </c>
      <c r="W1674">
        <v>0</v>
      </c>
      <c r="X1674">
        <v>0</v>
      </c>
      <c r="Y1674">
        <v>49.15</v>
      </c>
      <c r="Z1674">
        <v>49.15</v>
      </c>
      <c r="AA1674">
        <v>49.15</v>
      </c>
      <c r="AB1674" s="1">
        <v>42382</v>
      </c>
      <c r="AC1674" t="s">
        <v>53</v>
      </c>
      <c r="AD1674" t="s">
        <v>53</v>
      </c>
      <c r="AK1674">
        <v>0</v>
      </c>
      <c r="AU1674" s="6">
        <v>42255</v>
      </c>
      <c r="AV1674" s="6">
        <v>42255</v>
      </c>
      <c r="AW1674" t="s">
        <v>54</v>
      </c>
      <c r="AX1674" t="str">
        <f t="shared" si="131"/>
        <v>FOR</v>
      </c>
      <c r="AY1674" t="s">
        <v>55</v>
      </c>
    </row>
    <row r="1675" spans="1:51" hidden="1">
      <c r="A1675">
        <v>100360</v>
      </c>
      <c r="B1675" t="s">
        <v>131</v>
      </c>
      <c r="C1675" t="str">
        <f t="shared" si="132"/>
        <v>00076810621</v>
      </c>
      <c r="D1675" t="str">
        <f t="shared" si="132"/>
        <v>00076810621</v>
      </c>
      <c r="E1675" t="s">
        <v>52</v>
      </c>
      <c r="F1675">
        <v>2015</v>
      </c>
      <c r="G1675">
        <v>10355</v>
      </c>
      <c r="H1675" s="1">
        <v>42037</v>
      </c>
      <c r="I1675" s="1">
        <v>42040</v>
      </c>
      <c r="J1675" s="1">
        <v>42040</v>
      </c>
      <c r="K1675" s="1">
        <v>42100</v>
      </c>
      <c r="N1675" s="5"/>
      <c r="O1675">
        <v>28.73</v>
      </c>
      <c r="P1675">
        <v>155</v>
      </c>
      <c r="Q1675" s="2">
        <v>4453.1499999999996</v>
      </c>
      <c r="R1675">
        <v>0</v>
      </c>
      <c r="V1675">
        <v>0</v>
      </c>
      <c r="W1675">
        <v>0</v>
      </c>
      <c r="X1675">
        <v>0</v>
      </c>
      <c r="Y1675">
        <v>31.6</v>
      </c>
      <c r="Z1675">
        <v>31.6</v>
      </c>
      <c r="AA1675">
        <v>31.6</v>
      </c>
      <c r="AB1675" s="1">
        <v>42382</v>
      </c>
      <c r="AC1675" t="s">
        <v>53</v>
      </c>
      <c r="AD1675" t="s">
        <v>53</v>
      </c>
      <c r="AK1675">
        <v>0</v>
      </c>
      <c r="AU1675" s="6">
        <v>42255</v>
      </c>
      <c r="AV1675" s="6">
        <v>42255</v>
      </c>
      <c r="AW1675" t="s">
        <v>54</v>
      </c>
      <c r="AX1675" t="str">
        <f t="shared" si="131"/>
        <v>FOR</v>
      </c>
      <c r="AY1675" t="s">
        <v>55</v>
      </c>
    </row>
    <row r="1676" spans="1:51" hidden="1">
      <c r="A1676">
        <v>100360</v>
      </c>
      <c r="B1676" t="s">
        <v>131</v>
      </c>
      <c r="C1676" t="str">
        <f t="shared" si="132"/>
        <v>00076810621</v>
      </c>
      <c r="D1676" t="str">
        <f t="shared" si="132"/>
        <v>00076810621</v>
      </c>
      <c r="E1676" t="s">
        <v>52</v>
      </c>
      <c r="F1676">
        <v>2015</v>
      </c>
      <c r="G1676">
        <v>10379</v>
      </c>
      <c r="H1676" s="1">
        <v>42037</v>
      </c>
      <c r="I1676" s="1">
        <v>42040</v>
      </c>
      <c r="J1676" s="1">
        <v>42040</v>
      </c>
      <c r="K1676" s="1">
        <v>42100</v>
      </c>
      <c r="N1676" s="5"/>
      <c r="O1676">
        <v>30.32</v>
      </c>
      <c r="P1676">
        <v>155</v>
      </c>
      <c r="Q1676" s="2">
        <v>4699.6000000000004</v>
      </c>
      <c r="R1676">
        <v>0</v>
      </c>
      <c r="V1676">
        <v>0</v>
      </c>
      <c r="W1676">
        <v>0</v>
      </c>
      <c r="X1676">
        <v>0</v>
      </c>
      <c r="Y1676">
        <v>33.35</v>
      </c>
      <c r="Z1676">
        <v>33.35</v>
      </c>
      <c r="AA1676">
        <v>33.35</v>
      </c>
      <c r="AB1676" s="1">
        <v>42382</v>
      </c>
      <c r="AC1676" t="s">
        <v>53</v>
      </c>
      <c r="AD1676" t="s">
        <v>53</v>
      </c>
      <c r="AK1676">
        <v>0</v>
      </c>
      <c r="AU1676" s="6">
        <v>42255</v>
      </c>
      <c r="AV1676" s="6">
        <v>42255</v>
      </c>
      <c r="AW1676" t="s">
        <v>54</v>
      </c>
      <c r="AX1676" t="str">
        <f t="shared" si="131"/>
        <v>FOR</v>
      </c>
      <c r="AY1676" t="s">
        <v>55</v>
      </c>
    </row>
    <row r="1677" spans="1:51" hidden="1">
      <c r="A1677">
        <v>100360</v>
      </c>
      <c r="B1677" t="s">
        <v>131</v>
      </c>
      <c r="C1677" t="str">
        <f t="shared" si="132"/>
        <v>00076810621</v>
      </c>
      <c r="D1677" t="str">
        <f t="shared" si="132"/>
        <v>00076810621</v>
      </c>
      <c r="E1677" t="s">
        <v>52</v>
      </c>
      <c r="F1677">
        <v>2015</v>
      </c>
      <c r="G1677">
        <v>10825</v>
      </c>
      <c r="H1677" s="1">
        <v>42038</v>
      </c>
      <c r="I1677" s="1">
        <v>42044</v>
      </c>
      <c r="J1677" s="1">
        <v>42044</v>
      </c>
      <c r="K1677" s="1">
        <v>42104</v>
      </c>
      <c r="N1677" s="5"/>
      <c r="O1677">
        <v>60.8</v>
      </c>
      <c r="P1677">
        <v>151</v>
      </c>
      <c r="Q1677" s="2">
        <v>9180.7999999999993</v>
      </c>
      <c r="R1677">
        <v>0</v>
      </c>
      <c r="V1677">
        <v>0</v>
      </c>
      <c r="W1677">
        <v>0</v>
      </c>
      <c r="X1677">
        <v>0</v>
      </c>
      <c r="Y1677">
        <v>66.88</v>
      </c>
      <c r="Z1677">
        <v>66.88</v>
      </c>
      <c r="AA1677">
        <v>66.88</v>
      </c>
      <c r="AB1677" s="1">
        <v>42382</v>
      </c>
      <c r="AC1677" t="s">
        <v>53</v>
      </c>
      <c r="AD1677" t="s">
        <v>53</v>
      </c>
      <c r="AK1677">
        <v>0</v>
      </c>
      <c r="AU1677" s="6">
        <v>42255</v>
      </c>
      <c r="AV1677" s="6">
        <v>42255</v>
      </c>
      <c r="AW1677" t="s">
        <v>54</v>
      </c>
      <c r="AX1677" t="str">
        <f t="shared" si="131"/>
        <v>FOR</v>
      </c>
      <c r="AY1677" t="s">
        <v>55</v>
      </c>
    </row>
    <row r="1678" spans="1:51" hidden="1">
      <c r="A1678">
        <v>100360</v>
      </c>
      <c r="B1678" t="s">
        <v>131</v>
      </c>
      <c r="C1678" t="str">
        <f t="shared" si="132"/>
        <v>00076810621</v>
      </c>
      <c r="D1678" t="str">
        <f t="shared" si="132"/>
        <v>00076810621</v>
      </c>
      <c r="E1678" t="s">
        <v>52</v>
      </c>
      <c r="F1678">
        <v>2015</v>
      </c>
      <c r="G1678">
        <v>11253</v>
      </c>
      <c r="H1678" s="1">
        <v>42039</v>
      </c>
      <c r="I1678" s="1">
        <v>42044</v>
      </c>
      <c r="J1678" s="1">
        <v>42044</v>
      </c>
      <c r="K1678" s="1">
        <v>42104</v>
      </c>
      <c r="N1678" s="5"/>
      <c r="O1678">
        <v>42.44</v>
      </c>
      <c r="P1678">
        <v>151</v>
      </c>
      <c r="Q1678" s="2">
        <v>6408.44</v>
      </c>
      <c r="R1678">
        <v>0</v>
      </c>
      <c r="V1678">
        <v>0</v>
      </c>
      <c r="W1678">
        <v>0</v>
      </c>
      <c r="X1678">
        <v>0</v>
      </c>
      <c r="Y1678">
        <v>46.68</v>
      </c>
      <c r="Z1678">
        <v>46.68</v>
      </c>
      <c r="AA1678">
        <v>46.68</v>
      </c>
      <c r="AB1678" s="1">
        <v>42382</v>
      </c>
      <c r="AC1678" t="s">
        <v>53</v>
      </c>
      <c r="AD1678" t="s">
        <v>53</v>
      </c>
      <c r="AK1678">
        <v>0</v>
      </c>
      <c r="AU1678" s="6">
        <v>42255</v>
      </c>
      <c r="AV1678" s="6">
        <v>42255</v>
      </c>
      <c r="AW1678" t="s">
        <v>54</v>
      </c>
      <c r="AX1678" t="str">
        <f t="shared" si="131"/>
        <v>FOR</v>
      </c>
      <c r="AY1678" t="s">
        <v>55</v>
      </c>
    </row>
    <row r="1679" spans="1:51" hidden="1">
      <c r="A1679">
        <v>100360</v>
      </c>
      <c r="B1679" t="s">
        <v>131</v>
      </c>
      <c r="C1679" t="str">
        <f t="shared" si="132"/>
        <v>00076810621</v>
      </c>
      <c r="D1679" t="str">
        <f t="shared" si="132"/>
        <v>00076810621</v>
      </c>
      <c r="E1679" t="s">
        <v>52</v>
      </c>
      <c r="F1679">
        <v>2015</v>
      </c>
      <c r="G1679">
        <v>11509</v>
      </c>
      <c r="H1679" s="1">
        <v>42040</v>
      </c>
      <c r="I1679" s="1">
        <v>42044</v>
      </c>
      <c r="J1679" s="1">
        <v>42044</v>
      </c>
      <c r="K1679" s="1">
        <v>42104</v>
      </c>
      <c r="N1679" s="5"/>
      <c r="O1679">
        <v>17.55</v>
      </c>
      <c r="P1679">
        <v>151</v>
      </c>
      <c r="Q1679" s="2">
        <v>2650.05</v>
      </c>
      <c r="R1679">
        <v>0</v>
      </c>
      <c r="V1679">
        <v>0</v>
      </c>
      <c r="W1679">
        <v>0</v>
      </c>
      <c r="X1679">
        <v>0</v>
      </c>
      <c r="Y1679">
        <v>19.309999999999999</v>
      </c>
      <c r="Z1679">
        <v>19.309999999999999</v>
      </c>
      <c r="AA1679">
        <v>19.309999999999999</v>
      </c>
      <c r="AB1679" s="1">
        <v>42382</v>
      </c>
      <c r="AC1679" t="s">
        <v>53</v>
      </c>
      <c r="AD1679" t="s">
        <v>53</v>
      </c>
      <c r="AK1679">
        <v>0</v>
      </c>
      <c r="AU1679" s="6">
        <v>42255</v>
      </c>
      <c r="AV1679" s="6">
        <v>42255</v>
      </c>
      <c r="AW1679" t="s">
        <v>54</v>
      </c>
      <c r="AX1679" t="str">
        <f t="shared" si="131"/>
        <v>FOR</v>
      </c>
      <c r="AY1679" t="s">
        <v>55</v>
      </c>
    </row>
    <row r="1680" spans="1:51" hidden="1">
      <c r="A1680">
        <v>100360</v>
      </c>
      <c r="B1680" t="s">
        <v>131</v>
      </c>
      <c r="C1680" t="str">
        <f t="shared" si="132"/>
        <v>00076810621</v>
      </c>
      <c r="D1680" t="str">
        <f t="shared" si="132"/>
        <v>00076810621</v>
      </c>
      <c r="E1680" t="s">
        <v>52</v>
      </c>
      <c r="F1680">
        <v>2015</v>
      </c>
      <c r="G1680">
        <v>11890</v>
      </c>
      <c r="H1680" s="1">
        <v>42041</v>
      </c>
      <c r="I1680" s="1">
        <v>42044</v>
      </c>
      <c r="J1680" s="1">
        <v>42044</v>
      </c>
      <c r="K1680" s="1">
        <v>42104</v>
      </c>
      <c r="N1680" s="5"/>
      <c r="O1680">
        <v>36.17</v>
      </c>
      <c r="P1680">
        <v>151</v>
      </c>
      <c r="Q1680" s="2">
        <v>5461.67</v>
      </c>
      <c r="R1680">
        <v>0</v>
      </c>
      <c r="V1680">
        <v>0</v>
      </c>
      <c r="W1680">
        <v>0</v>
      </c>
      <c r="X1680">
        <v>0</v>
      </c>
      <c r="Y1680">
        <v>39.79</v>
      </c>
      <c r="Z1680">
        <v>39.79</v>
      </c>
      <c r="AA1680">
        <v>39.79</v>
      </c>
      <c r="AB1680" s="1">
        <v>42382</v>
      </c>
      <c r="AC1680" t="s">
        <v>53</v>
      </c>
      <c r="AD1680" t="s">
        <v>53</v>
      </c>
      <c r="AK1680">
        <v>0</v>
      </c>
      <c r="AU1680" s="6">
        <v>42255</v>
      </c>
      <c r="AV1680" s="6">
        <v>42255</v>
      </c>
      <c r="AW1680" t="s">
        <v>54</v>
      </c>
      <c r="AX1680" t="str">
        <f t="shared" si="131"/>
        <v>FOR</v>
      </c>
      <c r="AY1680" t="s">
        <v>55</v>
      </c>
    </row>
    <row r="1681" spans="1:51" hidden="1">
      <c r="A1681">
        <v>100360</v>
      </c>
      <c r="B1681" t="s">
        <v>131</v>
      </c>
      <c r="C1681" t="str">
        <f t="shared" si="132"/>
        <v>00076810621</v>
      </c>
      <c r="D1681" t="str">
        <f t="shared" si="132"/>
        <v>00076810621</v>
      </c>
      <c r="E1681" t="s">
        <v>52</v>
      </c>
      <c r="F1681">
        <v>2015</v>
      </c>
      <c r="G1681">
        <v>12081</v>
      </c>
      <c r="H1681" s="1">
        <v>42041</v>
      </c>
      <c r="I1681" s="1">
        <v>42115</v>
      </c>
      <c r="J1681" s="1">
        <v>42115</v>
      </c>
      <c r="K1681" s="1">
        <v>42175</v>
      </c>
      <c r="N1681" s="5"/>
      <c r="O1681">
        <v>8.86</v>
      </c>
      <c r="P1681">
        <v>80</v>
      </c>
      <c r="Q1681">
        <v>708.8</v>
      </c>
      <c r="R1681">
        <v>0</v>
      </c>
      <c r="V1681">
        <v>0</v>
      </c>
      <c r="W1681">
        <v>0</v>
      </c>
      <c r="X1681">
        <v>0</v>
      </c>
      <c r="Y1681">
        <v>9.75</v>
      </c>
      <c r="Z1681">
        <v>9.75</v>
      </c>
      <c r="AA1681">
        <v>9.75</v>
      </c>
      <c r="AB1681" s="1">
        <v>42382</v>
      </c>
      <c r="AC1681" t="s">
        <v>53</v>
      </c>
      <c r="AD1681" t="s">
        <v>53</v>
      </c>
      <c r="AK1681">
        <v>0</v>
      </c>
      <c r="AU1681" s="6">
        <v>42255</v>
      </c>
      <c r="AV1681" s="6">
        <v>42255</v>
      </c>
      <c r="AW1681" t="s">
        <v>54</v>
      </c>
      <c r="AX1681" t="str">
        <f t="shared" si="131"/>
        <v>FOR</v>
      </c>
      <c r="AY1681" t="s">
        <v>55</v>
      </c>
    </row>
    <row r="1682" spans="1:51" hidden="1">
      <c r="A1682">
        <v>100360</v>
      </c>
      <c r="B1682" t="s">
        <v>131</v>
      </c>
      <c r="C1682" t="str">
        <f t="shared" si="132"/>
        <v>00076810621</v>
      </c>
      <c r="D1682" t="str">
        <f t="shared" si="132"/>
        <v>00076810621</v>
      </c>
      <c r="E1682" t="s">
        <v>52</v>
      </c>
      <c r="F1682">
        <v>2015</v>
      </c>
      <c r="G1682">
        <v>12540</v>
      </c>
      <c r="H1682" s="1">
        <v>42044</v>
      </c>
      <c r="I1682" s="1">
        <v>42047</v>
      </c>
      <c r="J1682" s="1">
        <v>42047</v>
      </c>
      <c r="K1682" s="1">
        <v>42107</v>
      </c>
      <c r="N1682" s="5"/>
      <c r="O1682">
        <v>56.3</v>
      </c>
      <c r="P1682">
        <v>148</v>
      </c>
      <c r="Q1682" s="2">
        <v>8332.4</v>
      </c>
      <c r="R1682">
        <v>0</v>
      </c>
      <c r="V1682">
        <v>0</v>
      </c>
      <c r="W1682">
        <v>0</v>
      </c>
      <c r="X1682">
        <v>0</v>
      </c>
      <c r="Y1682">
        <v>61.93</v>
      </c>
      <c r="Z1682">
        <v>61.93</v>
      </c>
      <c r="AA1682">
        <v>61.93</v>
      </c>
      <c r="AB1682" s="1">
        <v>42382</v>
      </c>
      <c r="AC1682" t="s">
        <v>53</v>
      </c>
      <c r="AD1682" t="s">
        <v>53</v>
      </c>
      <c r="AK1682">
        <v>0</v>
      </c>
      <c r="AU1682" s="6">
        <v>42255</v>
      </c>
      <c r="AV1682" s="6">
        <v>42255</v>
      </c>
      <c r="AW1682" t="s">
        <v>54</v>
      </c>
      <c r="AX1682" t="str">
        <f t="shared" si="131"/>
        <v>FOR</v>
      </c>
      <c r="AY1682" t="s">
        <v>55</v>
      </c>
    </row>
    <row r="1683" spans="1:51" hidden="1">
      <c r="A1683">
        <v>100360</v>
      </c>
      <c r="B1683" t="s">
        <v>131</v>
      </c>
      <c r="C1683" t="str">
        <f t="shared" si="132"/>
        <v>00076810621</v>
      </c>
      <c r="D1683" t="str">
        <f t="shared" si="132"/>
        <v>00076810621</v>
      </c>
      <c r="E1683" t="s">
        <v>52</v>
      </c>
      <c r="F1683">
        <v>2015</v>
      </c>
      <c r="G1683">
        <v>12764</v>
      </c>
      <c r="H1683" s="1">
        <v>42044</v>
      </c>
      <c r="I1683" s="1">
        <v>42047</v>
      </c>
      <c r="J1683" s="1">
        <v>42047</v>
      </c>
      <c r="K1683" s="1">
        <v>42107</v>
      </c>
      <c r="N1683" s="5"/>
      <c r="O1683">
        <v>4.05</v>
      </c>
      <c r="P1683">
        <v>148</v>
      </c>
      <c r="Q1683">
        <v>599.4</v>
      </c>
      <c r="R1683">
        <v>0</v>
      </c>
      <c r="V1683">
        <v>0</v>
      </c>
      <c r="W1683">
        <v>0</v>
      </c>
      <c r="X1683">
        <v>0</v>
      </c>
      <c r="Y1683">
        <v>4.46</v>
      </c>
      <c r="Z1683">
        <v>4.46</v>
      </c>
      <c r="AA1683">
        <v>4.46</v>
      </c>
      <c r="AB1683" s="1">
        <v>42382</v>
      </c>
      <c r="AC1683" t="s">
        <v>53</v>
      </c>
      <c r="AD1683" t="s">
        <v>53</v>
      </c>
      <c r="AK1683">
        <v>0</v>
      </c>
      <c r="AU1683" s="6">
        <v>42255</v>
      </c>
      <c r="AV1683" s="6">
        <v>42255</v>
      </c>
      <c r="AW1683" t="s">
        <v>54</v>
      </c>
      <c r="AX1683" t="str">
        <f t="shared" si="131"/>
        <v>FOR</v>
      </c>
      <c r="AY1683" t="s">
        <v>55</v>
      </c>
    </row>
    <row r="1684" spans="1:51" hidden="1">
      <c r="A1684">
        <v>100360</v>
      </c>
      <c r="B1684" t="s">
        <v>131</v>
      </c>
      <c r="C1684" t="str">
        <f t="shared" si="132"/>
        <v>00076810621</v>
      </c>
      <c r="D1684" t="str">
        <f t="shared" si="132"/>
        <v>00076810621</v>
      </c>
      <c r="E1684" t="s">
        <v>52</v>
      </c>
      <c r="F1684">
        <v>2015</v>
      </c>
      <c r="G1684">
        <v>13177</v>
      </c>
      <c r="H1684" s="1">
        <v>42045</v>
      </c>
      <c r="I1684" s="1">
        <v>42047</v>
      </c>
      <c r="J1684" s="1">
        <v>42047</v>
      </c>
      <c r="K1684" s="1">
        <v>42107</v>
      </c>
      <c r="N1684" s="5"/>
      <c r="O1684">
        <v>117.95</v>
      </c>
      <c r="P1684">
        <v>148</v>
      </c>
      <c r="Q1684" s="2">
        <v>17456.599999999999</v>
      </c>
      <c r="R1684">
        <v>0</v>
      </c>
      <c r="V1684">
        <v>0</v>
      </c>
      <c r="W1684">
        <v>0</v>
      </c>
      <c r="X1684">
        <v>0</v>
      </c>
      <c r="Y1684">
        <v>129.75</v>
      </c>
      <c r="Z1684">
        <v>129.75</v>
      </c>
      <c r="AA1684">
        <v>129.75</v>
      </c>
      <c r="AB1684" s="1">
        <v>42382</v>
      </c>
      <c r="AC1684" t="s">
        <v>53</v>
      </c>
      <c r="AD1684" t="s">
        <v>53</v>
      </c>
      <c r="AK1684">
        <v>0</v>
      </c>
      <c r="AU1684" s="6">
        <v>42255</v>
      </c>
      <c r="AV1684" s="6">
        <v>42255</v>
      </c>
      <c r="AW1684" t="s">
        <v>54</v>
      </c>
      <c r="AX1684" t="str">
        <f t="shared" si="131"/>
        <v>FOR</v>
      </c>
      <c r="AY1684" t="s">
        <v>55</v>
      </c>
    </row>
    <row r="1685" spans="1:51" hidden="1">
      <c r="A1685">
        <v>100360</v>
      </c>
      <c r="B1685" t="s">
        <v>131</v>
      </c>
      <c r="C1685" t="str">
        <f t="shared" si="132"/>
        <v>00076810621</v>
      </c>
      <c r="D1685" t="str">
        <f t="shared" si="132"/>
        <v>00076810621</v>
      </c>
      <c r="E1685" t="s">
        <v>52</v>
      </c>
      <c r="F1685">
        <v>2015</v>
      </c>
      <c r="G1685">
        <v>13395</v>
      </c>
      <c r="H1685" s="1">
        <v>42046</v>
      </c>
      <c r="I1685" s="1">
        <v>42048</v>
      </c>
      <c r="J1685" s="1">
        <v>42048</v>
      </c>
      <c r="K1685" s="1">
        <v>42108</v>
      </c>
      <c r="N1685" s="5"/>
      <c r="O1685">
        <v>43.46</v>
      </c>
      <c r="P1685">
        <v>147</v>
      </c>
      <c r="Q1685" s="2">
        <v>6388.62</v>
      </c>
      <c r="R1685">
        <v>0</v>
      </c>
      <c r="V1685">
        <v>0</v>
      </c>
      <c r="W1685">
        <v>0</v>
      </c>
      <c r="X1685">
        <v>0</v>
      </c>
      <c r="Y1685">
        <v>47.81</v>
      </c>
      <c r="Z1685">
        <v>47.81</v>
      </c>
      <c r="AA1685">
        <v>47.81</v>
      </c>
      <c r="AB1685" s="1">
        <v>42382</v>
      </c>
      <c r="AC1685" t="s">
        <v>53</v>
      </c>
      <c r="AD1685" t="s">
        <v>53</v>
      </c>
      <c r="AK1685">
        <v>0</v>
      </c>
      <c r="AU1685" s="6">
        <v>42255</v>
      </c>
      <c r="AV1685" s="6">
        <v>42255</v>
      </c>
      <c r="AW1685" t="s">
        <v>54</v>
      </c>
      <c r="AX1685" t="str">
        <f t="shared" si="131"/>
        <v>FOR</v>
      </c>
      <c r="AY1685" t="s">
        <v>55</v>
      </c>
    </row>
    <row r="1686" spans="1:51" hidden="1">
      <c r="A1686">
        <v>100360</v>
      </c>
      <c r="B1686" t="s">
        <v>131</v>
      </c>
      <c r="C1686" t="str">
        <f t="shared" si="132"/>
        <v>00076810621</v>
      </c>
      <c r="D1686" t="str">
        <f t="shared" si="132"/>
        <v>00076810621</v>
      </c>
      <c r="E1686" t="s">
        <v>52</v>
      </c>
      <c r="F1686">
        <v>2015</v>
      </c>
      <c r="G1686">
        <v>13597</v>
      </c>
      <c r="H1686" s="1">
        <v>42046</v>
      </c>
      <c r="I1686" s="1">
        <v>42048</v>
      </c>
      <c r="J1686" s="1">
        <v>42048</v>
      </c>
      <c r="K1686" s="1">
        <v>42108</v>
      </c>
      <c r="N1686" s="5"/>
      <c r="O1686">
        <v>30.66</v>
      </c>
      <c r="P1686">
        <v>147</v>
      </c>
      <c r="Q1686" s="2">
        <v>4507.0200000000004</v>
      </c>
      <c r="R1686">
        <v>0</v>
      </c>
      <c r="V1686">
        <v>0</v>
      </c>
      <c r="W1686">
        <v>0</v>
      </c>
      <c r="X1686">
        <v>0</v>
      </c>
      <c r="Y1686">
        <v>33.729999999999997</v>
      </c>
      <c r="Z1686">
        <v>33.729999999999997</v>
      </c>
      <c r="AA1686">
        <v>33.729999999999997</v>
      </c>
      <c r="AB1686" s="1">
        <v>42382</v>
      </c>
      <c r="AC1686" t="s">
        <v>53</v>
      </c>
      <c r="AD1686" t="s">
        <v>53</v>
      </c>
      <c r="AK1686">
        <v>0</v>
      </c>
      <c r="AU1686" s="6">
        <v>42255</v>
      </c>
      <c r="AV1686" s="6">
        <v>42255</v>
      </c>
      <c r="AW1686" t="s">
        <v>54</v>
      </c>
      <c r="AX1686" t="str">
        <f t="shared" si="131"/>
        <v>FOR</v>
      </c>
      <c r="AY1686" t="s">
        <v>55</v>
      </c>
    </row>
    <row r="1687" spans="1:51" hidden="1">
      <c r="A1687">
        <v>100360</v>
      </c>
      <c r="B1687" t="s">
        <v>131</v>
      </c>
      <c r="C1687" t="str">
        <f t="shared" si="132"/>
        <v>00076810621</v>
      </c>
      <c r="D1687" t="str">
        <f t="shared" si="132"/>
        <v>00076810621</v>
      </c>
      <c r="E1687" t="s">
        <v>52</v>
      </c>
      <c r="F1687">
        <v>2015</v>
      </c>
      <c r="G1687">
        <v>14424</v>
      </c>
      <c r="H1687" s="1">
        <v>42048</v>
      </c>
      <c r="I1687" s="1">
        <v>42053</v>
      </c>
      <c r="J1687" s="1">
        <v>42053</v>
      </c>
      <c r="K1687" s="1">
        <v>42113</v>
      </c>
      <c r="N1687" s="5"/>
      <c r="O1687">
        <v>22.75</v>
      </c>
      <c r="P1687">
        <v>142</v>
      </c>
      <c r="Q1687" s="2">
        <v>3230.5</v>
      </c>
      <c r="R1687">
        <v>0</v>
      </c>
      <c r="V1687">
        <v>0</v>
      </c>
      <c r="W1687">
        <v>0</v>
      </c>
      <c r="X1687">
        <v>0</v>
      </c>
      <c r="Y1687">
        <v>25.03</v>
      </c>
      <c r="Z1687">
        <v>25.03</v>
      </c>
      <c r="AA1687">
        <v>25.03</v>
      </c>
      <c r="AB1687" s="1">
        <v>42382</v>
      </c>
      <c r="AC1687" t="s">
        <v>53</v>
      </c>
      <c r="AD1687" t="s">
        <v>53</v>
      </c>
      <c r="AK1687">
        <v>0</v>
      </c>
      <c r="AU1687" s="6">
        <v>42255</v>
      </c>
      <c r="AV1687" s="6">
        <v>42255</v>
      </c>
      <c r="AW1687" t="s">
        <v>54</v>
      </c>
      <c r="AX1687" t="str">
        <f t="shared" si="131"/>
        <v>FOR</v>
      </c>
      <c r="AY1687" t="s">
        <v>55</v>
      </c>
    </row>
    <row r="1688" spans="1:51" hidden="1">
      <c r="A1688">
        <v>100360</v>
      </c>
      <c r="B1688" t="s">
        <v>131</v>
      </c>
      <c r="C1688" t="str">
        <f t="shared" ref="C1688:D1707" si="133">"00076810621"</f>
        <v>00076810621</v>
      </c>
      <c r="D1688" t="str">
        <f t="shared" si="133"/>
        <v>00076810621</v>
      </c>
      <c r="E1688" t="s">
        <v>52</v>
      </c>
      <c r="F1688">
        <v>2015</v>
      </c>
      <c r="G1688">
        <v>14616</v>
      </c>
      <c r="H1688" s="1">
        <v>42049</v>
      </c>
      <c r="I1688" s="1">
        <v>42053</v>
      </c>
      <c r="J1688" s="1">
        <v>42053</v>
      </c>
      <c r="K1688" s="1">
        <v>42113</v>
      </c>
      <c r="N1688" s="5"/>
      <c r="O1688">
        <v>60.18</v>
      </c>
      <c r="P1688">
        <v>142</v>
      </c>
      <c r="Q1688" s="2">
        <v>8545.56</v>
      </c>
      <c r="R1688">
        <v>0</v>
      </c>
      <c r="V1688">
        <v>0</v>
      </c>
      <c r="W1688">
        <v>0</v>
      </c>
      <c r="X1688">
        <v>0</v>
      </c>
      <c r="Y1688">
        <v>66.2</v>
      </c>
      <c r="Z1688">
        <v>66.2</v>
      </c>
      <c r="AA1688">
        <v>66.2</v>
      </c>
      <c r="AB1688" s="1">
        <v>42382</v>
      </c>
      <c r="AC1688" t="s">
        <v>53</v>
      </c>
      <c r="AD1688" t="s">
        <v>53</v>
      </c>
      <c r="AK1688">
        <v>0</v>
      </c>
      <c r="AU1688" s="6">
        <v>42255</v>
      </c>
      <c r="AV1688" s="6">
        <v>42255</v>
      </c>
      <c r="AW1688" t="s">
        <v>54</v>
      </c>
      <c r="AX1688" t="str">
        <f t="shared" si="131"/>
        <v>FOR</v>
      </c>
      <c r="AY1688" t="s">
        <v>55</v>
      </c>
    </row>
    <row r="1689" spans="1:51" hidden="1">
      <c r="A1689">
        <v>100360</v>
      </c>
      <c r="B1689" t="s">
        <v>131</v>
      </c>
      <c r="C1689" t="str">
        <f t="shared" si="133"/>
        <v>00076810621</v>
      </c>
      <c r="D1689" t="str">
        <f t="shared" si="133"/>
        <v>00076810621</v>
      </c>
      <c r="E1689" t="s">
        <v>52</v>
      </c>
      <c r="F1689">
        <v>2015</v>
      </c>
      <c r="G1689">
        <v>14861</v>
      </c>
      <c r="H1689" s="1">
        <v>42051</v>
      </c>
      <c r="I1689" s="1">
        <v>42054</v>
      </c>
      <c r="J1689" s="1">
        <v>42054</v>
      </c>
      <c r="K1689" s="1">
        <v>42114</v>
      </c>
      <c r="N1689" s="5"/>
      <c r="O1689">
        <v>5.24</v>
      </c>
      <c r="P1689">
        <v>141</v>
      </c>
      <c r="Q1689">
        <v>738.84</v>
      </c>
      <c r="R1689">
        <v>0</v>
      </c>
      <c r="V1689">
        <v>0</v>
      </c>
      <c r="W1689">
        <v>0</v>
      </c>
      <c r="X1689">
        <v>0</v>
      </c>
      <c r="Y1689">
        <v>5.76</v>
      </c>
      <c r="Z1689">
        <v>5.76</v>
      </c>
      <c r="AA1689">
        <v>5.76</v>
      </c>
      <c r="AB1689" s="1">
        <v>42382</v>
      </c>
      <c r="AC1689" t="s">
        <v>53</v>
      </c>
      <c r="AD1689" t="s">
        <v>53</v>
      </c>
      <c r="AK1689">
        <v>0</v>
      </c>
      <c r="AU1689" s="6">
        <v>42255</v>
      </c>
      <c r="AV1689" s="6">
        <v>42255</v>
      </c>
      <c r="AW1689" t="s">
        <v>54</v>
      </c>
      <c r="AX1689" t="str">
        <f t="shared" si="131"/>
        <v>FOR</v>
      </c>
      <c r="AY1689" t="s">
        <v>55</v>
      </c>
    </row>
    <row r="1690" spans="1:51" hidden="1">
      <c r="A1690">
        <v>100360</v>
      </c>
      <c r="B1690" t="s">
        <v>131</v>
      </c>
      <c r="C1690" t="str">
        <f t="shared" si="133"/>
        <v>00076810621</v>
      </c>
      <c r="D1690" t="str">
        <f t="shared" si="133"/>
        <v>00076810621</v>
      </c>
      <c r="E1690" t="s">
        <v>52</v>
      </c>
      <c r="F1690">
        <v>2015</v>
      </c>
      <c r="G1690">
        <v>15034</v>
      </c>
      <c r="H1690" s="1">
        <v>42051</v>
      </c>
      <c r="I1690" s="1">
        <v>42054</v>
      </c>
      <c r="J1690" s="1">
        <v>42054</v>
      </c>
      <c r="K1690" s="1">
        <v>42114</v>
      </c>
      <c r="N1690" s="5"/>
      <c r="O1690">
        <v>7.91</v>
      </c>
      <c r="P1690">
        <v>141</v>
      </c>
      <c r="Q1690" s="2">
        <v>1115.31</v>
      </c>
      <c r="R1690">
        <v>0</v>
      </c>
      <c r="V1690">
        <v>0</v>
      </c>
      <c r="W1690">
        <v>0</v>
      </c>
      <c r="X1690">
        <v>0</v>
      </c>
      <c r="Y1690">
        <v>8.6999999999999993</v>
      </c>
      <c r="Z1690">
        <v>8.6999999999999993</v>
      </c>
      <c r="AA1690">
        <v>8.6999999999999993</v>
      </c>
      <c r="AB1690" s="1">
        <v>42382</v>
      </c>
      <c r="AC1690" t="s">
        <v>53</v>
      </c>
      <c r="AD1690" t="s">
        <v>53</v>
      </c>
      <c r="AK1690">
        <v>0</v>
      </c>
      <c r="AU1690" s="6">
        <v>42255</v>
      </c>
      <c r="AV1690" s="6">
        <v>42255</v>
      </c>
      <c r="AW1690" t="s">
        <v>54</v>
      </c>
      <c r="AX1690" t="str">
        <f t="shared" si="131"/>
        <v>FOR</v>
      </c>
      <c r="AY1690" t="s">
        <v>55</v>
      </c>
    </row>
    <row r="1691" spans="1:51" hidden="1">
      <c r="A1691">
        <v>100360</v>
      </c>
      <c r="B1691" t="s">
        <v>131</v>
      </c>
      <c r="C1691" t="str">
        <f t="shared" si="133"/>
        <v>00076810621</v>
      </c>
      <c r="D1691" t="str">
        <f t="shared" si="133"/>
        <v>00076810621</v>
      </c>
      <c r="E1691" t="s">
        <v>52</v>
      </c>
      <c r="F1691">
        <v>2015</v>
      </c>
      <c r="G1691">
        <v>15285</v>
      </c>
      <c r="H1691" s="1">
        <v>42052</v>
      </c>
      <c r="I1691" s="1">
        <v>42054</v>
      </c>
      <c r="J1691" s="1">
        <v>42054</v>
      </c>
      <c r="K1691" s="1">
        <v>42114</v>
      </c>
      <c r="N1691" s="5"/>
      <c r="O1691">
        <v>19.260000000000002</v>
      </c>
      <c r="P1691">
        <v>141</v>
      </c>
      <c r="Q1691" s="2">
        <v>2715.66</v>
      </c>
      <c r="R1691">
        <v>0</v>
      </c>
      <c r="V1691">
        <v>0</v>
      </c>
      <c r="W1691">
        <v>0</v>
      </c>
      <c r="X1691">
        <v>0</v>
      </c>
      <c r="Y1691">
        <v>21.19</v>
      </c>
      <c r="Z1691">
        <v>21.19</v>
      </c>
      <c r="AA1691">
        <v>21.19</v>
      </c>
      <c r="AB1691" s="1">
        <v>42382</v>
      </c>
      <c r="AC1691" t="s">
        <v>53</v>
      </c>
      <c r="AD1691" t="s">
        <v>53</v>
      </c>
      <c r="AK1691">
        <v>0</v>
      </c>
      <c r="AU1691" s="6">
        <v>42255</v>
      </c>
      <c r="AV1691" s="6">
        <v>42255</v>
      </c>
      <c r="AW1691" t="s">
        <v>54</v>
      </c>
      <c r="AX1691" t="str">
        <f t="shared" si="131"/>
        <v>FOR</v>
      </c>
      <c r="AY1691" t="s">
        <v>55</v>
      </c>
    </row>
    <row r="1692" spans="1:51" hidden="1">
      <c r="A1692">
        <v>100360</v>
      </c>
      <c r="B1692" t="s">
        <v>131</v>
      </c>
      <c r="C1692" t="str">
        <f t="shared" si="133"/>
        <v>00076810621</v>
      </c>
      <c r="D1692" t="str">
        <f t="shared" si="133"/>
        <v>00076810621</v>
      </c>
      <c r="E1692" t="s">
        <v>52</v>
      </c>
      <c r="F1692">
        <v>2015</v>
      </c>
      <c r="G1692">
        <v>15478</v>
      </c>
      <c r="H1692" s="1">
        <v>42052</v>
      </c>
      <c r="I1692" s="1">
        <v>42054</v>
      </c>
      <c r="J1692" s="1">
        <v>42054</v>
      </c>
      <c r="K1692" s="1">
        <v>42114</v>
      </c>
      <c r="N1692" s="5"/>
      <c r="O1692">
        <v>110.62</v>
      </c>
      <c r="P1692">
        <v>141</v>
      </c>
      <c r="Q1692" s="2">
        <v>15597.42</v>
      </c>
      <c r="R1692">
        <v>0</v>
      </c>
      <c r="V1692">
        <v>0</v>
      </c>
      <c r="W1692">
        <v>0</v>
      </c>
      <c r="X1692">
        <v>0</v>
      </c>
      <c r="Y1692">
        <v>121.68</v>
      </c>
      <c r="Z1692">
        <v>121.68</v>
      </c>
      <c r="AA1692">
        <v>121.68</v>
      </c>
      <c r="AB1692" s="1">
        <v>42382</v>
      </c>
      <c r="AC1692" t="s">
        <v>53</v>
      </c>
      <c r="AD1692" t="s">
        <v>53</v>
      </c>
      <c r="AK1692">
        <v>0</v>
      </c>
      <c r="AU1692" s="6">
        <v>42255</v>
      </c>
      <c r="AV1692" s="6">
        <v>42255</v>
      </c>
      <c r="AW1692" t="s">
        <v>54</v>
      </c>
      <c r="AX1692" t="str">
        <f t="shared" si="131"/>
        <v>FOR</v>
      </c>
      <c r="AY1692" t="s">
        <v>55</v>
      </c>
    </row>
    <row r="1693" spans="1:51" hidden="1">
      <c r="A1693">
        <v>100360</v>
      </c>
      <c r="B1693" t="s">
        <v>131</v>
      </c>
      <c r="C1693" t="str">
        <f t="shared" si="133"/>
        <v>00076810621</v>
      </c>
      <c r="D1693" t="str">
        <f t="shared" si="133"/>
        <v>00076810621</v>
      </c>
      <c r="E1693" t="s">
        <v>52</v>
      </c>
      <c r="F1693">
        <v>2015</v>
      </c>
      <c r="G1693">
        <v>15671</v>
      </c>
      <c r="H1693" s="1">
        <v>42053</v>
      </c>
      <c r="I1693" s="1">
        <v>42054</v>
      </c>
      <c r="J1693" s="1">
        <v>42054</v>
      </c>
      <c r="K1693" s="1">
        <v>42114</v>
      </c>
      <c r="N1693" s="5"/>
      <c r="O1693">
        <v>4.87</v>
      </c>
      <c r="P1693">
        <v>141</v>
      </c>
      <c r="Q1693">
        <v>686.67</v>
      </c>
      <c r="R1693">
        <v>0</v>
      </c>
      <c r="V1693">
        <v>0</v>
      </c>
      <c r="W1693">
        <v>0</v>
      </c>
      <c r="X1693">
        <v>0</v>
      </c>
      <c r="Y1693">
        <v>5.36</v>
      </c>
      <c r="Z1693">
        <v>5.36</v>
      </c>
      <c r="AA1693">
        <v>5.36</v>
      </c>
      <c r="AB1693" s="1">
        <v>42382</v>
      </c>
      <c r="AC1693" t="s">
        <v>53</v>
      </c>
      <c r="AD1693" t="s">
        <v>53</v>
      </c>
      <c r="AK1693">
        <v>0</v>
      </c>
      <c r="AU1693" s="6">
        <v>42255</v>
      </c>
      <c r="AV1693" s="6">
        <v>42255</v>
      </c>
      <c r="AW1693" t="s">
        <v>54</v>
      </c>
      <c r="AX1693" t="str">
        <f t="shared" si="131"/>
        <v>FOR</v>
      </c>
      <c r="AY1693" t="s">
        <v>55</v>
      </c>
    </row>
    <row r="1694" spans="1:51" hidden="1">
      <c r="A1694">
        <v>100360</v>
      </c>
      <c r="B1694" t="s">
        <v>131</v>
      </c>
      <c r="C1694" t="str">
        <f t="shared" si="133"/>
        <v>00076810621</v>
      </c>
      <c r="D1694" t="str">
        <f t="shared" si="133"/>
        <v>00076810621</v>
      </c>
      <c r="E1694" t="s">
        <v>52</v>
      </c>
      <c r="F1694">
        <v>2015</v>
      </c>
      <c r="G1694">
        <v>15878</v>
      </c>
      <c r="H1694" s="1">
        <v>42053</v>
      </c>
      <c r="I1694" s="1">
        <v>42054</v>
      </c>
      <c r="J1694" s="1">
        <v>42054</v>
      </c>
      <c r="K1694" s="1">
        <v>42114</v>
      </c>
      <c r="N1694" s="5"/>
      <c r="O1694">
        <v>52.59</v>
      </c>
      <c r="P1694">
        <v>141</v>
      </c>
      <c r="Q1694" s="2">
        <v>7415.19</v>
      </c>
      <c r="R1694">
        <v>0</v>
      </c>
      <c r="V1694">
        <v>0</v>
      </c>
      <c r="W1694">
        <v>0</v>
      </c>
      <c r="X1694">
        <v>0</v>
      </c>
      <c r="Y1694">
        <v>57.85</v>
      </c>
      <c r="Z1694">
        <v>57.85</v>
      </c>
      <c r="AA1694">
        <v>57.85</v>
      </c>
      <c r="AB1694" s="1">
        <v>42382</v>
      </c>
      <c r="AC1694" t="s">
        <v>53</v>
      </c>
      <c r="AD1694" t="s">
        <v>53</v>
      </c>
      <c r="AK1694">
        <v>0</v>
      </c>
      <c r="AU1694" s="6">
        <v>42255</v>
      </c>
      <c r="AV1694" s="6">
        <v>42255</v>
      </c>
      <c r="AW1694" t="s">
        <v>54</v>
      </c>
      <c r="AX1694" t="str">
        <f t="shared" si="131"/>
        <v>FOR</v>
      </c>
      <c r="AY1694" t="s">
        <v>55</v>
      </c>
    </row>
    <row r="1695" spans="1:51" hidden="1">
      <c r="A1695">
        <v>100360</v>
      </c>
      <c r="B1695" t="s">
        <v>131</v>
      </c>
      <c r="C1695" t="str">
        <f t="shared" si="133"/>
        <v>00076810621</v>
      </c>
      <c r="D1695" t="str">
        <f t="shared" si="133"/>
        <v>00076810621</v>
      </c>
      <c r="E1695" t="s">
        <v>52</v>
      </c>
      <c r="F1695">
        <v>2015</v>
      </c>
      <c r="G1695">
        <v>16083</v>
      </c>
      <c r="H1695" s="1">
        <v>42054</v>
      </c>
      <c r="I1695" s="1">
        <v>42055</v>
      </c>
      <c r="J1695" s="1">
        <v>42055</v>
      </c>
      <c r="K1695" s="1">
        <v>42115</v>
      </c>
      <c r="N1695" s="5"/>
      <c r="O1695">
        <v>173.11</v>
      </c>
      <c r="P1695">
        <v>140</v>
      </c>
      <c r="Q1695" s="2">
        <v>24235.4</v>
      </c>
      <c r="R1695">
        <v>0</v>
      </c>
      <c r="V1695">
        <v>0</v>
      </c>
      <c r="W1695">
        <v>0</v>
      </c>
      <c r="X1695">
        <v>0</v>
      </c>
      <c r="Y1695">
        <v>190.42</v>
      </c>
      <c r="Z1695">
        <v>190.42</v>
      </c>
      <c r="AA1695">
        <v>190.42</v>
      </c>
      <c r="AB1695" s="1">
        <v>42382</v>
      </c>
      <c r="AC1695" t="s">
        <v>53</v>
      </c>
      <c r="AD1695" t="s">
        <v>53</v>
      </c>
      <c r="AK1695">
        <v>0</v>
      </c>
      <c r="AU1695" s="6">
        <v>42255</v>
      </c>
      <c r="AV1695" s="6">
        <v>42255</v>
      </c>
      <c r="AW1695" t="s">
        <v>54</v>
      </c>
      <c r="AX1695" t="str">
        <f t="shared" si="131"/>
        <v>FOR</v>
      </c>
      <c r="AY1695" t="s">
        <v>55</v>
      </c>
    </row>
    <row r="1696" spans="1:51" hidden="1">
      <c r="A1696">
        <v>100360</v>
      </c>
      <c r="B1696" t="s">
        <v>131</v>
      </c>
      <c r="C1696" t="str">
        <f t="shared" si="133"/>
        <v>00076810621</v>
      </c>
      <c r="D1696" t="str">
        <f t="shared" si="133"/>
        <v>00076810621</v>
      </c>
      <c r="E1696" t="s">
        <v>52</v>
      </c>
      <c r="F1696">
        <v>2015</v>
      </c>
      <c r="G1696">
        <v>16103</v>
      </c>
      <c r="H1696" s="1">
        <v>42054</v>
      </c>
      <c r="I1696" s="1">
        <v>42055</v>
      </c>
      <c r="J1696" s="1">
        <v>42055</v>
      </c>
      <c r="K1696" s="1">
        <v>42115</v>
      </c>
      <c r="N1696" s="5"/>
      <c r="O1696">
        <v>21.49</v>
      </c>
      <c r="P1696">
        <v>140</v>
      </c>
      <c r="Q1696" s="2">
        <v>3008.6</v>
      </c>
      <c r="R1696">
        <v>0</v>
      </c>
      <c r="V1696">
        <v>0</v>
      </c>
      <c r="W1696">
        <v>0</v>
      </c>
      <c r="X1696">
        <v>0</v>
      </c>
      <c r="Y1696">
        <v>23.64</v>
      </c>
      <c r="Z1696">
        <v>23.64</v>
      </c>
      <c r="AA1696">
        <v>23.64</v>
      </c>
      <c r="AB1696" s="1">
        <v>42382</v>
      </c>
      <c r="AC1696" t="s">
        <v>53</v>
      </c>
      <c r="AD1696" t="s">
        <v>53</v>
      </c>
      <c r="AK1696">
        <v>0</v>
      </c>
      <c r="AU1696" s="6">
        <v>42255</v>
      </c>
      <c r="AV1696" s="6">
        <v>42255</v>
      </c>
      <c r="AW1696" t="s">
        <v>54</v>
      </c>
      <c r="AX1696" t="str">
        <f t="shared" si="131"/>
        <v>FOR</v>
      </c>
      <c r="AY1696" t="s">
        <v>55</v>
      </c>
    </row>
    <row r="1697" spans="1:51" hidden="1">
      <c r="A1697">
        <v>100360</v>
      </c>
      <c r="B1697" t="s">
        <v>131</v>
      </c>
      <c r="C1697" t="str">
        <f t="shared" si="133"/>
        <v>00076810621</v>
      </c>
      <c r="D1697" t="str">
        <f t="shared" si="133"/>
        <v>00076810621</v>
      </c>
      <c r="E1697" t="s">
        <v>52</v>
      </c>
      <c r="F1697">
        <v>2015</v>
      </c>
      <c r="G1697">
        <v>16503</v>
      </c>
      <c r="H1697" s="1">
        <v>42055</v>
      </c>
      <c r="I1697" s="1">
        <v>42060</v>
      </c>
      <c r="J1697" s="1">
        <v>42060</v>
      </c>
      <c r="K1697" s="1">
        <v>42120</v>
      </c>
      <c r="N1697" s="5"/>
      <c r="O1697">
        <v>34.71</v>
      </c>
      <c r="P1697">
        <v>135</v>
      </c>
      <c r="Q1697" s="2">
        <v>4685.8500000000004</v>
      </c>
      <c r="R1697">
        <v>0</v>
      </c>
      <c r="V1697">
        <v>0</v>
      </c>
      <c r="W1697">
        <v>0</v>
      </c>
      <c r="X1697">
        <v>0</v>
      </c>
      <c r="Y1697">
        <v>38.18</v>
      </c>
      <c r="Z1697">
        <v>38.18</v>
      </c>
      <c r="AA1697">
        <v>38.18</v>
      </c>
      <c r="AB1697" s="1">
        <v>42382</v>
      </c>
      <c r="AC1697" t="s">
        <v>53</v>
      </c>
      <c r="AD1697" t="s">
        <v>53</v>
      </c>
      <c r="AK1697">
        <v>0</v>
      </c>
      <c r="AU1697" s="6">
        <v>42255</v>
      </c>
      <c r="AV1697" s="6">
        <v>42255</v>
      </c>
      <c r="AW1697" t="s">
        <v>54</v>
      </c>
      <c r="AX1697" t="str">
        <f t="shared" si="131"/>
        <v>FOR</v>
      </c>
      <c r="AY1697" t="s">
        <v>55</v>
      </c>
    </row>
    <row r="1698" spans="1:51" hidden="1">
      <c r="A1698">
        <v>100360</v>
      </c>
      <c r="B1698" t="s">
        <v>131</v>
      </c>
      <c r="C1698" t="str">
        <f t="shared" si="133"/>
        <v>00076810621</v>
      </c>
      <c r="D1698" t="str">
        <f t="shared" si="133"/>
        <v>00076810621</v>
      </c>
      <c r="E1698" t="s">
        <v>52</v>
      </c>
      <c r="F1698">
        <v>2015</v>
      </c>
      <c r="G1698">
        <v>16708</v>
      </c>
      <c r="H1698" s="1">
        <v>42055</v>
      </c>
      <c r="I1698" s="1">
        <v>42115</v>
      </c>
      <c r="J1698" s="1">
        <v>42115</v>
      </c>
      <c r="K1698" s="1">
        <v>42175</v>
      </c>
      <c r="N1698" s="5"/>
      <c r="O1698">
        <v>8.86</v>
      </c>
      <c r="P1698">
        <v>80</v>
      </c>
      <c r="Q1698">
        <v>708.8</v>
      </c>
      <c r="R1698">
        <v>0</v>
      </c>
      <c r="V1698">
        <v>0</v>
      </c>
      <c r="W1698">
        <v>0</v>
      </c>
      <c r="X1698">
        <v>0</v>
      </c>
      <c r="Y1698">
        <v>9.75</v>
      </c>
      <c r="Z1698">
        <v>9.75</v>
      </c>
      <c r="AA1698">
        <v>9.75</v>
      </c>
      <c r="AB1698" s="1">
        <v>42382</v>
      </c>
      <c r="AC1698" t="s">
        <v>53</v>
      </c>
      <c r="AD1698" t="s">
        <v>53</v>
      </c>
      <c r="AK1698">
        <v>0</v>
      </c>
      <c r="AU1698" s="6">
        <v>42255</v>
      </c>
      <c r="AV1698" s="6">
        <v>42255</v>
      </c>
      <c r="AW1698" t="s">
        <v>54</v>
      </c>
      <c r="AX1698" t="str">
        <f t="shared" si="131"/>
        <v>FOR</v>
      </c>
      <c r="AY1698" t="s">
        <v>55</v>
      </c>
    </row>
    <row r="1699" spans="1:51" hidden="1">
      <c r="A1699">
        <v>100360</v>
      </c>
      <c r="B1699" t="s">
        <v>131</v>
      </c>
      <c r="C1699" t="str">
        <f t="shared" si="133"/>
        <v>00076810621</v>
      </c>
      <c r="D1699" t="str">
        <f t="shared" si="133"/>
        <v>00076810621</v>
      </c>
      <c r="E1699" t="s">
        <v>52</v>
      </c>
      <c r="F1699">
        <v>2015</v>
      </c>
      <c r="G1699">
        <v>17383</v>
      </c>
      <c r="H1699" s="1">
        <v>42058</v>
      </c>
      <c r="I1699" s="1">
        <v>42066</v>
      </c>
      <c r="J1699" s="1">
        <v>42066</v>
      </c>
      <c r="K1699" s="1">
        <v>42126</v>
      </c>
      <c r="N1699" s="5"/>
      <c r="O1699">
        <v>23.86</v>
      </c>
      <c r="P1699">
        <v>129</v>
      </c>
      <c r="Q1699" s="2">
        <v>3077.94</v>
      </c>
      <c r="R1699">
        <v>0</v>
      </c>
      <c r="V1699">
        <v>0</v>
      </c>
      <c r="W1699">
        <v>0</v>
      </c>
      <c r="X1699">
        <v>0</v>
      </c>
      <c r="Y1699">
        <v>26.25</v>
      </c>
      <c r="Z1699">
        <v>26.25</v>
      </c>
      <c r="AA1699">
        <v>26.25</v>
      </c>
      <c r="AB1699" s="1">
        <v>42382</v>
      </c>
      <c r="AC1699" t="s">
        <v>53</v>
      </c>
      <c r="AD1699" t="s">
        <v>53</v>
      </c>
      <c r="AK1699">
        <v>0</v>
      </c>
      <c r="AU1699" s="6">
        <v>42255</v>
      </c>
      <c r="AV1699" s="6">
        <v>42255</v>
      </c>
      <c r="AW1699" t="s">
        <v>54</v>
      </c>
      <c r="AX1699" t="str">
        <f t="shared" si="131"/>
        <v>FOR</v>
      </c>
      <c r="AY1699" t="s">
        <v>55</v>
      </c>
    </row>
    <row r="1700" spans="1:51" hidden="1">
      <c r="A1700">
        <v>100360</v>
      </c>
      <c r="B1700" t="s">
        <v>131</v>
      </c>
      <c r="C1700" t="str">
        <f t="shared" si="133"/>
        <v>00076810621</v>
      </c>
      <c r="D1700" t="str">
        <f t="shared" si="133"/>
        <v>00076810621</v>
      </c>
      <c r="E1700" t="s">
        <v>52</v>
      </c>
      <c r="F1700">
        <v>2015</v>
      </c>
      <c r="G1700">
        <v>17811</v>
      </c>
      <c r="H1700" s="1">
        <v>42059</v>
      </c>
      <c r="I1700" s="1">
        <v>42066</v>
      </c>
      <c r="J1700" s="1">
        <v>42066</v>
      </c>
      <c r="K1700" s="1">
        <v>42126</v>
      </c>
      <c r="N1700" s="5"/>
      <c r="O1700">
        <v>107.82</v>
      </c>
      <c r="P1700">
        <v>129</v>
      </c>
      <c r="Q1700" s="2">
        <v>13908.78</v>
      </c>
      <c r="R1700">
        <v>0</v>
      </c>
      <c r="V1700">
        <v>0</v>
      </c>
      <c r="W1700">
        <v>0</v>
      </c>
      <c r="X1700">
        <v>0</v>
      </c>
      <c r="Y1700">
        <v>118.6</v>
      </c>
      <c r="Z1700">
        <v>118.6</v>
      </c>
      <c r="AA1700">
        <v>118.6</v>
      </c>
      <c r="AB1700" s="1">
        <v>42382</v>
      </c>
      <c r="AC1700" t="s">
        <v>53</v>
      </c>
      <c r="AD1700" t="s">
        <v>53</v>
      </c>
      <c r="AK1700">
        <v>0</v>
      </c>
      <c r="AU1700" s="6">
        <v>42255</v>
      </c>
      <c r="AV1700" s="6">
        <v>42255</v>
      </c>
      <c r="AW1700" t="s">
        <v>54</v>
      </c>
      <c r="AX1700" t="str">
        <f t="shared" si="131"/>
        <v>FOR</v>
      </c>
      <c r="AY1700" t="s">
        <v>55</v>
      </c>
    </row>
    <row r="1701" spans="1:51" hidden="1">
      <c r="A1701">
        <v>100360</v>
      </c>
      <c r="B1701" t="s">
        <v>131</v>
      </c>
      <c r="C1701" t="str">
        <f t="shared" si="133"/>
        <v>00076810621</v>
      </c>
      <c r="D1701" t="str">
        <f t="shared" si="133"/>
        <v>00076810621</v>
      </c>
      <c r="E1701" t="s">
        <v>52</v>
      </c>
      <c r="F1701">
        <v>2015</v>
      </c>
      <c r="G1701">
        <v>18211</v>
      </c>
      <c r="H1701" s="1">
        <v>42060</v>
      </c>
      <c r="I1701" s="1">
        <v>42115</v>
      </c>
      <c r="J1701" s="1">
        <v>42115</v>
      </c>
      <c r="K1701" s="1">
        <v>42175</v>
      </c>
      <c r="N1701" s="5"/>
      <c r="O1701">
        <v>83.45</v>
      </c>
      <c r="P1701">
        <v>80</v>
      </c>
      <c r="Q1701" s="2">
        <v>6676</v>
      </c>
      <c r="R1701">
        <v>0</v>
      </c>
      <c r="V1701">
        <v>0</v>
      </c>
      <c r="W1701">
        <v>0</v>
      </c>
      <c r="X1701">
        <v>0</v>
      </c>
      <c r="Y1701">
        <v>91.8</v>
      </c>
      <c r="Z1701">
        <v>91.8</v>
      </c>
      <c r="AA1701">
        <v>91.8</v>
      </c>
      <c r="AB1701" s="1">
        <v>42382</v>
      </c>
      <c r="AC1701" t="s">
        <v>53</v>
      </c>
      <c r="AD1701" t="s">
        <v>53</v>
      </c>
      <c r="AK1701">
        <v>0</v>
      </c>
      <c r="AU1701" s="6">
        <v>42255</v>
      </c>
      <c r="AV1701" s="6">
        <v>42255</v>
      </c>
      <c r="AW1701" t="s">
        <v>54</v>
      </c>
      <c r="AX1701" t="str">
        <f t="shared" si="131"/>
        <v>FOR</v>
      </c>
      <c r="AY1701" t="s">
        <v>55</v>
      </c>
    </row>
    <row r="1702" spans="1:51" hidden="1">
      <c r="A1702">
        <v>100360</v>
      </c>
      <c r="B1702" t="s">
        <v>131</v>
      </c>
      <c r="C1702" t="str">
        <f t="shared" si="133"/>
        <v>00076810621</v>
      </c>
      <c r="D1702" t="str">
        <f t="shared" si="133"/>
        <v>00076810621</v>
      </c>
      <c r="E1702" t="s">
        <v>52</v>
      </c>
      <c r="F1702">
        <v>2015</v>
      </c>
      <c r="G1702">
        <v>19018</v>
      </c>
      <c r="H1702" s="1">
        <v>42062</v>
      </c>
      <c r="I1702" s="1">
        <v>42067</v>
      </c>
      <c r="J1702" s="1">
        <v>42067</v>
      </c>
      <c r="K1702" s="1">
        <v>42127</v>
      </c>
      <c r="N1702" s="5"/>
      <c r="O1702">
        <v>30.58</v>
      </c>
      <c r="P1702">
        <v>128</v>
      </c>
      <c r="Q1702" s="2">
        <v>3914.24</v>
      </c>
      <c r="R1702">
        <v>0</v>
      </c>
      <c r="V1702">
        <v>0</v>
      </c>
      <c r="W1702">
        <v>0</v>
      </c>
      <c r="X1702">
        <v>0</v>
      </c>
      <c r="Y1702">
        <v>33.64</v>
      </c>
      <c r="Z1702">
        <v>33.64</v>
      </c>
      <c r="AA1702">
        <v>33.64</v>
      </c>
      <c r="AB1702" s="1">
        <v>42382</v>
      </c>
      <c r="AC1702" t="s">
        <v>53</v>
      </c>
      <c r="AD1702" t="s">
        <v>53</v>
      </c>
      <c r="AK1702">
        <v>0</v>
      </c>
      <c r="AU1702" s="6">
        <v>42255</v>
      </c>
      <c r="AV1702" s="6">
        <v>42255</v>
      </c>
      <c r="AW1702" t="s">
        <v>54</v>
      </c>
      <c r="AX1702" t="str">
        <f t="shared" si="131"/>
        <v>FOR</v>
      </c>
      <c r="AY1702" t="s">
        <v>55</v>
      </c>
    </row>
    <row r="1703" spans="1:51" hidden="1">
      <c r="A1703">
        <v>100360</v>
      </c>
      <c r="B1703" t="s">
        <v>131</v>
      </c>
      <c r="C1703" t="str">
        <f t="shared" si="133"/>
        <v>00076810621</v>
      </c>
      <c r="D1703" t="str">
        <f t="shared" si="133"/>
        <v>00076810621</v>
      </c>
      <c r="E1703" t="s">
        <v>52</v>
      </c>
      <c r="F1703">
        <v>2015</v>
      </c>
      <c r="G1703">
        <v>19210</v>
      </c>
      <c r="H1703" s="1">
        <v>42063</v>
      </c>
      <c r="I1703" s="1">
        <v>42067</v>
      </c>
      <c r="J1703" s="1">
        <v>42067</v>
      </c>
      <c r="K1703" s="1">
        <v>42127</v>
      </c>
      <c r="N1703" s="5"/>
      <c r="O1703">
        <v>3.96</v>
      </c>
      <c r="P1703">
        <v>128</v>
      </c>
      <c r="Q1703">
        <v>506.88</v>
      </c>
      <c r="R1703">
        <v>0</v>
      </c>
      <c r="V1703">
        <v>0</v>
      </c>
      <c r="W1703">
        <v>0</v>
      </c>
      <c r="X1703">
        <v>0</v>
      </c>
      <c r="Y1703">
        <v>4.3600000000000003</v>
      </c>
      <c r="Z1703">
        <v>4.3600000000000003</v>
      </c>
      <c r="AA1703">
        <v>4.3600000000000003</v>
      </c>
      <c r="AB1703" s="1">
        <v>42382</v>
      </c>
      <c r="AC1703" t="s">
        <v>53</v>
      </c>
      <c r="AD1703" t="s">
        <v>53</v>
      </c>
      <c r="AK1703">
        <v>0</v>
      </c>
      <c r="AU1703" s="6">
        <v>42255</v>
      </c>
      <c r="AV1703" s="6">
        <v>42255</v>
      </c>
      <c r="AW1703" t="s">
        <v>54</v>
      </c>
      <c r="AX1703" t="str">
        <f t="shared" si="131"/>
        <v>FOR</v>
      </c>
      <c r="AY1703" t="s">
        <v>55</v>
      </c>
    </row>
    <row r="1704" spans="1:51" hidden="1">
      <c r="A1704">
        <v>100360</v>
      </c>
      <c r="B1704" t="s">
        <v>131</v>
      </c>
      <c r="C1704" t="str">
        <f t="shared" si="133"/>
        <v>00076810621</v>
      </c>
      <c r="D1704" t="str">
        <f t="shared" si="133"/>
        <v>00076810621</v>
      </c>
      <c r="E1704" t="s">
        <v>52</v>
      </c>
      <c r="F1704">
        <v>2015</v>
      </c>
      <c r="G1704">
        <v>19448</v>
      </c>
      <c r="H1704" s="1">
        <v>42065</v>
      </c>
      <c r="I1704" s="1">
        <v>42068</v>
      </c>
      <c r="J1704" s="1">
        <v>42068</v>
      </c>
      <c r="K1704" s="1">
        <v>42128</v>
      </c>
      <c r="N1704" s="5"/>
      <c r="O1704">
        <v>91.5</v>
      </c>
      <c r="P1704">
        <v>127</v>
      </c>
      <c r="Q1704" s="2">
        <v>11620.5</v>
      </c>
      <c r="R1704">
        <v>0</v>
      </c>
      <c r="V1704">
        <v>0</v>
      </c>
      <c r="W1704">
        <v>0</v>
      </c>
      <c r="X1704">
        <v>0</v>
      </c>
      <c r="Y1704">
        <v>111.63</v>
      </c>
      <c r="Z1704">
        <v>111.63</v>
      </c>
      <c r="AA1704">
        <v>111.63</v>
      </c>
      <c r="AB1704" s="1">
        <v>42382</v>
      </c>
      <c r="AC1704" t="s">
        <v>53</v>
      </c>
      <c r="AD1704" t="s">
        <v>53</v>
      </c>
      <c r="AK1704">
        <v>0</v>
      </c>
      <c r="AU1704" s="6">
        <v>42255</v>
      </c>
      <c r="AV1704" s="6">
        <v>42255</v>
      </c>
      <c r="AW1704" t="s">
        <v>54</v>
      </c>
      <c r="AX1704" t="str">
        <f t="shared" si="131"/>
        <v>FOR</v>
      </c>
      <c r="AY1704" t="s">
        <v>55</v>
      </c>
    </row>
    <row r="1705" spans="1:51" hidden="1">
      <c r="A1705">
        <v>100360</v>
      </c>
      <c r="B1705" t="s">
        <v>131</v>
      </c>
      <c r="C1705" t="str">
        <f t="shared" si="133"/>
        <v>00076810621</v>
      </c>
      <c r="D1705" t="str">
        <f t="shared" si="133"/>
        <v>00076810621</v>
      </c>
      <c r="E1705" t="s">
        <v>52</v>
      </c>
      <c r="F1705">
        <v>2015</v>
      </c>
      <c r="G1705">
        <v>20110</v>
      </c>
      <c r="H1705" s="1">
        <v>42066</v>
      </c>
      <c r="I1705" s="1">
        <v>42068</v>
      </c>
      <c r="J1705" s="1">
        <v>42068</v>
      </c>
      <c r="K1705" s="1">
        <v>42128</v>
      </c>
      <c r="N1705" s="5"/>
      <c r="O1705">
        <v>13.06</v>
      </c>
      <c r="P1705">
        <v>127</v>
      </c>
      <c r="Q1705" s="2">
        <v>1658.62</v>
      </c>
      <c r="R1705">
        <v>0</v>
      </c>
      <c r="V1705">
        <v>0</v>
      </c>
      <c r="W1705">
        <v>0</v>
      </c>
      <c r="X1705">
        <v>0</v>
      </c>
      <c r="Y1705">
        <v>14.37</v>
      </c>
      <c r="Z1705">
        <v>14.37</v>
      </c>
      <c r="AA1705">
        <v>14.37</v>
      </c>
      <c r="AB1705" s="1">
        <v>42382</v>
      </c>
      <c r="AC1705" t="s">
        <v>53</v>
      </c>
      <c r="AD1705" t="s">
        <v>53</v>
      </c>
      <c r="AK1705">
        <v>0</v>
      </c>
      <c r="AU1705" s="6">
        <v>42255</v>
      </c>
      <c r="AV1705" s="6">
        <v>42255</v>
      </c>
      <c r="AW1705" t="s">
        <v>54</v>
      </c>
      <c r="AX1705" t="str">
        <f t="shared" si="131"/>
        <v>FOR</v>
      </c>
      <c r="AY1705" t="s">
        <v>55</v>
      </c>
    </row>
    <row r="1706" spans="1:51" hidden="1">
      <c r="A1706">
        <v>100360</v>
      </c>
      <c r="B1706" t="s">
        <v>131</v>
      </c>
      <c r="C1706" t="str">
        <f t="shared" si="133"/>
        <v>00076810621</v>
      </c>
      <c r="D1706" t="str">
        <f t="shared" si="133"/>
        <v>00076810621</v>
      </c>
      <c r="E1706" t="s">
        <v>52</v>
      </c>
      <c r="F1706">
        <v>2015</v>
      </c>
      <c r="G1706">
        <v>20336</v>
      </c>
      <c r="H1706" s="1">
        <v>42067</v>
      </c>
      <c r="I1706" s="1">
        <v>42069</v>
      </c>
      <c r="J1706" s="1">
        <v>42069</v>
      </c>
      <c r="K1706" s="1">
        <v>42129</v>
      </c>
      <c r="N1706" s="5"/>
      <c r="O1706">
        <v>18.600000000000001</v>
      </c>
      <c r="P1706">
        <v>126</v>
      </c>
      <c r="Q1706" s="2">
        <v>2343.6</v>
      </c>
      <c r="R1706">
        <v>0</v>
      </c>
      <c r="V1706">
        <v>0</v>
      </c>
      <c r="W1706">
        <v>0</v>
      </c>
      <c r="X1706">
        <v>0</v>
      </c>
      <c r="Y1706">
        <v>20.46</v>
      </c>
      <c r="Z1706">
        <v>20.46</v>
      </c>
      <c r="AA1706">
        <v>20.46</v>
      </c>
      <c r="AB1706" s="1">
        <v>42382</v>
      </c>
      <c r="AC1706" t="s">
        <v>53</v>
      </c>
      <c r="AD1706" t="s">
        <v>53</v>
      </c>
      <c r="AK1706">
        <v>0</v>
      </c>
      <c r="AU1706" s="6">
        <v>42255</v>
      </c>
      <c r="AV1706" s="6">
        <v>42255</v>
      </c>
      <c r="AW1706" t="s">
        <v>54</v>
      </c>
      <c r="AX1706" t="str">
        <f t="shared" si="131"/>
        <v>FOR</v>
      </c>
      <c r="AY1706" t="s">
        <v>55</v>
      </c>
    </row>
    <row r="1707" spans="1:51" hidden="1">
      <c r="A1707">
        <v>100360</v>
      </c>
      <c r="B1707" t="s">
        <v>131</v>
      </c>
      <c r="C1707" t="str">
        <f t="shared" si="133"/>
        <v>00076810621</v>
      </c>
      <c r="D1707" t="str">
        <f t="shared" si="133"/>
        <v>00076810621</v>
      </c>
      <c r="E1707" t="s">
        <v>52</v>
      </c>
      <c r="F1707">
        <v>2015</v>
      </c>
      <c r="G1707">
        <v>20414</v>
      </c>
      <c r="H1707" s="1">
        <v>42067</v>
      </c>
      <c r="I1707" s="1">
        <v>42115</v>
      </c>
      <c r="J1707" s="1">
        <v>42115</v>
      </c>
      <c r="K1707" s="1">
        <v>42175</v>
      </c>
      <c r="N1707" s="5"/>
      <c r="O1707">
        <v>30.48</v>
      </c>
      <c r="P1707">
        <v>80</v>
      </c>
      <c r="Q1707" s="2">
        <v>2438.4</v>
      </c>
      <c r="R1707">
        <v>0</v>
      </c>
      <c r="V1707">
        <v>0</v>
      </c>
      <c r="W1707">
        <v>0</v>
      </c>
      <c r="X1707">
        <v>0</v>
      </c>
      <c r="Y1707">
        <v>33.53</v>
      </c>
      <c r="Z1707">
        <v>33.53</v>
      </c>
      <c r="AA1707">
        <v>33.53</v>
      </c>
      <c r="AB1707" s="1">
        <v>42382</v>
      </c>
      <c r="AC1707" t="s">
        <v>53</v>
      </c>
      <c r="AD1707" t="s">
        <v>53</v>
      </c>
      <c r="AK1707">
        <v>0</v>
      </c>
      <c r="AU1707" s="6">
        <v>42255</v>
      </c>
      <c r="AV1707" s="6">
        <v>42255</v>
      </c>
      <c r="AW1707" t="s">
        <v>54</v>
      </c>
      <c r="AX1707" t="str">
        <f t="shared" si="131"/>
        <v>FOR</v>
      </c>
      <c r="AY1707" t="s">
        <v>55</v>
      </c>
    </row>
    <row r="1708" spans="1:51" hidden="1">
      <c r="A1708">
        <v>100360</v>
      </c>
      <c r="B1708" t="s">
        <v>131</v>
      </c>
      <c r="C1708" t="str">
        <f t="shared" ref="C1708:D1727" si="134">"00076810621"</f>
        <v>00076810621</v>
      </c>
      <c r="D1708" t="str">
        <f t="shared" si="134"/>
        <v>00076810621</v>
      </c>
      <c r="E1708" t="s">
        <v>52</v>
      </c>
      <c r="F1708">
        <v>2015</v>
      </c>
      <c r="G1708">
        <v>20935</v>
      </c>
      <c r="H1708" s="1">
        <v>42068</v>
      </c>
      <c r="I1708" s="1">
        <v>42072</v>
      </c>
      <c r="J1708" s="1">
        <v>42072</v>
      </c>
      <c r="K1708" s="1">
        <v>42132</v>
      </c>
      <c r="N1708" s="5"/>
      <c r="O1708">
        <v>24.14</v>
      </c>
      <c r="P1708">
        <v>123</v>
      </c>
      <c r="Q1708" s="2">
        <v>2969.22</v>
      </c>
      <c r="R1708">
        <v>0</v>
      </c>
      <c r="V1708">
        <v>0</v>
      </c>
      <c r="W1708">
        <v>0</v>
      </c>
      <c r="X1708">
        <v>0</v>
      </c>
      <c r="Y1708">
        <v>26.55</v>
      </c>
      <c r="Z1708">
        <v>26.55</v>
      </c>
      <c r="AA1708">
        <v>26.55</v>
      </c>
      <c r="AB1708" s="1">
        <v>42382</v>
      </c>
      <c r="AC1708" t="s">
        <v>53</v>
      </c>
      <c r="AD1708" t="s">
        <v>53</v>
      </c>
      <c r="AK1708">
        <v>0</v>
      </c>
      <c r="AU1708" s="6">
        <v>42255</v>
      </c>
      <c r="AV1708" s="6">
        <v>42255</v>
      </c>
      <c r="AW1708" t="s">
        <v>54</v>
      </c>
      <c r="AX1708" t="str">
        <f t="shared" si="131"/>
        <v>FOR</v>
      </c>
      <c r="AY1708" t="s">
        <v>55</v>
      </c>
    </row>
    <row r="1709" spans="1:51" hidden="1">
      <c r="A1709">
        <v>100360</v>
      </c>
      <c r="B1709" t="s">
        <v>131</v>
      </c>
      <c r="C1709" t="str">
        <f t="shared" si="134"/>
        <v>00076810621</v>
      </c>
      <c r="D1709" t="str">
        <f t="shared" si="134"/>
        <v>00076810621</v>
      </c>
      <c r="E1709" t="s">
        <v>52</v>
      </c>
      <c r="F1709">
        <v>2015</v>
      </c>
      <c r="G1709">
        <v>21164</v>
      </c>
      <c r="H1709" s="1">
        <v>42069</v>
      </c>
      <c r="I1709" s="1">
        <v>42073</v>
      </c>
      <c r="J1709" s="1">
        <v>42073</v>
      </c>
      <c r="K1709" s="1">
        <v>42133</v>
      </c>
      <c r="N1709" s="5"/>
      <c r="O1709">
        <v>62.72</v>
      </c>
      <c r="P1709">
        <v>122</v>
      </c>
      <c r="Q1709" s="2">
        <v>7651.84</v>
      </c>
      <c r="R1709">
        <v>0</v>
      </c>
      <c r="V1709">
        <v>0</v>
      </c>
      <c r="W1709">
        <v>0</v>
      </c>
      <c r="X1709">
        <v>0</v>
      </c>
      <c r="Y1709">
        <v>68.989999999999995</v>
      </c>
      <c r="Z1709">
        <v>68.989999999999995</v>
      </c>
      <c r="AA1709">
        <v>68.989999999999995</v>
      </c>
      <c r="AB1709" s="1">
        <v>42382</v>
      </c>
      <c r="AC1709" t="s">
        <v>53</v>
      </c>
      <c r="AD1709" t="s">
        <v>53</v>
      </c>
      <c r="AK1709">
        <v>0</v>
      </c>
      <c r="AU1709" s="6">
        <v>42255</v>
      </c>
      <c r="AV1709" s="6">
        <v>42255</v>
      </c>
      <c r="AW1709" t="s">
        <v>54</v>
      </c>
      <c r="AX1709" t="str">
        <f t="shared" si="131"/>
        <v>FOR</v>
      </c>
      <c r="AY1709" t="s">
        <v>55</v>
      </c>
    </row>
    <row r="1710" spans="1:51" hidden="1">
      <c r="A1710">
        <v>100360</v>
      </c>
      <c r="B1710" t="s">
        <v>131</v>
      </c>
      <c r="C1710" t="str">
        <f t="shared" si="134"/>
        <v>00076810621</v>
      </c>
      <c r="D1710" t="str">
        <f t="shared" si="134"/>
        <v>00076810621</v>
      </c>
      <c r="E1710" t="s">
        <v>52</v>
      </c>
      <c r="F1710">
        <v>2015</v>
      </c>
      <c r="G1710">
        <v>21359</v>
      </c>
      <c r="H1710" s="1">
        <v>42069</v>
      </c>
      <c r="I1710" s="1">
        <v>42073</v>
      </c>
      <c r="J1710" s="1">
        <v>42073</v>
      </c>
      <c r="K1710" s="1">
        <v>42133</v>
      </c>
      <c r="N1710" s="5"/>
      <c r="O1710">
        <v>33.61</v>
      </c>
      <c r="P1710">
        <v>122</v>
      </c>
      <c r="Q1710" s="2">
        <v>4100.42</v>
      </c>
      <c r="R1710">
        <v>0</v>
      </c>
      <c r="V1710">
        <v>0</v>
      </c>
      <c r="W1710">
        <v>0</v>
      </c>
      <c r="X1710">
        <v>0</v>
      </c>
      <c r="Y1710">
        <v>36.97</v>
      </c>
      <c r="Z1710">
        <v>36.97</v>
      </c>
      <c r="AA1710">
        <v>36.97</v>
      </c>
      <c r="AB1710" s="1">
        <v>42382</v>
      </c>
      <c r="AC1710" t="s">
        <v>53</v>
      </c>
      <c r="AD1710" t="s">
        <v>53</v>
      </c>
      <c r="AK1710">
        <v>0</v>
      </c>
      <c r="AU1710" s="6">
        <v>42255</v>
      </c>
      <c r="AV1710" s="6">
        <v>42255</v>
      </c>
      <c r="AW1710" t="s">
        <v>54</v>
      </c>
      <c r="AX1710" t="str">
        <f t="shared" si="131"/>
        <v>FOR</v>
      </c>
      <c r="AY1710" t="s">
        <v>55</v>
      </c>
    </row>
    <row r="1711" spans="1:51" hidden="1">
      <c r="A1711">
        <v>100360</v>
      </c>
      <c r="B1711" t="s">
        <v>131</v>
      </c>
      <c r="C1711" t="str">
        <f t="shared" si="134"/>
        <v>00076810621</v>
      </c>
      <c r="D1711" t="str">
        <f t="shared" si="134"/>
        <v>00076810621</v>
      </c>
      <c r="E1711" t="s">
        <v>52</v>
      </c>
      <c r="F1711">
        <v>2015</v>
      </c>
      <c r="G1711">
        <v>21987</v>
      </c>
      <c r="H1711" s="1">
        <v>42072</v>
      </c>
      <c r="I1711" s="1">
        <v>42074</v>
      </c>
      <c r="J1711" s="1">
        <v>42074</v>
      </c>
      <c r="K1711" s="1">
        <v>42134</v>
      </c>
      <c r="N1711" s="5"/>
      <c r="O1711">
        <v>50.98</v>
      </c>
      <c r="P1711">
        <v>121</v>
      </c>
      <c r="Q1711" s="2">
        <v>6168.58</v>
      </c>
      <c r="R1711">
        <v>0</v>
      </c>
      <c r="V1711">
        <v>0</v>
      </c>
      <c r="W1711">
        <v>0</v>
      </c>
      <c r="X1711">
        <v>0</v>
      </c>
      <c r="Y1711">
        <v>56.08</v>
      </c>
      <c r="Z1711">
        <v>56.08</v>
      </c>
      <c r="AA1711">
        <v>56.08</v>
      </c>
      <c r="AB1711" s="1">
        <v>42382</v>
      </c>
      <c r="AC1711" t="s">
        <v>53</v>
      </c>
      <c r="AD1711" t="s">
        <v>53</v>
      </c>
      <c r="AK1711">
        <v>0</v>
      </c>
      <c r="AU1711" s="6">
        <v>42255</v>
      </c>
      <c r="AV1711" s="6">
        <v>42255</v>
      </c>
      <c r="AW1711" t="s">
        <v>54</v>
      </c>
      <c r="AX1711" t="str">
        <f t="shared" si="131"/>
        <v>FOR</v>
      </c>
      <c r="AY1711" t="s">
        <v>55</v>
      </c>
    </row>
    <row r="1712" spans="1:51" hidden="1">
      <c r="A1712">
        <v>100360</v>
      </c>
      <c r="B1712" t="s">
        <v>131</v>
      </c>
      <c r="C1712" t="str">
        <f t="shared" si="134"/>
        <v>00076810621</v>
      </c>
      <c r="D1712" t="str">
        <f t="shared" si="134"/>
        <v>00076810621</v>
      </c>
      <c r="E1712" t="s">
        <v>52</v>
      </c>
      <c r="F1712">
        <v>2015</v>
      </c>
      <c r="G1712">
        <v>22424</v>
      </c>
      <c r="H1712" s="1">
        <v>42073</v>
      </c>
      <c r="I1712" s="1">
        <v>42074</v>
      </c>
      <c r="J1712" s="1">
        <v>42074</v>
      </c>
      <c r="K1712" s="1">
        <v>42134</v>
      </c>
      <c r="N1712" s="5"/>
      <c r="O1712">
        <v>4.87</v>
      </c>
      <c r="P1712">
        <v>121</v>
      </c>
      <c r="Q1712">
        <v>589.27</v>
      </c>
      <c r="R1712">
        <v>0</v>
      </c>
      <c r="V1712">
        <v>0</v>
      </c>
      <c r="W1712">
        <v>0</v>
      </c>
      <c r="X1712">
        <v>0</v>
      </c>
      <c r="Y1712">
        <v>5.36</v>
      </c>
      <c r="Z1712">
        <v>5.36</v>
      </c>
      <c r="AA1712">
        <v>5.36</v>
      </c>
      <c r="AB1712" s="1">
        <v>42382</v>
      </c>
      <c r="AC1712" t="s">
        <v>53</v>
      </c>
      <c r="AD1712" t="s">
        <v>53</v>
      </c>
      <c r="AK1712">
        <v>0</v>
      </c>
      <c r="AU1712" s="6">
        <v>42255</v>
      </c>
      <c r="AV1712" s="6">
        <v>42255</v>
      </c>
      <c r="AW1712" t="s">
        <v>54</v>
      </c>
      <c r="AX1712" t="str">
        <f t="shared" si="131"/>
        <v>FOR</v>
      </c>
      <c r="AY1712" t="s">
        <v>55</v>
      </c>
    </row>
    <row r="1713" spans="1:51" hidden="1">
      <c r="A1713">
        <v>100360</v>
      </c>
      <c r="B1713" t="s">
        <v>131</v>
      </c>
      <c r="C1713" t="str">
        <f t="shared" si="134"/>
        <v>00076810621</v>
      </c>
      <c r="D1713" t="str">
        <f t="shared" si="134"/>
        <v>00076810621</v>
      </c>
      <c r="E1713" t="s">
        <v>52</v>
      </c>
      <c r="F1713">
        <v>2015</v>
      </c>
      <c r="G1713">
        <v>22834</v>
      </c>
      <c r="H1713" s="1">
        <v>42074</v>
      </c>
      <c r="I1713" s="1">
        <v>42080</v>
      </c>
      <c r="J1713" s="1">
        <v>42080</v>
      </c>
      <c r="K1713" s="1">
        <v>42140</v>
      </c>
      <c r="N1713" s="5"/>
      <c r="O1713">
        <v>6.21</v>
      </c>
      <c r="P1713">
        <v>115</v>
      </c>
      <c r="Q1713">
        <v>714.15</v>
      </c>
      <c r="R1713">
        <v>0</v>
      </c>
      <c r="V1713">
        <v>0</v>
      </c>
      <c r="W1713">
        <v>0</v>
      </c>
      <c r="X1713">
        <v>0</v>
      </c>
      <c r="Y1713">
        <v>6.83</v>
      </c>
      <c r="Z1713">
        <v>6.83</v>
      </c>
      <c r="AA1713">
        <v>6.83</v>
      </c>
      <c r="AB1713" s="1">
        <v>42382</v>
      </c>
      <c r="AC1713" t="s">
        <v>53</v>
      </c>
      <c r="AD1713" t="s">
        <v>53</v>
      </c>
      <c r="AK1713">
        <v>0</v>
      </c>
      <c r="AU1713" s="6">
        <v>42255</v>
      </c>
      <c r="AV1713" s="6">
        <v>42255</v>
      </c>
      <c r="AW1713" t="s">
        <v>54</v>
      </c>
      <c r="AX1713" t="str">
        <f t="shared" si="131"/>
        <v>FOR</v>
      </c>
      <c r="AY1713" t="s">
        <v>55</v>
      </c>
    </row>
    <row r="1714" spans="1:51" hidden="1">
      <c r="A1714">
        <v>100360</v>
      </c>
      <c r="B1714" t="s">
        <v>131</v>
      </c>
      <c r="C1714" t="str">
        <f t="shared" si="134"/>
        <v>00076810621</v>
      </c>
      <c r="D1714" t="str">
        <f t="shared" si="134"/>
        <v>00076810621</v>
      </c>
      <c r="E1714" t="s">
        <v>52</v>
      </c>
      <c r="F1714">
        <v>2015</v>
      </c>
      <c r="G1714">
        <v>23262</v>
      </c>
      <c r="H1714" s="1">
        <v>42075</v>
      </c>
      <c r="I1714" s="1">
        <v>42080</v>
      </c>
      <c r="J1714" s="1">
        <v>42080</v>
      </c>
      <c r="K1714" s="1">
        <v>42140</v>
      </c>
      <c r="N1714" s="5"/>
      <c r="O1714">
        <v>2.86</v>
      </c>
      <c r="P1714">
        <v>115</v>
      </c>
      <c r="Q1714">
        <v>328.9</v>
      </c>
      <c r="R1714">
        <v>0</v>
      </c>
      <c r="V1714">
        <v>0</v>
      </c>
      <c r="W1714">
        <v>0</v>
      </c>
      <c r="X1714">
        <v>0</v>
      </c>
      <c r="Y1714">
        <v>3.15</v>
      </c>
      <c r="Z1714">
        <v>3.15</v>
      </c>
      <c r="AA1714">
        <v>3.15</v>
      </c>
      <c r="AB1714" s="1">
        <v>42382</v>
      </c>
      <c r="AC1714" t="s">
        <v>53</v>
      </c>
      <c r="AD1714" t="s">
        <v>53</v>
      </c>
      <c r="AK1714">
        <v>0</v>
      </c>
      <c r="AU1714" s="6">
        <v>42255</v>
      </c>
      <c r="AV1714" s="6">
        <v>42255</v>
      </c>
      <c r="AW1714" t="s">
        <v>54</v>
      </c>
      <c r="AX1714" t="str">
        <f t="shared" si="131"/>
        <v>FOR</v>
      </c>
      <c r="AY1714" t="s">
        <v>55</v>
      </c>
    </row>
    <row r="1715" spans="1:51" hidden="1">
      <c r="A1715">
        <v>100360</v>
      </c>
      <c r="B1715" t="s">
        <v>131</v>
      </c>
      <c r="C1715" t="str">
        <f t="shared" si="134"/>
        <v>00076810621</v>
      </c>
      <c r="D1715" t="str">
        <f t="shared" si="134"/>
        <v>00076810621</v>
      </c>
      <c r="E1715" t="s">
        <v>52</v>
      </c>
      <c r="F1715">
        <v>2015</v>
      </c>
      <c r="G1715">
        <v>23619</v>
      </c>
      <c r="H1715" s="1">
        <v>42076</v>
      </c>
      <c r="I1715" s="1">
        <v>42081</v>
      </c>
      <c r="J1715" s="1">
        <v>42081</v>
      </c>
      <c r="K1715" s="1">
        <v>42141</v>
      </c>
      <c r="N1715" s="5"/>
      <c r="O1715">
        <v>23.86</v>
      </c>
      <c r="P1715">
        <v>114</v>
      </c>
      <c r="Q1715" s="2">
        <v>2720.04</v>
      </c>
      <c r="R1715">
        <v>0</v>
      </c>
      <c r="V1715">
        <v>0</v>
      </c>
      <c r="W1715">
        <v>0</v>
      </c>
      <c r="X1715">
        <v>0</v>
      </c>
      <c r="Y1715">
        <v>26.25</v>
      </c>
      <c r="Z1715">
        <v>26.25</v>
      </c>
      <c r="AA1715">
        <v>26.25</v>
      </c>
      <c r="AB1715" s="1">
        <v>42382</v>
      </c>
      <c r="AC1715" t="s">
        <v>53</v>
      </c>
      <c r="AD1715" t="s">
        <v>53</v>
      </c>
      <c r="AK1715">
        <v>0</v>
      </c>
      <c r="AU1715" s="6">
        <v>42255</v>
      </c>
      <c r="AV1715" s="6">
        <v>42255</v>
      </c>
      <c r="AW1715" t="s">
        <v>54</v>
      </c>
      <c r="AX1715" t="str">
        <f t="shared" si="131"/>
        <v>FOR</v>
      </c>
      <c r="AY1715" t="s">
        <v>55</v>
      </c>
    </row>
    <row r="1716" spans="1:51" hidden="1">
      <c r="A1716">
        <v>100360</v>
      </c>
      <c r="B1716" t="s">
        <v>131</v>
      </c>
      <c r="C1716" t="str">
        <f t="shared" si="134"/>
        <v>00076810621</v>
      </c>
      <c r="D1716" t="str">
        <f t="shared" si="134"/>
        <v>00076810621</v>
      </c>
      <c r="E1716" t="s">
        <v>52</v>
      </c>
      <c r="F1716">
        <v>2015</v>
      </c>
      <c r="G1716">
        <v>23823</v>
      </c>
      <c r="H1716" s="1">
        <v>42077</v>
      </c>
      <c r="I1716" s="1">
        <v>42080</v>
      </c>
      <c r="J1716" s="1">
        <v>42080</v>
      </c>
      <c r="K1716" s="1">
        <v>42140</v>
      </c>
      <c r="N1716" s="5"/>
      <c r="O1716">
        <v>3.1</v>
      </c>
      <c r="P1716">
        <v>115</v>
      </c>
      <c r="Q1716">
        <v>356.5</v>
      </c>
      <c r="R1716">
        <v>0</v>
      </c>
      <c r="V1716">
        <v>0</v>
      </c>
      <c r="W1716">
        <v>0</v>
      </c>
      <c r="X1716">
        <v>0</v>
      </c>
      <c r="Y1716">
        <v>3.41</v>
      </c>
      <c r="Z1716">
        <v>3.41</v>
      </c>
      <c r="AA1716">
        <v>3.41</v>
      </c>
      <c r="AB1716" s="1">
        <v>42382</v>
      </c>
      <c r="AC1716" t="s">
        <v>53</v>
      </c>
      <c r="AD1716" t="s">
        <v>53</v>
      </c>
      <c r="AK1716">
        <v>0</v>
      </c>
      <c r="AU1716" s="6">
        <v>42255</v>
      </c>
      <c r="AV1716" s="6">
        <v>42255</v>
      </c>
      <c r="AW1716" t="s">
        <v>54</v>
      </c>
      <c r="AX1716" t="str">
        <f t="shared" si="131"/>
        <v>FOR</v>
      </c>
      <c r="AY1716" t="s">
        <v>55</v>
      </c>
    </row>
    <row r="1717" spans="1:51" hidden="1">
      <c r="A1717">
        <v>100360</v>
      </c>
      <c r="B1717" t="s">
        <v>131</v>
      </c>
      <c r="C1717" t="str">
        <f t="shared" si="134"/>
        <v>00076810621</v>
      </c>
      <c r="D1717" t="str">
        <f t="shared" si="134"/>
        <v>00076810621</v>
      </c>
      <c r="E1717" t="s">
        <v>52</v>
      </c>
      <c r="F1717">
        <v>2015</v>
      </c>
      <c r="G1717">
        <v>24278</v>
      </c>
      <c r="H1717" s="1">
        <v>42079</v>
      </c>
      <c r="I1717" s="1">
        <v>42081</v>
      </c>
      <c r="J1717" s="1">
        <v>42081</v>
      </c>
      <c r="K1717" s="1">
        <v>42141</v>
      </c>
      <c r="N1717" s="5"/>
      <c r="O1717">
        <v>22.89</v>
      </c>
      <c r="P1717">
        <v>114</v>
      </c>
      <c r="Q1717" s="2">
        <v>2609.46</v>
      </c>
      <c r="R1717">
        <v>0</v>
      </c>
      <c r="V1717">
        <v>0</v>
      </c>
      <c r="W1717">
        <v>0</v>
      </c>
      <c r="X1717">
        <v>0</v>
      </c>
      <c r="Y1717">
        <v>25.18</v>
      </c>
      <c r="Z1717">
        <v>25.18</v>
      </c>
      <c r="AA1717">
        <v>25.18</v>
      </c>
      <c r="AB1717" s="1">
        <v>42382</v>
      </c>
      <c r="AC1717" t="s">
        <v>53</v>
      </c>
      <c r="AD1717" t="s">
        <v>53</v>
      </c>
      <c r="AK1717">
        <v>0</v>
      </c>
      <c r="AU1717" s="6">
        <v>42255</v>
      </c>
      <c r="AV1717" s="6">
        <v>42255</v>
      </c>
      <c r="AW1717" t="s">
        <v>54</v>
      </c>
      <c r="AX1717" t="str">
        <f t="shared" si="131"/>
        <v>FOR</v>
      </c>
      <c r="AY1717" t="s">
        <v>55</v>
      </c>
    </row>
    <row r="1718" spans="1:51" hidden="1">
      <c r="A1718">
        <v>100360</v>
      </c>
      <c r="B1718" t="s">
        <v>131</v>
      </c>
      <c r="C1718" t="str">
        <f t="shared" si="134"/>
        <v>00076810621</v>
      </c>
      <c r="D1718" t="str">
        <f t="shared" si="134"/>
        <v>00076810621</v>
      </c>
      <c r="E1718" t="s">
        <v>52</v>
      </c>
      <c r="F1718">
        <v>2015</v>
      </c>
      <c r="G1718">
        <v>24498</v>
      </c>
      <c r="H1718" s="1">
        <v>42080</v>
      </c>
      <c r="I1718" s="1">
        <v>42081</v>
      </c>
      <c r="J1718" s="1">
        <v>42081</v>
      </c>
      <c r="K1718" s="1">
        <v>42141</v>
      </c>
      <c r="N1718" s="5"/>
      <c r="O1718">
        <v>32.43</v>
      </c>
      <c r="P1718">
        <v>114</v>
      </c>
      <c r="Q1718" s="2">
        <v>3697.02</v>
      </c>
      <c r="R1718">
        <v>0</v>
      </c>
      <c r="V1718">
        <v>0</v>
      </c>
      <c r="W1718">
        <v>0</v>
      </c>
      <c r="X1718">
        <v>0</v>
      </c>
      <c r="Y1718">
        <v>35.67</v>
      </c>
      <c r="Z1718">
        <v>35.67</v>
      </c>
      <c r="AA1718">
        <v>35.67</v>
      </c>
      <c r="AB1718" s="1">
        <v>42382</v>
      </c>
      <c r="AC1718" t="s">
        <v>53</v>
      </c>
      <c r="AD1718" t="s">
        <v>53</v>
      </c>
      <c r="AK1718">
        <v>0</v>
      </c>
      <c r="AU1718" s="6">
        <v>42255</v>
      </c>
      <c r="AV1718" s="6">
        <v>42255</v>
      </c>
      <c r="AW1718" t="s">
        <v>54</v>
      </c>
      <c r="AX1718" t="str">
        <f t="shared" si="131"/>
        <v>FOR</v>
      </c>
      <c r="AY1718" t="s">
        <v>55</v>
      </c>
    </row>
    <row r="1719" spans="1:51" hidden="1">
      <c r="A1719">
        <v>100360</v>
      </c>
      <c r="B1719" t="s">
        <v>131</v>
      </c>
      <c r="C1719" t="str">
        <f t="shared" si="134"/>
        <v>00076810621</v>
      </c>
      <c r="D1719" t="str">
        <f t="shared" si="134"/>
        <v>00076810621</v>
      </c>
      <c r="E1719" t="s">
        <v>52</v>
      </c>
      <c r="F1719">
        <v>2015</v>
      </c>
      <c r="G1719">
        <v>24899</v>
      </c>
      <c r="H1719" s="1">
        <v>42081</v>
      </c>
      <c r="I1719" s="1">
        <v>42086</v>
      </c>
      <c r="J1719" s="1">
        <v>42086</v>
      </c>
      <c r="K1719" s="1">
        <v>42146</v>
      </c>
      <c r="N1719" s="5"/>
      <c r="O1719">
        <v>108.1</v>
      </c>
      <c r="P1719">
        <v>109</v>
      </c>
      <c r="Q1719" s="2">
        <v>11782.9</v>
      </c>
      <c r="R1719">
        <v>0</v>
      </c>
      <c r="V1719">
        <v>0</v>
      </c>
      <c r="W1719">
        <v>0</v>
      </c>
      <c r="X1719">
        <v>0</v>
      </c>
      <c r="Y1719">
        <v>118.91</v>
      </c>
      <c r="Z1719">
        <v>118.91</v>
      </c>
      <c r="AA1719">
        <v>118.91</v>
      </c>
      <c r="AB1719" s="1">
        <v>42382</v>
      </c>
      <c r="AC1719" t="s">
        <v>53</v>
      </c>
      <c r="AD1719" t="s">
        <v>53</v>
      </c>
      <c r="AK1719">
        <v>0</v>
      </c>
      <c r="AU1719" s="6">
        <v>42255</v>
      </c>
      <c r="AV1719" s="6">
        <v>42255</v>
      </c>
      <c r="AW1719" t="s">
        <v>54</v>
      </c>
      <c r="AX1719" t="str">
        <f t="shared" si="131"/>
        <v>FOR</v>
      </c>
      <c r="AY1719" t="s">
        <v>55</v>
      </c>
    </row>
    <row r="1720" spans="1:51" hidden="1">
      <c r="A1720">
        <v>100360</v>
      </c>
      <c r="B1720" t="s">
        <v>131</v>
      </c>
      <c r="C1720" t="str">
        <f t="shared" si="134"/>
        <v>00076810621</v>
      </c>
      <c r="D1720" t="str">
        <f t="shared" si="134"/>
        <v>00076810621</v>
      </c>
      <c r="E1720" t="s">
        <v>52</v>
      </c>
      <c r="F1720">
        <v>2015</v>
      </c>
      <c r="G1720">
        <v>24926</v>
      </c>
      <c r="H1720" s="1">
        <v>42081</v>
      </c>
      <c r="I1720" s="1">
        <v>42115</v>
      </c>
      <c r="J1720" s="1">
        <v>42115</v>
      </c>
      <c r="K1720" s="1">
        <v>42175</v>
      </c>
      <c r="N1720" s="5"/>
      <c r="O1720">
        <v>31.75</v>
      </c>
      <c r="P1720">
        <v>80</v>
      </c>
      <c r="Q1720" s="2">
        <v>2540</v>
      </c>
      <c r="R1720">
        <v>0</v>
      </c>
      <c r="V1720">
        <v>0</v>
      </c>
      <c r="W1720">
        <v>0</v>
      </c>
      <c r="X1720">
        <v>0</v>
      </c>
      <c r="Y1720">
        <v>34.93</v>
      </c>
      <c r="Z1720">
        <v>34.93</v>
      </c>
      <c r="AA1720">
        <v>34.93</v>
      </c>
      <c r="AB1720" s="1">
        <v>42382</v>
      </c>
      <c r="AC1720" t="s">
        <v>53</v>
      </c>
      <c r="AD1720" t="s">
        <v>53</v>
      </c>
      <c r="AK1720">
        <v>0</v>
      </c>
      <c r="AU1720" s="6">
        <v>42255</v>
      </c>
      <c r="AV1720" s="6">
        <v>42255</v>
      </c>
      <c r="AW1720" t="s">
        <v>54</v>
      </c>
      <c r="AX1720" t="str">
        <f t="shared" si="131"/>
        <v>FOR</v>
      </c>
      <c r="AY1720" t="s">
        <v>55</v>
      </c>
    </row>
    <row r="1721" spans="1:51" hidden="1">
      <c r="A1721">
        <v>100360</v>
      </c>
      <c r="B1721" t="s">
        <v>131</v>
      </c>
      <c r="C1721" t="str">
        <f t="shared" si="134"/>
        <v>00076810621</v>
      </c>
      <c r="D1721" t="str">
        <f t="shared" si="134"/>
        <v>00076810621</v>
      </c>
      <c r="E1721" t="s">
        <v>52</v>
      </c>
      <c r="F1721">
        <v>2015</v>
      </c>
      <c r="G1721">
        <v>25107</v>
      </c>
      <c r="H1721" s="1">
        <v>42081</v>
      </c>
      <c r="I1721" s="1">
        <v>42089</v>
      </c>
      <c r="J1721" s="1">
        <v>42089</v>
      </c>
      <c r="K1721" s="1">
        <v>42149</v>
      </c>
      <c r="N1721" s="5"/>
      <c r="O1721">
        <v>1.92</v>
      </c>
      <c r="P1721">
        <v>106</v>
      </c>
      <c r="Q1721">
        <v>203.52</v>
      </c>
      <c r="R1721">
        <v>0</v>
      </c>
      <c r="V1721">
        <v>0</v>
      </c>
      <c r="W1721">
        <v>0</v>
      </c>
      <c r="X1721">
        <v>0</v>
      </c>
      <c r="Y1721">
        <v>2.11</v>
      </c>
      <c r="Z1721">
        <v>2.11</v>
      </c>
      <c r="AA1721">
        <v>2.11</v>
      </c>
      <c r="AB1721" s="1">
        <v>42382</v>
      </c>
      <c r="AC1721" t="s">
        <v>53</v>
      </c>
      <c r="AD1721" t="s">
        <v>53</v>
      </c>
      <c r="AK1721">
        <v>0</v>
      </c>
      <c r="AU1721" s="6">
        <v>42255</v>
      </c>
      <c r="AV1721" s="6">
        <v>42255</v>
      </c>
      <c r="AW1721" t="s">
        <v>54</v>
      </c>
      <c r="AX1721" t="str">
        <f t="shared" si="131"/>
        <v>FOR</v>
      </c>
      <c r="AY1721" t="s">
        <v>55</v>
      </c>
    </row>
    <row r="1722" spans="1:51" hidden="1">
      <c r="A1722">
        <v>100360</v>
      </c>
      <c r="B1722" t="s">
        <v>131</v>
      </c>
      <c r="C1722" t="str">
        <f t="shared" si="134"/>
        <v>00076810621</v>
      </c>
      <c r="D1722" t="str">
        <f t="shared" si="134"/>
        <v>00076810621</v>
      </c>
      <c r="E1722" t="s">
        <v>52</v>
      </c>
      <c r="F1722">
        <v>2015</v>
      </c>
      <c r="G1722">
        <v>25500</v>
      </c>
      <c r="H1722" s="1">
        <v>42082</v>
      </c>
      <c r="I1722" s="1">
        <v>42086</v>
      </c>
      <c r="J1722" s="1">
        <v>42086</v>
      </c>
      <c r="K1722" s="1">
        <v>42146</v>
      </c>
      <c r="N1722" s="5"/>
      <c r="O1722">
        <v>117.88</v>
      </c>
      <c r="P1722">
        <v>109</v>
      </c>
      <c r="Q1722" s="2">
        <v>12848.92</v>
      </c>
      <c r="R1722">
        <v>0</v>
      </c>
      <c r="V1722">
        <v>0</v>
      </c>
      <c r="W1722">
        <v>0</v>
      </c>
      <c r="X1722">
        <v>0</v>
      </c>
      <c r="Y1722">
        <v>129.66999999999999</v>
      </c>
      <c r="Z1722">
        <v>129.66999999999999</v>
      </c>
      <c r="AA1722">
        <v>129.66999999999999</v>
      </c>
      <c r="AB1722" s="1">
        <v>42382</v>
      </c>
      <c r="AC1722" t="s">
        <v>53</v>
      </c>
      <c r="AD1722" t="s">
        <v>53</v>
      </c>
      <c r="AK1722">
        <v>0</v>
      </c>
      <c r="AU1722" s="6">
        <v>42255</v>
      </c>
      <c r="AV1722" s="6">
        <v>42255</v>
      </c>
      <c r="AW1722" t="s">
        <v>54</v>
      </c>
      <c r="AX1722" t="str">
        <f t="shared" si="131"/>
        <v>FOR</v>
      </c>
      <c r="AY1722" t="s">
        <v>55</v>
      </c>
    </row>
    <row r="1723" spans="1:51" hidden="1">
      <c r="A1723">
        <v>100360</v>
      </c>
      <c r="B1723" t="s">
        <v>131</v>
      </c>
      <c r="C1723" t="str">
        <f t="shared" si="134"/>
        <v>00076810621</v>
      </c>
      <c r="D1723" t="str">
        <f t="shared" si="134"/>
        <v>00076810621</v>
      </c>
      <c r="E1723" t="s">
        <v>52</v>
      </c>
      <c r="F1723">
        <v>2015</v>
      </c>
      <c r="G1723">
        <v>25890</v>
      </c>
      <c r="H1723" s="1">
        <v>42083</v>
      </c>
      <c r="I1723" s="1">
        <v>42089</v>
      </c>
      <c r="J1723" s="1">
        <v>42089</v>
      </c>
      <c r="K1723" s="1">
        <v>42149</v>
      </c>
      <c r="N1723" s="5"/>
      <c r="O1723">
        <v>84.95</v>
      </c>
      <c r="P1723">
        <v>106</v>
      </c>
      <c r="Q1723" s="2">
        <v>9004.7000000000007</v>
      </c>
      <c r="R1723">
        <v>0</v>
      </c>
      <c r="V1723">
        <v>0</v>
      </c>
      <c r="W1723">
        <v>0</v>
      </c>
      <c r="X1723">
        <v>0</v>
      </c>
      <c r="Y1723">
        <v>93.45</v>
      </c>
      <c r="Z1723">
        <v>93.45</v>
      </c>
      <c r="AA1723">
        <v>93.45</v>
      </c>
      <c r="AB1723" s="1">
        <v>42382</v>
      </c>
      <c r="AC1723" t="s">
        <v>53</v>
      </c>
      <c r="AD1723" t="s">
        <v>53</v>
      </c>
      <c r="AK1723">
        <v>0</v>
      </c>
      <c r="AU1723" s="6">
        <v>42255</v>
      </c>
      <c r="AV1723" s="6">
        <v>42255</v>
      </c>
      <c r="AW1723" t="s">
        <v>54</v>
      </c>
      <c r="AX1723" t="str">
        <f t="shared" si="131"/>
        <v>FOR</v>
      </c>
      <c r="AY1723" t="s">
        <v>55</v>
      </c>
    </row>
    <row r="1724" spans="1:51" hidden="1">
      <c r="A1724">
        <v>100360</v>
      </c>
      <c r="B1724" t="s">
        <v>131</v>
      </c>
      <c r="C1724" t="str">
        <f t="shared" si="134"/>
        <v>00076810621</v>
      </c>
      <c r="D1724" t="str">
        <f t="shared" si="134"/>
        <v>00076810621</v>
      </c>
      <c r="E1724" t="s">
        <v>52</v>
      </c>
      <c r="F1724">
        <v>2015</v>
      </c>
      <c r="G1724">
        <v>26489</v>
      </c>
      <c r="H1724" s="1">
        <v>42086</v>
      </c>
      <c r="I1724" s="1">
        <v>42089</v>
      </c>
      <c r="J1724" s="1">
        <v>42089</v>
      </c>
      <c r="K1724" s="1">
        <v>42149</v>
      </c>
      <c r="N1724" s="5"/>
      <c r="O1724">
        <v>21.04</v>
      </c>
      <c r="P1724">
        <v>106</v>
      </c>
      <c r="Q1724" s="2">
        <v>2230.2399999999998</v>
      </c>
      <c r="R1724">
        <v>0</v>
      </c>
      <c r="V1724">
        <v>0</v>
      </c>
      <c r="W1724">
        <v>0</v>
      </c>
      <c r="X1724">
        <v>0</v>
      </c>
      <c r="Y1724">
        <v>24.53</v>
      </c>
      <c r="Z1724">
        <v>24.53</v>
      </c>
      <c r="AA1724">
        <v>24.53</v>
      </c>
      <c r="AB1724" s="1">
        <v>42382</v>
      </c>
      <c r="AC1724" t="s">
        <v>53</v>
      </c>
      <c r="AD1724" t="s">
        <v>53</v>
      </c>
      <c r="AK1724">
        <v>0</v>
      </c>
      <c r="AU1724" s="6">
        <v>42255</v>
      </c>
      <c r="AV1724" s="6">
        <v>42255</v>
      </c>
      <c r="AW1724" t="s">
        <v>54</v>
      </c>
      <c r="AX1724" t="str">
        <f t="shared" si="131"/>
        <v>FOR</v>
      </c>
      <c r="AY1724" t="s">
        <v>55</v>
      </c>
    </row>
    <row r="1725" spans="1:51" hidden="1">
      <c r="A1725">
        <v>100360</v>
      </c>
      <c r="B1725" t="s">
        <v>131</v>
      </c>
      <c r="C1725" t="str">
        <f t="shared" si="134"/>
        <v>00076810621</v>
      </c>
      <c r="D1725" t="str">
        <f t="shared" si="134"/>
        <v>00076810621</v>
      </c>
      <c r="E1725" t="s">
        <v>52</v>
      </c>
      <c r="F1725">
        <v>2015</v>
      </c>
      <c r="G1725">
        <v>26910</v>
      </c>
      <c r="H1725" s="1">
        <v>42087</v>
      </c>
      <c r="I1725" s="1">
        <v>42115</v>
      </c>
      <c r="J1725" s="1">
        <v>42115</v>
      </c>
      <c r="K1725" s="1">
        <v>42175</v>
      </c>
      <c r="N1725" s="5"/>
      <c r="O1725">
        <v>56.49</v>
      </c>
      <c r="P1725">
        <v>80</v>
      </c>
      <c r="Q1725" s="2">
        <v>4519.2</v>
      </c>
      <c r="R1725">
        <v>0</v>
      </c>
      <c r="V1725">
        <v>0</v>
      </c>
      <c r="W1725">
        <v>0</v>
      </c>
      <c r="X1725">
        <v>0</v>
      </c>
      <c r="Y1725">
        <v>62.14</v>
      </c>
      <c r="Z1725">
        <v>62.14</v>
      </c>
      <c r="AA1725">
        <v>62.14</v>
      </c>
      <c r="AB1725" s="1">
        <v>42382</v>
      </c>
      <c r="AC1725" t="s">
        <v>53</v>
      </c>
      <c r="AD1725" t="s">
        <v>53</v>
      </c>
      <c r="AK1725">
        <v>0</v>
      </c>
      <c r="AU1725" s="6">
        <v>42255</v>
      </c>
      <c r="AV1725" s="6">
        <v>42255</v>
      </c>
      <c r="AW1725" t="s">
        <v>54</v>
      </c>
      <c r="AX1725" t="str">
        <f t="shared" si="131"/>
        <v>FOR</v>
      </c>
      <c r="AY1725" t="s">
        <v>55</v>
      </c>
    </row>
    <row r="1726" spans="1:51" hidden="1">
      <c r="A1726">
        <v>100360</v>
      </c>
      <c r="B1726" t="s">
        <v>131</v>
      </c>
      <c r="C1726" t="str">
        <f t="shared" si="134"/>
        <v>00076810621</v>
      </c>
      <c r="D1726" t="str">
        <f t="shared" si="134"/>
        <v>00076810621</v>
      </c>
      <c r="E1726" t="s">
        <v>52</v>
      </c>
      <c r="F1726">
        <v>2015</v>
      </c>
      <c r="G1726">
        <v>27628</v>
      </c>
      <c r="H1726" s="1">
        <v>42089</v>
      </c>
      <c r="I1726" s="1">
        <v>42094</v>
      </c>
      <c r="J1726" s="1">
        <v>42094</v>
      </c>
      <c r="K1726" s="1">
        <v>42154</v>
      </c>
      <c r="N1726" s="5"/>
      <c r="O1726">
        <v>33.380000000000003</v>
      </c>
      <c r="P1726">
        <v>101</v>
      </c>
      <c r="Q1726" s="2">
        <v>3371.38</v>
      </c>
      <c r="R1726">
        <v>0</v>
      </c>
      <c r="V1726">
        <v>0</v>
      </c>
      <c r="W1726">
        <v>0</v>
      </c>
      <c r="X1726">
        <v>0</v>
      </c>
      <c r="Y1726">
        <v>36.72</v>
      </c>
      <c r="Z1726">
        <v>36.72</v>
      </c>
      <c r="AA1726">
        <v>36.72</v>
      </c>
      <c r="AB1726" s="1">
        <v>42382</v>
      </c>
      <c r="AC1726" t="s">
        <v>53</v>
      </c>
      <c r="AD1726" t="s">
        <v>53</v>
      </c>
      <c r="AK1726">
        <v>0</v>
      </c>
      <c r="AU1726" s="6">
        <v>42255</v>
      </c>
      <c r="AV1726" s="6">
        <v>42255</v>
      </c>
      <c r="AW1726" t="s">
        <v>54</v>
      </c>
      <c r="AX1726" t="str">
        <f t="shared" si="131"/>
        <v>FOR</v>
      </c>
      <c r="AY1726" t="s">
        <v>55</v>
      </c>
    </row>
    <row r="1727" spans="1:51" hidden="1">
      <c r="A1727">
        <v>100360</v>
      </c>
      <c r="B1727" t="s">
        <v>131</v>
      </c>
      <c r="C1727" t="str">
        <f t="shared" si="134"/>
        <v>00076810621</v>
      </c>
      <c r="D1727" t="str">
        <f t="shared" si="134"/>
        <v>00076810621</v>
      </c>
      <c r="E1727" t="s">
        <v>52</v>
      </c>
      <c r="F1727">
        <v>2015</v>
      </c>
      <c r="G1727">
        <v>28037</v>
      </c>
      <c r="H1727" s="1">
        <v>42090</v>
      </c>
      <c r="I1727" s="1">
        <v>42094</v>
      </c>
      <c r="J1727" s="1">
        <v>42094</v>
      </c>
      <c r="K1727" s="1">
        <v>42154</v>
      </c>
      <c r="N1727" s="5"/>
      <c r="O1727">
        <v>24.91</v>
      </c>
      <c r="P1727">
        <v>101</v>
      </c>
      <c r="Q1727" s="2">
        <v>2515.91</v>
      </c>
      <c r="R1727">
        <v>0</v>
      </c>
      <c r="V1727">
        <v>0</v>
      </c>
      <c r="W1727">
        <v>0</v>
      </c>
      <c r="X1727">
        <v>0</v>
      </c>
      <c r="Y1727">
        <v>27.4</v>
      </c>
      <c r="Z1727">
        <v>27.4</v>
      </c>
      <c r="AA1727">
        <v>27.4</v>
      </c>
      <c r="AB1727" s="1">
        <v>42382</v>
      </c>
      <c r="AC1727" t="s">
        <v>53</v>
      </c>
      <c r="AD1727" t="s">
        <v>53</v>
      </c>
      <c r="AK1727">
        <v>0</v>
      </c>
      <c r="AU1727" s="6">
        <v>42255</v>
      </c>
      <c r="AV1727" s="6">
        <v>42255</v>
      </c>
      <c r="AW1727" t="s">
        <v>54</v>
      </c>
      <c r="AX1727" t="str">
        <f t="shared" si="131"/>
        <v>FOR</v>
      </c>
      <c r="AY1727" t="s">
        <v>55</v>
      </c>
    </row>
    <row r="1728" spans="1:51" hidden="1">
      <c r="A1728">
        <v>100360</v>
      </c>
      <c r="B1728" t="s">
        <v>131</v>
      </c>
      <c r="C1728" t="str">
        <f t="shared" ref="C1728:D1733" si="135">"00076810621"</f>
        <v>00076810621</v>
      </c>
      <c r="D1728" t="str">
        <f t="shared" si="135"/>
        <v>00076810621</v>
      </c>
      <c r="E1728" t="s">
        <v>52</v>
      </c>
      <c r="F1728">
        <v>2015</v>
      </c>
      <c r="G1728">
        <v>28218</v>
      </c>
      <c r="H1728" s="1">
        <v>42090</v>
      </c>
      <c r="I1728" s="1">
        <v>42094</v>
      </c>
      <c r="J1728" s="1">
        <v>42094</v>
      </c>
      <c r="K1728" s="1">
        <v>42154</v>
      </c>
      <c r="N1728" s="5"/>
      <c r="O1728">
        <v>179.41</v>
      </c>
      <c r="P1728">
        <v>101</v>
      </c>
      <c r="Q1728" s="2">
        <v>18120.41</v>
      </c>
      <c r="R1728">
        <v>0</v>
      </c>
      <c r="V1728">
        <v>0</v>
      </c>
      <c r="W1728">
        <v>0</v>
      </c>
      <c r="X1728">
        <v>0</v>
      </c>
      <c r="Y1728">
        <v>197.35</v>
      </c>
      <c r="Z1728">
        <v>197.35</v>
      </c>
      <c r="AA1728">
        <v>197.35</v>
      </c>
      <c r="AB1728" s="1">
        <v>42382</v>
      </c>
      <c r="AC1728" t="s">
        <v>53</v>
      </c>
      <c r="AD1728" t="s">
        <v>53</v>
      </c>
      <c r="AK1728">
        <v>0</v>
      </c>
      <c r="AU1728" s="6">
        <v>42255</v>
      </c>
      <c r="AV1728" s="6">
        <v>42255</v>
      </c>
      <c r="AW1728" t="s">
        <v>54</v>
      </c>
      <c r="AX1728" t="str">
        <f t="shared" si="131"/>
        <v>FOR</v>
      </c>
      <c r="AY1728" t="s">
        <v>55</v>
      </c>
    </row>
    <row r="1729" spans="1:51" hidden="1">
      <c r="A1729">
        <v>100360</v>
      </c>
      <c r="B1729" t="s">
        <v>131</v>
      </c>
      <c r="C1729" t="str">
        <f t="shared" si="135"/>
        <v>00076810621</v>
      </c>
      <c r="D1729" t="str">
        <f t="shared" si="135"/>
        <v>00076810621</v>
      </c>
      <c r="E1729" t="s">
        <v>52</v>
      </c>
      <c r="F1729">
        <v>2015</v>
      </c>
      <c r="G1729">
        <v>28672</v>
      </c>
      <c r="H1729" s="1">
        <v>42093</v>
      </c>
      <c r="I1729" s="1">
        <v>42097</v>
      </c>
      <c r="J1729" s="1">
        <v>42097</v>
      </c>
      <c r="K1729" s="1">
        <v>42157</v>
      </c>
      <c r="N1729" s="5"/>
      <c r="O1729">
        <v>55.56</v>
      </c>
      <c r="P1729">
        <v>98</v>
      </c>
      <c r="Q1729" s="2">
        <v>5444.88</v>
      </c>
      <c r="R1729">
        <v>0</v>
      </c>
      <c r="V1729">
        <v>0</v>
      </c>
      <c r="W1729">
        <v>0</v>
      </c>
      <c r="X1729">
        <v>0</v>
      </c>
      <c r="Y1729">
        <v>61.12</v>
      </c>
      <c r="Z1729">
        <v>61.12</v>
      </c>
      <c r="AA1729">
        <v>61.12</v>
      </c>
      <c r="AB1729" s="1">
        <v>42382</v>
      </c>
      <c r="AC1729" t="s">
        <v>53</v>
      </c>
      <c r="AD1729" t="s">
        <v>53</v>
      </c>
      <c r="AK1729">
        <v>0</v>
      </c>
      <c r="AU1729" s="6">
        <v>42255</v>
      </c>
      <c r="AV1729" s="6">
        <v>42255</v>
      </c>
      <c r="AW1729" t="s">
        <v>54</v>
      </c>
      <c r="AX1729" t="str">
        <f t="shared" si="131"/>
        <v>FOR</v>
      </c>
      <c r="AY1729" t="s">
        <v>55</v>
      </c>
    </row>
    <row r="1730" spans="1:51" hidden="1">
      <c r="A1730">
        <v>100360</v>
      </c>
      <c r="B1730" t="s">
        <v>131</v>
      </c>
      <c r="C1730" t="str">
        <f t="shared" si="135"/>
        <v>00076810621</v>
      </c>
      <c r="D1730" t="str">
        <f t="shared" si="135"/>
        <v>00076810621</v>
      </c>
      <c r="E1730" t="s">
        <v>52</v>
      </c>
      <c r="F1730">
        <v>2015</v>
      </c>
      <c r="G1730">
        <v>28864</v>
      </c>
      <c r="H1730" s="1">
        <v>42093</v>
      </c>
      <c r="I1730" s="1">
        <v>42097</v>
      </c>
      <c r="J1730" s="1">
        <v>42097</v>
      </c>
      <c r="K1730" s="1">
        <v>42157</v>
      </c>
      <c r="N1730" s="5"/>
      <c r="O1730">
        <v>6.13</v>
      </c>
      <c r="P1730">
        <v>98</v>
      </c>
      <c r="Q1730">
        <v>600.74</v>
      </c>
      <c r="R1730">
        <v>0</v>
      </c>
      <c r="V1730">
        <v>0</v>
      </c>
      <c r="W1730">
        <v>0</v>
      </c>
      <c r="X1730">
        <v>0</v>
      </c>
      <c r="Y1730">
        <v>6.74</v>
      </c>
      <c r="Z1730">
        <v>6.74</v>
      </c>
      <c r="AA1730">
        <v>6.74</v>
      </c>
      <c r="AB1730" s="1">
        <v>42382</v>
      </c>
      <c r="AC1730" t="s">
        <v>53</v>
      </c>
      <c r="AD1730" t="s">
        <v>53</v>
      </c>
      <c r="AK1730">
        <v>0</v>
      </c>
      <c r="AU1730" s="6">
        <v>42255</v>
      </c>
      <c r="AV1730" s="6">
        <v>42255</v>
      </c>
      <c r="AW1730" t="s">
        <v>54</v>
      </c>
      <c r="AX1730" t="str">
        <f t="shared" si="131"/>
        <v>FOR</v>
      </c>
      <c r="AY1730" t="s">
        <v>55</v>
      </c>
    </row>
    <row r="1731" spans="1:51" hidden="1">
      <c r="A1731">
        <v>100360</v>
      </c>
      <c r="B1731" t="s">
        <v>131</v>
      </c>
      <c r="C1731" t="str">
        <f t="shared" si="135"/>
        <v>00076810621</v>
      </c>
      <c r="D1731" t="str">
        <f t="shared" si="135"/>
        <v>00076810621</v>
      </c>
      <c r="E1731" t="s">
        <v>52</v>
      </c>
      <c r="F1731">
        <v>2015</v>
      </c>
      <c r="G1731">
        <v>28879</v>
      </c>
      <c r="H1731" s="1">
        <v>42093</v>
      </c>
      <c r="I1731" s="1">
        <v>42097</v>
      </c>
      <c r="J1731" s="1">
        <v>42097</v>
      </c>
      <c r="K1731" s="1">
        <v>42157</v>
      </c>
      <c r="N1731" s="5"/>
      <c r="O1731">
        <v>31.12</v>
      </c>
      <c r="P1731">
        <v>98</v>
      </c>
      <c r="Q1731" s="2">
        <v>3049.76</v>
      </c>
      <c r="R1731">
        <v>0</v>
      </c>
      <c r="V1731">
        <v>0</v>
      </c>
      <c r="W1731">
        <v>0</v>
      </c>
      <c r="X1731">
        <v>0</v>
      </c>
      <c r="Y1731">
        <v>34.229999999999997</v>
      </c>
      <c r="Z1731">
        <v>34.229999999999997</v>
      </c>
      <c r="AA1731">
        <v>34.229999999999997</v>
      </c>
      <c r="AB1731" s="1">
        <v>42382</v>
      </c>
      <c r="AC1731" t="s">
        <v>53</v>
      </c>
      <c r="AD1731" t="s">
        <v>53</v>
      </c>
      <c r="AK1731">
        <v>0</v>
      </c>
      <c r="AU1731" s="6">
        <v>42255</v>
      </c>
      <c r="AV1731" s="6">
        <v>42255</v>
      </c>
      <c r="AW1731" t="s">
        <v>54</v>
      </c>
      <c r="AX1731" t="str">
        <f t="shared" ref="AX1731:AX1794" si="136">"FOR"</f>
        <v>FOR</v>
      </c>
      <c r="AY1731" t="s">
        <v>55</v>
      </c>
    </row>
    <row r="1732" spans="1:51" hidden="1">
      <c r="A1732">
        <v>100360</v>
      </c>
      <c r="B1732" t="s">
        <v>131</v>
      </c>
      <c r="C1732" t="str">
        <f t="shared" si="135"/>
        <v>00076810621</v>
      </c>
      <c r="D1732" t="str">
        <f t="shared" si="135"/>
        <v>00076810621</v>
      </c>
      <c r="E1732" t="s">
        <v>52</v>
      </c>
      <c r="F1732">
        <v>2015</v>
      </c>
      <c r="G1732">
        <v>29259</v>
      </c>
      <c r="H1732" s="1">
        <v>42094</v>
      </c>
      <c r="I1732" s="1">
        <v>42097</v>
      </c>
      <c r="J1732" s="1">
        <v>42097</v>
      </c>
      <c r="K1732" s="1">
        <v>42157</v>
      </c>
      <c r="N1732" s="5"/>
      <c r="O1732">
        <v>112.84</v>
      </c>
      <c r="P1732">
        <v>98</v>
      </c>
      <c r="Q1732" s="2">
        <v>11058.32</v>
      </c>
      <c r="R1732">
        <v>0</v>
      </c>
      <c r="V1732">
        <v>0</v>
      </c>
      <c r="W1732">
        <v>0</v>
      </c>
      <c r="X1732">
        <v>0</v>
      </c>
      <c r="Y1732">
        <v>124.12</v>
      </c>
      <c r="Z1732">
        <v>124.12</v>
      </c>
      <c r="AA1732">
        <v>124.12</v>
      </c>
      <c r="AB1732" s="1">
        <v>42382</v>
      </c>
      <c r="AC1732" t="s">
        <v>53</v>
      </c>
      <c r="AD1732" t="s">
        <v>53</v>
      </c>
      <c r="AK1732">
        <v>0</v>
      </c>
      <c r="AU1732" s="6">
        <v>42255</v>
      </c>
      <c r="AV1732" s="6">
        <v>42255</v>
      </c>
      <c r="AW1732" t="s">
        <v>54</v>
      </c>
      <c r="AX1732" t="str">
        <f t="shared" si="136"/>
        <v>FOR</v>
      </c>
      <c r="AY1732" t="s">
        <v>55</v>
      </c>
    </row>
    <row r="1733" spans="1:51">
      <c r="A1733">
        <v>100360</v>
      </c>
      <c r="B1733" t="s">
        <v>131</v>
      </c>
      <c r="C1733" t="str">
        <f t="shared" si="135"/>
        <v>00076810621</v>
      </c>
      <c r="D1733" t="str">
        <f t="shared" si="135"/>
        <v>00076810621</v>
      </c>
      <c r="E1733" t="s">
        <v>52</v>
      </c>
      <c r="F1733">
        <v>2015</v>
      </c>
      <c r="G1733">
        <v>30516</v>
      </c>
      <c r="H1733" s="1">
        <v>42097</v>
      </c>
      <c r="I1733" s="1">
        <v>42116</v>
      </c>
      <c r="J1733" s="1">
        <v>42115</v>
      </c>
      <c r="K1733" s="1">
        <v>42175</v>
      </c>
      <c r="L1733" s="7">
        <v>59.33</v>
      </c>
      <c r="M1733" s="5">
        <v>164</v>
      </c>
      <c r="N1733" s="7">
        <v>9730.1200000000008</v>
      </c>
      <c r="O1733">
        <v>59.33</v>
      </c>
      <c r="P1733">
        <v>164</v>
      </c>
      <c r="Q1733" s="2">
        <v>9730.1200000000008</v>
      </c>
      <c r="R1733">
        <v>5.93</v>
      </c>
      <c r="V1733">
        <v>0</v>
      </c>
      <c r="W1733">
        <v>0</v>
      </c>
      <c r="X1733">
        <v>0</v>
      </c>
      <c r="Y1733">
        <v>65.260000000000005</v>
      </c>
      <c r="Z1733">
        <v>65.260000000000005</v>
      </c>
      <c r="AA1733">
        <v>65.260000000000005</v>
      </c>
      <c r="AB1733" s="1">
        <v>42382</v>
      </c>
      <c r="AC1733" t="s">
        <v>53</v>
      </c>
      <c r="AD1733" t="s">
        <v>53</v>
      </c>
      <c r="AK1733">
        <v>5.93</v>
      </c>
      <c r="AU1733" s="6">
        <v>42339</v>
      </c>
      <c r="AV1733" s="6">
        <v>42339</v>
      </c>
      <c r="AW1733" t="s">
        <v>54</v>
      </c>
      <c r="AX1733" t="str">
        <f t="shared" si="136"/>
        <v>FOR</v>
      </c>
      <c r="AY1733" t="s">
        <v>55</v>
      </c>
    </row>
    <row r="1734" spans="1:51" hidden="1">
      <c r="A1734">
        <v>100364</v>
      </c>
      <c r="B1734" t="s">
        <v>132</v>
      </c>
      <c r="C1734" t="str">
        <f t="shared" ref="C1734:D1738" si="137">"00212840235"</f>
        <v>00212840235</v>
      </c>
      <c r="D1734" t="str">
        <f t="shared" si="137"/>
        <v>00212840235</v>
      </c>
      <c r="E1734" t="s">
        <v>52</v>
      </c>
      <c r="F1734">
        <v>2014</v>
      </c>
      <c r="G1734">
        <v>35002080</v>
      </c>
      <c r="H1734" s="1">
        <v>41655</v>
      </c>
      <c r="I1734" s="1">
        <v>41673</v>
      </c>
      <c r="J1734" s="1">
        <v>41673</v>
      </c>
      <c r="K1734" s="1">
        <v>41763</v>
      </c>
      <c r="N1734" s="5"/>
      <c r="O1734">
        <v>520</v>
      </c>
      <c r="P1734">
        <v>396</v>
      </c>
      <c r="Q1734" s="2">
        <v>205920</v>
      </c>
      <c r="R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 s="1">
        <v>42382</v>
      </c>
      <c r="AC1734" t="s">
        <v>53</v>
      </c>
      <c r="AD1734" t="s">
        <v>53</v>
      </c>
      <c r="AK1734">
        <v>0</v>
      </c>
      <c r="AU1734" s="6">
        <v>42159</v>
      </c>
      <c r="AV1734" s="6">
        <v>42159</v>
      </c>
      <c r="AW1734" t="s">
        <v>54</v>
      </c>
      <c r="AX1734" t="str">
        <f t="shared" si="136"/>
        <v>FOR</v>
      </c>
      <c r="AY1734" t="s">
        <v>55</v>
      </c>
    </row>
    <row r="1735" spans="1:51" hidden="1">
      <c r="A1735">
        <v>100364</v>
      </c>
      <c r="B1735" t="s">
        <v>132</v>
      </c>
      <c r="C1735" t="str">
        <f t="shared" si="137"/>
        <v>00212840235</v>
      </c>
      <c r="D1735" t="str">
        <f t="shared" si="137"/>
        <v>00212840235</v>
      </c>
      <c r="E1735" t="s">
        <v>52</v>
      </c>
      <c r="F1735">
        <v>2014</v>
      </c>
      <c r="G1735">
        <v>35007301</v>
      </c>
      <c r="H1735" s="1">
        <v>41683</v>
      </c>
      <c r="I1735" s="1">
        <v>41697</v>
      </c>
      <c r="J1735" s="1">
        <v>41697</v>
      </c>
      <c r="K1735" s="1">
        <v>41787</v>
      </c>
      <c r="N1735" s="5"/>
      <c r="O1735" s="2">
        <v>1040</v>
      </c>
      <c r="P1735">
        <v>372</v>
      </c>
      <c r="Q1735" s="2">
        <v>386880</v>
      </c>
      <c r="R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 s="1">
        <v>42382</v>
      </c>
      <c r="AC1735" t="s">
        <v>53</v>
      </c>
      <c r="AD1735" t="s">
        <v>53</v>
      </c>
      <c r="AK1735">
        <v>0</v>
      </c>
      <c r="AU1735" s="6">
        <v>42159</v>
      </c>
      <c r="AV1735" s="6">
        <v>42159</v>
      </c>
      <c r="AW1735" t="s">
        <v>54</v>
      </c>
      <c r="AX1735" t="str">
        <f t="shared" si="136"/>
        <v>FOR</v>
      </c>
      <c r="AY1735" t="s">
        <v>55</v>
      </c>
    </row>
    <row r="1736" spans="1:51" hidden="1">
      <c r="A1736">
        <v>100364</v>
      </c>
      <c r="B1736" t="s">
        <v>132</v>
      </c>
      <c r="C1736" t="str">
        <f t="shared" si="137"/>
        <v>00212840235</v>
      </c>
      <c r="D1736" t="str">
        <f t="shared" si="137"/>
        <v>00212840235</v>
      </c>
      <c r="E1736" t="s">
        <v>52</v>
      </c>
      <c r="F1736">
        <v>2014</v>
      </c>
      <c r="G1736">
        <v>35025904</v>
      </c>
      <c r="H1736" s="1">
        <v>41773</v>
      </c>
      <c r="I1736" s="1">
        <v>41800</v>
      </c>
      <c r="J1736" s="1">
        <v>41800</v>
      </c>
      <c r="K1736" s="1">
        <v>41890</v>
      </c>
      <c r="N1736" s="5"/>
      <c r="O1736" s="2">
        <v>1040</v>
      </c>
      <c r="P1736">
        <v>269</v>
      </c>
      <c r="Q1736" s="2">
        <v>279760</v>
      </c>
      <c r="R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 s="1">
        <v>42382</v>
      </c>
      <c r="AC1736" t="s">
        <v>53</v>
      </c>
      <c r="AD1736" t="s">
        <v>53</v>
      </c>
      <c r="AK1736">
        <v>0</v>
      </c>
      <c r="AU1736" s="6">
        <v>42159</v>
      </c>
      <c r="AV1736" s="6">
        <v>42159</v>
      </c>
      <c r="AW1736" t="s">
        <v>54</v>
      </c>
      <c r="AX1736" t="str">
        <f t="shared" si="136"/>
        <v>FOR</v>
      </c>
      <c r="AY1736" t="s">
        <v>55</v>
      </c>
    </row>
    <row r="1737" spans="1:51" hidden="1">
      <c r="A1737">
        <v>100364</v>
      </c>
      <c r="B1737" t="s">
        <v>132</v>
      </c>
      <c r="C1737" t="str">
        <f t="shared" si="137"/>
        <v>00212840235</v>
      </c>
      <c r="D1737" t="str">
        <f t="shared" si="137"/>
        <v>00212840235</v>
      </c>
      <c r="E1737" t="s">
        <v>52</v>
      </c>
      <c r="F1737">
        <v>2014</v>
      </c>
      <c r="G1737">
        <v>35038966</v>
      </c>
      <c r="H1737" s="1">
        <v>41849</v>
      </c>
      <c r="I1737" s="1">
        <v>41877</v>
      </c>
      <c r="J1737" s="1">
        <v>41877</v>
      </c>
      <c r="K1737" s="1">
        <v>41967</v>
      </c>
      <c r="N1737" s="5"/>
      <c r="O1737" s="2">
        <v>1247.99</v>
      </c>
      <c r="P1737">
        <v>224</v>
      </c>
      <c r="Q1737" s="2">
        <v>279549.76</v>
      </c>
      <c r="R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 s="1">
        <v>42382</v>
      </c>
      <c r="AC1737" t="s">
        <v>53</v>
      </c>
      <c r="AD1737" t="s">
        <v>53</v>
      </c>
      <c r="AK1737">
        <v>0</v>
      </c>
      <c r="AU1737" s="6">
        <v>42191</v>
      </c>
      <c r="AV1737" s="6">
        <v>42191</v>
      </c>
      <c r="AW1737" t="s">
        <v>54</v>
      </c>
      <c r="AX1737" t="str">
        <f t="shared" si="136"/>
        <v>FOR</v>
      </c>
      <c r="AY1737" t="s">
        <v>55</v>
      </c>
    </row>
    <row r="1738" spans="1:51">
      <c r="A1738">
        <v>100364</v>
      </c>
      <c r="B1738" t="s">
        <v>132</v>
      </c>
      <c r="C1738" t="str">
        <f t="shared" si="137"/>
        <v>00212840235</v>
      </c>
      <c r="D1738" t="str">
        <f t="shared" si="137"/>
        <v>00212840235</v>
      </c>
      <c r="E1738" t="s">
        <v>52</v>
      </c>
      <c r="F1738">
        <v>2014</v>
      </c>
      <c r="G1738">
        <v>35056350</v>
      </c>
      <c r="H1738" s="1">
        <v>41968</v>
      </c>
      <c r="I1738" s="1">
        <v>41978</v>
      </c>
      <c r="J1738" s="1">
        <v>41978</v>
      </c>
      <c r="K1738" s="1">
        <v>42038</v>
      </c>
      <c r="L1738" s="7">
        <v>1560</v>
      </c>
      <c r="M1738" s="5">
        <v>266</v>
      </c>
      <c r="N1738" s="7">
        <v>414960</v>
      </c>
      <c r="O1738" s="2">
        <v>1560</v>
      </c>
      <c r="P1738">
        <v>266</v>
      </c>
      <c r="Q1738" s="2">
        <v>414960</v>
      </c>
      <c r="R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 s="1">
        <v>42382</v>
      </c>
      <c r="AC1738" t="s">
        <v>53</v>
      </c>
      <c r="AD1738" t="s">
        <v>53</v>
      </c>
      <c r="AK1738">
        <v>0</v>
      </c>
      <c r="AU1738" s="6">
        <v>42304</v>
      </c>
      <c r="AV1738" s="6">
        <v>42304</v>
      </c>
      <c r="AW1738" t="s">
        <v>54</v>
      </c>
      <c r="AX1738" t="str">
        <f t="shared" si="136"/>
        <v>FOR</v>
      </c>
      <c r="AY1738" t="s">
        <v>55</v>
      </c>
    </row>
    <row r="1739" spans="1:51" hidden="1">
      <c r="A1739">
        <v>100371</v>
      </c>
      <c r="B1739" t="s">
        <v>133</v>
      </c>
      <c r="C1739" t="str">
        <f t="shared" ref="C1739:D1758" si="138">"11629770154"</f>
        <v>11629770154</v>
      </c>
      <c r="D1739" t="str">
        <f t="shared" si="138"/>
        <v>11629770154</v>
      </c>
      <c r="E1739" t="s">
        <v>52</v>
      </c>
      <c r="F1739">
        <v>2014</v>
      </c>
      <c r="G1739">
        <v>16470</v>
      </c>
      <c r="H1739" s="1">
        <v>41729</v>
      </c>
      <c r="I1739" s="1">
        <v>41773</v>
      </c>
      <c r="J1739" s="1">
        <v>41773</v>
      </c>
      <c r="K1739" s="1">
        <v>41863</v>
      </c>
      <c r="N1739" s="5"/>
      <c r="O1739" s="2">
        <v>3785.03</v>
      </c>
      <c r="P1739">
        <v>154</v>
      </c>
      <c r="Q1739" s="2">
        <v>582894.62</v>
      </c>
      <c r="R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 s="1">
        <v>42382</v>
      </c>
      <c r="AC1739" t="s">
        <v>53</v>
      </c>
      <c r="AD1739" t="s">
        <v>53</v>
      </c>
      <c r="AK1739">
        <v>0</v>
      </c>
      <c r="AU1739" s="6">
        <v>42017</v>
      </c>
      <c r="AV1739" s="6">
        <v>42017</v>
      </c>
      <c r="AW1739" t="s">
        <v>54</v>
      </c>
      <c r="AX1739" t="str">
        <f t="shared" si="136"/>
        <v>FOR</v>
      </c>
      <c r="AY1739" t="s">
        <v>55</v>
      </c>
    </row>
    <row r="1740" spans="1:51" hidden="1">
      <c r="A1740">
        <v>100371</v>
      </c>
      <c r="B1740" t="s">
        <v>133</v>
      </c>
      <c r="C1740" t="str">
        <f t="shared" si="138"/>
        <v>11629770154</v>
      </c>
      <c r="D1740" t="str">
        <f t="shared" si="138"/>
        <v>11629770154</v>
      </c>
      <c r="E1740" t="s">
        <v>52</v>
      </c>
      <c r="F1740">
        <v>2014</v>
      </c>
      <c r="G1740">
        <v>18849</v>
      </c>
      <c r="H1740" s="1">
        <v>41729</v>
      </c>
      <c r="I1740" s="1">
        <v>41773</v>
      </c>
      <c r="J1740" s="1">
        <v>41773</v>
      </c>
      <c r="K1740" s="1">
        <v>41863</v>
      </c>
      <c r="N1740" s="5"/>
      <c r="O1740" s="2">
        <v>180385.52</v>
      </c>
      <c r="P1740">
        <v>154</v>
      </c>
      <c r="Q1740" s="2">
        <v>27779370.079999998</v>
      </c>
      <c r="R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 s="1">
        <v>42382</v>
      </c>
      <c r="AC1740" t="s">
        <v>53</v>
      </c>
      <c r="AD1740" t="s">
        <v>53</v>
      </c>
      <c r="AK1740">
        <v>0</v>
      </c>
      <c r="AU1740" s="6">
        <v>42017</v>
      </c>
      <c r="AV1740" s="6">
        <v>42017</v>
      </c>
      <c r="AW1740" t="s">
        <v>54</v>
      </c>
      <c r="AX1740" t="str">
        <f t="shared" si="136"/>
        <v>FOR</v>
      </c>
      <c r="AY1740" t="s">
        <v>55</v>
      </c>
    </row>
    <row r="1741" spans="1:51" hidden="1">
      <c r="A1741">
        <v>100371</v>
      </c>
      <c r="B1741" t="s">
        <v>133</v>
      </c>
      <c r="C1741" t="str">
        <f t="shared" si="138"/>
        <v>11629770154</v>
      </c>
      <c r="D1741" t="str">
        <f t="shared" si="138"/>
        <v>11629770154</v>
      </c>
      <c r="E1741" t="s">
        <v>52</v>
      </c>
      <c r="F1741">
        <v>2014</v>
      </c>
      <c r="G1741">
        <v>18850</v>
      </c>
      <c r="H1741" s="1">
        <v>41729</v>
      </c>
      <c r="I1741" s="1">
        <v>41773</v>
      </c>
      <c r="J1741" s="1">
        <v>41773</v>
      </c>
      <c r="K1741" s="1">
        <v>41863</v>
      </c>
      <c r="N1741" s="5"/>
      <c r="O1741" s="2">
        <v>2146.17</v>
      </c>
      <c r="P1741">
        <v>154</v>
      </c>
      <c r="Q1741" s="2">
        <v>330510.18</v>
      </c>
      <c r="R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 s="1">
        <v>42382</v>
      </c>
      <c r="AC1741" t="s">
        <v>53</v>
      </c>
      <c r="AD1741" t="s">
        <v>53</v>
      </c>
      <c r="AK1741">
        <v>0</v>
      </c>
      <c r="AU1741" s="6">
        <v>42017</v>
      </c>
      <c r="AV1741" s="6">
        <v>42017</v>
      </c>
      <c r="AW1741" t="s">
        <v>54</v>
      </c>
      <c r="AX1741" t="str">
        <f t="shared" si="136"/>
        <v>FOR</v>
      </c>
      <c r="AY1741" t="s">
        <v>55</v>
      </c>
    </row>
    <row r="1742" spans="1:51" hidden="1">
      <c r="A1742">
        <v>100371</v>
      </c>
      <c r="B1742" t="s">
        <v>133</v>
      </c>
      <c r="C1742" t="str">
        <f t="shared" si="138"/>
        <v>11629770154</v>
      </c>
      <c r="D1742" t="str">
        <f t="shared" si="138"/>
        <v>11629770154</v>
      </c>
      <c r="E1742" t="s">
        <v>52</v>
      </c>
      <c r="F1742">
        <v>2014</v>
      </c>
      <c r="G1742">
        <v>18851</v>
      </c>
      <c r="H1742" s="1">
        <v>41729</v>
      </c>
      <c r="I1742" s="1">
        <v>41773</v>
      </c>
      <c r="J1742" s="1">
        <v>41773</v>
      </c>
      <c r="K1742" s="1">
        <v>41863</v>
      </c>
      <c r="N1742" s="5"/>
      <c r="O1742" s="2">
        <v>2890.77</v>
      </c>
      <c r="P1742">
        <v>154</v>
      </c>
      <c r="Q1742" s="2">
        <v>445178.58</v>
      </c>
      <c r="R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 s="1">
        <v>42382</v>
      </c>
      <c r="AC1742" t="s">
        <v>53</v>
      </c>
      <c r="AD1742" t="s">
        <v>53</v>
      </c>
      <c r="AK1742">
        <v>0</v>
      </c>
      <c r="AU1742" s="6">
        <v>42017</v>
      </c>
      <c r="AV1742" s="6">
        <v>42017</v>
      </c>
      <c r="AW1742" t="s">
        <v>54</v>
      </c>
      <c r="AX1742" t="str">
        <f t="shared" si="136"/>
        <v>FOR</v>
      </c>
      <c r="AY1742" t="s">
        <v>55</v>
      </c>
    </row>
    <row r="1743" spans="1:51" hidden="1">
      <c r="A1743">
        <v>100371</v>
      </c>
      <c r="B1743" t="s">
        <v>133</v>
      </c>
      <c r="C1743" t="str">
        <f t="shared" si="138"/>
        <v>11629770154</v>
      </c>
      <c r="D1743" t="str">
        <f t="shared" si="138"/>
        <v>11629770154</v>
      </c>
      <c r="E1743" t="s">
        <v>52</v>
      </c>
      <c r="F1743">
        <v>2014</v>
      </c>
      <c r="G1743">
        <v>18852</v>
      </c>
      <c r="H1743" s="1">
        <v>41729</v>
      </c>
      <c r="I1743" s="1">
        <v>41773</v>
      </c>
      <c r="J1743" s="1">
        <v>41773</v>
      </c>
      <c r="K1743" s="1">
        <v>41863</v>
      </c>
      <c r="N1743" s="5"/>
      <c r="O1743" s="2">
        <v>17727.93</v>
      </c>
      <c r="P1743">
        <v>154</v>
      </c>
      <c r="Q1743" s="2">
        <v>2730101.22</v>
      </c>
      <c r="R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 s="1">
        <v>42382</v>
      </c>
      <c r="AC1743" t="s">
        <v>53</v>
      </c>
      <c r="AD1743" t="s">
        <v>53</v>
      </c>
      <c r="AK1743">
        <v>0</v>
      </c>
      <c r="AU1743" s="6">
        <v>42017</v>
      </c>
      <c r="AV1743" s="6">
        <v>42017</v>
      </c>
      <c r="AW1743" t="s">
        <v>54</v>
      </c>
      <c r="AX1743" t="str">
        <f t="shared" si="136"/>
        <v>FOR</v>
      </c>
      <c r="AY1743" t="s">
        <v>55</v>
      </c>
    </row>
    <row r="1744" spans="1:51" hidden="1">
      <c r="A1744">
        <v>100371</v>
      </c>
      <c r="B1744" t="s">
        <v>133</v>
      </c>
      <c r="C1744" t="str">
        <f t="shared" si="138"/>
        <v>11629770154</v>
      </c>
      <c r="D1744" t="str">
        <f t="shared" si="138"/>
        <v>11629770154</v>
      </c>
      <c r="E1744" t="s">
        <v>52</v>
      </c>
      <c r="F1744">
        <v>2014</v>
      </c>
      <c r="G1744">
        <v>23174</v>
      </c>
      <c r="H1744" s="1">
        <v>41759</v>
      </c>
      <c r="I1744" s="1">
        <v>41794</v>
      </c>
      <c r="J1744" s="1">
        <v>41794</v>
      </c>
      <c r="K1744" s="1">
        <v>41884</v>
      </c>
      <c r="N1744" s="5"/>
      <c r="O1744" s="2">
        <v>3482.39</v>
      </c>
      <c r="P1744">
        <v>150</v>
      </c>
      <c r="Q1744" s="2">
        <v>522358.5</v>
      </c>
      <c r="R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 s="1">
        <v>42382</v>
      </c>
      <c r="AC1744" t="s">
        <v>53</v>
      </c>
      <c r="AD1744" t="s">
        <v>53</v>
      </c>
      <c r="AK1744">
        <v>0</v>
      </c>
      <c r="AU1744" s="6">
        <v>42034</v>
      </c>
      <c r="AV1744" s="6">
        <v>42034</v>
      </c>
      <c r="AW1744" t="s">
        <v>54</v>
      </c>
      <c r="AX1744" t="str">
        <f t="shared" si="136"/>
        <v>FOR</v>
      </c>
      <c r="AY1744" t="s">
        <v>55</v>
      </c>
    </row>
    <row r="1745" spans="1:51" hidden="1">
      <c r="A1745">
        <v>100371</v>
      </c>
      <c r="B1745" t="s">
        <v>133</v>
      </c>
      <c r="C1745" t="str">
        <f t="shared" si="138"/>
        <v>11629770154</v>
      </c>
      <c r="D1745" t="str">
        <f t="shared" si="138"/>
        <v>11629770154</v>
      </c>
      <c r="E1745" t="s">
        <v>52</v>
      </c>
      <c r="F1745">
        <v>2014</v>
      </c>
      <c r="G1745">
        <v>24574</v>
      </c>
      <c r="H1745" s="1">
        <v>41759</v>
      </c>
      <c r="I1745" s="1">
        <v>41794</v>
      </c>
      <c r="J1745" s="1">
        <v>41794</v>
      </c>
      <c r="K1745" s="1">
        <v>41884</v>
      </c>
      <c r="N1745" s="5"/>
      <c r="O1745" s="2">
        <v>171827.53</v>
      </c>
      <c r="P1745">
        <v>150</v>
      </c>
      <c r="Q1745" s="2">
        <v>25774129.5</v>
      </c>
      <c r="R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 s="1">
        <v>42382</v>
      </c>
      <c r="AC1745" t="s">
        <v>53</v>
      </c>
      <c r="AD1745" t="s">
        <v>53</v>
      </c>
      <c r="AK1745">
        <v>0</v>
      </c>
      <c r="AU1745" s="6">
        <v>42034</v>
      </c>
      <c r="AV1745" s="6">
        <v>42034</v>
      </c>
      <c r="AW1745" t="s">
        <v>54</v>
      </c>
      <c r="AX1745" t="str">
        <f t="shared" si="136"/>
        <v>FOR</v>
      </c>
      <c r="AY1745" t="s">
        <v>55</v>
      </c>
    </row>
    <row r="1746" spans="1:51" hidden="1">
      <c r="A1746">
        <v>100371</v>
      </c>
      <c r="B1746" t="s">
        <v>133</v>
      </c>
      <c r="C1746" t="str">
        <f t="shared" si="138"/>
        <v>11629770154</v>
      </c>
      <c r="D1746" t="str">
        <f t="shared" si="138"/>
        <v>11629770154</v>
      </c>
      <c r="E1746" t="s">
        <v>52</v>
      </c>
      <c r="F1746">
        <v>2014</v>
      </c>
      <c r="G1746">
        <v>24575</v>
      </c>
      <c r="H1746" s="1">
        <v>41759</v>
      </c>
      <c r="I1746" s="1">
        <v>41794</v>
      </c>
      <c r="J1746" s="1">
        <v>41794</v>
      </c>
      <c r="K1746" s="1">
        <v>41884</v>
      </c>
      <c r="N1746" s="5"/>
      <c r="O1746" s="2">
        <v>2294.7800000000002</v>
      </c>
      <c r="P1746">
        <v>150</v>
      </c>
      <c r="Q1746" s="2">
        <v>344217</v>
      </c>
      <c r="R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 s="1">
        <v>42382</v>
      </c>
      <c r="AC1746" t="s">
        <v>53</v>
      </c>
      <c r="AD1746" t="s">
        <v>53</v>
      </c>
      <c r="AK1746">
        <v>0</v>
      </c>
      <c r="AU1746" s="6">
        <v>42034</v>
      </c>
      <c r="AV1746" s="6">
        <v>42034</v>
      </c>
      <c r="AW1746" t="s">
        <v>54</v>
      </c>
      <c r="AX1746" t="str">
        <f t="shared" si="136"/>
        <v>FOR</v>
      </c>
      <c r="AY1746" t="s">
        <v>55</v>
      </c>
    </row>
    <row r="1747" spans="1:51" hidden="1">
      <c r="A1747">
        <v>100371</v>
      </c>
      <c r="B1747" t="s">
        <v>133</v>
      </c>
      <c r="C1747" t="str">
        <f t="shared" si="138"/>
        <v>11629770154</v>
      </c>
      <c r="D1747" t="str">
        <f t="shared" si="138"/>
        <v>11629770154</v>
      </c>
      <c r="E1747" t="s">
        <v>52</v>
      </c>
      <c r="F1747">
        <v>2014</v>
      </c>
      <c r="G1747">
        <v>24576</v>
      </c>
      <c r="H1747" s="1">
        <v>41759</v>
      </c>
      <c r="I1747" s="1">
        <v>41794</v>
      </c>
      <c r="J1747" s="1">
        <v>41794</v>
      </c>
      <c r="K1747" s="1">
        <v>41884</v>
      </c>
      <c r="N1747" s="5"/>
      <c r="O1747" s="2">
        <v>3621.36</v>
      </c>
      <c r="P1747">
        <v>150</v>
      </c>
      <c r="Q1747" s="2">
        <v>543204</v>
      </c>
      <c r="R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 s="1">
        <v>42382</v>
      </c>
      <c r="AC1747" t="s">
        <v>53</v>
      </c>
      <c r="AD1747" t="s">
        <v>53</v>
      </c>
      <c r="AK1747">
        <v>0</v>
      </c>
      <c r="AU1747" s="6">
        <v>42034</v>
      </c>
      <c r="AV1747" s="6">
        <v>42034</v>
      </c>
      <c r="AW1747" t="s">
        <v>54</v>
      </c>
      <c r="AX1747" t="str">
        <f t="shared" si="136"/>
        <v>FOR</v>
      </c>
      <c r="AY1747" t="s">
        <v>55</v>
      </c>
    </row>
    <row r="1748" spans="1:51" hidden="1">
      <c r="A1748">
        <v>100371</v>
      </c>
      <c r="B1748" t="s">
        <v>133</v>
      </c>
      <c r="C1748" t="str">
        <f t="shared" si="138"/>
        <v>11629770154</v>
      </c>
      <c r="D1748" t="str">
        <f t="shared" si="138"/>
        <v>11629770154</v>
      </c>
      <c r="E1748" t="s">
        <v>52</v>
      </c>
      <c r="F1748">
        <v>2014</v>
      </c>
      <c r="G1748">
        <v>24577</v>
      </c>
      <c r="H1748" s="1">
        <v>41759</v>
      </c>
      <c r="I1748" s="1">
        <v>41794</v>
      </c>
      <c r="J1748" s="1">
        <v>41794</v>
      </c>
      <c r="K1748" s="1">
        <v>41884</v>
      </c>
      <c r="N1748" s="5"/>
      <c r="O1748" s="2">
        <v>19458.47</v>
      </c>
      <c r="P1748">
        <v>150</v>
      </c>
      <c r="Q1748" s="2">
        <v>2918770.5</v>
      </c>
      <c r="R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 s="1">
        <v>42382</v>
      </c>
      <c r="AC1748" t="s">
        <v>53</v>
      </c>
      <c r="AD1748" t="s">
        <v>53</v>
      </c>
      <c r="AK1748">
        <v>0</v>
      </c>
      <c r="AU1748" s="6">
        <v>42034</v>
      </c>
      <c r="AV1748" s="6">
        <v>42034</v>
      </c>
      <c r="AW1748" t="s">
        <v>54</v>
      </c>
      <c r="AX1748" t="str">
        <f t="shared" si="136"/>
        <v>FOR</v>
      </c>
      <c r="AY1748" t="s">
        <v>55</v>
      </c>
    </row>
    <row r="1749" spans="1:51" hidden="1">
      <c r="A1749">
        <v>100371</v>
      </c>
      <c r="B1749" t="s">
        <v>133</v>
      </c>
      <c r="C1749" t="str">
        <f t="shared" si="138"/>
        <v>11629770154</v>
      </c>
      <c r="D1749" t="str">
        <f t="shared" si="138"/>
        <v>11629770154</v>
      </c>
      <c r="E1749" t="s">
        <v>52</v>
      </c>
      <c r="F1749">
        <v>2014</v>
      </c>
      <c r="G1749">
        <v>30798</v>
      </c>
      <c r="H1749" s="1">
        <v>41790</v>
      </c>
      <c r="I1749" s="1">
        <v>41821</v>
      </c>
      <c r="J1749" s="1">
        <v>41821</v>
      </c>
      <c r="K1749" s="1">
        <v>41911</v>
      </c>
      <c r="N1749" s="5"/>
      <c r="O1749" s="2">
        <v>3936.35</v>
      </c>
      <c r="P1749">
        <v>123</v>
      </c>
      <c r="Q1749" s="2">
        <v>484171.05</v>
      </c>
      <c r="R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 s="1">
        <v>42382</v>
      </c>
      <c r="AC1749" t="s">
        <v>53</v>
      </c>
      <c r="AD1749" t="s">
        <v>53</v>
      </c>
      <c r="AK1749">
        <v>0</v>
      </c>
      <c r="AU1749" s="6">
        <v>42034</v>
      </c>
      <c r="AV1749" s="6">
        <v>42034</v>
      </c>
      <c r="AW1749" t="s">
        <v>54</v>
      </c>
      <c r="AX1749" t="str">
        <f t="shared" si="136"/>
        <v>FOR</v>
      </c>
      <c r="AY1749" t="s">
        <v>55</v>
      </c>
    </row>
    <row r="1750" spans="1:51" hidden="1">
      <c r="A1750">
        <v>100371</v>
      </c>
      <c r="B1750" t="s">
        <v>133</v>
      </c>
      <c r="C1750" t="str">
        <f t="shared" si="138"/>
        <v>11629770154</v>
      </c>
      <c r="D1750" t="str">
        <f t="shared" si="138"/>
        <v>11629770154</v>
      </c>
      <c r="E1750" t="s">
        <v>52</v>
      </c>
      <c r="F1750">
        <v>2014</v>
      </c>
      <c r="G1750">
        <v>31213</v>
      </c>
      <c r="H1750" s="1">
        <v>41790</v>
      </c>
      <c r="I1750" s="1">
        <v>41821</v>
      </c>
      <c r="J1750" s="1">
        <v>41821</v>
      </c>
      <c r="K1750" s="1">
        <v>41911</v>
      </c>
      <c r="N1750" s="5"/>
      <c r="O1750" s="2">
        <v>177627.8</v>
      </c>
      <c r="P1750">
        <v>123</v>
      </c>
      <c r="Q1750" s="2">
        <v>21848219.399999999</v>
      </c>
      <c r="R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 s="1">
        <v>42382</v>
      </c>
      <c r="AC1750" t="s">
        <v>53</v>
      </c>
      <c r="AD1750" t="s">
        <v>53</v>
      </c>
      <c r="AK1750">
        <v>0</v>
      </c>
      <c r="AU1750" s="6">
        <v>42034</v>
      </c>
      <c r="AV1750" s="6">
        <v>42034</v>
      </c>
      <c r="AW1750" t="s">
        <v>54</v>
      </c>
      <c r="AX1750" t="str">
        <f t="shared" si="136"/>
        <v>FOR</v>
      </c>
      <c r="AY1750" t="s">
        <v>55</v>
      </c>
    </row>
    <row r="1751" spans="1:51" hidden="1">
      <c r="A1751">
        <v>100371</v>
      </c>
      <c r="B1751" t="s">
        <v>133</v>
      </c>
      <c r="C1751" t="str">
        <f t="shared" si="138"/>
        <v>11629770154</v>
      </c>
      <c r="D1751" t="str">
        <f t="shared" si="138"/>
        <v>11629770154</v>
      </c>
      <c r="E1751" t="s">
        <v>52</v>
      </c>
      <c r="F1751">
        <v>2014</v>
      </c>
      <c r="G1751">
        <v>31214</v>
      </c>
      <c r="H1751" s="1">
        <v>41790</v>
      </c>
      <c r="I1751" s="1">
        <v>41821</v>
      </c>
      <c r="J1751" s="1">
        <v>41821</v>
      </c>
      <c r="K1751" s="1">
        <v>41911</v>
      </c>
      <c r="N1751" s="5"/>
      <c r="O1751" s="2">
        <v>2167.4</v>
      </c>
      <c r="P1751">
        <v>123</v>
      </c>
      <c r="Q1751" s="2">
        <v>266590.2</v>
      </c>
      <c r="R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 s="1">
        <v>42382</v>
      </c>
      <c r="AC1751" t="s">
        <v>53</v>
      </c>
      <c r="AD1751" t="s">
        <v>53</v>
      </c>
      <c r="AK1751">
        <v>0</v>
      </c>
      <c r="AU1751" s="6">
        <v>42034</v>
      </c>
      <c r="AV1751" s="6">
        <v>42034</v>
      </c>
      <c r="AW1751" t="s">
        <v>54</v>
      </c>
      <c r="AX1751" t="str">
        <f t="shared" si="136"/>
        <v>FOR</v>
      </c>
      <c r="AY1751" t="s">
        <v>55</v>
      </c>
    </row>
    <row r="1752" spans="1:51" hidden="1">
      <c r="A1752">
        <v>100371</v>
      </c>
      <c r="B1752" t="s">
        <v>133</v>
      </c>
      <c r="C1752" t="str">
        <f t="shared" si="138"/>
        <v>11629770154</v>
      </c>
      <c r="D1752" t="str">
        <f t="shared" si="138"/>
        <v>11629770154</v>
      </c>
      <c r="E1752" t="s">
        <v>52</v>
      </c>
      <c r="F1752">
        <v>2014</v>
      </c>
      <c r="G1752">
        <v>31215</v>
      </c>
      <c r="H1752" s="1">
        <v>41790</v>
      </c>
      <c r="I1752" s="1">
        <v>41821</v>
      </c>
      <c r="J1752" s="1">
        <v>41821</v>
      </c>
      <c r="K1752" s="1">
        <v>41911</v>
      </c>
      <c r="N1752" s="5"/>
      <c r="O1752" s="2">
        <v>2030.42</v>
      </c>
      <c r="P1752">
        <v>123</v>
      </c>
      <c r="Q1752" s="2">
        <v>249741.66</v>
      </c>
      <c r="R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 s="1">
        <v>42382</v>
      </c>
      <c r="AC1752" t="s">
        <v>53</v>
      </c>
      <c r="AD1752" t="s">
        <v>53</v>
      </c>
      <c r="AK1752">
        <v>0</v>
      </c>
      <c r="AU1752" s="6">
        <v>42034</v>
      </c>
      <c r="AV1752" s="6">
        <v>42034</v>
      </c>
      <c r="AW1752" t="s">
        <v>54</v>
      </c>
      <c r="AX1752" t="str">
        <f t="shared" si="136"/>
        <v>FOR</v>
      </c>
      <c r="AY1752" t="s">
        <v>55</v>
      </c>
    </row>
    <row r="1753" spans="1:51" hidden="1">
      <c r="A1753">
        <v>100371</v>
      </c>
      <c r="B1753" t="s">
        <v>133</v>
      </c>
      <c r="C1753" t="str">
        <f t="shared" si="138"/>
        <v>11629770154</v>
      </c>
      <c r="D1753" t="str">
        <f t="shared" si="138"/>
        <v>11629770154</v>
      </c>
      <c r="E1753" t="s">
        <v>52</v>
      </c>
      <c r="F1753">
        <v>2014</v>
      </c>
      <c r="G1753">
        <v>31216</v>
      </c>
      <c r="H1753" s="1">
        <v>41790</v>
      </c>
      <c r="I1753" s="1">
        <v>41821</v>
      </c>
      <c r="J1753" s="1">
        <v>41821</v>
      </c>
      <c r="K1753" s="1">
        <v>41911</v>
      </c>
      <c r="N1753" s="5"/>
      <c r="O1753" s="2">
        <v>3358.75</v>
      </c>
      <c r="P1753">
        <v>123</v>
      </c>
      <c r="Q1753" s="2">
        <v>413126.25</v>
      </c>
      <c r="R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 s="1">
        <v>42382</v>
      </c>
      <c r="AC1753" t="s">
        <v>53</v>
      </c>
      <c r="AD1753" t="s">
        <v>53</v>
      </c>
      <c r="AK1753">
        <v>0</v>
      </c>
      <c r="AU1753" s="6">
        <v>42034</v>
      </c>
      <c r="AV1753" s="6">
        <v>42034</v>
      </c>
      <c r="AW1753" t="s">
        <v>54</v>
      </c>
      <c r="AX1753" t="str">
        <f t="shared" si="136"/>
        <v>FOR</v>
      </c>
      <c r="AY1753" t="s">
        <v>55</v>
      </c>
    </row>
    <row r="1754" spans="1:51" hidden="1">
      <c r="A1754">
        <v>100371</v>
      </c>
      <c r="B1754" t="s">
        <v>133</v>
      </c>
      <c r="C1754" t="str">
        <f t="shared" si="138"/>
        <v>11629770154</v>
      </c>
      <c r="D1754" t="str">
        <f t="shared" si="138"/>
        <v>11629770154</v>
      </c>
      <c r="E1754" t="s">
        <v>52</v>
      </c>
      <c r="F1754">
        <v>2014</v>
      </c>
      <c r="G1754">
        <v>31217</v>
      </c>
      <c r="H1754" s="1">
        <v>41790</v>
      </c>
      <c r="I1754" s="1">
        <v>41821</v>
      </c>
      <c r="J1754" s="1">
        <v>41821</v>
      </c>
      <c r="K1754" s="1">
        <v>41911</v>
      </c>
      <c r="N1754" s="5"/>
      <c r="O1754" s="2">
        <v>1199.24</v>
      </c>
      <c r="P1754">
        <v>123</v>
      </c>
      <c r="Q1754" s="2">
        <v>147506.51999999999</v>
      </c>
      <c r="R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 s="1">
        <v>42382</v>
      </c>
      <c r="AC1754" t="s">
        <v>53</v>
      </c>
      <c r="AD1754" t="s">
        <v>53</v>
      </c>
      <c r="AK1754">
        <v>0</v>
      </c>
      <c r="AU1754" s="6">
        <v>42034</v>
      </c>
      <c r="AV1754" s="6">
        <v>42034</v>
      </c>
      <c r="AW1754" t="s">
        <v>54</v>
      </c>
      <c r="AX1754" t="str">
        <f t="shared" si="136"/>
        <v>FOR</v>
      </c>
      <c r="AY1754" t="s">
        <v>55</v>
      </c>
    </row>
    <row r="1755" spans="1:51" hidden="1">
      <c r="A1755">
        <v>100371</v>
      </c>
      <c r="B1755" t="s">
        <v>133</v>
      </c>
      <c r="C1755" t="str">
        <f t="shared" si="138"/>
        <v>11629770154</v>
      </c>
      <c r="D1755" t="str">
        <f t="shared" si="138"/>
        <v>11629770154</v>
      </c>
      <c r="E1755" t="s">
        <v>52</v>
      </c>
      <c r="F1755">
        <v>2014</v>
      </c>
      <c r="G1755">
        <v>31218</v>
      </c>
      <c r="H1755" s="1">
        <v>41790</v>
      </c>
      <c r="I1755" s="1">
        <v>41821</v>
      </c>
      <c r="J1755" s="1">
        <v>41821</v>
      </c>
      <c r="K1755" s="1">
        <v>41911</v>
      </c>
      <c r="N1755" s="5"/>
      <c r="O1755" s="2">
        <v>20463.8</v>
      </c>
      <c r="P1755">
        <v>123</v>
      </c>
      <c r="Q1755" s="2">
        <v>2517047.4</v>
      </c>
      <c r="R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 s="1">
        <v>42382</v>
      </c>
      <c r="AC1755" t="s">
        <v>53</v>
      </c>
      <c r="AD1755" t="s">
        <v>53</v>
      </c>
      <c r="AK1755">
        <v>0</v>
      </c>
      <c r="AU1755" s="6">
        <v>42034</v>
      </c>
      <c r="AV1755" s="6">
        <v>42034</v>
      </c>
      <c r="AW1755" t="s">
        <v>54</v>
      </c>
      <c r="AX1755" t="str">
        <f t="shared" si="136"/>
        <v>FOR</v>
      </c>
      <c r="AY1755" t="s">
        <v>55</v>
      </c>
    </row>
    <row r="1756" spans="1:51" hidden="1">
      <c r="A1756">
        <v>100371</v>
      </c>
      <c r="B1756" t="s">
        <v>133</v>
      </c>
      <c r="C1756" t="str">
        <f t="shared" si="138"/>
        <v>11629770154</v>
      </c>
      <c r="D1756" t="str">
        <f t="shared" si="138"/>
        <v>11629770154</v>
      </c>
      <c r="E1756" t="s">
        <v>52</v>
      </c>
      <c r="F1756">
        <v>2014</v>
      </c>
      <c r="G1756">
        <v>36939</v>
      </c>
      <c r="H1756" s="1">
        <v>41820</v>
      </c>
      <c r="I1756" s="1">
        <v>41872</v>
      </c>
      <c r="J1756" s="1">
        <v>41872</v>
      </c>
      <c r="K1756" s="1">
        <v>41962</v>
      </c>
      <c r="N1756" s="5"/>
      <c r="O1756" s="2">
        <v>3633.71</v>
      </c>
      <c r="P1756">
        <v>100</v>
      </c>
      <c r="Q1756" s="2">
        <v>363371</v>
      </c>
      <c r="R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 s="1">
        <v>42382</v>
      </c>
      <c r="AC1756" t="s">
        <v>53</v>
      </c>
      <c r="AD1756" t="s">
        <v>53</v>
      </c>
      <c r="AK1756">
        <v>0</v>
      </c>
      <c r="AU1756" s="6">
        <v>42062</v>
      </c>
      <c r="AV1756" s="6">
        <v>42062</v>
      </c>
      <c r="AW1756" t="s">
        <v>54</v>
      </c>
      <c r="AX1756" t="str">
        <f t="shared" si="136"/>
        <v>FOR</v>
      </c>
      <c r="AY1756" t="s">
        <v>55</v>
      </c>
    </row>
    <row r="1757" spans="1:51" hidden="1">
      <c r="A1757">
        <v>100371</v>
      </c>
      <c r="B1757" t="s">
        <v>133</v>
      </c>
      <c r="C1757" t="str">
        <f t="shared" si="138"/>
        <v>11629770154</v>
      </c>
      <c r="D1757" t="str">
        <f t="shared" si="138"/>
        <v>11629770154</v>
      </c>
      <c r="E1757" t="s">
        <v>52</v>
      </c>
      <c r="F1757">
        <v>2014</v>
      </c>
      <c r="G1757">
        <v>37013</v>
      </c>
      <c r="H1757" s="1">
        <v>41820</v>
      </c>
      <c r="I1757" s="1">
        <v>41872</v>
      </c>
      <c r="J1757" s="1">
        <v>41872</v>
      </c>
      <c r="K1757" s="1">
        <v>41962</v>
      </c>
      <c r="N1757" s="5"/>
      <c r="O1757" s="2">
        <v>167698.64000000001</v>
      </c>
      <c r="P1757">
        <v>100</v>
      </c>
      <c r="Q1757" s="2">
        <v>16769864</v>
      </c>
      <c r="R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 s="1">
        <v>42382</v>
      </c>
      <c r="AC1757" t="s">
        <v>53</v>
      </c>
      <c r="AD1757" t="s">
        <v>53</v>
      </c>
      <c r="AK1757">
        <v>0</v>
      </c>
      <c r="AU1757" s="6">
        <v>42062</v>
      </c>
      <c r="AV1757" s="6">
        <v>42062</v>
      </c>
      <c r="AW1757" t="s">
        <v>54</v>
      </c>
      <c r="AX1757" t="str">
        <f t="shared" si="136"/>
        <v>FOR</v>
      </c>
      <c r="AY1757" t="s">
        <v>55</v>
      </c>
    </row>
    <row r="1758" spans="1:51" hidden="1">
      <c r="A1758">
        <v>100371</v>
      </c>
      <c r="B1758" t="s">
        <v>133</v>
      </c>
      <c r="C1758" t="str">
        <f t="shared" si="138"/>
        <v>11629770154</v>
      </c>
      <c r="D1758" t="str">
        <f t="shared" si="138"/>
        <v>11629770154</v>
      </c>
      <c r="E1758" t="s">
        <v>52</v>
      </c>
      <c r="F1758">
        <v>2014</v>
      </c>
      <c r="G1758">
        <v>37014</v>
      </c>
      <c r="H1758" s="1">
        <v>41820</v>
      </c>
      <c r="I1758" s="1">
        <v>41872</v>
      </c>
      <c r="J1758" s="1">
        <v>41872</v>
      </c>
      <c r="K1758" s="1">
        <v>41962</v>
      </c>
      <c r="N1758" s="5"/>
      <c r="O1758" s="2">
        <v>1785.27</v>
      </c>
      <c r="P1758">
        <v>100</v>
      </c>
      <c r="Q1758" s="2">
        <v>178527</v>
      </c>
      <c r="R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 s="1">
        <v>42382</v>
      </c>
      <c r="AC1758" t="s">
        <v>53</v>
      </c>
      <c r="AD1758" t="s">
        <v>53</v>
      </c>
      <c r="AK1758">
        <v>0</v>
      </c>
      <c r="AU1758" s="6">
        <v>42062</v>
      </c>
      <c r="AV1758" s="6">
        <v>42062</v>
      </c>
      <c r="AW1758" t="s">
        <v>54</v>
      </c>
      <c r="AX1758" t="str">
        <f t="shared" si="136"/>
        <v>FOR</v>
      </c>
      <c r="AY1758" t="s">
        <v>55</v>
      </c>
    </row>
    <row r="1759" spans="1:51" hidden="1">
      <c r="A1759">
        <v>100371</v>
      </c>
      <c r="B1759" t="s">
        <v>133</v>
      </c>
      <c r="C1759" t="str">
        <f t="shared" ref="C1759:D1778" si="139">"11629770154"</f>
        <v>11629770154</v>
      </c>
      <c r="D1759" t="str">
        <f t="shared" si="139"/>
        <v>11629770154</v>
      </c>
      <c r="E1759" t="s">
        <v>52</v>
      </c>
      <c r="F1759">
        <v>2014</v>
      </c>
      <c r="G1759">
        <v>37015</v>
      </c>
      <c r="H1759" s="1">
        <v>41820</v>
      </c>
      <c r="I1759" s="1">
        <v>41872</v>
      </c>
      <c r="J1759" s="1">
        <v>41872</v>
      </c>
      <c r="K1759" s="1">
        <v>41962</v>
      </c>
      <c r="N1759" s="5"/>
      <c r="O1759" s="2">
        <v>3166.09</v>
      </c>
      <c r="P1759">
        <v>100</v>
      </c>
      <c r="Q1759" s="2">
        <v>316609</v>
      </c>
      <c r="R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 s="1">
        <v>42382</v>
      </c>
      <c r="AC1759" t="s">
        <v>53</v>
      </c>
      <c r="AD1759" t="s">
        <v>53</v>
      </c>
      <c r="AK1759">
        <v>0</v>
      </c>
      <c r="AU1759" s="6">
        <v>42062</v>
      </c>
      <c r="AV1759" s="6">
        <v>42062</v>
      </c>
      <c r="AW1759" t="s">
        <v>54</v>
      </c>
      <c r="AX1759" t="str">
        <f t="shared" si="136"/>
        <v>FOR</v>
      </c>
      <c r="AY1759" t="s">
        <v>55</v>
      </c>
    </row>
    <row r="1760" spans="1:51" hidden="1">
      <c r="A1760">
        <v>100371</v>
      </c>
      <c r="B1760" t="s">
        <v>133</v>
      </c>
      <c r="C1760" t="str">
        <f t="shared" si="139"/>
        <v>11629770154</v>
      </c>
      <c r="D1760" t="str">
        <f t="shared" si="139"/>
        <v>11629770154</v>
      </c>
      <c r="E1760" t="s">
        <v>52</v>
      </c>
      <c r="F1760">
        <v>2014</v>
      </c>
      <c r="G1760">
        <v>37016</v>
      </c>
      <c r="H1760" s="1">
        <v>41820</v>
      </c>
      <c r="I1760" s="1">
        <v>41872</v>
      </c>
      <c r="J1760" s="1">
        <v>41872</v>
      </c>
      <c r="K1760" s="1">
        <v>41962</v>
      </c>
      <c r="N1760" s="5"/>
      <c r="O1760" s="2">
        <v>3669.78</v>
      </c>
      <c r="P1760">
        <v>100</v>
      </c>
      <c r="Q1760" s="2">
        <v>366978</v>
      </c>
      <c r="R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 s="1">
        <v>42382</v>
      </c>
      <c r="AC1760" t="s">
        <v>53</v>
      </c>
      <c r="AD1760" t="s">
        <v>53</v>
      </c>
      <c r="AK1760">
        <v>0</v>
      </c>
      <c r="AU1760" s="6">
        <v>42062</v>
      </c>
      <c r="AV1760" s="6">
        <v>42062</v>
      </c>
      <c r="AW1760" t="s">
        <v>54</v>
      </c>
      <c r="AX1760" t="str">
        <f t="shared" si="136"/>
        <v>FOR</v>
      </c>
      <c r="AY1760" t="s">
        <v>55</v>
      </c>
    </row>
    <row r="1761" spans="1:51" hidden="1">
      <c r="A1761">
        <v>100371</v>
      </c>
      <c r="B1761" t="s">
        <v>133</v>
      </c>
      <c r="C1761" t="str">
        <f t="shared" si="139"/>
        <v>11629770154</v>
      </c>
      <c r="D1761" t="str">
        <f t="shared" si="139"/>
        <v>11629770154</v>
      </c>
      <c r="E1761" t="s">
        <v>52</v>
      </c>
      <c r="F1761">
        <v>2014</v>
      </c>
      <c r="G1761">
        <v>37017</v>
      </c>
      <c r="H1761" s="1">
        <v>41820</v>
      </c>
      <c r="I1761" s="1">
        <v>41872</v>
      </c>
      <c r="J1761" s="1">
        <v>41872</v>
      </c>
      <c r="K1761" s="1">
        <v>41962</v>
      </c>
      <c r="N1761" s="5"/>
      <c r="O1761" s="2">
        <v>1917.58</v>
      </c>
      <c r="P1761">
        <v>100</v>
      </c>
      <c r="Q1761" s="2">
        <v>191758</v>
      </c>
      <c r="R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 s="1">
        <v>42382</v>
      </c>
      <c r="AC1761" t="s">
        <v>53</v>
      </c>
      <c r="AD1761" t="s">
        <v>53</v>
      </c>
      <c r="AK1761">
        <v>0</v>
      </c>
      <c r="AU1761" s="6">
        <v>42062</v>
      </c>
      <c r="AV1761" s="6">
        <v>42062</v>
      </c>
      <c r="AW1761" t="s">
        <v>54</v>
      </c>
      <c r="AX1761" t="str">
        <f t="shared" si="136"/>
        <v>FOR</v>
      </c>
      <c r="AY1761" t="s">
        <v>55</v>
      </c>
    </row>
    <row r="1762" spans="1:51" hidden="1">
      <c r="A1762">
        <v>100371</v>
      </c>
      <c r="B1762" t="s">
        <v>133</v>
      </c>
      <c r="C1762" t="str">
        <f t="shared" si="139"/>
        <v>11629770154</v>
      </c>
      <c r="D1762" t="str">
        <f t="shared" si="139"/>
        <v>11629770154</v>
      </c>
      <c r="E1762" t="s">
        <v>52</v>
      </c>
      <c r="F1762">
        <v>2014</v>
      </c>
      <c r="G1762">
        <v>38118</v>
      </c>
      <c r="H1762" s="1">
        <v>41820</v>
      </c>
      <c r="I1762" s="1">
        <v>41872</v>
      </c>
      <c r="J1762" s="1">
        <v>41872</v>
      </c>
      <c r="K1762" s="1">
        <v>41962</v>
      </c>
      <c r="N1762" s="5"/>
      <c r="O1762" s="2">
        <v>21346.36</v>
      </c>
      <c r="P1762">
        <v>100</v>
      </c>
      <c r="Q1762" s="2">
        <v>2134636</v>
      </c>
      <c r="R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 s="1">
        <v>42382</v>
      </c>
      <c r="AC1762" t="s">
        <v>53</v>
      </c>
      <c r="AD1762" t="s">
        <v>53</v>
      </c>
      <c r="AK1762">
        <v>0</v>
      </c>
      <c r="AU1762" s="6">
        <v>42062</v>
      </c>
      <c r="AV1762" s="6">
        <v>42062</v>
      </c>
      <c r="AW1762" t="s">
        <v>54</v>
      </c>
      <c r="AX1762" t="str">
        <f t="shared" si="136"/>
        <v>FOR</v>
      </c>
      <c r="AY1762" t="s">
        <v>55</v>
      </c>
    </row>
    <row r="1763" spans="1:51" hidden="1">
      <c r="A1763">
        <v>100371</v>
      </c>
      <c r="B1763" t="s">
        <v>133</v>
      </c>
      <c r="C1763" t="str">
        <f t="shared" si="139"/>
        <v>11629770154</v>
      </c>
      <c r="D1763" t="str">
        <f t="shared" si="139"/>
        <v>11629770154</v>
      </c>
      <c r="E1763" t="s">
        <v>52</v>
      </c>
      <c r="F1763">
        <v>2014</v>
      </c>
      <c r="G1763">
        <v>45540</v>
      </c>
      <c r="H1763" s="1">
        <v>41851</v>
      </c>
      <c r="I1763" s="1">
        <v>41898</v>
      </c>
      <c r="J1763" s="1">
        <v>41898</v>
      </c>
      <c r="K1763" s="1">
        <v>41988</v>
      </c>
      <c r="N1763" s="5"/>
      <c r="O1763" s="2">
        <v>183275.06</v>
      </c>
      <c r="P1763">
        <v>114</v>
      </c>
      <c r="Q1763" s="2">
        <v>20893356.84</v>
      </c>
      <c r="R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 s="1">
        <v>42382</v>
      </c>
      <c r="AC1763" t="s">
        <v>53</v>
      </c>
      <c r="AD1763" t="s">
        <v>53</v>
      </c>
      <c r="AK1763">
        <v>0</v>
      </c>
      <c r="AU1763" s="6">
        <v>42102</v>
      </c>
      <c r="AV1763" s="6">
        <v>42102</v>
      </c>
      <c r="AW1763" t="s">
        <v>54</v>
      </c>
      <c r="AX1763" t="str">
        <f t="shared" si="136"/>
        <v>FOR</v>
      </c>
      <c r="AY1763" t="s">
        <v>55</v>
      </c>
    </row>
    <row r="1764" spans="1:51" hidden="1">
      <c r="A1764">
        <v>100371</v>
      </c>
      <c r="B1764" t="s">
        <v>133</v>
      </c>
      <c r="C1764" t="str">
        <f t="shared" si="139"/>
        <v>11629770154</v>
      </c>
      <c r="D1764" t="str">
        <f t="shared" si="139"/>
        <v>11629770154</v>
      </c>
      <c r="E1764" t="s">
        <v>52</v>
      </c>
      <c r="F1764">
        <v>2014</v>
      </c>
      <c r="G1764">
        <v>45541</v>
      </c>
      <c r="H1764" s="1">
        <v>41851</v>
      </c>
      <c r="I1764" s="1">
        <v>41898</v>
      </c>
      <c r="J1764" s="1">
        <v>41898</v>
      </c>
      <c r="K1764" s="1">
        <v>41988</v>
      </c>
      <c r="N1764" s="5"/>
      <c r="O1764" s="2">
        <v>1424.37</v>
      </c>
      <c r="P1764">
        <v>114</v>
      </c>
      <c r="Q1764" s="2">
        <v>162378.18</v>
      </c>
      <c r="R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 s="1">
        <v>42382</v>
      </c>
      <c r="AC1764" t="s">
        <v>53</v>
      </c>
      <c r="AD1764" t="s">
        <v>53</v>
      </c>
      <c r="AK1764">
        <v>0</v>
      </c>
      <c r="AU1764" s="6">
        <v>42102</v>
      </c>
      <c r="AV1764" s="6">
        <v>42102</v>
      </c>
      <c r="AW1764" t="s">
        <v>54</v>
      </c>
      <c r="AX1764" t="str">
        <f t="shared" si="136"/>
        <v>FOR</v>
      </c>
      <c r="AY1764" t="s">
        <v>55</v>
      </c>
    </row>
    <row r="1765" spans="1:51" hidden="1">
      <c r="A1765">
        <v>100371</v>
      </c>
      <c r="B1765" t="s">
        <v>133</v>
      </c>
      <c r="C1765" t="str">
        <f t="shared" si="139"/>
        <v>11629770154</v>
      </c>
      <c r="D1765" t="str">
        <f t="shared" si="139"/>
        <v>11629770154</v>
      </c>
      <c r="E1765" t="s">
        <v>52</v>
      </c>
      <c r="F1765">
        <v>2014</v>
      </c>
      <c r="G1765">
        <v>45542</v>
      </c>
      <c r="H1765" s="1">
        <v>41851</v>
      </c>
      <c r="I1765" s="1">
        <v>41898</v>
      </c>
      <c r="J1765" s="1">
        <v>41898</v>
      </c>
      <c r="K1765" s="1">
        <v>41988</v>
      </c>
      <c r="N1765" s="5"/>
      <c r="O1765" s="2">
        <v>3424.96</v>
      </c>
      <c r="P1765">
        <v>114</v>
      </c>
      <c r="Q1765" s="2">
        <v>390445.44</v>
      </c>
      <c r="R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 s="1">
        <v>42382</v>
      </c>
      <c r="AC1765" t="s">
        <v>53</v>
      </c>
      <c r="AD1765" t="s">
        <v>53</v>
      </c>
      <c r="AK1765">
        <v>0</v>
      </c>
      <c r="AU1765" s="6">
        <v>42102</v>
      </c>
      <c r="AV1765" s="6">
        <v>42102</v>
      </c>
      <c r="AW1765" t="s">
        <v>54</v>
      </c>
      <c r="AX1765" t="str">
        <f t="shared" si="136"/>
        <v>FOR</v>
      </c>
      <c r="AY1765" t="s">
        <v>55</v>
      </c>
    </row>
    <row r="1766" spans="1:51" hidden="1">
      <c r="A1766">
        <v>100371</v>
      </c>
      <c r="B1766" t="s">
        <v>133</v>
      </c>
      <c r="C1766" t="str">
        <f t="shared" si="139"/>
        <v>11629770154</v>
      </c>
      <c r="D1766" t="str">
        <f t="shared" si="139"/>
        <v>11629770154</v>
      </c>
      <c r="E1766" t="s">
        <v>52</v>
      </c>
      <c r="F1766">
        <v>2014</v>
      </c>
      <c r="G1766">
        <v>45543</v>
      </c>
      <c r="H1766" s="1">
        <v>41851</v>
      </c>
      <c r="I1766" s="1">
        <v>41898</v>
      </c>
      <c r="J1766" s="1">
        <v>41898</v>
      </c>
      <c r="K1766" s="1">
        <v>41988</v>
      </c>
      <c r="N1766" s="5"/>
      <c r="O1766" s="2">
        <v>4087.29</v>
      </c>
      <c r="P1766">
        <v>114</v>
      </c>
      <c r="Q1766" s="2">
        <v>465951.06</v>
      </c>
      <c r="R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 s="1">
        <v>42382</v>
      </c>
      <c r="AC1766" t="s">
        <v>53</v>
      </c>
      <c r="AD1766" t="s">
        <v>53</v>
      </c>
      <c r="AK1766">
        <v>0</v>
      </c>
      <c r="AU1766" s="6">
        <v>42102</v>
      </c>
      <c r="AV1766" s="6">
        <v>42102</v>
      </c>
      <c r="AW1766" t="s">
        <v>54</v>
      </c>
      <c r="AX1766" t="str">
        <f t="shared" si="136"/>
        <v>FOR</v>
      </c>
      <c r="AY1766" t="s">
        <v>55</v>
      </c>
    </row>
    <row r="1767" spans="1:51" hidden="1">
      <c r="A1767">
        <v>100371</v>
      </c>
      <c r="B1767" t="s">
        <v>133</v>
      </c>
      <c r="C1767" t="str">
        <f t="shared" si="139"/>
        <v>11629770154</v>
      </c>
      <c r="D1767" t="str">
        <f t="shared" si="139"/>
        <v>11629770154</v>
      </c>
      <c r="E1767" t="s">
        <v>52</v>
      </c>
      <c r="F1767">
        <v>2014</v>
      </c>
      <c r="G1767">
        <v>45544</v>
      </c>
      <c r="H1767" s="1">
        <v>41851</v>
      </c>
      <c r="I1767" s="1">
        <v>41898</v>
      </c>
      <c r="J1767" s="1">
        <v>41898</v>
      </c>
      <c r="K1767" s="1">
        <v>41988</v>
      </c>
      <c r="N1767" s="5"/>
      <c r="O1767" s="2">
        <v>2157.0300000000002</v>
      </c>
      <c r="P1767">
        <v>114</v>
      </c>
      <c r="Q1767" s="2">
        <v>245901.42</v>
      </c>
      <c r="R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 s="1">
        <v>42382</v>
      </c>
      <c r="AC1767" t="s">
        <v>53</v>
      </c>
      <c r="AD1767" t="s">
        <v>53</v>
      </c>
      <c r="AK1767">
        <v>0</v>
      </c>
      <c r="AU1767" s="6">
        <v>42102</v>
      </c>
      <c r="AV1767" s="6">
        <v>42102</v>
      </c>
      <c r="AW1767" t="s">
        <v>54</v>
      </c>
      <c r="AX1767" t="str">
        <f t="shared" si="136"/>
        <v>FOR</v>
      </c>
      <c r="AY1767" t="s">
        <v>55</v>
      </c>
    </row>
    <row r="1768" spans="1:51" hidden="1">
      <c r="A1768">
        <v>100371</v>
      </c>
      <c r="B1768" t="s">
        <v>133</v>
      </c>
      <c r="C1768" t="str">
        <f t="shared" si="139"/>
        <v>11629770154</v>
      </c>
      <c r="D1768" t="str">
        <f t="shared" si="139"/>
        <v>11629770154</v>
      </c>
      <c r="E1768" t="s">
        <v>52</v>
      </c>
      <c r="F1768">
        <v>2014</v>
      </c>
      <c r="G1768">
        <v>45545</v>
      </c>
      <c r="H1768" s="1">
        <v>41851</v>
      </c>
      <c r="I1768" s="1">
        <v>41898</v>
      </c>
      <c r="J1768" s="1">
        <v>41898</v>
      </c>
      <c r="K1768" s="1">
        <v>41988</v>
      </c>
      <c r="N1768" s="5"/>
      <c r="O1768" s="2">
        <v>24491.47</v>
      </c>
      <c r="P1768">
        <v>114</v>
      </c>
      <c r="Q1768" s="2">
        <v>2792027.58</v>
      </c>
      <c r="R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 s="1">
        <v>42382</v>
      </c>
      <c r="AC1768" t="s">
        <v>53</v>
      </c>
      <c r="AD1768" t="s">
        <v>53</v>
      </c>
      <c r="AK1768">
        <v>0</v>
      </c>
      <c r="AU1768" s="6">
        <v>42102</v>
      </c>
      <c r="AV1768" s="6">
        <v>42102</v>
      </c>
      <c r="AW1768" t="s">
        <v>54</v>
      </c>
      <c r="AX1768" t="str">
        <f t="shared" si="136"/>
        <v>FOR</v>
      </c>
      <c r="AY1768" t="s">
        <v>55</v>
      </c>
    </row>
    <row r="1769" spans="1:51" hidden="1">
      <c r="A1769">
        <v>100371</v>
      </c>
      <c r="B1769" t="s">
        <v>133</v>
      </c>
      <c r="C1769" t="str">
        <f t="shared" si="139"/>
        <v>11629770154</v>
      </c>
      <c r="D1769" t="str">
        <f t="shared" si="139"/>
        <v>11629770154</v>
      </c>
      <c r="E1769" t="s">
        <v>52</v>
      </c>
      <c r="F1769">
        <v>2014</v>
      </c>
      <c r="G1769">
        <v>46188</v>
      </c>
      <c r="H1769" s="1">
        <v>41851</v>
      </c>
      <c r="I1769" s="1">
        <v>41898</v>
      </c>
      <c r="J1769" s="1">
        <v>41898</v>
      </c>
      <c r="K1769" s="1">
        <v>41988</v>
      </c>
      <c r="N1769" s="5"/>
      <c r="O1769" s="2">
        <v>4087.67</v>
      </c>
      <c r="P1769">
        <v>114</v>
      </c>
      <c r="Q1769" s="2">
        <v>465994.38</v>
      </c>
      <c r="R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 s="1">
        <v>42382</v>
      </c>
      <c r="AC1769" t="s">
        <v>53</v>
      </c>
      <c r="AD1769" t="s">
        <v>53</v>
      </c>
      <c r="AK1769">
        <v>0</v>
      </c>
      <c r="AU1769" s="6">
        <v>42102</v>
      </c>
      <c r="AV1769" s="6">
        <v>42102</v>
      </c>
      <c r="AW1769" t="s">
        <v>54</v>
      </c>
      <c r="AX1769" t="str">
        <f t="shared" si="136"/>
        <v>FOR</v>
      </c>
      <c r="AY1769" t="s">
        <v>55</v>
      </c>
    </row>
    <row r="1770" spans="1:51" hidden="1">
      <c r="A1770">
        <v>100371</v>
      </c>
      <c r="B1770" t="s">
        <v>133</v>
      </c>
      <c r="C1770" t="str">
        <f t="shared" si="139"/>
        <v>11629770154</v>
      </c>
      <c r="D1770" t="str">
        <f t="shared" si="139"/>
        <v>11629770154</v>
      </c>
      <c r="E1770" t="s">
        <v>52</v>
      </c>
      <c r="F1770">
        <v>2014</v>
      </c>
      <c r="G1770">
        <v>51080</v>
      </c>
      <c r="H1770" s="1">
        <v>41882</v>
      </c>
      <c r="I1770" s="1">
        <v>41901</v>
      </c>
      <c r="J1770" s="1">
        <v>41901</v>
      </c>
      <c r="K1770" s="1">
        <v>41991</v>
      </c>
      <c r="N1770" s="5"/>
      <c r="O1770" s="2">
        <v>24138.33</v>
      </c>
      <c r="P1770">
        <v>111</v>
      </c>
      <c r="Q1770" s="2">
        <v>2679354.63</v>
      </c>
      <c r="R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 s="1">
        <v>42382</v>
      </c>
      <c r="AC1770" t="s">
        <v>53</v>
      </c>
      <c r="AD1770" t="s">
        <v>53</v>
      </c>
      <c r="AK1770">
        <v>0</v>
      </c>
      <c r="AU1770" s="6">
        <v>42102</v>
      </c>
      <c r="AV1770" s="6">
        <v>42102</v>
      </c>
      <c r="AW1770" t="s">
        <v>54</v>
      </c>
      <c r="AX1770" t="str">
        <f t="shared" si="136"/>
        <v>FOR</v>
      </c>
      <c r="AY1770" t="s">
        <v>55</v>
      </c>
    </row>
    <row r="1771" spans="1:51" hidden="1">
      <c r="A1771">
        <v>100371</v>
      </c>
      <c r="B1771" t="s">
        <v>133</v>
      </c>
      <c r="C1771" t="str">
        <f t="shared" si="139"/>
        <v>11629770154</v>
      </c>
      <c r="D1771" t="str">
        <f t="shared" si="139"/>
        <v>11629770154</v>
      </c>
      <c r="E1771" t="s">
        <v>52</v>
      </c>
      <c r="F1771">
        <v>2014</v>
      </c>
      <c r="G1771">
        <v>51081</v>
      </c>
      <c r="H1771" s="1">
        <v>41882</v>
      </c>
      <c r="I1771" s="1">
        <v>41901</v>
      </c>
      <c r="J1771" s="1">
        <v>41901</v>
      </c>
      <c r="K1771" s="1">
        <v>41991</v>
      </c>
      <c r="N1771" s="5"/>
      <c r="O1771" s="2">
        <v>1148.3900000000001</v>
      </c>
      <c r="P1771">
        <v>111</v>
      </c>
      <c r="Q1771" s="2">
        <v>127471.29</v>
      </c>
      <c r="R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 s="1">
        <v>42382</v>
      </c>
      <c r="AC1771" t="s">
        <v>53</v>
      </c>
      <c r="AD1771" t="s">
        <v>53</v>
      </c>
      <c r="AK1771">
        <v>0</v>
      </c>
      <c r="AU1771" s="6">
        <v>42102</v>
      </c>
      <c r="AV1771" s="6">
        <v>42102</v>
      </c>
      <c r="AW1771" t="s">
        <v>54</v>
      </c>
      <c r="AX1771" t="str">
        <f t="shared" si="136"/>
        <v>FOR</v>
      </c>
      <c r="AY1771" t="s">
        <v>55</v>
      </c>
    </row>
    <row r="1772" spans="1:51" hidden="1">
      <c r="A1772">
        <v>100371</v>
      </c>
      <c r="B1772" t="s">
        <v>133</v>
      </c>
      <c r="C1772" t="str">
        <f t="shared" si="139"/>
        <v>11629770154</v>
      </c>
      <c r="D1772" t="str">
        <f t="shared" si="139"/>
        <v>11629770154</v>
      </c>
      <c r="E1772" t="s">
        <v>52</v>
      </c>
      <c r="F1772">
        <v>2014</v>
      </c>
      <c r="G1772">
        <v>51082</v>
      </c>
      <c r="H1772" s="1">
        <v>41882</v>
      </c>
      <c r="I1772" s="1">
        <v>41901</v>
      </c>
      <c r="J1772" s="1">
        <v>41901</v>
      </c>
      <c r="K1772" s="1">
        <v>41991</v>
      </c>
      <c r="N1772" s="5"/>
      <c r="O1772" s="2">
        <v>3044.63</v>
      </c>
      <c r="P1772">
        <v>111</v>
      </c>
      <c r="Q1772" s="2">
        <v>337953.93</v>
      </c>
      <c r="R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 s="1">
        <v>42382</v>
      </c>
      <c r="AC1772" t="s">
        <v>53</v>
      </c>
      <c r="AD1772" t="s">
        <v>53</v>
      </c>
      <c r="AK1772">
        <v>0</v>
      </c>
      <c r="AU1772" s="6">
        <v>42102</v>
      </c>
      <c r="AV1772" s="6">
        <v>42102</v>
      </c>
      <c r="AW1772" t="s">
        <v>54</v>
      </c>
      <c r="AX1772" t="str">
        <f t="shared" si="136"/>
        <v>FOR</v>
      </c>
      <c r="AY1772" t="s">
        <v>55</v>
      </c>
    </row>
    <row r="1773" spans="1:51" hidden="1">
      <c r="A1773">
        <v>100371</v>
      </c>
      <c r="B1773" t="s">
        <v>133</v>
      </c>
      <c r="C1773" t="str">
        <f t="shared" si="139"/>
        <v>11629770154</v>
      </c>
      <c r="D1773" t="str">
        <f t="shared" si="139"/>
        <v>11629770154</v>
      </c>
      <c r="E1773" t="s">
        <v>52</v>
      </c>
      <c r="F1773">
        <v>2014</v>
      </c>
      <c r="G1773">
        <v>51083</v>
      </c>
      <c r="H1773" s="1">
        <v>41882</v>
      </c>
      <c r="I1773" s="1">
        <v>41901</v>
      </c>
      <c r="J1773" s="1">
        <v>41901</v>
      </c>
      <c r="K1773" s="1">
        <v>41991</v>
      </c>
      <c r="N1773" s="5"/>
      <c r="O1773" s="2">
        <v>180383.12</v>
      </c>
      <c r="P1773">
        <v>82</v>
      </c>
      <c r="Q1773" s="2">
        <v>14822526.32</v>
      </c>
      <c r="R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 s="1">
        <v>42382</v>
      </c>
      <c r="AC1773" t="s">
        <v>53</v>
      </c>
      <c r="AD1773" t="s">
        <v>53</v>
      </c>
      <c r="AK1773">
        <v>0</v>
      </c>
      <c r="AU1773" s="6">
        <v>42062</v>
      </c>
      <c r="AV1773" s="6">
        <v>42102</v>
      </c>
      <c r="AW1773" t="s">
        <v>54</v>
      </c>
      <c r="AX1773" t="str">
        <f t="shared" si="136"/>
        <v>FOR</v>
      </c>
      <c r="AY1773" t="s">
        <v>55</v>
      </c>
    </row>
    <row r="1774" spans="1:51" hidden="1">
      <c r="A1774">
        <v>100371</v>
      </c>
      <c r="B1774" t="s">
        <v>133</v>
      </c>
      <c r="C1774" t="str">
        <f t="shared" si="139"/>
        <v>11629770154</v>
      </c>
      <c r="D1774" t="str">
        <f t="shared" si="139"/>
        <v>11629770154</v>
      </c>
      <c r="E1774" t="s">
        <v>52</v>
      </c>
      <c r="F1774">
        <v>2014</v>
      </c>
      <c r="G1774">
        <v>51084</v>
      </c>
      <c r="H1774" s="1">
        <v>41882</v>
      </c>
      <c r="I1774" s="1">
        <v>41901</v>
      </c>
      <c r="J1774" s="1">
        <v>41901</v>
      </c>
      <c r="K1774" s="1">
        <v>41991</v>
      </c>
      <c r="N1774" s="5"/>
      <c r="O1774" s="2">
        <v>3633.71</v>
      </c>
      <c r="P1774">
        <v>111</v>
      </c>
      <c r="Q1774" s="2">
        <v>403341.81</v>
      </c>
      <c r="R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 s="1">
        <v>42382</v>
      </c>
      <c r="AC1774" t="s">
        <v>53</v>
      </c>
      <c r="AD1774" t="s">
        <v>53</v>
      </c>
      <c r="AK1774">
        <v>0</v>
      </c>
      <c r="AU1774" s="6">
        <v>42102</v>
      </c>
      <c r="AV1774" s="6">
        <v>42102</v>
      </c>
      <c r="AW1774" t="s">
        <v>54</v>
      </c>
      <c r="AX1774" t="str">
        <f t="shared" si="136"/>
        <v>FOR</v>
      </c>
      <c r="AY1774" t="s">
        <v>55</v>
      </c>
    </row>
    <row r="1775" spans="1:51" hidden="1">
      <c r="A1775">
        <v>100371</v>
      </c>
      <c r="B1775" t="s">
        <v>133</v>
      </c>
      <c r="C1775" t="str">
        <f t="shared" si="139"/>
        <v>11629770154</v>
      </c>
      <c r="D1775" t="str">
        <f t="shared" si="139"/>
        <v>11629770154</v>
      </c>
      <c r="E1775" t="s">
        <v>52</v>
      </c>
      <c r="F1775">
        <v>2014</v>
      </c>
      <c r="G1775">
        <v>51085</v>
      </c>
      <c r="H1775" s="1">
        <v>41882</v>
      </c>
      <c r="I1775" s="1">
        <v>41901</v>
      </c>
      <c r="J1775" s="1">
        <v>41901</v>
      </c>
      <c r="K1775" s="1">
        <v>41991</v>
      </c>
      <c r="N1775" s="5"/>
      <c r="O1775" s="2">
        <v>4598.16</v>
      </c>
      <c r="P1775">
        <v>111</v>
      </c>
      <c r="Q1775" s="2">
        <v>510395.76</v>
      </c>
      <c r="R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 s="1">
        <v>42382</v>
      </c>
      <c r="AC1775" t="s">
        <v>53</v>
      </c>
      <c r="AD1775" t="s">
        <v>53</v>
      </c>
      <c r="AK1775">
        <v>0</v>
      </c>
      <c r="AU1775" s="6">
        <v>42102</v>
      </c>
      <c r="AV1775" s="6">
        <v>42102</v>
      </c>
      <c r="AW1775" t="s">
        <v>54</v>
      </c>
      <c r="AX1775" t="str">
        <f t="shared" si="136"/>
        <v>FOR</v>
      </c>
      <c r="AY1775" t="s">
        <v>55</v>
      </c>
    </row>
    <row r="1776" spans="1:51" hidden="1">
      <c r="A1776">
        <v>100371</v>
      </c>
      <c r="B1776" t="s">
        <v>133</v>
      </c>
      <c r="C1776" t="str">
        <f t="shared" si="139"/>
        <v>11629770154</v>
      </c>
      <c r="D1776" t="str">
        <f t="shared" si="139"/>
        <v>11629770154</v>
      </c>
      <c r="E1776" t="s">
        <v>52</v>
      </c>
      <c r="F1776">
        <v>2014</v>
      </c>
      <c r="G1776">
        <v>51086</v>
      </c>
      <c r="H1776" s="1">
        <v>41882</v>
      </c>
      <c r="I1776" s="1">
        <v>41901</v>
      </c>
      <c r="J1776" s="1">
        <v>41901</v>
      </c>
      <c r="K1776" s="1">
        <v>41991</v>
      </c>
      <c r="N1776" s="5"/>
      <c r="O1776" s="2">
        <v>1917.58</v>
      </c>
      <c r="P1776">
        <v>111</v>
      </c>
      <c r="Q1776" s="2">
        <v>212851.38</v>
      </c>
      <c r="R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 s="1">
        <v>42382</v>
      </c>
      <c r="AC1776" t="s">
        <v>53</v>
      </c>
      <c r="AD1776" t="s">
        <v>53</v>
      </c>
      <c r="AK1776">
        <v>0</v>
      </c>
      <c r="AU1776" s="6">
        <v>42102</v>
      </c>
      <c r="AV1776" s="6">
        <v>42102</v>
      </c>
      <c r="AW1776" t="s">
        <v>54</v>
      </c>
      <c r="AX1776" t="str">
        <f t="shared" si="136"/>
        <v>FOR</v>
      </c>
      <c r="AY1776" t="s">
        <v>55</v>
      </c>
    </row>
    <row r="1777" spans="1:51" hidden="1">
      <c r="A1777">
        <v>100371</v>
      </c>
      <c r="B1777" t="s">
        <v>133</v>
      </c>
      <c r="C1777" t="str">
        <f t="shared" si="139"/>
        <v>11629770154</v>
      </c>
      <c r="D1777" t="str">
        <f t="shared" si="139"/>
        <v>11629770154</v>
      </c>
      <c r="E1777" t="s">
        <v>52</v>
      </c>
      <c r="F1777">
        <v>2014</v>
      </c>
      <c r="G1777">
        <v>58627</v>
      </c>
      <c r="H1777" s="1">
        <v>41912</v>
      </c>
      <c r="I1777" s="1">
        <v>41949</v>
      </c>
      <c r="J1777" s="1">
        <v>41949</v>
      </c>
      <c r="K1777" s="1">
        <v>42009</v>
      </c>
      <c r="N1777" s="5"/>
      <c r="O1777" s="2">
        <v>4238.99</v>
      </c>
      <c r="P1777">
        <v>93</v>
      </c>
      <c r="Q1777" s="2">
        <v>394226.07</v>
      </c>
      <c r="R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 s="1">
        <v>42382</v>
      </c>
      <c r="AC1777" t="s">
        <v>53</v>
      </c>
      <c r="AD1777" t="s">
        <v>53</v>
      </c>
      <c r="AK1777">
        <v>0</v>
      </c>
      <c r="AU1777" s="6">
        <v>42102</v>
      </c>
      <c r="AV1777" s="6">
        <v>42102</v>
      </c>
      <c r="AW1777" t="s">
        <v>54</v>
      </c>
      <c r="AX1777" t="str">
        <f t="shared" si="136"/>
        <v>FOR</v>
      </c>
      <c r="AY1777" t="s">
        <v>55</v>
      </c>
    </row>
    <row r="1778" spans="1:51" hidden="1">
      <c r="A1778">
        <v>100371</v>
      </c>
      <c r="B1778" t="s">
        <v>133</v>
      </c>
      <c r="C1778" t="str">
        <f t="shared" si="139"/>
        <v>11629770154</v>
      </c>
      <c r="D1778" t="str">
        <f t="shared" si="139"/>
        <v>11629770154</v>
      </c>
      <c r="E1778" t="s">
        <v>52</v>
      </c>
      <c r="F1778">
        <v>2014</v>
      </c>
      <c r="G1778">
        <v>59722</v>
      </c>
      <c r="H1778" s="1">
        <v>41912</v>
      </c>
      <c r="I1778" s="1">
        <v>41949</v>
      </c>
      <c r="J1778" s="1">
        <v>41949</v>
      </c>
      <c r="K1778" s="1">
        <v>42009</v>
      </c>
      <c r="N1778" s="5"/>
      <c r="O1778" s="2">
        <v>182819.39</v>
      </c>
      <c r="P1778">
        <v>115</v>
      </c>
      <c r="Q1778" s="2">
        <v>21024229.850000001</v>
      </c>
      <c r="R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 s="1">
        <v>42382</v>
      </c>
      <c r="AC1778" t="s">
        <v>53</v>
      </c>
      <c r="AD1778" t="s">
        <v>53</v>
      </c>
      <c r="AK1778">
        <v>0</v>
      </c>
      <c r="AU1778" s="6">
        <v>42124</v>
      </c>
      <c r="AV1778" s="6">
        <v>42124</v>
      </c>
      <c r="AW1778" t="s">
        <v>54</v>
      </c>
      <c r="AX1778" t="str">
        <f t="shared" si="136"/>
        <v>FOR</v>
      </c>
      <c r="AY1778" t="s">
        <v>55</v>
      </c>
    </row>
    <row r="1779" spans="1:51" hidden="1">
      <c r="A1779">
        <v>100371</v>
      </c>
      <c r="B1779" t="s">
        <v>133</v>
      </c>
      <c r="C1779" t="str">
        <f t="shared" ref="C1779:D1798" si="140">"11629770154"</f>
        <v>11629770154</v>
      </c>
      <c r="D1779" t="str">
        <f t="shared" si="140"/>
        <v>11629770154</v>
      </c>
      <c r="E1779" t="s">
        <v>52</v>
      </c>
      <c r="F1779">
        <v>2014</v>
      </c>
      <c r="G1779">
        <v>59723</v>
      </c>
      <c r="H1779" s="1">
        <v>41912</v>
      </c>
      <c r="I1779" s="1">
        <v>41949</v>
      </c>
      <c r="J1779" s="1">
        <v>41949</v>
      </c>
      <c r="K1779" s="1">
        <v>42009</v>
      </c>
      <c r="N1779" s="5"/>
      <c r="O1779" s="2">
        <v>1788.06</v>
      </c>
      <c r="P1779">
        <v>93</v>
      </c>
      <c r="Q1779" s="2">
        <v>166289.57999999999</v>
      </c>
      <c r="R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 s="1">
        <v>42382</v>
      </c>
      <c r="AC1779" t="s">
        <v>53</v>
      </c>
      <c r="AD1779" t="s">
        <v>53</v>
      </c>
      <c r="AK1779">
        <v>0</v>
      </c>
      <c r="AU1779" s="6">
        <v>42102</v>
      </c>
      <c r="AV1779" s="6">
        <v>42102</v>
      </c>
      <c r="AW1779" t="s">
        <v>54</v>
      </c>
      <c r="AX1779" t="str">
        <f t="shared" si="136"/>
        <v>FOR</v>
      </c>
      <c r="AY1779" t="s">
        <v>55</v>
      </c>
    </row>
    <row r="1780" spans="1:51" hidden="1">
      <c r="A1780">
        <v>100371</v>
      </c>
      <c r="B1780" t="s">
        <v>133</v>
      </c>
      <c r="C1780" t="str">
        <f t="shared" si="140"/>
        <v>11629770154</v>
      </c>
      <c r="D1780" t="str">
        <f t="shared" si="140"/>
        <v>11629770154</v>
      </c>
      <c r="E1780" t="s">
        <v>52</v>
      </c>
      <c r="F1780">
        <v>2014</v>
      </c>
      <c r="G1780">
        <v>59724</v>
      </c>
      <c r="H1780" s="1">
        <v>41912</v>
      </c>
      <c r="I1780" s="1">
        <v>41949</v>
      </c>
      <c r="J1780" s="1">
        <v>41949</v>
      </c>
      <c r="K1780" s="1">
        <v>42009</v>
      </c>
      <c r="N1780" s="5"/>
      <c r="O1780" s="2">
        <v>3424.96</v>
      </c>
      <c r="P1780">
        <v>93</v>
      </c>
      <c r="Q1780" s="2">
        <v>318521.28000000003</v>
      </c>
      <c r="R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 s="1">
        <v>42382</v>
      </c>
      <c r="AC1780" t="s">
        <v>53</v>
      </c>
      <c r="AD1780" t="s">
        <v>53</v>
      </c>
      <c r="AK1780">
        <v>0</v>
      </c>
      <c r="AU1780" s="6">
        <v>42102</v>
      </c>
      <c r="AV1780" s="6">
        <v>42102</v>
      </c>
      <c r="AW1780" t="s">
        <v>54</v>
      </c>
      <c r="AX1780" t="str">
        <f t="shared" si="136"/>
        <v>FOR</v>
      </c>
      <c r="AY1780" t="s">
        <v>55</v>
      </c>
    </row>
    <row r="1781" spans="1:51" hidden="1">
      <c r="A1781">
        <v>100371</v>
      </c>
      <c r="B1781" t="s">
        <v>133</v>
      </c>
      <c r="C1781" t="str">
        <f t="shared" si="140"/>
        <v>11629770154</v>
      </c>
      <c r="D1781" t="str">
        <f t="shared" si="140"/>
        <v>11629770154</v>
      </c>
      <c r="E1781" t="s">
        <v>52</v>
      </c>
      <c r="F1781">
        <v>2014</v>
      </c>
      <c r="G1781">
        <v>59725</v>
      </c>
      <c r="H1781" s="1">
        <v>41912</v>
      </c>
      <c r="I1781" s="1">
        <v>41949</v>
      </c>
      <c r="J1781" s="1">
        <v>41949</v>
      </c>
      <c r="K1781" s="1">
        <v>42009</v>
      </c>
      <c r="N1781" s="5"/>
      <c r="O1781" s="2">
        <v>4104.79</v>
      </c>
      <c r="P1781">
        <v>93</v>
      </c>
      <c r="Q1781" s="2">
        <v>381745.47</v>
      </c>
      <c r="R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 s="1">
        <v>42382</v>
      </c>
      <c r="AC1781" t="s">
        <v>53</v>
      </c>
      <c r="AD1781" t="s">
        <v>53</v>
      </c>
      <c r="AK1781">
        <v>0</v>
      </c>
      <c r="AU1781" s="6">
        <v>42102</v>
      </c>
      <c r="AV1781" s="6">
        <v>42102</v>
      </c>
      <c r="AW1781" t="s">
        <v>54</v>
      </c>
      <c r="AX1781" t="str">
        <f t="shared" si="136"/>
        <v>FOR</v>
      </c>
      <c r="AY1781" t="s">
        <v>55</v>
      </c>
    </row>
    <row r="1782" spans="1:51" hidden="1">
      <c r="A1782">
        <v>100371</v>
      </c>
      <c r="B1782" t="s">
        <v>133</v>
      </c>
      <c r="C1782" t="str">
        <f t="shared" si="140"/>
        <v>11629770154</v>
      </c>
      <c r="D1782" t="str">
        <f t="shared" si="140"/>
        <v>11629770154</v>
      </c>
      <c r="E1782" t="s">
        <v>52</v>
      </c>
      <c r="F1782">
        <v>2014</v>
      </c>
      <c r="G1782">
        <v>59726</v>
      </c>
      <c r="H1782" s="1">
        <v>41912</v>
      </c>
      <c r="I1782" s="1">
        <v>41949</v>
      </c>
      <c r="J1782" s="1">
        <v>41949</v>
      </c>
      <c r="K1782" s="1">
        <v>42009</v>
      </c>
      <c r="N1782" s="5"/>
      <c r="O1782" s="2">
        <v>2077.2199999999998</v>
      </c>
      <c r="P1782">
        <v>93</v>
      </c>
      <c r="Q1782" s="2">
        <v>193181.46</v>
      </c>
      <c r="R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 s="1">
        <v>42382</v>
      </c>
      <c r="AC1782" t="s">
        <v>53</v>
      </c>
      <c r="AD1782" t="s">
        <v>53</v>
      </c>
      <c r="AK1782">
        <v>0</v>
      </c>
      <c r="AU1782" s="6">
        <v>42102</v>
      </c>
      <c r="AV1782" s="6">
        <v>42102</v>
      </c>
      <c r="AW1782" t="s">
        <v>54</v>
      </c>
      <c r="AX1782" t="str">
        <f t="shared" si="136"/>
        <v>FOR</v>
      </c>
      <c r="AY1782" t="s">
        <v>55</v>
      </c>
    </row>
    <row r="1783" spans="1:51" hidden="1">
      <c r="A1783">
        <v>100371</v>
      </c>
      <c r="B1783" t="s">
        <v>133</v>
      </c>
      <c r="C1783" t="str">
        <f t="shared" si="140"/>
        <v>11629770154</v>
      </c>
      <c r="D1783" t="str">
        <f t="shared" si="140"/>
        <v>11629770154</v>
      </c>
      <c r="E1783" t="s">
        <v>52</v>
      </c>
      <c r="F1783">
        <v>2014</v>
      </c>
      <c r="G1783">
        <v>59727</v>
      </c>
      <c r="H1783" s="1">
        <v>41912</v>
      </c>
      <c r="I1783" s="1">
        <v>41949</v>
      </c>
      <c r="J1783" s="1">
        <v>41949</v>
      </c>
      <c r="K1783" s="1">
        <v>42009</v>
      </c>
      <c r="N1783" s="5"/>
      <c r="O1783" s="2">
        <v>20606.810000000001</v>
      </c>
      <c r="P1783">
        <v>93</v>
      </c>
      <c r="Q1783" s="2">
        <v>1916433.33</v>
      </c>
      <c r="R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 s="1">
        <v>42382</v>
      </c>
      <c r="AC1783" t="s">
        <v>53</v>
      </c>
      <c r="AD1783" t="s">
        <v>53</v>
      </c>
      <c r="AK1783">
        <v>0</v>
      </c>
      <c r="AU1783" s="6">
        <v>42102</v>
      </c>
      <c r="AV1783" s="6">
        <v>42102</v>
      </c>
      <c r="AW1783" t="s">
        <v>54</v>
      </c>
      <c r="AX1783" t="str">
        <f t="shared" si="136"/>
        <v>FOR</v>
      </c>
      <c r="AY1783" t="s">
        <v>55</v>
      </c>
    </row>
    <row r="1784" spans="1:51" hidden="1">
      <c r="A1784">
        <v>100371</v>
      </c>
      <c r="B1784" t="s">
        <v>133</v>
      </c>
      <c r="C1784" t="str">
        <f t="shared" si="140"/>
        <v>11629770154</v>
      </c>
      <c r="D1784" t="str">
        <f t="shared" si="140"/>
        <v>11629770154</v>
      </c>
      <c r="E1784" t="s">
        <v>52</v>
      </c>
      <c r="F1784">
        <v>2014</v>
      </c>
      <c r="G1784">
        <v>64162</v>
      </c>
      <c r="H1784" s="1">
        <v>41943</v>
      </c>
      <c r="I1784" s="1">
        <v>41991</v>
      </c>
      <c r="J1784" s="1">
        <v>41991</v>
      </c>
      <c r="K1784" s="1">
        <v>42051</v>
      </c>
      <c r="N1784" s="5"/>
      <c r="O1784" s="2">
        <v>4087.67</v>
      </c>
      <c r="P1784">
        <v>105</v>
      </c>
      <c r="Q1784" s="2">
        <v>429205.35</v>
      </c>
      <c r="R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 s="1">
        <v>42382</v>
      </c>
      <c r="AC1784" t="s">
        <v>53</v>
      </c>
      <c r="AD1784" t="s">
        <v>53</v>
      </c>
      <c r="AK1784">
        <v>0</v>
      </c>
      <c r="AU1784" s="6">
        <v>42156</v>
      </c>
      <c r="AV1784" s="6">
        <v>42156</v>
      </c>
      <c r="AW1784" t="s">
        <v>54</v>
      </c>
      <c r="AX1784" t="str">
        <f t="shared" si="136"/>
        <v>FOR</v>
      </c>
      <c r="AY1784" t="s">
        <v>55</v>
      </c>
    </row>
    <row r="1785" spans="1:51" hidden="1">
      <c r="A1785">
        <v>100371</v>
      </c>
      <c r="B1785" t="s">
        <v>133</v>
      </c>
      <c r="C1785" t="str">
        <f t="shared" si="140"/>
        <v>11629770154</v>
      </c>
      <c r="D1785" t="str">
        <f t="shared" si="140"/>
        <v>11629770154</v>
      </c>
      <c r="E1785" t="s">
        <v>52</v>
      </c>
      <c r="F1785">
        <v>2014</v>
      </c>
      <c r="G1785">
        <v>65948</v>
      </c>
      <c r="H1785" s="1">
        <v>41943</v>
      </c>
      <c r="I1785" s="1">
        <v>41991</v>
      </c>
      <c r="J1785" s="1">
        <v>41991</v>
      </c>
      <c r="K1785" s="1">
        <v>42051</v>
      </c>
      <c r="N1785" s="5"/>
      <c r="O1785" s="2">
        <v>185705.93</v>
      </c>
      <c r="P1785">
        <v>73</v>
      </c>
      <c r="Q1785" s="2">
        <v>13556532.890000001</v>
      </c>
      <c r="R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 s="1">
        <v>42382</v>
      </c>
      <c r="AC1785" t="s">
        <v>53</v>
      </c>
      <c r="AD1785" t="s">
        <v>53</v>
      </c>
      <c r="AK1785">
        <v>0</v>
      </c>
      <c r="AU1785" s="6">
        <v>42124</v>
      </c>
      <c r="AV1785" s="6">
        <v>42124</v>
      </c>
      <c r="AW1785" t="s">
        <v>54</v>
      </c>
      <c r="AX1785" t="str">
        <f t="shared" si="136"/>
        <v>FOR</v>
      </c>
      <c r="AY1785" t="s">
        <v>55</v>
      </c>
    </row>
    <row r="1786" spans="1:51" hidden="1">
      <c r="A1786">
        <v>100371</v>
      </c>
      <c r="B1786" t="s">
        <v>133</v>
      </c>
      <c r="C1786" t="str">
        <f t="shared" si="140"/>
        <v>11629770154</v>
      </c>
      <c r="D1786" t="str">
        <f t="shared" si="140"/>
        <v>11629770154</v>
      </c>
      <c r="E1786" t="s">
        <v>52</v>
      </c>
      <c r="F1786">
        <v>2014</v>
      </c>
      <c r="G1786">
        <v>66003</v>
      </c>
      <c r="H1786" s="1">
        <v>41943</v>
      </c>
      <c r="I1786" s="1">
        <v>41991</v>
      </c>
      <c r="J1786" s="1">
        <v>41991</v>
      </c>
      <c r="K1786" s="1">
        <v>42051</v>
      </c>
      <c r="N1786" s="5"/>
      <c r="O1786" s="2">
        <v>1800.91</v>
      </c>
      <c r="P1786">
        <v>105</v>
      </c>
      <c r="Q1786" s="2">
        <v>189095.55</v>
      </c>
      <c r="R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 s="1">
        <v>42382</v>
      </c>
      <c r="AC1786" t="s">
        <v>53</v>
      </c>
      <c r="AD1786" t="s">
        <v>53</v>
      </c>
      <c r="AK1786">
        <v>0</v>
      </c>
      <c r="AU1786" s="6">
        <v>42156</v>
      </c>
      <c r="AV1786" s="6">
        <v>42156</v>
      </c>
      <c r="AW1786" t="s">
        <v>54</v>
      </c>
      <c r="AX1786" t="str">
        <f t="shared" si="136"/>
        <v>FOR</v>
      </c>
      <c r="AY1786" t="s">
        <v>55</v>
      </c>
    </row>
    <row r="1787" spans="1:51" hidden="1">
      <c r="A1787">
        <v>100371</v>
      </c>
      <c r="B1787" t="s">
        <v>133</v>
      </c>
      <c r="C1787" t="str">
        <f t="shared" si="140"/>
        <v>11629770154</v>
      </c>
      <c r="D1787" t="str">
        <f t="shared" si="140"/>
        <v>11629770154</v>
      </c>
      <c r="E1787" t="s">
        <v>52</v>
      </c>
      <c r="F1787">
        <v>2014</v>
      </c>
      <c r="G1787">
        <v>66004</v>
      </c>
      <c r="H1787" s="1">
        <v>41943</v>
      </c>
      <c r="I1787" s="1">
        <v>41991</v>
      </c>
      <c r="J1787" s="1">
        <v>41991</v>
      </c>
      <c r="K1787" s="1">
        <v>42051</v>
      </c>
      <c r="N1787" s="5"/>
      <c r="O1787" s="2">
        <v>3298.19</v>
      </c>
      <c r="P1787">
        <v>105</v>
      </c>
      <c r="Q1787" s="2">
        <v>346309.95</v>
      </c>
      <c r="R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 s="1">
        <v>42382</v>
      </c>
      <c r="AC1787" t="s">
        <v>53</v>
      </c>
      <c r="AD1787" t="s">
        <v>53</v>
      </c>
      <c r="AK1787">
        <v>0</v>
      </c>
      <c r="AU1787" s="6">
        <v>42156</v>
      </c>
      <c r="AV1787" s="6">
        <v>42156</v>
      </c>
      <c r="AW1787" t="s">
        <v>54</v>
      </c>
      <c r="AX1787" t="str">
        <f t="shared" si="136"/>
        <v>FOR</v>
      </c>
      <c r="AY1787" t="s">
        <v>55</v>
      </c>
    </row>
    <row r="1788" spans="1:51" hidden="1">
      <c r="A1788">
        <v>100371</v>
      </c>
      <c r="B1788" t="s">
        <v>133</v>
      </c>
      <c r="C1788" t="str">
        <f t="shared" si="140"/>
        <v>11629770154</v>
      </c>
      <c r="D1788" t="str">
        <f t="shared" si="140"/>
        <v>11629770154</v>
      </c>
      <c r="E1788" t="s">
        <v>52</v>
      </c>
      <c r="F1788">
        <v>2014</v>
      </c>
      <c r="G1788">
        <v>66005</v>
      </c>
      <c r="H1788" s="1">
        <v>41943</v>
      </c>
      <c r="I1788" s="1">
        <v>41991</v>
      </c>
      <c r="J1788" s="1">
        <v>41991</v>
      </c>
      <c r="K1788" s="1">
        <v>42051</v>
      </c>
      <c r="N1788" s="5"/>
      <c r="O1788" s="2">
        <v>5987.39</v>
      </c>
      <c r="P1788">
        <v>105</v>
      </c>
      <c r="Q1788" s="2">
        <v>628675.94999999995</v>
      </c>
      <c r="R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 s="1">
        <v>42382</v>
      </c>
      <c r="AC1788" t="s">
        <v>53</v>
      </c>
      <c r="AD1788" t="s">
        <v>53</v>
      </c>
      <c r="AK1788">
        <v>0</v>
      </c>
      <c r="AU1788" s="6">
        <v>42156</v>
      </c>
      <c r="AV1788" s="6">
        <v>42156</v>
      </c>
      <c r="AW1788" t="s">
        <v>54</v>
      </c>
      <c r="AX1788" t="str">
        <f t="shared" si="136"/>
        <v>FOR</v>
      </c>
      <c r="AY1788" t="s">
        <v>55</v>
      </c>
    </row>
    <row r="1789" spans="1:51" hidden="1">
      <c r="A1789">
        <v>100371</v>
      </c>
      <c r="B1789" t="s">
        <v>133</v>
      </c>
      <c r="C1789" t="str">
        <f t="shared" si="140"/>
        <v>11629770154</v>
      </c>
      <c r="D1789" t="str">
        <f t="shared" si="140"/>
        <v>11629770154</v>
      </c>
      <c r="E1789" t="s">
        <v>52</v>
      </c>
      <c r="F1789">
        <v>2014</v>
      </c>
      <c r="G1789">
        <v>66006</v>
      </c>
      <c r="H1789" s="1">
        <v>41943</v>
      </c>
      <c r="I1789" s="1">
        <v>41991</v>
      </c>
      <c r="J1789" s="1">
        <v>41991</v>
      </c>
      <c r="K1789" s="1">
        <v>42051</v>
      </c>
      <c r="N1789" s="5"/>
      <c r="O1789" s="2">
        <v>2157.0300000000002</v>
      </c>
      <c r="P1789">
        <v>105</v>
      </c>
      <c r="Q1789" s="2">
        <v>226488.15</v>
      </c>
      <c r="R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 s="1">
        <v>42382</v>
      </c>
      <c r="AC1789" t="s">
        <v>53</v>
      </c>
      <c r="AD1789" t="s">
        <v>53</v>
      </c>
      <c r="AK1789">
        <v>0</v>
      </c>
      <c r="AU1789" s="6">
        <v>42156</v>
      </c>
      <c r="AV1789" s="6">
        <v>42156</v>
      </c>
      <c r="AW1789" t="s">
        <v>54</v>
      </c>
      <c r="AX1789" t="str">
        <f t="shared" si="136"/>
        <v>FOR</v>
      </c>
      <c r="AY1789" t="s">
        <v>55</v>
      </c>
    </row>
    <row r="1790" spans="1:51" hidden="1">
      <c r="A1790">
        <v>100371</v>
      </c>
      <c r="B1790" t="s">
        <v>133</v>
      </c>
      <c r="C1790" t="str">
        <f t="shared" si="140"/>
        <v>11629770154</v>
      </c>
      <c r="D1790" t="str">
        <f t="shared" si="140"/>
        <v>11629770154</v>
      </c>
      <c r="E1790" t="s">
        <v>52</v>
      </c>
      <c r="F1790">
        <v>2014</v>
      </c>
      <c r="G1790">
        <v>66007</v>
      </c>
      <c r="H1790" s="1">
        <v>41943</v>
      </c>
      <c r="I1790" s="1">
        <v>41991</v>
      </c>
      <c r="J1790" s="1">
        <v>41991</v>
      </c>
      <c r="K1790" s="1">
        <v>42051</v>
      </c>
      <c r="N1790" s="5"/>
      <c r="O1790" s="2">
        <v>19711.36</v>
      </c>
      <c r="P1790">
        <v>105</v>
      </c>
      <c r="Q1790" s="2">
        <v>2069692.8</v>
      </c>
      <c r="R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 s="1">
        <v>42382</v>
      </c>
      <c r="AC1790" t="s">
        <v>53</v>
      </c>
      <c r="AD1790" t="s">
        <v>53</v>
      </c>
      <c r="AK1790">
        <v>0</v>
      </c>
      <c r="AU1790" s="6">
        <v>42156</v>
      </c>
      <c r="AV1790" s="6">
        <v>42156</v>
      </c>
      <c r="AW1790" t="s">
        <v>54</v>
      </c>
      <c r="AX1790" t="str">
        <f t="shared" si="136"/>
        <v>FOR</v>
      </c>
      <c r="AY1790" t="s">
        <v>55</v>
      </c>
    </row>
    <row r="1791" spans="1:51" hidden="1">
      <c r="A1791">
        <v>100371</v>
      </c>
      <c r="B1791" t="s">
        <v>133</v>
      </c>
      <c r="C1791" t="str">
        <f t="shared" si="140"/>
        <v>11629770154</v>
      </c>
      <c r="D1791" t="str">
        <f t="shared" si="140"/>
        <v>11629770154</v>
      </c>
      <c r="E1791" t="s">
        <v>52</v>
      </c>
      <c r="F1791">
        <v>2014</v>
      </c>
      <c r="G1791">
        <v>71816</v>
      </c>
      <c r="H1791" s="1">
        <v>41973</v>
      </c>
      <c r="I1791" s="1">
        <v>42027</v>
      </c>
      <c r="J1791" s="1">
        <v>42027</v>
      </c>
      <c r="K1791" s="1">
        <v>42087</v>
      </c>
      <c r="N1791" s="5"/>
      <c r="O1791" s="2">
        <v>3482.39</v>
      </c>
      <c r="P1791">
        <v>69</v>
      </c>
      <c r="Q1791" s="2">
        <v>240284.91</v>
      </c>
      <c r="R1791">
        <v>0</v>
      </c>
      <c r="V1791">
        <v>0</v>
      </c>
      <c r="W1791">
        <v>0</v>
      </c>
      <c r="X1791">
        <v>0</v>
      </c>
      <c r="Y1791">
        <v>0</v>
      </c>
      <c r="Z1791" s="2">
        <v>3482.39</v>
      </c>
      <c r="AA1791">
        <v>0</v>
      </c>
      <c r="AB1791" s="1">
        <v>42382</v>
      </c>
      <c r="AC1791" t="s">
        <v>53</v>
      </c>
      <c r="AD1791" t="s">
        <v>53</v>
      </c>
      <c r="AK1791">
        <v>0</v>
      </c>
      <c r="AU1791" s="6">
        <v>42156</v>
      </c>
      <c r="AV1791" s="6">
        <v>42156</v>
      </c>
      <c r="AW1791" t="s">
        <v>54</v>
      </c>
      <c r="AX1791" t="str">
        <f t="shared" si="136"/>
        <v>FOR</v>
      </c>
      <c r="AY1791" t="s">
        <v>55</v>
      </c>
    </row>
    <row r="1792" spans="1:51" hidden="1">
      <c r="A1792">
        <v>100371</v>
      </c>
      <c r="B1792" t="s">
        <v>133</v>
      </c>
      <c r="C1792" t="str">
        <f t="shared" si="140"/>
        <v>11629770154</v>
      </c>
      <c r="D1792" t="str">
        <f t="shared" si="140"/>
        <v>11629770154</v>
      </c>
      <c r="E1792" t="s">
        <v>52</v>
      </c>
      <c r="F1792">
        <v>2014</v>
      </c>
      <c r="G1792">
        <v>72693</v>
      </c>
      <c r="H1792" s="1">
        <v>41973</v>
      </c>
      <c r="I1792" s="1">
        <v>42027</v>
      </c>
      <c r="J1792" s="1">
        <v>42027</v>
      </c>
      <c r="K1792" s="1">
        <v>42087</v>
      </c>
      <c r="N1792" s="5"/>
      <c r="O1792" s="2">
        <v>175945.27</v>
      </c>
      <c r="P1792">
        <v>69</v>
      </c>
      <c r="Q1792" s="2">
        <v>12140223.630000001</v>
      </c>
      <c r="R1792">
        <v>0</v>
      </c>
      <c r="V1792">
        <v>0</v>
      </c>
      <c r="W1792">
        <v>0</v>
      </c>
      <c r="X1792">
        <v>0</v>
      </c>
      <c r="Y1792">
        <v>0</v>
      </c>
      <c r="Z1792" s="2">
        <v>175945.27</v>
      </c>
      <c r="AA1792">
        <v>0</v>
      </c>
      <c r="AB1792" s="1">
        <v>42382</v>
      </c>
      <c r="AC1792" t="s">
        <v>53</v>
      </c>
      <c r="AD1792" t="s">
        <v>53</v>
      </c>
      <c r="AK1792">
        <v>0</v>
      </c>
      <c r="AU1792" s="6">
        <v>42156</v>
      </c>
      <c r="AV1792" s="6">
        <v>42156</v>
      </c>
      <c r="AW1792" t="s">
        <v>54</v>
      </c>
      <c r="AX1792" t="str">
        <f t="shared" si="136"/>
        <v>FOR</v>
      </c>
      <c r="AY1792" t="s">
        <v>55</v>
      </c>
    </row>
    <row r="1793" spans="1:51" hidden="1">
      <c r="A1793">
        <v>100371</v>
      </c>
      <c r="B1793" t="s">
        <v>133</v>
      </c>
      <c r="C1793" t="str">
        <f t="shared" si="140"/>
        <v>11629770154</v>
      </c>
      <c r="D1793" t="str">
        <f t="shared" si="140"/>
        <v>11629770154</v>
      </c>
      <c r="E1793" t="s">
        <v>52</v>
      </c>
      <c r="F1793">
        <v>2014</v>
      </c>
      <c r="G1793">
        <v>72694</v>
      </c>
      <c r="H1793" s="1">
        <v>41973</v>
      </c>
      <c r="I1793" s="1">
        <v>42027</v>
      </c>
      <c r="J1793" s="1">
        <v>42027</v>
      </c>
      <c r="K1793" s="1">
        <v>42087</v>
      </c>
      <c r="N1793" s="5"/>
      <c r="O1793" s="2">
        <v>1771.84</v>
      </c>
      <c r="P1793">
        <v>69</v>
      </c>
      <c r="Q1793" s="2">
        <v>122256.96000000001</v>
      </c>
      <c r="R1793">
        <v>0</v>
      </c>
      <c r="V1793">
        <v>0</v>
      </c>
      <c r="W1793">
        <v>0</v>
      </c>
      <c r="X1793">
        <v>0</v>
      </c>
      <c r="Y1793">
        <v>0</v>
      </c>
      <c r="Z1793" s="2">
        <v>1771.84</v>
      </c>
      <c r="AA1793">
        <v>0</v>
      </c>
      <c r="AB1793" s="1">
        <v>42382</v>
      </c>
      <c r="AC1793" t="s">
        <v>53</v>
      </c>
      <c r="AD1793" t="s">
        <v>53</v>
      </c>
      <c r="AK1793">
        <v>0</v>
      </c>
      <c r="AU1793" s="6">
        <v>42156</v>
      </c>
      <c r="AV1793" s="6">
        <v>42156</v>
      </c>
      <c r="AW1793" t="s">
        <v>54</v>
      </c>
      <c r="AX1793" t="str">
        <f t="shared" si="136"/>
        <v>FOR</v>
      </c>
      <c r="AY1793" t="s">
        <v>55</v>
      </c>
    </row>
    <row r="1794" spans="1:51" hidden="1">
      <c r="A1794">
        <v>100371</v>
      </c>
      <c r="B1794" t="s">
        <v>133</v>
      </c>
      <c r="C1794" t="str">
        <f t="shared" si="140"/>
        <v>11629770154</v>
      </c>
      <c r="D1794" t="str">
        <f t="shared" si="140"/>
        <v>11629770154</v>
      </c>
      <c r="E1794" t="s">
        <v>52</v>
      </c>
      <c r="F1794">
        <v>2014</v>
      </c>
      <c r="G1794">
        <v>72695</v>
      </c>
      <c r="H1794" s="1">
        <v>41973</v>
      </c>
      <c r="I1794" s="1">
        <v>42027</v>
      </c>
      <c r="J1794" s="1">
        <v>42027</v>
      </c>
      <c r="K1794" s="1">
        <v>42087</v>
      </c>
      <c r="N1794" s="5"/>
      <c r="O1794" s="2">
        <v>9155.7800000000007</v>
      </c>
      <c r="P1794">
        <v>69</v>
      </c>
      <c r="Q1794" s="2">
        <v>631748.81999999995</v>
      </c>
      <c r="R1794">
        <v>0</v>
      </c>
      <c r="V1794">
        <v>0</v>
      </c>
      <c r="W1794">
        <v>0</v>
      </c>
      <c r="X1794">
        <v>0</v>
      </c>
      <c r="Y1794">
        <v>0</v>
      </c>
      <c r="Z1794" s="2">
        <v>9155.7800000000007</v>
      </c>
      <c r="AA1794">
        <v>0</v>
      </c>
      <c r="AB1794" s="1">
        <v>42382</v>
      </c>
      <c r="AC1794" t="s">
        <v>53</v>
      </c>
      <c r="AD1794" t="s">
        <v>53</v>
      </c>
      <c r="AK1794">
        <v>0</v>
      </c>
      <c r="AU1794" s="6">
        <v>42156</v>
      </c>
      <c r="AV1794" s="6">
        <v>42156</v>
      </c>
      <c r="AW1794" t="s">
        <v>54</v>
      </c>
      <c r="AX1794" t="str">
        <f t="shared" si="136"/>
        <v>FOR</v>
      </c>
      <c r="AY1794" t="s">
        <v>55</v>
      </c>
    </row>
    <row r="1795" spans="1:51" hidden="1">
      <c r="A1795">
        <v>100371</v>
      </c>
      <c r="B1795" t="s">
        <v>133</v>
      </c>
      <c r="C1795" t="str">
        <f t="shared" si="140"/>
        <v>11629770154</v>
      </c>
      <c r="D1795" t="str">
        <f t="shared" si="140"/>
        <v>11629770154</v>
      </c>
      <c r="E1795" t="s">
        <v>52</v>
      </c>
      <c r="F1795">
        <v>2014</v>
      </c>
      <c r="G1795">
        <v>72696</v>
      </c>
      <c r="H1795" s="1">
        <v>41973</v>
      </c>
      <c r="I1795" s="1">
        <v>42027</v>
      </c>
      <c r="J1795" s="1">
        <v>42027</v>
      </c>
      <c r="K1795" s="1">
        <v>42087</v>
      </c>
      <c r="N1795" s="5"/>
      <c r="O1795" s="2">
        <v>3044.63</v>
      </c>
      <c r="P1795">
        <v>69</v>
      </c>
      <c r="Q1795" s="2">
        <v>210079.47</v>
      </c>
      <c r="R1795">
        <v>0</v>
      </c>
      <c r="V1795">
        <v>0</v>
      </c>
      <c r="W1795">
        <v>0</v>
      </c>
      <c r="X1795">
        <v>0</v>
      </c>
      <c r="Y1795">
        <v>0</v>
      </c>
      <c r="Z1795" s="2">
        <v>3044.63</v>
      </c>
      <c r="AA1795">
        <v>0</v>
      </c>
      <c r="AB1795" s="1">
        <v>42382</v>
      </c>
      <c r="AC1795" t="s">
        <v>53</v>
      </c>
      <c r="AD1795" t="s">
        <v>53</v>
      </c>
      <c r="AK1795">
        <v>0</v>
      </c>
      <c r="AU1795" s="6">
        <v>42156</v>
      </c>
      <c r="AV1795" s="6">
        <v>42156</v>
      </c>
      <c r="AW1795" t="s">
        <v>54</v>
      </c>
      <c r="AX1795" t="str">
        <f t="shared" ref="AX1795:AX1858" si="141">"FOR"</f>
        <v>FOR</v>
      </c>
      <c r="AY1795" t="s">
        <v>55</v>
      </c>
    </row>
    <row r="1796" spans="1:51" hidden="1">
      <c r="A1796">
        <v>100371</v>
      </c>
      <c r="B1796" t="s">
        <v>133</v>
      </c>
      <c r="C1796" t="str">
        <f t="shared" si="140"/>
        <v>11629770154</v>
      </c>
      <c r="D1796" t="str">
        <f t="shared" si="140"/>
        <v>11629770154</v>
      </c>
      <c r="E1796" t="s">
        <v>52</v>
      </c>
      <c r="F1796">
        <v>2014</v>
      </c>
      <c r="G1796">
        <v>72757</v>
      </c>
      <c r="H1796" s="1">
        <v>41973</v>
      </c>
      <c r="I1796" s="1">
        <v>42027</v>
      </c>
      <c r="J1796" s="1">
        <v>42027</v>
      </c>
      <c r="K1796" s="1">
        <v>42087</v>
      </c>
      <c r="N1796" s="5"/>
      <c r="O1796" s="2">
        <v>4176.3999999999996</v>
      </c>
      <c r="P1796">
        <v>69</v>
      </c>
      <c r="Q1796" s="2">
        <v>288171.59999999998</v>
      </c>
      <c r="R1796">
        <v>0</v>
      </c>
      <c r="V1796">
        <v>0</v>
      </c>
      <c r="W1796">
        <v>0</v>
      </c>
      <c r="X1796">
        <v>0</v>
      </c>
      <c r="Y1796">
        <v>0</v>
      </c>
      <c r="Z1796" s="2">
        <v>4176.3999999999996</v>
      </c>
      <c r="AA1796">
        <v>0</v>
      </c>
      <c r="AB1796" s="1">
        <v>42382</v>
      </c>
      <c r="AC1796" t="s">
        <v>53</v>
      </c>
      <c r="AD1796" t="s">
        <v>53</v>
      </c>
      <c r="AK1796">
        <v>0</v>
      </c>
      <c r="AU1796" s="6">
        <v>42156</v>
      </c>
      <c r="AV1796" s="6">
        <v>42156</v>
      </c>
      <c r="AW1796" t="s">
        <v>54</v>
      </c>
      <c r="AX1796" t="str">
        <f t="shared" si="141"/>
        <v>FOR</v>
      </c>
      <c r="AY1796" t="s">
        <v>55</v>
      </c>
    </row>
    <row r="1797" spans="1:51" hidden="1">
      <c r="A1797">
        <v>100371</v>
      </c>
      <c r="B1797" t="s">
        <v>133</v>
      </c>
      <c r="C1797" t="str">
        <f t="shared" si="140"/>
        <v>11629770154</v>
      </c>
      <c r="D1797" t="str">
        <f t="shared" si="140"/>
        <v>11629770154</v>
      </c>
      <c r="E1797" t="s">
        <v>52</v>
      </c>
      <c r="F1797">
        <v>2014</v>
      </c>
      <c r="G1797">
        <v>72758</v>
      </c>
      <c r="H1797" s="1">
        <v>41973</v>
      </c>
      <c r="I1797" s="1">
        <v>42027</v>
      </c>
      <c r="J1797" s="1">
        <v>42027</v>
      </c>
      <c r="K1797" s="1">
        <v>42087</v>
      </c>
      <c r="N1797" s="5"/>
      <c r="O1797" s="2">
        <v>1917.58</v>
      </c>
      <c r="P1797">
        <v>69</v>
      </c>
      <c r="Q1797" s="2">
        <v>132313.01999999999</v>
      </c>
      <c r="R1797">
        <v>0</v>
      </c>
      <c r="V1797">
        <v>0</v>
      </c>
      <c r="W1797">
        <v>0</v>
      </c>
      <c r="X1797">
        <v>0</v>
      </c>
      <c r="Y1797">
        <v>0</v>
      </c>
      <c r="Z1797" s="2">
        <v>1917.58</v>
      </c>
      <c r="AA1797">
        <v>0</v>
      </c>
      <c r="AB1797" s="1">
        <v>42382</v>
      </c>
      <c r="AC1797" t="s">
        <v>53</v>
      </c>
      <c r="AD1797" t="s">
        <v>53</v>
      </c>
      <c r="AK1797">
        <v>0</v>
      </c>
      <c r="AU1797" s="6">
        <v>42156</v>
      </c>
      <c r="AV1797" s="6">
        <v>42156</v>
      </c>
      <c r="AW1797" t="s">
        <v>54</v>
      </c>
      <c r="AX1797" t="str">
        <f t="shared" si="141"/>
        <v>FOR</v>
      </c>
      <c r="AY1797" t="s">
        <v>55</v>
      </c>
    </row>
    <row r="1798" spans="1:51" hidden="1">
      <c r="A1798">
        <v>100371</v>
      </c>
      <c r="B1798" t="s">
        <v>133</v>
      </c>
      <c r="C1798" t="str">
        <f t="shared" si="140"/>
        <v>11629770154</v>
      </c>
      <c r="D1798" t="str">
        <f t="shared" si="140"/>
        <v>11629770154</v>
      </c>
      <c r="E1798" t="s">
        <v>52</v>
      </c>
      <c r="F1798">
        <v>2014</v>
      </c>
      <c r="G1798">
        <v>72759</v>
      </c>
      <c r="H1798" s="1">
        <v>41973</v>
      </c>
      <c r="I1798" s="1">
        <v>42027</v>
      </c>
      <c r="J1798" s="1">
        <v>42027</v>
      </c>
      <c r="K1798" s="1">
        <v>42087</v>
      </c>
      <c r="N1798" s="5"/>
      <c r="O1798" s="2">
        <v>11758.76</v>
      </c>
      <c r="P1798">
        <v>69</v>
      </c>
      <c r="Q1798" s="2">
        <v>811354.44</v>
      </c>
      <c r="R1798">
        <v>0</v>
      </c>
      <c r="V1798">
        <v>0</v>
      </c>
      <c r="W1798">
        <v>0</v>
      </c>
      <c r="X1798">
        <v>0</v>
      </c>
      <c r="Y1798">
        <v>0</v>
      </c>
      <c r="Z1798" s="2">
        <v>11758.76</v>
      </c>
      <c r="AA1798">
        <v>0</v>
      </c>
      <c r="AB1798" s="1">
        <v>42382</v>
      </c>
      <c r="AC1798" t="s">
        <v>53</v>
      </c>
      <c r="AD1798" t="s">
        <v>53</v>
      </c>
      <c r="AK1798">
        <v>0</v>
      </c>
      <c r="AU1798" s="6">
        <v>42156</v>
      </c>
      <c r="AV1798" s="6">
        <v>42156</v>
      </c>
      <c r="AW1798" t="s">
        <v>54</v>
      </c>
      <c r="AX1798" t="str">
        <f t="shared" si="141"/>
        <v>FOR</v>
      </c>
      <c r="AY1798" t="s">
        <v>55</v>
      </c>
    </row>
    <row r="1799" spans="1:51" hidden="1">
      <c r="A1799">
        <v>100371</v>
      </c>
      <c r="B1799" t="s">
        <v>133</v>
      </c>
      <c r="C1799" t="str">
        <f t="shared" ref="C1799:D1818" si="142">"11629770154"</f>
        <v>11629770154</v>
      </c>
      <c r="D1799" t="str">
        <f t="shared" si="142"/>
        <v>11629770154</v>
      </c>
      <c r="E1799" t="s">
        <v>52</v>
      </c>
      <c r="F1799">
        <v>2014</v>
      </c>
      <c r="G1799">
        <v>78802</v>
      </c>
      <c r="H1799" s="1">
        <v>42004</v>
      </c>
      <c r="I1799" s="1">
        <v>42066</v>
      </c>
      <c r="J1799" s="1">
        <v>42066</v>
      </c>
      <c r="K1799" s="1">
        <v>42126</v>
      </c>
      <c r="N1799" s="5"/>
      <c r="O1799" s="2">
        <v>173361.31</v>
      </c>
      <c r="P1799">
        <v>60</v>
      </c>
      <c r="Q1799" s="2">
        <v>10401678.6</v>
      </c>
      <c r="R1799">
        <v>0</v>
      </c>
      <c r="V1799">
        <v>0</v>
      </c>
      <c r="W1799">
        <v>0</v>
      </c>
      <c r="X1799">
        <v>0</v>
      </c>
      <c r="Y1799">
        <v>0</v>
      </c>
      <c r="Z1799" s="2">
        <v>173361.31</v>
      </c>
      <c r="AA1799">
        <v>0</v>
      </c>
      <c r="AB1799" s="1">
        <v>42382</v>
      </c>
      <c r="AC1799" t="s">
        <v>53</v>
      </c>
      <c r="AD1799" t="s">
        <v>53</v>
      </c>
      <c r="AK1799">
        <v>0</v>
      </c>
      <c r="AU1799" s="6">
        <v>42186</v>
      </c>
      <c r="AV1799" s="6">
        <v>42186</v>
      </c>
      <c r="AW1799" t="s">
        <v>54</v>
      </c>
      <c r="AX1799" t="str">
        <f t="shared" si="141"/>
        <v>FOR</v>
      </c>
      <c r="AY1799" t="s">
        <v>55</v>
      </c>
    </row>
    <row r="1800" spans="1:51" hidden="1">
      <c r="A1800">
        <v>100371</v>
      </c>
      <c r="B1800" t="s">
        <v>133</v>
      </c>
      <c r="C1800" t="str">
        <f t="shared" si="142"/>
        <v>11629770154</v>
      </c>
      <c r="D1800" t="str">
        <f t="shared" si="142"/>
        <v>11629770154</v>
      </c>
      <c r="E1800" t="s">
        <v>52</v>
      </c>
      <c r="F1800">
        <v>2014</v>
      </c>
      <c r="G1800">
        <v>78803</v>
      </c>
      <c r="H1800" s="1">
        <v>42004</v>
      </c>
      <c r="I1800" s="1">
        <v>42066</v>
      </c>
      <c r="J1800" s="1">
        <v>42066</v>
      </c>
      <c r="K1800" s="1">
        <v>42126</v>
      </c>
      <c r="N1800" s="5"/>
      <c r="O1800" s="2">
        <v>2101.4499999999998</v>
      </c>
      <c r="P1800">
        <v>60</v>
      </c>
      <c r="Q1800" s="2">
        <v>126087</v>
      </c>
      <c r="R1800">
        <v>0</v>
      </c>
      <c r="V1800">
        <v>0</v>
      </c>
      <c r="W1800">
        <v>0</v>
      </c>
      <c r="X1800">
        <v>0</v>
      </c>
      <c r="Y1800">
        <v>0</v>
      </c>
      <c r="Z1800" s="2">
        <v>2101.4499999999998</v>
      </c>
      <c r="AA1800">
        <v>0</v>
      </c>
      <c r="AB1800" s="1">
        <v>42382</v>
      </c>
      <c r="AC1800" t="s">
        <v>53</v>
      </c>
      <c r="AD1800" t="s">
        <v>53</v>
      </c>
      <c r="AK1800">
        <v>0</v>
      </c>
      <c r="AU1800" s="6">
        <v>42186</v>
      </c>
      <c r="AV1800" s="6">
        <v>42186</v>
      </c>
      <c r="AW1800" t="s">
        <v>54</v>
      </c>
      <c r="AX1800" t="str">
        <f t="shared" si="141"/>
        <v>FOR</v>
      </c>
      <c r="AY1800" t="s">
        <v>55</v>
      </c>
    </row>
    <row r="1801" spans="1:51" hidden="1">
      <c r="A1801">
        <v>100371</v>
      </c>
      <c r="B1801" t="s">
        <v>133</v>
      </c>
      <c r="C1801" t="str">
        <f t="shared" si="142"/>
        <v>11629770154</v>
      </c>
      <c r="D1801" t="str">
        <f t="shared" si="142"/>
        <v>11629770154</v>
      </c>
      <c r="E1801" t="s">
        <v>52</v>
      </c>
      <c r="F1801">
        <v>2014</v>
      </c>
      <c r="G1801">
        <v>78804</v>
      </c>
      <c r="H1801" s="1">
        <v>42004</v>
      </c>
      <c r="I1801" s="1">
        <v>42066</v>
      </c>
      <c r="J1801" s="1">
        <v>42066</v>
      </c>
      <c r="K1801" s="1">
        <v>42126</v>
      </c>
      <c r="N1801" s="5"/>
      <c r="O1801" s="2">
        <v>3403.68</v>
      </c>
      <c r="P1801">
        <v>60</v>
      </c>
      <c r="Q1801" s="2">
        <v>204220.79999999999</v>
      </c>
      <c r="R1801">
        <v>0</v>
      </c>
      <c r="V1801">
        <v>0</v>
      </c>
      <c r="W1801">
        <v>0</v>
      </c>
      <c r="X1801">
        <v>0</v>
      </c>
      <c r="Y1801">
        <v>0</v>
      </c>
      <c r="Z1801" s="2">
        <v>3403.68</v>
      </c>
      <c r="AA1801">
        <v>0</v>
      </c>
      <c r="AB1801" s="1">
        <v>42382</v>
      </c>
      <c r="AC1801" t="s">
        <v>53</v>
      </c>
      <c r="AD1801" t="s">
        <v>53</v>
      </c>
      <c r="AK1801">
        <v>0</v>
      </c>
      <c r="AU1801" s="6">
        <v>42186</v>
      </c>
      <c r="AV1801" s="6">
        <v>42186</v>
      </c>
      <c r="AW1801" t="s">
        <v>54</v>
      </c>
      <c r="AX1801" t="str">
        <f t="shared" si="141"/>
        <v>FOR</v>
      </c>
      <c r="AY1801" t="s">
        <v>55</v>
      </c>
    </row>
    <row r="1802" spans="1:51" hidden="1">
      <c r="A1802">
        <v>100371</v>
      </c>
      <c r="B1802" t="s">
        <v>133</v>
      </c>
      <c r="C1802" t="str">
        <f t="shared" si="142"/>
        <v>11629770154</v>
      </c>
      <c r="D1802" t="str">
        <f t="shared" si="142"/>
        <v>11629770154</v>
      </c>
      <c r="E1802" t="s">
        <v>52</v>
      </c>
      <c r="F1802">
        <v>2014</v>
      </c>
      <c r="G1802">
        <v>78805</v>
      </c>
      <c r="H1802" s="1">
        <v>42004</v>
      </c>
      <c r="I1802" s="1">
        <v>42066</v>
      </c>
      <c r="J1802" s="1">
        <v>42066</v>
      </c>
      <c r="K1802" s="1">
        <v>42126</v>
      </c>
      <c r="N1802" s="5"/>
      <c r="O1802" s="2">
        <v>7013.09</v>
      </c>
      <c r="P1802">
        <v>60</v>
      </c>
      <c r="Q1802" s="2">
        <v>420785.4</v>
      </c>
      <c r="R1802">
        <v>0</v>
      </c>
      <c r="V1802">
        <v>0</v>
      </c>
      <c r="W1802">
        <v>0</v>
      </c>
      <c r="X1802">
        <v>0</v>
      </c>
      <c r="Y1802">
        <v>0</v>
      </c>
      <c r="Z1802" s="2">
        <v>7013.09</v>
      </c>
      <c r="AA1802">
        <v>0</v>
      </c>
      <c r="AB1802" s="1">
        <v>42382</v>
      </c>
      <c r="AC1802" t="s">
        <v>53</v>
      </c>
      <c r="AD1802" t="s">
        <v>53</v>
      </c>
      <c r="AK1802">
        <v>0</v>
      </c>
      <c r="AU1802" s="6">
        <v>42186</v>
      </c>
      <c r="AV1802" s="6">
        <v>42186</v>
      </c>
      <c r="AW1802" t="s">
        <v>54</v>
      </c>
      <c r="AX1802" t="str">
        <f t="shared" si="141"/>
        <v>FOR</v>
      </c>
      <c r="AY1802" t="s">
        <v>55</v>
      </c>
    </row>
    <row r="1803" spans="1:51" hidden="1">
      <c r="A1803">
        <v>100371</v>
      </c>
      <c r="B1803" t="s">
        <v>133</v>
      </c>
      <c r="C1803" t="str">
        <f t="shared" si="142"/>
        <v>11629770154</v>
      </c>
      <c r="D1803" t="str">
        <f t="shared" si="142"/>
        <v>11629770154</v>
      </c>
      <c r="E1803" t="s">
        <v>52</v>
      </c>
      <c r="F1803">
        <v>2014</v>
      </c>
      <c r="G1803">
        <v>78806</v>
      </c>
      <c r="H1803" s="1">
        <v>42004</v>
      </c>
      <c r="I1803" s="1">
        <v>42066</v>
      </c>
      <c r="J1803" s="1">
        <v>42066</v>
      </c>
      <c r="K1803" s="1">
        <v>42126</v>
      </c>
      <c r="N1803" s="5"/>
      <c r="O1803" s="2">
        <v>1917.58</v>
      </c>
      <c r="P1803">
        <v>60</v>
      </c>
      <c r="Q1803" s="2">
        <v>115054.8</v>
      </c>
      <c r="R1803">
        <v>0</v>
      </c>
      <c r="V1803">
        <v>0</v>
      </c>
      <c r="W1803">
        <v>0</v>
      </c>
      <c r="X1803">
        <v>0</v>
      </c>
      <c r="Y1803">
        <v>0</v>
      </c>
      <c r="Z1803" s="2">
        <v>1917.58</v>
      </c>
      <c r="AA1803">
        <v>0</v>
      </c>
      <c r="AB1803" s="1">
        <v>42382</v>
      </c>
      <c r="AC1803" t="s">
        <v>53</v>
      </c>
      <c r="AD1803" t="s">
        <v>53</v>
      </c>
      <c r="AK1803">
        <v>0</v>
      </c>
      <c r="AU1803" s="6">
        <v>42186</v>
      </c>
      <c r="AV1803" s="6">
        <v>42186</v>
      </c>
      <c r="AW1803" t="s">
        <v>54</v>
      </c>
      <c r="AX1803" t="str">
        <f t="shared" si="141"/>
        <v>FOR</v>
      </c>
      <c r="AY1803" t="s">
        <v>55</v>
      </c>
    </row>
    <row r="1804" spans="1:51" hidden="1">
      <c r="A1804">
        <v>100371</v>
      </c>
      <c r="B1804" t="s">
        <v>133</v>
      </c>
      <c r="C1804" t="str">
        <f t="shared" si="142"/>
        <v>11629770154</v>
      </c>
      <c r="D1804" t="str">
        <f t="shared" si="142"/>
        <v>11629770154</v>
      </c>
      <c r="E1804" t="s">
        <v>52</v>
      </c>
      <c r="F1804">
        <v>2014</v>
      </c>
      <c r="G1804">
        <v>78807</v>
      </c>
      <c r="H1804" s="1">
        <v>42004</v>
      </c>
      <c r="I1804" s="1">
        <v>42066</v>
      </c>
      <c r="J1804" s="1">
        <v>42066</v>
      </c>
      <c r="K1804" s="1">
        <v>42126</v>
      </c>
      <c r="N1804" s="5"/>
      <c r="O1804" s="2">
        <v>1404.22</v>
      </c>
      <c r="P1804">
        <v>60</v>
      </c>
      <c r="Q1804" s="2">
        <v>84253.2</v>
      </c>
      <c r="R1804">
        <v>0</v>
      </c>
      <c r="V1804">
        <v>0</v>
      </c>
      <c r="W1804">
        <v>0</v>
      </c>
      <c r="X1804">
        <v>0</v>
      </c>
      <c r="Y1804">
        <v>0</v>
      </c>
      <c r="Z1804" s="2">
        <v>1404.22</v>
      </c>
      <c r="AA1804">
        <v>0</v>
      </c>
      <c r="AB1804" s="1">
        <v>42382</v>
      </c>
      <c r="AC1804" t="s">
        <v>53</v>
      </c>
      <c r="AD1804" t="s">
        <v>53</v>
      </c>
      <c r="AK1804">
        <v>0</v>
      </c>
      <c r="AU1804" s="6">
        <v>42186</v>
      </c>
      <c r="AV1804" s="6">
        <v>42186</v>
      </c>
      <c r="AW1804" t="s">
        <v>54</v>
      </c>
      <c r="AX1804" t="str">
        <f t="shared" si="141"/>
        <v>FOR</v>
      </c>
      <c r="AY1804" t="s">
        <v>55</v>
      </c>
    </row>
    <row r="1805" spans="1:51" hidden="1">
      <c r="A1805">
        <v>100371</v>
      </c>
      <c r="B1805" t="s">
        <v>133</v>
      </c>
      <c r="C1805" t="str">
        <f t="shared" si="142"/>
        <v>11629770154</v>
      </c>
      <c r="D1805" t="str">
        <f t="shared" si="142"/>
        <v>11629770154</v>
      </c>
      <c r="E1805" t="s">
        <v>52</v>
      </c>
      <c r="F1805">
        <v>2014</v>
      </c>
      <c r="G1805">
        <v>79852</v>
      </c>
      <c r="H1805" s="1">
        <v>42004</v>
      </c>
      <c r="I1805" s="1">
        <v>42066</v>
      </c>
      <c r="J1805" s="1">
        <v>42066</v>
      </c>
      <c r="K1805" s="1">
        <v>42126</v>
      </c>
      <c r="N1805" s="5"/>
      <c r="O1805" s="2">
        <v>2120.5</v>
      </c>
      <c r="P1805">
        <v>60</v>
      </c>
      <c r="Q1805" s="2">
        <v>127230</v>
      </c>
      <c r="R1805">
        <v>0</v>
      </c>
      <c r="V1805">
        <v>0</v>
      </c>
      <c r="W1805">
        <v>0</v>
      </c>
      <c r="X1805">
        <v>0</v>
      </c>
      <c r="Y1805">
        <v>0</v>
      </c>
      <c r="Z1805" s="2">
        <v>2120.5</v>
      </c>
      <c r="AA1805">
        <v>0</v>
      </c>
      <c r="AB1805" s="1">
        <v>42382</v>
      </c>
      <c r="AC1805" t="s">
        <v>53</v>
      </c>
      <c r="AD1805" t="s">
        <v>53</v>
      </c>
      <c r="AK1805">
        <v>0</v>
      </c>
      <c r="AU1805" s="6">
        <v>42186</v>
      </c>
      <c r="AV1805" s="6">
        <v>42186</v>
      </c>
      <c r="AW1805" t="s">
        <v>54</v>
      </c>
      <c r="AX1805" t="str">
        <f t="shared" si="141"/>
        <v>FOR</v>
      </c>
      <c r="AY1805" t="s">
        <v>55</v>
      </c>
    </row>
    <row r="1806" spans="1:51" hidden="1">
      <c r="A1806">
        <v>100371</v>
      </c>
      <c r="B1806" t="s">
        <v>133</v>
      </c>
      <c r="C1806" t="str">
        <f t="shared" si="142"/>
        <v>11629770154</v>
      </c>
      <c r="D1806" t="str">
        <f t="shared" si="142"/>
        <v>11629770154</v>
      </c>
      <c r="E1806" t="s">
        <v>52</v>
      </c>
      <c r="F1806">
        <v>2015</v>
      </c>
      <c r="G1806">
        <v>3767</v>
      </c>
      <c r="H1806" s="1">
        <v>42035</v>
      </c>
      <c r="I1806" s="1">
        <v>42087</v>
      </c>
      <c r="J1806" s="1">
        <v>42087</v>
      </c>
      <c r="K1806" s="1">
        <v>42147</v>
      </c>
      <c r="N1806" s="5"/>
      <c r="O1806" s="2">
        <v>3304.64</v>
      </c>
      <c r="P1806">
        <v>65</v>
      </c>
      <c r="Q1806" s="2">
        <v>214801.6</v>
      </c>
      <c r="R1806">
        <v>0</v>
      </c>
      <c r="V1806">
        <v>0</v>
      </c>
      <c r="W1806">
        <v>0</v>
      </c>
      <c r="X1806">
        <v>0</v>
      </c>
      <c r="Y1806" s="2">
        <v>3331.07</v>
      </c>
      <c r="Z1806" s="2">
        <v>3331.07</v>
      </c>
      <c r="AA1806" s="2">
        <v>3331.07</v>
      </c>
      <c r="AB1806" s="1">
        <v>42382</v>
      </c>
      <c r="AC1806" t="s">
        <v>53</v>
      </c>
      <c r="AD1806" t="s">
        <v>53</v>
      </c>
      <c r="AK1806">
        <v>0</v>
      </c>
      <c r="AU1806" s="6">
        <v>42212</v>
      </c>
      <c r="AV1806" s="6">
        <v>42212</v>
      </c>
      <c r="AW1806" t="s">
        <v>54</v>
      </c>
      <c r="AX1806" t="str">
        <f t="shared" si="141"/>
        <v>FOR</v>
      </c>
      <c r="AY1806" t="s">
        <v>55</v>
      </c>
    </row>
    <row r="1807" spans="1:51" hidden="1">
      <c r="A1807">
        <v>100371</v>
      </c>
      <c r="B1807" t="s">
        <v>133</v>
      </c>
      <c r="C1807" t="str">
        <f t="shared" si="142"/>
        <v>11629770154</v>
      </c>
      <c r="D1807" t="str">
        <f t="shared" si="142"/>
        <v>11629770154</v>
      </c>
      <c r="E1807" t="s">
        <v>52</v>
      </c>
      <c r="F1807">
        <v>2015</v>
      </c>
      <c r="G1807">
        <v>5929</v>
      </c>
      <c r="H1807" s="1">
        <v>42035</v>
      </c>
      <c r="I1807" s="1">
        <v>42087</v>
      </c>
      <c r="J1807" s="1">
        <v>42087</v>
      </c>
      <c r="K1807" s="1">
        <v>42147</v>
      </c>
      <c r="N1807" s="5"/>
      <c r="O1807" s="2">
        <v>178538.69</v>
      </c>
      <c r="P1807">
        <v>46</v>
      </c>
      <c r="Q1807" s="2">
        <v>8225014.8499999996</v>
      </c>
      <c r="R1807">
        <v>0</v>
      </c>
      <c r="V1807">
        <v>0</v>
      </c>
      <c r="W1807">
        <v>0</v>
      </c>
      <c r="X1807">
        <v>0</v>
      </c>
      <c r="Y1807" s="2">
        <v>179569.98</v>
      </c>
      <c r="Z1807" s="2">
        <v>179569.98</v>
      </c>
      <c r="AA1807" s="2">
        <v>179569.98</v>
      </c>
      <c r="AB1807" s="1">
        <v>42382</v>
      </c>
      <c r="AC1807" t="s">
        <v>53</v>
      </c>
      <c r="AD1807" t="s">
        <v>53</v>
      </c>
      <c r="AK1807">
        <v>0</v>
      </c>
      <c r="AU1807" s="6">
        <v>42186</v>
      </c>
      <c r="AV1807" s="6">
        <v>42212</v>
      </c>
      <c r="AW1807" t="s">
        <v>54</v>
      </c>
      <c r="AX1807" t="str">
        <f t="shared" si="141"/>
        <v>FOR</v>
      </c>
      <c r="AY1807" t="s">
        <v>55</v>
      </c>
    </row>
    <row r="1808" spans="1:51" hidden="1">
      <c r="A1808">
        <v>100371</v>
      </c>
      <c r="B1808" t="s">
        <v>133</v>
      </c>
      <c r="C1808" t="str">
        <f t="shared" si="142"/>
        <v>11629770154</v>
      </c>
      <c r="D1808" t="str">
        <f t="shared" si="142"/>
        <v>11629770154</v>
      </c>
      <c r="E1808" t="s">
        <v>52</v>
      </c>
      <c r="F1808">
        <v>2015</v>
      </c>
      <c r="G1808">
        <v>5930</v>
      </c>
      <c r="H1808" s="1">
        <v>42035</v>
      </c>
      <c r="I1808" s="1">
        <v>42087</v>
      </c>
      <c r="J1808" s="1">
        <v>42087</v>
      </c>
      <c r="K1808" s="1">
        <v>42147</v>
      </c>
      <c r="N1808" s="5"/>
      <c r="O1808" s="2">
        <v>1413.02</v>
      </c>
      <c r="P1808">
        <v>65</v>
      </c>
      <c r="Q1808" s="2">
        <v>91846.3</v>
      </c>
      <c r="R1808">
        <v>0</v>
      </c>
      <c r="V1808">
        <v>0</v>
      </c>
      <c r="W1808">
        <v>0</v>
      </c>
      <c r="X1808">
        <v>0</v>
      </c>
      <c r="Y1808" s="2">
        <v>1424.37</v>
      </c>
      <c r="Z1808" s="2">
        <v>1424.37</v>
      </c>
      <c r="AA1808" s="2">
        <v>1424.37</v>
      </c>
      <c r="AB1808" s="1">
        <v>42382</v>
      </c>
      <c r="AC1808" t="s">
        <v>53</v>
      </c>
      <c r="AD1808" t="s">
        <v>53</v>
      </c>
      <c r="AK1808">
        <v>0</v>
      </c>
      <c r="AU1808" s="6">
        <v>42212</v>
      </c>
      <c r="AV1808" s="6">
        <v>42212</v>
      </c>
      <c r="AW1808" t="s">
        <v>54</v>
      </c>
      <c r="AX1808" t="str">
        <f t="shared" si="141"/>
        <v>FOR</v>
      </c>
      <c r="AY1808" t="s">
        <v>55</v>
      </c>
    </row>
    <row r="1809" spans="1:51" hidden="1">
      <c r="A1809">
        <v>100371</v>
      </c>
      <c r="B1809" t="s">
        <v>133</v>
      </c>
      <c r="C1809" t="str">
        <f t="shared" si="142"/>
        <v>11629770154</v>
      </c>
      <c r="D1809" t="str">
        <f t="shared" si="142"/>
        <v>11629770154</v>
      </c>
      <c r="E1809" t="s">
        <v>52</v>
      </c>
      <c r="F1809">
        <v>2015</v>
      </c>
      <c r="G1809">
        <v>5931</v>
      </c>
      <c r="H1809" s="1">
        <v>42035</v>
      </c>
      <c r="I1809" s="1">
        <v>42087</v>
      </c>
      <c r="J1809" s="1">
        <v>42087</v>
      </c>
      <c r="K1809" s="1">
        <v>42147</v>
      </c>
      <c r="N1809" s="5"/>
      <c r="O1809" s="2">
        <v>3146</v>
      </c>
      <c r="P1809">
        <v>65</v>
      </c>
      <c r="Q1809" s="2">
        <v>204490</v>
      </c>
      <c r="R1809">
        <v>0</v>
      </c>
      <c r="V1809">
        <v>0</v>
      </c>
      <c r="W1809">
        <v>0</v>
      </c>
      <c r="X1809">
        <v>0</v>
      </c>
      <c r="Y1809" s="2">
        <v>3171.41</v>
      </c>
      <c r="Z1809" s="2">
        <v>3171.41</v>
      </c>
      <c r="AA1809" s="2">
        <v>3171.41</v>
      </c>
      <c r="AB1809" s="1">
        <v>42382</v>
      </c>
      <c r="AC1809" t="s">
        <v>53</v>
      </c>
      <c r="AD1809" t="s">
        <v>53</v>
      </c>
      <c r="AK1809">
        <v>0</v>
      </c>
      <c r="AU1809" s="6">
        <v>42212</v>
      </c>
      <c r="AV1809" s="6">
        <v>42212</v>
      </c>
      <c r="AW1809" t="s">
        <v>54</v>
      </c>
      <c r="AX1809" t="str">
        <f t="shared" si="141"/>
        <v>FOR</v>
      </c>
      <c r="AY1809" t="s">
        <v>55</v>
      </c>
    </row>
    <row r="1810" spans="1:51" hidden="1">
      <c r="A1810">
        <v>100371</v>
      </c>
      <c r="B1810" t="s">
        <v>133</v>
      </c>
      <c r="C1810" t="str">
        <f t="shared" si="142"/>
        <v>11629770154</v>
      </c>
      <c r="D1810" t="str">
        <f t="shared" si="142"/>
        <v>11629770154</v>
      </c>
      <c r="E1810" t="s">
        <v>52</v>
      </c>
      <c r="F1810">
        <v>2015</v>
      </c>
      <c r="G1810">
        <v>5932</v>
      </c>
      <c r="H1810" s="1">
        <v>42035</v>
      </c>
      <c r="I1810" s="1">
        <v>42087</v>
      </c>
      <c r="J1810" s="1">
        <v>42087</v>
      </c>
      <c r="K1810" s="1">
        <v>42147</v>
      </c>
      <c r="N1810" s="5"/>
      <c r="O1810" s="2">
        <v>10207.1</v>
      </c>
      <c r="P1810">
        <v>65</v>
      </c>
      <c r="Q1810" s="2">
        <v>663461.5</v>
      </c>
      <c r="R1810">
        <v>0</v>
      </c>
      <c r="V1810">
        <v>0</v>
      </c>
      <c r="W1810">
        <v>0</v>
      </c>
      <c r="X1810">
        <v>0</v>
      </c>
      <c r="Y1810" s="2">
        <v>10280.98</v>
      </c>
      <c r="Z1810" s="2">
        <v>10280.98</v>
      </c>
      <c r="AA1810" s="2">
        <v>10280.98</v>
      </c>
      <c r="AB1810" s="1">
        <v>42382</v>
      </c>
      <c r="AC1810" t="s">
        <v>53</v>
      </c>
      <c r="AD1810" t="s">
        <v>53</v>
      </c>
      <c r="AK1810">
        <v>0</v>
      </c>
      <c r="AU1810" s="6">
        <v>42212</v>
      </c>
      <c r="AV1810" s="6">
        <v>42212</v>
      </c>
      <c r="AW1810" t="s">
        <v>54</v>
      </c>
      <c r="AX1810" t="str">
        <f t="shared" si="141"/>
        <v>FOR</v>
      </c>
      <c r="AY1810" t="s">
        <v>55</v>
      </c>
    </row>
    <row r="1811" spans="1:51" hidden="1">
      <c r="A1811">
        <v>100371</v>
      </c>
      <c r="B1811" t="s">
        <v>133</v>
      </c>
      <c r="C1811" t="str">
        <f t="shared" si="142"/>
        <v>11629770154</v>
      </c>
      <c r="D1811" t="str">
        <f t="shared" si="142"/>
        <v>11629770154</v>
      </c>
      <c r="E1811" t="s">
        <v>52</v>
      </c>
      <c r="F1811">
        <v>2015</v>
      </c>
      <c r="G1811">
        <v>5933</v>
      </c>
      <c r="H1811" s="1">
        <v>42035</v>
      </c>
      <c r="I1811" s="1">
        <v>42087</v>
      </c>
      <c r="J1811" s="1">
        <v>42087</v>
      </c>
      <c r="K1811" s="1">
        <v>42147</v>
      </c>
      <c r="N1811" s="5"/>
      <c r="O1811" s="2">
        <v>2734.4</v>
      </c>
      <c r="P1811">
        <v>65</v>
      </c>
      <c r="Q1811" s="2">
        <v>177736</v>
      </c>
      <c r="R1811">
        <v>0</v>
      </c>
      <c r="V1811">
        <v>0</v>
      </c>
      <c r="W1811">
        <v>0</v>
      </c>
      <c r="X1811">
        <v>0</v>
      </c>
      <c r="Y1811" s="2">
        <v>2755.65</v>
      </c>
      <c r="Z1811" s="2">
        <v>2755.65</v>
      </c>
      <c r="AA1811" s="2">
        <v>2755.65</v>
      </c>
      <c r="AB1811" s="1">
        <v>42382</v>
      </c>
      <c r="AC1811" t="s">
        <v>53</v>
      </c>
      <c r="AD1811" t="s">
        <v>53</v>
      </c>
      <c r="AK1811">
        <v>0</v>
      </c>
      <c r="AU1811" s="6">
        <v>42212</v>
      </c>
      <c r="AV1811" s="6">
        <v>42212</v>
      </c>
      <c r="AW1811" t="s">
        <v>54</v>
      </c>
      <c r="AX1811" t="str">
        <f t="shared" si="141"/>
        <v>FOR</v>
      </c>
      <c r="AY1811" t="s">
        <v>55</v>
      </c>
    </row>
    <row r="1812" spans="1:51" hidden="1">
      <c r="A1812">
        <v>100371</v>
      </c>
      <c r="B1812" t="s">
        <v>133</v>
      </c>
      <c r="C1812" t="str">
        <f t="shared" si="142"/>
        <v>11629770154</v>
      </c>
      <c r="D1812" t="str">
        <f t="shared" si="142"/>
        <v>11629770154</v>
      </c>
      <c r="E1812" t="s">
        <v>52</v>
      </c>
      <c r="F1812">
        <v>2015</v>
      </c>
      <c r="G1812">
        <v>5934</v>
      </c>
      <c r="H1812" s="1">
        <v>42035</v>
      </c>
      <c r="I1812" s="1">
        <v>42087</v>
      </c>
      <c r="J1812" s="1">
        <v>42087</v>
      </c>
      <c r="K1812" s="1">
        <v>42147</v>
      </c>
      <c r="N1812" s="5"/>
      <c r="O1812" s="2">
        <v>2012.84</v>
      </c>
      <c r="P1812">
        <v>65</v>
      </c>
      <c r="Q1812" s="2">
        <v>130834.6</v>
      </c>
      <c r="R1812">
        <v>0</v>
      </c>
      <c r="V1812">
        <v>0</v>
      </c>
      <c r="W1812">
        <v>0</v>
      </c>
      <c r="X1812">
        <v>0</v>
      </c>
      <c r="Y1812" s="2">
        <v>2027.43</v>
      </c>
      <c r="Z1812" s="2">
        <v>2027.43</v>
      </c>
      <c r="AA1812" s="2">
        <v>2027.43</v>
      </c>
      <c r="AB1812" s="1">
        <v>42382</v>
      </c>
      <c r="AC1812" t="s">
        <v>53</v>
      </c>
      <c r="AD1812" t="s">
        <v>53</v>
      </c>
      <c r="AK1812">
        <v>0</v>
      </c>
      <c r="AU1812" s="6">
        <v>42212</v>
      </c>
      <c r="AV1812" s="6">
        <v>42212</v>
      </c>
      <c r="AW1812" t="s">
        <v>54</v>
      </c>
      <c r="AX1812" t="str">
        <f t="shared" si="141"/>
        <v>FOR</v>
      </c>
      <c r="AY1812" t="s">
        <v>55</v>
      </c>
    </row>
    <row r="1813" spans="1:51" hidden="1">
      <c r="A1813">
        <v>100371</v>
      </c>
      <c r="B1813" t="s">
        <v>133</v>
      </c>
      <c r="C1813" t="str">
        <f t="shared" si="142"/>
        <v>11629770154</v>
      </c>
      <c r="D1813" t="str">
        <f t="shared" si="142"/>
        <v>11629770154</v>
      </c>
      <c r="E1813" t="s">
        <v>52</v>
      </c>
      <c r="F1813">
        <v>2015</v>
      </c>
      <c r="G1813">
        <v>11009</v>
      </c>
      <c r="H1813" s="1">
        <v>42063</v>
      </c>
      <c r="I1813" s="1">
        <v>42095</v>
      </c>
      <c r="J1813" s="1">
        <v>42095</v>
      </c>
      <c r="K1813" s="1">
        <v>42155</v>
      </c>
      <c r="N1813" s="5"/>
      <c r="O1813" s="2">
        <v>2854.28</v>
      </c>
      <c r="P1813">
        <v>96</v>
      </c>
      <c r="Q1813" s="2">
        <v>274010.88</v>
      </c>
      <c r="R1813">
        <v>0</v>
      </c>
      <c r="V1813">
        <v>0</v>
      </c>
      <c r="W1813">
        <v>0</v>
      </c>
      <c r="X1813">
        <v>0</v>
      </c>
      <c r="Y1813" s="2">
        <v>2877.1</v>
      </c>
      <c r="Z1813" s="2">
        <v>2877.1</v>
      </c>
      <c r="AA1813" s="2">
        <v>2877.1</v>
      </c>
      <c r="AB1813" s="1">
        <v>42382</v>
      </c>
      <c r="AC1813" t="s">
        <v>53</v>
      </c>
      <c r="AD1813" t="s">
        <v>53</v>
      </c>
      <c r="AK1813">
        <v>0</v>
      </c>
      <c r="AU1813" s="6">
        <v>42251</v>
      </c>
      <c r="AV1813" s="6">
        <v>42251</v>
      </c>
      <c r="AW1813" t="s">
        <v>54</v>
      </c>
      <c r="AX1813" t="str">
        <f t="shared" si="141"/>
        <v>FOR</v>
      </c>
      <c r="AY1813" t="s">
        <v>55</v>
      </c>
    </row>
    <row r="1814" spans="1:51" hidden="1">
      <c r="A1814">
        <v>100371</v>
      </c>
      <c r="B1814" t="s">
        <v>133</v>
      </c>
      <c r="C1814" t="str">
        <f t="shared" si="142"/>
        <v>11629770154</v>
      </c>
      <c r="D1814" t="str">
        <f t="shared" si="142"/>
        <v>11629770154</v>
      </c>
      <c r="E1814" t="s">
        <v>52</v>
      </c>
      <c r="F1814">
        <v>2015</v>
      </c>
      <c r="G1814">
        <v>12905</v>
      </c>
      <c r="H1814" s="1">
        <v>42063</v>
      </c>
      <c r="I1814" s="1">
        <v>42095</v>
      </c>
      <c r="J1814" s="1">
        <v>42095</v>
      </c>
      <c r="K1814" s="1">
        <v>42155</v>
      </c>
      <c r="N1814" s="5"/>
      <c r="O1814" s="2">
        <v>170192.01</v>
      </c>
      <c r="P1814">
        <v>96</v>
      </c>
      <c r="Q1814" s="2">
        <v>16338432.960000001</v>
      </c>
      <c r="R1814">
        <v>0</v>
      </c>
      <c r="V1814">
        <v>0</v>
      </c>
      <c r="W1814">
        <v>0</v>
      </c>
      <c r="X1814">
        <v>0</v>
      </c>
      <c r="Y1814" s="2">
        <v>171174.86</v>
      </c>
      <c r="Z1814" s="2">
        <v>171174.86</v>
      </c>
      <c r="AA1814" s="2">
        <v>171174.86</v>
      </c>
      <c r="AB1814" s="1">
        <v>42382</v>
      </c>
      <c r="AC1814" t="s">
        <v>53</v>
      </c>
      <c r="AD1814" t="s">
        <v>53</v>
      </c>
      <c r="AK1814">
        <v>0</v>
      </c>
      <c r="AU1814" s="6">
        <v>42251</v>
      </c>
      <c r="AV1814" s="6">
        <v>42251</v>
      </c>
      <c r="AW1814" t="s">
        <v>54</v>
      </c>
      <c r="AX1814" t="str">
        <f t="shared" si="141"/>
        <v>FOR</v>
      </c>
      <c r="AY1814" t="s">
        <v>55</v>
      </c>
    </row>
    <row r="1815" spans="1:51" hidden="1">
      <c r="A1815">
        <v>100371</v>
      </c>
      <c r="B1815" t="s">
        <v>133</v>
      </c>
      <c r="C1815" t="str">
        <f t="shared" si="142"/>
        <v>11629770154</v>
      </c>
      <c r="D1815" t="str">
        <f t="shared" si="142"/>
        <v>11629770154</v>
      </c>
      <c r="E1815" t="s">
        <v>52</v>
      </c>
      <c r="F1815">
        <v>2015</v>
      </c>
      <c r="G1815">
        <v>12906</v>
      </c>
      <c r="H1815" s="1">
        <v>42063</v>
      </c>
      <c r="I1815" s="1">
        <v>42095</v>
      </c>
      <c r="J1815" s="1">
        <v>42095</v>
      </c>
      <c r="K1815" s="1">
        <v>42155</v>
      </c>
      <c r="N1815" s="5"/>
      <c r="O1815" s="2">
        <v>1518.32</v>
      </c>
      <c r="P1815">
        <v>96</v>
      </c>
      <c r="Q1815" s="2">
        <v>145758.72</v>
      </c>
      <c r="R1815">
        <v>0</v>
      </c>
      <c r="V1815">
        <v>0</v>
      </c>
      <c r="W1815">
        <v>0</v>
      </c>
      <c r="X1815">
        <v>0</v>
      </c>
      <c r="Y1815" s="2">
        <v>1530.52</v>
      </c>
      <c r="Z1815" s="2">
        <v>1530.52</v>
      </c>
      <c r="AA1815" s="2">
        <v>1530.52</v>
      </c>
      <c r="AB1815" s="1">
        <v>42382</v>
      </c>
      <c r="AC1815" t="s">
        <v>53</v>
      </c>
      <c r="AD1815" t="s">
        <v>53</v>
      </c>
      <c r="AK1815">
        <v>0</v>
      </c>
      <c r="AU1815" s="6">
        <v>42251</v>
      </c>
      <c r="AV1815" s="6">
        <v>42251</v>
      </c>
      <c r="AW1815" t="s">
        <v>54</v>
      </c>
      <c r="AX1815" t="str">
        <f t="shared" si="141"/>
        <v>FOR</v>
      </c>
      <c r="AY1815" t="s">
        <v>55</v>
      </c>
    </row>
    <row r="1816" spans="1:51" hidden="1">
      <c r="A1816">
        <v>100371</v>
      </c>
      <c r="B1816" t="s">
        <v>133</v>
      </c>
      <c r="C1816" t="str">
        <f t="shared" si="142"/>
        <v>11629770154</v>
      </c>
      <c r="D1816" t="str">
        <f t="shared" si="142"/>
        <v>11629770154</v>
      </c>
      <c r="E1816" t="s">
        <v>52</v>
      </c>
      <c r="F1816">
        <v>2015</v>
      </c>
      <c r="G1816">
        <v>12907</v>
      </c>
      <c r="H1816" s="1">
        <v>42063</v>
      </c>
      <c r="I1816" s="1">
        <v>42095</v>
      </c>
      <c r="J1816" s="1">
        <v>42095</v>
      </c>
      <c r="K1816" s="1">
        <v>42155</v>
      </c>
      <c r="N1816" s="5"/>
      <c r="O1816" s="2">
        <v>3140.72</v>
      </c>
      <c r="P1816">
        <v>96</v>
      </c>
      <c r="Q1816" s="2">
        <v>301509.12</v>
      </c>
      <c r="R1816">
        <v>0</v>
      </c>
      <c r="V1816">
        <v>0</v>
      </c>
      <c r="W1816">
        <v>0</v>
      </c>
      <c r="X1816">
        <v>0</v>
      </c>
      <c r="Y1816" s="2">
        <v>3166.09</v>
      </c>
      <c r="Z1816" s="2">
        <v>3166.09</v>
      </c>
      <c r="AA1816" s="2">
        <v>3166.09</v>
      </c>
      <c r="AB1816" s="1">
        <v>42382</v>
      </c>
      <c r="AC1816" t="s">
        <v>53</v>
      </c>
      <c r="AD1816" t="s">
        <v>53</v>
      </c>
      <c r="AK1816">
        <v>0</v>
      </c>
      <c r="AU1816" s="6">
        <v>42251</v>
      </c>
      <c r="AV1816" s="6">
        <v>42251</v>
      </c>
      <c r="AW1816" t="s">
        <v>54</v>
      </c>
      <c r="AX1816" t="str">
        <f t="shared" si="141"/>
        <v>FOR</v>
      </c>
      <c r="AY1816" t="s">
        <v>55</v>
      </c>
    </row>
    <row r="1817" spans="1:51" hidden="1">
      <c r="A1817">
        <v>100371</v>
      </c>
      <c r="B1817" t="s">
        <v>133</v>
      </c>
      <c r="C1817" t="str">
        <f t="shared" si="142"/>
        <v>11629770154</v>
      </c>
      <c r="D1817" t="str">
        <f t="shared" si="142"/>
        <v>11629770154</v>
      </c>
      <c r="E1817" t="s">
        <v>52</v>
      </c>
      <c r="F1817">
        <v>2015</v>
      </c>
      <c r="G1817">
        <v>12908</v>
      </c>
      <c r="H1817" s="1">
        <v>42063</v>
      </c>
      <c r="I1817" s="1">
        <v>42095</v>
      </c>
      <c r="J1817" s="1">
        <v>42095</v>
      </c>
      <c r="K1817" s="1">
        <v>42155</v>
      </c>
      <c r="N1817" s="5"/>
      <c r="O1817" s="2">
        <v>9921.2000000000007</v>
      </c>
      <c r="P1817">
        <v>96</v>
      </c>
      <c r="Q1817" s="2">
        <v>952435.19999999995</v>
      </c>
      <c r="R1817">
        <v>0</v>
      </c>
      <c r="V1817">
        <v>0</v>
      </c>
      <c r="W1817">
        <v>0</v>
      </c>
      <c r="X1817">
        <v>0</v>
      </c>
      <c r="Y1817" s="2">
        <v>9993.01</v>
      </c>
      <c r="Z1817" s="2">
        <v>9993.01</v>
      </c>
      <c r="AA1817" s="2">
        <v>9993.01</v>
      </c>
      <c r="AB1817" s="1">
        <v>42382</v>
      </c>
      <c r="AC1817" t="s">
        <v>53</v>
      </c>
      <c r="AD1817" t="s">
        <v>53</v>
      </c>
      <c r="AK1817">
        <v>0</v>
      </c>
      <c r="AU1817" s="6">
        <v>42251</v>
      </c>
      <c r="AV1817" s="6">
        <v>42251</v>
      </c>
      <c r="AW1817" t="s">
        <v>54</v>
      </c>
      <c r="AX1817" t="str">
        <f t="shared" si="141"/>
        <v>FOR</v>
      </c>
      <c r="AY1817" t="s">
        <v>55</v>
      </c>
    </row>
    <row r="1818" spans="1:51" hidden="1">
      <c r="A1818">
        <v>100371</v>
      </c>
      <c r="B1818" t="s">
        <v>133</v>
      </c>
      <c r="C1818" t="str">
        <f t="shared" si="142"/>
        <v>11629770154</v>
      </c>
      <c r="D1818" t="str">
        <f t="shared" si="142"/>
        <v>11629770154</v>
      </c>
      <c r="E1818" t="s">
        <v>52</v>
      </c>
      <c r="F1818">
        <v>2015</v>
      </c>
      <c r="G1818">
        <v>12938</v>
      </c>
      <c r="H1818" s="1">
        <v>42063</v>
      </c>
      <c r="I1818" s="1">
        <v>42095</v>
      </c>
      <c r="J1818" s="1">
        <v>42095</v>
      </c>
      <c r="K1818" s="1">
        <v>42155</v>
      </c>
      <c r="N1818" s="5"/>
      <c r="O1818" s="2">
        <v>2925.69</v>
      </c>
      <c r="P1818">
        <v>96</v>
      </c>
      <c r="Q1818" s="2">
        <v>280866.24</v>
      </c>
      <c r="R1818">
        <v>0</v>
      </c>
      <c r="V1818">
        <v>0</v>
      </c>
      <c r="W1818">
        <v>0</v>
      </c>
      <c r="X1818">
        <v>0</v>
      </c>
      <c r="Y1818" s="2">
        <v>2947.87</v>
      </c>
      <c r="Z1818" s="2">
        <v>2947.87</v>
      </c>
      <c r="AA1818" s="2">
        <v>2947.87</v>
      </c>
      <c r="AB1818" s="1">
        <v>42382</v>
      </c>
      <c r="AC1818" t="s">
        <v>53</v>
      </c>
      <c r="AD1818" t="s">
        <v>53</v>
      </c>
      <c r="AK1818">
        <v>0</v>
      </c>
      <c r="AU1818" s="6">
        <v>42251</v>
      </c>
      <c r="AV1818" s="6">
        <v>42251</v>
      </c>
      <c r="AW1818" t="s">
        <v>54</v>
      </c>
      <c r="AX1818" t="str">
        <f t="shared" si="141"/>
        <v>FOR</v>
      </c>
      <c r="AY1818" t="s">
        <v>55</v>
      </c>
    </row>
    <row r="1819" spans="1:51" hidden="1">
      <c r="A1819">
        <v>100371</v>
      </c>
      <c r="B1819" t="s">
        <v>133</v>
      </c>
      <c r="C1819" t="str">
        <f t="shared" ref="C1819:D1838" si="143">"11629770154"</f>
        <v>11629770154</v>
      </c>
      <c r="D1819" t="str">
        <f t="shared" si="143"/>
        <v>11629770154</v>
      </c>
      <c r="E1819" t="s">
        <v>52</v>
      </c>
      <c r="F1819">
        <v>2015</v>
      </c>
      <c r="G1819">
        <v>12939</v>
      </c>
      <c r="H1819" s="1">
        <v>42063</v>
      </c>
      <c r="I1819" s="1">
        <v>42095</v>
      </c>
      <c r="J1819" s="1">
        <v>42095</v>
      </c>
      <c r="K1819" s="1">
        <v>42155</v>
      </c>
      <c r="N1819" s="5"/>
      <c r="O1819" s="2">
        <v>1858.16</v>
      </c>
      <c r="P1819">
        <v>96</v>
      </c>
      <c r="Q1819" s="2">
        <v>178383.35999999999</v>
      </c>
      <c r="R1819">
        <v>0</v>
      </c>
      <c r="V1819">
        <v>0</v>
      </c>
      <c r="W1819">
        <v>0</v>
      </c>
      <c r="X1819">
        <v>0</v>
      </c>
      <c r="Y1819" s="2">
        <v>1871.62</v>
      </c>
      <c r="Z1819" s="2">
        <v>1871.62</v>
      </c>
      <c r="AA1819" s="2">
        <v>1871.62</v>
      </c>
      <c r="AB1819" s="1">
        <v>42382</v>
      </c>
      <c r="AC1819" t="s">
        <v>53</v>
      </c>
      <c r="AD1819" t="s">
        <v>53</v>
      </c>
      <c r="AK1819">
        <v>0</v>
      </c>
      <c r="AU1819" s="6">
        <v>42251</v>
      </c>
      <c r="AV1819" s="6">
        <v>42251</v>
      </c>
      <c r="AW1819" t="s">
        <v>54</v>
      </c>
      <c r="AX1819" t="str">
        <f t="shared" si="141"/>
        <v>FOR</v>
      </c>
      <c r="AY1819" t="s">
        <v>55</v>
      </c>
    </row>
    <row r="1820" spans="1:51" hidden="1">
      <c r="A1820">
        <v>100371</v>
      </c>
      <c r="B1820" t="s">
        <v>133</v>
      </c>
      <c r="C1820" t="str">
        <f t="shared" si="143"/>
        <v>11629770154</v>
      </c>
      <c r="D1820" t="str">
        <f t="shared" si="143"/>
        <v>11629770154</v>
      </c>
      <c r="E1820" t="s">
        <v>52</v>
      </c>
      <c r="F1820">
        <v>2015</v>
      </c>
      <c r="G1820">
        <v>17571</v>
      </c>
      <c r="H1820" s="1">
        <v>42094</v>
      </c>
      <c r="I1820" s="1">
        <v>42116</v>
      </c>
      <c r="J1820" s="1">
        <v>42110</v>
      </c>
      <c r="K1820" s="1">
        <v>42170</v>
      </c>
      <c r="N1820" s="5"/>
      <c r="O1820" s="2">
        <v>3905.12</v>
      </c>
      <c r="P1820">
        <v>81</v>
      </c>
      <c r="Q1820" s="2">
        <v>316314.71999999997</v>
      </c>
      <c r="R1820">
        <v>0</v>
      </c>
      <c r="V1820">
        <v>0</v>
      </c>
      <c r="W1820">
        <v>0</v>
      </c>
      <c r="X1820">
        <v>0</v>
      </c>
      <c r="Y1820" s="2">
        <v>3936.35</v>
      </c>
      <c r="Z1820" s="2">
        <v>3936.35</v>
      </c>
      <c r="AA1820" s="2">
        <v>3936.35</v>
      </c>
      <c r="AB1820" s="1">
        <v>42382</v>
      </c>
      <c r="AC1820" t="s">
        <v>53</v>
      </c>
      <c r="AD1820" t="s">
        <v>53</v>
      </c>
      <c r="AK1820">
        <v>0</v>
      </c>
      <c r="AU1820" s="6">
        <v>42251</v>
      </c>
      <c r="AV1820" s="6">
        <v>42251</v>
      </c>
      <c r="AW1820" t="s">
        <v>54</v>
      </c>
      <c r="AX1820" t="str">
        <f t="shared" si="141"/>
        <v>FOR</v>
      </c>
      <c r="AY1820" t="s">
        <v>55</v>
      </c>
    </row>
    <row r="1821" spans="1:51" hidden="1">
      <c r="A1821">
        <v>100371</v>
      </c>
      <c r="B1821" t="s">
        <v>133</v>
      </c>
      <c r="C1821" t="str">
        <f t="shared" si="143"/>
        <v>11629770154</v>
      </c>
      <c r="D1821" t="str">
        <f t="shared" si="143"/>
        <v>11629770154</v>
      </c>
      <c r="E1821" t="s">
        <v>52</v>
      </c>
      <c r="F1821">
        <v>2015</v>
      </c>
      <c r="G1821">
        <v>17614</v>
      </c>
      <c r="H1821" s="1">
        <v>42094</v>
      </c>
      <c r="I1821" s="1">
        <v>42116</v>
      </c>
      <c r="J1821" s="1">
        <v>42110</v>
      </c>
      <c r="K1821" s="1">
        <v>42170</v>
      </c>
      <c r="N1821" s="5"/>
      <c r="O1821" s="2">
        <v>182631.91</v>
      </c>
      <c r="P1821">
        <v>53</v>
      </c>
      <c r="Q1821" s="2">
        <v>9723184.7100000009</v>
      </c>
      <c r="R1821">
        <v>0</v>
      </c>
      <c r="V1821">
        <v>0</v>
      </c>
      <c r="W1821">
        <v>0</v>
      </c>
      <c r="X1821">
        <v>0</v>
      </c>
      <c r="Y1821" s="2">
        <v>183679.98</v>
      </c>
      <c r="Z1821" s="2">
        <v>183679.98</v>
      </c>
      <c r="AA1821" s="2">
        <v>183679.98</v>
      </c>
      <c r="AB1821" s="1">
        <v>42382</v>
      </c>
      <c r="AC1821" t="s">
        <v>53</v>
      </c>
      <c r="AD1821" t="s">
        <v>53</v>
      </c>
      <c r="AK1821">
        <v>0</v>
      </c>
      <c r="AU1821" s="6">
        <v>42212</v>
      </c>
      <c r="AV1821" s="6">
        <v>42251</v>
      </c>
      <c r="AW1821" t="s">
        <v>54</v>
      </c>
      <c r="AX1821" t="str">
        <f t="shared" si="141"/>
        <v>FOR</v>
      </c>
      <c r="AY1821" t="s">
        <v>55</v>
      </c>
    </row>
    <row r="1822" spans="1:51" hidden="1">
      <c r="A1822">
        <v>100371</v>
      </c>
      <c r="B1822" t="s">
        <v>133</v>
      </c>
      <c r="C1822" t="str">
        <f t="shared" si="143"/>
        <v>11629770154</v>
      </c>
      <c r="D1822" t="str">
        <f t="shared" si="143"/>
        <v>11629770154</v>
      </c>
      <c r="E1822" t="s">
        <v>52</v>
      </c>
      <c r="F1822">
        <v>2015</v>
      </c>
      <c r="G1822">
        <v>17615</v>
      </c>
      <c r="H1822" s="1">
        <v>42094</v>
      </c>
      <c r="I1822" s="1">
        <v>42116</v>
      </c>
      <c r="J1822" s="1">
        <v>42110</v>
      </c>
      <c r="K1822" s="1">
        <v>42170</v>
      </c>
      <c r="N1822" s="5"/>
      <c r="O1822" s="2">
        <v>1728.92</v>
      </c>
      <c r="P1822">
        <v>81</v>
      </c>
      <c r="Q1822" s="2">
        <v>140042.51999999999</v>
      </c>
      <c r="R1822">
        <v>0</v>
      </c>
      <c r="V1822">
        <v>0</v>
      </c>
      <c r="W1822">
        <v>0</v>
      </c>
      <c r="X1822">
        <v>0</v>
      </c>
      <c r="Y1822" s="2">
        <v>1742.81</v>
      </c>
      <c r="Z1822" s="2">
        <v>1742.81</v>
      </c>
      <c r="AA1822" s="2">
        <v>1742.81</v>
      </c>
      <c r="AB1822" s="1">
        <v>42382</v>
      </c>
      <c r="AC1822" t="s">
        <v>53</v>
      </c>
      <c r="AD1822" t="s">
        <v>53</v>
      </c>
      <c r="AK1822">
        <v>0</v>
      </c>
      <c r="AU1822" s="6">
        <v>42251</v>
      </c>
      <c r="AV1822" s="6">
        <v>42251</v>
      </c>
      <c r="AW1822" t="s">
        <v>54</v>
      </c>
      <c r="AX1822" t="str">
        <f t="shared" si="141"/>
        <v>FOR</v>
      </c>
      <c r="AY1822" t="s">
        <v>55</v>
      </c>
    </row>
    <row r="1823" spans="1:51" hidden="1">
      <c r="A1823">
        <v>100371</v>
      </c>
      <c r="B1823" t="s">
        <v>133</v>
      </c>
      <c r="C1823" t="str">
        <f t="shared" si="143"/>
        <v>11629770154</v>
      </c>
      <c r="D1823" t="str">
        <f t="shared" si="143"/>
        <v>11629770154</v>
      </c>
      <c r="E1823" t="s">
        <v>52</v>
      </c>
      <c r="F1823">
        <v>2015</v>
      </c>
      <c r="G1823">
        <v>17616</v>
      </c>
      <c r="H1823" s="1">
        <v>42094</v>
      </c>
      <c r="I1823" s="1">
        <v>42116</v>
      </c>
      <c r="J1823" s="1">
        <v>42110</v>
      </c>
      <c r="K1823" s="1">
        <v>42170</v>
      </c>
      <c r="N1823" s="5"/>
      <c r="O1823" s="2">
        <v>3764.24</v>
      </c>
      <c r="P1823">
        <v>81</v>
      </c>
      <c r="Q1823" s="2">
        <v>304903.44</v>
      </c>
      <c r="R1823">
        <v>0</v>
      </c>
      <c r="V1823">
        <v>0</v>
      </c>
      <c r="W1823">
        <v>0</v>
      </c>
      <c r="X1823">
        <v>0</v>
      </c>
      <c r="Y1823" s="2">
        <v>3794.65</v>
      </c>
      <c r="Z1823" s="2">
        <v>3794.65</v>
      </c>
      <c r="AA1823" s="2">
        <v>3794.65</v>
      </c>
      <c r="AB1823" s="1">
        <v>42382</v>
      </c>
      <c r="AC1823" t="s">
        <v>53</v>
      </c>
      <c r="AD1823" t="s">
        <v>53</v>
      </c>
      <c r="AK1823">
        <v>0</v>
      </c>
      <c r="AU1823" s="6">
        <v>42251</v>
      </c>
      <c r="AV1823" s="6">
        <v>42251</v>
      </c>
      <c r="AW1823" t="s">
        <v>54</v>
      </c>
      <c r="AX1823" t="str">
        <f t="shared" si="141"/>
        <v>FOR</v>
      </c>
      <c r="AY1823" t="s">
        <v>55</v>
      </c>
    </row>
    <row r="1824" spans="1:51" hidden="1">
      <c r="A1824">
        <v>100371</v>
      </c>
      <c r="B1824" t="s">
        <v>133</v>
      </c>
      <c r="C1824" t="str">
        <f t="shared" si="143"/>
        <v>11629770154</v>
      </c>
      <c r="D1824" t="str">
        <f t="shared" si="143"/>
        <v>11629770154</v>
      </c>
      <c r="E1824" t="s">
        <v>52</v>
      </c>
      <c r="F1824">
        <v>2015</v>
      </c>
      <c r="G1824">
        <v>17617</v>
      </c>
      <c r="H1824" s="1">
        <v>42094</v>
      </c>
      <c r="I1824" s="1">
        <v>42116</v>
      </c>
      <c r="J1824" s="1">
        <v>42110</v>
      </c>
      <c r="K1824" s="1">
        <v>42170</v>
      </c>
      <c r="N1824" s="5"/>
      <c r="O1824" s="2">
        <v>10191.33</v>
      </c>
      <c r="P1824">
        <v>81</v>
      </c>
      <c r="Q1824" s="2">
        <v>825497.73</v>
      </c>
      <c r="R1824">
        <v>0</v>
      </c>
      <c r="V1824">
        <v>0</v>
      </c>
      <c r="W1824">
        <v>0</v>
      </c>
      <c r="X1824">
        <v>0</v>
      </c>
      <c r="Y1824" s="2">
        <v>10265.24</v>
      </c>
      <c r="Z1824" s="2">
        <v>10265.24</v>
      </c>
      <c r="AA1824" s="2">
        <v>10265.24</v>
      </c>
      <c r="AB1824" s="1">
        <v>42382</v>
      </c>
      <c r="AC1824" t="s">
        <v>53</v>
      </c>
      <c r="AD1824" t="s">
        <v>53</v>
      </c>
      <c r="AK1824">
        <v>0</v>
      </c>
      <c r="AU1824" s="6">
        <v>42251</v>
      </c>
      <c r="AV1824" s="6">
        <v>42251</v>
      </c>
      <c r="AW1824" t="s">
        <v>54</v>
      </c>
      <c r="AX1824" t="str">
        <f t="shared" si="141"/>
        <v>FOR</v>
      </c>
      <c r="AY1824" t="s">
        <v>55</v>
      </c>
    </row>
    <row r="1825" spans="1:51" hidden="1">
      <c r="A1825">
        <v>100371</v>
      </c>
      <c r="B1825" t="s">
        <v>133</v>
      </c>
      <c r="C1825" t="str">
        <f t="shared" si="143"/>
        <v>11629770154</v>
      </c>
      <c r="D1825" t="str">
        <f t="shared" si="143"/>
        <v>11629770154</v>
      </c>
      <c r="E1825" t="s">
        <v>52</v>
      </c>
      <c r="F1825">
        <v>2015</v>
      </c>
      <c r="G1825">
        <v>17618</v>
      </c>
      <c r="H1825" s="1">
        <v>42094</v>
      </c>
      <c r="I1825" s="1">
        <v>42116</v>
      </c>
      <c r="J1825" s="1">
        <v>42110</v>
      </c>
      <c r="K1825" s="1">
        <v>42170</v>
      </c>
      <c r="N1825" s="5"/>
      <c r="O1825" s="2">
        <v>2133.69</v>
      </c>
      <c r="P1825">
        <v>81</v>
      </c>
      <c r="Q1825" s="2">
        <v>172828.89</v>
      </c>
      <c r="R1825">
        <v>0</v>
      </c>
      <c r="V1825">
        <v>0</v>
      </c>
      <c r="W1825">
        <v>0</v>
      </c>
      <c r="X1825">
        <v>0</v>
      </c>
      <c r="Y1825" s="2">
        <v>2149.71</v>
      </c>
      <c r="Z1825" s="2">
        <v>2149.71</v>
      </c>
      <c r="AA1825" s="2">
        <v>2149.71</v>
      </c>
      <c r="AB1825" s="1">
        <v>42382</v>
      </c>
      <c r="AC1825" t="s">
        <v>53</v>
      </c>
      <c r="AD1825" t="s">
        <v>53</v>
      </c>
      <c r="AK1825">
        <v>0</v>
      </c>
      <c r="AU1825" s="6">
        <v>42251</v>
      </c>
      <c r="AV1825" s="6">
        <v>42251</v>
      </c>
      <c r="AW1825" t="s">
        <v>54</v>
      </c>
      <c r="AX1825" t="str">
        <f t="shared" si="141"/>
        <v>FOR</v>
      </c>
      <c r="AY1825" t="s">
        <v>55</v>
      </c>
    </row>
    <row r="1826" spans="1:51" hidden="1">
      <c r="A1826">
        <v>100371</v>
      </c>
      <c r="B1826" t="s">
        <v>133</v>
      </c>
      <c r="C1826" t="str">
        <f t="shared" si="143"/>
        <v>11629770154</v>
      </c>
      <c r="D1826" t="str">
        <f t="shared" si="143"/>
        <v>11629770154</v>
      </c>
      <c r="E1826" t="s">
        <v>52</v>
      </c>
      <c r="F1826">
        <v>2015</v>
      </c>
      <c r="G1826">
        <v>17619</v>
      </c>
      <c r="H1826" s="1">
        <v>42094</v>
      </c>
      <c r="I1826" s="1">
        <v>42116</v>
      </c>
      <c r="J1826" s="1">
        <v>42110</v>
      </c>
      <c r="K1826" s="1">
        <v>42170</v>
      </c>
      <c r="N1826" s="5"/>
      <c r="O1826" s="2">
        <v>2012.84</v>
      </c>
      <c r="P1826">
        <v>81</v>
      </c>
      <c r="Q1826" s="2">
        <v>163040.04</v>
      </c>
      <c r="R1826">
        <v>0</v>
      </c>
      <c r="V1826">
        <v>0</v>
      </c>
      <c r="W1826">
        <v>0</v>
      </c>
      <c r="X1826">
        <v>0</v>
      </c>
      <c r="Y1826" s="2">
        <v>2027.43</v>
      </c>
      <c r="Z1826" s="2">
        <v>2027.43</v>
      </c>
      <c r="AA1826" s="2">
        <v>2027.43</v>
      </c>
      <c r="AB1826" s="1">
        <v>42382</v>
      </c>
      <c r="AC1826" t="s">
        <v>53</v>
      </c>
      <c r="AD1826" t="s">
        <v>53</v>
      </c>
      <c r="AK1826">
        <v>0</v>
      </c>
      <c r="AU1826" s="6">
        <v>42251</v>
      </c>
      <c r="AV1826" s="6">
        <v>42251</v>
      </c>
      <c r="AW1826" t="s">
        <v>54</v>
      </c>
      <c r="AX1826" t="str">
        <f t="shared" si="141"/>
        <v>FOR</v>
      </c>
      <c r="AY1826" t="s">
        <v>55</v>
      </c>
    </row>
    <row r="1827" spans="1:51" hidden="1">
      <c r="A1827">
        <v>100371</v>
      </c>
      <c r="B1827" t="s">
        <v>133</v>
      </c>
      <c r="C1827" t="str">
        <f t="shared" si="143"/>
        <v>11629770154</v>
      </c>
      <c r="D1827" t="str">
        <f t="shared" si="143"/>
        <v>11629770154</v>
      </c>
      <c r="E1827" t="s">
        <v>52</v>
      </c>
      <c r="F1827">
        <v>2015</v>
      </c>
      <c r="G1827">
        <v>24864</v>
      </c>
      <c r="H1827" s="1">
        <v>42124</v>
      </c>
      <c r="I1827" s="1">
        <v>42142</v>
      </c>
      <c r="J1827" s="1">
        <v>42137</v>
      </c>
      <c r="K1827" s="1">
        <v>42197</v>
      </c>
      <c r="N1827" s="5"/>
      <c r="O1827" s="2">
        <v>179273.01</v>
      </c>
      <c r="P1827">
        <v>79</v>
      </c>
      <c r="Q1827" s="2">
        <v>14162567.789999999</v>
      </c>
      <c r="R1827">
        <v>0</v>
      </c>
      <c r="V1827">
        <v>0</v>
      </c>
      <c r="W1827">
        <v>0</v>
      </c>
      <c r="X1827">
        <v>0</v>
      </c>
      <c r="Y1827" s="2">
        <v>180300</v>
      </c>
      <c r="Z1827" s="2">
        <v>180300</v>
      </c>
      <c r="AA1827" s="2">
        <v>180300</v>
      </c>
      <c r="AB1827" s="1">
        <v>42382</v>
      </c>
      <c r="AC1827" t="s">
        <v>53</v>
      </c>
      <c r="AD1827" t="s">
        <v>53</v>
      </c>
      <c r="AK1827">
        <v>0</v>
      </c>
      <c r="AU1827" s="6">
        <v>42276</v>
      </c>
      <c r="AV1827" s="6">
        <v>42276</v>
      </c>
      <c r="AW1827" t="s">
        <v>54</v>
      </c>
      <c r="AX1827" t="str">
        <f t="shared" si="141"/>
        <v>FOR</v>
      </c>
      <c r="AY1827" t="s">
        <v>55</v>
      </c>
    </row>
    <row r="1828" spans="1:51" hidden="1">
      <c r="A1828">
        <v>100371</v>
      </c>
      <c r="B1828" t="s">
        <v>133</v>
      </c>
      <c r="C1828" t="str">
        <f t="shared" si="143"/>
        <v>11629770154</v>
      </c>
      <c r="D1828" t="str">
        <f t="shared" si="143"/>
        <v>11629770154</v>
      </c>
      <c r="E1828" t="s">
        <v>52</v>
      </c>
      <c r="F1828">
        <v>2015</v>
      </c>
      <c r="G1828">
        <v>24865</v>
      </c>
      <c r="H1828" s="1">
        <v>42124</v>
      </c>
      <c r="I1828" s="1">
        <v>42142</v>
      </c>
      <c r="J1828" s="1">
        <v>42137</v>
      </c>
      <c r="K1828" s="1">
        <v>42197</v>
      </c>
      <c r="N1828" s="5"/>
      <c r="O1828" s="2">
        <v>1581.5</v>
      </c>
      <c r="P1828">
        <v>79</v>
      </c>
      <c r="Q1828" s="2">
        <v>124938.5</v>
      </c>
      <c r="R1828">
        <v>0</v>
      </c>
      <c r="V1828">
        <v>0</v>
      </c>
      <c r="W1828">
        <v>0</v>
      </c>
      <c r="X1828">
        <v>0</v>
      </c>
      <c r="Y1828" s="2">
        <v>1594.21</v>
      </c>
      <c r="Z1828" s="2">
        <v>1594.21</v>
      </c>
      <c r="AA1828" s="2">
        <v>1594.21</v>
      </c>
      <c r="AB1828" s="1">
        <v>42382</v>
      </c>
      <c r="AC1828" t="s">
        <v>53</v>
      </c>
      <c r="AD1828" t="s">
        <v>53</v>
      </c>
      <c r="AK1828">
        <v>0</v>
      </c>
      <c r="AU1828" s="6">
        <v>42276</v>
      </c>
      <c r="AV1828" s="6">
        <v>42276</v>
      </c>
      <c r="AW1828" t="s">
        <v>54</v>
      </c>
      <c r="AX1828" t="str">
        <f t="shared" si="141"/>
        <v>FOR</v>
      </c>
      <c r="AY1828" t="s">
        <v>55</v>
      </c>
    </row>
    <row r="1829" spans="1:51" hidden="1">
      <c r="A1829">
        <v>100371</v>
      </c>
      <c r="B1829" t="s">
        <v>133</v>
      </c>
      <c r="C1829" t="str">
        <f t="shared" si="143"/>
        <v>11629770154</v>
      </c>
      <c r="D1829" t="str">
        <f t="shared" si="143"/>
        <v>11629770154</v>
      </c>
      <c r="E1829" t="s">
        <v>52</v>
      </c>
      <c r="F1829">
        <v>2015</v>
      </c>
      <c r="G1829">
        <v>24866</v>
      </c>
      <c r="H1829" s="1">
        <v>42124</v>
      </c>
      <c r="I1829" s="1">
        <v>42172</v>
      </c>
      <c r="J1829" s="1">
        <v>42139</v>
      </c>
      <c r="K1829" s="1">
        <v>42199</v>
      </c>
      <c r="N1829" s="5"/>
      <c r="O1829" s="2">
        <v>3255.92</v>
      </c>
      <c r="P1829">
        <v>77</v>
      </c>
      <c r="Q1829" s="2">
        <v>250705.84</v>
      </c>
      <c r="R1829">
        <v>0</v>
      </c>
      <c r="V1829">
        <v>0</v>
      </c>
      <c r="W1829">
        <v>0</v>
      </c>
      <c r="X1829">
        <v>0</v>
      </c>
      <c r="Y1829" s="2">
        <v>3282.23</v>
      </c>
      <c r="Z1829" s="2">
        <v>3282.23</v>
      </c>
      <c r="AA1829" s="2">
        <v>3282.23</v>
      </c>
      <c r="AB1829" s="1">
        <v>42382</v>
      </c>
      <c r="AC1829" t="s">
        <v>53</v>
      </c>
      <c r="AD1829" t="s">
        <v>53</v>
      </c>
      <c r="AK1829">
        <v>0</v>
      </c>
      <c r="AU1829" s="6">
        <v>42276</v>
      </c>
      <c r="AV1829" s="6">
        <v>42276</v>
      </c>
      <c r="AW1829" t="s">
        <v>54</v>
      </c>
      <c r="AX1829" t="str">
        <f t="shared" si="141"/>
        <v>FOR</v>
      </c>
      <c r="AY1829" t="s">
        <v>55</v>
      </c>
    </row>
    <row r="1830" spans="1:51" hidden="1">
      <c r="A1830">
        <v>100371</v>
      </c>
      <c r="B1830" t="s">
        <v>133</v>
      </c>
      <c r="C1830" t="str">
        <f t="shared" si="143"/>
        <v>11629770154</v>
      </c>
      <c r="D1830" t="str">
        <f t="shared" si="143"/>
        <v>11629770154</v>
      </c>
      <c r="E1830" t="s">
        <v>52</v>
      </c>
      <c r="F1830">
        <v>2015</v>
      </c>
      <c r="G1830">
        <v>24867</v>
      </c>
      <c r="H1830" s="1">
        <v>42124</v>
      </c>
      <c r="I1830" s="1">
        <v>42142</v>
      </c>
      <c r="J1830" s="1">
        <v>42137</v>
      </c>
      <c r="K1830" s="1">
        <v>42197</v>
      </c>
      <c r="N1830" s="5"/>
      <c r="O1830" s="2">
        <v>10229.129999999999</v>
      </c>
      <c r="P1830">
        <v>79</v>
      </c>
      <c r="Q1830" s="2">
        <v>808101.27</v>
      </c>
      <c r="R1830">
        <v>0</v>
      </c>
      <c r="V1830">
        <v>0</v>
      </c>
      <c r="W1830">
        <v>0</v>
      </c>
      <c r="X1830">
        <v>0</v>
      </c>
      <c r="Y1830" s="2">
        <v>10302.81</v>
      </c>
      <c r="Z1830" s="2">
        <v>10302.81</v>
      </c>
      <c r="AA1830" s="2">
        <v>10302.81</v>
      </c>
      <c r="AB1830" s="1">
        <v>42382</v>
      </c>
      <c r="AC1830" t="s">
        <v>53</v>
      </c>
      <c r="AD1830" t="s">
        <v>53</v>
      </c>
      <c r="AK1830">
        <v>0</v>
      </c>
      <c r="AU1830" s="6">
        <v>42276</v>
      </c>
      <c r="AV1830" s="6">
        <v>42276</v>
      </c>
      <c r="AW1830" t="s">
        <v>54</v>
      </c>
      <c r="AX1830" t="str">
        <f t="shared" si="141"/>
        <v>FOR</v>
      </c>
      <c r="AY1830" t="s">
        <v>55</v>
      </c>
    </row>
    <row r="1831" spans="1:51" hidden="1">
      <c r="A1831">
        <v>100371</v>
      </c>
      <c r="B1831" t="s">
        <v>133</v>
      </c>
      <c r="C1831" t="str">
        <f t="shared" si="143"/>
        <v>11629770154</v>
      </c>
      <c r="D1831" t="str">
        <f t="shared" si="143"/>
        <v>11629770154</v>
      </c>
      <c r="E1831" t="s">
        <v>52</v>
      </c>
      <c r="F1831">
        <v>2015</v>
      </c>
      <c r="G1831">
        <v>24870</v>
      </c>
      <c r="H1831" s="1">
        <v>42124</v>
      </c>
      <c r="I1831" s="1">
        <v>42142</v>
      </c>
      <c r="J1831" s="1">
        <v>42137</v>
      </c>
      <c r="K1831" s="1">
        <v>42197</v>
      </c>
      <c r="N1831" s="5"/>
      <c r="O1831" s="2">
        <v>1999.45</v>
      </c>
      <c r="P1831">
        <v>79</v>
      </c>
      <c r="Q1831" s="2">
        <v>157956.54999999999</v>
      </c>
      <c r="R1831">
        <v>0</v>
      </c>
      <c r="V1831">
        <v>0</v>
      </c>
      <c r="W1831">
        <v>0</v>
      </c>
      <c r="X1831">
        <v>0</v>
      </c>
      <c r="Y1831" s="2">
        <v>2014.23</v>
      </c>
      <c r="Z1831" s="2">
        <v>2014.23</v>
      </c>
      <c r="AA1831" s="2">
        <v>2014.23</v>
      </c>
      <c r="AB1831" s="1">
        <v>42382</v>
      </c>
      <c r="AC1831" t="s">
        <v>53</v>
      </c>
      <c r="AD1831" t="s">
        <v>53</v>
      </c>
      <c r="AK1831">
        <v>0</v>
      </c>
      <c r="AU1831" s="6">
        <v>42276</v>
      </c>
      <c r="AV1831" s="6">
        <v>42276</v>
      </c>
      <c r="AW1831" t="s">
        <v>54</v>
      </c>
      <c r="AX1831" t="str">
        <f t="shared" si="141"/>
        <v>FOR</v>
      </c>
      <c r="AY1831" t="s">
        <v>55</v>
      </c>
    </row>
    <row r="1832" spans="1:51" hidden="1">
      <c r="A1832">
        <v>100371</v>
      </c>
      <c r="B1832" t="s">
        <v>133</v>
      </c>
      <c r="C1832" t="str">
        <f t="shared" si="143"/>
        <v>11629770154</v>
      </c>
      <c r="D1832" t="str">
        <f t="shared" si="143"/>
        <v>11629770154</v>
      </c>
      <c r="E1832" t="s">
        <v>52</v>
      </c>
      <c r="F1832">
        <v>2015</v>
      </c>
      <c r="G1832">
        <v>24871</v>
      </c>
      <c r="H1832" s="1">
        <v>42124</v>
      </c>
      <c r="I1832" s="1">
        <v>42142</v>
      </c>
      <c r="J1832" s="1">
        <v>42137</v>
      </c>
      <c r="K1832" s="1">
        <v>42197</v>
      </c>
      <c r="N1832" s="5"/>
      <c r="O1832" s="2">
        <v>1987.06</v>
      </c>
      <c r="P1832">
        <v>79</v>
      </c>
      <c r="Q1832" s="2">
        <v>156977.74</v>
      </c>
      <c r="R1832">
        <v>0</v>
      </c>
      <c r="V1832">
        <v>0</v>
      </c>
      <c r="W1832">
        <v>0</v>
      </c>
      <c r="X1832">
        <v>0</v>
      </c>
      <c r="Y1832" s="2">
        <v>2001.46</v>
      </c>
      <c r="Z1832" s="2">
        <v>2001.46</v>
      </c>
      <c r="AA1832" s="2">
        <v>2001.46</v>
      </c>
      <c r="AB1832" s="1">
        <v>42382</v>
      </c>
      <c r="AC1832" t="s">
        <v>53</v>
      </c>
      <c r="AD1832" t="s">
        <v>53</v>
      </c>
      <c r="AK1832">
        <v>0</v>
      </c>
      <c r="AU1832" s="6">
        <v>42276</v>
      </c>
      <c r="AV1832" s="6">
        <v>42276</v>
      </c>
      <c r="AW1832" t="s">
        <v>54</v>
      </c>
      <c r="AX1832" t="str">
        <f t="shared" si="141"/>
        <v>FOR</v>
      </c>
      <c r="AY1832" t="s">
        <v>55</v>
      </c>
    </row>
    <row r="1833" spans="1:51" hidden="1">
      <c r="A1833">
        <v>100371</v>
      </c>
      <c r="B1833" t="s">
        <v>133</v>
      </c>
      <c r="C1833" t="str">
        <f t="shared" si="143"/>
        <v>11629770154</v>
      </c>
      <c r="D1833" t="str">
        <f t="shared" si="143"/>
        <v>11629770154</v>
      </c>
      <c r="E1833" t="s">
        <v>52</v>
      </c>
      <c r="F1833">
        <v>2015</v>
      </c>
      <c r="G1833">
        <v>24996</v>
      </c>
      <c r="H1833" s="1">
        <v>42124</v>
      </c>
      <c r="I1833" s="1">
        <v>42142</v>
      </c>
      <c r="J1833" s="1">
        <v>42137</v>
      </c>
      <c r="K1833" s="1">
        <v>42197</v>
      </c>
      <c r="N1833" s="5"/>
      <c r="O1833" s="2">
        <v>3905.12</v>
      </c>
      <c r="P1833">
        <v>79</v>
      </c>
      <c r="Q1833" s="2">
        <v>308504.48</v>
      </c>
      <c r="R1833">
        <v>0</v>
      </c>
      <c r="V1833">
        <v>0</v>
      </c>
      <c r="W1833">
        <v>0</v>
      </c>
      <c r="X1833">
        <v>0</v>
      </c>
      <c r="Y1833" s="2">
        <v>3936.35</v>
      </c>
      <c r="Z1833" s="2">
        <v>3936.35</v>
      </c>
      <c r="AA1833" s="2">
        <v>3936.35</v>
      </c>
      <c r="AB1833" s="1">
        <v>42382</v>
      </c>
      <c r="AC1833" t="s">
        <v>53</v>
      </c>
      <c r="AD1833" t="s">
        <v>53</v>
      </c>
      <c r="AK1833">
        <v>0</v>
      </c>
      <c r="AU1833" s="6">
        <v>42276</v>
      </c>
      <c r="AV1833" s="6">
        <v>42276</v>
      </c>
      <c r="AW1833" t="s">
        <v>54</v>
      </c>
      <c r="AX1833" t="str">
        <f t="shared" si="141"/>
        <v>FOR</v>
      </c>
      <c r="AY1833" t="s">
        <v>55</v>
      </c>
    </row>
    <row r="1834" spans="1:51">
      <c r="A1834">
        <v>100371</v>
      </c>
      <c r="B1834" t="s">
        <v>133</v>
      </c>
      <c r="C1834" t="str">
        <f t="shared" si="143"/>
        <v>11629770154</v>
      </c>
      <c r="D1834" t="str">
        <f t="shared" si="143"/>
        <v>11629770154</v>
      </c>
      <c r="E1834" t="s">
        <v>52</v>
      </c>
      <c r="F1834">
        <v>2015</v>
      </c>
      <c r="G1834">
        <v>32378</v>
      </c>
      <c r="H1834" s="1">
        <v>42155</v>
      </c>
      <c r="I1834" s="1">
        <v>42171</v>
      </c>
      <c r="J1834" s="1">
        <v>42166</v>
      </c>
      <c r="K1834" s="1">
        <v>42226</v>
      </c>
      <c r="L1834" s="7">
        <v>3755</v>
      </c>
      <c r="M1834" s="5">
        <v>127</v>
      </c>
      <c r="N1834" s="7">
        <v>476885</v>
      </c>
      <c r="O1834" s="2">
        <v>3755</v>
      </c>
      <c r="P1834">
        <v>127</v>
      </c>
      <c r="Q1834" s="2">
        <v>476885</v>
      </c>
      <c r="R1834">
        <v>30.03</v>
      </c>
      <c r="V1834">
        <v>0</v>
      </c>
      <c r="W1834">
        <v>0</v>
      </c>
      <c r="X1834">
        <v>0</v>
      </c>
      <c r="Y1834" s="2">
        <v>3785.03</v>
      </c>
      <c r="Z1834" s="2">
        <v>3785.03</v>
      </c>
      <c r="AA1834" s="2">
        <v>3785.03</v>
      </c>
      <c r="AB1834" s="1">
        <v>42382</v>
      </c>
      <c r="AC1834" t="s">
        <v>53</v>
      </c>
      <c r="AD1834" t="s">
        <v>53</v>
      </c>
      <c r="AI1834">
        <v>30.03</v>
      </c>
      <c r="AK1834">
        <v>0</v>
      </c>
      <c r="AU1834" s="6">
        <v>42353</v>
      </c>
      <c r="AV1834" s="6">
        <v>42353</v>
      </c>
      <c r="AW1834" t="s">
        <v>54</v>
      </c>
      <c r="AX1834" t="str">
        <f t="shared" si="141"/>
        <v>FOR</v>
      </c>
      <c r="AY1834" t="s">
        <v>55</v>
      </c>
    </row>
    <row r="1835" spans="1:51">
      <c r="A1835">
        <v>100371</v>
      </c>
      <c r="B1835" t="s">
        <v>133</v>
      </c>
      <c r="C1835" t="str">
        <f t="shared" si="143"/>
        <v>11629770154</v>
      </c>
      <c r="D1835" t="str">
        <f t="shared" si="143"/>
        <v>11629770154</v>
      </c>
      <c r="E1835" t="s">
        <v>52</v>
      </c>
      <c r="F1835">
        <v>2015</v>
      </c>
      <c r="G1835">
        <v>32474</v>
      </c>
      <c r="H1835" s="1">
        <v>42155</v>
      </c>
      <c r="I1835" s="1">
        <v>42171</v>
      </c>
      <c r="J1835" s="1">
        <v>42166</v>
      </c>
      <c r="K1835" s="1">
        <v>42226</v>
      </c>
      <c r="L1835" s="7">
        <v>184827.63</v>
      </c>
      <c r="M1835" s="5">
        <v>127</v>
      </c>
      <c r="N1835" s="7">
        <v>23473109.010000002</v>
      </c>
      <c r="O1835" s="2">
        <v>184827.63</v>
      </c>
      <c r="P1835">
        <v>127</v>
      </c>
      <c r="Q1835" s="2">
        <v>23473109.010000002</v>
      </c>
      <c r="R1835" s="2">
        <v>1062.7</v>
      </c>
      <c r="V1835">
        <v>0</v>
      </c>
      <c r="W1835">
        <v>0</v>
      </c>
      <c r="X1835">
        <v>0</v>
      </c>
      <c r="Y1835" s="2">
        <v>185890.33</v>
      </c>
      <c r="Z1835" s="2">
        <v>185890.33</v>
      </c>
      <c r="AA1835" s="2">
        <v>185890.33</v>
      </c>
      <c r="AB1835" s="1">
        <v>42382</v>
      </c>
      <c r="AC1835" t="s">
        <v>53</v>
      </c>
      <c r="AD1835" t="s">
        <v>53</v>
      </c>
      <c r="AI1835" s="2">
        <v>1062.7</v>
      </c>
      <c r="AK1835">
        <v>0</v>
      </c>
      <c r="AU1835" s="6">
        <v>42353</v>
      </c>
      <c r="AV1835" s="6">
        <v>42353</v>
      </c>
      <c r="AW1835" t="s">
        <v>54</v>
      </c>
      <c r="AX1835" t="str">
        <f t="shared" si="141"/>
        <v>FOR</v>
      </c>
      <c r="AY1835" t="s">
        <v>55</v>
      </c>
    </row>
    <row r="1836" spans="1:51">
      <c r="A1836">
        <v>100371</v>
      </c>
      <c r="B1836" t="s">
        <v>133</v>
      </c>
      <c r="C1836" t="str">
        <f t="shared" si="143"/>
        <v>11629770154</v>
      </c>
      <c r="D1836" t="str">
        <f t="shared" si="143"/>
        <v>11629770154</v>
      </c>
      <c r="E1836" t="s">
        <v>52</v>
      </c>
      <c r="F1836">
        <v>2015</v>
      </c>
      <c r="G1836">
        <v>32475</v>
      </c>
      <c r="H1836" s="1">
        <v>42155</v>
      </c>
      <c r="I1836" s="1">
        <v>42171</v>
      </c>
      <c r="J1836" s="1">
        <v>42166</v>
      </c>
      <c r="K1836" s="1">
        <v>42226</v>
      </c>
      <c r="L1836" s="7">
        <v>1518.32</v>
      </c>
      <c r="M1836" s="5">
        <v>127</v>
      </c>
      <c r="N1836" s="7">
        <v>192826.64</v>
      </c>
      <c r="O1836" s="2">
        <v>1518.32</v>
      </c>
      <c r="P1836">
        <v>127</v>
      </c>
      <c r="Q1836" s="2">
        <v>192826.64</v>
      </c>
      <c r="R1836">
        <v>12.2</v>
      </c>
      <c r="V1836">
        <v>0</v>
      </c>
      <c r="W1836">
        <v>0</v>
      </c>
      <c r="X1836">
        <v>0</v>
      </c>
      <c r="Y1836" s="2">
        <v>1530.52</v>
      </c>
      <c r="Z1836" s="2">
        <v>1530.52</v>
      </c>
      <c r="AA1836" s="2">
        <v>1530.52</v>
      </c>
      <c r="AB1836" s="1">
        <v>42382</v>
      </c>
      <c r="AC1836" t="s">
        <v>53</v>
      </c>
      <c r="AD1836" t="s">
        <v>53</v>
      </c>
      <c r="AI1836">
        <v>12.2</v>
      </c>
      <c r="AK1836">
        <v>0</v>
      </c>
      <c r="AU1836" s="6">
        <v>42353</v>
      </c>
      <c r="AV1836" s="6">
        <v>42353</v>
      </c>
      <c r="AW1836" t="s">
        <v>54</v>
      </c>
      <c r="AX1836" t="str">
        <f t="shared" si="141"/>
        <v>FOR</v>
      </c>
      <c r="AY1836" t="s">
        <v>55</v>
      </c>
    </row>
    <row r="1837" spans="1:51">
      <c r="A1837">
        <v>100371</v>
      </c>
      <c r="B1837" t="s">
        <v>133</v>
      </c>
      <c r="C1837" t="str">
        <f t="shared" si="143"/>
        <v>11629770154</v>
      </c>
      <c r="D1837" t="str">
        <f t="shared" si="143"/>
        <v>11629770154</v>
      </c>
      <c r="E1837" t="s">
        <v>52</v>
      </c>
      <c r="F1837">
        <v>2015</v>
      </c>
      <c r="G1837">
        <v>32476</v>
      </c>
      <c r="H1837" s="1">
        <v>42155</v>
      </c>
      <c r="I1837" s="1">
        <v>42171</v>
      </c>
      <c r="J1837" s="1">
        <v>42166</v>
      </c>
      <c r="K1837" s="1">
        <v>42226</v>
      </c>
      <c r="L1837" s="7">
        <v>11138.96</v>
      </c>
      <c r="M1837" s="5">
        <v>127</v>
      </c>
      <c r="N1837" s="7">
        <v>1414647.92</v>
      </c>
      <c r="O1837" s="2">
        <v>11138.96</v>
      </c>
      <c r="P1837">
        <v>127</v>
      </c>
      <c r="Q1837" s="2">
        <v>1414647.92</v>
      </c>
      <c r="R1837">
        <v>80.78</v>
      </c>
      <c r="V1837">
        <v>0</v>
      </c>
      <c r="W1837">
        <v>0</v>
      </c>
      <c r="X1837">
        <v>0</v>
      </c>
      <c r="Y1837" s="2">
        <v>11219.74</v>
      </c>
      <c r="Z1837" s="2">
        <v>11219.74</v>
      </c>
      <c r="AA1837" s="2">
        <v>11219.74</v>
      </c>
      <c r="AB1837" s="1">
        <v>42382</v>
      </c>
      <c r="AC1837" t="s">
        <v>53</v>
      </c>
      <c r="AD1837" t="s">
        <v>53</v>
      </c>
      <c r="AI1837">
        <v>80.78</v>
      </c>
      <c r="AK1837">
        <v>0</v>
      </c>
      <c r="AU1837" s="6">
        <v>42353</v>
      </c>
      <c r="AV1837" s="6">
        <v>42353</v>
      </c>
      <c r="AW1837" t="s">
        <v>54</v>
      </c>
      <c r="AX1837" t="str">
        <f t="shared" si="141"/>
        <v>FOR</v>
      </c>
      <c r="AY1837" t="s">
        <v>55</v>
      </c>
    </row>
    <row r="1838" spans="1:51">
      <c r="A1838">
        <v>100371</v>
      </c>
      <c r="B1838" t="s">
        <v>133</v>
      </c>
      <c r="C1838" t="str">
        <f t="shared" si="143"/>
        <v>11629770154</v>
      </c>
      <c r="D1838" t="str">
        <f t="shared" si="143"/>
        <v>11629770154</v>
      </c>
      <c r="E1838" t="s">
        <v>52</v>
      </c>
      <c r="F1838">
        <v>2015</v>
      </c>
      <c r="G1838">
        <v>32477</v>
      </c>
      <c r="H1838" s="1">
        <v>42155</v>
      </c>
      <c r="I1838" s="1">
        <v>42171</v>
      </c>
      <c r="J1838" s="1">
        <v>42166</v>
      </c>
      <c r="K1838" s="1">
        <v>42226</v>
      </c>
      <c r="L1838" s="7">
        <v>3009.68</v>
      </c>
      <c r="M1838" s="5">
        <v>127</v>
      </c>
      <c r="N1838" s="7">
        <v>382229.36</v>
      </c>
      <c r="O1838" s="2">
        <v>3009.68</v>
      </c>
      <c r="P1838">
        <v>127</v>
      </c>
      <c r="Q1838" s="2">
        <v>382229.36</v>
      </c>
      <c r="R1838">
        <v>24.31</v>
      </c>
      <c r="V1838">
        <v>0</v>
      </c>
      <c r="W1838">
        <v>0</v>
      </c>
      <c r="X1838">
        <v>0</v>
      </c>
      <c r="Y1838" s="2">
        <v>3033.99</v>
      </c>
      <c r="Z1838" s="2">
        <v>3033.99</v>
      </c>
      <c r="AA1838" s="2">
        <v>3033.99</v>
      </c>
      <c r="AB1838" s="1">
        <v>42382</v>
      </c>
      <c r="AC1838" t="s">
        <v>53</v>
      </c>
      <c r="AD1838" t="s">
        <v>53</v>
      </c>
      <c r="AI1838">
        <v>24.31</v>
      </c>
      <c r="AK1838">
        <v>0</v>
      </c>
      <c r="AU1838" s="6">
        <v>42353</v>
      </c>
      <c r="AV1838" s="6">
        <v>42353</v>
      </c>
      <c r="AW1838" t="s">
        <v>54</v>
      </c>
      <c r="AX1838" t="str">
        <f t="shared" si="141"/>
        <v>FOR</v>
      </c>
      <c r="AY1838" t="s">
        <v>55</v>
      </c>
    </row>
    <row r="1839" spans="1:51">
      <c r="A1839">
        <v>100371</v>
      </c>
      <c r="B1839" t="s">
        <v>133</v>
      </c>
      <c r="C1839" t="str">
        <f t="shared" ref="C1839:D1857" si="144">"11629770154"</f>
        <v>11629770154</v>
      </c>
      <c r="D1839" t="str">
        <f t="shared" si="144"/>
        <v>11629770154</v>
      </c>
      <c r="E1839" t="s">
        <v>52</v>
      </c>
      <c r="F1839">
        <v>2015</v>
      </c>
      <c r="G1839">
        <v>32478</v>
      </c>
      <c r="H1839" s="1">
        <v>42155</v>
      </c>
      <c r="I1839" s="1">
        <v>42171</v>
      </c>
      <c r="J1839" s="1">
        <v>42166</v>
      </c>
      <c r="K1839" s="1">
        <v>42226</v>
      </c>
      <c r="L1839" s="7">
        <v>10984.28</v>
      </c>
      <c r="M1839" s="5">
        <v>127</v>
      </c>
      <c r="N1839" s="7">
        <v>1395003.56</v>
      </c>
      <c r="O1839" s="2">
        <v>10984.28</v>
      </c>
      <c r="P1839">
        <v>127</v>
      </c>
      <c r="Q1839" s="2">
        <v>1395003.56</v>
      </c>
      <c r="R1839">
        <v>79.66</v>
      </c>
      <c r="V1839">
        <v>0</v>
      </c>
      <c r="W1839">
        <v>0</v>
      </c>
      <c r="X1839">
        <v>0</v>
      </c>
      <c r="Y1839" s="2">
        <v>11063.94</v>
      </c>
      <c r="Z1839" s="2">
        <v>11063.94</v>
      </c>
      <c r="AA1839" s="2">
        <v>11063.94</v>
      </c>
      <c r="AB1839" s="1">
        <v>42382</v>
      </c>
      <c r="AC1839" t="s">
        <v>53</v>
      </c>
      <c r="AD1839" t="s">
        <v>53</v>
      </c>
      <c r="AI1839">
        <v>79.66</v>
      </c>
      <c r="AK1839">
        <v>0</v>
      </c>
      <c r="AU1839" s="6">
        <v>42353</v>
      </c>
      <c r="AV1839" s="6">
        <v>42353</v>
      </c>
      <c r="AW1839" t="s">
        <v>54</v>
      </c>
      <c r="AX1839" t="str">
        <f t="shared" si="141"/>
        <v>FOR</v>
      </c>
      <c r="AY1839" t="s">
        <v>55</v>
      </c>
    </row>
    <row r="1840" spans="1:51">
      <c r="A1840">
        <v>100371</v>
      </c>
      <c r="B1840" t="s">
        <v>133</v>
      </c>
      <c r="C1840" t="str">
        <f t="shared" si="144"/>
        <v>11629770154</v>
      </c>
      <c r="D1840" t="str">
        <f t="shared" si="144"/>
        <v>11629770154</v>
      </c>
      <c r="E1840" t="s">
        <v>52</v>
      </c>
      <c r="F1840">
        <v>2015</v>
      </c>
      <c r="G1840">
        <v>32479</v>
      </c>
      <c r="H1840" s="1">
        <v>42155</v>
      </c>
      <c r="I1840" s="1">
        <v>42171</v>
      </c>
      <c r="J1840" s="1">
        <v>42166</v>
      </c>
      <c r="K1840" s="1">
        <v>42226</v>
      </c>
      <c r="L1840" s="7">
        <v>3068.65</v>
      </c>
      <c r="M1840" s="5">
        <v>127</v>
      </c>
      <c r="N1840" s="7">
        <v>389718.55</v>
      </c>
      <c r="O1840" s="2">
        <v>3068.65</v>
      </c>
      <c r="P1840">
        <v>127</v>
      </c>
      <c r="Q1840" s="2">
        <v>389718.55</v>
      </c>
      <c r="R1840">
        <v>23.1</v>
      </c>
      <c r="V1840">
        <v>0</v>
      </c>
      <c r="W1840">
        <v>0</v>
      </c>
      <c r="X1840">
        <v>0</v>
      </c>
      <c r="Y1840" s="2">
        <v>3091.75</v>
      </c>
      <c r="Z1840" s="2">
        <v>3091.75</v>
      </c>
      <c r="AA1840" s="2">
        <v>3091.75</v>
      </c>
      <c r="AB1840" s="1">
        <v>42382</v>
      </c>
      <c r="AC1840" t="s">
        <v>53</v>
      </c>
      <c r="AD1840" t="s">
        <v>53</v>
      </c>
      <c r="AI1840">
        <v>23.1</v>
      </c>
      <c r="AK1840">
        <v>0</v>
      </c>
      <c r="AU1840" s="6">
        <v>42353</v>
      </c>
      <c r="AV1840" s="6">
        <v>42353</v>
      </c>
      <c r="AW1840" t="s">
        <v>54</v>
      </c>
      <c r="AX1840" t="str">
        <f t="shared" si="141"/>
        <v>FOR</v>
      </c>
      <c r="AY1840" t="s">
        <v>55</v>
      </c>
    </row>
    <row r="1841" spans="1:51">
      <c r="A1841">
        <v>100371</v>
      </c>
      <c r="B1841" t="s">
        <v>133</v>
      </c>
      <c r="C1841" t="str">
        <f t="shared" si="144"/>
        <v>11629770154</v>
      </c>
      <c r="D1841" t="str">
        <f t="shared" si="144"/>
        <v>11629770154</v>
      </c>
      <c r="E1841" t="s">
        <v>52</v>
      </c>
      <c r="F1841">
        <v>2015</v>
      </c>
      <c r="G1841">
        <v>32486</v>
      </c>
      <c r="H1841" s="1">
        <v>42155</v>
      </c>
      <c r="I1841" s="1">
        <v>42171</v>
      </c>
      <c r="J1841" s="1">
        <v>42166</v>
      </c>
      <c r="K1841" s="1">
        <v>42226</v>
      </c>
      <c r="L1841" s="7">
        <v>2296.42</v>
      </c>
      <c r="M1841" s="5">
        <v>127</v>
      </c>
      <c r="N1841" s="7">
        <v>291645.34000000003</v>
      </c>
      <c r="O1841" s="2">
        <v>2296.42</v>
      </c>
      <c r="P1841">
        <v>127</v>
      </c>
      <c r="Q1841" s="2">
        <v>291645.34000000003</v>
      </c>
      <c r="R1841">
        <v>16.64</v>
      </c>
      <c r="V1841">
        <v>0</v>
      </c>
      <c r="W1841">
        <v>0</v>
      </c>
      <c r="X1841">
        <v>0</v>
      </c>
      <c r="Y1841" s="2">
        <v>2313.06</v>
      </c>
      <c r="Z1841" s="2">
        <v>2313.06</v>
      </c>
      <c r="AA1841" s="2">
        <v>2313.06</v>
      </c>
      <c r="AB1841" s="1">
        <v>42382</v>
      </c>
      <c r="AC1841" t="s">
        <v>53</v>
      </c>
      <c r="AD1841" t="s">
        <v>53</v>
      </c>
      <c r="AI1841">
        <v>16.64</v>
      </c>
      <c r="AK1841">
        <v>0</v>
      </c>
      <c r="AU1841" s="6">
        <v>42353</v>
      </c>
      <c r="AV1841" s="6">
        <v>42353</v>
      </c>
      <c r="AW1841" t="s">
        <v>54</v>
      </c>
      <c r="AX1841" t="str">
        <f t="shared" si="141"/>
        <v>FOR</v>
      </c>
      <c r="AY1841" t="s">
        <v>55</v>
      </c>
    </row>
    <row r="1842" spans="1:51">
      <c r="A1842">
        <v>100371</v>
      </c>
      <c r="B1842" t="s">
        <v>133</v>
      </c>
      <c r="C1842" t="str">
        <f t="shared" si="144"/>
        <v>11629770154</v>
      </c>
      <c r="D1842" t="str">
        <f t="shared" si="144"/>
        <v>11629770154</v>
      </c>
      <c r="E1842" t="s">
        <v>52</v>
      </c>
      <c r="F1842">
        <v>2015</v>
      </c>
      <c r="G1842">
        <v>40084</v>
      </c>
      <c r="H1842" s="1">
        <v>42185</v>
      </c>
      <c r="I1842" s="1">
        <v>42198</v>
      </c>
      <c r="J1842" s="1">
        <v>42196</v>
      </c>
      <c r="K1842" s="1">
        <v>42256</v>
      </c>
      <c r="L1842" s="7">
        <v>4055.24</v>
      </c>
      <c r="M1842" s="5">
        <v>44</v>
      </c>
      <c r="N1842" s="7">
        <v>178430.56</v>
      </c>
      <c r="O1842" s="2">
        <v>4055.24</v>
      </c>
      <c r="P1842">
        <v>44</v>
      </c>
      <c r="Q1842" s="2">
        <v>178430.56</v>
      </c>
      <c r="R1842">
        <v>0</v>
      </c>
      <c r="V1842">
        <v>0</v>
      </c>
      <c r="W1842">
        <v>0</v>
      </c>
      <c r="X1842">
        <v>0</v>
      </c>
      <c r="Y1842" s="2">
        <v>4087.67</v>
      </c>
      <c r="Z1842" s="2">
        <v>4087.67</v>
      </c>
      <c r="AA1842" s="2">
        <v>4087.67</v>
      </c>
      <c r="AB1842" s="1">
        <v>42382</v>
      </c>
      <c r="AC1842" t="s">
        <v>53</v>
      </c>
      <c r="AD1842" t="s">
        <v>53</v>
      </c>
      <c r="AK1842">
        <v>0</v>
      </c>
      <c r="AU1842" s="6">
        <v>42300</v>
      </c>
      <c r="AV1842" s="6">
        <v>42300</v>
      </c>
      <c r="AW1842" t="s">
        <v>54</v>
      </c>
      <c r="AX1842" t="str">
        <f t="shared" si="141"/>
        <v>FOR</v>
      </c>
      <c r="AY1842" t="s">
        <v>55</v>
      </c>
    </row>
    <row r="1843" spans="1:51">
      <c r="A1843">
        <v>100371</v>
      </c>
      <c r="B1843" t="s">
        <v>133</v>
      </c>
      <c r="C1843" t="str">
        <f t="shared" si="144"/>
        <v>11629770154</v>
      </c>
      <c r="D1843" t="str">
        <f t="shared" si="144"/>
        <v>11629770154</v>
      </c>
      <c r="E1843" t="s">
        <v>52</v>
      </c>
      <c r="F1843">
        <v>2015</v>
      </c>
      <c r="G1843">
        <v>40185</v>
      </c>
      <c r="H1843" s="1">
        <v>42185</v>
      </c>
      <c r="I1843" s="1">
        <v>42198</v>
      </c>
      <c r="J1843" s="1">
        <v>42196</v>
      </c>
      <c r="K1843" s="1">
        <v>42256</v>
      </c>
      <c r="L1843" s="7">
        <v>181698.24</v>
      </c>
      <c r="M1843" s="5">
        <v>44</v>
      </c>
      <c r="N1843" s="7">
        <v>7994722.5599999996</v>
      </c>
      <c r="O1843" s="2">
        <v>181698.24</v>
      </c>
      <c r="P1843">
        <v>44</v>
      </c>
      <c r="Q1843" s="2">
        <v>7994722.5599999996</v>
      </c>
      <c r="R1843">
        <v>0</v>
      </c>
      <c r="V1843">
        <v>0</v>
      </c>
      <c r="W1843">
        <v>0</v>
      </c>
      <c r="X1843">
        <v>0</v>
      </c>
      <c r="Y1843" s="2">
        <v>182739.74</v>
      </c>
      <c r="Z1843" s="2">
        <v>182739.74</v>
      </c>
      <c r="AA1843" s="2">
        <v>182739.74</v>
      </c>
      <c r="AB1843" s="1">
        <v>42382</v>
      </c>
      <c r="AC1843" t="s">
        <v>53</v>
      </c>
      <c r="AD1843" t="s">
        <v>53</v>
      </c>
      <c r="AK1843">
        <v>0</v>
      </c>
      <c r="AU1843" s="6">
        <v>42300</v>
      </c>
      <c r="AV1843" s="6">
        <v>42300</v>
      </c>
      <c r="AW1843" t="s">
        <v>54</v>
      </c>
      <c r="AX1843" t="str">
        <f t="shared" si="141"/>
        <v>FOR</v>
      </c>
      <c r="AY1843" t="s">
        <v>55</v>
      </c>
    </row>
    <row r="1844" spans="1:51">
      <c r="A1844">
        <v>100371</v>
      </c>
      <c r="B1844" t="s">
        <v>133</v>
      </c>
      <c r="C1844" t="str">
        <f t="shared" si="144"/>
        <v>11629770154</v>
      </c>
      <c r="D1844" t="str">
        <f t="shared" si="144"/>
        <v>11629770154</v>
      </c>
      <c r="E1844" t="s">
        <v>52</v>
      </c>
      <c r="F1844">
        <v>2015</v>
      </c>
      <c r="G1844">
        <v>40186</v>
      </c>
      <c r="H1844" s="1">
        <v>42185</v>
      </c>
      <c r="I1844" s="1">
        <v>42198</v>
      </c>
      <c r="J1844" s="1">
        <v>42196</v>
      </c>
      <c r="K1844" s="1">
        <v>42256</v>
      </c>
      <c r="L1844" s="7">
        <v>1623.62</v>
      </c>
      <c r="M1844" s="5">
        <v>44</v>
      </c>
      <c r="N1844" s="7">
        <v>71439.28</v>
      </c>
      <c r="O1844" s="2">
        <v>1623.62</v>
      </c>
      <c r="P1844">
        <v>44</v>
      </c>
      <c r="Q1844" s="2">
        <v>71439.28</v>
      </c>
      <c r="R1844">
        <v>0</v>
      </c>
      <c r="V1844">
        <v>0</v>
      </c>
      <c r="W1844">
        <v>0</v>
      </c>
      <c r="X1844">
        <v>0</v>
      </c>
      <c r="Y1844" s="2">
        <v>1636.66</v>
      </c>
      <c r="Z1844" s="2">
        <v>1636.66</v>
      </c>
      <c r="AA1844" s="2">
        <v>1636.66</v>
      </c>
      <c r="AB1844" s="1">
        <v>42382</v>
      </c>
      <c r="AC1844" t="s">
        <v>53</v>
      </c>
      <c r="AD1844" t="s">
        <v>53</v>
      </c>
      <c r="AK1844">
        <v>0</v>
      </c>
      <c r="AU1844" s="6">
        <v>42300</v>
      </c>
      <c r="AV1844" s="6">
        <v>42300</v>
      </c>
      <c r="AW1844" t="s">
        <v>54</v>
      </c>
      <c r="AX1844" t="str">
        <f t="shared" si="141"/>
        <v>FOR</v>
      </c>
      <c r="AY1844" t="s">
        <v>55</v>
      </c>
    </row>
    <row r="1845" spans="1:51">
      <c r="A1845">
        <v>100371</v>
      </c>
      <c r="B1845" t="s">
        <v>133</v>
      </c>
      <c r="C1845" t="str">
        <f t="shared" si="144"/>
        <v>11629770154</v>
      </c>
      <c r="D1845" t="str">
        <f t="shared" si="144"/>
        <v>11629770154</v>
      </c>
      <c r="E1845" t="s">
        <v>52</v>
      </c>
      <c r="F1845">
        <v>2015</v>
      </c>
      <c r="G1845">
        <v>40187</v>
      </c>
      <c r="H1845" s="1">
        <v>42185</v>
      </c>
      <c r="I1845" s="1">
        <v>42198</v>
      </c>
      <c r="J1845" s="1">
        <v>42196</v>
      </c>
      <c r="K1845" s="1">
        <v>42256</v>
      </c>
      <c r="L1845" s="7">
        <v>11603</v>
      </c>
      <c r="M1845" s="5">
        <v>44</v>
      </c>
      <c r="N1845" s="7">
        <v>510532</v>
      </c>
      <c r="O1845" s="2">
        <v>11603</v>
      </c>
      <c r="P1845">
        <v>44</v>
      </c>
      <c r="Q1845" s="2">
        <v>510532</v>
      </c>
      <c r="R1845">
        <v>0</v>
      </c>
      <c r="V1845">
        <v>0</v>
      </c>
      <c r="W1845">
        <v>0</v>
      </c>
      <c r="X1845">
        <v>0</v>
      </c>
      <c r="Y1845" s="2">
        <v>11687.15</v>
      </c>
      <c r="Z1845" s="2">
        <v>11687.15</v>
      </c>
      <c r="AA1845" s="2">
        <v>11687.15</v>
      </c>
      <c r="AB1845" s="1">
        <v>42382</v>
      </c>
      <c r="AC1845" t="s">
        <v>53</v>
      </c>
      <c r="AD1845" t="s">
        <v>53</v>
      </c>
      <c r="AK1845">
        <v>0</v>
      </c>
      <c r="AU1845" s="6">
        <v>42300</v>
      </c>
      <c r="AV1845" s="6">
        <v>42300</v>
      </c>
      <c r="AW1845" t="s">
        <v>54</v>
      </c>
      <c r="AX1845" t="str">
        <f t="shared" si="141"/>
        <v>FOR</v>
      </c>
      <c r="AY1845" t="s">
        <v>55</v>
      </c>
    </row>
    <row r="1846" spans="1:51">
      <c r="A1846">
        <v>100371</v>
      </c>
      <c r="B1846" t="s">
        <v>133</v>
      </c>
      <c r="C1846" t="str">
        <f t="shared" si="144"/>
        <v>11629770154</v>
      </c>
      <c r="D1846" t="str">
        <f t="shared" si="144"/>
        <v>11629770154</v>
      </c>
      <c r="E1846" t="s">
        <v>52</v>
      </c>
      <c r="F1846">
        <v>2015</v>
      </c>
      <c r="G1846">
        <v>40188</v>
      </c>
      <c r="H1846" s="1">
        <v>42185</v>
      </c>
      <c r="I1846" s="1">
        <v>42198</v>
      </c>
      <c r="J1846" s="1">
        <v>42196</v>
      </c>
      <c r="K1846" s="1">
        <v>42256</v>
      </c>
      <c r="L1846" s="7">
        <v>4009.44</v>
      </c>
      <c r="M1846" s="5">
        <v>44</v>
      </c>
      <c r="N1846" s="7">
        <v>176415.35999999999</v>
      </c>
      <c r="O1846" s="2">
        <v>4009.44</v>
      </c>
      <c r="P1846">
        <v>44</v>
      </c>
      <c r="Q1846" s="2">
        <v>176415.35999999999</v>
      </c>
      <c r="R1846">
        <v>0</v>
      </c>
      <c r="V1846">
        <v>0</v>
      </c>
      <c r="W1846">
        <v>0</v>
      </c>
      <c r="X1846">
        <v>0</v>
      </c>
      <c r="Y1846" s="2">
        <v>4041.85</v>
      </c>
      <c r="Z1846" s="2">
        <v>4041.85</v>
      </c>
      <c r="AA1846" s="2">
        <v>4041.85</v>
      </c>
      <c r="AB1846" s="1">
        <v>42382</v>
      </c>
      <c r="AC1846" t="s">
        <v>53</v>
      </c>
      <c r="AD1846" t="s">
        <v>53</v>
      </c>
      <c r="AK1846">
        <v>0</v>
      </c>
      <c r="AU1846" s="6">
        <v>42300</v>
      </c>
      <c r="AV1846" s="6">
        <v>42300</v>
      </c>
      <c r="AW1846" t="s">
        <v>54</v>
      </c>
      <c r="AX1846" t="str">
        <f t="shared" si="141"/>
        <v>FOR</v>
      </c>
      <c r="AY1846" t="s">
        <v>55</v>
      </c>
    </row>
    <row r="1847" spans="1:51">
      <c r="A1847">
        <v>100371</v>
      </c>
      <c r="B1847" t="s">
        <v>133</v>
      </c>
      <c r="C1847" t="str">
        <f t="shared" si="144"/>
        <v>11629770154</v>
      </c>
      <c r="D1847" t="str">
        <f t="shared" si="144"/>
        <v>11629770154</v>
      </c>
      <c r="E1847" t="s">
        <v>52</v>
      </c>
      <c r="F1847">
        <v>2015</v>
      </c>
      <c r="G1847">
        <v>40189</v>
      </c>
      <c r="H1847" s="1">
        <v>42185</v>
      </c>
      <c r="I1847" s="1">
        <v>42198</v>
      </c>
      <c r="J1847" s="1">
        <v>42196</v>
      </c>
      <c r="K1847" s="1">
        <v>42256</v>
      </c>
      <c r="L1847" s="7">
        <v>11235.98</v>
      </c>
      <c r="M1847" s="5">
        <v>44</v>
      </c>
      <c r="N1847" s="7">
        <v>494383.12</v>
      </c>
      <c r="O1847" s="2">
        <v>11235.98</v>
      </c>
      <c r="P1847">
        <v>44</v>
      </c>
      <c r="Q1847" s="2">
        <v>494383.12</v>
      </c>
      <c r="R1847">
        <v>0</v>
      </c>
      <c r="V1847">
        <v>0</v>
      </c>
      <c r="W1847">
        <v>0</v>
      </c>
      <c r="X1847">
        <v>0</v>
      </c>
      <c r="Y1847" s="2">
        <v>11317.33</v>
      </c>
      <c r="Z1847" s="2">
        <v>11317.33</v>
      </c>
      <c r="AA1847" s="2">
        <v>11317.33</v>
      </c>
      <c r="AB1847" s="1">
        <v>42382</v>
      </c>
      <c r="AC1847" t="s">
        <v>53</v>
      </c>
      <c r="AD1847" t="s">
        <v>53</v>
      </c>
      <c r="AK1847">
        <v>0</v>
      </c>
      <c r="AU1847" s="6">
        <v>42300</v>
      </c>
      <c r="AV1847" s="6">
        <v>42300</v>
      </c>
      <c r="AW1847" t="s">
        <v>54</v>
      </c>
      <c r="AX1847" t="str">
        <f t="shared" si="141"/>
        <v>FOR</v>
      </c>
      <c r="AY1847" t="s">
        <v>55</v>
      </c>
    </row>
    <row r="1848" spans="1:51">
      <c r="A1848">
        <v>100371</v>
      </c>
      <c r="B1848" t="s">
        <v>133</v>
      </c>
      <c r="C1848" t="str">
        <f t="shared" si="144"/>
        <v>11629770154</v>
      </c>
      <c r="D1848" t="str">
        <f t="shared" si="144"/>
        <v>11629770154</v>
      </c>
      <c r="E1848" t="s">
        <v>52</v>
      </c>
      <c r="F1848">
        <v>2015</v>
      </c>
      <c r="G1848">
        <v>40190</v>
      </c>
      <c r="H1848" s="1">
        <v>42185</v>
      </c>
      <c r="I1848" s="1">
        <v>42198</v>
      </c>
      <c r="J1848" s="1">
        <v>42196</v>
      </c>
      <c r="K1848" s="1">
        <v>42256</v>
      </c>
      <c r="L1848" s="7">
        <v>3044.49</v>
      </c>
      <c r="M1848" s="5">
        <v>44</v>
      </c>
      <c r="N1848" s="7">
        <v>133957.56</v>
      </c>
      <c r="O1848" s="2">
        <v>3044.49</v>
      </c>
      <c r="P1848">
        <v>44</v>
      </c>
      <c r="Q1848" s="2">
        <v>133957.56</v>
      </c>
      <c r="R1848">
        <v>0</v>
      </c>
      <c r="V1848">
        <v>0</v>
      </c>
      <c r="W1848">
        <v>0</v>
      </c>
      <c r="X1848">
        <v>0</v>
      </c>
      <c r="Y1848" s="2">
        <v>3067.59</v>
      </c>
      <c r="Z1848" s="2">
        <v>3067.59</v>
      </c>
      <c r="AA1848" s="2">
        <v>3067.59</v>
      </c>
      <c r="AB1848" s="1">
        <v>42382</v>
      </c>
      <c r="AC1848" t="s">
        <v>53</v>
      </c>
      <c r="AD1848" t="s">
        <v>53</v>
      </c>
      <c r="AK1848">
        <v>0</v>
      </c>
      <c r="AU1848" s="6">
        <v>42300</v>
      </c>
      <c r="AV1848" s="6">
        <v>42300</v>
      </c>
      <c r="AW1848" t="s">
        <v>54</v>
      </c>
      <c r="AX1848" t="str">
        <f t="shared" si="141"/>
        <v>FOR</v>
      </c>
      <c r="AY1848" t="s">
        <v>55</v>
      </c>
    </row>
    <row r="1849" spans="1:51">
      <c r="A1849">
        <v>100371</v>
      </c>
      <c r="B1849" t="s">
        <v>133</v>
      </c>
      <c r="C1849" t="str">
        <f t="shared" si="144"/>
        <v>11629770154</v>
      </c>
      <c r="D1849" t="str">
        <f t="shared" si="144"/>
        <v>11629770154</v>
      </c>
      <c r="E1849" t="s">
        <v>52</v>
      </c>
      <c r="F1849">
        <v>2015</v>
      </c>
      <c r="G1849">
        <v>40191</v>
      </c>
      <c r="H1849" s="1">
        <v>42185</v>
      </c>
      <c r="I1849" s="1">
        <v>42198</v>
      </c>
      <c r="J1849" s="1">
        <v>42196</v>
      </c>
      <c r="K1849" s="1">
        <v>42256</v>
      </c>
      <c r="L1849" s="7">
        <v>2038.62</v>
      </c>
      <c r="M1849" s="5">
        <v>44</v>
      </c>
      <c r="N1849" s="7">
        <v>89699.28</v>
      </c>
      <c r="O1849" s="2">
        <v>2038.62</v>
      </c>
      <c r="P1849">
        <v>44</v>
      </c>
      <c r="Q1849" s="2">
        <v>89699.28</v>
      </c>
      <c r="R1849">
        <v>0</v>
      </c>
      <c r="V1849">
        <v>0</v>
      </c>
      <c r="W1849">
        <v>0</v>
      </c>
      <c r="X1849">
        <v>0</v>
      </c>
      <c r="Y1849" s="2">
        <v>2053.39</v>
      </c>
      <c r="Z1849" s="2">
        <v>2053.39</v>
      </c>
      <c r="AA1849" s="2">
        <v>2053.39</v>
      </c>
      <c r="AB1849" s="1">
        <v>42382</v>
      </c>
      <c r="AC1849" t="s">
        <v>53</v>
      </c>
      <c r="AD1849" t="s">
        <v>53</v>
      </c>
      <c r="AK1849">
        <v>0</v>
      </c>
      <c r="AU1849" s="6">
        <v>42300</v>
      </c>
      <c r="AV1849" s="6">
        <v>42300</v>
      </c>
      <c r="AW1849" t="s">
        <v>54</v>
      </c>
      <c r="AX1849" t="str">
        <f t="shared" si="141"/>
        <v>FOR</v>
      </c>
      <c r="AY1849" t="s">
        <v>55</v>
      </c>
    </row>
    <row r="1850" spans="1:51">
      <c r="A1850">
        <v>100371</v>
      </c>
      <c r="B1850" t="s">
        <v>133</v>
      </c>
      <c r="C1850" t="str">
        <f t="shared" si="144"/>
        <v>11629770154</v>
      </c>
      <c r="D1850" t="str">
        <f t="shared" si="144"/>
        <v>11629770154</v>
      </c>
      <c r="E1850" t="s">
        <v>52</v>
      </c>
      <c r="F1850">
        <v>2015</v>
      </c>
      <c r="G1850">
        <v>47976</v>
      </c>
      <c r="H1850" s="1">
        <v>42216</v>
      </c>
      <c r="I1850" s="1">
        <v>42230</v>
      </c>
      <c r="J1850" s="1">
        <v>42228</v>
      </c>
      <c r="K1850" s="1">
        <v>42288</v>
      </c>
      <c r="L1850" s="7">
        <v>189853.09</v>
      </c>
      <c r="M1850" s="5">
        <v>71</v>
      </c>
      <c r="N1850" s="7">
        <v>13479569.390000001</v>
      </c>
      <c r="O1850" s="2">
        <v>189853.09</v>
      </c>
      <c r="P1850">
        <v>71</v>
      </c>
      <c r="Q1850" s="2">
        <v>13479569.390000001</v>
      </c>
      <c r="R1850" s="2">
        <v>1096.44</v>
      </c>
      <c r="V1850">
        <v>0</v>
      </c>
      <c r="W1850">
        <v>0</v>
      </c>
      <c r="X1850">
        <v>0</v>
      </c>
      <c r="Y1850" s="2">
        <v>190949.53</v>
      </c>
      <c r="Z1850" s="2">
        <v>190949.53</v>
      </c>
      <c r="AA1850" s="2">
        <v>190949.53</v>
      </c>
      <c r="AB1850" s="1">
        <v>42382</v>
      </c>
      <c r="AC1850" t="s">
        <v>53</v>
      </c>
      <c r="AD1850" t="s">
        <v>53</v>
      </c>
      <c r="AG1850" s="2">
        <v>1096.44</v>
      </c>
      <c r="AK1850">
        <v>0</v>
      </c>
      <c r="AU1850" s="6">
        <v>42359</v>
      </c>
      <c r="AV1850" s="6">
        <v>42359</v>
      </c>
      <c r="AW1850" t="s">
        <v>54</v>
      </c>
      <c r="AX1850" t="str">
        <f t="shared" si="141"/>
        <v>FOR</v>
      </c>
      <c r="AY1850" t="s">
        <v>55</v>
      </c>
    </row>
    <row r="1851" spans="1:51">
      <c r="A1851">
        <v>100371</v>
      </c>
      <c r="B1851" t="s">
        <v>133</v>
      </c>
      <c r="C1851" t="str">
        <f t="shared" si="144"/>
        <v>11629770154</v>
      </c>
      <c r="D1851" t="str">
        <f t="shared" si="144"/>
        <v>11629770154</v>
      </c>
      <c r="E1851" t="s">
        <v>52</v>
      </c>
      <c r="F1851">
        <v>2015</v>
      </c>
      <c r="G1851">
        <v>47977</v>
      </c>
      <c r="H1851" s="1">
        <v>42216</v>
      </c>
      <c r="I1851" s="1">
        <v>42230</v>
      </c>
      <c r="J1851" s="1">
        <v>42228</v>
      </c>
      <c r="K1851" s="1">
        <v>42288</v>
      </c>
      <c r="L1851" s="7">
        <v>1349.84</v>
      </c>
      <c r="M1851" s="5">
        <v>71</v>
      </c>
      <c r="N1851" s="7">
        <v>95838.64</v>
      </c>
      <c r="O1851" s="2">
        <v>1349.84</v>
      </c>
      <c r="P1851">
        <v>71</v>
      </c>
      <c r="Q1851" s="2">
        <v>95838.64</v>
      </c>
      <c r="R1851">
        <v>10.84</v>
      </c>
      <c r="V1851">
        <v>0</v>
      </c>
      <c r="W1851">
        <v>0</v>
      </c>
      <c r="X1851">
        <v>0</v>
      </c>
      <c r="Y1851" s="2">
        <v>1360.68</v>
      </c>
      <c r="Z1851" s="2">
        <v>1360.68</v>
      </c>
      <c r="AA1851" s="2">
        <v>1360.68</v>
      </c>
      <c r="AB1851" s="1">
        <v>42382</v>
      </c>
      <c r="AC1851" t="s">
        <v>53</v>
      </c>
      <c r="AD1851" t="s">
        <v>53</v>
      </c>
      <c r="AG1851">
        <v>10.84</v>
      </c>
      <c r="AK1851">
        <v>0</v>
      </c>
      <c r="AU1851" s="6">
        <v>42359</v>
      </c>
      <c r="AV1851" s="6">
        <v>42359</v>
      </c>
      <c r="AW1851" t="s">
        <v>54</v>
      </c>
      <c r="AX1851" t="str">
        <f t="shared" si="141"/>
        <v>FOR</v>
      </c>
      <c r="AY1851" t="s">
        <v>55</v>
      </c>
    </row>
    <row r="1852" spans="1:51">
      <c r="A1852">
        <v>100371</v>
      </c>
      <c r="B1852" t="s">
        <v>133</v>
      </c>
      <c r="C1852" t="str">
        <f t="shared" si="144"/>
        <v>11629770154</v>
      </c>
      <c r="D1852" t="str">
        <f t="shared" si="144"/>
        <v>11629770154</v>
      </c>
      <c r="E1852" t="s">
        <v>52</v>
      </c>
      <c r="F1852">
        <v>2015</v>
      </c>
      <c r="G1852">
        <v>47978</v>
      </c>
      <c r="H1852" s="1">
        <v>42216</v>
      </c>
      <c r="I1852" s="1">
        <v>42230</v>
      </c>
      <c r="J1852" s="1">
        <v>42228</v>
      </c>
      <c r="K1852" s="1">
        <v>42288</v>
      </c>
      <c r="L1852" s="7">
        <v>35733.08</v>
      </c>
      <c r="M1852" s="5">
        <v>71</v>
      </c>
      <c r="N1852" s="7">
        <v>2537048.6800000002</v>
      </c>
      <c r="O1852" s="2">
        <v>35733.08</v>
      </c>
      <c r="P1852">
        <v>71</v>
      </c>
      <c r="Q1852" s="2">
        <v>2537048.6800000002</v>
      </c>
      <c r="R1852">
        <v>259.18</v>
      </c>
      <c r="V1852">
        <v>0</v>
      </c>
      <c r="W1852">
        <v>0</v>
      </c>
      <c r="X1852">
        <v>0</v>
      </c>
      <c r="Y1852" s="2">
        <v>35992.26</v>
      </c>
      <c r="Z1852" s="2">
        <v>35992.26</v>
      </c>
      <c r="AA1852" s="2">
        <v>35992.26</v>
      </c>
      <c r="AB1852" s="1">
        <v>42382</v>
      </c>
      <c r="AC1852" t="s">
        <v>53</v>
      </c>
      <c r="AD1852" t="s">
        <v>53</v>
      </c>
      <c r="AG1852">
        <v>259.18</v>
      </c>
      <c r="AK1852">
        <v>0</v>
      </c>
      <c r="AU1852" s="6">
        <v>42359</v>
      </c>
      <c r="AV1852" s="6">
        <v>42359</v>
      </c>
      <c r="AW1852" t="s">
        <v>54</v>
      </c>
      <c r="AX1852" t="str">
        <f t="shared" si="141"/>
        <v>FOR</v>
      </c>
      <c r="AY1852" t="s">
        <v>55</v>
      </c>
    </row>
    <row r="1853" spans="1:51">
      <c r="A1853">
        <v>100371</v>
      </c>
      <c r="B1853" t="s">
        <v>133</v>
      </c>
      <c r="C1853" t="str">
        <f t="shared" si="144"/>
        <v>11629770154</v>
      </c>
      <c r="D1853" t="str">
        <f t="shared" si="144"/>
        <v>11629770154</v>
      </c>
      <c r="E1853" t="s">
        <v>52</v>
      </c>
      <c r="F1853">
        <v>2015</v>
      </c>
      <c r="G1853">
        <v>47979</v>
      </c>
      <c r="H1853" s="1">
        <v>42216</v>
      </c>
      <c r="I1853" s="1">
        <v>42230</v>
      </c>
      <c r="J1853" s="1">
        <v>42228</v>
      </c>
      <c r="K1853" s="1">
        <v>42288</v>
      </c>
      <c r="L1853" s="7">
        <v>4246.16</v>
      </c>
      <c r="M1853" s="5">
        <v>71</v>
      </c>
      <c r="N1853" s="7">
        <v>301477.36</v>
      </c>
      <c r="O1853" s="2">
        <v>4246.16</v>
      </c>
      <c r="P1853">
        <v>71</v>
      </c>
      <c r="Q1853" s="2">
        <v>301477.36</v>
      </c>
      <c r="R1853">
        <v>34.32</v>
      </c>
      <c r="V1853">
        <v>0</v>
      </c>
      <c r="W1853">
        <v>0</v>
      </c>
      <c r="X1853">
        <v>0</v>
      </c>
      <c r="Y1853" s="2">
        <v>4280.4799999999996</v>
      </c>
      <c r="Z1853" s="2">
        <v>4280.4799999999996</v>
      </c>
      <c r="AA1853" s="2">
        <v>4280.4799999999996</v>
      </c>
      <c r="AB1853" s="1">
        <v>42382</v>
      </c>
      <c r="AC1853" t="s">
        <v>53</v>
      </c>
      <c r="AD1853" t="s">
        <v>53</v>
      </c>
      <c r="AG1853">
        <v>34.32</v>
      </c>
      <c r="AK1853">
        <v>0</v>
      </c>
      <c r="AU1853" s="6">
        <v>42359</v>
      </c>
      <c r="AV1853" s="6">
        <v>42359</v>
      </c>
      <c r="AW1853" t="s">
        <v>54</v>
      </c>
      <c r="AX1853" t="str">
        <f t="shared" si="141"/>
        <v>FOR</v>
      </c>
      <c r="AY1853" t="s">
        <v>55</v>
      </c>
    </row>
    <row r="1854" spans="1:51">
      <c r="A1854">
        <v>100371</v>
      </c>
      <c r="B1854" t="s">
        <v>133</v>
      </c>
      <c r="C1854" t="str">
        <f t="shared" si="144"/>
        <v>11629770154</v>
      </c>
      <c r="D1854" t="str">
        <f t="shared" si="144"/>
        <v>11629770154</v>
      </c>
      <c r="E1854" t="s">
        <v>52</v>
      </c>
      <c r="F1854">
        <v>2015</v>
      </c>
      <c r="G1854">
        <v>47980</v>
      </c>
      <c r="H1854" s="1">
        <v>42216</v>
      </c>
      <c r="I1854" s="1">
        <v>42230</v>
      </c>
      <c r="J1854" s="1">
        <v>42228</v>
      </c>
      <c r="K1854" s="1">
        <v>42288</v>
      </c>
      <c r="L1854" s="7">
        <v>13459.16</v>
      </c>
      <c r="M1854" s="5">
        <v>71</v>
      </c>
      <c r="N1854" s="7">
        <v>955600.36</v>
      </c>
      <c r="O1854" s="2">
        <v>13459.16</v>
      </c>
      <c r="P1854">
        <v>71</v>
      </c>
      <c r="Q1854" s="2">
        <v>955600.36</v>
      </c>
      <c r="R1854">
        <v>97.61</v>
      </c>
      <c r="V1854">
        <v>0</v>
      </c>
      <c r="W1854">
        <v>0</v>
      </c>
      <c r="X1854">
        <v>0</v>
      </c>
      <c r="Y1854" s="2">
        <v>13556.77</v>
      </c>
      <c r="Z1854" s="2">
        <v>13556.77</v>
      </c>
      <c r="AA1854" s="2">
        <v>13556.77</v>
      </c>
      <c r="AB1854" s="1">
        <v>42382</v>
      </c>
      <c r="AC1854" t="s">
        <v>53</v>
      </c>
      <c r="AD1854" t="s">
        <v>53</v>
      </c>
      <c r="AG1854">
        <v>97.61</v>
      </c>
      <c r="AK1854">
        <v>0</v>
      </c>
      <c r="AU1854" s="6">
        <v>42359</v>
      </c>
      <c r="AV1854" s="6">
        <v>42359</v>
      </c>
      <c r="AW1854" t="s">
        <v>54</v>
      </c>
      <c r="AX1854" t="str">
        <f t="shared" si="141"/>
        <v>FOR</v>
      </c>
      <c r="AY1854" t="s">
        <v>55</v>
      </c>
    </row>
    <row r="1855" spans="1:51">
      <c r="A1855">
        <v>100371</v>
      </c>
      <c r="B1855" t="s">
        <v>133</v>
      </c>
      <c r="C1855" t="str">
        <f t="shared" si="144"/>
        <v>11629770154</v>
      </c>
      <c r="D1855" t="str">
        <f t="shared" si="144"/>
        <v>11629770154</v>
      </c>
      <c r="E1855" t="s">
        <v>52</v>
      </c>
      <c r="F1855">
        <v>2015</v>
      </c>
      <c r="G1855">
        <v>47981</v>
      </c>
      <c r="H1855" s="1">
        <v>42216</v>
      </c>
      <c r="I1855" s="1">
        <v>42229</v>
      </c>
      <c r="J1855" s="1">
        <v>42228</v>
      </c>
      <c r="K1855" s="1">
        <v>42288</v>
      </c>
      <c r="L1855" s="7">
        <v>3535.13</v>
      </c>
      <c r="M1855" s="5">
        <v>71</v>
      </c>
      <c r="N1855" s="7">
        <v>250994.23</v>
      </c>
      <c r="O1855" s="2">
        <v>3535.13</v>
      </c>
      <c r="P1855">
        <v>71</v>
      </c>
      <c r="Q1855" s="2">
        <v>250994.23</v>
      </c>
      <c r="R1855">
        <v>27.1</v>
      </c>
      <c r="V1855">
        <v>0</v>
      </c>
      <c r="W1855">
        <v>0</v>
      </c>
      <c r="X1855">
        <v>0</v>
      </c>
      <c r="Y1855" s="2">
        <v>3562.23</v>
      </c>
      <c r="Z1855" s="2">
        <v>3562.23</v>
      </c>
      <c r="AA1855" s="2">
        <v>3562.23</v>
      </c>
      <c r="AB1855" s="1">
        <v>42382</v>
      </c>
      <c r="AC1855" t="s">
        <v>53</v>
      </c>
      <c r="AD1855" t="s">
        <v>53</v>
      </c>
      <c r="AG1855">
        <v>27.1</v>
      </c>
      <c r="AK1855">
        <v>0</v>
      </c>
      <c r="AU1855" s="6">
        <v>42359</v>
      </c>
      <c r="AV1855" s="6">
        <v>42359</v>
      </c>
      <c r="AW1855" t="s">
        <v>54</v>
      </c>
      <c r="AX1855" t="str">
        <f t="shared" si="141"/>
        <v>FOR</v>
      </c>
      <c r="AY1855" t="s">
        <v>55</v>
      </c>
    </row>
    <row r="1856" spans="1:51">
      <c r="A1856">
        <v>100371</v>
      </c>
      <c r="B1856" t="s">
        <v>133</v>
      </c>
      <c r="C1856" t="str">
        <f t="shared" si="144"/>
        <v>11629770154</v>
      </c>
      <c r="D1856" t="str">
        <f t="shared" si="144"/>
        <v>11629770154</v>
      </c>
      <c r="E1856" t="s">
        <v>52</v>
      </c>
      <c r="F1856">
        <v>2015</v>
      </c>
      <c r="G1856">
        <v>47982</v>
      </c>
      <c r="H1856" s="1">
        <v>42216</v>
      </c>
      <c r="I1856" s="1">
        <v>42230</v>
      </c>
      <c r="J1856" s="1">
        <v>42228</v>
      </c>
      <c r="K1856" s="1">
        <v>42288</v>
      </c>
      <c r="L1856" s="7">
        <v>775.4</v>
      </c>
      <c r="M1856" s="5">
        <v>71</v>
      </c>
      <c r="N1856" s="7">
        <v>55053.4</v>
      </c>
      <c r="O1856">
        <v>775.4</v>
      </c>
      <c r="P1856">
        <v>71</v>
      </c>
      <c r="Q1856" s="2">
        <v>55053.4</v>
      </c>
      <c r="R1856">
        <v>5.61</v>
      </c>
      <c r="V1856">
        <v>0</v>
      </c>
      <c r="W1856">
        <v>0</v>
      </c>
      <c r="X1856">
        <v>0</v>
      </c>
      <c r="Y1856">
        <v>781.01</v>
      </c>
      <c r="Z1856">
        <v>781.01</v>
      </c>
      <c r="AA1856">
        <v>781.01</v>
      </c>
      <c r="AB1856" s="1">
        <v>42382</v>
      </c>
      <c r="AC1856" t="s">
        <v>53</v>
      </c>
      <c r="AD1856" t="s">
        <v>53</v>
      </c>
      <c r="AG1856">
        <v>5.61</v>
      </c>
      <c r="AK1856">
        <v>0</v>
      </c>
      <c r="AU1856" s="6">
        <v>42359</v>
      </c>
      <c r="AV1856" s="6">
        <v>42359</v>
      </c>
      <c r="AW1856" t="s">
        <v>54</v>
      </c>
      <c r="AX1856" t="str">
        <f t="shared" si="141"/>
        <v>FOR</v>
      </c>
      <c r="AY1856" t="s">
        <v>55</v>
      </c>
    </row>
    <row r="1857" spans="1:51">
      <c r="A1857">
        <v>100371</v>
      </c>
      <c r="B1857" t="s">
        <v>133</v>
      </c>
      <c r="C1857" t="str">
        <f t="shared" si="144"/>
        <v>11629770154</v>
      </c>
      <c r="D1857" t="str">
        <f t="shared" si="144"/>
        <v>11629770154</v>
      </c>
      <c r="E1857" t="s">
        <v>52</v>
      </c>
      <c r="F1857">
        <v>2015</v>
      </c>
      <c r="G1857">
        <v>48169</v>
      </c>
      <c r="H1857" s="1">
        <v>42216</v>
      </c>
      <c r="I1857" s="1">
        <v>42230</v>
      </c>
      <c r="J1857" s="1">
        <v>42228</v>
      </c>
      <c r="K1857" s="1">
        <v>42288</v>
      </c>
      <c r="L1857" s="7">
        <v>4505.6000000000004</v>
      </c>
      <c r="M1857" s="5">
        <v>71</v>
      </c>
      <c r="N1857" s="7">
        <v>319897.59999999998</v>
      </c>
      <c r="O1857" s="2">
        <v>4505.6000000000004</v>
      </c>
      <c r="P1857">
        <v>71</v>
      </c>
      <c r="Q1857" s="2">
        <v>319897.59999999998</v>
      </c>
      <c r="R1857">
        <v>36.04</v>
      </c>
      <c r="V1857">
        <v>0</v>
      </c>
      <c r="W1857">
        <v>0</v>
      </c>
      <c r="X1857">
        <v>0</v>
      </c>
      <c r="Y1857" s="2">
        <v>4541.6400000000003</v>
      </c>
      <c r="Z1857" s="2">
        <v>4541.6400000000003</v>
      </c>
      <c r="AA1857" s="2">
        <v>4541.6400000000003</v>
      </c>
      <c r="AB1857" s="1">
        <v>42382</v>
      </c>
      <c r="AC1857" t="s">
        <v>53</v>
      </c>
      <c r="AD1857" t="s">
        <v>53</v>
      </c>
      <c r="AG1857">
        <v>36.04</v>
      </c>
      <c r="AK1857">
        <v>0</v>
      </c>
      <c r="AU1857" s="6">
        <v>42359</v>
      </c>
      <c r="AV1857" s="6">
        <v>42359</v>
      </c>
      <c r="AW1857" t="s">
        <v>54</v>
      </c>
      <c r="AX1857" t="str">
        <f t="shared" si="141"/>
        <v>FOR</v>
      </c>
      <c r="AY1857" t="s">
        <v>55</v>
      </c>
    </row>
    <row r="1858" spans="1:51" hidden="1">
      <c r="A1858">
        <v>100385</v>
      </c>
      <c r="B1858" t="s">
        <v>134</v>
      </c>
      <c r="C1858" t="str">
        <f t="shared" ref="C1858:D1865" si="145">"06037901003"</f>
        <v>06037901003</v>
      </c>
      <c r="D1858" t="str">
        <f t="shared" si="145"/>
        <v>06037901003</v>
      </c>
      <c r="E1858" t="s">
        <v>52</v>
      </c>
      <c r="F1858">
        <v>2014</v>
      </c>
      <c r="G1858">
        <v>6846</v>
      </c>
      <c r="H1858" s="1">
        <v>41802</v>
      </c>
      <c r="I1858" s="1">
        <v>41815</v>
      </c>
      <c r="J1858" s="1">
        <v>41815</v>
      </c>
      <c r="K1858" s="1">
        <v>41905</v>
      </c>
      <c r="N1858" s="5"/>
      <c r="O1858">
        <v>436.81</v>
      </c>
      <c r="P1858">
        <v>286</v>
      </c>
      <c r="Q1858" s="2">
        <v>124927.66</v>
      </c>
      <c r="R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 s="1">
        <v>42382</v>
      </c>
      <c r="AC1858" t="s">
        <v>53</v>
      </c>
      <c r="AD1858" t="s">
        <v>53</v>
      </c>
      <c r="AK1858">
        <v>0</v>
      </c>
      <c r="AU1858" s="6">
        <v>42191</v>
      </c>
      <c r="AV1858" s="6">
        <v>42191</v>
      </c>
      <c r="AW1858" t="s">
        <v>54</v>
      </c>
      <c r="AX1858" t="str">
        <f t="shared" si="141"/>
        <v>FOR</v>
      </c>
      <c r="AY1858" t="s">
        <v>55</v>
      </c>
    </row>
    <row r="1859" spans="1:51" hidden="1">
      <c r="A1859">
        <v>100385</v>
      </c>
      <c r="B1859" t="s">
        <v>134</v>
      </c>
      <c r="C1859" t="str">
        <f t="shared" si="145"/>
        <v>06037901003</v>
      </c>
      <c r="D1859" t="str">
        <f t="shared" si="145"/>
        <v>06037901003</v>
      </c>
      <c r="E1859" t="s">
        <v>52</v>
      </c>
      <c r="F1859">
        <v>2014</v>
      </c>
      <c r="G1859">
        <v>7004</v>
      </c>
      <c r="H1859" s="1">
        <v>41808</v>
      </c>
      <c r="I1859" s="1">
        <v>41821</v>
      </c>
      <c r="J1859" s="1">
        <v>41821</v>
      </c>
      <c r="K1859" s="1">
        <v>41911</v>
      </c>
      <c r="N1859" s="5"/>
      <c r="O1859">
        <v>436.81</v>
      </c>
      <c r="P1859">
        <v>280</v>
      </c>
      <c r="Q1859" s="2">
        <v>122306.8</v>
      </c>
      <c r="R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 s="1">
        <v>42382</v>
      </c>
      <c r="AC1859" t="s">
        <v>53</v>
      </c>
      <c r="AD1859" t="s">
        <v>53</v>
      </c>
      <c r="AK1859">
        <v>0</v>
      </c>
      <c r="AU1859" s="6">
        <v>42191</v>
      </c>
      <c r="AV1859" s="6">
        <v>42191</v>
      </c>
      <c r="AW1859" t="s">
        <v>54</v>
      </c>
      <c r="AX1859" t="str">
        <f t="shared" ref="AX1859:AX1922" si="146">"FOR"</f>
        <v>FOR</v>
      </c>
      <c r="AY1859" t="s">
        <v>55</v>
      </c>
    </row>
    <row r="1860" spans="1:51" hidden="1">
      <c r="A1860">
        <v>100385</v>
      </c>
      <c r="B1860" t="s">
        <v>134</v>
      </c>
      <c r="C1860" t="str">
        <f t="shared" si="145"/>
        <v>06037901003</v>
      </c>
      <c r="D1860" t="str">
        <f t="shared" si="145"/>
        <v>06037901003</v>
      </c>
      <c r="E1860" t="s">
        <v>52</v>
      </c>
      <c r="F1860">
        <v>2014</v>
      </c>
      <c r="G1860">
        <v>7307</v>
      </c>
      <c r="H1860" s="1">
        <v>41817</v>
      </c>
      <c r="I1860" s="1">
        <v>41830</v>
      </c>
      <c r="J1860" s="1">
        <v>41830</v>
      </c>
      <c r="K1860" s="1">
        <v>41920</v>
      </c>
      <c r="N1860" s="5"/>
      <c r="O1860">
        <v>873.62</v>
      </c>
      <c r="P1860">
        <v>271</v>
      </c>
      <c r="Q1860" s="2">
        <v>236751.02</v>
      </c>
      <c r="R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 s="1">
        <v>42382</v>
      </c>
      <c r="AC1860" t="s">
        <v>53</v>
      </c>
      <c r="AD1860" t="s">
        <v>53</v>
      </c>
      <c r="AK1860">
        <v>0</v>
      </c>
      <c r="AU1860" s="6">
        <v>42191</v>
      </c>
      <c r="AV1860" s="6">
        <v>42191</v>
      </c>
      <c r="AW1860" t="s">
        <v>54</v>
      </c>
      <c r="AX1860" t="str">
        <f t="shared" si="146"/>
        <v>FOR</v>
      </c>
      <c r="AY1860" t="s">
        <v>55</v>
      </c>
    </row>
    <row r="1861" spans="1:51" hidden="1">
      <c r="A1861">
        <v>100385</v>
      </c>
      <c r="B1861" t="s">
        <v>134</v>
      </c>
      <c r="C1861" t="str">
        <f t="shared" si="145"/>
        <v>06037901003</v>
      </c>
      <c r="D1861" t="str">
        <f t="shared" si="145"/>
        <v>06037901003</v>
      </c>
      <c r="E1861" t="s">
        <v>52</v>
      </c>
      <c r="F1861">
        <v>2014</v>
      </c>
      <c r="G1861">
        <v>8386</v>
      </c>
      <c r="H1861" s="1">
        <v>41855</v>
      </c>
      <c r="I1861" s="1">
        <v>42263</v>
      </c>
      <c r="J1861" s="1">
        <v>42263</v>
      </c>
      <c r="K1861" s="1">
        <v>42323</v>
      </c>
      <c r="N1861" s="5"/>
      <c r="O1861">
        <v>873.62</v>
      </c>
      <c r="P1861">
        <v>-48</v>
      </c>
      <c r="Q1861" s="2">
        <v>-41933.760000000002</v>
      </c>
      <c r="R1861">
        <v>0</v>
      </c>
      <c r="V1861">
        <v>0</v>
      </c>
      <c r="W1861">
        <v>0</v>
      </c>
      <c r="X1861">
        <v>0</v>
      </c>
      <c r="Y1861">
        <v>0</v>
      </c>
      <c r="Z1861">
        <v>873.62</v>
      </c>
      <c r="AA1861">
        <v>0</v>
      </c>
      <c r="AB1861" s="1">
        <v>42382</v>
      </c>
      <c r="AC1861" t="s">
        <v>53</v>
      </c>
      <c r="AD1861" t="s">
        <v>53</v>
      </c>
      <c r="AK1861">
        <v>0</v>
      </c>
      <c r="AU1861" s="6">
        <v>42275</v>
      </c>
      <c r="AV1861" s="6">
        <v>42275</v>
      </c>
      <c r="AW1861" t="s">
        <v>54</v>
      </c>
      <c r="AX1861" t="str">
        <f t="shared" si="146"/>
        <v>FOR</v>
      </c>
      <c r="AY1861" t="s">
        <v>55</v>
      </c>
    </row>
    <row r="1862" spans="1:51" hidden="1">
      <c r="A1862">
        <v>100385</v>
      </c>
      <c r="B1862" t="s">
        <v>134</v>
      </c>
      <c r="C1862" t="str">
        <f t="shared" si="145"/>
        <v>06037901003</v>
      </c>
      <c r="D1862" t="str">
        <f t="shared" si="145"/>
        <v>06037901003</v>
      </c>
      <c r="E1862" t="s">
        <v>52</v>
      </c>
      <c r="F1862">
        <v>2014</v>
      </c>
      <c r="G1862">
        <v>8472</v>
      </c>
      <c r="H1862" s="1">
        <v>41870</v>
      </c>
      <c r="I1862" s="1">
        <v>41878</v>
      </c>
      <c r="J1862" s="1">
        <v>41878</v>
      </c>
      <c r="K1862" s="1">
        <v>41968</v>
      </c>
      <c r="N1862" s="5"/>
      <c r="O1862" s="2">
        <v>1310.43</v>
      </c>
      <c r="P1862">
        <v>223</v>
      </c>
      <c r="Q1862" s="2">
        <v>292225.89</v>
      </c>
      <c r="R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 s="1">
        <v>42382</v>
      </c>
      <c r="AC1862" t="s">
        <v>53</v>
      </c>
      <c r="AD1862" t="s">
        <v>53</v>
      </c>
      <c r="AK1862">
        <v>0</v>
      </c>
      <c r="AU1862" s="6">
        <v>42191</v>
      </c>
      <c r="AV1862" s="6">
        <v>42191</v>
      </c>
      <c r="AW1862" t="s">
        <v>54</v>
      </c>
      <c r="AX1862" t="str">
        <f t="shared" si="146"/>
        <v>FOR</v>
      </c>
      <c r="AY1862" t="s">
        <v>55</v>
      </c>
    </row>
    <row r="1863" spans="1:51" hidden="1">
      <c r="A1863">
        <v>100385</v>
      </c>
      <c r="B1863" t="s">
        <v>134</v>
      </c>
      <c r="C1863" t="str">
        <f t="shared" si="145"/>
        <v>06037901003</v>
      </c>
      <c r="D1863" t="str">
        <f t="shared" si="145"/>
        <v>06037901003</v>
      </c>
      <c r="E1863" t="s">
        <v>52</v>
      </c>
      <c r="F1863">
        <v>2014</v>
      </c>
      <c r="G1863">
        <v>9203</v>
      </c>
      <c r="H1863" s="1">
        <v>41900</v>
      </c>
      <c r="I1863" s="1">
        <v>41907</v>
      </c>
      <c r="J1863" s="1">
        <v>41907</v>
      </c>
      <c r="K1863" s="1">
        <v>41997</v>
      </c>
      <c r="N1863" s="5"/>
      <c r="O1863" s="2">
        <v>2184.0500000000002</v>
      </c>
      <c r="P1863">
        <v>252</v>
      </c>
      <c r="Q1863" s="2">
        <v>550380.6</v>
      </c>
      <c r="R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 s="1">
        <v>42382</v>
      </c>
      <c r="AC1863" t="s">
        <v>53</v>
      </c>
      <c r="AD1863" t="s">
        <v>53</v>
      </c>
      <c r="AK1863">
        <v>0</v>
      </c>
      <c r="AU1863" s="6">
        <v>42249</v>
      </c>
      <c r="AV1863" s="6">
        <v>42249</v>
      </c>
      <c r="AW1863" t="s">
        <v>54</v>
      </c>
      <c r="AX1863" t="str">
        <f t="shared" si="146"/>
        <v>FOR</v>
      </c>
      <c r="AY1863" t="s">
        <v>55</v>
      </c>
    </row>
    <row r="1864" spans="1:51" hidden="1">
      <c r="A1864">
        <v>100385</v>
      </c>
      <c r="B1864" t="s">
        <v>134</v>
      </c>
      <c r="C1864" t="str">
        <f t="shared" si="145"/>
        <v>06037901003</v>
      </c>
      <c r="D1864" t="str">
        <f t="shared" si="145"/>
        <v>06037901003</v>
      </c>
      <c r="E1864" t="s">
        <v>52</v>
      </c>
      <c r="F1864">
        <v>2014</v>
      </c>
      <c r="G1864">
        <v>9546</v>
      </c>
      <c r="H1864" s="1">
        <v>41913</v>
      </c>
      <c r="I1864" s="1">
        <v>42263</v>
      </c>
      <c r="J1864" s="1">
        <v>42263</v>
      </c>
      <c r="K1864" s="1">
        <v>42323</v>
      </c>
      <c r="N1864" s="5"/>
      <c r="O1864" s="2">
        <v>2184.0500000000002</v>
      </c>
      <c r="P1864">
        <v>-48</v>
      </c>
      <c r="Q1864" s="2">
        <v>-104834.4</v>
      </c>
      <c r="R1864">
        <v>0</v>
      </c>
      <c r="V1864">
        <v>0</v>
      </c>
      <c r="W1864">
        <v>0</v>
      </c>
      <c r="X1864">
        <v>0</v>
      </c>
      <c r="Y1864">
        <v>0</v>
      </c>
      <c r="Z1864" s="2">
        <v>2184.0500000000002</v>
      </c>
      <c r="AA1864">
        <v>0</v>
      </c>
      <c r="AB1864" s="1">
        <v>42382</v>
      </c>
      <c r="AC1864" t="s">
        <v>53</v>
      </c>
      <c r="AD1864" t="s">
        <v>53</v>
      </c>
      <c r="AK1864">
        <v>0</v>
      </c>
      <c r="AU1864" s="6">
        <v>42275</v>
      </c>
      <c r="AV1864" s="6">
        <v>42275</v>
      </c>
      <c r="AW1864" t="s">
        <v>54</v>
      </c>
      <c r="AX1864" t="str">
        <f t="shared" si="146"/>
        <v>FOR</v>
      </c>
      <c r="AY1864" t="s">
        <v>55</v>
      </c>
    </row>
    <row r="1865" spans="1:51">
      <c r="A1865">
        <v>100385</v>
      </c>
      <c r="B1865" t="s">
        <v>134</v>
      </c>
      <c r="C1865" t="str">
        <f t="shared" si="145"/>
        <v>06037901003</v>
      </c>
      <c r="D1865" t="str">
        <f t="shared" si="145"/>
        <v>06037901003</v>
      </c>
      <c r="E1865" t="s">
        <v>52</v>
      </c>
      <c r="F1865">
        <v>2014</v>
      </c>
      <c r="G1865">
        <v>11952</v>
      </c>
      <c r="H1865" s="1">
        <v>41989</v>
      </c>
      <c r="I1865" s="1">
        <v>41995</v>
      </c>
      <c r="J1865" s="1">
        <v>41995</v>
      </c>
      <c r="K1865" s="1">
        <v>42055</v>
      </c>
      <c r="L1865" s="7">
        <v>1747.24</v>
      </c>
      <c r="M1865" s="5">
        <v>285</v>
      </c>
      <c r="N1865" s="7">
        <v>497963.4</v>
      </c>
      <c r="O1865" s="2">
        <v>1747.24</v>
      </c>
      <c r="P1865">
        <v>285</v>
      </c>
      <c r="Q1865" s="2">
        <v>497963.4</v>
      </c>
      <c r="R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 s="1">
        <v>42382</v>
      </c>
      <c r="AC1865" t="s">
        <v>53</v>
      </c>
      <c r="AD1865" t="s">
        <v>53</v>
      </c>
      <c r="AK1865">
        <v>0</v>
      </c>
      <c r="AU1865" s="6">
        <v>42340</v>
      </c>
      <c r="AV1865" s="6">
        <v>42340</v>
      </c>
      <c r="AW1865" t="s">
        <v>54</v>
      </c>
      <c r="AX1865" t="str">
        <f t="shared" si="146"/>
        <v>FOR</v>
      </c>
      <c r="AY1865" t="s">
        <v>55</v>
      </c>
    </row>
    <row r="1866" spans="1:51" hidden="1">
      <c r="A1866">
        <v>100391</v>
      </c>
      <c r="B1866" t="s">
        <v>135</v>
      </c>
      <c r="C1866" t="str">
        <f t="shared" ref="C1866:D1868" si="147">"02375470289"</f>
        <v>02375470289</v>
      </c>
      <c r="D1866" t="str">
        <f t="shared" si="147"/>
        <v>02375470289</v>
      </c>
      <c r="E1866" t="s">
        <v>52</v>
      </c>
      <c r="F1866">
        <v>2014</v>
      </c>
      <c r="G1866">
        <v>183</v>
      </c>
      <c r="H1866" s="1">
        <v>41669</v>
      </c>
      <c r="I1866" s="1">
        <v>41680</v>
      </c>
      <c r="J1866" s="1">
        <v>41680</v>
      </c>
      <c r="K1866" s="1">
        <v>41770</v>
      </c>
      <c r="N1866" s="5"/>
      <c r="O1866">
        <v>549</v>
      </c>
      <c r="P1866">
        <v>332</v>
      </c>
      <c r="Q1866" s="2">
        <v>182268</v>
      </c>
      <c r="R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 s="1">
        <v>42382</v>
      </c>
      <c r="AC1866" t="s">
        <v>53</v>
      </c>
      <c r="AD1866" t="s">
        <v>53</v>
      </c>
      <c r="AK1866">
        <v>0</v>
      </c>
      <c r="AU1866" s="6">
        <v>42102</v>
      </c>
      <c r="AV1866" s="6">
        <v>42102</v>
      </c>
      <c r="AW1866" t="s">
        <v>54</v>
      </c>
      <c r="AX1866" t="str">
        <f t="shared" si="146"/>
        <v>FOR</v>
      </c>
      <c r="AY1866" t="s">
        <v>55</v>
      </c>
    </row>
    <row r="1867" spans="1:51">
      <c r="A1867">
        <v>100391</v>
      </c>
      <c r="B1867" t="s">
        <v>135</v>
      </c>
      <c r="C1867" t="str">
        <f t="shared" si="147"/>
        <v>02375470289</v>
      </c>
      <c r="D1867" t="str">
        <f t="shared" si="147"/>
        <v>02375470289</v>
      </c>
      <c r="E1867" t="s">
        <v>52</v>
      </c>
      <c r="F1867">
        <v>2014</v>
      </c>
      <c r="G1867">
        <v>2432</v>
      </c>
      <c r="H1867" s="1">
        <v>41970</v>
      </c>
      <c r="I1867" s="1">
        <v>41984</v>
      </c>
      <c r="J1867" s="1">
        <v>41984</v>
      </c>
      <c r="K1867" s="1">
        <v>42044</v>
      </c>
      <c r="L1867" s="7">
        <v>549</v>
      </c>
      <c r="M1867" s="5">
        <v>256</v>
      </c>
      <c r="N1867" s="7">
        <v>140544</v>
      </c>
      <c r="O1867">
        <v>549</v>
      </c>
      <c r="P1867">
        <v>256</v>
      </c>
      <c r="Q1867" s="2">
        <v>140544</v>
      </c>
      <c r="R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 s="1">
        <v>42382</v>
      </c>
      <c r="AC1867" t="s">
        <v>53</v>
      </c>
      <c r="AD1867" t="s">
        <v>53</v>
      </c>
      <c r="AK1867">
        <v>0</v>
      </c>
      <c r="AU1867" s="6">
        <v>42300</v>
      </c>
      <c r="AV1867" s="6">
        <v>42300</v>
      </c>
      <c r="AW1867" t="s">
        <v>54</v>
      </c>
      <c r="AX1867" t="str">
        <f t="shared" si="146"/>
        <v>FOR</v>
      </c>
      <c r="AY1867" t="s">
        <v>55</v>
      </c>
    </row>
    <row r="1868" spans="1:51">
      <c r="A1868">
        <v>100391</v>
      </c>
      <c r="B1868" t="s">
        <v>135</v>
      </c>
      <c r="C1868" t="str">
        <f t="shared" si="147"/>
        <v>02375470289</v>
      </c>
      <c r="D1868" t="str">
        <f t="shared" si="147"/>
        <v>02375470289</v>
      </c>
      <c r="E1868" t="s">
        <v>52</v>
      </c>
      <c r="F1868">
        <v>2015</v>
      </c>
      <c r="G1868" t="s">
        <v>136</v>
      </c>
      <c r="H1868" s="1">
        <v>42213</v>
      </c>
      <c r="I1868" s="1">
        <v>42216</v>
      </c>
      <c r="J1868" s="1">
        <v>42215</v>
      </c>
      <c r="K1868" s="1">
        <v>42275</v>
      </c>
      <c r="L1868" s="7">
        <v>450</v>
      </c>
      <c r="M1868" s="5">
        <v>25</v>
      </c>
      <c r="N1868" s="7">
        <v>11250</v>
      </c>
      <c r="O1868">
        <v>450</v>
      </c>
      <c r="P1868">
        <v>25</v>
      </c>
      <c r="Q1868" s="2">
        <v>11250</v>
      </c>
      <c r="R1868">
        <v>0</v>
      </c>
      <c r="V1868">
        <v>0</v>
      </c>
      <c r="W1868">
        <v>0</v>
      </c>
      <c r="X1868">
        <v>0</v>
      </c>
      <c r="Y1868">
        <v>549</v>
      </c>
      <c r="Z1868">
        <v>549</v>
      </c>
      <c r="AA1868">
        <v>549</v>
      </c>
      <c r="AB1868" s="1">
        <v>42382</v>
      </c>
      <c r="AC1868" t="s">
        <v>53</v>
      </c>
      <c r="AD1868" t="s">
        <v>53</v>
      </c>
      <c r="AK1868">
        <v>0</v>
      </c>
      <c r="AU1868" s="6">
        <v>42300</v>
      </c>
      <c r="AV1868" s="6">
        <v>42300</v>
      </c>
      <c r="AW1868" t="s">
        <v>54</v>
      </c>
      <c r="AX1868" t="str">
        <f t="shared" si="146"/>
        <v>FOR</v>
      </c>
      <c r="AY1868" t="s">
        <v>55</v>
      </c>
    </row>
    <row r="1869" spans="1:51" hidden="1">
      <c r="A1869">
        <v>100408</v>
      </c>
      <c r="B1869" t="s">
        <v>137</v>
      </c>
      <c r="C1869" t="str">
        <f t="shared" ref="C1869:D1880" si="148">"04090050966"</f>
        <v>04090050966</v>
      </c>
      <c r="D1869" t="str">
        <f t="shared" si="148"/>
        <v>04090050966</v>
      </c>
      <c r="E1869" t="s">
        <v>52</v>
      </c>
      <c r="F1869">
        <v>2014</v>
      </c>
      <c r="G1869">
        <v>183</v>
      </c>
      <c r="H1869" s="1">
        <v>41925</v>
      </c>
      <c r="I1869" s="1">
        <v>41942</v>
      </c>
      <c r="J1869" s="1">
        <v>41942</v>
      </c>
      <c r="K1869" s="1">
        <v>42002</v>
      </c>
      <c r="N1869" s="5"/>
      <c r="O1869" s="2">
        <v>4148</v>
      </c>
      <c r="P1869">
        <v>37</v>
      </c>
      <c r="Q1869" s="2">
        <v>153476</v>
      </c>
      <c r="R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 s="1">
        <v>42382</v>
      </c>
      <c r="AC1869" t="s">
        <v>53</v>
      </c>
      <c r="AD1869" t="s">
        <v>53</v>
      </c>
      <c r="AK1869">
        <v>0</v>
      </c>
      <c r="AU1869" s="6">
        <v>42039</v>
      </c>
      <c r="AV1869" s="6">
        <v>42039</v>
      </c>
      <c r="AW1869" t="s">
        <v>54</v>
      </c>
      <c r="AX1869" t="str">
        <f t="shared" si="146"/>
        <v>FOR</v>
      </c>
      <c r="AY1869" t="s">
        <v>55</v>
      </c>
    </row>
    <row r="1870" spans="1:51" hidden="1">
      <c r="A1870">
        <v>100408</v>
      </c>
      <c r="B1870" t="s">
        <v>137</v>
      </c>
      <c r="C1870" t="str">
        <f t="shared" si="148"/>
        <v>04090050966</v>
      </c>
      <c r="D1870" t="str">
        <f t="shared" si="148"/>
        <v>04090050966</v>
      </c>
      <c r="E1870" t="s">
        <v>52</v>
      </c>
      <c r="F1870">
        <v>2014</v>
      </c>
      <c r="G1870">
        <v>188</v>
      </c>
      <c r="H1870" s="1">
        <v>41926</v>
      </c>
      <c r="I1870" s="1">
        <v>41963</v>
      </c>
      <c r="J1870" s="1">
        <v>41963</v>
      </c>
      <c r="K1870" s="1">
        <v>42023</v>
      </c>
      <c r="N1870" s="5"/>
      <c r="O1870">
        <v>183</v>
      </c>
      <c r="P1870">
        <v>16</v>
      </c>
      <c r="Q1870" s="2">
        <v>2928</v>
      </c>
      <c r="R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 s="1">
        <v>42382</v>
      </c>
      <c r="AC1870" t="s">
        <v>53</v>
      </c>
      <c r="AD1870" t="s">
        <v>53</v>
      </c>
      <c r="AK1870">
        <v>0</v>
      </c>
      <c r="AU1870" s="6">
        <v>42039</v>
      </c>
      <c r="AV1870" s="6">
        <v>42039</v>
      </c>
      <c r="AW1870" t="s">
        <v>54</v>
      </c>
      <c r="AX1870" t="str">
        <f t="shared" si="146"/>
        <v>FOR</v>
      </c>
      <c r="AY1870" t="s">
        <v>55</v>
      </c>
    </row>
    <row r="1871" spans="1:51" hidden="1">
      <c r="A1871">
        <v>100408</v>
      </c>
      <c r="B1871" t="s">
        <v>137</v>
      </c>
      <c r="C1871" t="str">
        <f t="shared" si="148"/>
        <v>04090050966</v>
      </c>
      <c r="D1871" t="str">
        <f t="shared" si="148"/>
        <v>04090050966</v>
      </c>
      <c r="E1871" t="s">
        <v>52</v>
      </c>
      <c r="F1871">
        <v>2014</v>
      </c>
      <c r="G1871">
        <v>200</v>
      </c>
      <c r="H1871" s="1">
        <v>41950</v>
      </c>
      <c r="I1871" s="1">
        <v>42040</v>
      </c>
      <c r="J1871" s="1">
        <v>42040</v>
      </c>
      <c r="K1871" s="1">
        <v>42100</v>
      </c>
      <c r="N1871" s="5"/>
      <c r="O1871" s="2">
        <v>3538</v>
      </c>
      <c r="P1871">
        <v>-31</v>
      </c>
      <c r="Q1871" s="2">
        <v>-109678</v>
      </c>
      <c r="R1871">
        <v>0</v>
      </c>
      <c r="V1871">
        <v>0</v>
      </c>
      <c r="W1871">
        <v>0</v>
      </c>
      <c r="X1871">
        <v>0</v>
      </c>
      <c r="Y1871">
        <v>0</v>
      </c>
      <c r="Z1871" s="2">
        <v>3538</v>
      </c>
      <c r="AA1871">
        <v>0</v>
      </c>
      <c r="AB1871" s="1">
        <v>42382</v>
      </c>
      <c r="AC1871" t="s">
        <v>53</v>
      </c>
      <c r="AD1871" t="s">
        <v>53</v>
      </c>
      <c r="AK1871">
        <v>0</v>
      </c>
      <c r="AU1871" s="6">
        <v>42069</v>
      </c>
      <c r="AV1871" s="6">
        <v>42069</v>
      </c>
      <c r="AW1871" t="s">
        <v>54</v>
      </c>
      <c r="AX1871" t="str">
        <f t="shared" si="146"/>
        <v>FOR</v>
      </c>
      <c r="AY1871" t="s">
        <v>55</v>
      </c>
    </row>
    <row r="1872" spans="1:51" hidden="1">
      <c r="A1872">
        <v>100408</v>
      </c>
      <c r="B1872" t="s">
        <v>137</v>
      </c>
      <c r="C1872" t="str">
        <f t="shared" si="148"/>
        <v>04090050966</v>
      </c>
      <c r="D1872" t="str">
        <f t="shared" si="148"/>
        <v>04090050966</v>
      </c>
      <c r="E1872" t="s">
        <v>52</v>
      </c>
      <c r="F1872">
        <v>2014</v>
      </c>
      <c r="G1872">
        <v>201</v>
      </c>
      <c r="H1872" s="1">
        <v>41953</v>
      </c>
      <c r="I1872" s="1">
        <v>42096</v>
      </c>
      <c r="J1872" s="1">
        <v>42096</v>
      </c>
      <c r="K1872" s="1">
        <v>42156</v>
      </c>
      <c r="N1872" s="5"/>
      <c r="O1872" s="2">
        <v>4331</v>
      </c>
      <c r="P1872">
        <v>-26</v>
      </c>
      <c r="Q1872" s="2">
        <v>-112606</v>
      </c>
      <c r="R1872">
        <v>0</v>
      </c>
      <c r="V1872">
        <v>0</v>
      </c>
      <c r="W1872">
        <v>0</v>
      </c>
      <c r="X1872">
        <v>0</v>
      </c>
      <c r="Y1872">
        <v>0</v>
      </c>
      <c r="Z1872" s="2">
        <v>4331</v>
      </c>
      <c r="AA1872">
        <v>0</v>
      </c>
      <c r="AB1872" s="1">
        <v>42382</v>
      </c>
      <c r="AC1872" t="s">
        <v>53</v>
      </c>
      <c r="AD1872" t="s">
        <v>53</v>
      </c>
      <c r="AK1872">
        <v>0</v>
      </c>
      <c r="AU1872" s="6">
        <v>42130</v>
      </c>
      <c r="AV1872" s="6">
        <v>42130</v>
      </c>
      <c r="AW1872" t="s">
        <v>54</v>
      </c>
      <c r="AX1872" t="str">
        <f t="shared" si="146"/>
        <v>FOR</v>
      </c>
      <c r="AY1872" t="s">
        <v>55</v>
      </c>
    </row>
    <row r="1873" spans="1:51" hidden="1">
      <c r="A1873">
        <v>100408</v>
      </c>
      <c r="B1873" t="s">
        <v>137</v>
      </c>
      <c r="C1873" t="str">
        <f t="shared" si="148"/>
        <v>04090050966</v>
      </c>
      <c r="D1873" t="str">
        <f t="shared" si="148"/>
        <v>04090050966</v>
      </c>
      <c r="E1873" t="s">
        <v>52</v>
      </c>
      <c r="F1873">
        <v>2014</v>
      </c>
      <c r="G1873">
        <v>202</v>
      </c>
      <c r="H1873" s="1">
        <v>41953</v>
      </c>
      <c r="I1873" s="1">
        <v>42068</v>
      </c>
      <c r="J1873" s="1">
        <v>42068</v>
      </c>
      <c r="K1873" s="1">
        <v>42128</v>
      </c>
      <c r="N1873" s="5"/>
      <c r="O1873" s="2">
        <v>3538</v>
      </c>
      <c r="P1873">
        <v>-54</v>
      </c>
      <c r="Q1873" s="2">
        <v>-191052</v>
      </c>
      <c r="R1873">
        <v>0</v>
      </c>
      <c r="V1873">
        <v>0</v>
      </c>
      <c r="W1873">
        <v>0</v>
      </c>
      <c r="X1873">
        <v>0</v>
      </c>
      <c r="Y1873">
        <v>0</v>
      </c>
      <c r="Z1873" s="2">
        <v>3538</v>
      </c>
      <c r="AA1873">
        <v>0</v>
      </c>
      <c r="AB1873" s="1">
        <v>42382</v>
      </c>
      <c r="AC1873" t="s">
        <v>53</v>
      </c>
      <c r="AD1873" t="s">
        <v>53</v>
      </c>
      <c r="AK1873">
        <v>0</v>
      </c>
      <c r="AU1873" s="6">
        <v>42074</v>
      </c>
      <c r="AV1873" s="6">
        <v>42074</v>
      </c>
      <c r="AW1873" t="s">
        <v>54</v>
      </c>
      <c r="AX1873" t="str">
        <f t="shared" si="146"/>
        <v>FOR</v>
      </c>
      <c r="AY1873" t="s">
        <v>55</v>
      </c>
    </row>
    <row r="1874" spans="1:51" hidden="1">
      <c r="A1874">
        <v>100408</v>
      </c>
      <c r="B1874" t="s">
        <v>137</v>
      </c>
      <c r="C1874" t="str">
        <f t="shared" si="148"/>
        <v>04090050966</v>
      </c>
      <c r="D1874" t="str">
        <f t="shared" si="148"/>
        <v>04090050966</v>
      </c>
      <c r="E1874" t="s">
        <v>52</v>
      </c>
      <c r="F1874">
        <v>2014</v>
      </c>
      <c r="G1874">
        <v>225</v>
      </c>
      <c r="H1874" s="1">
        <v>41967</v>
      </c>
      <c r="I1874" s="1">
        <v>42068</v>
      </c>
      <c r="J1874" s="1">
        <v>42068</v>
      </c>
      <c r="K1874" s="1">
        <v>42128</v>
      </c>
      <c r="N1874" s="5"/>
      <c r="O1874" s="2">
        <v>2318</v>
      </c>
      <c r="P1874">
        <v>-54</v>
      </c>
      <c r="Q1874" s="2">
        <v>-125172</v>
      </c>
      <c r="R1874">
        <v>0</v>
      </c>
      <c r="V1874">
        <v>0</v>
      </c>
      <c r="W1874">
        <v>0</v>
      </c>
      <c r="X1874">
        <v>0</v>
      </c>
      <c r="Y1874">
        <v>0</v>
      </c>
      <c r="Z1874" s="2">
        <v>2318</v>
      </c>
      <c r="AA1874">
        <v>0</v>
      </c>
      <c r="AB1874" s="1">
        <v>42382</v>
      </c>
      <c r="AC1874" t="s">
        <v>53</v>
      </c>
      <c r="AD1874" t="s">
        <v>53</v>
      </c>
      <c r="AK1874">
        <v>0</v>
      </c>
      <c r="AU1874" s="6">
        <v>42074</v>
      </c>
      <c r="AV1874" s="6">
        <v>42074</v>
      </c>
      <c r="AW1874" t="s">
        <v>54</v>
      </c>
      <c r="AX1874" t="str">
        <f t="shared" si="146"/>
        <v>FOR</v>
      </c>
      <c r="AY1874" t="s">
        <v>55</v>
      </c>
    </row>
    <row r="1875" spans="1:51" hidden="1">
      <c r="A1875">
        <v>100408</v>
      </c>
      <c r="B1875" t="s">
        <v>137</v>
      </c>
      <c r="C1875" t="str">
        <f t="shared" si="148"/>
        <v>04090050966</v>
      </c>
      <c r="D1875" t="str">
        <f t="shared" si="148"/>
        <v>04090050966</v>
      </c>
      <c r="E1875" t="s">
        <v>52</v>
      </c>
      <c r="F1875">
        <v>2015</v>
      </c>
      <c r="G1875">
        <v>50</v>
      </c>
      <c r="H1875" s="1">
        <v>42083</v>
      </c>
      <c r="I1875" s="1">
        <v>42149</v>
      </c>
      <c r="J1875" s="1">
        <v>42149</v>
      </c>
      <c r="K1875" s="1">
        <v>42209</v>
      </c>
      <c r="N1875" s="5"/>
      <c r="O1875" s="2">
        <v>6700</v>
      </c>
      <c r="P1875">
        <v>-46</v>
      </c>
      <c r="Q1875" s="2">
        <v>-308200</v>
      </c>
      <c r="R1875">
        <v>0</v>
      </c>
      <c r="V1875">
        <v>0</v>
      </c>
      <c r="W1875">
        <v>0</v>
      </c>
      <c r="X1875">
        <v>0</v>
      </c>
      <c r="Y1875" s="2">
        <v>8174</v>
      </c>
      <c r="Z1875" s="2">
        <v>8174</v>
      </c>
      <c r="AA1875" s="2">
        <v>8174</v>
      </c>
      <c r="AB1875" s="1">
        <v>42382</v>
      </c>
      <c r="AC1875" t="s">
        <v>53</v>
      </c>
      <c r="AD1875" t="s">
        <v>53</v>
      </c>
      <c r="AK1875">
        <v>0</v>
      </c>
      <c r="AU1875" s="6">
        <v>42163</v>
      </c>
      <c r="AV1875" s="6">
        <v>42163</v>
      </c>
      <c r="AW1875" t="s">
        <v>54</v>
      </c>
      <c r="AX1875" t="str">
        <f t="shared" si="146"/>
        <v>FOR</v>
      </c>
      <c r="AY1875" t="s">
        <v>55</v>
      </c>
    </row>
    <row r="1876" spans="1:51" hidden="1">
      <c r="A1876">
        <v>100408</v>
      </c>
      <c r="B1876" t="s">
        <v>137</v>
      </c>
      <c r="C1876" t="str">
        <f t="shared" si="148"/>
        <v>04090050966</v>
      </c>
      <c r="D1876" t="str">
        <f t="shared" si="148"/>
        <v>04090050966</v>
      </c>
      <c r="E1876" t="s">
        <v>52</v>
      </c>
      <c r="F1876">
        <v>2015</v>
      </c>
      <c r="G1876">
        <v>58</v>
      </c>
      <c r="H1876" s="1">
        <v>42090</v>
      </c>
      <c r="I1876" s="1">
        <v>42149</v>
      </c>
      <c r="J1876" s="1">
        <v>42149</v>
      </c>
      <c r="K1876" s="1">
        <v>42209</v>
      </c>
      <c r="N1876" s="5"/>
      <c r="O1876" s="2">
        <v>2100</v>
      </c>
      <c r="P1876">
        <v>-46</v>
      </c>
      <c r="Q1876" s="2">
        <v>-96600</v>
      </c>
      <c r="R1876">
        <v>0</v>
      </c>
      <c r="V1876">
        <v>0</v>
      </c>
      <c r="W1876">
        <v>0</v>
      </c>
      <c r="X1876">
        <v>0</v>
      </c>
      <c r="Y1876" s="2">
        <v>2562</v>
      </c>
      <c r="Z1876" s="2">
        <v>2562</v>
      </c>
      <c r="AA1876" s="2">
        <v>2562</v>
      </c>
      <c r="AB1876" s="1">
        <v>42382</v>
      </c>
      <c r="AC1876" t="s">
        <v>53</v>
      </c>
      <c r="AD1876" t="s">
        <v>53</v>
      </c>
      <c r="AK1876">
        <v>0</v>
      </c>
      <c r="AU1876" s="6">
        <v>42163</v>
      </c>
      <c r="AV1876" s="6">
        <v>42163</v>
      </c>
      <c r="AW1876" t="s">
        <v>54</v>
      </c>
      <c r="AX1876" t="str">
        <f t="shared" si="146"/>
        <v>FOR</v>
      </c>
      <c r="AY1876" t="s">
        <v>55</v>
      </c>
    </row>
    <row r="1877" spans="1:51" hidden="1">
      <c r="A1877">
        <v>100408</v>
      </c>
      <c r="B1877" t="s">
        <v>137</v>
      </c>
      <c r="C1877" t="str">
        <f t="shared" si="148"/>
        <v>04090050966</v>
      </c>
      <c r="D1877" t="str">
        <f t="shared" si="148"/>
        <v>04090050966</v>
      </c>
      <c r="E1877" t="s">
        <v>52</v>
      </c>
      <c r="F1877">
        <v>2015</v>
      </c>
      <c r="G1877">
        <v>59</v>
      </c>
      <c r="H1877" s="1">
        <v>42090</v>
      </c>
      <c r="I1877" s="1">
        <v>42143</v>
      </c>
      <c r="J1877" s="1">
        <v>42143</v>
      </c>
      <c r="K1877" s="1">
        <v>42203</v>
      </c>
      <c r="N1877" s="5"/>
      <c r="O1877" s="2">
        <v>2700</v>
      </c>
      <c r="P1877">
        <v>-40</v>
      </c>
      <c r="Q1877" s="2">
        <v>-108000</v>
      </c>
      <c r="R1877">
        <v>0</v>
      </c>
      <c r="V1877">
        <v>0</v>
      </c>
      <c r="W1877">
        <v>0</v>
      </c>
      <c r="X1877">
        <v>0</v>
      </c>
      <c r="Y1877" s="2">
        <v>3294</v>
      </c>
      <c r="Z1877" s="2">
        <v>3294</v>
      </c>
      <c r="AA1877" s="2">
        <v>3294</v>
      </c>
      <c r="AB1877" s="1">
        <v>42382</v>
      </c>
      <c r="AC1877" t="s">
        <v>53</v>
      </c>
      <c r="AD1877" t="s">
        <v>53</v>
      </c>
      <c r="AK1877">
        <v>0</v>
      </c>
      <c r="AU1877" s="6">
        <v>42163</v>
      </c>
      <c r="AV1877" s="6">
        <v>42163</v>
      </c>
      <c r="AW1877" t="s">
        <v>54</v>
      </c>
      <c r="AX1877" t="str">
        <f t="shared" si="146"/>
        <v>FOR</v>
      </c>
      <c r="AY1877" t="s">
        <v>55</v>
      </c>
    </row>
    <row r="1878" spans="1:51">
      <c r="A1878">
        <v>100408</v>
      </c>
      <c r="B1878" t="s">
        <v>137</v>
      </c>
      <c r="C1878" t="str">
        <f t="shared" si="148"/>
        <v>04090050966</v>
      </c>
      <c r="D1878" t="str">
        <f t="shared" si="148"/>
        <v>04090050966</v>
      </c>
      <c r="E1878" t="s">
        <v>52</v>
      </c>
      <c r="F1878">
        <v>2015</v>
      </c>
      <c r="G1878">
        <v>125</v>
      </c>
      <c r="H1878" s="1">
        <v>42200</v>
      </c>
      <c r="I1878" s="1">
        <v>42202</v>
      </c>
      <c r="J1878" s="1">
        <v>42201</v>
      </c>
      <c r="K1878" s="1">
        <v>42261</v>
      </c>
      <c r="L1878" s="7">
        <v>600</v>
      </c>
      <c r="M1878" s="5">
        <v>78</v>
      </c>
      <c r="N1878" s="7">
        <v>46800</v>
      </c>
      <c r="O1878">
        <v>600</v>
      </c>
      <c r="P1878">
        <v>78</v>
      </c>
      <c r="Q1878" s="2">
        <v>46800</v>
      </c>
      <c r="R1878">
        <v>132</v>
      </c>
      <c r="V1878">
        <v>0</v>
      </c>
      <c r="W1878">
        <v>0</v>
      </c>
      <c r="X1878">
        <v>0</v>
      </c>
      <c r="Y1878">
        <v>732</v>
      </c>
      <c r="Z1878">
        <v>732</v>
      </c>
      <c r="AA1878">
        <v>732</v>
      </c>
      <c r="AB1878" s="1">
        <v>42382</v>
      </c>
      <c r="AC1878" t="s">
        <v>53</v>
      </c>
      <c r="AD1878" t="s">
        <v>53</v>
      </c>
      <c r="AH1878">
        <v>132</v>
      </c>
      <c r="AK1878">
        <v>0</v>
      </c>
      <c r="AU1878" s="6">
        <v>42339</v>
      </c>
      <c r="AV1878" s="6">
        <v>42339</v>
      </c>
      <c r="AW1878" t="s">
        <v>54</v>
      </c>
      <c r="AX1878" t="str">
        <f t="shared" si="146"/>
        <v>FOR</v>
      </c>
      <c r="AY1878" t="s">
        <v>55</v>
      </c>
    </row>
    <row r="1879" spans="1:51" hidden="1">
      <c r="A1879">
        <v>100408</v>
      </c>
      <c r="B1879" t="s">
        <v>137</v>
      </c>
      <c r="C1879" t="str">
        <f t="shared" si="148"/>
        <v>04090050966</v>
      </c>
      <c r="D1879" t="str">
        <f t="shared" si="148"/>
        <v>04090050966</v>
      </c>
      <c r="E1879" t="s">
        <v>52</v>
      </c>
      <c r="F1879">
        <v>2015</v>
      </c>
      <c r="G1879">
        <v>128</v>
      </c>
      <c r="H1879" s="1">
        <v>42200</v>
      </c>
      <c r="I1879" s="1">
        <v>42202</v>
      </c>
      <c r="J1879" s="1">
        <v>42201</v>
      </c>
      <c r="K1879" s="1">
        <v>42261</v>
      </c>
      <c r="N1879" s="5"/>
      <c r="O1879" s="2">
        <v>1500</v>
      </c>
      <c r="P1879">
        <v>-13</v>
      </c>
      <c r="Q1879" s="2">
        <v>-19500</v>
      </c>
      <c r="R1879">
        <v>0</v>
      </c>
      <c r="V1879">
        <v>0</v>
      </c>
      <c r="W1879">
        <v>0</v>
      </c>
      <c r="X1879">
        <v>0</v>
      </c>
      <c r="Y1879" s="2">
        <v>1830</v>
      </c>
      <c r="Z1879" s="2">
        <v>1830</v>
      </c>
      <c r="AA1879" s="2">
        <v>1830</v>
      </c>
      <c r="AB1879" s="1">
        <v>42382</v>
      </c>
      <c r="AC1879" t="s">
        <v>53</v>
      </c>
      <c r="AD1879" t="s">
        <v>53</v>
      </c>
      <c r="AK1879">
        <v>0</v>
      </c>
      <c r="AU1879" s="6">
        <v>42248</v>
      </c>
      <c r="AV1879" s="6">
        <v>42248</v>
      </c>
      <c r="AW1879" t="s">
        <v>54</v>
      </c>
      <c r="AX1879" t="str">
        <f t="shared" si="146"/>
        <v>FOR</v>
      </c>
      <c r="AY1879" t="s">
        <v>55</v>
      </c>
    </row>
    <row r="1880" spans="1:51" hidden="1">
      <c r="A1880">
        <v>100408</v>
      </c>
      <c r="B1880" t="s">
        <v>137</v>
      </c>
      <c r="C1880" t="str">
        <f t="shared" si="148"/>
        <v>04090050966</v>
      </c>
      <c r="D1880" t="str">
        <f t="shared" si="148"/>
        <v>04090050966</v>
      </c>
      <c r="E1880" t="s">
        <v>52</v>
      </c>
      <c r="F1880">
        <v>2015</v>
      </c>
      <c r="G1880">
        <v>144</v>
      </c>
      <c r="H1880" s="1">
        <v>42241</v>
      </c>
      <c r="I1880" s="1">
        <v>42248</v>
      </c>
      <c r="J1880" s="1">
        <v>42244</v>
      </c>
      <c r="K1880" s="1">
        <v>42304</v>
      </c>
      <c r="N1880" s="5"/>
      <c r="O1880">
        <v>100</v>
      </c>
      <c r="P1880">
        <v>-27</v>
      </c>
      <c r="Q1880" s="2">
        <v>-2700</v>
      </c>
      <c r="R1880">
        <v>0</v>
      </c>
      <c r="V1880">
        <v>0</v>
      </c>
      <c r="W1880">
        <v>0</v>
      </c>
      <c r="X1880">
        <v>0</v>
      </c>
      <c r="Y1880">
        <v>122</v>
      </c>
      <c r="Z1880">
        <v>122</v>
      </c>
      <c r="AA1880">
        <v>122</v>
      </c>
      <c r="AB1880" s="1">
        <v>42382</v>
      </c>
      <c r="AC1880" t="s">
        <v>53</v>
      </c>
      <c r="AD1880" t="s">
        <v>53</v>
      </c>
      <c r="AK1880">
        <v>0</v>
      </c>
      <c r="AU1880" s="6">
        <v>42277</v>
      </c>
      <c r="AV1880" s="6">
        <v>42277</v>
      </c>
      <c r="AW1880" t="s">
        <v>54</v>
      </c>
      <c r="AX1880" t="str">
        <f t="shared" si="146"/>
        <v>FOR</v>
      </c>
      <c r="AY1880" t="s">
        <v>55</v>
      </c>
    </row>
    <row r="1881" spans="1:51" hidden="1">
      <c r="A1881">
        <v>100414</v>
      </c>
      <c r="B1881" t="s">
        <v>138</v>
      </c>
      <c r="C1881" t="str">
        <f>"01475191001"</f>
        <v>01475191001</v>
      </c>
      <c r="D1881" t="str">
        <f>"05991060582"</f>
        <v>05991060582</v>
      </c>
      <c r="E1881" t="s">
        <v>52</v>
      </c>
      <c r="F1881">
        <v>2014</v>
      </c>
      <c r="G1881">
        <v>86227041</v>
      </c>
      <c r="H1881" s="1">
        <v>41788</v>
      </c>
      <c r="I1881" s="1">
        <v>41815</v>
      </c>
      <c r="J1881" s="1">
        <v>41815</v>
      </c>
      <c r="K1881" s="1">
        <v>41905</v>
      </c>
      <c r="N1881" s="5"/>
      <c r="O1881">
        <v>506</v>
      </c>
      <c r="P1881">
        <v>344</v>
      </c>
      <c r="Q1881" s="2">
        <v>174064</v>
      </c>
      <c r="R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 s="1">
        <v>42382</v>
      </c>
      <c r="AC1881" t="s">
        <v>53</v>
      </c>
      <c r="AD1881" t="s">
        <v>53</v>
      </c>
      <c r="AK1881">
        <v>0</v>
      </c>
      <c r="AU1881" s="6">
        <v>42249</v>
      </c>
      <c r="AV1881" s="6">
        <v>42249</v>
      </c>
      <c r="AW1881" t="s">
        <v>54</v>
      </c>
      <c r="AX1881" t="str">
        <f t="shared" si="146"/>
        <v>FOR</v>
      </c>
      <c r="AY1881" t="s">
        <v>55</v>
      </c>
    </row>
    <row r="1882" spans="1:51" hidden="1">
      <c r="A1882">
        <v>100414</v>
      </c>
      <c r="B1882" t="s">
        <v>138</v>
      </c>
      <c r="C1882" t="str">
        <f>"01475191001"</f>
        <v>01475191001</v>
      </c>
      <c r="D1882" t="str">
        <f>"05991060582"</f>
        <v>05991060582</v>
      </c>
      <c r="E1882" t="s">
        <v>52</v>
      </c>
      <c r="F1882">
        <v>2014</v>
      </c>
      <c r="G1882">
        <v>86229291</v>
      </c>
      <c r="H1882" s="1">
        <v>41837</v>
      </c>
      <c r="I1882" s="1">
        <v>41873</v>
      </c>
      <c r="J1882" s="1">
        <v>41873</v>
      </c>
      <c r="K1882" s="1">
        <v>41963</v>
      </c>
      <c r="N1882" s="5"/>
      <c r="O1882">
        <v>673.75</v>
      </c>
      <c r="P1882">
        <v>286</v>
      </c>
      <c r="Q1882" s="2">
        <v>192692.5</v>
      </c>
      <c r="R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 s="1">
        <v>42382</v>
      </c>
      <c r="AC1882" t="s">
        <v>53</v>
      </c>
      <c r="AD1882" t="s">
        <v>53</v>
      </c>
      <c r="AK1882">
        <v>0</v>
      </c>
      <c r="AU1882" s="6">
        <v>42249</v>
      </c>
      <c r="AV1882" s="6">
        <v>42249</v>
      </c>
      <c r="AW1882" t="s">
        <v>54</v>
      </c>
      <c r="AX1882" t="str">
        <f t="shared" si="146"/>
        <v>FOR</v>
      </c>
      <c r="AY1882" t="s">
        <v>55</v>
      </c>
    </row>
    <row r="1883" spans="1:51" hidden="1">
      <c r="A1883">
        <v>100414</v>
      </c>
      <c r="B1883" t="s">
        <v>138</v>
      </c>
      <c r="C1883" t="str">
        <f>"01475191001"</f>
        <v>01475191001</v>
      </c>
      <c r="D1883" t="str">
        <f>"05991060582"</f>
        <v>05991060582</v>
      </c>
      <c r="E1883" t="s">
        <v>52</v>
      </c>
      <c r="F1883">
        <v>2014</v>
      </c>
      <c r="G1883">
        <v>86230194</v>
      </c>
      <c r="H1883" s="1">
        <v>41850</v>
      </c>
      <c r="I1883" s="1">
        <v>41877</v>
      </c>
      <c r="J1883" s="1">
        <v>41877</v>
      </c>
      <c r="K1883" s="1">
        <v>41967</v>
      </c>
      <c r="N1883" s="5"/>
      <c r="O1883">
        <v>759</v>
      </c>
      <c r="P1883">
        <v>282</v>
      </c>
      <c r="Q1883" s="2">
        <v>214038</v>
      </c>
      <c r="R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 s="1">
        <v>42382</v>
      </c>
      <c r="AC1883" t="s">
        <v>53</v>
      </c>
      <c r="AD1883" t="s">
        <v>53</v>
      </c>
      <c r="AK1883">
        <v>0</v>
      </c>
      <c r="AU1883" s="6">
        <v>42249</v>
      </c>
      <c r="AV1883" s="6">
        <v>42249</v>
      </c>
      <c r="AW1883" t="s">
        <v>54</v>
      </c>
      <c r="AX1883" t="str">
        <f t="shared" si="146"/>
        <v>FOR</v>
      </c>
      <c r="AY1883" t="s">
        <v>55</v>
      </c>
    </row>
    <row r="1884" spans="1:51" hidden="1">
      <c r="A1884">
        <v>100415</v>
      </c>
      <c r="B1884" t="s">
        <v>139</v>
      </c>
      <c r="C1884" t="str">
        <f>"00557580628"</f>
        <v>00557580628</v>
      </c>
      <c r="D1884" t="str">
        <f>"PNRFNN55T14A783G"</f>
        <v>PNRFNN55T14A783G</v>
      </c>
      <c r="E1884" t="s">
        <v>52</v>
      </c>
      <c r="F1884">
        <v>2015</v>
      </c>
      <c r="G1884">
        <v>19</v>
      </c>
      <c r="H1884" s="1">
        <v>42264</v>
      </c>
      <c r="I1884" s="1">
        <v>42265</v>
      </c>
      <c r="J1884" s="1">
        <v>42264</v>
      </c>
      <c r="K1884" s="1">
        <v>42324</v>
      </c>
      <c r="L1884" s="5">
        <v>816</v>
      </c>
      <c r="M1884" s="5">
        <v>-46</v>
      </c>
      <c r="N1884" s="7">
        <v>-37536</v>
      </c>
      <c r="O1884">
        <v>816</v>
      </c>
      <c r="P1884">
        <v>-46</v>
      </c>
      <c r="Q1884" s="2">
        <v>-37536</v>
      </c>
      <c r="R1884">
        <v>0</v>
      </c>
      <c r="V1884">
        <v>0</v>
      </c>
      <c r="W1884">
        <v>0</v>
      </c>
      <c r="X1884">
        <v>0</v>
      </c>
      <c r="Y1884">
        <v>816</v>
      </c>
      <c r="Z1884">
        <v>816</v>
      </c>
      <c r="AA1884">
        <v>816</v>
      </c>
      <c r="AB1884" s="1">
        <v>42382</v>
      </c>
      <c r="AC1884" t="s">
        <v>53</v>
      </c>
      <c r="AD1884" t="s">
        <v>53</v>
      </c>
      <c r="AK1884">
        <v>0</v>
      </c>
      <c r="AU1884" s="6">
        <v>42278</v>
      </c>
      <c r="AV1884" s="6">
        <v>42278</v>
      </c>
      <c r="AW1884" t="s">
        <v>54</v>
      </c>
      <c r="AX1884" t="str">
        <f t="shared" si="146"/>
        <v>FOR</v>
      </c>
      <c r="AY1884" t="s">
        <v>55</v>
      </c>
    </row>
    <row r="1885" spans="1:51" hidden="1">
      <c r="A1885">
        <v>100415</v>
      </c>
      <c r="B1885" t="s">
        <v>139</v>
      </c>
      <c r="C1885" t="str">
        <f>"00557580628"</f>
        <v>00557580628</v>
      </c>
      <c r="D1885" t="str">
        <f>"PNRFNN55T14A783G"</f>
        <v>PNRFNN55T14A783G</v>
      </c>
      <c r="E1885" t="s">
        <v>52</v>
      </c>
      <c r="F1885">
        <v>2015</v>
      </c>
      <c r="G1885">
        <v>22</v>
      </c>
      <c r="H1885" s="1">
        <v>42304</v>
      </c>
      <c r="I1885" s="1">
        <v>42305</v>
      </c>
      <c r="J1885" s="1">
        <v>42304</v>
      </c>
      <c r="K1885" s="1">
        <v>42364</v>
      </c>
      <c r="L1885" s="7">
        <v>1734</v>
      </c>
      <c r="M1885" s="5">
        <v>-9</v>
      </c>
      <c r="N1885" s="7">
        <v>-15606</v>
      </c>
      <c r="O1885" s="2">
        <v>1734</v>
      </c>
      <c r="P1885">
        <v>-9</v>
      </c>
      <c r="Q1885" s="2">
        <v>-15606</v>
      </c>
      <c r="R1885">
        <v>0</v>
      </c>
      <c r="V1885" s="2">
        <v>1734</v>
      </c>
      <c r="W1885" s="2">
        <v>1734</v>
      </c>
      <c r="X1885" s="2">
        <v>1734</v>
      </c>
      <c r="Y1885" s="2">
        <v>1734</v>
      </c>
      <c r="Z1885" s="2">
        <v>1734</v>
      </c>
      <c r="AA1885" s="2">
        <v>1734</v>
      </c>
      <c r="AB1885" s="1">
        <v>42382</v>
      </c>
      <c r="AC1885" t="s">
        <v>53</v>
      </c>
      <c r="AD1885" t="s">
        <v>53</v>
      </c>
      <c r="AK1885">
        <v>0</v>
      </c>
      <c r="AU1885" s="6">
        <v>42355</v>
      </c>
      <c r="AV1885" s="6">
        <v>42355</v>
      </c>
      <c r="AW1885" t="s">
        <v>54</v>
      </c>
      <c r="AX1885" t="str">
        <f t="shared" si="146"/>
        <v>FOR</v>
      </c>
      <c r="AY1885" t="s">
        <v>55</v>
      </c>
    </row>
    <row r="1886" spans="1:51" hidden="1">
      <c r="A1886">
        <v>100415</v>
      </c>
      <c r="B1886" t="s">
        <v>139</v>
      </c>
      <c r="C1886" t="str">
        <f>"00557580628"</f>
        <v>00557580628</v>
      </c>
      <c r="D1886" t="str">
        <f>"PNRFNN55T14A783G"</f>
        <v>PNRFNN55T14A783G</v>
      </c>
      <c r="E1886" t="s">
        <v>52</v>
      </c>
      <c r="F1886">
        <v>2015</v>
      </c>
      <c r="G1886">
        <v>25</v>
      </c>
      <c r="H1886" s="1">
        <v>42079</v>
      </c>
      <c r="I1886" s="1">
        <v>42083</v>
      </c>
      <c r="J1886" s="1">
        <v>42083</v>
      </c>
      <c r="K1886" s="1">
        <v>42143</v>
      </c>
      <c r="N1886" s="5"/>
      <c r="O1886" s="2">
        <v>2284.8000000000002</v>
      </c>
      <c r="P1886">
        <v>-41</v>
      </c>
      <c r="Q1886" s="2">
        <v>-93676.800000000003</v>
      </c>
      <c r="R1886">
        <v>0</v>
      </c>
      <c r="V1886">
        <v>0</v>
      </c>
      <c r="W1886">
        <v>0</v>
      </c>
      <c r="X1886">
        <v>0</v>
      </c>
      <c r="Y1886" s="2">
        <v>2284.8000000000002</v>
      </c>
      <c r="Z1886" s="2">
        <v>2284.8000000000002</v>
      </c>
      <c r="AA1886" s="2">
        <v>2284.8000000000002</v>
      </c>
      <c r="AB1886" s="1">
        <v>42382</v>
      </c>
      <c r="AC1886" t="s">
        <v>53</v>
      </c>
      <c r="AD1886" t="s">
        <v>53</v>
      </c>
      <c r="AK1886">
        <v>0</v>
      </c>
      <c r="AU1886" s="6">
        <v>42102</v>
      </c>
      <c r="AV1886" s="6">
        <v>42102</v>
      </c>
      <c r="AW1886" t="s">
        <v>54</v>
      </c>
      <c r="AX1886" t="str">
        <f t="shared" si="146"/>
        <v>FOR</v>
      </c>
      <c r="AY1886" t="s">
        <v>55</v>
      </c>
    </row>
    <row r="1887" spans="1:51" hidden="1">
      <c r="A1887">
        <v>100419</v>
      </c>
      <c r="B1887" t="s">
        <v>140</v>
      </c>
      <c r="C1887" t="str">
        <f t="shared" ref="C1887:D1890" si="149">"04874470968"</f>
        <v>04874470968</v>
      </c>
      <c r="D1887" t="str">
        <f t="shared" si="149"/>
        <v>04874470968</v>
      </c>
      <c r="E1887" t="s">
        <v>52</v>
      </c>
      <c r="F1887">
        <v>2014</v>
      </c>
      <c r="G1887">
        <v>141555</v>
      </c>
      <c r="H1887" s="1">
        <v>41845</v>
      </c>
      <c r="I1887" s="1">
        <v>41872</v>
      </c>
      <c r="J1887" s="1">
        <v>41872</v>
      </c>
      <c r="K1887" s="1">
        <v>41962</v>
      </c>
      <c r="N1887" s="5"/>
      <c r="O1887" s="2">
        <v>3708.95</v>
      </c>
      <c r="P1887">
        <v>112</v>
      </c>
      <c r="Q1887" s="2">
        <v>415402.4</v>
      </c>
      <c r="R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 s="1">
        <v>42382</v>
      </c>
      <c r="AC1887" t="s">
        <v>53</v>
      </c>
      <c r="AD1887" t="s">
        <v>53</v>
      </c>
      <c r="AK1887">
        <v>0</v>
      </c>
      <c r="AU1887" s="6">
        <v>42074</v>
      </c>
      <c r="AV1887" s="6">
        <v>42074</v>
      </c>
      <c r="AW1887" t="s">
        <v>54</v>
      </c>
      <c r="AX1887" t="str">
        <f t="shared" si="146"/>
        <v>FOR</v>
      </c>
      <c r="AY1887" t="s">
        <v>55</v>
      </c>
    </row>
    <row r="1888" spans="1:51" hidden="1">
      <c r="A1888">
        <v>100419</v>
      </c>
      <c r="B1888" t="s">
        <v>140</v>
      </c>
      <c r="C1888" t="str">
        <f t="shared" si="149"/>
        <v>04874470968</v>
      </c>
      <c r="D1888" t="str">
        <f t="shared" si="149"/>
        <v>04874470968</v>
      </c>
      <c r="E1888" t="s">
        <v>52</v>
      </c>
      <c r="F1888">
        <v>2014</v>
      </c>
      <c r="G1888">
        <v>142041</v>
      </c>
      <c r="H1888" s="1">
        <v>41926</v>
      </c>
      <c r="I1888" s="1">
        <v>41932</v>
      </c>
      <c r="J1888" s="1">
        <v>41932</v>
      </c>
      <c r="K1888" s="1">
        <v>41992</v>
      </c>
      <c r="N1888" s="5"/>
      <c r="O1888" s="2">
        <v>2661.21</v>
      </c>
      <c r="P1888">
        <v>167</v>
      </c>
      <c r="Q1888" s="2">
        <v>444422.07</v>
      </c>
      <c r="R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 s="1">
        <v>42382</v>
      </c>
      <c r="AC1888" t="s">
        <v>53</v>
      </c>
      <c r="AD1888" t="s">
        <v>53</v>
      </c>
      <c r="AK1888">
        <v>0</v>
      </c>
      <c r="AU1888" s="6">
        <v>42159</v>
      </c>
      <c r="AV1888" s="6">
        <v>42159</v>
      </c>
      <c r="AW1888" t="s">
        <v>54</v>
      </c>
      <c r="AX1888" t="str">
        <f t="shared" si="146"/>
        <v>FOR</v>
      </c>
      <c r="AY1888" t="s">
        <v>55</v>
      </c>
    </row>
    <row r="1889" spans="1:51" hidden="1">
      <c r="A1889">
        <v>100419</v>
      </c>
      <c r="B1889" t="s">
        <v>140</v>
      </c>
      <c r="C1889" t="str">
        <f t="shared" si="149"/>
        <v>04874470968</v>
      </c>
      <c r="D1889" t="str">
        <f t="shared" si="149"/>
        <v>04874470968</v>
      </c>
      <c r="E1889" t="s">
        <v>52</v>
      </c>
      <c r="F1889">
        <v>2015</v>
      </c>
      <c r="G1889" t="s">
        <v>141</v>
      </c>
      <c r="H1889" s="1">
        <v>42136</v>
      </c>
      <c r="I1889" s="1">
        <v>42163</v>
      </c>
      <c r="J1889" s="1">
        <v>42149</v>
      </c>
      <c r="K1889" s="1">
        <v>42209</v>
      </c>
      <c r="N1889" s="5"/>
      <c r="O1889" s="2">
        <v>3499.91</v>
      </c>
      <c r="P1889">
        <v>66</v>
      </c>
      <c r="Q1889" s="2">
        <v>230994.06</v>
      </c>
      <c r="R1889">
        <v>0</v>
      </c>
      <c r="V1889">
        <v>0</v>
      </c>
      <c r="W1889">
        <v>0</v>
      </c>
      <c r="X1889">
        <v>0</v>
      </c>
      <c r="Y1889" s="2">
        <v>3639.91</v>
      </c>
      <c r="Z1889" s="2">
        <v>3639.91</v>
      </c>
      <c r="AA1889" s="2">
        <v>3639.91</v>
      </c>
      <c r="AB1889" s="1">
        <v>42382</v>
      </c>
      <c r="AC1889" t="s">
        <v>53</v>
      </c>
      <c r="AD1889" t="s">
        <v>53</v>
      </c>
      <c r="AK1889">
        <v>0</v>
      </c>
      <c r="AU1889" s="6">
        <v>42275</v>
      </c>
      <c r="AV1889" s="6">
        <v>42275</v>
      </c>
      <c r="AW1889" t="s">
        <v>54</v>
      </c>
      <c r="AX1889" t="str">
        <f t="shared" si="146"/>
        <v>FOR</v>
      </c>
      <c r="AY1889" t="s">
        <v>55</v>
      </c>
    </row>
    <row r="1890" spans="1:51" hidden="1">
      <c r="A1890">
        <v>100419</v>
      </c>
      <c r="B1890" t="s">
        <v>140</v>
      </c>
      <c r="C1890" t="str">
        <f t="shared" si="149"/>
        <v>04874470968</v>
      </c>
      <c r="D1890" t="str">
        <f t="shared" si="149"/>
        <v>04874470968</v>
      </c>
      <c r="E1890" t="s">
        <v>52</v>
      </c>
      <c r="F1890">
        <v>2015</v>
      </c>
      <c r="G1890" t="s">
        <v>142</v>
      </c>
      <c r="H1890" s="1">
        <v>42164</v>
      </c>
      <c r="I1890" s="1">
        <v>42172</v>
      </c>
      <c r="J1890" s="1">
        <v>42172</v>
      </c>
      <c r="K1890" s="1">
        <v>42232</v>
      </c>
      <c r="N1890" s="5"/>
      <c r="O1890" s="2">
        <v>3499.91</v>
      </c>
      <c r="P1890">
        <v>43</v>
      </c>
      <c r="Q1890" s="2">
        <v>150496.13</v>
      </c>
      <c r="R1890">
        <v>0</v>
      </c>
      <c r="V1890">
        <v>0</v>
      </c>
      <c r="W1890">
        <v>0</v>
      </c>
      <c r="X1890">
        <v>0</v>
      </c>
      <c r="Y1890" s="2">
        <v>3639.91</v>
      </c>
      <c r="Z1890" s="2">
        <v>3639.91</v>
      </c>
      <c r="AA1890" s="2">
        <v>3639.91</v>
      </c>
      <c r="AB1890" s="1">
        <v>42382</v>
      </c>
      <c r="AC1890" t="s">
        <v>53</v>
      </c>
      <c r="AD1890" t="s">
        <v>53</v>
      </c>
      <c r="AK1890">
        <v>0</v>
      </c>
      <c r="AU1890" s="6">
        <v>42275</v>
      </c>
      <c r="AV1890" s="6">
        <v>42275</v>
      </c>
      <c r="AW1890" t="s">
        <v>54</v>
      </c>
      <c r="AX1890" t="str">
        <f t="shared" si="146"/>
        <v>FOR</v>
      </c>
      <c r="AY1890" t="s">
        <v>55</v>
      </c>
    </row>
    <row r="1891" spans="1:51" hidden="1">
      <c r="A1891">
        <v>100427</v>
      </c>
      <c r="B1891" t="s">
        <v>143</v>
      </c>
      <c r="C1891" t="str">
        <f>"09713880152"</f>
        <v>09713880152</v>
      </c>
      <c r="D1891" t="str">
        <f>"01539990349"</f>
        <v>01539990349</v>
      </c>
      <c r="E1891" t="s">
        <v>52</v>
      </c>
      <c r="F1891">
        <v>2014</v>
      </c>
      <c r="G1891">
        <v>40015160</v>
      </c>
      <c r="H1891" s="1">
        <v>41925</v>
      </c>
      <c r="I1891" s="1">
        <v>41941</v>
      </c>
      <c r="J1891" s="1">
        <v>41941</v>
      </c>
      <c r="K1891" s="1">
        <v>42001</v>
      </c>
      <c r="N1891" s="5"/>
      <c r="O1891" s="2">
        <v>1470.15</v>
      </c>
      <c r="P1891">
        <v>47</v>
      </c>
      <c r="Q1891" s="2">
        <v>69097.05</v>
      </c>
      <c r="R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 s="1">
        <v>42382</v>
      </c>
      <c r="AC1891" t="s">
        <v>53</v>
      </c>
      <c r="AD1891" t="s">
        <v>53</v>
      </c>
      <c r="AK1891">
        <v>0</v>
      </c>
      <c r="AU1891" s="6">
        <v>42048</v>
      </c>
      <c r="AV1891" s="6">
        <v>42048</v>
      </c>
      <c r="AW1891" t="s">
        <v>54</v>
      </c>
      <c r="AX1891" t="str">
        <f t="shared" si="146"/>
        <v>FOR</v>
      </c>
      <c r="AY1891" t="s">
        <v>55</v>
      </c>
    </row>
    <row r="1892" spans="1:51" hidden="1">
      <c r="A1892">
        <v>100437</v>
      </c>
      <c r="B1892" t="s">
        <v>144</v>
      </c>
      <c r="C1892" t="str">
        <f t="shared" ref="C1892:D1894" si="150">"03567830108"</f>
        <v>03567830108</v>
      </c>
      <c r="D1892" t="str">
        <f t="shared" si="150"/>
        <v>03567830108</v>
      </c>
      <c r="E1892" t="s">
        <v>52</v>
      </c>
      <c r="F1892">
        <v>2014</v>
      </c>
      <c r="G1892">
        <v>27</v>
      </c>
      <c r="H1892" s="1">
        <v>41876</v>
      </c>
      <c r="I1892" s="1">
        <v>41883</v>
      </c>
      <c r="J1892" s="1">
        <v>41883</v>
      </c>
      <c r="K1892" s="1">
        <v>41973</v>
      </c>
      <c r="N1892" s="5"/>
      <c r="O1892" s="2">
        <v>1627.13</v>
      </c>
      <c r="P1892">
        <v>276</v>
      </c>
      <c r="Q1892" s="2">
        <v>449087.88</v>
      </c>
      <c r="R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 s="1">
        <v>42382</v>
      </c>
      <c r="AC1892" t="s">
        <v>53</v>
      </c>
      <c r="AD1892" t="s">
        <v>53</v>
      </c>
      <c r="AK1892">
        <v>0</v>
      </c>
      <c r="AU1892" s="6">
        <v>42249</v>
      </c>
      <c r="AV1892" s="6">
        <v>42249</v>
      </c>
      <c r="AW1892" t="s">
        <v>54</v>
      </c>
      <c r="AX1892" t="str">
        <f t="shared" si="146"/>
        <v>FOR</v>
      </c>
      <c r="AY1892" t="s">
        <v>55</v>
      </c>
    </row>
    <row r="1893" spans="1:51" hidden="1">
      <c r="A1893">
        <v>100437</v>
      </c>
      <c r="B1893" t="s">
        <v>144</v>
      </c>
      <c r="C1893" t="str">
        <f t="shared" si="150"/>
        <v>03567830108</v>
      </c>
      <c r="D1893" t="str">
        <f t="shared" si="150"/>
        <v>03567830108</v>
      </c>
      <c r="E1893" t="s">
        <v>52</v>
      </c>
      <c r="F1893">
        <v>2014</v>
      </c>
      <c r="G1893">
        <v>31</v>
      </c>
      <c r="H1893" s="1">
        <v>41900</v>
      </c>
      <c r="I1893" s="1">
        <v>41920</v>
      </c>
      <c r="J1893" s="1">
        <v>41920</v>
      </c>
      <c r="K1893" s="1">
        <v>42010</v>
      </c>
      <c r="N1893" s="5"/>
      <c r="O1893" s="2">
        <v>2064.12</v>
      </c>
      <c r="P1893">
        <v>239</v>
      </c>
      <c r="Q1893" s="2">
        <v>493324.68</v>
      </c>
      <c r="R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 s="1">
        <v>42382</v>
      </c>
      <c r="AC1893" t="s">
        <v>53</v>
      </c>
      <c r="AD1893" t="s">
        <v>53</v>
      </c>
      <c r="AK1893">
        <v>0</v>
      </c>
      <c r="AU1893" s="6">
        <v>42249</v>
      </c>
      <c r="AV1893" s="6">
        <v>42249</v>
      </c>
      <c r="AW1893" t="s">
        <v>54</v>
      </c>
      <c r="AX1893" t="str">
        <f t="shared" si="146"/>
        <v>FOR</v>
      </c>
      <c r="AY1893" t="s">
        <v>55</v>
      </c>
    </row>
    <row r="1894" spans="1:51" hidden="1">
      <c r="A1894">
        <v>100437</v>
      </c>
      <c r="B1894" t="s">
        <v>144</v>
      </c>
      <c r="C1894" t="str">
        <f t="shared" si="150"/>
        <v>03567830108</v>
      </c>
      <c r="D1894" t="str">
        <f t="shared" si="150"/>
        <v>03567830108</v>
      </c>
      <c r="E1894" t="s">
        <v>52</v>
      </c>
      <c r="F1894">
        <v>2014</v>
      </c>
      <c r="G1894">
        <v>50</v>
      </c>
      <c r="H1894" s="1">
        <v>42004</v>
      </c>
      <c r="I1894" s="1">
        <v>42030</v>
      </c>
      <c r="J1894" s="1">
        <v>42030</v>
      </c>
      <c r="K1894" s="1">
        <v>42090</v>
      </c>
      <c r="N1894" s="5"/>
      <c r="O1894" s="2">
        <v>1627.13</v>
      </c>
      <c r="P1894">
        <v>159</v>
      </c>
      <c r="Q1894" s="2">
        <v>258713.67</v>
      </c>
      <c r="R1894">
        <v>0</v>
      </c>
      <c r="V1894">
        <v>0</v>
      </c>
      <c r="W1894">
        <v>0</v>
      </c>
      <c r="X1894">
        <v>0</v>
      </c>
      <c r="Y1894">
        <v>0</v>
      </c>
      <c r="Z1894" s="2">
        <v>1627.13</v>
      </c>
      <c r="AA1894">
        <v>0</v>
      </c>
      <c r="AB1894" s="1">
        <v>42382</v>
      </c>
      <c r="AC1894" t="s">
        <v>53</v>
      </c>
      <c r="AD1894" t="s">
        <v>53</v>
      </c>
      <c r="AK1894">
        <v>0</v>
      </c>
      <c r="AU1894" s="6">
        <v>42249</v>
      </c>
      <c r="AV1894" s="6">
        <v>42249</v>
      </c>
      <c r="AW1894" t="s">
        <v>54</v>
      </c>
      <c r="AX1894" t="str">
        <f t="shared" si="146"/>
        <v>FOR</v>
      </c>
      <c r="AY1894" t="s">
        <v>55</v>
      </c>
    </row>
    <row r="1895" spans="1:51" hidden="1">
      <c r="A1895">
        <v>100440</v>
      </c>
      <c r="B1895" t="s">
        <v>145</v>
      </c>
      <c r="C1895" t="str">
        <f t="shared" ref="C1895:D1908" si="151">"00713510154"</f>
        <v>00713510154</v>
      </c>
      <c r="D1895" t="str">
        <f t="shared" si="151"/>
        <v>00713510154</v>
      </c>
      <c r="E1895" t="s">
        <v>52</v>
      </c>
      <c r="F1895">
        <v>2014</v>
      </c>
      <c r="G1895">
        <v>14817</v>
      </c>
      <c r="H1895" s="1">
        <v>41771</v>
      </c>
      <c r="I1895" s="1">
        <v>41778</v>
      </c>
      <c r="J1895" s="1">
        <v>41778</v>
      </c>
      <c r="K1895" s="1">
        <v>41868</v>
      </c>
      <c r="N1895" s="5"/>
      <c r="O1895">
        <v>600.25</v>
      </c>
      <c r="P1895">
        <v>150</v>
      </c>
      <c r="Q1895" s="2">
        <v>90037.5</v>
      </c>
      <c r="R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 s="1">
        <v>42382</v>
      </c>
      <c r="AC1895" t="s">
        <v>53</v>
      </c>
      <c r="AD1895" t="s">
        <v>53</v>
      </c>
      <c r="AK1895">
        <v>0</v>
      </c>
      <c r="AU1895" s="6">
        <v>42018</v>
      </c>
      <c r="AV1895" s="6">
        <v>42018</v>
      </c>
      <c r="AW1895" t="s">
        <v>54</v>
      </c>
      <c r="AX1895" t="str">
        <f t="shared" si="146"/>
        <v>FOR</v>
      </c>
      <c r="AY1895" t="s">
        <v>55</v>
      </c>
    </row>
    <row r="1896" spans="1:51" hidden="1">
      <c r="A1896">
        <v>100440</v>
      </c>
      <c r="B1896" t="s">
        <v>145</v>
      </c>
      <c r="C1896" t="str">
        <f t="shared" si="151"/>
        <v>00713510154</v>
      </c>
      <c r="D1896" t="str">
        <f t="shared" si="151"/>
        <v>00713510154</v>
      </c>
      <c r="E1896" t="s">
        <v>52</v>
      </c>
      <c r="F1896">
        <v>2014</v>
      </c>
      <c r="G1896">
        <v>15724</v>
      </c>
      <c r="H1896" s="1">
        <v>41779</v>
      </c>
      <c r="I1896" s="1">
        <v>41788</v>
      </c>
      <c r="J1896" s="1">
        <v>41788</v>
      </c>
      <c r="K1896" s="1">
        <v>41878</v>
      </c>
      <c r="N1896" s="5"/>
      <c r="O1896">
        <v>35.82</v>
      </c>
      <c r="P1896">
        <v>140</v>
      </c>
      <c r="Q1896" s="2">
        <v>5014.8</v>
      </c>
      <c r="R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 s="1">
        <v>42382</v>
      </c>
      <c r="AC1896" t="s">
        <v>53</v>
      </c>
      <c r="AD1896" t="s">
        <v>53</v>
      </c>
      <c r="AK1896">
        <v>0</v>
      </c>
      <c r="AU1896" s="6">
        <v>42018</v>
      </c>
      <c r="AV1896" s="6">
        <v>42018</v>
      </c>
      <c r="AW1896" t="s">
        <v>54</v>
      </c>
      <c r="AX1896" t="str">
        <f t="shared" si="146"/>
        <v>FOR</v>
      </c>
      <c r="AY1896" t="s">
        <v>55</v>
      </c>
    </row>
    <row r="1897" spans="1:51" hidden="1">
      <c r="A1897">
        <v>100440</v>
      </c>
      <c r="B1897" t="s">
        <v>145</v>
      </c>
      <c r="C1897" t="str">
        <f t="shared" si="151"/>
        <v>00713510154</v>
      </c>
      <c r="D1897" t="str">
        <f t="shared" si="151"/>
        <v>00713510154</v>
      </c>
      <c r="E1897" t="s">
        <v>52</v>
      </c>
      <c r="F1897">
        <v>2015</v>
      </c>
      <c r="G1897">
        <v>1105</v>
      </c>
      <c r="H1897" s="1">
        <v>42072</v>
      </c>
      <c r="I1897" s="1">
        <v>42086</v>
      </c>
      <c r="J1897" s="1">
        <v>42086</v>
      </c>
      <c r="K1897" s="1">
        <v>42146</v>
      </c>
      <c r="N1897" s="5"/>
      <c r="O1897">
        <v>615.6</v>
      </c>
      <c r="P1897">
        <v>129</v>
      </c>
      <c r="Q1897" s="2">
        <v>79412.399999999994</v>
      </c>
      <c r="R1897">
        <v>0</v>
      </c>
      <c r="V1897">
        <v>0</v>
      </c>
      <c r="W1897">
        <v>0</v>
      </c>
      <c r="X1897">
        <v>0</v>
      </c>
      <c r="Y1897">
        <v>677.16</v>
      </c>
      <c r="Z1897">
        <v>677.16</v>
      </c>
      <c r="AA1897">
        <v>677.16</v>
      </c>
      <c r="AB1897" s="1">
        <v>42382</v>
      </c>
      <c r="AC1897" t="s">
        <v>53</v>
      </c>
      <c r="AD1897" t="s">
        <v>53</v>
      </c>
      <c r="AK1897">
        <v>0</v>
      </c>
      <c r="AU1897" s="6">
        <v>42275</v>
      </c>
      <c r="AV1897" s="6">
        <v>42275</v>
      </c>
      <c r="AW1897" t="s">
        <v>54</v>
      </c>
      <c r="AX1897" t="str">
        <f t="shared" si="146"/>
        <v>FOR</v>
      </c>
      <c r="AY1897" t="s">
        <v>55</v>
      </c>
    </row>
    <row r="1898" spans="1:51" hidden="1">
      <c r="A1898">
        <v>100440</v>
      </c>
      <c r="B1898" t="s">
        <v>145</v>
      </c>
      <c r="C1898" t="str">
        <f t="shared" si="151"/>
        <v>00713510154</v>
      </c>
      <c r="D1898" t="str">
        <f t="shared" si="151"/>
        <v>00713510154</v>
      </c>
      <c r="E1898" t="s">
        <v>52</v>
      </c>
      <c r="F1898">
        <v>2015</v>
      </c>
      <c r="G1898">
        <v>1153</v>
      </c>
      <c r="H1898" s="1">
        <v>42074</v>
      </c>
      <c r="I1898" s="1">
        <v>42086</v>
      </c>
      <c r="J1898" s="1">
        <v>42086</v>
      </c>
      <c r="K1898" s="1">
        <v>42146</v>
      </c>
      <c r="N1898" s="5"/>
      <c r="O1898">
        <v>290.36</v>
      </c>
      <c r="P1898">
        <v>129</v>
      </c>
      <c r="Q1898" s="2">
        <v>37456.44</v>
      </c>
      <c r="R1898">
        <v>0</v>
      </c>
      <c r="V1898">
        <v>0</v>
      </c>
      <c r="W1898">
        <v>0</v>
      </c>
      <c r="X1898">
        <v>0</v>
      </c>
      <c r="Y1898">
        <v>319.39999999999998</v>
      </c>
      <c r="Z1898">
        <v>319.39999999999998</v>
      </c>
      <c r="AA1898">
        <v>319.39999999999998</v>
      </c>
      <c r="AB1898" s="1">
        <v>42382</v>
      </c>
      <c r="AC1898" t="s">
        <v>53</v>
      </c>
      <c r="AD1898" t="s">
        <v>53</v>
      </c>
      <c r="AK1898">
        <v>0</v>
      </c>
      <c r="AU1898" s="6">
        <v>42275</v>
      </c>
      <c r="AV1898" s="6">
        <v>42275</v>
      </c>
      <c r="AW1898" t="s">
        <v>54</v>
      </c>
      <c r="AX1898" t="str">
        <f t="shared" si="146"/>
        <v>FOR</v>
      </c>
      <c r="AY1898" t="s">
        <v>55</v>
      </c>
    </row>
    <row r="1899" spans="1:51" hidden="1">
      <c r="A1899">
        <v>100440</v>
      </c>
      <c r="B1899" t="s">
        <v>145</v>
      </c>
      <c r="C1899" t="str">
        <f t="shared" si="151"/>
        <v>00713510154</v>
      </c>
      <c r="D1899" t="str">
        <f t="shared" si="151"/>
        <v>00713510154</v>
      </c>
      <c r="E1899" t="s">
        <v>52</v>
      </c>
      <c r="F1899">
        <v>2015</v>
      </c>
      <c r="G1899">
        <v>1353</v>
      </c>
      <c r="H1899" s="1">
        <v>42090</v>
      </c>
      <c r="I1899" s="1">
        <v>42103</v>
      </c>
      <c r="J1899" s="1">
        <v>42103</v>
      </c>
      <c r="K1899" s="1">
        <v>42163</v>
      </c>
      <c r="N1899" s="5"/>
      <c r="O1899">
        <v>113.4</v>
      </c>
      <c r="P1899">
        <v>112</v>
      </c>
      <c r="Q1899" s="2">
        <v>12700.8</v>
      </c>
      <c r="R1899">
        <v>0</v>
      </c>
      <c r="V1899">
        <v>0</v>
      </c>
      <c r="W1899">
        <v>0</v>
      </c>
      <c r="X1899">
        <v>0</v>
      </c>
      <c r="Y1899">
        <v>124.74</v>
      </c>
      <c r="Z1899">
        <v>124.74</v>
      </c>
      <c r="AA1899">
        <v>124.74</v>
      </c>
      <c r="AB1899" s="1">
        <v>42382</v>
      </c>
      <c r="AC1899" t="s">
        <v>53</v>
      </c>
      <c r="AD1899" t="s">
        <v>53</v>
      </c>
      <c r="AK1899">
        <v>0</v>
      </c>
      <c r="AU1899" s="6">
        <v>42275</v>
      </c>
      <c r="AV1899" s="6">
        <v>42275</v>
      </c>
      <c r="AW1899" t="s">
        <v>54</v>
      </c>
      <c r="AX1899" t="str">
        <f t="shared" si="146"/>
        <v>FOR</v>
      </c>
      <c r="AY1899" t="s">
        <v>55</v>
      </c>
    </row>
    <row r="1900" spans="1:51" hidden="1">
      <c r="A1900">
        <v>100440</v>
      </c>
      <c r="B1900" t="s">
        <v>145</v>
      </c>
      <c r="C1900" t="str">
        <f t="shared" si="151"/>
        <v>00713510154</v>
      </c>
      <c r="D1900" t="str">
        <f t="shared" si="151"/>
        <v>00713510154</v>
      </c>
      <c r="E1900" t="s">
        <v>52</v>
      </c>
      <c r="F1900">
        <v>2015</v>
      </c>
      <c r="G1900" t="s">
        <v>146</v>
      </c>
      <c r="H1900" s="1">
        <v>42068</v>
      </c>
      <c r="I1900" s="1">
        <v>42081</v>
      </c>
      <c r="J1900" s="1">
        <v>42081</v>
      </c>
      <c r="K1900" s="1">
        <v>42141</v>
      </c>
      <c r="N1900" s="5"/>
      <c r="O1900">
        <v>324.48</v>
      </c>
      <c r="P1900">
        <v>134</v>
      </c>
      <c r="Q1900" s="2">
        <v>43480.32</v>
      </c>
      <c r="R1900">
        <v>0</v>
      </c>
      <c r="V1900">
        <v>0</v>
      </c>
      <c r="W1900">
        <v>0</v>
      </c>
      <c r="X1900">
        <v>0</v>
      </c>
      <c r="Y1900">
        <v>356.93</v>
      </c>
      <c r="Z1900">
        <v>356.93</v>
      </c>
      <c r="AA1900">
        <v>356.93</v>
      </c>
      <c r="AB1900" s="1">
        <v>42382</v>
      </c>
      <c r="AC1900" t="s">
        <v>53</v>
      </c>
      <c r="AD1900" t="s">
        <v>53</v>
      </c>
      <c r="AK1900">
        <v>0</v>
      </c>
      <c r="AU1900" s="6">
        <v>42275</v>
      </c>
      <c r="AV1900" s="6">
        <v>42275</v>
      </c>
      <c r="AW1900" t="s">
        <v>54</v>
      </c>
      <c r="AX1900" t="str">
        <f t="shared" si="146"/>
        <v>FOR</v>
      </c>
      <c r="AY1900" t="s">
        <v>55</v>
      </c>
    </row>
    <row r="1901" spans="1:51" hidden="1">
      <c r="A1901">
        <v>100440</v>
      </c>
      <c r="B1901" t="s">
        <v>145</v>
      </c>
      <c r="C1901" t="str">
        <f t="shared" si="151"/>
        <v>00713510154</v>
      </c>
      <c r="D1901" t="str">
        <f t="shared" si="151"/>
        <v>00713510154</v>
      </c>
      <c r="E1901" t="s">
        <v>52</v>
      </c>
      <c r="F1901">
        <v>2015</v>
      </c>
      <c r="G1901" t="s">
        <v>147</v>
      </c>
      <c r="H1901" s="1">
        <v>42068</v>
      </c>
      <c r="I1901" s="1">
        <v>42081</v>
      </c>
      <c r="J1901" s="1">
        <v>42081</v>
      </c>
      <c r="K1901" s="1">
        <v>42141</v>
      </c>
      <c r="N1901" s="5"/>
      <c r="O1901">
        <v>210.36</v>
      </c>
      <c r="P1901">
        <v>134</v>
      </c>
      <c r="Q1901" s="2">
        <v>28188.240000000002</v>
      </c>
      <c r="R1901">
        <v>0</v>
      </c>
      <c r="V1901">
        <v>0</v>
      </c>
      <c r="W1901">
        <v>0</v>
      </c>
      <c r="X1901">
        <v>0</v>
      </c>
      <c r="Y1901">
        <v>231.4</v>
      </c>
      <c r="Z1901">
        <v>231.4</v>
      </c>
      <c r="AA1901">
        <v>231.4</v>
      </c>
      <c r="AB1901" s="1">
        <v>42382</v>
      </c>
      <c r="AC1901" t="s">
        <v>53</v>
      </c>
      <c r="AD1901" t="s">
        <v>53</v>
      </c>
      <c r="AK1901">
        <v>0</v>
      </c>
      <c r="AU1901" s="6">
        <v>42275</v>
      </c>
      <c r="AV1901" s="6">
        <v>42275</v>
      </c>
      <c r="AW1901" t="s">
        <v>54</v>
      </c>
      <c r="AX1901" t="str">
        <f t="shared" si="146"/>
        <v>FOR</v>
      </c>
      <c r="AY1901" t="s">
        <v>55</v>
      </c>
    </row>
    <row r="1902" spans="1:51" hidden="1">
      <c r="A1902">
        <v>100440</v>
      </c>
      <c r="B1902" t="s">
        <v>145</v>
      </c>
      <c r="C1902" t="str">
        <f t="shared" si="151"/>
        <v>00713510154</v>
      </c>
      <c r="D1902" t="str">
        <f t="shared" si="151"/>
        <v>00713510154</v>
      </c>
      <c r="E1902" t="s">
        <v>52</v>
      </c>
      <c r="F1902">
        <v>2015</v>
      </c>
      <c r="G1902" t="s">
        <v>148</v>
      </c>
      <c r="H1902" s="1">
        <v>42083</v>
      </c>
      <c r="I1902" s="1">
        <v>42177</v>
      </c>
      <c r="J1902" s="1">
        <v>42177</v>
      </c>
      <c r="K1902" s="1">
        <v>42237</v>
      </c>
      <c r="N1902" s="5"/>
      <c r="O1902">
        <v>12.8</v>
      </c>
      <c r="P1902">
        <v>38</v>
      </c>
      <c r="Q1902">
        <v>486.4</v>
      </c>
      <c r="R1902">
        <v>0</v>
      </c>
      <c r="V1902">
        <v>0</v>
      </c>
      <c r="W1902">
        <v>0</v>
      </c>
      <c r="X1902">
        <v>0</v>
      </c>
      <c r="Y1902">
        <v>14.08</v>
      </c>
      <c r="Z1902">
        <v>14.08</v>
      </c>
      <c r="AA1902">
        <v>14.08</v>
      </c>
      <c r="AB1902" s="1">
        <v>42382</v>
      </c>
      <c r="AC1902" t="s">
        <v>53</v>
      </c>
      <c r="AD1902" t="s">
        <v>53</v>
      </c>
      <c r="AK1902">
        <v>0</v>
      </c>
      <c r="AU1902" s="6">
        <v>42275</v>
      </c>
      <c r="AV1902" s="6">
        <v>42275</v>
      </c>
      <c r="AW1902" t="s">
        <v>54</v>
      </c>
      <c r="AX1902" t="str">
        <f t="shared" si="146"/>
        <v>FOR</v>
      </c>
      <c r="AY1902" t="s">
        <v>55</v>
      </c>
    </row>
    <row r="1903" spans="1:51" hidden="1">
      <c r="A1903">
        <v>100440</v>
      </c>
      <c r="B1903" t="s">
        <v>145</v>
      </c>
      <c r="C1903" t="str">
        <f t="shared" si="151"/>
        <v>00713510154</v>
      </c>
      <c r="D1903" t="str">
        <f t="shared" si="151"/>
        <v>00713510154</v>
      </c>
      <c r="E1903" t="s">
        <v>52</v>
      </c>
      <c r="F1903">
        <v>2015</v>
      </c>
      <c r="G1903" t="s">
        <v>149</v>
      </c>
      <c r="H1903" s="1">
        <v>42123</v>
      </c>
      <c r="I1903" s="1">
        <v>42124</v>
      </c>
      <c r="J1903" s="1">
        <v>42124</v>
      </c>
      <c r="K1903" s="1">
        <v>42184</v>
      </c>
      <c r="N1903" s="5"/>
      <c r="O1903">
        <v>12.8</v>
      </c>
      <c r="P1903">
        <v>91</v>
      </c>
      <c r="Q1903" s="2">
        <v>1164.8</v>
      </c>
      <c r="R1903">
        <v>0</v>
      </c>
      <c r="V1903">
        <v>0</v>
      </c>
      <c r="W1903">
        <v>0</v>
      </c>
      <c r="X1903">
        <v>0</v>
      </c>
      <c r="Y1903">
        <v>14.08</v>
      </c>
      <c r="Z1903">
        <v>14.08</v>
      </c>
      <c r="AA1903">
        <v>14.08</v>
      </c>
      <c r="AB1903" s="1">
        <v>42382</v>
      </c>
      <c r="AC1903" t="s">
        <v>53</v>
      </c>
      <c r="AD1903" t="s">
        <v>53</v>
      </c>
      <c r="AK1903">
        <v>0</v>
      </c>
      <c r="AU1903" s="6">
        <v>42275</v>
      </c>
      <c r="AV1903" s="6">
        <v>42275</v>
      </c>
      <c r="AW1903" t="s">
        <v>54</v>
      </c>
      <c r="AX1903" t="str">
        <f t="shared" si="146"/>
        <v>FOR</v>
      </c>
      <c r="AY1903" t="s">
        <v>55</v>
      </c>
    </row>
    <row r="1904" spans="1:51" hidden="1">
      <c r="A1904">
        <v>100440</v>
      </c>
      <c r="B1904" t="s">
        <v>145</v>
      </c>
      <c r="C1904" t="str">
        <f t="shared" si="151"/>
        <v>00713510154</v>
      </c>
      <c r="D1904" t="str">
        <f t="shared" si="151"/>
        <v>00713510154</v>
      </c>
      <c r="E1904" t="s">
        <v>52</v>
      </c>
      <c r="F1904">
        <v>2015</v>
      </c>
      <c r="G1904" t="s">
        <v>150</v>
      </c>
      <c r="H1904" s="1">
        <v>42123</v>
      </c>
      <c r="I1904" s="1">
        <v>42124</v>
      </c>
      <c r="J1904" s="1">
        <v>42124</v>
      </c>
      <c r="K1904" s="1">
        <v>42184</v>
      </c>
      <c r="N1904" s="5"/>
      <c r="O1904">
        <v>32.4</v>
      </c>
      <c r="P1904">
        <v>91</v>
      </c>
      <c r="Q1904" s="2">
        <v>2948.4</v>
      </c>
      <c r="R1904">
        <v>0</v>
      </c>
      <c r="V1904">
        <v>0</v>
      </c>
      <c r="W1904">
        <v>0</v>
      </c>
      <c r="X1904">
        <v>0</v>
      </c>
      <c r="Y1904">
        <v>35.64</v>
      </c>
      <c r="Z1904">
        <v>35.64</v>
      </c>
      <c r="AA1904">
        <v>35.64</v>
      </c>
      <c r="AB1904" s="1">
        <v>42382</v>
      </c>
      <c r="AC1904" t="s">
        <v>53</v>
      </c>
      <c r="AD1904" t="s">
        <v>53</v>
      </c>
      <c r="AK1904">
        <v>0</v>
      </c>
      <c r="AU1904" s="6">
        <v>42275</v>
      </c>
      <c r="AV1904" s="6">
        <v>42275</v>
      </c>
      <c r="AW1904" t="s">
        <v>54</v>
      </c>
      <c r="AX1904" t="str">
        <f t="shared" si="146"/>
        <v>FOR</v>
      </c>
      <c r="AY1904" t="s">
        <v>55</v>
      </c>
    </row>
    <row r="1905" spans="1:51" hidden="1">
      <c r="A1905">
        <v>100440</v>
      </c>
      <c r="B1905" t="s">
        <v>145</v>
      </c>
      <c r="C1905" t="str">
        <f t="shared" si="151"/>
        <v>00713510154</v>
      </c>
      <c r="D1905" t="str">
        <f t="shared" si="151"/>
        <v>00713510154</v>
      </c>
      <c r="E1905" t="s">
        <v>52</v>
      </c>
      <c r="F1905">
        <v>2015</v>
      </c>
      <c r="G1905" t="s">
        <v>151</v>
      </c>
      <c r="H1905" s="1">
        <v>42123</v>
      </c>
      <c r="I1905" s="1">
        <v>42124</v>
      </c>
      <c r="J1905" s="1">
        <v>42124</v>
      </c>
      <c r="K1905" s="1">
        <v>42184</v>
      </c>
      <c r="N1905" s="5"/>
      <c r="O1905">
        <v>12.8</v>
      </c>
      <c r="P1905">
        <v>91</v>
      </c>
      <c r="Q1905" s="2">
        <v>1164.8</v>
      </c>
      <c r="R1905">
        <v>0</v>
      </c>
      <c r="V1905">
        <v>0</v>
      </c>
      <c r="W1905">
        <v>0</v>
      </c>
      <c r="X1905">
        <v>0</v>
      </c>
      <c r="Y1905">
        <v>14.08</v>
      </c>
      <c r="Z1905">
        <v>14.08</v>
      </c>
      <c r="AA1905">
        <v>14.08</v>
      </c>
      <c r="AB1905" s="1">
        <v>42382</v>
      </c>
      <c r="AC1905" t="s">
        <v>53</v>
      </c>
      <c r="AD1905" t="s">
        <v>53</v>
      </c>
      <c r="AK1905">
        <v>0</v>
      </c>
      <c r="AU1905" s="6">
        <v>42275</v>
      </c>
      <c r="AV1905" s="6">
        <v>42275</v>
      </c>
      <c r="AW1905" t="s">
        <v>54</v>
      </c>
      <c r="AX1905" t="str">
        <f t="shared" si="146"/>
        <v>FOR</v>
      </c>
      <c r="AY1905" t="s">
        <v>55</v>
      </c>
    </row>
    <row r="1906" spans="1:51" hidden="1">
      <c r="A1906">
        <v>100440</v>
      </c>
      <c r="B1906" t="s">
        <v>145</v>
      </c>
      <c r="C1906" t="str">
        <f t="shared" si="151"/>
        <v>00713510154</v>
      </c>
      <c r="D1906" t="str">
        <f t="shared" si="151"/>
        <v>00713510154</v>
      </c>
      <c r="E1906" t="s">
        <v>52</v>
      </c>
      <c r="F1906">
        <v>2015</v>
      </c>
      <c r="G1906" t="s">
        <v>152</v>
      </c>
      <c r="H1906" s="1">
        <v>42191</v>
      </c>
      <c r="I1906" s="1">
        <v>42193</v>
      </c>
      <c r="J1906" s="1">
        <v>42192</v>
      </c>
      <c r="K1906" s="1">
        <v>42252</v>
      </c>
      <c r="N1906" s="5"/>
      <c r="O1906">
        <v>648.96</v>
      </c>
      <c r="P1906">
        <v>23</v>
      </c>
      <c r="Q1906" s="2">
        <v>14926.08</v>
      </c>
      <c r="R1906">
        <v>0</v>
      </c>
      <c r="V1906">
        <v>0</v>
      </c>
      <c r="W1906">
        <v>0</v>
      </c>
      <c r="X1906">
        <v>0</v>
      </c>
      <c r="Y1906">
        <v>713.86</v>
      </c>
      <c r="Z1906">
        <v>713.86</v>
      </c>
      <c r="AA1906">
        <v>713.86</v>
      </c>
      <c r="AB1906" s="1">
        <v>42382</v>
      </c>
      <c r="AC1906" t="s">
        <v>53</v>
      </c>
      <c r="AD1906" t="s">
        <v>53</v>
      </c>
      <c r="AK1906">
        <v>0</v>
      </c>
      <c r="AU1906" s="6">
        <v>42275</v>
      </c>
      <c r="AV1906" s="6">
        <v>42275</v>
      </c>
      <c r="AW1906" t="s">
        <v>54</v>
      </c>
      <c r="AX1906" t="str">
        <f t="shared" si="146"/>
        <v>FOR</v>
      </c>
      <c r="AY1906" t="s">
        <v>55</v>
      </c>
    </row>
    <row r="1907" spans="1:51" hidden="1">
      <c r="A1907">
        <v>100440</v>
      </c>
      <c r="B1907" t="s">
        <v>145</v>
      </c>
      <c r="C1907" t="str">
        <f t="shared" si="151"/>
        <v>00713510154</v>
      </c>
      <c r="D1907" t="str">
        <f t="shared" si="151"/>
        <v>00713510154</v>
      </c>
      <c r="E1907" t="s">
        <v>52</v>
      </c>
      <c r="F1907">
        <v>2015</v>
      </c>
      <c r="G1907" t="s">
        <v>153</v>
      </c>
      <c r="H1907" s="1">
        <v>42191</v>
      </c>
      <c r="I1907" s="1">
        <v>42193</v>
      </c>
      <c r="J1907" s="1">
        <v>42192</v>
      </c>
      <c r="K1907" s="1">
        <v>42252</v>
      </c>
      <c r="N1907" s="5"/>
      <c r="O1907">
        <v>395.12</v>
      </c>
      <c r="P1907">
        <v>23</v>
      </c>
      <c r="Q1907" s="2">
        <v>9087.76</v>
      </c>
      <c r="R1907">
        <v>0</v>
      </c>
      <c r="V1907">
        <v>0</v>
      </c>
      <c r="W1907">
        <v>0</v>
      </c>
      <c r="X1907">
        <v>0</v>
      </c>
      <c r="Y1907">
        <v>434.63</v>
      </c>
      <c r="Z1907">
        <v>434.63</v>
      </c>
      <c r="AA1907">
        <v>434.63</v>
      </c>
      <c r="AB1907" s="1">
        <v>42382</v>
      </c>
      <c r="AC1907" t="s">
        <v>53</v>
      </c>
      <c r="AD1907" t="s">
        <v>53</v>
      </c>
      <c r="AK1907">
        <v>0</v>
      </c>
      <c r="AU1907" s="6">
        <v>42275</v>
      </c>
      <c r="AV1907" s="6">
        <v>42275</v>
      </c>
      <c r="AW1907" t="s">
        <v>54</v>
      </c>
      <c r="AX1907" t="str">
        <f t="shared" si="146"/>
        <v>FOR</v>
      </c>
      <c r="AY1907" t="s">
        <v>55</v>
      </c>
    </row>
    <row r="1908" spans="1:51" hidden="1">
      <c r="A1908">
        <v>100440</v>
      </c>
      <c r="B1908" t="s">
        <v>145</v>
      </c>
      <c r="C1908" t="str">
        <f t="shared" si="151"/>
        <v>00713510154</v>
      </c>
      <c r="D1908" t="str">
        <f t="shared" si="151"/>
        <v>00713510154</v>
      </c>
      <c r="E1908" t="s">
        <v>52</v>
      </c>
      <c r="F1908">
        <v>2015</v>
      </c>
      <c r="G1908" t="s">
        <v>154</v>
      </c>
      <c r="H1908" s="1">
        <v>42194</v>
      </c>
      <c r="I1908" s="1">
        <v>42198</v>
      </c>
      <c r="J1908" s="1">
        <v>42196</v>
      </c>
      <c r="K1908" s="1">
        <v>42256</v>
      </c>
      <c r="N1908" s="5"/>
      <c r="O1908">
        <v>824</v>
      </c>
      <c r="P1908">
        <v>19</v>
      </c>
      <c r="Q1908" s="2">
        <v>15656</v>
      </c>
      <c r="R1908">
        <v>0</v>
      </c>
      <c r="V1908">
        <v>0</v>
      </c>
      <c r="W1908">
        <v>0</v>
      </c>
      <c r="X1908">
        <v>0</v>
      </c>
      <c r="Y1908" s="2">
        <v>1005.28</v>
      </c>
      <c r="Z1908" s="2">
        <v>1005.28</v>
      </c>
      <c r="AA1908" s="2">
        <v>1005.28</v>
      </c>
      <c r="AB1908" s="1">
        <v>42382</v>
      </c>
      <c r="AC1908" t="s">
        <v>53</v>
      </c>
      <c r="AD1908" t="s">
        <v>53</v>
      </c>
      <c r="AK1908">
        <v>0</v>
      </c>
      <c r="AU1908" s="6">
        <v>42275</v>
      </c>
      <c r="AV1908" s="6">
        <v>42275</v>
      </c>
      <c r="AW1908" t="s">
        <v>54</v>
      </c>
      <c r="AX1908" t="str">
        <f t="shared" si="146"/>
        <v>FOR</v>
      </c>
      <c r="AY1908" t="s">
        <v>55</v>
      </c>
    </row>
    <row r="1909" spans="1:51" hidden="1">
      <c r="A1909">
        <v>100442</v>
      </c>
      <c r="B1909" t="s">
        <v>155</v>
      </c>
      <c r="C1909" t="str">
        <f>"05848611009"</f>
        <v>05848611009</v>
      </c>
      <c r="D1909" t="str">
        <f>"05848611009"</f>
        <v>05848611009</v>
      </c>
      <c r="E1909" t="s">
        <v>52</v>
      </c>
      <c r="F1909">
        <v>2014</v>
      </c>
      <c r="G1909">
        <v>1002814</v>
      </c>
      <c r="H1909" s="1">
        <v>41676</v>
      </c>
      <c r="I1909" s="1">
        <v>41684</v>
      </c>
      <c r="J1909" s="1">
        <v>41684</v>
      </c>
      <c r="K1909" s="1">
        <v>41774</v>
      </c>
      <c r="N1909" s="5"/>
      <c r="O1909" s="2">
        <v>7417.6</v>
      </c>
      <c r="P1909">
        <v>263</v>
      </c>
      <c r="Q1909" s="2">
        <v>1950828.8</v>
      </c>
      <c r="R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 s="1">
        <v>42382</v>
      </c>
      <c r="AC1909" t="s">
        <v>53</v>
      </c>
      <c r="AD1909" t="s">
        <v>53</v>
      </c>
      <c r="AK1909">
        <v>0</v>
      </c>
      <c r="AU1909" s="6">
        <v>42037</v>
      </c>
      <c r="AV1909" s="6">
        <v>42037</v>
      </c>
      <c r="AW1909" t="s">
        <v>54</v>
      </c>
      <c r="AX1909" t="str">
        <f t="shared" si="146"/>
        <v>FOR</v>
      </c>
      <c r="AY1909" t="s">
        <v>55</v>
      </c>
    </row>
    <row r="1910" spans="1:51" hidden="1">
      <c r="A1910">
        <v>100449</v>
      </c>
      <c r="B1910" t="s">
        <v>156</v>
      </c>
      <c r="C1910" t="str">
        <f t="shared" ref="C1910:D1929" si="152">"00153730627"</f>
        <v>00153730627</v>
      </c>
      <c r="D1910" t="str">
        <f t="shared" si="152"/>
        <v>00153730627</v>
      </c>
      <c r="E1910" t="s">
        <v>52</v>
      </c>
      <c r="F1910">
        <v>2014</v>
      </c>
      <c r="G1910">
        <v>208</v>
      </c>
      <c r="H1910" s="1">
        <v>41851</v>
      </c>
      <c r="I1910" s="1">
        <v>41913</v>
      </c>
      <c r="J1910" s="1">
        <v>41913</v>
      </c>
      <c r="K1910" s="1">
        <v>42003</v>
      </c>
      <c r="N1910" s="5"/>
      <c r="O1910" s="2">
        <v>3928.4</v>
      </c>
      <c r="P1910">
        <v>16</v>
      </c>
      <c r="Q1910" s="2">
        <v>62854.400000000001</v>
      </c>
      <c r="R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 s="1">
        <v>42382</v>
      </c>
      <c r="AC1910" t="s">
        <v>53</v>
      </c>
      <c r="AD1910" t="s">
        <v>53</v>
      </c>
      <c r="AK1910">
        <v>0</v>
      </c>
      <c r="AU1910" s="6">
        <v>42019</v>
      </c>
      <c r="AV1910" s="6">
        <v>42019</v>
      </c>
      <c r="AW1910" t="s">
        <v>54</v>
      </c>
      <c r="AX1910" t="str">
        <f t="shared" si="146"/>
        <v>FOR</v>
      </c>
      <c r="AY1910" t="s">
        <v>55</v>
      </c>
    </row>
    <row r="1911" spans="1:51" hidden="1">
      <c r="A1911">
        <v>100449</v>
      </c>
      <c r="B1911" t="s">
        <v>156</v>
      </c>
      <c r="C1911" t="str">
        <f t="shared" si="152"/>
        <v>00153730627</v>
      </c>
      <c r="D1911" t="str">
        <f t="shared" si="152"/>
        <v>00153730627</v>
      </c>
      <c r="E1911" t="s">
        <v>52</v>
      </c>
      <c r="F1911">
        <v>2014</v>
      </c>
      <c r="G1911">
        <v>209</v>
      </c>
      <c r="H1911" s="1">
        <v>41851</v>
      </c>
      <c r="I1911" s="1">
        <v>41913</v>
      </c>
      <c r="J1911" s="1">
        <v>41913</v>
      </c>
      <c r="K1911" s="1">
        <v>42003</v>
      </c>
      <c r="N1911" s="5"/>
      <c r="O1911" s="2">
        <v>1464</v>
      </c>
      <c r="P1911">
        <v>16</v>
      </c>
      <c r="Q1911" s="2">
        <v>23424</v>
      </c>
      <c r="R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 s="1">
        <v>42382</v>
      </c>
      <c r="AC1911" t="s">
        <v>53</v>
      </c>
      <c r="AD1911" t="s">
        <v>53</v>
      </c>
      <c r="AK1911">
        <v>0</v>
      </c>
      <c r="AU1911" s="6">
        <v>42019</v>
      </c>
      <c r="AV1911" s="6">
        <v>42019</v>
      </c>
      <c r="AW1911" t="s">
        <v>54</v>
      </c>
      <c r="AX1911" t="str">
        <f t="shared" si="146"/>
        <v>FOR</v>
      </c>
      <c r="AY1911" t="s">
        <v>55</v>
      </c>
    </row>
    <row r="1912" spans="1:51" hidden="1">
      <c r="A1912">
        <v>100449</v>
      </c>
      <c r="B1912" t="s">
        <v>156</v>
      </c>
      <c r="C1912" t="str">
        <f t="shared" si="152"/>
        <v>00153730627</v>
      </c>
      <c r="D1912" t="str">
        <f t="shared" si="152"/>
        <v>00153730627</v>
      </c>
      <c r="E1912" t="s">
        <v>52</v>
      </c>
      <c r="F1912">
        <v>2014</v>
      </c>
      <c r="G1912">
        <v>210</v>
      </c>
      <c r="H1912" s="1">
        <v>41851</v>
      </c>
      <c r="I1912" s="1">
        <v>41876</v>
      </c>
      <c r="J1912" s="1">
        <v>41876</v>
      </c>
      <c r="K1912" s="1">
        <v>41966</v>
      </c>
      <c r="N1912" s="5"/>
      <c r="O1912" s="2">
        <v>5124</v>
      </c>
      <c r="P1912">
        <v>53</v>
      </c>
      <c r="Q1912" s="2">
        <v>271572</v>
      </c>
      <c r="R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 s="1">
        <v>42382</v>
      </c>
      <c r="AC1912" t="s">
        <v>53</v>
      </c>
      <c r="AD1912" t="s">
        <v>53</v>
      </c>
      <c r="AK1912">
        <v>0</v>
      </c>
      <c r="AU1912" s="6">
        <v>42019</v>
      </c>
      <c r="AV1912" s="6">
        <v>42019</v>
      </c>
      <c r="AW1912" t="s">
        <v>54</v>
      </c>
      <c r="AX1912" t="str">
        <f t="shared" si="146"/>
        <v>FOR</v>
      </c>
      <c r="AY1912" t="s">
        <v>55</v>
      </c>
    </row>
    <row r="1913" spans="1:51" hidden="1">
      <c r="A1913">
        <v>100449</v>
      </c>
      <c r="B1913" t="s">
        <v>156</v>
      </c>
      <c r="C1913" t="str">
        <f t="shared" si="152"/>
        <v>00153730627</v>
      </c>
      <c r="D1913" t="str">
        <f t="shared" si="152"/>
        <v>00153730627</v>
      </c>
      <c r="E1913" t="s">
        <v>52</v>
      </c>
      <c r="F1913">
        <v>2014</v>
      </c>
      <c r="G1913">
        <v>211</v>
      </c>
      <c r="H1913" s="1">
        <v>41851</v>
      </c>
      <c r="I1913" s="1">
        <v>41913</v>
      </c>
      <c r="J1913" s="1">
        <v>41913</v>
      </c>
      <c r="K1913" s="1">
        <v>42003</v>
      </c>
      <c r="N1913" s="5"/>
      <c r="O1913" s="2">
        <v>1665.3</v>
      </c>
      <c r="P1913">
        <v>16</v>
      </c>
      <c r="Q1913" s="2">
        <v>26644.799999999999</v>
      </c>
      <c r="R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 s="1">
        <v>42382</v>
      </c>
      <c r="AC1913" t="s">
        <v>53</v>
      </c>
      <c r="AD1913" t="s">
        <v>53</v>
      </c>
      <c r="AK1913">
        <v>0</v>
      </c>
      <c r="AU1913" s="6">
        <v>42019</v>
      </c>
      <c r="AV1913" s="6">
        <v>42019</v>
      </c>
      <c r="AW1913" t="s">
        <v>54</v>
      </c>
      <c r="AX1913" t="str">
        <f t="shared" si="146"/>
        <v>FOR</v>
      </c>
      <c r="AY1913" t="s">
        <v>55</v>
      </c>
    </row>
    <row r="1914" spans="1:51" hidden="1">
      <c r="A1914">
        <v>100449</v>
      </c>
      <c r="B1914" t="s">
        <v>156</v>
      </c>
      <c r="C1914" t="str">
        <f t="shared" si="152"/>
        <v>00153730627</v>
      </c>
      <c r="D1914" t="str">
        <f t="shared" si="152"/>
        <v>00153730627</v>
      </c>
      <c r="E1914" t="s">
        <v>52</v>
      </c>
      <c r="F1914">
        <v>2014</v>
      </c>
      <c r="G1914">
        <v>240</v>
      </c>
      <c r="H1914" s="1">
        <v>41851</v>
      </c>
      <c r="I1914" s="1">
        <v>41913</v>
      </c>
      <c r="J1914" s="1">
        <v>41913</v>
      </c>
      <c r="K1914" s="1">
        <v>42003</v>
      </c>
      <c r="N1914" s="5"/>
      <c r="O1914" s="2">
        <v>12215.25</v>
      </c>
      <c r="P1914">
        <v>16</v>
      </c>
      <c r="Q1914" s="2">
        <v>195444</v>
      </c>
      <c r="R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 s="1">
        <v>42382</v>
      </c>
      <c r="AC1914" t="s">
        <v>53</v>
      </c>
      <c r="AD1914" t="s">
        <v>53</v>
      </c>
      <c r="AK1914">
        <v>0</v>
      </c>
      <c r="AU1914" s="6">
        <v>42019</v>
      </c>
      <c r="AV1914" s="6">
        <v>42019</v>
      </c>
      <c r="AW1914" t="s">
        <v>54</v>
      </c>
      <c r="AX1914" t="str">
        <f t="shared" si="146"/>
        <v>FOR</v>
      </c>
      <c r="AY1914" t="s">
        <v>55</v>
      </c>
    </row>
    <row r="1915" spans="1:51" hidden="1">
      <c r="A1915">
        <v>100449</v>
      </c>
      <c r="B1915" t="s">
        <v>156</v>
      </c>
      <c r="C1915" t="str">
        <f t="shared" si="152"/>
        <v>00153730627</v>
      </c>
      <c r="D1915" t="str">
        <f t="shared" si="152"/>
        <v>00153730627</v>
      </c>
      <c r="E1915" t="s">
        <v>52</v>
      </c>
      <c r="F1915">
        <v>2014</v>
      </c>
      <c r="G1915">
        <v>244</v>
      </c>
      <c r="H1915" s="1">
        <v>41882</v>
      </c>
      <c r="I1915" s="1">
        <v>42004</v>
      </c>
      <c r="J1915" s="1">
        <v>42004</v>
      </c>
      <c r="K1915" s="1">
        <v>42064</v>
      </c>
      <c r="N1915" s="5"/>
      <c r="O1915" s="2">
        <v>3928.4</v>
      </c>
      <c r="P1915">
        <v>-30</v>
      </c>
      <c r="Q1915" s="2">
        <v>-117852</v>
      </c>
      <c r="R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 s="1">
        <v>42382</v>
      </c>
      <c r="AC1915" t="s">
        <v>53</v>
      </c>
      <c r="AD1915" t="s">
        <v>53</v>
      </c>
      <c r="AK1915">
        <v>0</v>
      </c>
      <c r="AU1915" s="6">
        <v>42034</v>
      </c>
      <c r="AV1915" s="6">
        <v>42034</v>
      </c>
      <c r="AW1915" t="s">
        <v>54</v>
      </c>
      <c r="AX1915" t="str">
        <f t="shared" si="146"/>
        <v>FOR</v>
      </c>
      <c r="AY1915" t="s">
        <v>55</v>
      </c>
    </row>
    <row r="1916" spans="1:51" hidden="1">
      <c r="A1916">
        <v>100449</v>
      </c>
      <c r="B1916" t="s">
        <v>156</v>
      </c>
      <c r="C1916" t="str">
        <f t="shared" si="152"/>
        <v>00153730627</v>
      </c>
      <c r="D1916" t="str">
        <f t="shared" si="152"/>
        <v>00153730627</v>
      </c>
      <c r="E1916" t="s">
        <v>52</v>
      </c>
      <c r="F1916">
        <v>2014</v>
      </c>
      <c r="G1916">
        <v>245</v>
      </c>
      <c r="H1916" s="1">
        <v>41882</v>
      </c>
      <c r="I1916" s="1">
        <v>42004</v>
      </c>
      <c r="J1916" s="1">
        <v>42004</v>
      </c>
      <c r="K1916" s="1">
        <v>42064</v>
      </c>
      <c r="N1916" s="5"/>
      <c r="O1916" s="2">
        <v>1464</v>
      </c>
      <c r="P1916">
        <v>-30</v>
      </c>
      <c r="Q1916" s="2">
        <v>-43920</v>
      </c>
      <c r="R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 s="1">
        <v>42382</v>
      </c>
      <c r="AC1916" t="s">
        <v>53</v>
      </c>
      <c r="AD1916" t="s">
        <v>53</v>
      </c>
      <c r="AK1916">
        <v>0</v>
      </c>
      <c r="AU1916" s="6">
        <v>42034</v>
      </c>
      <c r="AV1916" s="6">
        <v>42034</v>
      </c>
      <c r="AW1916" t="s">
        <v>54</v>
      </c>
      <c r="AX1916" t="str">
        <f t="shared" si="146"/>
        <v>FOR</v>
      </c>
      <c r="AY1916" t="s">
        <v>55</v>
      </c>
    </row>
    <row r="1917" spans="1:51" hidden="1">
      <c r="A1917">
        <v>100449</v>
      </c>
      <c r="B1917" t="s">
        <v>156</v>
      </c>
      <c r="C1917" t="str">
        <f t="shared" si="152"/>
        <v>00153730627</v>
      </c>
      <c r="D1917" t="str">
        <f t="shared" si="152"/>
        <v>00153730627</v>
      </c>
      <c r="E1917" t="s">
        <v>52</v>
      </c>
      <c r="F1917">
        <v>2014</v>
      </c>
      <c r="G1917">
        <v>246</v>
      </c>
      <c r="H1917" s="1">
        <v>41882</v>
      </c>
      <c r="I1917" s="1">
        <v>41887</v>
      </c>
      <c r="J1917" s="1">
        <v>41887</v>
      </c>
      <c r="K1917" s="1">
        <v>41977</v>
      </c>
      <c r="N1917" s="5"/>
      <c r="O1917" s="2">
        <v>5124</v>
      </c>
      <c r="P1917">
        <v>42</v>
      </c>
      <c r="Q1917" s="2">
        <v>215208</v>
      </c>
      <c r="R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 s="1">
        <v>42382</v>
      </c>
      <c r="AC1917" t="s">
        <v>53</v>
      </c>
      <c r="AD1917" t="s">
        <v>53</v>
      </c>
      <c r="AK1917">
        <v>0</v>
      </c>
      <c r="AU1917" s="6">
        <v>42019</v>
      </c>
      <c r="AV1917" s="6">
        <v>42019</v>
      </c>
      <c r="AW1917" t="s">
        <v>54</v>
      </c>
      <c r="AX1917" t="str">
        <f t="shared" si="146"/>
        <v>FOR</v>
      </c>
      <c r="AY1917" t="s">
        <v>55</v>
      </c>
    </row>
    <row r="1918" spans="1:51" hidden="1">
      <c r="A1918">
        <v>100449</v>
      </c>
      <c r="B1918" t="s">
        <v>156</v>
      </c>
      <c r="C1918" t="str">
        <f t="shared" si="152"/>
        <v>00153730627</v>
      </c>
      <c r="D1918" t="str">
        <f t="shared" si="152"/>
        <v>00153730627</v>
      </c>
      <c r="E1918" t="s">
        <v>52</v>
      </c>
      <c r="F1918">
        <v>2014</v>
      </c>
      <c r="G1918">
        <v>247</v>
      </c>
      <c r="H1918" s="1">
        <v>41882</v>
      </c>
      <c r="I1918" s="1">
        <v>42004</v>
      </c>
      <c r="J1918" s="1">
        <v>42004</v>
      </c>
      <c r="K1918" s="1">
        <v>42064</v>
      </c>
      <c r="N1918" s="5"/>
      <c r="O1918" s="2">
        <v>1665.3</v>
      </c>
      <c r="P1918">
        <v>-30</v>
      </c>
      <c r="Q1918" s="2">
        <v>-49959</v>
      </c>
      <c r="R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 s="1">
        <v>42382</v>
      </c>
      <c r="AC1918" t="s">
        <v>53</v>
      </c>
      <c r="AD1918" t="s">
        <v>53</v>
      </c>
      <c r="AK1918">
        <v>0</v>
      </c>
      <c r="AU1918" s="6">
        <v>42034</v>
      </c>
      <c r="AV1918" s="6">
        <v>42034</v>
      </c>
      <c r="AW1918" t="s">
        <v>54</v>
      </c>
      <c r="AX1918" t="str">
        <f t="shared" si="146"/>
        <v>FOR</v>
      </c>
      <c r="AY1918" t="s">
        <v>55</v>
      </c>
    </row>
    <row r="1919" spans="1:51" hidden="1">
      <c r="A1919">
        <v>100449</v>
      </c>
      <c r="B1919" t="s">
        <v>156</v>
      </c>
      <c r="C1919" t="str">
        <f t="shared" si="152"/>
        <v>00153730627</v>
      </c>
      <c r="D1919" t="str">
        <f t="shared" si="152"/>
        <v>00153730627</v>
      </c>
      <c r="E1919" t="s">
        <v>52</v>
      </c>
      <c r="F1919">
        <v>2014</v>
      </c>
      <c r="G1919">
        <v>270</v>
      </c>
      <c r="H1919" s="1">
        <v>41882</v>
      </c>
      <c r="I1919" s="1">
        <v>42004</v>
      </c>
      <c r="J1919" s="1">
        <v>42004</v>
      </c>
      <c r="K1919" s="1">
        <v>42064</v>
      </c>
      <c r="N1919" s="5"/>
      <c r="O1919">
        <v>610</v>
      </c>
      <c r="P1919">
        <v>-30</v>
      </c>
      <c r="Q1919" s="2">
        <v>-18300</v>
      </c>
      <c r="R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 s="1">
        <v>42382</v>
      </c>
      <c r="AC1919" t="s">
        <v>53</v>
      </c>
      <c r="AD1919" t="s">
        <v>53</v>
      </c>
      <c r="AK1919">
        <v>0</v>
      </c>
      <c r="AU1919" s="6">
        <v>42034</v>
      </c>
      <c r="AV1919" s="6">
        <v>42034</v>
      </c>
      <c r="AW1919" t="s">
        <v>54</v>
      </c>
      <c r="AX1919" t="str">
        <f t="shared" si="146"/>
        <v>FOR</v>
      </c>
      <c r="AY1919" t="s">
        <v>55</v>
      </c>
    </row>
    <row r="1920" spans="1:51" hidden="1">
      <c r="A1920">
        <v>100449</v>
      </c>
      <c r="B1920" t="s">
        <v>156</v>
      </c>
      <c r="C1920" t="str">
        <f t="shared" si="152"/>
        <v>00153730627</v>
      </c>
      <c r="D1920" t="str">
        <f t="shared" si="152"/>
        <v>00153730627</v>
      </c>
      <c r="E1920" t="s">
        <v>52</v>
      </c>
      <c r="F1920">
        <v>2014</v>
      </c>
      <c r="G1920">
        <v>274</v>
      </c>
      <c r="H1920" s="1">
        <v>41882</v>
      </c>
      <c r="I1920" s="1">
        <v>42004</v>
      </c>
      <c r="J1920" s="1">
        <v>42004</v>
      </c>
      <c r="K1920" s="1">
        <v>42064</v>
      </c>
      <c r="N1920" s="5"/>
      <c r="O1920" s="2">
        <v>10877.07</v>
      </c>
      <c r="P1920">
        <v>-30</v>
      </c>
      <c r="Q1920" s="2">
        <v>-326312.09999999998</v>
      </c>
      <c r="R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 s="1">
        <v>42382</v>
      </c>
      <c r="AC1920" t="s">
        <v>53</v>
      </c>
      <c r="AD1920" t="s">
        <v>53</v>
      </c>
      <c r="AK1920">
        <v>0</v>
      </c>
      <c r="AU1920" s="6">
        <v>42034</v>
      </c>
      <c r="AV1920" s="6">
        <v>42034</v>
      </c>
      <c r="AW1920" t="s">
        <v>54</v>
      </c>
      <c r="AX1920" t="str">
        <f t="shared" si="146"/>
        <v>FOR</v>
      </c>
      <c r="AY1920" t="s">
        <v>55</v>
      </c>
    </row>
    <row r="1921" spans="1:51" hidden="1">
      <c r="A1921">
        <v>100449</v>
      </c>
      <c r="B1921" t="s">
        <v>156</v>
      </c>
      <c r="C1921" t="str">
        <f t="shared" si="152"/>
        <v>00153730627</v>
      </c>
      <c r="D1921" t="str">
        <f t="shared" si="152"/>
        <v>00153730627</v>
      </c>
      <c r="E1921" t="s">
        <v>52</v>
      </c>
      <c r="F1921">
        <v>2014</v>
      </c>
      <c r="G1921">
        <v>275</v>
      </c>
      <c r="H1921" s="1">
        <v>41882</v>
      </c>
      <c r="I1921" s="1">
        <v>42004</v>
      </c>
      <c r="J1921" s="1">
        <v>42004</v>
      </c>
      <c r="K1921" s="1">
        <v>42064</v>
      </c>
      <c r="N1921" s="5"/>
      <c r="O1921" s="2">
        <v>5063</v>
      </c>
      <c r="P1921">
        <v>-30</v>
      </c>
      <c r="Q1921" s="2">
        <v>-151890</v>
      </c>
      <c r="R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 s="1">
        <v>42382</v>
      </c>
      <c r="AC1921" t="s">
        <v>53</v>
      </c>
      <c r="AD1921" t="s">
        <v>53</v>
      </c>
      <c r="AK1921">
        <v>0</v>
      </c>
      <c r="AU1921" s="6">
        <v>42034</v>
      </c>
      <c r="AV1921" s="6">
        <v>42034</v>
      </c>
      <c r="AW1921" t="s">
        <v>54</v>
      </c>
      <c r="AX1921" t="str">
        <f t="shared" si="146"/>
        <v>FOR</v>
      </c>
      <c r="AY1921" t="s">
        <v>55</v>
      </c>
    </row>
    <row r="1922" spans="1:51" hidden="1">
      <c r="A1922">
        <v>100449</v>
      </c>
      <c r="B1922" t="s">
        <v>156</v>
      </c>
      <c r="C1922" t="str">
        <f t="shared" si="152"/>
        <v>00153730627</v>
      </c>
      <c r="D1922" t="str">
        <f t="shared" si="152"/>
        <v>00153730627</v>
      </c>
      <c r="E1922" t="s">
        <v>52</v>
      </c>
      <c r="F1922">
        <v>2014</v>
      </c>
      <c r="G1922">
        <v>280</v>
      </c>
      <c r="H1922" s="1">
        <v>41912</v>
      </c>
      <c r="I1922" s="1">
        <v>41922</v>
      </c>
      <c r="J1922" s="1">
        <v>41922</v>
      </c>
      <c r="K1922" s="1">
        <v>42012</v>
      </c>
      <c r="N1922" s="5"/>
      <c r="O1922" s="2">
        <v>72047.16</v>
      </c>
      <c r="P1922">
        <v>7</v>
      </c>
      <c r="Q1922" s="2">
        <v>504330.12</v>
      </c>
      <c r="R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 s="1">
        <v>42382</v>
      </c>
      <c r="AC1922" t="s">
        <v>53</v>
      </c>
      <c r="AD1922" t="s">
        <v>53</v>
      </c>
      <c r="AK1922">
        <v>0</v>
      </c>
      <c r="AU1922" s="6">
        <v>42019</v>
      </c>
      <c r="AV1922" s="6">
        <v>42019</v>
      </c>
      <c r="AW1922" t="s">
        <v>54</v>
      </c>
      <c r="AX1922" t="str">
        <f t="shared" si="146"/>
        <v>FOR</v>
      </c>
      <c r="AY1922" t="s">
        <v>55</v>
      </c>
    </row>
    <row r="1923" spans="1:51" hidden="1">
      <c r="A1923">
        <v>100449</v>
      </c>
      <c r="B1923" t="s">
        <v>156</v>
      </c>
      <c r="C1923" t="str">
        <f t="shared" si="152"/>
        <v>00153730627</v>
      </c>
      <c r="D1923" t="str">
        <f t="shared" si="152"/>
        <v>00153730627</v>
      </c>
      <c r="E1923" t="s">
        <v>52</v>
      </c>
      <c r="F1923">
        <v>2014</v>
      </c>
      <c r="G1923">
        <v>281</v>
      </c>
      <c r="H1923" s="1">
        <v>41912</v>
      </c>
      <c r="I1923" s="1">
        <v>42004</v>
      </c>
      <c r="J1923" s="1">
        <v>42004</v>
      </c>
      <c r="K1923" s="1">
        <v>42064</v>
      </c>
      <c r="N1923" s="5"/>
      <c r="O1923" s="2">
        <v>3928.4</v>
      </c>
      <c r="P1923">
        <v>-30</v>
      </c>
      <c r="Q1923" s="2">
        <v>-117852</v>
      </c>
      <c r="R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 s="1">
        <v>42382</v>
      </c>
      <c r="AC1923" t="s">
        <v>53</v>
      </c>
      <c r="AD1923" t="s">
        <v>53</v>
      </c>
      <c r="AK1923">
        <v>0</v>
      </c>
      <c r="AU1923" s="6">
        <v>42034</v>
      </c>
      <c r="AV1923" s="6">
        <v>42034</v>
      </c>
      <c r="AW1923" t="s">
        <v>54</v>
      </c>
      <c r="AX1923" t="str">
        <f t="shared" ref="AX1923:AX1986" si="153">"FOR"</f>
        <v>FOR</v>
      </c>
      <c r="AY1923" t="s">
        <v>55</v>
      </c>
    </row>
    <row r="1924" spans="1:51" hidden="1">
      <c r="A1924">
        <v>100449</v>
      </c>
      <c r="B1924" t="s">
        <v>156</v>
      </c>
      <c r="C1924" t="str">
        <f t="shared" si="152"/>
        <v>00153730627</v>
      </c>
      <c r="D1924" t="str">
        <f t="shared" si="152"/>
        <v>00153730627</v>
      </c>
      <c r="E1924" t="s">
        <v>52</v>
      </c>
      <c r="F1924">
        <v>2014</v>
      </c>
      <c r="G1924">
        <v>282</v>
      </c>
      <c r="H1924" s="1">
        <v>41912</v>
      </c>
      <c r="I1924" s="1">
        <v>42004</v>
      </c>
      <c r="J1924" s="1">
        <v>42004</v>
      </c>
      <c r="K1924" s="1">
        <v>42064</v>
      </c>
      <c r="N1924" s="5"/>
      <c r="O1924" s="2">
        <v>1464</v>
      </c>
      <c r="P1924">
        <v>-30</v>
      </c>
      <c r="Q1924" s="2">
        <v>-43920</v>
      </c>
      <c r="R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 s="1">
        <v>42382</v>
      </c>
      <c r="AC1924" t="s">
        <v>53</v>
      </c>
      <c r="AD1924" t="s">
        <v>53</v>
      </c>
      <c r="AK1924">
        <v>0</v>
      </c>
      <c r="AU1924" s="6">
        <v>42034</v>
      </c>
      <c r="AV1924" s="6">
        <v>42034</v>
      </c>
      <c r="AW1924" t="s">
        <v>54</v>
      </c>
      <c r="AX1924" t="str">
        <f t="shared" si="153"/>
        <v>FOR</v>
      </c>
      <c r="AY1924" t="s">
        <v>55</v>
      </c>
    </row>
    <row r="1925" spans="1:51" hidden="1">
      <c r="A1925">
        <v>100449</v>
      </c>
      <c r="B1925" t="s">
        <v>156</v>
      </c>
      <c r="C1925" t="str">
        <f t="shared" si="152"/>
        <v>00153730627</v>
      </c>
      <c r="D1925" t="str">
        <f t="shared" si="152"/>
        <v>00153730627</v>
      </c>
      <c r="E1925" t="s">
        <v>52</v>
      </c>
      <c r="F1925">
        <v>2014</v>
      </c>
      <c r="G1925">
        <v>283</v>
      </c>
      <c r="H1925" s="1">
        <v>41912</v>
      </c>
      <c r="I1925" s="1">
        <v>41920</v>
      </c>
      <c r="J1925" s="1">
        <v>41920</v>
      </c>
      <c r="K1925" s="1">
        <v>42010</v>
      </c>
      <c r="N1925" s="5"/>
      <c r="O1925" s="2">
        <v>5124</v>
      </c>
      <c r="P1925">
        <v>24</v>
      </c>
      <c r="Q1925" s="2">
        <v>122976</v>
      </c>
      <c r="R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 s="1">
        <v>42382</v>
      </c>
      <c r="AC1925" t="s">
        <v>53</v>
      </c>
      <c r="AD1925" t="s">
        <v>53</v>
      </c>
      <c r="AK1925">
        <v>0</v>
      </c>
      <c r="AU1925" s="6">
        <v>42034</v>
      </c>
      <c r="AV1925" s="6">
        <v>42034</v>
      </c>
      <c r="AW1925" t="s">
        <v>54</v>
      </c>
      <c r="AX1925" t="str">
        <f t="shared" si="153"/>
        <v>FOR</v>
      </c>
      <c r="AY1925" t="s">
        <v>55</v>
      </c>
    </row>
    <row r="1926" spans="1:51" hidden="1">
      <c r="A1926">
        <v>100449</v>
      </c>
      <c r="B1926" t="s">
        <v>156</v>
      </c>
      <c r="C1926" t="str">
        <f t="shared" si="152"/>
        <v>00153730627</v>
      </c>
      <c r="D1926" t="str">
        <f t="shared" si="152"/>
        <v>00153730627</v>
      </c>
      <c r="E1926" t="s">
        <v>52</v>
      </c>
      <c r="F1926">
        <v>2014</v>
      </c>
      <c r="G1926">
        <v>284</v>
      </c>
      <c r="H1926" s="1">
        <v>41912</v>
      </c>
      <c r="I1926" s="1">
        <v>42004</v>
      </c>
      <c r="J1926" s="1">
        <v>42004</v>
      </c>
      <c r="K1926" s="1">
        <v>42064</v>
      </c>
      <c r="N1926" s="5"/>
      <c r="O1926" s="2">
        <v>1665.3</v>
      </c>
      <c r="P1926">
        <v>-30</v>
      </c>
      <c r="Q1926" s="2">
        <v>-49959</v>
      </c>
      <c r="R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 s="1">
        <v>42382</v>
      </c>
      <c r="AC1926" t="s">
        <v>53</v>
      </c>
      <c r="AD1926" t="s">
        <v>53</v>
      </c>
      <c r="AK1926">
        <v>0</v>
      </c>
      <c r="AU1926" s="6">
        <v>42034</v>
      </c>
      <c r="AV1926" s="6">
        <v>42034</v>
      </c>
      <c r="AW1926" t="s">
        <v>54</v>
      </c>
      <c r="AX1926" t="str">
        <f t="shared" si="153"/>
        <v>FOR</v>
      </c>
      <c r="AY1926" t="s">
        <v>55</v>
      </c>
    </row>
    <row r="1927" spans="1:51" hidden="1">
      <c r="A1927">
        <v>100449</v>
      </c>
      <c r="B1927" t="s">
        <v>156</v>
      </c>
      <c r="C1927" t="str">
        <f t="shared" si="152"/>
        <v>00153730627</v>
      </c>
      <c r="D1927" t="str">
        <f t="shared" si="152"/>
        <v>00153730627</v>
      </c>
      <c r="E1927" t="s">
        <v>52</v>
      </c>
      <c r="F1927">
        <v>2014</v>
      </c>
      <c r="G1927">
        <v>316</v>
      </c>
      <c r="H1927" s="1">
        <v>41912</v>
      </c>
      <c r="I1927" s="1">
        <v>42004</v>
      </c>
      <c r="J1927" s="1">
        <v>42004</v>
      </c>
      <c r="K1927" s="1">
        <v>42064</v>
      </c>
      <c r="N1927" s="5"/>
      <c r="O1927" s="2">
        <v>11551.88</v>
      </c>
      <c r="P1927">
        <v>-30</v>
      </c>
      <c r="Q1927" s="2">
        <v>-346556.4</v>
      </c>
      <c r="R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 s="1">
        <v>42382</v>
      </c>
      <c r="AC1927" t="s">
        <v>53</v>
      </c>
      <c r="AD1927" t="s">
        <v>53</v>
      </c>
      <c r="AK1927">
        <v>0</v>
      </c>
      <c r="AU1927" s="6">
        <v>42034</v>
      </c>
      <c r="AV1927" s="6">
        <v>42034</v>
      </c>
      <c r="AW1927" t="s">
        <v>54</v>
      </c>
      <c r="AX1927" t="str">
        <f t="shared" si="153"/>
        <v>FOR</v>
      </c>
      <c r="AY1927" t="s">
        <v>55</v>
      </c>
    </row>
    <row r="1928" spans="1:51" hidden="1">
      <c r="A1928">
        <v>100449</v>
      </c>
      <c r="B1928" t="s">
        <v>156</v>
      </c>
      <c r="C1928" t="str">
        <f t="shared" si="152"/>
        <v>00153730627</v>
      </c>
      <c r="D1928" t="str">
        <f t="shared" si="152"/>
        <v>00153730627</v>
      </c>
      <c r="E1928" t="s">
        <v>52</v>
      </c>
      <c r="F1928">
        <v>2014</v>
      </c>
      <c r="G1928">
        <v>317</v>
      </c>
      <c r="H1928" s="1">
        <v>41912</v>
      </c>
      <c r="I1928" s="1">
        <v>42004</v>
      </c>
      <c r="J1928" s="1">
        <v>42004</v>
      </c>
      <c r="K1928" s="1">
        <v>42064</v>
      </c>
      <c r="N1928" s="5"/>
      <c r="O1928">
        <v>610</v>
      </c>
      <c r="P1928">
        <v>-30</v>
      </c>
      <c r="Q1928" s="2">
        <v>-18300</v>
      </c>
      <c r="R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 s="1">
        <v>42382</v>
      </c>
      <c r="AC1928" t="s">
        <v>53</v>
      </c>
      <c r="AD1928" t="s">
        <v>53</v>
      </c>
      <c r="AK1928">
        <v>0</v>
      </c>
      <c r="AU1928" s="6">
        <v>42034</v>
      </c>
      <c r="AV1928" s="6">
        <v>42034</v>
      </c>
      <c r="AW1928" t="s">
        <v>54</v>
      </c>
      <c r="AX1928" t="str">
        <f t="shared" si="153"/>
        <v>FOR</v>
      </c>
      <c r="AY1928" t="s">
        <v>55</v>
      </c>
    </row>
    <row r="1929" spans="1:51" hidden="1">
      <c r="A1929">
        <v>100449</v>
      </c>
      <c r="B1929" t="s">
        <v>156</v>
      </c>
      <c r="C1929" t="str">
        <f t="shared" si="152"/>
        <v>00153730627</v>
      </c>
      <c r="D1929" t="str">
        <f t="shared" si="152"/>
        <v>00153730627</v>
      </c>
      <c r="E1929" t="s">
        <v>52</v>
      </c>
      <c r="F1929">
        <v>2014</v>
      </c>
      <c r="G1929">
        <v>321</v>
      </c>
      <c r="H1929" s="1">
        <v>41943</v>
      </c>
      <c r="I1929" s="1">
        <v>41950</v>
      </c>
      <c r="J1929" s="1">
        <v>41950</v>
      </c>
      <c r="K1929" s="1">
        <v>42010</v>
      </c>
      <c r="N1929" s="5"/>
      <c r="O1929" s="2">
        <v>72047.16</v>
      </c>
      <c r="P1929">
        <v>52</v>
      </c>
      <c r="Q1929" s="2">
        <v>3746452.32</v>
      </c>
      <c r="R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 s="1">
        <v>42382</v>
      </c>
      <c r="AC1929" t="s">
        <v>53</v>
      </c>
      <c r="AD1929" t="s">
        <v>53</v>
      </c>
      <c r="AK1929">
        <v>0</v>
      </c>
      <c r="AU1929" s="6">
        <v>42062</v>
      </c>
      <c r="AV1929" s="6">
        <v>42062</v>
      </c>
      <c r="AW1929" t="s">
        <v>54</v>
      </c>
      <c r="AX1929" t="str">
        <f t="shared" si="153"/>
        <v>FOR</v>
      </c>
      <c r="AY1929" t="s">
        <v>55</v>
      </c>
    </row>
    <row r="1930" spans="1:51" hidden="1">
      <c r="A1930">
        <v>100449</v>
      </c>
      <c r="B1930" t="s">
        <v>156</v>
      </c>
      <c r="C1930" t="str">
        <f t="shared" ref="C1930:D1949" si="154">"00153730627"</f>
        <v>00153730627</v>
      </c>
      <c r="D1930" t="str">
        <f t="shared" si="154"/>
        <v>00153730627</v>
      </c>
      <c r="E1930" t="s">
        <v>52</v>
      </c>
      <c r="F1930">
        <v>2014</v>
      </c>
      <c r="G1930">
        <v>322</v>
      </c>
      <c r="H1930" s="1">
        <v>41943</v>
      </c>
      <c r="I1930" s="1">
        <v>42037</v>
      </c>
      <c r="J1930" s="1">
        <v>42037</v>
      </c>
      <c r="K1930" s="1">
        <v>42097</v>
      </c>
      <c r="N1930" s="5"/>
      <c r="O1930" s="2">
        <v>3928.4</v>
      </c>
      <c r="P1930">
        <v>-35</v>
      </c>
      <c r="Q1930" s="2">
        <v>-137494</v>
      </c>
      <c r="R1930">
        <v>0</v>
      </c>
      <c r="V1930">
        <v>0</v>
      </c>
      <c r="W1930">
        <v>0</v>
      </c>
      <c r="X1930">
        <v>0</v>
      </c>
      <c r="Y1930">
        <v>0</v>
      </c>
      <c r="Z1930" s="2">
        <v>3928.4</v>
      </c>
      <c r="AA1930">
        <v>0</v>
      </c>
      <c r="AB1930" s="1">
        <v>42382</v>
      </c>
      <c r="AC1930" t="s">
        <v>53</v>
      </c>
      <c r="AD1930" t="s">
        <v>53</v>
      </c>
      <c r="AK1930">
        <v>0</v>
      </c>
      <c r="AU1930" s="6">
        <v>42062</v>
      </c>
      <c r="AV1930" s="6">
        <v>42062</v>
      </c>
      <c r="AW1930" t="s">
        <v>54</v>
      </c>
      <c r="AX1930" t="str">
        <f t="shared" si="153"/>
        <v>FOR</v>
      </c>
      <c r="AY1930" t="s">
        <v>55</v>
      </c>
    </row>
    <row r="1931" spans="1:51" hidden="1">
      <c r="A1931">
        <v>100449</v>
      </c>
      <c r="B1931" t="s">
        <v>156</v>
      </c>
      <c r="C1931" t="str">
        <f t="shared" si="154"/>
        <v>00153730627</v>
      </c>
      <c r="D1931" t="str">
        <f t="shared" si="154"/>
        <v>00153730627</v>
      </c>
      <c r="E1931" t="s">
        <v>52</v>
      </c>
      <c r="F1931">
        <v>2014</v>
      </c>
      <c r="G1931">
        <v>323</v>
      </c>
      <c r="H1931" s="1">
        <v>41943</v>
      </c>
      <c r="I1931" s="1">
        <v>42037</v>
      </c>
      <c r="J1931" s="1">
        <v>42037</v>
      </c>
      <c r="K1931" s="1">
        <v>42097</v>
      </c>
      <c r="N1931" s="5"/>
      <c r="O1931" s="2">
        <v>1464</v>
      </c>
      <c r="P1931">
        <v>-35</v>
      </c>
      <c r="Q1931" s="2">
        <v>-51240</v>
      </c>
      <c r="R1931">
        <v>0</v>
      </c>
      <c r="V1931">
        <v>0</v>
      </c>
      <c r="W1931">
        <v>0</v>
      </c>
      <c r="X1931">
        <v>0</v>
      </c>
      <c r="Y1931">
        <v>0</v>
      </c>
      <c r="Z1931" s="2">
        <v>1464</v>
      </c>
      <c r="AA1931">
        <v>0</v>
      </c>
      <c r="AB1931" s="1">
        <v>42382</v>
      </c>
      <c r="AC1931" t="s">
        <v>53</v>
      </c>
      <c r="AD1931" t="s">
        <v>53</v>
      </c>
      <c r="AK1931">
        <v>0</v>
      </c>
      <c r="AU1931" s="6">
        <v>42062</v>
      </c>
      <c r="AV1931" s="6">
        <v>42062</v>
      </c>
      <c r="AW1931" t="s">
        <v>54</v>
      </c>
      <c r="AX1931" t="str">
        <f t="shared" si="153"/>
        <v>FOR</v>
      </c>
      <c r="AY1931" t="s">
        <v>55</v>
      </c>
    </row>
    <row r="1932" spans="1:51" hidden="1">
      <c r="A1932">
        <v>100449</v>
      </c>
      <c r="B1932" t="s">
        <v>156</v>
      </c>
      <c r="C1932" t="str">
        <f t="shared" si="154"/>
        <v>00153730627</v>
      </c>
      <c r="D1932" t="str">
        <f t="shared" si="154"/>
        <v>00153730627</v>
      </c>
      <c r="E1932" t="s">
        <v>52</v>
      </c>
      <c r="F1932">
        <v>2014</v>
      </c>
      <c r="G1932">
        <v>324</v>
      </c>
      <c r="H1932" s="1">
        <v>41943</v>
      </c>
      <c r="I1932" s="1">
        <v>41948</v>
      </c>
      <c r="J1932" s="1">
        <v>41948</v>
      </c>
      <c r="K1932" s="1">
        <v>42008</v>
      </c>
      <c r="N1932" s="5"/>
      <c r="O1932" s="2">
        <v>5124</v>
      </c>
      <c r="P1932">
        <v>54</v>
      </c>
      <c r="Q1932" s="2">
        <v>276696</v>
      </c>
      <c r="R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 s="1">
        <v>42382</v>
      </c>
      <c r="AC1932" t="s">
        <v>53</v>
      </c>
      <c r="AD1932" t="s">
        <v>53</v>
      </c>
      <c r="AK1932">
        <v>0</v>
      </c>
      <c r="AU1932" s="6">
        <v>42062</v>
      </c>
      <c r="AV1932" s="6">
        <v>42062</v>
      </c>
      <c r="AW1932" t="s">
        <v>54</v>
      </c>
      <c r="AX1932" t="str">
        <f t="shared" si="153"/>
        <v>FOR</v>
      </c>
      <c r="AY1932" t="s">
        <v>55</v>
      </c>
    </row>
    <row r="1933" spans="1:51" hidden="1">
      <c r="A1933">
        <v>100449</v>
      </c>
      <c r="B1933" t="s">
        <v>156</v>
      </c>
      <c r="C1933" t="str">
        <f t="shared" si="154"/>
        <v>00153730627</v>
      </c>
      <c r="D1933" t="str">
        <f t="shared" si="154"/>
        <v>00153730627</v>
      </c>
      <c r="E1933" t="s">
        <v>52</v>
      </c>
      <c r="F1933">
        <v>2014</v>
      </c>
      <c r="G1933">
        <v>325</v>
      </c>
      <c r="H1933" s="1">
        <v>41943</v>
      </c>
      <c r="I1933" s="1">
        <v>42037</v>
      </c>
      <c r="J1933" s="1">
        <v>42037</v>
      </c>
      <c r="K1933" s="1">
        <v>42097</v>
      </c>
      <c r="N1933" s="5"/>
      <c r="O1933" s="2">
        <v>1665.3</v>
      </c>
      <c r="P1933">
        <v>-35</v>
      </c>
      <c r="Q1933" s="2">
        <v>-58285.5</v>
      </c>
      <c r="R1933">
        <v>0</v>
      </c>
      <c r="V1933">
        <v>0</v>
      </c>
      <c r="W1933">
        <v>0</v>
      </c>
      <c r="X1933">
        <v>0</v>
      </c>
      <c r="Y1933">
        <v>0</v>
      </c>
      <c r="Z1933" s="2">
        <v>1665.3</v>
      </c>
      <c r="AA1933">
        <v>0</v>
      </c>
      <c r="AB1933" s="1">
        <v>42382</v>
      </c>
      <c r="AC1933" t="s">
        <v>53</v>
      </c>
      <c r="AD1933" t="s">
        <v>53</v>
      </c>
      <c r="AK1933">
        <v>0</v>
      </c>
      <c r="AU1933" s="6">
        <v>42062</v>
      </c>
      <c r="AV1933" s="6">
        <v>42062</v>
      </c>
      <c r="AW1933" t="s">
        <v>54</v>
      </c>
      <c r="AX1933" t="str">
        <f t="shared" si="153"/>
        <v>FOR</v>
      </c>
      <c r="AY1933" t="s">
        <v>55</v>
      </c>
    </row>
    <row r="1934" spans="1:51" hidden="1">
      <c r="A1934">
        <v>100449</v>
      </c>
      <c r="B1934" t="s">
        <v>156</v>
      </c>
      <c r="C1934" t="str">
        <f t="shared" si="154"/>
        <v>00153730627</v>
      </c>
      <c r="D1934" t="str">
        <f t="shared" si="154"/>
        <v>00153730627</v>
      </c>
      <c r="E1934" t="s">
        <v>52</v>
      </c>
      <c r="F1934">
        <v>2014</v>
      </c>
      <c r="G1934">
        <v>351</v>
      </c>
      <c r="H1934" s="1">
        <v>41943</v>
      </c>
      <c r="I1934" s="1">
        <v>42037</v>
      </c>
      <c r="J1934" s="1">
        <v>42037</v>
      </c>
      <c r="K1934" s="1">
        <v>42097</v>
      </c>
      <c r="N1934" s="5"/>
      <c r="O1934" s="2">
        <v>12066.56</v>
      </c>
      <c r="P1934">
        <v>-35</v>
      </c>
      <c r="Q1934" s="2">
        <v>-422329.59999999998</v>
      </c>
      <c r="R1934">
        <v>0</v>
      </c>
      <c r="V1934">
        <v>0</v>
      </c>
      <c r="W1934">
        <v>0</v>
      </c>
      <c r="X1934">
        <v>0</v>
      </c>
      <c r="Y1934">
        <v>0</v>
      </c>
      <c r="Z1934" s="2">
        <v>12066.56</v>
      </c>
      <c r="AA1934">
        <v>0</v>
      </c>
      <c r="AB1934" s="1">
        <v>42382</v>
      </c>
      <c r="AC1934" t="s">
        <v>53</v>
      </c>
      <c r="AD1934" t="s">
        <v>53</v>
      </c>
      <c r="AK1934">
        <v>0</v>
      </c>
      <c r="AU1934" s="6">
        <v>42062</v>
      </c>
      <c r="AV1934" s="6">
        <v>42062</v>
      </c>
      <c r="AW1934" t="s">
        <v>54</v>
      </c>
      <c r="AX1934" t="str">
        <f t="shared" si="153"/>
        <v>FOR</v>
      </c>
      <c r="AY1934" t="s">
        <v>55</v>
      </c>
    </row>
    <row r="1935" spans="1:51" hidden="1">
      <c r="A1935">
        <v>100449</v>
      </c>
      <c r="B1935" t="s">
        <v>156</v>
      </c>
      <c r="C1935" t="str">
        <f t="shared" si="154"/>
        <v>00153730627</v>
      </c>
      <c r="D1935" t="str">
        <f t="shared" si="154"/>
        <v>00153730627</v>
      </c>
      <c r="E1935" t="s">
        <v>52</v>
      </c>
      <c r="F1935">
        <v>2014</v>
      </c>
      <c r="G1935">
        <v>352</v>
      </c>
      <c r="H1935" s="1">
        <v>41943</v>
      </c>
      <c r="I1935" s="1">
        <v>42037</v>
      </c>
      <c r="J1935" s="1">
        <v>42037</v>
      </c>
      <c r="K1935" s="1">
        <v>42097</v>
      </c>
      <c r="N1935" s="5"/>
      <c r="O1935" s="2">
        <v>2928</v>
      </c>
      <c r="P1935">
        <v>-35</v>
      </c>
      <c r="Q1935" s="2">
        <v>-102480</v>
      </c>
      <c r="R1935">
        <v>0</v>
      </c>
      <c r="V1935">
        <v>0</v>
      </c>
      <c r="W1935">
        <v>0</v>
      </c>
      <c r="X1935">
        <v>0</v>
      </c>
      <c r="Y1935">
        <v>0</v>
      </c>
      <c r="Z1935" s="2">
        <v>2928</v>
      </c>
      <c r="AA1935">
        <v>0</v>
      </c>
      <c r="AB1935" s="1">
        <v>42382</v>
      </c>
      <c r="AC1935" t="s">
        <v>53</v>
      </c>
      <c r="AD1935" t="s">
        <v>53</v>
      </c>
      <c r="AK1935">
        <v>0</v>
      </c>
      <c r="AU1935" s="6">
        <v>42062</v>
      </c>
      <c r="AV1935" s="6">
        <v>42062</v>
      </c>
      <c r="AW1935" t="s">
        <v>54</v>
      </c>
      <c r="AX1935" t="str">
        <f t="shared" si="153"/>
        <v>FOR</v>
      </c>
      <c r="AY1935" t="s">
        <v>55</v>
      </c>
    </row>
    <row r="1936" spans="1:51" hidden="1">
      <c r="A1936">
        <v>100449</v>
      </c>
      <c r="B1936" t="s">
        <v>156</v>
      </c>
      <c r="C1936" t="str">
        <f t="shared" si="154"/>
        <v>00153730627</v>
      </c>
      <c r="D1936" t="str">
        <f t="shared" si="154"/>
        <v>00153730627</v>
      </c>
      <c r="E1936" t="s">
        <v>52</v>
      </c>
      <c r="F1936">
        <v>2014</v>
      </c>
      <c r="G1936">
        <v>359</v>
      </c>
      <c r="H1936" s="1">
        <v>41973</v>
      </c>
      <c r="I1936" s="1">
        <v>41983</v>
      </c>
      <c r="J1936" s="1">
        <v>41983</v>
      </c>
      <c r="K1936" s="1">
        <v>42043</v>
      </c>
      <c r="N1936" s="5"/>
      <c r="O1936" s="2">
        <v>72097.119999999995</v>
      </c>
      <c r="P1936">
        <v>50</v>
      </c>
      <c r="Q1936" s="2">
        <v>3604856</v>
      </c>
      <c r="R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 s="1">
        <v>42382</v>
      </c>
      <c r="AC1936" t="s">
        <v>53</v>
      </c>
      <c r="AD1936" t="s">
        <v>53</v>
      </c>
      <c r="AK1936">
        <v>0</v>
      </c>
      <c r="AU1936" s="6">
        <v>42093</v>
      </c>
      <c r="AV1936" s="6">
        <v>42093</v>
      </c>
      <c r="AW1936" t="s">
        <v>54</v>
      </c>
      <c r="AX1936" t="str">
        <f t="shared" si="153"/>
        <v>FOR</v>
      </c>
      <c r="AY1936" t="s">
        <v>55</v>
      </c>
    </row>
    <row r="1937" spans="1:51" hidden="1">
      <c r="A1937">
        <v>100449</v>
      </c>
      <c r="B1937" t="s">
        <v>156</v>
      </c>
      <c r="C1937" t="str">
        <f t="shared" si="154"/>
        <v>00153730627</v>
      </c>
      <c r="D1937" t="str">
        <f t="shared" si="154"/>
        <v>00153730627</v>
      </c>
      <c r="E1937" t="s">
        <v>52</v>
      </c>
      <c r="F1937">
        <v>2014</v>
      </c>
      <c r="G1937">
        <v>360</v>
      </c>
      <c r="H1937" s="1">
        <v>41973</v>
      </c>
      <c r="I1937" s="1">
        <v>42037</v>
      </c>
      <c r="J1937" s="1">
        <v>42037</v>
      </c>
      <c r="K1937" s="1">
        <v>42097</v>
      </c>
      <c r="N1937" s="5"/>
      <c r="O1937" s="2">
        <v>3928.4</v>
      </c>
      <c r="P1937">
        <v>-4</v>
      </c>
      <c r="Q1937" s="2">
        <v>-15713.6</v>
      </c>
      <c r="R1937">
        <v>0</v>
      </c>
      <c r="V1937">
        <v>0</v>
      </c>
      <c r="W1937">
        <v>0</v>
      </c>
      <c r="X1937">
        <v>0</v>
      </c>
      <c r="Y1937">
        <v>0</v>
      </c>
      <c r="Z1937" s="2">
        <v>3928.4</v>
      </c>
      <c r="AA1937">
        <v>0</v>
      </c>
      <c r="AB1937" s="1">
        <v>42382</v>
      </c>
      <c r="AC1937" t="s">
        <v>53</v>
      </c>
      <c r="AD1937" t="s">
        <v>53</v>
      </c>
      <c r="AK1937">
        <v>0</v>
      </c>
      <c r="AU1937" s="6">
        <v>42093</v>
      </c>
      <c r="AV1937" s="6">
        <v>42093</v>
      </c>
      <c r="AW1937" t="s">
        <v>54</v>
      </c>
      <c r="AX1937" t="str">
        <f t="shared" si="153"/>
        <v>FOR</v>
      </c>
      <c r="AY1937" t="s">
        <v>55</v>
      </c>
    </row>
    <row r="1938" spans="1:51" hidden="1">
      <c r="A1938">
        <v>100449</v>
      </c>
      <c r="B1938" t="s">
        <v>156</v>
      </c>
      <c r="C1938" t="str">
        <f t="shared" si="154"/>
        <v>00153730627</v>
      </c>
      <c r="D1938" t="str">
        <f t="shared" si="154"/>
        <v>00153730627</v>
      </c>
      <c r="E1938" t="s">
        <v>52</v>
      </c>
      <c r="F1938">
        <v>2014</v>
      </c>
      <c r="G1938">
        <v>361</v>
      </c>
      <c r="H1938" s="1">
        <v>41973</v>
      </c>
      <c r="I1938" s="1">
        <v>42037</v>
      </c>
      <c r="J1938" s="1">
        <v>42037</v>
      </c>
      <c r="K1938" s="1">
        <v>42097</v>
      </c>
      <c r="N1938" s="5"/>
      <c r="O1938" s="2">
        <v>1464</v>
      </c>
      <c r="P1938">
        <v>-4</v>
      </c>
      <c r="Q1938" s="2">
        <v>-5856</v>
      </c>
      <c r="R1938">
        <v>0</v>
      </c>
      <c r="V1938">
        <v>0</v>
      </c>
      <c r="W1938">
        <v>0</v>
      </c>
      <c r="X1938">
        <v>0</v>
      </c>
      <c r="Y1938">
        <v>0</v>
      </c>
      <c r="Z1938" s="2">
        <v>1464</v>
      </c>
      <c r="AA1938">
        <v>0</v>
      </c>
      <c r="AB1938" s="1">
        <v>42382</v>
      </c>
      <c r="AC1938" t="s">
        <v>53</v>
      </c>
      <c r="AD1938" t="s">
        <v>53</v>
      </c>
      <c r="AK1938">
        <v>0</v>
      </c>
      <c r="AU1938" s="6">
        <v>42093</v>
      </c>
      <c r="AV1938" s="6">
        <v>42093</v>
      </c>
      <c r="AW1938" t="s">
        <v>54</v>
      </c>
      <c r="AX1938" t="str">
        <f t="shared" si="153"/>
        <v>FOR</v>
      </c>
      <c r="AY1938" t="s">
        <v>55</v>
      </c>
    </row>
    <row r="1939" spans="1:51" hidden="1">
      <c r="A1939">
        <v>100449</v>
      </c>
      <c r="B1939" t="s">
        <v>156</v>
      </c>
      <c r="C1939" t="str">
        <f t="shared" si="154"/>
        <v>00153730627</v>
      </c>
      <c r="D1939" t="str">
        <f t="shared" si="154"/>
        <v>00153730627</v>
      </c>
      <c r="E1939" t="s">
        <v>52</v>
      </c>
      <c r="F1939">
        <v>2014</v>
      </c>
      <c r="G1939">
        <v>362</v>
      </c>
      <c r="H1939" s="1">
        <v>41973</v>
      </c>
      <c r="I1939" s="1">
        <v>41983</v>
      </c>
      <c r="J1939" s="1">
        <v>41983</v>
      </c>
      <c r="K1939" s="1">
        <v>42043</v>
      </c>
      <c r="N1939" s="5"/>
      <c r="O1939" s="2">
        <v>5124</v>
      </c>
      <c r="P1939">
        <v>50</v>
      </c>
      <c r="Q1939" s="2">
        <v>256200</v>
      </c>
      <c r="R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 s="1">
        <v>42382</v>
      </c>
      <c r="AC1939" t="s">
        <v>53</v>
      </c>
      <c r="AD1939" t="s">
        <v>53</v>
      </c>
      <c r="AK1939">
        <v>0</v>
      </c>
      <c r="AU1939" s="6">
        <v>42093</v>
      </c>
      <c r="AV1939" s="6">
        <v>42093</v>
      </c>
      <c r="AW1939" t="s">
        <v>54</v>
      </c>
      <c r="AX1939" t="str">
        <f t="shared" si="153"/>
        <v>FOR</v>
      </c>
      <c r="AY1939" t="s">
        <v>55</v>
      </c>
    </row>
    <row r="1940" spans="1:51" hidden="1">
      <c r="A1940">
        <v>100449</v>
      </c>
      <c r="B1940" t="s">
        <v>156</v>
      </c>
      <c r="C1940" t="str">
        <f t="shared" si="154"/>
        <v>00153730627</v>
      </c>
      <c r="D1940" t="str">
        <f t="shared" si="154"/>
        <v>00153730627</v>
      </c>
      <c r="E1940" t="s">
        <v>52</v>
      </c>
      <c r="F1940">
        <v>2014</v>
      </c>
      <c r="G1940">
        <v>363</v>
      </c>
      <c r="H1940" s="1">
        <v>41973</v>
      </c>
      <c r="I1940" s="1">
        <v>42037</v>
      </c>
      <c r="J1940" s="1">
        <v>42037</v>
      </c>
      <c r="K1940" s="1">
        <v>42097</v>
      </c>
      <c r="N1940" s="5"/>
      <c r="O1940" s="2">
        <v>1665.3</v>
      </c>
      <c r="P1940">
        <v>-4</v>
      </c>
      <c r="Q1940" s="2">
        <v>-6661.2</v>
      </c>
      <c r="R1940">
        <v>0</v>
      </c>
      <c r="V1940">
        <v>0</v>
      </c>
      <c r="W1940">
        <v>0</v>
      </c>
      <c r="X1940">
        <v>0</v>
      </c>
      <c r="Y1940">
        <v>0</v>
      </c>
      <c r="Z1940" s="2">
        <v>1665.3</v>
      </c>
      <c r="AA1940">
        <v>0</v>
      </c>
      <c r="AB1940" s="1">
        <v>42382</v>
      </c>
      <c r="AC1940" t="s">
        <v>53</v>
      </c>
      <c r="AD1940" t="s">
        <v>53</v>
      </c>
      <c r="AK1940">
        <v>0</v>
      </c>
      <c r="AU1940" s="6">
        <v>42093</v>
      </c>
      <c r="AV1940" s="6">
        <v>42093</v>
      </c>
      <c r="AW1940" t="s">
        <v>54</v>
      </c>
      <c r="AX1940" t="str">
        <f t="shared" si="153"/>
        <v>FOR</v>
      </c>
      <c r="AY1940" t="s">
        <v>55</v>
      </c>
    </row>
    <row r="1941" spans="1:51" hidden="1">
      <c r="A1941">
        <v>100449</v>
      </c>
      <c r="B1941" t="s">
        <v>156</v>
      </c>
      <c r="C1941" t="str">
        <f t="shared" si="154"/>
        <v>00153730627</v>
      </c>
      <c r="D1941" t="str">
        <f t="shared" si="154"/>
        <v>00153730627</v>
      </c>
      <c r="E1941" t="s">
        <v>52</v>
      </c>
      <c r="F1941">
        <v>2014</v>
      </c>
      <c r="G1941">
        <v>391</v>
      </c>
      <c r="H1941" s="1">
        <v>41973</v>
      </c>
      <c r="I1941" s="1">
        <v>42037</v>
      </c>
      <c r="J1941" s="1">
        <v>42037</v>
      </c>
      <c r="K1941" s="1">
        <v>42097</v>
      </c>
      <c r="N1941" s="5"/>
      <c r="O1941" s="2">
        <v>10522.5</v>
      </c>
      <c r="P1941">
        <v>-4</v>
      </c>
      <c r="Q1941" s="2">
        <v>-42090</v>
      </c>
      <c r="R1941">
        <v>0</v>
      </c>
      <c r="V1941">
        <v>0</v>
      </c>
      <c r="W1941">
        <v>0</v>
      </c>
      <c r="X1941">
        <v>0</v>
      </c>
      <c r="Y1941">
        <v>0</v>
      </c>
      <c r="Z1941" s="2">
        <v>10522.5</v>
      </c>
      <c r="AA1941">
        <v>0</v>
      </c>
      <c r="AB1941" s="1">
        <v>42382</v>
      </c>
      <c r="AC1941" t="s">
        <v>53</v>
      </c>
      <c r="AD1941" t="s">
        <v>53</v>
      </c>
      <c r="AK1941">
        <v>0</v>
      </c>
      <c r="AU1941" s="6">
        <v>42093</v>
      </c>
      <c r="AV1941" s="6">
        <v>42093</v>
      </c>
      <c r="AW1941" t="s">
        <v>54</v>
      </c>
      <c r="AX1941" t="str">
        <f t="shared" si="153"/>
        <v>FOR</v>
      </c>
      <c r="AY1941" t="s">
        <v>55</v>
      </c>
    </row>
    <row r="1942" spans="1:51" hidden="1">
      <c r="A1942">
        <v>100449</v>
      </c>
      <c r="B1942" t="s">
        <v>156</v>
      </c>
      <c r="C1942" t="str">
        <f t="shared" si="154"/>
        <v>00153730627</v>
      </c>
      <c r="D1942" t="str">
        <f t="shared" si="154"/>
        <v>00153730627</v>
      </c>
      <c r="E1942" t="s">
        <v>52</v>
      </c>
      <c r="F1942">
        <v>2014</v>
      </c>
      <c r="G1942">
        <v>392</v>
      </c>
      <c r="H1942" s="1">
        <v>41973</v>
      </c>
      <c r="I1942" s="1">
        <v>42037</v>
      </c>
      <c r="J1942" s="1">
        <v>42037</v>
      </c>
      <c r="K1942" s="1">
        <v>42097</v>
      </c>
      <c r="N1942" s="5"/>
      <c r="O1942" s="2">
        <v>7564</v>
      </c>
      <c r="P1942">
        <v>-4</v>
      </c>
      <c r="Q1942" s="2">
        <v>-30256</v>
      </c>
      <c r="R1942">
        <v>0</v>
      </c>
      <c r="V1942">
        <v>0</v>
      </c>
      <c r="W1942">
        <v>0</v>
      </c>
      <c r="X1942">
        <v>0</v>
      </c>
      <c r="Y1942">
        <v>0</v>
      </c>
      <c r="Z1942" s="2">
        <v>7564</v>
      </c>
      <c r="AA1942">
        <v>0</v>
      </c>
      <c r="AB1942" s="1">
        <v>42382</v>
      </c>
      <c r="AC1942" t="s">
        <v>53</v>
      </c>
      <c r="AD1942" t="s">
        <v>53</v>
      </c>
      <c r="AK1942">
        <v>0</v>
      </c>
      <c r="AU1942" s="6">
        <v>42093</v>
      </c>
      <c r="AV1942" s="6">
        <v>42093</v>
      </c>
      <c r="AW1942" t="s">
        <v>54</v>
      </c>
      <c r="AX1942" t="str">
        <f t="shared" si="153"/>
        <v>FOR</v>
      </c>
      <c r="AY1942" t="s">
        <v>55</v>
      </c>
    </row>
    <row r="1943" spans="1:51" hidden="1">
      <c r="A1943">
        <v>100449</v>
      </c>
      <c r="B1943" t="s">
        <v>156</v>
      </c>
      <c r="C1943" t="str">
        <f t="shared" si="154"/>
        <v>00153730627</v>
      </c>
      <c r="D1943" t="str">
        <f t="shared" si="154"/>
        <v>00153730627</v>
      </c>
      <c r="E1943" t="s">
        <v>52</v>
      </c>
      <c r="F1943">
        <v>2014</v>
      </c>
      <c r="G1943">
        <v>400</v>
      </c>
      <c r="H1943" s="1">
        <v>42004</v>
      </c>
      <c r="I1943" s="1">
        <v>42019</v>
      </c>
      <c r="J1943" s="1">
        <v>42019</v>
      </c>
      <c r="K1943" s="1">
        <v>42079</v>
      </c>
      <c r="N1943" s="5"/>
      <c r="O1943" s="2">
        <v>72097.119999999995</v>
      </c>
      <c r="P1943">
        <v>77</v>
      </c>
      <c r="Q1943" s="2">
        <v>5551478.2400000002</v>
      </c>
      <c r="R1943">
        <v>0</v>
      </c>
      <c r="V1943">
        <v>0</v>
      </c>
      <c r="W1943">
        <v>0</v>
      </c>
      <c r="X1943">
        <v>0</v>
      </c>
      <c r="Y1943">
        <v>0</v>
      </c>
      <c r="Z1943" s="2">
        <v>72097.119999999995</v>
      </c>
      <c r="AA1943">
        <v>0</v>
      </c>
      <c r="AB1943" s="1">
        <v>42382</v>
      </c>
      <c r="AC1943" t="s">
        <v>53</v>
      </c>
      <c r="AD1943" t="s">
        <v>53</v>
      </c>
      <c r="AK1943">
        <v>0</v>
      </c>
      <c r="AU1943" s="6">
        <v>42156</v>
      </c>
      <c r="AV1943" s="6">
        <v>42156</v>
      </c>
      <c r="AW1943" t="s">
        <v>54</v>
      </c>
      <c r="AX1943" t="str">
        <f t="shared" si="153"/>
        <v>FOR</v>
      </c>
      <c r="AY1943" t="s">
        <v>55</v>
      </c>
    </row>
    <row r="1944" spans="1:51" hidden="1">
      <c r="A1944">
        <v>100449</v>
      </c>
      <c r="B1944" t="s">
        <v>156</v>
      </c>
      <c r="C1944" t="str">
        <f t="shared" si="154"/>
        <v>00153730627</v>
      </c>
      <c r="D1944" t="str">
        <f t="shared" si="154"/>
        <v>00153730627</v>
      </c>
      <c r="E1944" t="s">
        <v>52</v>
      </c>
      <c r="F1944">
        <v>2014</v>
      </c>
      <c r="G1944">
        <v>401</v>
      </c>
      <c r="H1944" s="1">
        <v>42004</v>
      </c>
      <c r="I1944" s="1">
        <v>42181</v>
      </c>
      <c r="J1944" s="1">
        <v>42181</v>
      </c>
      <c r="K1944" s="1">
        <v>42241</v>
      </c>
      <c r="N1944" s="5"/>
      <c r="O1944" s="2">
        <v>3928.4</v>
      </c>
      <c r="P1944">
        <v>-29</v>
      </c>
      <c r="Q1944" s="2">
        <v>-113923.6</v>
      </c>
      <c r="R1944">
        <v>0</v>
      </c>
      <c r="V1944">
        <v>0</v>
      </c>
      <c r="W1944">
        <v>0</v>
      </c>
      <c r="X1944">
        <v>0</v>
      </c>
      <c r="Y1944">
        <v>0</v>
      </c>
      <c r="Z1944" s="2">
        <v>3928.4</v>
      </c>
      <c r="AA1944">
        <v>0</v>
      </c>
      <c r="AB1944" s="1">
        <v>42382</v>
      </c>
      <c r="AC1944" t="s">
        <v>53</v>
      </c>
      <c r="AD1944" t="s">
        <v>53</v>
      </c>
      <c r="AK1944">
        <v>0</v>
      </c>
      <c r="AU1944" s="6">
        <v>42212</v>
      </c>
      <c r="AV1944" s="6">
        <v>42212</v>
      </c>
      <c r="AW1944" t="s">
        <v>54</v>
      </c>
      <c r="AX1944" t="str">
        <f t="shared" si="153"/>
        <v>FOR</v>
      </c>
      <c r="AY1944" t="s">
        <v>55</v>
      </c>
    </row>
    <row r="1945" spans="1:51" hidden="1">
      <c r="A1945">
        <v>100449</v>
      </c>
      <c r="B1945" t="s">
        <v>156</v>
      </c>
      <c r="C1945" t="str">
        <f t="shared" si="154"/>
        <v>00153730627</v>
      </c>
      <c r="D1945" t="str">
        <f t="shared" si="154"/>
        <v>00153730627</v>
      </c>
      <c r="E1945" t="s">
        <v>52</v>
      </c>
      <c r="F1945">
        <v>2014</v>
      </c>
      <c r="G1945">
        <v>402</v>
      </c>
      <c r="H1945" s="1">
        <v>42004</v>
      </c>
      <c r="I1945" s="1">
        <v>42181</v>
      </c>
      <c r="J1945" s="1">
        <v>42181</v>
      </c>
      <c r="K1945" s="1">
        <v>42241</v>
      </c>
      <c r="N1945" s="5"/>
      <c r="O1945" s="2">
        <v>1464</v>
      </c>
      <c r="P1945">
        <v>-29</v>
      </c>
      <c r="Q1945" s="2">
        <v>-42456</v>
      </c>
      <c r="R1945">
        <v>0</v>
      </c>
      <c r="V1945">
        <v>0</v>
      </c>
      <c r="W1945">
        <v>0</v>
      </c>
      <c r="X1945">
        <v>0</v>
      </c>
      <c r="Y1945">
        <v>0</v>
      </c>
      <c r="Z1945" s="2">
        <v>1464</v>
      </c>
      <c r="AA1945">
        <v>0</v>
      </c>
      <c r="AB1945" s="1">
        <v>42382</v>
      </c>
      <c r="AC1945" t="s">
        <v>53</v>
      </c>
      <c r="AD1945" t="s">
        <v>53</v>
      </c>
      <c r="AK1945">
        <v>0</v>
      </c>
      <c r="AU1945" s="6">
        <v>42212</v>
      </c>
      <c r="AV1945" s="6">
        <v>42212</v>
      </c>
      <c r="AW1945" t="s">
        <v>54</v>
      </c>
      <c r="AX1945" t="str">
        <f t="shared" si="153"/>
        <v>FOR</v>
      </c>
      <c r="AY1945" t="s">
        <v>55</v>
      </c>
    </row>
    <row r="1946" spans="1:51" hidden="1">
      <c r="A1946">
        <v>100449</v>
      </c>
      <c r="B1946" t="s">
        <v>156</v>
      </c>
      <c r="C1946" t="str">
        <f t="shared" si="154"/>
        <v>00153730627</v>
      </c>
      <c r="D1946" t="str">
        <f t="shared" si="154"/>
        <v>00153730627</v>
      </c>
      <c r="E1946" t="s">
        <v>52</v>
      </c>
      <c r="F1946">
        <v>2014</v>
      </c>
      <c r="G1946">
        <v>403</v>
      </c>
      <c r="H1946" s="1">
        <v>42004</v>
      </c>
      <c r="I1946" s="1">
        <v>42019</v>
      </c>
      <c r="J1946" s="1">
        <v>42019</v>
      </c>
      <c r="K1946" s="1">
        <v>42079</v>
      </c>
      <c r="N1946" s="5"/>
      <c r="O1946" s="2">
        <v>5124</v>
      </c>
      <c r="P1946">
        <v>51</v>
      </c>
      <c r="Q1946" s="2">
        <v>261324</v>
      </c>
      <c r="R1946">
        <v>0</v>
      </c>
      <c r="V1946">
        <v>0</v>
      </c>
      <c r="W1946">
        <v>0</v>
      </c>
      <c r="X1946">
        <v>0</v>
      </c>
      <c r="Y1946">
        <v>0</v>
      </c>
      <c r="Z1946" s="2">
        <v>5124</v>
      </c>
      <c r="AA1946">
        <v>0</v>
      </c>
      <c r="AB1946" s="1">
        <v>42382</v>
      </c>
      <c r="AC1946" t="s">
        <v>53</v>
      </c>
      <c r="AD1946" t="s">
        <v>53</v>
      </c>
      <c r="AK1946">
        <v>0</v>
      </c>
      <c r="AU1946" s="6">
        <v>42130</v>
      </c>
      <c r="AV1946" s="6">
        <v>42130</v>
      </c>
      <c r="AW1946" t="s">
        <v>54</v>
      </c>
      <c r="AX1946" t="str">
        <f t="shared" si="153"/>
        <v>FOR</v>
      </c>
      <c r="AY1946" t="s">
        <v>55</v>
      </c>
    </row>
    <row r="1947" spans="1:51" hidden="1">
      <c r="A1947">
        <v>100449</v>
      </c>
      <c r="B1947" t="s">
        <v>156</v>
      </c>
      <c r="C1947" t="str">
        <f t="shared" si="154"/>
        <v>00153730627</v>
      </c>
      <c r="D1947" t="str">
        <f t="shared" si="154"/>
        <v>00153730627</v>
      </c>
      <c r="E1947" t="s">
        <v>52</v>
      </c>
      <c r="F1947">
        <v>2014</v>
      </c>
      <c r="G1947">
        <v>404</v>
      </c>
      <c r="H1947" s="1">
        <v>42004</v>
      </c>
      <c r="I1947" s="1">
        <v>42181</v>
      </c>
      <c r="J1947" s="1">
        <v>42181</v>
      </c>
      <c r="K1947" s="1">
        <v>42241</v>
      </c>
      <c r="N1947" s="5"/>
      <c r="O1947" s="2">
        <v>1665.3</v>
      </c>
      <c r="P1947">
        <v>-29</v>
      </c>
      <c r="Q1947" s="2">
        <v>-48293.7</v>
      </c>
      <c r="R1947">
        <v>0</v>
      </c>
      <c r="V1947">
        <v>0</v>
      </c>
      <c r="W1947">
        <v>0</v>
      </c>
      <c r="X1947">
        <v>0</v>
      </c>
      <c r="Y1947">
        <v>0</v>
      </c>
      <c r="Z1947" s="2">
        <v>1665.3</v>
      </c>
      <c r="AA1947">
        <v>0</v>
      </c>
      <c r="AB1947" s="1">
        <v>42382</v>
      </c>
      <c r="AC1947" t="s">
        <v>53</v>
      </c>
      <c r="AD1947" t="s">
        <v>53</v>
      </c>
      <c r="AK1947">
        <v>0</v>
      </c>
      <c r="AU1947" s="6">
        <v>42212</v>
      </c>
      <c r="AV1947" s="6">
        <v>42212</v>
      </c>
      <c r="AW1947" t="s">
        <v>54</v>
      </c>
      <c r="AX1947" t="str">
        <f t="shared" si="153"/>
        <v>FOR</v>
      </c>
      <c r="AY1947" t="s">
        <v>55</v>
      </c>
    </row>
    <row r="1948" spans="1:51" hidden="1">
      <c r="A1948">
        <v>100449</v>
      </c>
      <c r="B1948" t="s">
        <v>156</v>
      </c>
      <c r="C1948" t="str">
        <f t="shared" si="154"/>
        <v>00153730627</v>
      </c>
      <c r="D1948" t="str">
        <f t="shared" si="154"/>
        <v>00153730627</v>
      </c>
      <c r="E1948" t="s">
        <v>52</v>
      </c>
      <c r="F1948">
        <v>2014</v>
      </c>
      <c r="G1948">
        <v>429</v>
      </c>
      <c r="H1948" s="1">
        <v>42004</v>
      </c>
      <c r="I1948" s="1">
        <v>42181</v>
      </c>
      <c r="J1948" s="1">
        <v>42181</v>
      </c>
      <c r="K1948" s="1">
        <v>42241</v>
      </c>
      <c r="N1948" s="5"/>
      <c r="O1948" s="2">
        <v>10819.88</v>
      </c>
      <c r="P1948">
        <v>-29</v>
      </c>
      <c r="Q1948" s="2">
        <v>-313776.52</v>
      </c>
      <c r="R1948">
        <v>0</v>
      </c>
      <c r="V1948">
        <v>0</v>
      </c>
      <c r="W1948">
        <v>0</v>
      </c>
      <c r="X1948">
        <v>0</v>
      </c>
      <c r="Y1948">
        <v>0</v>
      </c>
      <c r="Z1948" s="2">
        <v>10819.88</v>
      </c>
      <c r="AA1948">
        <v>0</v>
      </c>
      <c r="AB1948" s="1">
        <v>42382</v>
      </c>
      <c r="AC1948" t="s">
        <v>53</v>
      </c>
      <c r="AD1948" t="s">
        <v>53</v>
      </c>
      <c r="AK1948">
        <v>0</v>
      </c>
      <c r="AU1948" s="6">
        <v>42212</v>
      </c>
      <c r="AV1948" s="6">
        <v>42212</v>
      </c>
      <c r="AW1948" t="s">
        <v>54</v>
      </c>
      <c r="AX1948" t="str">
        <f t="shared" si="153"/>
        <v>FOR</v>
      </c>
      <c r="AY1948" t="s">
        <v>55</v>
      </c>
    </row>
    <row r="1949" spans="1:51" hidden="1">
      <c r="A1949">
        <v>100449</v>
      </c>
      <c r="B1949" t="s">
        <v>156</v>
      </c>
      <c r="C1949" t="str">
        <f t="shared" si="154"/>
        <v>00153730627</v>
      </c>
      <c r="D1949" t="str">
        <f t="shared" si="154"/>
        <v>00153730627</v>
      </c>
      <c r="E1949" t="s">
        <v>52</v>
      </c>
      <c r="F1949">
        <v>2014</v>
      </c>
      <c r="G1949">
        <v>430</v>
      </c>
      <c r="H1949" s="1">
        <v>42004</v>
      </c>
      <c r="I1949" s="1">
        <v>42164</v>
      </c>
      <c r="J1949" s="1">
        <v>42164</v>
      </c>
      <c r="K1949" s="1">
        <v>42224</v>
      </c>
      <c r="N1949" s="5"/>
      <c r="O1949" s="2">
        <v>7015</v>
      </c>
      <c r="P1949">
        <v>-43</v>
      </c>
      <c r="Q1949" s="2">
        <v>-301645</v>
      </c>
      <c r="R1949">
        <v>0</v>
      </c>
      <c r="V1949">
        <v>0</v>
      </c>
      <c r="W1949">
        <v>0</v>
      </c>
      <c r="X1949">
        <v>0</v>
      </c>
      <c r="Y1949">
        <v>0</v>
      </c>
      <c r="Z1949" s="2">
        <v>7015</v>
      </c>
      <c r="AA1949">
        <v>0</v>
      </c>
      <c r="AB1949" s="1">
        <v>42382</v>
      </c>
      <c r="AC1949" t="s">
        <v>53</v>
      </c>
      <c r="AD1949" t="s">
        <v>53</v>
      </c>
      <c r="AK1949">
        <v>0</v>
      </c>
      <c r="AU1949" s="6">
        <v>42181</v>
      </c>
      <c r="AV1949" s="6">
        <v>42181</v>
      </c>
      <c r="AW1949" t="s">
        <v>54</v>
      </c>
      <c r="AX1949" t="str">
        <f t="shared" si="153"/>
        <v>FOR</v>
      </c>
      <c r="AY1949" t="s">
        <v>55</v>
      </c>
    </row>
    <row r="1950" spans="1:51" hidden="1">
      <c r="A1950">
        <v>100449</v>
      </c>
      <c r="B1950" t="s">
        <v>156</v>
      </c>
      <c r="C1950" t="str">
        <f t="shared" ref="C1950:D1969" si="155">"00153730627"</f>
        <v>00153730627</v>
      </c>
      <c r="D1950" t="str">
        <f t="shared" si="155"/>
        <v>00153730627</v>
      </c>
      <c r="E1950" t="s">
        <v>52</v>
      </c>
      <c r="F1950">
        <v>2015</v>
      </c>
      <c r="G1950">
        <v>4</v>
      </c>
      <c r="H1950" s="1">
        <v>42035</v>
      </c>
      <c r="I1950" s="1">
        <v>42040</v>
      </c>
      <c r="J1950" s="1">
        <v>42040</v>
      </c>
      <c r="K1950" s="1">
        <v>42100</v>
      </c>
      <c r="N1950" s="5"/>
      <c r="O1950" s="2">
        <v>59055.05</v>
      </c>
      <c r="P1950">
        <v>30</v>
      </c>
      <c r="Q1950" s="2">
        <v>1771651.5</v>
      </c>
      <c r="R1950">
        <v>0</v>
      </c>
      <c r="V1950">
        <v>0</v>
      </c>
      <c r="W1950">
        <v>0</v>
      </c>
      <c r="X1950">
        <v>0</v>
      </c>
      <c r="Y1950" s="2">
        <v>59055.05</v>
      </c>
      <c r="Z1950" s="2">
        <v>59055.05</v>
      </c>
      <c r="AA1950" s="2">
        <v>59055.05</v>
      </c>
      <c r="AB1950" s="1">
        <v>42382</v>
      </c>
      <c r="AC1950" t="s">
        <v>53</v>
      </c>
      <c r="AD1950" t="s">
        <v>53</v>
      </c>
      <c r="AK1950">
        <v>0</v>
      </c>
      <c r="AU1950" s="6">
        <v>42130</v>
      </c>
      <c r="AV1950" s="6">
        <v>42130</v>
      </c>
      <c r="AW1950" t="s">
        <v>54</v>
      </c>
      <c r="AX1950" t="str">
        <f t="shared" si="153"/>
        <v>FOR</v>
      </c>
      <c r="AY1950" t="s">
        <v>55</v>
      </c>
    </row>
    <row r="1951" spans="1:51" hidden="1">
      <c r="A1951">
        <v>100449</v>
      </c>
      <c r="B1951" t="s">
        <v>156</v>
      </c>
      <c r="C1951" t="str">
        <f t="shared" si="155"/>
        <v>00153730627</v>
      </c>
      <c r="D1951" t="str">
        <f t="shared" si="155"/>
        <v>00153730627</v>
      </c>
      <c r="E1951" t="s">
        <v>52</v>
      </c>
      <c r="F1951">
        <v>2015</v>
      </c>
      <c r="G1951">
        <v>5</v>
      </c>
      <c r="H1951" s="1">
        <v>42035</v>
      </c>
      <c r="I1951" s="1">
        <v>42181</v>
      </c>
      <c r="J1951" s="1">
        <v>42181</v>
      </c>
      <c r="K1951" s="1">
        <v>42241</v>
      </c>
      <c r="N1951" s="5"/>
      <c r="O1951" s="2">
        <v>3220</v>
      </c>
      <c r="P1951">
        <v>-29</v>
      </c>
      <c r="Q1951" s="2">
        <v>-93380</v>
      </c>
      <c r="R1951">
        <v>0</v>
      </c>
      <c r="V1951">
        <v>0</v>
      </c>
      <c r="W1951">
        <v>0</v>
      </c>
      <c r="X1951">
        <v>0</v>
      </c>
      <c r="Y1951" s="2">
        <v>3928.4</v>
      </c>
      <c r="Z1951" s="2">
        <v>3928.4</v>
      </c>
      <c r="AA1951" s="2">
        <v>3928.4</v>
      </c>
      <c r="AB1951" s="1">
        <v>42382</v>
      </c>
      <c r="AC1951" t="s">
        <v>53</v>
      </c>
      <c r="AD1951" t="s">
        <v>53</v>
      </c>
      <c r="AK1951">
        <v>0</v>
      </c>
      <c r="AU1951" s="6">
        <v>42212</v>
      </c>
      <c r="AV1951" s="6">
        <v>42212</v>
      </c>
      <c r="AW1951" t="s">
        <v>54</v>
      </c>
      <c r="AX1951" t="str">
        <f t="shared" si="153"/>
        <v>FOR</v>
      </c>
      <c r="AY1951" t="s">
        <v>55</v>
      </c>
    </row>
    <row r="1952" spans="1:51" hidden="1">
      <c r="A1952">
        <v>100449</v>
      </c>
      <c r="B1952" t="s">
        <v>156</v>
      </c>
      <c r="C1952" t="str">
        <f t="shared" si="155"/>
        <v>00153730627</v>
      </c>
      <c r="D1952" t="str">
        <f t="shared" si="155"/>
        <v>00153730627</v>
      </c>
      <c r="E1952" t="s">
        <v>52</v>
      </c>
      <c r="F1952">
        <v>2015</v>
      </c>
      <c r="G1952">
        <v>6</v>
      </c>
      <c r="H1952" s="1">
        <v>42035</v>
      </c>
      <c r="I1952" s="1">
        <v>42181</v>
      </c>
      <c r="J1952" s="1">
        <v>42181</v>
      </c>
      <c r="K1952" s="1">
        <v>42241</v>
      </c>
      <c r="N1952" s="5"/>
      <c r="O1952" s="2">
        <v>1200</v>
      </c>
      <c r="P1952">
        <v>-29</v>
      </c>
      <c r="Q1952" s="2">
        <v>-34800</v>
      </c>
      <c r="R1952">
        <v>0</v>
      </c>
      <c r="V1952">
        <v>0</v>
      </c>
      <c r="W1952">
        <v>0</v>
      </c>
      <c r="X1952">
        <v>0</v>
      </c>
      <c r="Y1952" s="2">
        <v>1464</v>
      </c>
      <c r="Z1952" s="2">
        <v>1464</v>
      </c>
      <c r="AA1952" s="2">
        <v>1464</v>
      </c>
      <c r="AB1952" s="1">
        <v>42382</v>
      </c>
      <c r="AC1952" t="s">
        <v>53</v>
      </c>
      <c r="AD1952" t="s">
        <v>53</v>
      </c>
      <c r="AK1952">
        <v>0</v>
      </c>
      <c r="AU1952" s="6">
        <v>42212</v>
      </c>
      <c r="AV1952" s="6">
        <v>42212</v>
      </c>
      <c r="AW1952" t="s">
        <v>54</v>
      </c>
      <c r="AX1952" t="str">
        <f t="shared" si="153"/>
        <v>FOR</v>
      </c>
      <c r="AY1952" t="s">
        <v>55</v>
      </c>
    </row>
    <row r="1953" spans="1:51" hidden="1">
      <c r="A1953">
        <v>100449</v>
      </c>
      <c r="B1953" t="s">
        <v>156</v>
      </c>
      <c r="C1953" t="str">
        <f t="shared" si="155"/>
        <v>00153730627</v>
      </c>
      <c r="D1953" t="str">
        <f t="shared" si="155"/>
        <v>00153730627</v>
      </c>
      <c r="E1953" t="s">
        <v>52</v>
      </c>
      <c r="F1953">
        <v>2015</v>
      </c>
      <c r="G1953">
        <v>7</v>
      </c>
      <c r="H1953" s="1">
        <v>42035</v>
      </c>
      <c r="I1953" s="1">
        <v>42072</v>
      </c>
      <c r="J1953" s="1">
        <v>42072</v>
      </c>
      <c r="K1953" s="1">
        <v>42132</v>
      </c>
      <c r="N1953" s="5"/>
      <c r="O1953" s="2">
        <v>4200</v>
      </c>
      <c r="P1953">
        <v>-2</v>
      </c>
      <c r="Q1953" s="2">
        <v>-8400</v>
      </c>
      <c r="R1953">
        <v>0</v>
      </c>
      <c r="V1953">
        <v>0</v>
      </c>
      <c r="W1953">
        <v>0</v>
      </c>
      <c r="X1953">
        <v>0</v>
      </c>
      <c r="Y1953" s="2">
        <v>5124</v>
      </c>
      <c r="Z1953" s="2">
        <v>5124</v>
      </c>
      <c r="AA1953" s="2">
        <v>5124</v>
      </c>
      <c r="AB1953" s="1">
        <v>42382</v>
      </c>
      <c r="AC1953" t="s">
        <v>53</v>
      </c>
      <c r="AD1953" t="s">
        <v>53</v>
      </c>
      <c r="AK1953">
        <v>0</v>
      </c>
      <c r="AU1953" s="6">
        <v>42130</v>
      </c>
      <c r="AV1953" s="6">
        <v>42130</v>
      </c>
      <c r="AW1953" t="s">
        <v>54</v>
      </c>
      <c r="AX1953" t="str">
        <f t="shared" si="153"/>
        <v>FOR</v>
      </c>
      <c r="AY1953" t="s">
        <v>55</v>
      </c>
    </row>
    <row r="1954" spans="1:51" hidden="1">
      <c r="A1954">
        <v>100449</v>
      </c>
      <c r="B1954" t="s">
        <v>156</v>
      </c>
      <c r="C1954" t="str">
        <f t="shared" si="155"/>
        <v>00153730627</v>
      </c>
      <c r="D1954" t="str">
        <f t="shared" si="155"/>
        <v>00153730627</v>
      </c>
      <c r="E1954" t="s">
        <v>52</v>
      </c>
      <c r="F1954">
        <v>2015</v>
      </c>
      <c r="G1954">
        <v>8</v>
      </c>
      <c r="H1954" s="1">
        <v>42035</v>
      </c>
      <c r="I1954" s="1">
        <v>42181</v>
      </c>
      <c r="J1954" s="1">
        <v>42181</v>
      </c>
      <c r="K1954" s="1">
        <v>42241</v>
      </c>
      <c r="N1954" s="5"/>
      <c r="O1954" s="2">
        <v>1365</v>
      </c>
      <c r="P1954">
        <v>-29</v>
      </c>
      <c r="Q1954" s="2">
        <v>-39585</v>
      </c>
      <c r="R1954">
        <v>0</v>
      </c>
      <c r="V1954">
        <v>0</v>
      </c>
      <c r="W1954">
        <v>0</v>
      </c>
      <c r="X1954">
        <v>0</v>
      </c>
      <c r="Y1954" s="2">
        <v>1665.3</v>
      </c>
      <c r="Z1954" s="2">
        <v>1665.3</v>
      </c>
      <c r="AA1954" s="2">
        <v>1665.3</v>
      </c>
      <c r="AB1954" s="1">
        <v>42382</v>
      </c>
      <c r="AC1954" t="s">
        <v>53</v>
      </c>
      <c r="AD1954" t="s">
        <v>53</v>
      </c>
      <c r="AK1954">
        <v>0</v>
      </c>
      <c r="AU1954" s="6">
        <v>42212</v>
      </c>
      <c r="AV1954" s="6">
        <v>42212</v>
      </c>
      <c r="AW1954" t="s">
        <v>54</v>
      </c>
      <c r="AX1954" t="str">
        <f t="shared" si="153"/>
        <v>FOR</v>
      </c>
      <c r="AY1954" t="s">
        <v>55</v>
      </c>
    </row>
    <row r="1955" spans="1:51" hidden="1">
      <c r="A1955">
        <v>100449</v>
      </c>
      <c r="B1955" t="s">
        <v>156</v>
      </c>
      <c r="C1955" t="str">
        <f t="shared" si="155"/>
        <v>00153730627</v>
      </c>
      <c r="D1955" t="str">
        <f t="shared" si="155"/>
        <v>00153730627</v>
      </c>
      <c r="E1955" t="s">
        <v>52</v>
      </c>
      <c r="F1955">
        <v>2015</v>
      </c>
      <c r="G1955">
        <v>27</v>
      </c>
      <c r="H1955" s="1">
        <v>42035</v>
      </c>
      <c r="I1955" s="1">
        <v>42181</v>
      </c>
      <c r="J1955" s="1">
        <v>42181</v>
      </c>
      <c r="K1955" s="1">
        <v>42241</v>
      </c>
      <c r="N1955" s="5"/>
      <c r="O1955" s="2">
        <v>8934.3700000000008</v>
      </c>
      <c r="P1955">
        <v>-29</v>
      </c>
      <c r="Q1955" s="2">
        <v>-259096.73</v>
      </c>
      <c r="R1955">
        <v>0</v>
      </c>
      <c r="V1955">
        <v>0</v>
      </c>
      <c r="W1955">
        <v>0</v>
      </c>
      <c r="X1955">
        <v>0</v>
      </c>
      <c r="Y1955" s="2">
        <v>10899.93</v>
      </c>
      <c r="Z1955" s="2">
        <v>10899.93</v>
      </c>
      <c r="AA1955" s="2">
        <v>10899.93</v>
      </c>
      <c r="AB1955" s="1">
        <v>42382</v>
      </c>
      <c r="AC1955" t="s">
        <v>53</v>
      </c>
      <c r="AD1955" t="s">
        <v>53</v>
      </c>
      <c r="AK1955">
        <v>0</v>
      </c>
      <c r="AU1955" s="6">
        <v>42212</v>
      </c>
      <c r="AV1955" s="6">
        <v>42212</v>
      </c>
      <c r="AW1955" t="s">
        <v>54</v>
      </c>
      <c r="AX1955" t="str">
        <f t="shared" si="153"/>
        <v>FOR</v>
      </c>
      <c r="AY1955" t="s">
        <v>55</v>
      </c>
    </row>
    <row r="1956" spans="1:51" hidden="1">
      <c r="A1956">
        <v>100449</v>
      </c>
      <c r="B1956" t="s">
        <v>156</v>
      </c>
      <c r="C1956" t="str">
        <f t="shared" si="155"/>
        <v>00153730627</v>
      </c>
      <c r="D1956" t="str">
        <f t="shared" si="155"/>
        <v>00153730627</v>
      </c>
      <c r="E1956" t="s">
        <v>52</v>
      </c>
      <c r="F1956">
        <v>2015</v>
      </c>
      <c r="G1956">
        <v>32</v>
      </c>
      <c r="H1956" s="1">
        <v>42063</v>
      </c>
      <c r="I1956" s="1">
        <v>42069</v>
      </c>
      <c r="J1956" s="1">
        <v>42069</v>
      </c>
      <c r="K1956" s="1">
        <v>42129</v>
      </c>
      <c r="N1956" s="5"/>
      <c r="O1956" s="2">
        <v>59151.58</v>
      </c>
      <c r="P1956">
        <v>52</v>
      </c>
      <c r="Q1956" s="2">
        <v>3075882.16</v>
      </c>
      <c r="R1956">
        <v>0</v>
      </c>
      <c r="V1956">
        <v>0</v>
      </c>
      <c r="W1956">
        <v>0</v>
      </c>
      <c r="X1956">
        <v>0</v>
      </c>
      <c r="Y1956" s="2">
        <v>59151.58</v>
      </c>
      <c r="Z1956" s="2">
        <v>59151.58</v>
      </c>
      <c r="AA1956" s="2">
        <v>59151.58</v>
      </c>
      <c r="AB1956" s="1">
        <v>42382</v>
      </c>
      <c r="AC1956" t="s">
        <v>53</v>
      </c>
      <c r="AD1956" t="s">
        <v>53</v>
      </c>
      <c r="AK1956">
        <v>0</v>
      </c>
      <c r="AU1956" s="6">
        <v>42181</v>
      </c>
      <c r="AV1956" s="6">
        <v>42181</v>
      </c>
      <c r="AW1956" t="s">
        <v>54</v>
      </c>
      <c r="AX1956" t="str">
        <f t="shared" si="153"/>
        <v>FOR</v>
      </c>
      <c r="AY1956" t="s">
        <v>55</v>
      </c>
    </row>
    <row r="1957" spans="1:51" hidden="1">
      <c r="A1957">
        <v>100449</v>
      </c>
      <c r="B1957" t="s">
        <v>156</v>
      </c>
      <c r="C1957" t="str">
        <f t="shared" si="155"/>
        <v>00153730627</v>
      </c>
      <c r="D1957" t="str">
        <f t="shared" si="155"/>
        <v>00153730627</v>
      </c>
      <c r="E1957" t="s">
        <v>52</v>
      </c>
      <c r="F1957">
        <v>2015</v>
      </c>
      <c r="G1957">
        <v>33</v>
      </c>
      <c r="H1957" s="1">
        <v>42063</v>
      </c>
      <c r="I1957" s="1">
        <v>42250</v>
      </c>
      <c r="J1957" s="1">
        <v>42250</v>
      </c>
      <c r="K1957" s="1">
        <v>42310</v>
      </c>
      <c r="N1957" s="5"/>
      <c r="O1957" s="2">
        <v>3220</v>
      </c>
      <c r="P1957">
        <v>-34</v>
      </c>
      <c r="Q1957" s="2">
        <v>-109480</v>
      </c>
      <c r="R1957">
        <v>0</v>
      </c>
      <c r="V1957">
        <v>0</v>
      </c>
      <c r="W1957">
        <v>0</v>
      </c>
      <c r="X1957">
        <v>0</v>
      </c>
      <c r="Y1957" s="2">
        <v>3928.4</v>
      </c>
      <c r="Z1957" s="2">
        <v>3928.4</v>
      </c>
      <c r="AA1957" s="2">
        <v>3928.4</v>
      </c>
      <c r="AB1957" s="1">
        <v>42382</v>
      </c>
      <c r="AC1957" t="s">
        <v>53</v>
      </c>
      <c r="AD1957" t="s">
        <v>53</v>
      </c>
      <c r="AK1957">
        <v>0</v>
      </c>
      <c r="AU1957" s="6">
        <v>42276</v>
      </c>
      <c r="AV1957" s="6">
        <v>42276</v>
      </c>
      <c r="AW1957" t="s">
        <v>54</v>
      </c>
      <c r="AX1957" t="str">
        <f t="shared" si="153"/>
        <v>FOR</v>
      </c>
      <c r="AY1957" t="s">
        <v>55</v>
      </c>
    </row>
    <row r="1958" spans="1:51" hidden="1">
      <c r="A1958">
        <v>100449</v>
      </c>
      <c r="B1958" t="s">
        <v>156</v>
      </c>
      <c r="C1958" t="str">
        <f t="shared" si="155"/>
        <v>00153730627</v>
      </c>
      <c r="D1958" t="str">
        <f t="shared" si="155"/>
        <v>00153730627</v>
      </c>
      <c r="E1958" t="s">
        <v>52</v>
      </c>
      <c r="F1958">
        <v>2015</v>
      </c>
      <c r="G1958">
        <v>34</v>
      </c>
      <c r="H1958" s="1">
        <v>42063</v>
      </c>
      <c r="I1958" s="1">
        <v>42250</v>
      </c>
      <c r="J1958" s="1">
        <v>42250</v>
      </c>
      <c r="K1958" s="1">
        <v>42310</v>
      </c>
      <c r="N1958" s="5"/>
      <c r="O1958" s="2">
        <v>1200</v>
      </c>
      <c r="P1958">
        <v>-34</v>
      </c>
      <c r="Q1958" s="2">
        <v>-40800</v>
      </c>
      <c r="R1958">
        <v>0</v>
      </c>
      <c r="V1958">
        <v>0</v>
      </c>
      <c r="W1958">
        <v>0</v>
      </c>
      <c r="X1958">
        <v>0</v>
      </c>
      <c r="Y1958" s="2">
        <v>1464</v>
      </c>
      <c r="Z1958" s="2">
        <v>1464</v>
      </c>
      <c r="AA1958" s="2">
        <v>1464</v>
      </c>
      <c r="AB1958" s="1">
        <v>42382</v>
      </c>
      <c r="AC1958" t="s">
        <v>53</v>
      </c>
      <c r="AD1958" t="s">
        <v>53</v>
      </c>
      <c r="AK1958">
        <v>0</v>
      </c>
      <c r="AU1958" s="6">
        <v>42276</v>
      </c>
      <c r="AV1958" s="6">
        <v>42276</v>
      </c>
      <c r="AW1958" t="s">
        <v>54</v>
      </c>
      <c r="AX1958" t="str">
        <f t="shared" si="153"/>
        <v>FOR</v>
      </c>
      <c r="AY1958" t="s">
        <v>55</v>
      </c>
    </row>
    <row r="1959" spans="1:51" hidden="1">
      <c r="A1959">
        <v>100449</v>
      </c>
      <c r="B1959" t="s">
        <v>156</v>
      </c>
      <c r="C1959" t="str">
        <f t="shared" si="155"/>
        <v>00153730627</v>
      </c>
      <c r="D1959" t="str">
        <f t="shared" si="155"/>
        <v>00153730627</v>
      </c>
      <c r="E1959" t="s">
        <v>52</v>
      </c>
      <c r="F1959">
        <v>2015</v>
      </c>
      <c r="G1959">
        <v>35</v>
      </c>
      <c r="H1959" s="1">
        <v>42063</v>
      </c>
      <c r="I1959" s="1">
        <v>42069</v>
      </c>
      <c r="J1959" s="1">
        <v>42069</v>
      </c>
      <c r="K1959" s="1">
        <v>42129</v>
      </c>
      <c r="N1959" s="5"/>
      <c r="O1959" s="2">
        <v>4200</v>
      </c>
      <c r="P1959">
        <v>52</v>
      </c>
      <c r="Q1959" s="2">
        <v>218400</v>
      </c>
      <c r="R1959">
        <v>0</v>
      </c>
      <c r="V1959">
        <v>0</v>
      </c>
      <c r="W1959">
        <v>0</v>
      </c>
      <c r="X1959">
        <v>0</v>
      </c>
      <c r="Y1959" s="2">
        <v>5124</v>
      </c>
      <c r="Z1959" s="2">
        <v>5124</v>
      </c>
      <c r="AA1959" s="2">
        <v>5124</v>
      </c>
      <c r="AB1959" s="1">
        <v>42382</v>
      </c>
      <c r="AC1959" t="s">
        <v>53</v>
      </c>
      <c r="AD1959" t="s">
        <v>53</v>
      </c>
      <c r="AK1959">
        <v>0</v>
      </c>
      <c r="AU1959" s="6">
        <v>42181</v>
      </c>
      <c r="AV1959" s="6">
        <v>42181</v>
      </c>
      <c r="AW1959" t="s">
        <v>54</v>
      </c>
      <c r="AX1959" t="str">
        <f t="shared" si="153"/>
        <v>FOR</v>
      </c>
      <c r="AY1959" t="s">
        <v>55</v>
      </c>
    </row>
    <row r="1960" spans="1:51" hidden="1">
      <c r="A1960">
        <v>100449</v>
      </c>
      <c r="B1960" t="s">
        <v>156</v>
      </c>
      <c r="C1960" t="str">
        <f t="shared" si="155"/>
        <v>00153730627</v>
      </c>
      <c r="D1960" t="str">
        <f t="shared" si="155"/>
        <v>00153730627</v>
      </c>
      <c r="E1960" t="s">
        <v>52</v>
      </c>
      <c r="F1960">
        <v>2015</v>
      </c>
      <c r="G1960">
        <v>36</v>
      </c>
      <c r="H1960" s="1">
        <v>42063</v>
      </c>
      <c r="I1960" s="1">
        <v>42250</v>
      </c>
      <c r="J1960" s="1">
        <v>42250</v>
      </c>
      <c r="K1960" s="1">
        <v>42310</v>
      </c>
      <c r="N1960" s="5"/>
      <c r="O1960" s="2">
        <v>1365</v>
      </c>
      <c r="P1960">
        <v>-34</v>
      </c>
      <c r="Q1960" s="2">
        <v>-46410</v>
      </c>
      <c r="R1960">
        <v>0</v>
      </c>
      <c r="V1960">
        <v>0</v>
      </c>
      <c r="W1960">
        <v>0</v>
      </c>
      <c r="X1960">
        <v>0</v>
      </c>
      <c r="Y1960" s="2">
        <v>1665.3</v>
      </c>
      <c r="Z1960" s="2">
        <v>1665.3</v>
      </c>
      <c r="AA1960" s="2">
        <v>1665.3</v>
      </c>
      <c r="AB1960" s="1">
        <v>42382</v>
      </c>
      <c r="AC1960" t="s">
        <v>53</v>
      </c>
      <c r="AD1960" t="s">
        <v>53</v>
      </c>
      <c r="AK1960">
        <v>0</v>
      </c>
      <c r="AU1960" s="6">
        <v>42276</v>
      </c>
      <c r="AV1960" s="6">
        <v>42276</v>
      </c>
      <c r="AW1960" t="s">
        <v>54</v>
      </c>
      <c r="AX1960" t="str">
        <f t="shared" si="153"/>
        <v>FOR</v>
      </c>
      <c r="AY1960" t="s">
        <v>55</v>
      </c>
    </row>
    <row r="1961" spans="1:51" hidden="1">
      <c r="A1961">
        <v>100449</v>
      </c>
      <c r="B1961" t="s">
        <v>156</v>
      </c>
      <c r="C1961" t="str">
        <f t="shared" si="155"/>
        <v>00153730627</v>
      </c>
      <c r="D1961" t="str">
        <f t="shared" si="155"/>
        <v>00153730627</v>
      </c>
      <c r="E1961" t="s">
        <v>52</v>
      </c>
      <c r="F1961">
        <v>2015</v>
      </c>
      <c r="G1961">
        <v>42</v>
      </c>
      <c r="H1961" s="1">
        <v>42063</v>
      </c>
      <c r="I1961" s="1">
        <v>42164</v>
      </c>
      <c r="J1961" s="1">
        <v>42164</v>
      </c>
      <c r="K1961" s="1">
        <v>42224</v>
      </c>
      <c r="N1961" s="5"/>
      <c r="O1961">
        <v>333.36</v>
      </c>
      <c r="P1961">
        <v>-43</v>
      </c>
      <c r="Q1961" s="2">
        <v>-14334.48</v>
      </c>
      <c r="R1961">
        <v>0</v>
      </c>
      <c r="V1961">
        <v>0</v>
      </c>
      <c r="W1961">
        <v>0</v>
      </c>
      <c r="X1961">
        <v>0</v>
      </c>
      <c r="Y1961">
        <v>406.7</v>
      </c>
      <c r="Z1961">
        <v>406.7</v>
      </c>
      <c r="AA1961">
        <v>406.7</v>
      </c>
      <c r="AB1961" s="1">
        <v>42382</v>
      </c>
      <c r="AC1961" t="s">
        <v>53</v>
      </c>
      <c r="AD1961" t="s">
        <v>53</v>
      </c>
      <c r="AK1961">
        <v>0</v>
      </c>
      <c r="AU1961" s="6">
        <v>42181</v>
      </c>
      <c r="AV1961" s="6">
        <v>42181</v>
      </c>
      <c r="AW1961" t="s">
        <v>54</v>
      </c>
      <c r="AX1961" t="str">
        <f t="shared" si="153"/>
        <v>FOR</v>
      </c>
      <c r="AY1961" t="s">
        <v>55</v>
      </c>
    </row>
    <row r="1962" spans="1:51" hidden="1">
      <c r="A1962">
        <v>100449</v>
      </c>
      <c r="B1962" t="s">
        <v>156</v>
      </c>
      <c r="C1962" t="str">
        <f t="shared" si="155"/>
        <v>00153730627</v>
      </c>
      <c r="D1962" t="str">
        <f t="shared" si="155"/>
        <v>00153730627</v>
      </c>
      <c r="E1962" t="s">
        <v>52</v>
      </c>
      <c r="F1962">
        <v>2015</v>
      </c>
      <c r="G1962">
        <v>54</v>
      </c>
      <c r="H1962" s="1">
        <v>42063</v>
      </c>
      <c r="I1962" s="1">
        <v>42250</v>
      </c>
      <c r="J1962" s="1">
        <v>42250</v>
      </c>
      <c r="K1962" s="1">
        <v>42310</v>
      </c>
      <c r="N1962" s="5"/>
      <c r="O1962" s="2">
        <v>8625</v>
      </c>
      <c r="P1962">
        <v>-34</v>
      </c>
      <c r="Q1962" s="2">
        <v>-293250</v>
      </c>
      <c r="R1962">
        <v>0</v>
      </c>
      <c r="V1962">
        <v>0</v>
      </c>
      <c r="W1962">
        <v>0</v>
      </c>
      <c r="X1962">
        <v>0</v>
      </c>
      <c r="Y1962" s="2">
        <v>10522.5</v>
      </c>
      <c r="Z1962" s="2">
        <v>10522.5</v>
      </c>
      <c r="AA1962" s="2">
        <v>10522.5</v>
      </c>
      <c r="AB1962" s="1">
        <v>42382</v>
      </c>
      <c r="AC1962" t="s">
        <v>53</v>
      </c>
      <c r="AD1962" t="s">
        <v>53</v>
      </c>
      <c r="AK1962">
        <v>0</v>
      </c>
      <c r="AU1962" s="6">
        <v>42276</v>
      </c>
      <c r="AV1962" s="6">
        <v>42276</v>
      </c>
      <c r="AW1962" t="s">
        <v>54</v>
      </c>
      <c r="AX1962" t="str">
        <f t="shared" si="153"/>
        <v>FOR</v>
      </c>
      <c r="AY1962" t="s">
        <v>55</v>
      </c>
    </row>
    <row r="1963" spans="1:51" hidden="1">
      <c r="A1963">
        <v>100449</v>
      </c>
      <c r="B1963" t="s">
        <v>156</v>
      </c>
      <c r="C1963" t="str">
        <f t="shared" si="155"/>
        <v>00153730627</v>
      </c>
      <c r="D1963" t="str">
        <f t="shared" si="155"/>
        <v>00153730627</v>
      </c>
      <c r="E1963" t="s">
        <v>52</v>
      </c>
      <c r="F1963">
        <v>2015</v>
      </c>
      <c r="G1963">
        <v>55</v>
      </c>
      <c r="H1963" s="1">
        <v>42063</v>
      </c>
      <c r="I1963" s="1">
        <v>42164</v>
      </c>
      <c r="J1963" s="1">
        <v>42164</v>
      </c>
      <c r="K1963" s="1">
        <v>42224</v>
      </c>
      <c r="N1963" s="5"/>
      <c r="O1963" s="2">
        <v>13000</v>
      </c>
      <c r="P1963">
        <v>-43</v>
      </c>
      <c r="Q1963" s="2">
        <v>-559000</v>
      </c>
      <c r="R1963">
        <v>0</v>
      </c>
      <c r="V1963">
        <v>0</v>
      </c>
      <c r="W1963">
        <v>0</v>
      </c>
      <c r="X1963">
        <v>0</v>
      </c>
      <c r="Y1963" s="2">
        <v>15860</v>
      </c>
      <c r="Z1963" s="2">
        <v>15860</v>
      </c>
      <c r="AA1963" s="2">
        <v>15860</v>
      </c>
      <c r="AB1963" s="1">
        <v>42382</v>
      </c>
      <c r="AC1963" t="s">
        <v>53</v>
      </c>
      <c r="AD1963" t="s">
        <v>53</v>
      </c>
      <c r="AK1963">
        <v>0</v>
      </c>
      <c r="AU1963" s="6">
        <v>42181</v>
      </c>
      <c r="AV1963" s="6">
        <v>42181</v>
      </c>
      <c r="AW1963" t="s">
        <v>54</v>
      </c>
      <c r="AX1963" t="str">
        <f t="shared" si="153"/>
        <v>FOR</v>
      </c>
      <c r="AY1963" t="s">
        <v>55</v>
      </c>
    </row>
    <row r="1964" spans="1:51" hidden="1">
      <c r="A1964">
        <v>100449</v>
      </c>
      <c r="B1964" t="s">
        <v>156</v>
      </c>
      <c r="C1964" t="str">
        <f t="shared" si="155"/>
        <v>00153730627</v>
      </c>
      <c r="D1964" t="str">
        <f t="shared" si="155"/>
        <v>00153730627</v>
      </c>
      <c r="E1964" t="s">
        <v>52</v>
      </c>
      <c r="F1964">
        <v>2015</v>
      </c>
      <c r="G1964">
        <v>56</v>
      </c>
      <c r="H1964" s="1">
        <v>42063</v>
      </c>
      <c r="I1964" s="1">
        <v>42164</v>
      </c>
      <c r="J1964" s="1">
        <v>42164</v>
      </c>
      <c r="K1964" s="1">
        <v>42224</v>
      </c>
      <c r="N1964" s="5"/>
      <c r="O1964">
        <v>500</v>
      </c>
      <c r="P1964">
        <v>-43</v>
      </c>
      <c r="Q1964" s="2">
        <v>-21500</v>
      </c>
      <c r="R1964">
        <v>0</v>
      </c>
      <c r="V1964">
        <v>0</v>
      </c>
      <c r="W1964">
        <v>0</v>
      </c>
      <c r="X1964">
        <v>0</v>
      </c>
      <c r="Y1964">
        <v>610</v>
      </c>
      <c r="Z1964">
        <v>610</v>
      </c>
      <c r="AA1964">
        <v>610</v>
      </c>
      <c r="AB1964" s="1">
        <v>42382</v>
      </c>
      <c r="AC1964" t="s">
        <v>53</v>
      </c>
      <c r="AD1964" t="s">
        <v>53</v>
      </c>
      <c r="AK1964">
        <v>0</v>
      </c>
      <c r="AU1964" s="6">
        <v>42181</v>
      </c>
      <c r="AV1964" s="6">
        <v>42181</v>
      </c>
      <c r="AW1964" t="s">
        <v>54</v>
      </c>
      <c r="AX1964" t="str">
        <f t="shared" si="153"/>
        <v>FOR</v>
      </c>
      <c r="AY1964" t="s">
        <v>55</v>
      </c>
    </row>
    <row r="1965" spans="1:51" hidden="1">
      <c r="A1965">
        <v>100449</v>
      </c>
      <c r="B1965" t="s">
        <v>156</v>
      </c>
      <c r="C1965" t="str">
        <f t="shared" si="155"/>
        <v>00153730627</v>
      </c>
      <c r="D1965" t="str">
        <f t="shared" si="155"/>
        <v>00153730627</v>
      </c>
      <c r="E1965" t="s">
        <v>52</v>
      </c>
      <c r="F1965">
        <v>2015</v>
      </c>
      <c r="G1965">
        <v>57</v>
      </c>
      <c r="H1965" s="1">
        <v>42063</v>
      </c>
      <c r="I1965" s="1">
        <v>42164</v>
      </c>
      <c r="J1965" s="1">
        <v>42164</v>
      </c>
      <c r="K1965" s="1">
        <v>42224</v>
      </c>
      <c r="N1965" s="5"/>
      <c r="O1965" s="2">
        <v>1200</v>
      </c>
      <c r="P1965">
        <v>-43</v>
      </c>
      <c r="Q1965" s="2">
        <v>-51600</v>
      </c>
      <c r="R1965">
        <v>0</v>
      </c>
      <c r="V1965">
        <v>0</v>
      </c>
      <c r="W1965">
        <v>0</v>
      </c>
      <c r="X1965">
        <v>0</v>
      </c>
      <c r="Y1965" s="2">
        <v>1464</v>
      </c>
      <c r="Z1965" s="2">
        <v>1464</v>
      </c>
      <c r="AA1965" s="2">
        <v>1464</v>
      </c>
      <c r="AB1965" s="1">
        <v>42382</v>
      </c>
      <c r="AC1965" t="s">
        <v>53</v>
      </c>
      <c r="AD1965" t="s">
        <v>53</v>
      </c>
      <c r="AK1965">
        <v>0</v>
      </c>
      <c r="AU1965" s="6">
        <v>42181</v>
      </c>
      <c r="AV1965" s="6">
        <v>42181</v>
      </c>
      <c r="AW1965" t="s">
        <v>54</v>
      </c>
      <c r="AX1965" t="str">
        <f t="shared" si="153"/>
        <v>FOR</v>
      </c>
      <c r="AY1965" t="s">
        <v>55</v>
      </c>
    </row>
    <row r="1966" spans="1:51" hidden="1">
      <c r="A1966">
        <v>100449</v>
      </c>
      <c r="B1966" t="s">
        <v>156</v>
      </c>
      <c r="C1966" t="str">
        <f t="shared" si="155"/>
        <v>00153730627</v>
      </c>
      <c r="D1966" t="str">
        <f t="shared" si="155"/>
        <v>00153730627</v>
      </c>
      <c r="E1966" t="s">
        <v>52</v>
      </c>
      <c r="F1966">
        <v>2015</v>
      </c>
      <c r="G1966" t="s">
        <v>157</v>
      </c>
      <c r="H1966" s="1">
        <v>42094</v>
      </c>
      <c r="I1966" s="1">
        <v>42109</v>
      </c>
      <c r="J1966" s="1">
        <v>42107</v>
      </c>
      <c r="K1966" s="1">
        <v>42167</v>
      </c>
      <c r="N1966" s="5"/>
      <c r="O1966" s="2">
        <v>59151.58</v>
      </c>
      <c r="P1966">
        <v>45</v>
      </c>
      <c r="Q1966" s="2">
        <v>2661821.1</v>
      </c>
      <c r="R1966">
        <v>0</v>
      </c>
      <c r="V1966">
        <v>0</v>
      </c>
      <c r="W1966">
        <v>0</v>
      </c>
      <c r="X1966">
        <v>0</v>
      </c>
      <c r="Y1966" s="2">
        <v>59151.58</v>
      </c>
      <c r="Z1966" s="2">
        <v>59151.58</v>
      </c>
      <c r="AA1966" s="2">
        <v>59151.58</v>
      </c>
      <c r="AB1966" s="1">
        <v>42382</v>
      </c>
      <c r="AC1966" t="s">
        <v>53</v>
      </c>
      <c r="AD1966" t="s">
        <v>53</v>
      </c>
      <c r="AK1966">
        <v>0</v>
      </c>
      <c r="AU1966" s="6">
        <v>42212</v>
      </c>
      <c r="AV1966" s="6">
        <v>42212</v>
      </c>
      <c r="AW1966" t="s">
        <v>54</v>
      </c>
      <c r="AX1966" t="str">
        <f t="shared" si="153"/>
        <v>FOR</v>
      </c>
      <c r="AY1966" t="s">
        <v>55</v>
      </c>
    </row>
    <row r="1967" spans="1:51" hidden="1">
      <c r="A1967">
        <v>100449</v>
      </c>
      <c r="B1967" t="s">
        <v>156</v>
      </c>
      <c r="C1967" t="str">
        <f t="shared" si="155"/>
        <v>00153730627</v>
      </c>
      <c r="D1967" t="str">
        <f t="shared" si="155"/>
        <v>00153730627</v>
      </c>
      <c r="E1967" t="s">
        <v>52</v>
      </c>
      <c r="F1967">
        <v>2015</v>
      </c>
      <c r="G1967" t="s">
        <v>158</v>
      </c>
      <c r="H1967" s="1">
        <v>42094</v>
      </c>
      <c r="I1967" s="1">
        <v>42187</v>
      </c>
      <c r="J1967" s="1">
        <v>42185</v>
      </c>
      <c r="K1967" s="1">
        <v>42245</v>
      </c>
      <c r="N1967" s="5"/>
      <c r="O1967" s="2">
        <v>3220</v>
      </c>
      <c r="P1967">
        <v>17</v>
      </c>
      <c r="Q1967" s="2">
        <v>54740</v>
      </c>
      <c r="R1967">
        <v>0</v>
      </c>
      <c r="V1967">
        <v>0</v>
      </c>
      <c r="W1967">
        <v>0</v>
      </c>
      <c r="X1967">
        <v>0</v>
      </c>
      <c r="Y1967" s="2">
        <v>3928.4</v>
      </c>
      <c r="Z1967" s="2">
        <v>3928.4</v>
      </c>
      <c r="AA1967" s="2">
        <v>3928.4</v>
      </c>
      <c r="AB1967" s="1">
        <v>42382</v>
      </c>
      <c r="AC1967" t="s">
        <v>53</v>
      </c>
      <c r="AD1967" t="s">
        <v>53</v>
      </c>
      <c r="AK1967">
        <v>0</v>
      </c>
      <c r="AU1967" s="6">
        <v>42262</v>
      </c>
      <c r="AV1967" s="6">
        <v>42262</v>
      </c>
      <c r="AW1967" t="s">
        <v>54</v>
      </c>
      <c r="AX1967" t="str">
        <f t="shared" si="153"/>
        <v>FOR</v>
      </c>
      <c r="AY1967" t="s">
        <v>55</v>
      </c>
    </row>
    <row r="1968" spans="1:51" hidden="1">
      <c r="A1968">
        <v>100449</v>
      </c>
      <c r="B1968" t="s">
        <v>156</v>
      </c>
      <c r="C1968" t="str">
        <f t="shared" si="155"/>
        <v>00153730627</v>
      </c>
      <c r="D1968" t="str">
        <f t="shared" si="155"/>
        <v>00153730627</v>
      </c>
      <c r="E1968" t="s">
        <v>52</v>
      </c>
      <c r="F1968">
        <v>2015</v>
      </c>
      <c r="G1968" t="s">
        <v>159</v>
      </c>
      <c r="H1968" s="1">
        <v>42094</v>
      </c>
      <c r="I1968" s="1">
        <v>42187</v>
      </c>
      <c r="J1968" s="1">
        <v>42185</v>
      </c>
      <c r="K1968" s="1">
        <v>42245</v>
      </c>
      <c r="N1968" s="5"/>
      <c r="O1968">
        <v>980</v>
      </c>
      <c r="P1968">
        <v>17</v>
      </c>
      <c r="Q1968" s="2">
        <v>16660</v>
      </c>
      <c r="R1968">
        <v>0</v>
      </c>
      <c r="V1968">
        <v>0</v>
      </c>
      <c r="W1968">
        <v>0</v>
      </c>
      <c r="X1968">
        <v>0</v>
      </c>
      <c r="Y1968" s="2">
        <v>1195.5999999999999</v>
      </c>
      <c r="Z1968" s="2">
        <v>1195.5999999999999</v>
      </c>
      <c r="AA1968" s="2">
        <v>1195.5999999999999</v>
      </c>
      <c r="AB1968" s="1">
        <v>42382</v>
      </c>
      <c r="AC1968" t="s">
        <v>53</v>
      </c>
      <c r="AD1968" t="s">
        <v>53</v>
      </c>
      <c r="AK1968">
        <v>0</v>
      </c>
      <c r="AU1968" s="6">
        <v>42262</v>
      </c>
      <c r="AV1968" s="6">
        <v>42262</v>
      </c>
      <c r="AW1968" t="s">
        <v>54</v>
      </c>
      <c r="AX1968" t="str">
        <f t="shared" si="153"/>
        <v>FOR</v>
      </c>
      <c r="AY1968" t="s">
        <v>55</v>
      </c>
    </row>
    <row r="1969" spans="1:51" hidden="1">
      <c r="A1969">
        <v>100449</v>
      </c>
      <c r="B1969" t="s">
        <v>156</v>
      </c>
      <c r="C1969" t="str">
        <f t="shared" si="155"/>
        <v>00153730627</v>
      </c>
      <c r="D1969" t="str">
        <f t="shared" si="155"/>
        <v>00153730627</v>
      </c>
      <c r="E1969" t="s">
        <v>52</v>
      </c>
      <c r="F1969">
        <v>2015</v>
      </c>
      <c r="G1969" t="s">
        <v>160</v>
      </c>
      <c r="H1969" s="1">
        <v>42094</v>
      </c>
      <c r="I1969" s="1">
        <v>42116</v>
      </c>
      <c r="J1969" s="1">
        <v>42110</v>
      </c>
      <c r="K1969" s="1">
        <v>42170</v>
      </c>
      <c r="N1969" s="5"/>
      <c r="O1969" s="2">
        <v>4200</v>
      </c>
      <c r="P1969">
        <v>42</v>
      </c>
      <c r="Q1969" s="2">
        <v>176400</v>
      </c>
      <c r="R1969">
        <v>0</v>
      </c>
      <c r="V1969">
        <v>0</v>
      </c>
      <c r="W1969">
        <v>0</v>
      </c>
      <c r="X1969">
        <v>0</v>
      </c>
      <c r="Y1969" s="2">
        <v>5124</v>
      </c>
      <c r="Z1969" s="2">
        <v>5124</v>
      </c>
      <c r="AA1969" s="2">
        <v>5124</v>
      </c>
      <c r="AB1969" s="1">
        <v>42382</v>
      </c>
      <c r="AC1969" t="s">
        <v>53</v>
      </c>
      <c r="AD1969" t="s">
        <v>53</v>
      </c>
      <c r="AK1969">
        <v>0</v>
      </c>
      <c r="AU1969" s="6">
        <v>42212</v>
      </c>
      <c r="AV1969" s="6">
        <v>42212</v>
      </c>
      <c r="AW1969" t="s">
        <v>54</v>
      </c>
      <c r="AX1969" t="str">
        <f t="shared" si="153"/>
        <v>FOR</v>
      </c>
      <c r="AY1969" t="s">
        <v>55</v>
      </c>
    </row>
    <row r="1970" spans="1:51" hidden="1">
      <c r="A1970">
        <v>100449</v>
      </c>
      <c r="B1970" t="s">
        <v>156</v>
      </c>
      <c r="C1970" t="str">
        <f t="shared" ref="C1970:D1989" si="156">"00153730627"</f>
        <v>00153730627</v>
      </c>
      <c r="D1970" t="str">
        <f t="shared" si="156"/>
        <v>00153730627</v>
      </c>
      <c r="E1970" t="s">
        <v>52</v>
      </c>
      <c r="F1970">
        <v>2015</v>
      </c>
      <c r="G1970" t="s">
        <v>161</v>
      </c>
      <c r="H1970" s="1">
        <v>42094</v>
      </c>
      <c r="I1970" s="1">
        <v>42187</v>
      </c>
      <c r="J1970" s="1">
        <v>42185</v>
      </c>
      <c r="K1970" s="1">
        <v>42245</v>
      </c>
      <c r="N1970" s="5"/>
      <c r="O1970" s="2">
        <v>1365</v>
      </c>
      <c r="P1970">
        <v>17</v>
      </c>
      <c r="Q1970" s="2">
        <v>23205</v>
      </c>
      <c r="R1970">
        <v>0</v>
      </c>
      <c r="V1970">
        <v>0</v>
      </c>
      <c r="W1970">
        <v>0</v>
      </c>
      <c r="X1970">
        <v>0</v>
      </c>
      <c r="Y1970" s="2">
        <v>1665.3</v>
      </c>
      <c r="Z1970" s="2">
        <v>1665.3</v>
      </c>
      <c r="AA1970" s="2">
        <v>1665.3</v>
      </c>
      <c r="AB1970" s="1">
        <v>42382</v>
      </c>
      <c r="AC1970" t="s">
        <v>53</v>
      </c>
      <c r="AD1970" t="s">
        <v>53</v>
      </c>
      <c r="AK1970">
        <v>0</v>
      </c>
      <c r="AU1970" s="6">
        <v>42262</v>
      </c>
      <c r="AV1970" s="6">
        <v>42262</v>
      </c>
      <c r="AW1970" t="s">
        <v>54</v>
      </c>
      <c r="AX1970" t="str">
        <f t="shared" si="153"/>
        <v>FOR</v>
      </c>
      <c r="AY1970" t="s">
        <v>55</v>
      </c>
    </row>
    <row r="1971" spans="1:51" hidden="1">
      <c r="A1971">
        <v>100449</v>
      </c>
      <c r="B1971" t="s">
        <v>156</v>
      </c>
      <c r="C1971" t="str">
        <f t="shared" si="156"/>
        <v>00153730627</v>
      </c>
      <c r="D1971" t="str">
        <f t="shared" si="156"/>
        <v>00153730627</v>
      </c>
      <c r="E1971" t="s">
        <v>52</v>
      </c>
      <c r="F1971">
        <v>2015</v>
      </c>
      <c r="G1971" t="s">
        <v>162</v>
      </c>
      <c r="H1971" s="1">
        <v>42094</v>
      </c>
      <c r="I1971" s="1">
        <v>42187</v>
      </c>
      <c r="J1971" s="1">
        <v>42185</v>
      </c>
      <c r="K1971" s="1">
        <v>42245</v>
      </c>
      <c r="N1971" s="5"/>
      <c r="O1971" s="2">
        <v>9468.75</v>
      </c>
      <c r="P1971">
        <v>17</v>
      </c>
      <c r="Q1971" s="2">
        <v>160968.75</v>
      </c>
      <c r="R1971">
        <v>0</v>
      </c>
      <c r="V1971">
        <v>0</v>
      </c>
      <c r="W1971">
        <v>0</v>
      </c>
      <c r="X1971">
        <v>0</v>
      </c>
      <c r="Y1971" s="2">
        <v>11551.88</v>
      </c>
      <c r="Z1971" s="2">
        <v>11551.88</v>
      </c>
      <c r="AA1971" s="2">
        <v>11551.88</v>
      </c>
      <c r="AB1971" s="1">
        <v>42382</v>
      </c>
      <c r="AC1971" t="s">
        <v>53</v>
      </c>
      <c r="AD1971" t="s">
        <v>53</v>
      </c>
      <c r="AK1971">
        <v>0</v>
      </c>
      <c r="AU1971" s="6">
        <v>42262</v>
      </c>
      <c r="AV1971" s="6">
        <v>42262</v>
      </c>
      <c r="AW1971" t="s">
        <v>54</v>
      </c>
      <c r="AX1971" t="str">
        <f t="shared" si="153"/>
        <v>FOR</v>
      </c>
      <c r="AY1971" t="s">
        <v>55</v>
      </c>
    </row>
    <row r="1972" spans="1:51" hidden="1">
      <c r="A1972">
        <v>100449</v>
      </c>
      <c r="B1972" t="s">
        <v>156</v>
      </c>
      <c r="C1972" t="str">
        <f t="shared" si="156"/>
        <v>00153730627</v>
      </c>
      <c r="D1972" t="str">
        <f t="shared" si="156"/>
        <v>00153730627</v>
      </c>
      <c r="E1972" t="s">
        <v>52</v>
      </c>
      <c r="F1972">
        <v>2015</v>
      </c>
      <c r="G1972" t="s">
        <v>163</v>
      </c>
      <c r="H1972" s="1">
        <v>42094</v>
      </c>
      <c r="I1972" s="1">
        <v>42164</v>
      </c>
      <c r="J1972" s="1">
        <v>42156</v>
      </c>
      <c r="K1972" s="1">
        <v>42216</v>
      </c>
      <c r="N1972" s="5"/>
      <c r="O1972">
        <v>878.55</v>
      </c>
      <c r="P1972">
        <v>-4</v>
      </c>
      <c r="Q1972" s="2">
        <v>-3514.2</v>
      </c>
      <c r="R1972">
        <v>0</v>
      </c>
      <c r="V1972">
        <v>0</v>
      </c>
      <c r="W1972">
        <v>0</v>
      </c>
      <c r="X1972">
        <v>0</v>
      </c>
      <c r="Y1972" s="2">
        <v>1071.83</v>
      </c>
      <c r="Z1972" s="2">
        <v>1071.83</v>
      </c>
      <c r="AA1972" s="2">
        <v>1071.83</v>
      </c>
      <c r="AB1972" s="1">
        <v>42382</v>
      </c>
      <c r="AC1972" t="s">
        <v>53</v>
      </c>
      <c r="AD1972" t="s">
        <v>53</v>
      </c>
      <c r="AK1972">
        <v>0</v>
      </c>
      <c r="AU1972" s="6">
        <v>42212</v>
      </c>
      <c r="AV1972" s="6">
        <v>42212</v>
      </c>
      <c r="AW1972" t="s">
        <v>54</v>
      </c>
      <c r="AX1972" t="str">
        <f t="shared" si="153"/>
        <v>FOR</v>
      </c>
      <c r="AY1972" t="s">
        <v>55</v>
      </c>
    </row>
    <row r="1973" spans="1:51" hidden="1">
      <c r="A1973">
        <v>100449</v>
      </c>
      <c r="B1973" t="s">
        <v>156</v>
      </c>
      <c r="C1973" t="str">
        <f t="shared" si="156"/>
        <v>00153730627</v>
      </c>
      <c r="D1973" t="str">
        <f t="shared" si="156"/>
        <v>00153730627</v>
      </c>
      <c r="E1973" t="s">
        <v>52</v>
      </c>
      <c r="F1973">
        <v>2015</v>
      </c>
      <c r="G1973" t="s">
        <v>164</v>
      </c>
      <c r="H1973" s="1">
        <v>42124</v>
      </c>
      <c r="I1973" s="1">
        <v>42129</v>
      </c>
      <c r="J1973" s="1">
        <v>42128</v>
      </c>
      <c r="K1973" s="1">
        <v>42188</v>
      </c>
      <c r="N1973" s="5"/>
      <c r="O1973" s="2">
        <v>59151.58</v>
      </c>
      <c r="P1973">
        <v>74</v>
      </c>
      <c r="Q1973" s="2">
        <v>4377216.92</v>
      </c>
      <c r="R1973">
        <v>0</v>
      </c>
      <c r="V1973">
        <v>0</v>
      </c>
      <c r="W1973">
        <v>0</v>
      </c>
      <c r="X1973">
        <v>0</v>
      </c>
      <c r="Y1973" s="2">
        <v>59151.58</v>
      </c>
      <c r="Z1973" s="2">
        <v>59151.58</v>
      </c>
      <c r="AA1973" s="2">
        <v>59151.58</v>
      </c>
      <c r="AB1973" s="1">
        <v>42382</v>
      </c>
      <c r="AC1973" t="s">
        <v>53</v>
      </c>
      <c r="AD1973" t="s">
        <v>53</v>
      </c>
      <c r="AK1973">
        <v>0</v>
      </c>
      <c r="AU1973" s="6">
        <v>42262</v>
      </c>
      <c r="AV1973" s="6">
        <v>42262</v>
      </c>
      <c r="AW1973" t="s">
        <v>54</v>
      </c>
      <c r="AX1973" t="str">
        <f t="shared" si="153"/>
        <v>FOR</v>
      </c>
      <c r="AY1973" t="s">
        <v>55</v>
      </c>
    </row>
    <row r="1974" spans="1:51" hidden="1">
      <c r="A1974">
        <v>100449</v>
      </c>
      <c r="B1974" t="s">
        <v>156</v>
      </c>
      <c r="C1974" t="str">
        <f t="shared" si="156"/>
        <v>00153730627</v>
      </c>
      <c r="D1974" t="str">
        <f t="shared" si="156"/>
        <v>00153730627</v>
      </c>
      <c r="E1974" t="s">
        <v>52</v>
      </c>
      <c r="F1974">
        <v>2015</v>
      </c>
      <c r="G1974" t="s">
        <v>165</v>
      </c>
      <c r="H1974" s="1">
        <v>42124</v>
      </c>
      <c r="I1974" s="1">
        <v>42227</v>
      </c>
      <c r="J1974" s="1">
        <v>42214</v>
      </c>
      <c r="K1974" s="1">
        <v>42274</v>
      </c>
      <c r="N1974" s="5"/>
      <c r="O1974" s="2">
        <v>3220</v>
      </c>
      <c r="P1974">
        <v>2</v>
      </c>
      <c r="Q1974" s="2">
        <v>6440</v>
      </c>
      <c r="R1974">
        <v>0</v>
      </c>
      <c r="V1974">
        <v>0</v>
      </c>
      <c r="W1974">
        <v>0</v>
      </c>
      <c r="X1974">
        <v>0</v>
      </c>
      <c r="Y1974" s="2">
        <v>3928.4</v>
      </c>
      <c r="Z1974" s="2">
        <v>3928.4</v>
      </c>
      <c r="AA1974" s="2">
        <v>3928.4</v>
      </c>
      <c r="AB1974" s="1">
        <v>42382</v>
      </c>
      <c r="AC1974" t="s">
        <v>53</v>
      </c>
      <c r="AD1974" t="s">
        <v>53</v>
      </c>
      <c r="AK1974">
        <v>0</v>
      </c>
      <c r="AU1974" s="6">
        <v>42276</v>
      </c>
      <c r="AV1974" s="6">
        <v>42276</v>
      </c>
      <c r="AW1974" t="s">
        <v>54</v>
      </c>
      <c r="AX1974" t="str">
        <f t="shared" si="153"/>
        <v>FOR</v>
      </c>
      <c r="AY1974" t="s">
        <v>55</v>
      </c>
    </row>
    <row r="1975" spans="1:51" hidden="1">
      <c r="A1975">
        <v>100449</v>
      </c>
      <c r="B1975" t="s">
        <v>156</v>
      </c>
      <c r="C1975" t="str">
        <f t="shared" si="156"/>
        <v>00153730627</v>
      </c>
      <c r="D1975" t="str">
        <f t="shared" si="156"/>
        <v>00153730627</v>
      </c>
      <c r="E1975" t="s">
        <v>52</v>
      </c>
      <c r="F1975">
        <v>2015</v>
      </c>
      <c r="G1975" t="s">
        <v>166</v>
      </c>
      <c r="H1975" s="1">
        <v>42124</v>
      </c>
      <c r="I1975" s="1">
        <v>42227</v>
      </c>
      <c r="J1975" s="1">
        <v>42214</v>
      </c>
      <c r="K1975" s="1">
        <v>42274</v>
      </c>
      <c r="N1975" s="5"/>
      <c r="O1975" s="2">
        <v>1200</v>
      </c>
      <c r="P1975">
        <v>2</v>
      </c>
      <c r="Q1975" s="2">
        <v>2400</v>
      </c>
      <c r="R1975">
        <v>0</v>
      </c>
      <c r="V1975">
        <v>0</v>
      </c>
      <c r="W1975">
        <v>0</v>
      </c>
      <c r="X1975">
        <v>0</v>
      </c>
      <c r="Y1975" s="2">
        <v>1464</v>
      </c>
      <c r="Z1975" s="2">
        <v>1464</v>
      </c>
      <c r="AA1975" s="2">
        <v>1464</v>
      </c>
      <c r="AB1975" s="1">
        <v>42382</v>
      </c>
      <c r="AC1975" t="s">
        <v>53</v>
      </c>
      <c r="AD1975" t="s">
        <v>53</v>
      </c>
      <c r="AK1975">
        <v>0</v>
      </c>
      <c r="AU1975" s="6">
        <v>42276</v>
      </c>
      <c r="AV1975" s="6">
        <v>42276</v>
      </c>
      <c r="AW1975" t="s">
        <v>54</v>
      </c>
      <c r="AX1975" t="str">
        <f t="shared" si="153"/>
        <v>FOR</v>
      </c>
      <c r="AY1975" t="s">
        <v>55</v>
      </c>
    </row>
    <row r="1976" spans="1:51" hidden="1">
      <c r="A1976">
        <v>100449</v>
      </c>
      <c r="B1976" t="s">
        <v>156</v>
      </c>
      <c r="C1976" t="str">
        <f t="shared" si="156"/>
        <v>00153730627</v>
      </c>
      <c r="D1976" t="str">
        <f t="shared" si="156"/>
        <v>00153730627</v>
      </c>
      <c r="E1976" t="s">
        <v>52</v>
      </c>
      <c r="F1976">
        <v>2015</v>
      </c>
      <c r="G1976" t="s">
        <v>167</v>
      </c>
      <c r="H1976" s="1">
        <v>42124</v>
      </c>
      <c r="I1976" s="1">
        <v>42227</v>
      </c>
      <c r="J1976" s="1">
        <v>42214</v>
      </c>
      <c r="K1976" s="1">
        <v>42274</v>
      </c>
      <c r="N1976" s="5"/>
      <c r="O1976" s="2">
        <v>1365</v>
      </c>
      <c r="P1976">
        <v>2</v>
      </c>
      <c r="Q1976" s="2">
        <v>2730</v>
      </c>
      <c r="R1976">
        <v>0</v>
      </c>
      <c r="V1976">
        <v>0</v>
      </c>
      <c r="W1976">
        <v>0</v>
      </c>
      <c r="X1976">
        <v>0</v>
      </c>
      <c r="Y1976" s="2">
        <v>1665.3</v>
      </c>
      <c r="Z1976" s="2">
        <v>1665.3</v>
      </c>
      <c r="AA1976" s="2">
        <v>1665.3</v>
      </c>
      <c r="AB1976" s="1">
        <v>42382</v>
      </c>
      <c r="AC1976" t="s">
        <v>53</v>
      </c>
      <c r="AD1976" t="s">
        <v>53</v>
      </c>
      <c r="AK1976">
        <v>0</v>
      </c>
      <c r="AU1976" s="6">
        <v>42276</v>
      </c>
      <c r="AV1976" s="6">
        <v>42276</v>
      </c>
      <c r="AW1976" t="s">
        <v>54</v>
      </c>
      <c r="AX1976" t="str">
        <f t="shared" si="153"/>
        <v>FOR</v>
      </c>
      <c r="AY1976" t="s">
        <v>55</v>
      </c>
    </row>
    <row r="1977" spans="1:51" hidden="1">
      <c r="A1977">
        <v>100449</v>
      </c>
      <c r="B1977" t="s">
        <v>156</v>
      </c>
      <c r="C1977" t="str">
        <f t="shared" si="156"/>
        <v>00153730627</v>
      </c>
      <c r="D1977" t="str">
        <f t="shared" si="156"/>
        <v>00153730627</v>
      </c>
      <c r="E1977" t="s">
        <v>52</v>
      </c>
      <c r="F1977">
        <v>2015</v>
      </c>
      <c r="G1977" t="s">
        <v>168</v>
      </c>
      <c r="H1977" s="1">
        <v>42124</v>
      </c>
      <c r="I1977" s="1">
        <v>42227</v>
      </c>
      <c r="J1977" s="1">
        <v>42214</v>
      </c>
      <c r="K1977" s="1">
        <v>42274</v>
      </c>
      <c r="N1977" s="5"/>
      <c r="O1977" s="2">
        <v>8981.25</v>
      </c>
      <c r="P1977">
        <v>2</v>
      </c>
      <c r="Q1977" s="2">
        <v>17962.5</v>
      </c>
      <c r="R1977">
        <v>0</v>
      </c>
      <c r="V1977">
        <v>0</v>
      </c>
      <c r="W1977">
        <v>0</v>
      </c>
      <c r="X1977">
        <v>0</v>
      </c>
      <c r="Y1977" s="2">
        <v>10957.13</v>
      </c>
      <c r="Z1977" s="2">
        <v>10957.13</v>
      </c>
      <c r="AA1977" s="2">
        <v>10957.13</v>
      </c>
      <c r="AB1977" s="1">
        <v>42382</v>
      </c>
      <c r="AC1977" t="s">
        <v>53</v>
      </c>
      <c r="AD1977" t="s">
        <v>53</v>
      </c>
      <c r="AK1977">
        <v>0</v>
      </c>
      <c r="AU1977" s="6">
        <v>42276</v>
      </c>
      <c r="AV1977" s="6">
        <v>42276</v>
      </c>
      <c r="AW1977" t="s">
        <v>54</v>
      </c>
      <c r="AX1977" t="str">
        <f t="shared" si="153"/>
        <v>FOR</v>
      </c>
      <c r="AY1977" t="s">
        <v>55</v>
      </c>
    </row>
    <row r="1978" spans="1:51" hidden="1">
      <c r="A1978">
        <v>100449</v>
      </c>
      <c r="B1978" t="s">
        <v>156</v>
      </c>
      <c r="C1978" t="str">
        <f t="shared" si="156"/>
        <v>00153730627</v>
      </c>
      <c r="D1978" t="str">
        <f t="shared" si="156"/>
        <v>00153730627</v>
      </c>
      <c r="E1978" t="s">
        <v>52</v>
      </c>
      <c r="F1978">
        <v>2015</v>
      </c>
      <c r="G1978" t="s">
        <v>169</v>
      </c>
      <c r="H1978" s="1">
        <v>42155</v>
      </c>
      <c r="I1978" s="1">
        <v>42164</v>
      </c>
      <c r="J1978" s="1">
        <v>42156</v>
      </c>
      <c r="K1978" s="1">
        <v>42216</v>
      </c>
      <c r="N1978" s="5"/>
      <c r="O1978" s="2">
        <v>59151.58</v>
      </c>
      <c r="P1978">
        <v>60</v>
      </c>
      <c r="Q1978" s="2">
        <v>3549094.8</v>
      </c>
      <c r="R1978">
        <v>0</v>
      </c>
      <c r="V1978">
        <v>0</v>
      </c>
      <c r="W1978">
        <v>0</v>
      </c>
      <c r="X1978">
        <v>0</v>
      </c>
      <c r="Y1978" s="2">
        <v>59151.58</v>
      </c>
      <c r="Z1978" s="2">
        <v>59151.58</v>
      </c>
      <c r="AA1978" s="2">
        <v>59151.58</v>
      </c>
      <c r="AB1978" s="1">
        <v>42382</v>
      </c>
      <c r="AC1978" t="s">
        <v>53</v>
      </c>
      <c r="AD1978" t="s">
        <v>53</v>
      </c>
      <c r="AK1978">
        <v>0</v>
      </c>
      <c r="AU1978" s="6">
        <v>42276</v>
      </c>
      <c r="AV1978" s="6">
        <v>42276</v>
      </c>
      <c r="AW1978" t="s">
        <v>54</v>
      </c>
      <c r="AX1978" t="str">
        <f t="shared" si="153"/>
        <v>FOR</v>
      </c>
      <c r="AY1978" t="s">
        <v>55</v>
      </c>
    </row>
    <row r="1979" spans="1:51">
      <c r="A1979">
        <v>100449</v>
      </c>
      <c r="B1979" t="s">
        <v>156</v>
      </c>
      <c r="C1979" t="str">
        <f t="shared" si="156"/>
        <v>00153730627</v>
      </c>
      <c r="D1979" t="str">
        <f t="shared" si="156"/>
        <v>00153730627</v>
      </c>
      <c r="E1979" t="s">
        <v>52</v>
      </c>
      <c r="F1979">
        <v>2015</v>
      </c>
      <c r="G1979" t="s">
        <v>170</v>
      </c>
      <c r="H1979" s="1">
        <v>42155</v>
      </c>
      <c r="I1979" s="1">
        <v>42227</v>
      </c>
      <c r="J1979" s="1">
        <v>42214</v>
      </c>
      <c r="K1979" s="1">
        <v>42274</v>
      </c>
      <c r="L1979" s="7">
        <v>3220</v>
      </c>
      <c r="M1979" s="5">
        <v>25</v>
      </c>
      <c r="N1979" s="7">
        <v>80500</v>
      </c>
      <c r="O1979" s="2">
        <v>3220</v>
      </c>
      <c r="P1979">
        <v>25</v>
      </c>
      <c r="Q1979" s="2">
        <v>80500</v>
      </c>
      <c r="R1979">
        <v>0</v>
      </c>
      <c r="V1979">
        <v>0</v>
      </c>
      <c r="W1979">
        <v>0</v>
      </c>
      <c r="X1979">
        <v>0</v>
      </c>
      <c r="Y1979" s="2">
        <v>3928.4</v>
      </c>
      <c r="Z1979" s="2">
        <v>3928.4</v>
      </c>
      <c r="AA1979" s="2">
        <v>3928.4</v>
      </c>
      <c r="AB1979" s="1">
        <v>42382</v>
      </c>
      <c r="AC1979" t="s">
        <v>53</v>
      </c>
      <c r="AD1979" t="s">
        <v>53</v>
      </c>
      <c r="AK1979">
        <v>0</v>
      </c>
      <c r="AU1979" s="6">
        <v>42299</v>
      </c>
      <c r="AV1979" s="6">
        <v>42299</v>
      </c>
      <c r="AW1979" t="s">
        <v>54</v>
      </c>
      <c r="AX1979" t="str">
        <f t="shared" si="153"/>
        <v>FOR</v>
      </c>
      <c r="AY1979" t="s">
        <v>55</v>
      </c>
    </row>
    <row r="1980" spans="1:51">
      <c r="A1980">
        <v>100449</v>
      </c>
      <c r="B1980" t="s">
        <v>156</v>
      </c>
      <c r="C1980" t="str">
        <f t="shared" si="156"/>
        <v>00153730627</v>
      </c>
      <c r="D1980" t="str">
        <f t="shared" si="156"/>
        <v>00153730627</v>
      </c>
      <c r="E1980" t="s">
        <v>52</v>
      </c>
      <c r="F1980">
        <v>2015</v>
      </c>
      <c r="G1980" t="s">
        <v>171</v>
      </c>
      <c r="H1980" s="1">
        <v>42155</v>
      </c>
      <c r="I1980" s="1">
        <v>42227</v>
      </c>
      <c r="J1980" s="1">
        <v>42214</v>
      </c>
      <c r="K1980" s="1">
        <v>42274</v>
      </c>
      <c r="L1980" s="7">
        <v>1200</v>
      </c>
      <c r="M1980" s="5">
        <v>25</v>
      </c>
      <c r="N1980" s="7">
        <v>30000</v>
      </c>
      <c r="O1980" s="2">
        <v>1200</v>
      </c>
      <c r="P1980">
        <v>25</v>
      </c>
      <c r="Q1980" s="2">
        <v>30000</v>
      </c>
      <c r="R1980">
        <v>0</v>
      </c>
      <c r="V1980">
        <v>0</v>
      </c>
      <c r="W1980">
        <v>0</v>
      </c>
      <c r="X1980">
        <v>0</v>
      </c>
      <c r="Y1980" s="2">
        <v>1464</v>
      </c>
      <c r="Z1980" s="2">
        <v>1464</v>
      </c>
      <c r="AA1980" s="2">
        <v>1464</v>
      </c>
      <c r="AB1980" s="1">
        <v>42382</v>
      </c>
      <c r="AC1980" t="s">
        <v>53</v>
      </c>
      <c r="AD1980" t="s">
        <v>53</v>
      </c>
      <c r="AK1980">
        <v>0</v>
      </c>
      <c r="AU1980" s="6">
        <v>42299</v>
      </c>
      <c r="AV1980" s="6">
        <v>42299</v>
      </c>
      <c r="AW1980" t="s">
        <v>54</v>
      </c>
      <c r="AX1980" t="str">
        <f t="shared" si="153"/>
        <v>FOR</v>
      </c>
      <c r="AY1980" t="s">
        <v>55</v>
      </c>
    </row>
    <row r="1981" spans="1:51">
      <c r="A1981">
        <v>100449</v>
      </c>
      <c r="B1981" t="s">
        <v>156</v>
      </c>
      <c r="C1981" t="str">
        <f t="shared" si="156"/>
        <v>00153730627</v>
      </c>
      <c r="D1981" t="str">
        <f t="shared" si="156"/>
        <v>00153730627</v>
      </c>
      <c r="E1981" t="s">
        <v>52</v>
      </c>
      <c r="F1981">
        <v>2015</v>
      </c>
      <c r="G1981" t="s">
        <v>172</v>
      </c>
      <c r="H1981" s="1">
        <v>42155</v>
      </c>
      <c r="I1981" s="1">
        <v>42171</v>
      </c>
      <c r="J1981" s="1">
        <v>42158</v>
      </c>
      <c r="K1981" s="1">
        <v>42218</v>
      </c>
      <c r="L1981" s="7">
        <v>2100</v>
      </c>
      <c r="M1981" s="5">
        <v>81</v>
      </c>
      <c r="N1981" s="7">
        <v>170100</v>
      </c>
      <c r="O1981" s="2">
        <v>2100</v>
      </c>
      <c r="P1981">
        <v>81</v>
      </c>
      <c r="Q1981" s="2">
        <v>170100</v>
      </c>
      <c r="R1981">
        <v>0</v>
      </c>
      <c r="V1981">
        <v>0</v>
      </c>
      <c r="W1981">
        <v>0</v>
      </c>
      <c r="X1981">
        <v>0</v>
      </c>
      <c r="Y1981" s="2">
        <v>2562</v>
      </c>
      <c r="Z1981" s="2">
        <v>2562</v>
      </c>
      <c r="AA1981" s="2">
        <v>2562</v>
      </c>
      <c r="AB1981" s="1">
        <v>42382</v>
      </c>
      <c r="AC1981" t="s">
        <v>53</v>
      </c>
      <c r="AD1981" t="s">
        <v>53</v>
      </c>
      <c r="AK1981">
        <v>0</v>
      </c>
      <c r="AU1981" s="6">
        <v>42299</v>
      </c>
      <c r="AV1981" s="6">
        <v>42299</v>
      </c>
      <c r="AW1981" t="s">
        <v>54</v>
      </c>
      <c r="AX1981" t="str">
        <f t="shared" si="153"/>
        <v>FOR</v>
      </c>
      <c r="AY1981" t="s">
        <v>55</v>
      </c>
    </row>
    <row r="1982" spans="1:51">
      <c r="A1982">
        <v>100449</v>
      </c>
      <c r="B1982" t="s">
        <v>156</v>
      </c>
      <c r="C1982" t="str">
        <f t="shared" si="156"/>
        <v>00153730627</v>
      </c>
      <c r="D1982" t="str">
        <f t="shared" si="156"/>
        <v>00153730627</v>
      </c>
      <c r="E1982" t="s">
        <v>52</v>
      </c>
      <c r="F1982">
        <v>2015</v>
      </c>
      <c r="G1982" t="s">
        <v>173</v>
      </c>
      <c r="H1982" s="1">
        <v>42155</v>
      </c>
      <c r="I1982" s="1">
        <v>42227</v>
      </c>
      <c r="J1982" s="1">
        <v>42214</v>
      </c>
      <c r="K1982" s="1">
        <v>42274</v>
      </c>
      <c r="L1982" s="7">
        <v>1365</v>
      </c>
      <c r="M1982" s="5">
        <v>25</v>
      </c>
      <c r="N1982" s="7">
        <v>34125</v>
      </c>
      <c r="O1982" s="2">
        <v>1365</v>
      </c>
      <c r="P1982">
        <v>25</v>
      </c>
      <c r="Q1982" s="2">
        <v>34125</v>
      </c>
      <c r="R1982">
        <v>0</v>
      </c>
      <c r="V1982">
        <v>0</v>
      </c>
      <c r="W1982">
        <v>0</v>
      </c>
      <c r="X1982">
        <v>0</v>
      </c>
      <c r="Y1982" s="2">
        <v>1665.3</v>
      </c>
      <c r="Z1982" s="2">
        <v>1665.3</v>
      </c>
      <c r="AA1982" s="2">
        <v>1665.3</v>
      </c>
      <c r="AB1982" s="1">
        <v>42382</v>
      </c>
      <c r="AC1982" t="s">
        <v>53</v>
      </c>
      <c r="AD1982" t="s">
        <v>53</v>
      </c>
      <c r="AK1982">
        <v>0</v>
      </c>
      <c r="AU1982" s="6">
        <v>42299</v>
      </c>
      <c r="AV1982" s="6">
        <v>42299</v>
      </c>
      <c r="AW1982" t="s">
        <v>54</v>
      </c>
      <c r="AX1982" t="str">
        <f t="shared" si="153"/>
        <v>FOR</v>
      </c>
      <c r="AY1982" t="s">
        <v>55</v>
      </c>
    </row>
    <row r="1983" spans="1:51">
      <c r="A1983">
        <v>100449</v>
      </c>
      <c r="B1983" t="s">
        <v>156</v>
      </c>
      <c r="C1983" t="str">
        <f t="shared" si="156"/>
        <v>00153730627</v>
      </c>
      <c r="D1983" t="str">
        <f t="shared" si="156"/>
        <v>00153730627</v>
      </c>
      <c r="E1983" t="s">
        <v>52</v>
      </c>
      <c r="F1983">
        <v>2015</v>
      </c>
      <c r="G1983" t="s">
        <v>174</v>
      </c>
      <c r="H1983" s="1">
        <v>42155</v>
      </c>
      <c r="I1983" s="1">
        <v>42227</v>
      </c>
      <c r="J1983" s="1">
        <v>42214</v>
      </c>
      <c r="K1983" s="1">
        <v>42274</v>
      </c>
      <c r="L1983" s="7">
        <v>8325</v>
      </c>
      <c r="M1983" s="5">
        <v>25</v>
      </c>
      <c r="N1983" s="7">
        <v>208125</v>
      </c>
      <c r="O1983" s="2">
        <v>8325</v>
      </c>
      <c r="P1983">
        <v>25</v>
      </c>
      <c r="Q1983" s="2">
        <v>208125</v>
      </c>
      <c r="R1983">
        <v>0</v>
      </c>
      <c r="V1983">
        <v>0</v>
      </c>
      <c r="W1983">
        <v>0</v>
      </c>
      <c r="X1983">
        <v>0</v>
      </c>
      <c r="Y1983" s="2">
        <v>10156.5</v>
      </c>
      <c r="Z1983" s="2">
        <v>10156.5</v>
      </c>
      <c r="AA1983" s="2">
        <v>10156.5</v>
      </c>
      <c r="AB1983" s="1">
        <v>42382</v>
      </c>
      <c r="AC1983" t="s">
        <v>53</v>
      </c>
      <c r="AD1983" t="s">
        <v>53</v>
      </c>
      <c r="AK1983">
        <v>0</v>
      </c>
      <c r="AU1983" s="6">
        <v>42299</v>
      </c>
      <c r="AV1983" s="6">
        <v>42299</v>
      </c>
      <c r="AW1983" t="s">
        <v>54</v>
      </c>
      <c r="AX1983" t="str">
        <f t="shared" si="153"/>
        <v>FOR</v>
      </c>
      <c r="AY1983" t="s">
        <v>55</v>
      </c>
    </row>
    <row r="1984" spans="1:51" hidden="1">
      <c r="A1984">
        <v>100449</v>
      </c>
      <c r="B1984" t="s">
        <v>156</v>
      </c>
      <c r="C1984" t="str">
        <f t="shared" si="156"/>
        <v>00153730627</v>
      </c>
      <c r="D1984" t="str">
        <f t="shared" si="156"/>
        <v>00153730627</v>
      </c>
      <c r="E1984" t="s">
        <v>52</v>
      </c>
      <c r="F1984">
        <v>2015</v>
      </c>
      <c r="G1984" t="s">
        <v>175</v>
      </c>
      <c r="H1984" s="1">
        <v>42155</v>
      </c>
      <c r="I1984" s="1">
        <v>42164</v>
      </c>
      <c r="J1984" s="1">
        <v>42156</v>
      </c>
      <c r="K1984" s="1">
        <v>42216</v>
      </c>
      <c r="N1984" s="5"/>
      <c r="O1984">
        <v>100</v>
      </c>
      <c r="P1984">
        <v>60</v>
      </c>
      <c r="Q1984" s="2">
        <v>6000</v>
      </c>
      <c r="R1984">
        <v>0</v>
      </c>
      <c r="V1984">
        <v>0</v>
      </c>
      <c r="W1984">
        <v>0</v>
      </c>
      <c r="X1984">
        <v>0</v>
      </c>
      <c r="Y1984">
        <v>122</v>
      </c>
      <c r="Z1984">
        <v>122</v>
      </c>
      <c r="AA1984">
        <v>122</v>
      </c>
      <c r="AB1984" s="1">
        <v>42382</v>
      </c>
      <c r="AC1984" t="s">
        <v>53</v>
      </c>
      <c r="AD1984" t="s">
        <v>53</v>
      </c>
      <c r="AK1984">
        <v>0</v>
      </c>
      <c r="AU1984" s="6">
        <v>42276</v>
      </c>
      <c r="AV1984" s="6">
        <v>42276</v>
      </c>
      <c r="AW1984" t="s">
        <v>54</v>
      </c>
      <c r="AX1984" t="str">
        <f t="shared" si="153"/>
        <v>FOR</v>
      </c>
      <c r="AY1984" t="s">
        <v>55</v>
      </c>
    </row>
    <row r="1985" spans="1:51">
      <c r="A1985">
        <v>100449</v>
      </c>
      <c r="B1985" t="s">
        <v>156</v>
      </c>
      <c r="C1985" t="str">
        <f t="shared" si="156"/>
        <v>00153730627</v>
      </c>
      <c r="D1985" t="str">
        <f t="shared" si="156"/>
        <v>00153730627</v>
      </c>
      <c r="E1985" t="s">
        <v>52</v>
      </c>
      <c r="F1985">
        <v>2015</v>
      </c>
      <c r="G1985" t="s">
        <v>176</v>
      </c>
      <c r="H1985" s="1">
        <v>42185</v>
      </c>
      <c r="I1985" s="1">
        <v>42186</v>
      </c>
      <c r="J1985" s="1">
        <v>42185</v>
      </c>
      <c r="K1985" s="1">
        <v>42245</v>
      </c>
      <c r="L1985" s="7">
        <v>59151.58</v>
      </c>
      <c r="M1985" s="5">
        <v>54</v>
      </c>
      <c r="N1985" s="7">
        <v>3194185.32</v>
      </c>
      <c r="O1985" s="2">
        <v>59151.58</v>
      </c>
      <c r="P1985">
        <v>54</v>
      </c>
      <c r="Q1985" s="2">
        <v>3194185.32</v>
      </c>
      <c r="R1985">
        <v>0</v>
      </c>
      <c r="V1985">
        <v>0</v>
      </c>
      <c r="W1985">
        <v>0</v>
      </c>
      <c r="X1985">
        <v>0</v>
      </c>
      <c r="Y1985" s="2">
        <v>59151.58</v>
      </c>
      <c r="Z1985" s="2">
        <v>59151.58</v>
      </c>
      <c r="AA1985" s="2">
        <v>59151.58</v>
      </c>
      <c r="AB1985" s="1">
        <v>42382</v>
      </c>
      <c r="AC1985" t="s">
        <v>53</v>
      </c>
      <c r="AD1985" t="s">
        <v>53</v>
      </c>
      <c r="AK1985">
        <v>0</v>
      </c>
      <c r="AU1985" s="6">
        <v>42299</v>
      </c>
      <c r="AV1985" s="6">
        <v>42299</v>
      </c>
      <c r="AW1985" t="s">
        <v>54</v>
      </c>
      <c r="AX1985" t="str">
        <f t="shared" si="153"/>
        <v>FOR</v>
      </c>
      <c r="AY1985" t="s">
        <v>55</v>
      </c>
    </row>
    <row r="1986" spans="1:51">
      <c r="A1986">
        <v>100449</v>
      </c>
      <c r="B1986" t="s">
        <v>156</v>
      </c>
      <c r="C1986" t="str">
        <f t="shared" si="156"/>
        <v>00153730627</v>
      </c>
      <c r="D1986" t="str">
        <f t="shared" si="156"/>
        <v>00153730627</v>
      </c>
      <c r="E1986" t="s">
        <v>52</v>
      </c>
      <c r="F1986">
        <v>2015</v>
      </c>
      <c r="G1986" t="s">
        <v>177</v>
      </c>
      <c r="H1986" s="1">
        <v>42185</v>
      </c>
      <c r="I1986" s="1">
        <v>42186</v>
      </c>
      <c r="J1986" s="1">
        <v>42185</v>
      </c>
      <c r="K1986" s="1">
        <v>42245</v>
      </c>
      <c r="L1986" s="7">
        <v>14230</v>
      </c>
      <c r="M1986" s="5">
        <v>54</v>
      </c>
      <c r="N1986" s="7">
        <v>768420</v>
      </c>
      <c r="O1986" s="2">
        <v>14230</v>
      </c>
      <c r="P1986">
        <v>54</v>
      </c>
      <c r="Q1986" s="2">
        <v>768420</v>
      </c>
      <c r="R1986">
        <v>0</v>
      </c>
      <c r="V1986">
        <v>0</v>
      </c>
      <c r="W1986">
        <v>0</v>
      </c>
      <c r="X1986">
        <v>0</v>
      </c>
      <c r="Y1986" s="2">
        <v>17360.599999999999</v>
      </c>
      <c r="Z1986" s="2">
        <v>17360.599999999999</v>
      </c>
      <c r="AA1986" s="2">
        <v>17360.599999999999</v>
      </c>
      <c r="AB1986" s="1">
        <v>42382</v>
      </c>
      <c r="AC1986" t="s">
        <v>53</v>
      </c>
      <c r="AD1986" t="s">
        <v>53</v>
      </c>
      <c r="AK1986">
        <v>0</v>
      </c>
      <c r="AU1986" s="6">
        <v>42299</v>
      </c>
      <c r="AV1986" s="6">
        <v>42299</v>
      </c>
      <c r="AW1986" t="s">
        <v>54</v>
      </c>
      <c r="AX1986" t="str">
        <f t="shared" si="153"/>
        <v>FOR</v>
      </c>
      <c r="AY1986" t="s">
        <v>55</v>
      </c>
    </row>
    <row r="1987" spans="1:51">
      <c r="A1987">
        <v>100449</v>
      </c>
      <c r="B1987" t="s">
        <v>156</v>
      </c>
      <c r="C1987" t="str">
        <f t="shared" si="156"/>
        <v>00153730627</v>
      </c>
      <c r="D1987" t="str">
        <f t="shared" si="156"/>
        <v>00153730627</v>
      </c>
      <c r="E1987" t="s">
        <v>52</v>
      </c>
      <c r="F1987">
        <v>2015</v>
      </c>
      <c r="G1987" t="s">
        <v>178</v>
      </c>
      <c r="H1987" s="1">
        <v>42185</v>
      </c>
      <c r="I1987" s="1">
        <v>42186</v>
      </c>
      <c r="J1987" s="1">
        <v>42185</v>
      </c>
      <c r="K1987" s="1">
        <v>42245</v>
      </c>
      <c r="L1987" s="7">
        <v>4200</v>
      </c>
      <c r="M1987" s="5">
        <v>54</v>
      </c>
      <c r="N1987" s="7">
        <v>226800</v>
      </c>
      <c r="O1987" s="2">
        <v>4200</v>
      </c>
      <c r="P1987">
        <v>54</v>
      </c>
      <c r="Q1987" s="2">
        <v>226800</v>
      </c>
      <c r="R1987">
        <v>0</v>
      </c>
      <c r="V1987">
        <v>0</v>
      </c>
      <c r="W1987">
        <v>0</v>
      </c>
      <c r="X1987">
        <v>0</v>
      </c>
      <c r="Y1987" s="2">
        <v>5124</v>
      </c>
      <c r="Z1987" s="2">
        <v>5124</v>
      </c>
      <c r="AA1987" s="2">
        <v>5124</v>
      </c>
      <c r="AB1987" s="1">
        <v>42382</v>
      </c>
      <c r="AC1987" t="s">
        <v>53</v>
      </c>
      <c r="AD1987" t="s">
        <v>53</v>
      </c>
      <c r="AK1987">
        <v>0</v>
      </c>
      <c r="AU1987" s="6">
        <v>42299</v>
      </c>
      <c r="AV1987" s="6">
        <v>42299</v>
      </c>
      <c r="AW1987" t="s">
        <v>54</v>
      </c>
      <c r="AX1987" t="str">
        <f t="shared" ref="AX1987:AX2050" si="157">"FOR"</f>
        <v>FOR</v>
      </c>
      <c r="AY1987" t="s">
        <v>55</v>
      </c>
    </row>
    <row r="1988" spans="1:51">
      <c r="A1988">
        <v>100449</v>
      </c>
      <c r="B1988" t="s">
        <v>156</v>
      </c>
      <c r="C1988" t="str">
        <f t="shared" si="156"/>
        <v>00153730627</v>
      </c>
      <c r="D1988" t="str">
        <f t="shared" si="156"/>
        <v>00153730627</v>
      </c>
      <c r="E1988" t="s">
        <v>52</v>
      </c>
      <c r="F1988">
        <v>2015</v>
      </c>
      <c r="G1988" t="s">
        <v>179</v>
      </c>
      <c r="H1988" s="1">
        <v>42216</v>
      </c>
      <c r="I1988" s="1">
        <v>42229</v>
      </c>
      <c r="J1988" s="1">
        <v>42216</v>
      </c>
      <c r="K1988" s="1">
        <v>42276</v>
      </c>
      <c r="L1988" s="7">
        <v>59151.58</v>
      </c>
      <c r="M1988" s="5">
        <v>63</v>
      </c>
      <c r="N1988" s="7">
        <v>3726549.54</v>
      </c>
      <c r="O1988" s="2">
        <v>59151.58</v>
      </c>
      <c r="P1988">
        <v>63</v>
      </c>
      <c r="Q1988" s="2">
        <v>3726549.54</v>
      </c>
      <c r="R1988">
        <v>0</v>
      </c>
      <c r="V1988">
        <v>0</v>
      </c>
      <c r="W1988">
        <v>0</v>
      </c>
      <c r="X1988">
        <v>0</v>
      </c>
      <c r="Y1988" s="2">
        <v>59151.58</v>
      </c>
      <c r="Z1988" s="2">
        <v>59151.58</v>
      </c>
      <c r="AA1988" s="2">
        <v>59151.58</v>
      </c>
      <c r="AB1988" s="1">
        <v>42382</v>
      </c>
      <c r="AC1988" t="s">
        <v>53</v>
      </c>
      <c r="AD1988" t="s">
        <v>53</v>
      </c>
      <c r="AK1988">
        <v>0</v>
      </c>
      <c r="AU1988" s="6">
        <v>42339</v>
      </c>
      <c r="AV1988" s="6">
        <v>42339</v>
      </c>
      <c r="AW1988" t="s">
        <v>54</v>
      </c>
      <c r="AX1988" t="str">
        <f t="shared" si="157"/>
        <v>FOR</v>
      </c>
      <c r="AY1988" t="s">
        <v>55</v>
      </c>
    </row>
    <row r="1989" spans="1:51">
      <c r="A1989">
        <v>100449</v>
      </c>
      <c r="B1989" t="s">
        <v>156</v>
      </c>
      <c r="C1989" t="str">
        <f t="shared" si="156"/>
        <v>00153730627</v>
      </c>
      <c r="D1989" t="str">
        <f t="shared" si="156"/>
        <v>00153730627</v>
      </c>
      <c r="E1989" t="s">
        <v>52</v>
      </c>
      <c r="F1989">
        <v>2015</v>
      </c>
      <c r="G1989" t="s">
        <v>180</v>
      </c>
      <c r="H1989" s="1">
        <v>42216</v>
      </c>
      <c r="I1989" s="1">
        <v>42227</v>
      </c>
      <c r="J1989" s="1">
        <v>42216</v>
      </c>
      <c r="K1989" s="1">
        <v>42276</v>
      </c>
      <c r="L1989" s="7">
        <v>14230</v>
      </c>
      <c r="M1989" s="5">
        <v>63</v>
      </c>
      <c r="N1989" s="7">
        <v>896490</v>
      </c>
      <c r="O1989" s="2">
        <v>14230</v>
      </c>
      <c r="P1989">
        <v>63</v>
      </c>
      <c r="Q1989" s="2">
        <v>896490</v>
      </c>
      <c r="R1989" s="2">
        <v>3130.6</v>
      </c>
      <c r="V1989">
        <v>0</v>
      </c>
      <c r="W1989">
        <v>0</v>
      </c>
      <c r="X1989">
        <v>0</v>
      </c>
      <c r="Y1989" s="2">
        <v>17360.599999999999</v>
      </c>
      <c r="Z1989" s="2">
        <v>17360.599999999999</v>
      </c>
      <c r="AA1989" s="2">
        <v>17360.599999999999</v>
      </c>
      <c r="AB1989" s="1">
        <v>42382</v>
      </c>
      <c r="AC1989" t="s">
        <v>53</v>
      </c>
      <c r="AD1989" t="s">
        <v>53</v>
      </c>
      <c r="AH1989" s="2">
        <v>3130.6</v>
      </c>
      <c r="AK1989">
        <v>0</v>
      </c>
      <c r="AU1989" s="6">
        <v>42339</v>
      </c>
      <c r="AV1989" s="6">
        <v>42339</v>
      </c>
      <c r="AW1989" t="s">
        <v>54</v>
      </c>
      <c r="AX1989" t="str">
        <f t="shared" si="157"/>
        <v>FOR</v>
      </c>
      <c r="AY1989" t="s">
        <v>55</v>
      </c>
    </row>
    <row r="1990" spans="1:51">
      <c r="A1990">
        <v>100449</v>
      </c>
      <c r="B1990" t="s">
        <v>156</v>
      </c>
      <c r="C1990" t="str">
        <f t="shared" ref="C1990:D1997" si="158">"00153730627"</f>
        <v>00153730627</v>
      </c>
      <c r="D1990" t="str">
        <f t="shared" si="158"/>
        <v>00153730627</v>
      </c>
      <c r="E1990" t="s">
        <v>52</v>
      </c>
      <c r="F1990">
        <v>2015</v>
      </c>
      <c r="G1990" t="s">
        <v>181</v>
      </c>
      <c r="H1990" s="1">
        <v>42216</v>
      </c>
      <c r="I1990" s="1">
        <v>42227</v>
      </c>
      <c r="J1990" s="1">
        <v>42216</v>
      </c>
      <c r="K1990" s="1">
        <v>42276</v>
      </c>
      <c r="L1990" s="7">
        <v>2100</v>
      </c>
      <c r="M1990" s="5">
        <v>63</v>
      </c>
      <c r="N1990" s="7">
        <v>132300</v>
      </c>
      <c r="O1990" s="2">
        <v>2100</v>
      </c>
      <c r="P1990">
        <v>63</v>
      </c>
      <c r="Q1990" s="2">
        <v>132300</v>
      </c>
      <c r="R1990">
        <v>462</v>
      </c>
      <c r="V1990">
        <v>0</v>
      </c>
      <c r="W1990">
        <v>0</v>
      </c>
      <c r="X1990">
        <v>0</v>
      </c>
      <c r="Y1990" s="2">
        <v>2562</v>
      </c>
      <c r="Z1990" s="2">
        <v>2562</v>
      </c>
      <c r="AA1990" s="2">
        <v>2562</v>
      </c>
      <c r="AB1990" s="1">
        <v>42382</v>
      </c>
      <c r="AC1990" t="s">
        <v>53</v>
      </c>
      <c r="AD1990" t="s">
        <v>53</v>
      </c>
      <c r="AH1990">
        <v>462</v>
      </c>
      <c r="AK1990">
        <v>0</v>
      </c>
      <c r="AU1990" s="6">
        <v>42339</v>
      </c>
      <c r="AV1990" s="6">
        <v>42339</v>
      </c>
      <c r="AW1990" t="s">
        <v>54</v>
      </c>
      <c r="AX1990" t="str">
        <f t="shared" si="157"/>
        <v>FOR</v>
      </c>
      <c r="AY1990" t="s">
        <v>55</v>
      </c>
    </row>
    <row r="1991" spans="1:51">
      <c r="A1991">
        <v>100449</v>
      </c>
      <c r="B1991" t="s">
        <v>156</v>
      </c>
      <c r="C1991" t="str">
        <f t="shared" si="158"/>
        <v>00153730627</v>
      </c>
      <c r="D1991" t="str">
        <f t="shared" si="158"/>
        <v>00153730627</v>
      </c>
      <c r="E1991" t="s">
        <v>52</v>
      </c>
      <c r="F1991">
        <v>2015</v>
      </c>
      <c r="G1991" t="s">
        <v>182</v>
      </c>
      <c r="H1991" s="1">
        <v>42216</v>
      </c>
      <c r="I1991" s="1">
        <v>42227</v>
      </c>
      <c r="J1991" s="1">
        <v>42216</v>
      </c>
      <c r="K1991" s="1">
        <v>42276</v>
      </c>
      <c r="L1991" s="7">
        <v>3440</v>
      </c>
      <c r="M1991" s="5">
        <v>63</v>
      </c>
      <c r="N1991" s="7">
        <v>216720</v>
      </c>
      <c r="O1991" s="2">
        <v>3440</v>
      </c>
      <c r="P1991">
        <v>63</v>
      </c>
      <c r="Q1991" s="2">
        <v>216720</v>
      </c>
      <c r="R1991">
        <v>756.8</v>
      </c>
      <c r="V1991">
        <v>0</v>
      </c>
      <c r="W1991">
        <v>0</v>
      </c>
      <c r="X1991">
        <v>0</v>
      </c>
      <c r="Y1991" s="2">
        <v>4196.8</v>
      </c>
      <c r="Z1991" s="2">
        <v>4196.8</v>
      </c>
      <c r="AA1991" s="2">
        <v>4196.8</v>
      </c>
      <c r="AB1991" s="1">
        <v>42382</v>
      </c>
      <c r="AC1991" t="s">
        <v>53</v>
      </c>
      <c r="AD1991" t="s">
        <v>53</v>
      </c>
      <c r="AH1991">
        <v>756.8</v>
      </c>
      <c r="AK1991">
        <v>0</v>
      </c>
      <c r="AU1991" s="6">
        <v>42339</v>
      </c>
      <c r="AV1991" s="6">
        <v>42339</v>
      </c>
      <c r="AW1991" t="s">
        <v>54</v>
      </c>
      <c r="AX1991" t="str">
        <f t="shared" si="157"/>
        <v>FOR</v>
      </c>
      <c r="AY1991" t="s">
        <v>55</v>
      </c>
    </row>
    <row r="1992" spans="1:51">
      <c r="A1992">
        <v>100449</v>
      </c>
      <c r="B1992" t="s">
        <v>156</v>
      </c>
      <c r="C1992" t="str">
        <f t="shared" si="158"/>
        <v>00153730627</v>
      </c>
      <c r="D1992" t="str">
        <f t="shared" si="158"/>
        <v>00153730627</v>
      </c>
      <c r="E1992" t="s">
        <v>52</v>
      </c>
      <c r="F1992">
        <v>2015</v>
      </c>
      <c r="G1992" t="s">
        <v>183</v>
      </c>
      <c r="H1992" s="1">
        <v>42216</v>
      </c>
      <c r="I1992" s="1">
        <v>42227</v>
      </c>
      <c r="J1992" s="1">
        <v>42216</v>
      </c>
      <c r="K1992" s="1">
        <v>42276</v>
      </c>
      <c r="L1992" s="7">
        <v>300</v>
      </c>
      <c r="M1992" s="5">
        <v>63</v>
      </c>
      <c r="N1992" s="7">
        <v>18900</v>
      </c>
      <c r="O1992">
        <v>300</v>
      </c>
      <c r="P1992">
        <v>63</v>
      </c>
      <c r="Q1992" s="2">
        <v>18900</v>
      </c>
      <c r="R1992">
        <v>66</v>
      </c>
      <c r="V1992">
        <v>0</v>
      </c>
      <c r="W1992">
        <v>0</v>
      </c>
      <c r="X1992">
        <v>0</v>
      </c>
      <c r="Y1992">
        <v>366</v>
      </c>
      <c r="Z1992">
        <v>366</v>
      </c>
      <c r="AA1992">
        <v>366</v>
      </c>
      <c r="AB1992" s="1">
        <v>42382</v>
      </c>
      <c r="AC1992" t="s">
        <v>53</v>
      </c>
      <c r="AD1992" t="s">
        <v>53</v>
      </c>
      <c r="AH1992">
        <v>66</v>
      </c>
      <c r="AK1992">
        <v>0</v>
      </c>
      <c r="AU1992" s="6">
        <v>42339</v>
      </c>
      <c r="AV1992" s="6">
        <v>42339</v>
      </c>
      <c r="AW1992" t="s">
        <v>54</v>
      </c>
      <c r="AX1992" t="str">
        <f t="shared" si="157"/>
        <v>FOR</v>
      </c>
      <c r="AY1992" t="s">
        <v>55</v>
      </c>
    </row>
    <row r="1993" spans="1:51">
      <c r="A1993">
        <v>100449</v>
      </c>
      <c r="B1993" t="s">
        <v>156</v>
      </c>
      <c r="C1993" t="str">
        <f t="shared" si="158"/>
        <v>00153730627</v>
      </c>
      <c r="D1993" t="str">
        <f t="shared" si="158"/>
        <v>00153730627</v>
      </c>
      <c r="E1993" t="s">
        <v>52</v>
      </c>
      <c r="F1993">
        <v>2015</v>
      </c>
      <c r="G1993" t="s">
        <v>184</v>
      </c>
      <c r="H1993" s="1">
        <v>42247</v>
      </c>
      <c r="I1993" s="1">
        <v>42248</v>
      </c>
      <c r="J1993" s="1">
        <v>42247</v>
      </c>
      <c r="K1993" s="1">
        <v>42307</v>
      </c>
      <c r="L1993" s="7">
        <v>59151.58</v>
      </c>
      <c r="M1993" s="5">
        <v>49</v>
      </c>
      <c r="N1993" s="7">
        <v>2898427.42</v>
      </c>
      <c r="O1993" s="2">
        <v>59151.58</v>
      </c>
      <c r="P1993">
        <v>49</v>
      </c>
      <c r="Q1993" s="2">
        <v>2898427.42</v>
      </c>
      <c r="R1993">
        <v>0</v>
      </c>
      <c r="V1993">
        <v>0</v>
      </c>
      <c r="W1993">
        <v>0</v>
      </c>
      <c r="X1993">
        <v>0</v>
      </c>
      <c r="Y1993" s="2">
        <v>59151.58</v>
      </c>
      <c r="Z1993" s="2">
        <v>59151.58</v>
      </c>
      <c r="AA1993" s="2">
        <v>59151.58</v>
      </c>
      <c r="AB1993" s="1">
        <v>42382</v>
      </c>
      <c r="AC1993" t="s">
        <v>53</v>
      </c>
      <c r="AD1993" t="s">
        <v>53</v>
      </c>
      <c r="AK1993">
        <v>0</v>
      </c>
      <c r="AU1993" s="6">
        <v>42356</v>
      </c>
      <c r="AV1993" s="6">
        <v>42356</v>
      </c>
      <c r="AW1993" t="s">
        <v>54</v>
      </c>
      <c r="AX1993" t="str">
        <f t="shared" si="157"/>
        <v>FOR</v>
      </c>
      <c r="AY1993" t="s">
        <v>55</v>
      </c>
    </row>
    <row r="1994" spans="1:51">
      <c r="A1994">
        <v>100449</v>
      </c>
      <c r="B1994" t="s">
        <v>156</v>
      </c>
      <c r="C1994" t="str">
        <f t="shared" si="158"/>
        <v>00153730627</v>
      </c>
      <c r="D1994" t="str">
        <f t="shared" si="158"/>
        <v>00153730627</v>
      </c>
      <c r="E1994" t="s">
        <v>52</v>
      </c>
      <c r="F1994">
        <v>2015</v>
      </c>
      <c r="G1994" t="s">
        <v>185</v>
      </c>
      <c r="H1994" s="1">
        <v>42247</v>
      </c>
      <c r="I1994" s="1">
        <v>42248</v>
      </c>
      <c r="J1994" s="1">
        <v>42247</v>
      </c>
      <c r="K1994" s="1">
        <v>42307</v>
      </c>
      <c r="L1994" s="7">
        <v>14230</v>
      </c>
      <c r="M1994" s="5">
        <v>49</v>
      </c>
      <c r="N1994" s="7">
        <v>697270</v>
      </c>
      <c r="O1994" s="2">
        <v>14230</v>
      </c>
      <c r="P1994">
        <v>49</v>
      </c>
      <c r="Q1994" s="2">
        <v>697270</v>
      </c>
      <c r="R1994" s="2">
        <v>3130.6</v>
      </c>
      <c r="V1994">
        <v>0</v>
      </c>
      <c r="W1994">
        <v>0</v>
      </c>
      <c r="X1994">
        <v>0</v>
      </c>
      <c r="Y1994" s="2">
        <v>17360.599999999999</v>
      </c>
      <c r="Z1994" s="2">
        <v>17360.599999999999</v>
      </c>
      <c r="AA1994" s="2">
        <v>17360.599999999999</v>
      </c>
      <c r="AB1994" s="1">
        <v>42382</v>
      </c>
      <c r="AC1994" t="s">
        <v>53</v>
      </c>
      <c r="AD1994" t="s">
        <v>53</v>
      </c>
      <c r="AG1994" s="2">
        <v>3130.6</v>
      </c>
      <c r="AK1994">
        <v>0</v>
      </c>
      <c r="AU1994" s="6">
        <v>42356</v>
      </c>
      <c r="AV1994" s="6">
        <v>42356</v>
      </c>
      <c r="AW1994" t="s">
        <v>54</v>
      </c>
      <c r="AX1994" t="str">
        <f t="shared" si="157"/>
        <v>FOR</v>
      </c>
      <c r="AY1994" t="s">
        <v>55</v>
      </c>
    </row>
    <row r="1995" spans="1:51">
      <c r="A1995">
        <v>100449</v>
      </c>
      <c r="B1995" t="s">
        <v>156</v>
      </c>
      <c r="C1995" t="str">
        <f t="shared" si="158"/>
        <v>00153730627</v>
      </c>
      <c r="D1995" t="str">
        <f t="shared" si="158"/>
        <v>00153730627</v>
      </c>
      <c r="E1995" t="s">
        <v>52</v>
      </c>
      <c r="F1995">
        <v>2015</v>
      </c>
      <c r="G1995" t="s">
        <v>186</v>
      </c>
      <c r="H1995" s="1">
        <v>42247</v>
      </c>
      <c r="I1995" s="1">
        <v>42249</v>
      </c>
      <c r="J1995" s="1">
        <v>42249</v>
      </c>
      <c r="K1995" s="1">
        <v>42309</v>
      </c>
      <c r="L1995" s="7">
        <v>350</v>
      </c>
      <c r="M1995" s="5">
        <v>47</v>
      </c>
      <c r="N1995" s="7">
        <v>16450</v>
      </c>
      <c r="O1995">
        <v>350</v>
      </c>
      <c r="P1995">
        <v>47</v>
      </c>
      <c r="Q1995" s="2">
        <v>16450</v>
      </c>
      <c r="R1995">
        <v>77</v>
      </c>
      <c r="V1995">
        <v>0</v>
      </c>
      <c r="W1995">
        <v>0</v>
      </c>
      <c r="X1995">
        <v>0</v>
      </c>
      <c r="Y1995">
        <v>427</v>
      </c>
      <c r="Z1995">
        <v>427</v>
      </c>
      <c r="AA1995">
        <v>427</v>
      </c>
      <c r="AB1995" s="1">
        <v>42382</v>
      </c>
      <c r="AC1995" t="s">
        <v>53</v>
      </c>
      <c r="AD1995" t="s">
        <v>53</v>
      </c>
      <c r="AF1995">
        <v>77</v>
      </c>
      <c r="AK1995">
        <v>0</v>
      </c>
      <c r="AU1995" s="6">
        <v>42356</v>
      </c>
      <c r="AV1995" s="6">
        <v>42356</v>
      </c>
      <c r="AW1995" t="s">
        <v>54</v>
      </c>
      <c r="AX1995" t="str">
        <f t="shared" si="157"/>
        <v>FOR</v>
      </c>
      <c r="AY1995" t="s">
        <v>55</v>
      </c>
    </row>
    <row r="1996" spans="1:51">
      <c r="A1996">
        <v>100449</v>
      </c>
      <c r="B1996" t="s">
        <v>156</v>
      </c>
      <c r="C1996" t="str">
        <f t="shared" si="158"/>
        <v>00153730627</v>
      </c>
      <c r="D1996" t="str">
        <f t="shared" si="158"/>
        <v>00153730627</v>
      </c>
      <c r="E1996" t="s">
        <v>52</v>
      </c>
      <c r="F1996">
        <v>2015</v>
      </c>
      <c r="G1996" t="s">
        <v>187</v>
      </c>
      <c r="H1996" s="1">
        <v>42247</v>
      </c>
      <c r="I1996" s="1">
        <v>42249</v>
      </c>
      <c r="J1996" s="1">
        <v>42249</v>
      </c>
      <c r="K1996" s="1">
        <v>42309</v>
      </c>
      <c r="L1996" s="7">
        <v>500</v>
      </c>
      <c r="M1996" s="5">
        <v>47</v>
      </c>
      <c r="N1996" s="7">
        <v>23500</v>
      </c>
      <c r="O1996">
        <v>500</v>
      </c>
      <c r="P1996">
        <v>47</v>
      </c>
      <c r="Q1996" s="2">
        <v>23500</v>
      </c>
      <c r="R1996">
        <v>110</v>
      </c>
      <c r="V1996">
        <v>0</v>
      </c>
      <c r="W1996">
        <v>0</v>
      </c>
      <c r="X1996">
        <v>0</v>
      </c>
      <c r="Y1996">
        <v>610</v>
      </c>
      <c r="Z1996">
        <v>610</v>
      </c>
      <c r="AA1996">
        <v>610</v>
      </c>
      <c r="AB1996" s="1">
        <v>42382</v>
      </c>
      <c r="AC1996" t="s">
        <v>53</v>
      </c>
      <c r="AD1996" t="s">
        <v>53</v>
      </c>
      <c r="AF1996">
        <v>110</v>
      </c>
      <c r="AK1996">
        <v>0</v>
      </c>
      <c r="AU1996" s="6">
        <v>42356</v>
      </c>
      <c r="AV1996" s="6">
        <v>42356</v>
      </c>
      <c r="AW1996" t="s">
        <v>54</v>
      </c>
      <c r="AX1996" t="str">
        <f t="shared" si="157"/>
        <v>FOR</v>
      </c>
      <c r="AY1996" t="s">
        <v>55</v>
      </c>
    </row>
    <row r="1997" spans="1:51">
      <c r="A1997">
        <v>100449</v>
      </c>
      <c r="B1997" t="s">
        <v>156</v>
      </c>
      <c r="C1997" t="str">
        <f t="shared" si="158"/>
        <v>00153730627</v>
      </c>
      <c r="D1997" t="str">
        <f t="shared" si="158"/>
        <v>00153730627</v>
      </c>
      <c r="E1997" t="s">
        <v>52</v>
      </c>
      <c r="F1997">
        <v>2015</v>
      </c>
      <c r="G1997" t="s">
        <v>188</v>
      </c>
      <c r="H1997" s="1">
        <v>42247</v>
      </c>
      <c r="I1997" s="1">
        <v>42248</v>
      </c>
      <c r="J1997" s="1">
        <v>42247</v>
      </c>
      <c r="K1997" s="1">
        <v>42307</v>
      </c>
      <c r="L1997" s="7">
        <v>1360</v>
      </c>
      <c r="M1997" s="5">
        <v>49</v>
      </c>
      <c r="N1997" s="7">
        <v>66640</v>
      </c>
      <c r="O1997" s="2">
        <v>1360</v>
      </c>
      <c r="P1997">
        <v>49</v>
      </c>
      <c r="Q1997" s="2">
        <v>66640</v>
      </c>
      <c r="R1997">
        <v>299.2</v>
      </c>
      <c r="V1997">
        <v>0</v>
      </c>
      <c r="W1997">
        <v>0</v>
      </c>
      <c r="X1997">
        <v>0</v>
      </c>
      <c r="Y1997" s="2">
        <v>1659.2</v>
      </c>
      <c r="Z1997" s="2">
        <v>1659.2</v>
      </c>
      <c r="AA1997" s="2">
        <v>1659.2</v>
      </c>
      <c r="AB1997" s="1">
        <v>42382</v>
      </c>
      <c r="AC1997" t="s">
        <v>53</v>
      </c>
      <c r="AD1997" t="s">
        <v>53</v>
      </c>
      <c r="AG1997">
        <v>299.2</v>
      </c>
      <c r="AK1997">
        <v>0</v>
      </c>
      <c r="AU1997" s="6">
        <v>42356</v>
      </c>
      <c r="AV1997" s="6">
        <v>42356</v>
      </c>
      <c r="AW1997" t="s">
        <v>54</v>
      </c>
      <c r="AX1997" t="str">
        <f t="shared" si="157"/>
        <v>FOR</v>
      </c>
      <c r="AY1997" t="s">
        <v>55</v>
      </c>
    </row>
    <row r="1998" spans="1:51" hidden="1">
      <c r="A1998">
        <v>100453</v>
      </c>
      <c r="B1998" t="s">
        <v>189</v>
      </c>
      <c r="C1998" t="str">
        <f t="shared" ref="C1998:D2002" si="159">"09933630155"</f>
        <v>09933630155</v>
      </c>
      <c r="D1998" t="str">
        <f t="shared" si="159"/>
        <v>09933630155</v>
      </c>
      <c r="E1998" t="s">
        <v>52</v>
      </c>
      <c r="F1998">
        <v>2014</v>
      </c>
      <c r="G1998">
        <v>128934</v>
      </c>
      <c r="H1998" s="1">
        <v>41942</v>
      </c>
      <c r="I1998" s="1">
        <v>41955</v>
      </c>
      <c r="J1998" s="1">
        <v>41955</v>
      </c>
      <c r="K1998" s="1">
        <v>42015</v>
      </c>
      <c r="N1998" s="5"/>
      <c r="O1998" s="2">
        <v>4518.9799999999996</v>
      </c>
      <c r="P1998">
        <v>87</v>
      </c>
      <c r="Q1998" s="2">
        <v>393151.26</v>
      </c>
      <c r="R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 s="1">
        <v>42382</v>
      </c>
      <c r="AC1998" t="s">
        <v>53</v>
      </c>
      <c r="AD1998" t="s">
        <v>53</v>
      </c>
      <c r="AK1998">
        <v>0</v>
      </c>
      <c r="AU1998" s="6">
        <v>42102</v>
      </c>
      <c r="AV1998" s="6">
        <v>42102</v>
      </c>
      <c r="AW1998" t="s">
        <v>54</v>
      </c>
      <c r="AX1998" t="str">
        <f t="shared" si="157"/>
        <v>FOR</v>
      </c>
      <c r="AY1998" t="s">
        <v>55</v>
      </c>
    </row>
    <row r="1999" spans="1:51" hidden="1">
      <c r="A1999">
        <v>100453</v>
      </c>
      <c r="B1999" t="s">
        <v>189</v>
      </c>
      <c r="C1999" t="str">
        <f t="shared" si="159"/>
        <v>09933630155</v>
      </c>
      <c r="D1999" t="str">
        <f t="shared" si="159"/>
        <v>09933630155</v>
      </c>
      <c r="E1999" t="s">
        <v>52</v>
      </c>
      <c r="F1999">
        <v>2014</v>
      </c>
      <c r="G1999">
        <v>129559</v>
      </c>
      <c r="H1999" s="1">
        <v>41963</v>
      </c>
      <c r="I1999" s="1">
        <v>41983</v>
      </c>
      <c r="J1999" s="1">
        <v>41983</v>
      </c>
      <c r="K1999" s="1">
        <v>42043</v>
      </c>
      <c r="N1999" s="5"/>
      <c r="O1999" s="2">
        <v>1414.61</v>
      </c>
      <c r="P1999">
        <v>59</v>
      </c>
      <c r="Q1999" s="2">
        <v>83461.990000000005</v>
      </c>
      <c r="R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 s="1">
        <v>42382</v>
      </c>
      <c r="AC1999" t="s">
        <v>53</v>
      </c>
      <c r="AD1999" t="s">
        <v>53</v>
      </c>
      <c r="AK1999">
        <v>0</v>
      </c>
      <c r="AU1999" s="6">
        <v>42102</v>
      </c>
      <c r="AV1999" s="6">
        <v>42102</v>
      </c>
      <c r="AW1999" t="s">
        <v>54</v>
      </c>
      <c r="AX1999" t="str">
        <f t="shared" si="157"/>
        <v>FOR</v>
      </c>
      <c r="AY1999" t="s">
        <v>55</v>
      </c>
    </row>
    <row r="2000" spans="1:51" hidden="1">
      <c r="A2000">
        <v>100453</v>
      </c>
      <c r="B2000" t="s">
        <v>189</v>
      </c>
      <c r="C2000" t="str">
        <f t="shared" si="159"/>
        <v>09933630155</v>
      </c>
      <c r="D2000" t="str">
        <f t="shared" si="159"/>
        <v>09933630155</v>
      </c>
      <c r="E2000" t="s">
        <v>52</v>
      </c>
      <c r="F2000">
        <v>2014</v>
      </c>
      <c r="G2000">
        <v>130120</v>
      </c>
      <c r="H2000" s="1">
        <v>41977</v>
      </c>
      <c r="I2000" s="1">
        <v>41988</v>
      </c>
      <c r="J2000" s="1">
        <v>41988</v>
      </c>
      <c r="K2000" s="1">
        <v>42048</v>
      </c>
      <c r="N2000" s="5"/>
      <c r="O2000" s="2">
        <v>1658.37</v>
      </c>
      <c r="P2000">
        <v>54</v>
      </c>
      <c r="Q2000" s="2">
        <v>89551.98</v>
      </c>
      <c r="R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 s="1">
        <v>42382</v>
      </c>
      <c r="AC2000" t="s">
        <v>53</v>
      </c>
      <c r="AD2000" t="s">
        <v>53</v>
      </c>
      <c r="AK2000">
        <v>0</v>
      </c>
      <c r="AU2000" s="6">
        <v>42102</v>
      </c>
      <c r="AV2000" s="6">
        <v>42102</v>
      </c>
      <c r="AW2000" t="s">
        <v>54</v>
      </c>
      <c r="AX2000" t="str">
        <f t="shared" si="157"/>
        <v>FOR</v>
      </c>
      <c r="AY2000" t="s">
        <v>55</v>
      </c>
    </row>
    <row r="2001" spans="1:51" hidden="1">
      <c r="A2001">
        <v>100453</v>
      </c>
      <c r="B2001" t="s">
        <v>189</v>
      </c>
      <c r="C2001" t="str">
        <f t="shared" si="159"/>
        <v>09933630155</v>
      </c>
      <c r="D2001" t="str">
        <f t="shared" si="159"/>
        <v>09933630155</v>
      </c>
      <c r="E2001" t="s">
        <v>52</v>
      </c>
      <c r="F2001">
        <v>2015</v>
      </c>
      <c r="G2001">
        <v>9700134404</v>
      </c>
      <c r="H2001" s="1">
        <v>42108</v>
      </c>
      <c r="I2001" s="1">
        <v>42163</v>
      </c>
      <c r="J2001" s="1">
        <v>42153</v>
      </c>
      <c r="K2001" s="1">
        <v>42213</v>
      </c>
      <c r="N2001" s="5"/>
      <c r="O2001" s="2">
        <v>2342</v>
      </c>
      <c r="P2001">
        <v>62</v>
      </c>
      <c r="Q2001" s="2">
        <v>145204</v>
      </c>
      <c r="R2001">
        <v>0</v>
      </c>
      <c r="V2001">
        <v>0</v>
      </c>
      <c r="W2001">
        <v>0</v>
      </c>
      <c r="X2001">
        <v>0</v>
      </c>
      <c r="Y2001" s="2">
        <v>2857.24</v>
      </c>
      <c r="Z2001" s="2">
        <v>2857.24</v>
      </c>
      <c r="AA2001" s="2">
        <v>2857.24</v>
      </c>
      <c r="AB2001" s="1">
        <v>42382</v>
      </c>
      <c r="AC2001" t="s">
        <v>53</v>
      </c>
      <c r="AD2001" t="s">
        <v>53</v>
      </c>
      <c r="AK2001">
        <v>0</v>
      </c>
      <c r="AU2001" s="6">
        <v>42275</v>
      </c>
      <c r="AV2001" s="6">
        <v>42275</v>
      </c>
      <c r="AW2001" t="s">
        <v>54</v>
      </c>
      <c r="AX2001" t="str">
        <f t="shared" si="157"/>
        <v>FOR</v>
      </c>
      <c r="AY2001" t="s">
        <v>55</v>
      </c>
    </row>
    <row r="2002" spans="1:51" hidden="1">
      <c r="A2002">
        <v>100453</v>
      </c>
      <c r="B2002" t="s">
        <v>189</v>
      </c>
      <c r="C2002" t="str">
        <f t="shared" si="159"/>
        <v>09933630155</v>
      </c>
      <c r="D2002" t="str">
        <f t="shared" si="159"/>
        <v>09933630155</v>
      </c>
      <c r="E2002" t="s">
        <v>52</v>
      </c>
      <c r="F2002">
        <v>2015</v>
      </c>
      <c r="G2002">
        <v>9700137144</v>
      </c>
      <c r="H2002" s="1">
        <v>42185</v>
      </c>
      <c r="I2002" s="1">
        <v>42187</v>
      </c>
      <c r="J2002" s="1">
        <v>42185</v>
      </c>
      <c r="K2002" s="1">
        <v>42245</v>
      </c>
      <c r="N2002" s="5"/>
      <c r="O2002" s="2">
        <v>2398</v>
      </c>
      <c r="P2002">
        <v>30</v>
      </c>
      <c r="Q2002" s="2">
        <v>71940</v>
      </c>
      <c r="R2002">
        <v>0</v>
      </c>
      <c r="V2002">
        <v>0</v>
      </c>
      <c r="W2002">
        <v>0</v>
      </c>
      <c r="X2002">
        <v>0</v>
      </c>
      <c r="Y2002" s="2">
        <v>2925.56</v>
      </c>
      <c r="Z2002" s="2">
        <v>2925.56</v>
      </c>
      <c r="AA2002" s="2">
        <v>2925.56</v>
      </c>
      <c r="AB2002" s="1">
        <v>42382</v>
      </c>
      <c r="AC2002" t="s">
        <v>53</v>
      </c>
      <c r="AD2002" t="s">
        <v>53</v>
      </c>
      <c r="AK2002">
        <v>0</v>
      </c>
      <c r="AU2002" s="6">
        <v>42275</v>
      </c>
      <c r="AV2002" s="6">
        <v>42275</v>
      </c>
      <c r="AW2002" t="s">
        <v>54</v>
      </c>
      <c r="AX2002" t="str">
        <f t="shared" si="157"/>
        <v>FOR</v>
      </c>
      <c r="AY2002" t="s">
        <v>55</v>
      </c>
    </row>
    <row r="2003" spans="1:51" hidden="1">
      <c r="A2003">
        <v>100460</v>
      </c>
      <c r="B2003" t="s">
        <v>190</v>
      </c>
      <c r="C2003" t="str">
        <f>"00887261006"</f>
        <v>00887261006</v>
      </c>
      <c r="D2003" t="str">
        <f>"00422760587"</f>
        <v>00422760587</v>
      </c>
      <c r="E2003" t="s">
        <v>52</v>
      </c>
      <c r="F2003">
        <v>2014</v>
      </c>
      <c r="G2003">
        <v>10034479</v>
      </c>
      <c r="H2003" s="1">
        <v>41774</v>
      </c>
      <c r="I2003" s="1">
        <v>41788</v>
      </c>
      <c r="J2003" s="1">
        <v>41788</v>
      </c>
      <c r="K2003" s="1">
        <v>41878</v>
      </c>
      <c r="N2003" s="5"/>
      <c r="O2003" s="2">
        <v>1188</v>
      </c>
      <c r="P2003">
        <v>371</v>
      </c>
      <c r="Q2003" s="2">
        <v>440748</v>
      </c>
      <c r="R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 s="1">
        <v>42382</v>
      </c>
      <c r="AC2003" t="s">
        <v>53</v>
      </c>
      <c r="AD2003" t="s">
        <v>53</v>
      </c>
      <c r="AK2003">
        <v>0</v>
      </c>
      <c r="AU2003" s="6">
        <v>42249</v>
      </c>
      <c r="AV2003" s="6">
        <v>42249</v>
      </c>
      <c r="AW2003" t="s">
        <v>54</v>
      </c>
      <c r="AX2003" t="str">
        <f t="shared" si="157"/>
        <v>FOR</v>
      </c>
      <c r="AY2003" t="s">
        <v>55</v>
      </c>
    </row>
    <row r="2004" spans="1:51">
      <c r="A2004">
        <v>100472</v>
      </c>
      <c r="B2004" t="s">
        <v>191</v>
      </c>
      <c r="C2004" t="str">
        <f>"05238881212"</f>
        <v>05238881212</v>
      </c>
      <c r="D2004" t="str">
        <f>"05238881212"</f>
        <v>05238881212</v>
      </c>
      <c r="E2004" t="s">
        <v>52</v>
      </c>
      <c r="F2004">
        <v>2014</v>
      </c>
      <c r="G2004">
        <v>102</v>
      </c>
      <c r="H2004" s="1">
        <v>41918</v>
      </c>
      <c r="I2004" s="1">
        <v>41920</v>
      </c>
      <c r="J2004" s="1">
        <v>41920</v>
      </c>
      <c r="K2004" s="1">
        <v>42010</v>
      </c>
      <c r="L2004" s="7">
        <v>1830</v>
      </c>
      <c r="M2004" s="5">
        <v>273</v>
      </c>
      <c r="N2004" s="7">
        <v>499590</v>
      </c>
      <c r="O2004" s="2">
        <v>1830</v>
      </c>
      <c r="P2004">
        <v>273</v>
      </c>
      <c r="Q2004" s="2">
        <v>499590</v>
      </c>
      <c r="R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 s="1">
        <v>42382</v>
      </c>
      <c r="AC2004" t="s">
        <v>53</v>
      </c>
      <c r="AD2004" t="s">
        <v>53</v>
      </c>
      <c r="AK2004">
        <v>0</v>
      </c>
      <c r="AU2004" s="6">
        <v>42283</v>
      </c>
      <c r="AV2004" s="6">
        <v>42283</v>
      </c>
      <c r="AW2004" t="s">
        <v>54</v>
      </c>
      <c r="AX2004" t="str">
        <f t="shared" si="157"/>
        <v>FOR</v>
      </c>
      <c r="AY2004" t="s">
        <v>55</v>
      </c>
    </row>
    <row r="2005" spans="1:51" hidden="1">
      <c r="A2005">
        <v>100475</v>
      </c>
      <c r="B2005" t="s">
        <v>192</v>
      </c>
      <c r="C2005" t="str">
        <f>"01286700487"</f>
        <v>01286700487</v>
      </c>
      <c r="D2005" t="str">
        <f>"01286700487"</f>
        <v>01286700487</v>
      </c>
      <c r="E2005" t="s">
        <v>52</v>
      </c>
      <c r="F2005">
        <v>2014</v>
      </c>
      <c r="G2005">
        <v>8299</v>
      </c>
      <c r="H2005" s="1">
        <v>41759</v>
      </c>
      <c r="I2005" s="1">
        <v>41778</v>
      </c>
      <c r="J2005" s="1">
        <v>41778</v>
      </c>
      <c r="K2005" s="1">
        <v>41868</v>
      </c>
      <c r="N2005" s="5"/>
      <c r="O2005">
        <v>171.16</v>
      </c>
      <c r="P2005">
        <v>262</v>
      </c>
      <c r="Q2005" s="2">
        <v>44843.92</v>
      </c>
      <c r="R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 s="1">
        <v>42382</v>
      </c>
      <c r="AC2005" t="s">
        <v>53</v>
      </c>
      <c r="AD2005" t="s">
        <v>53</v>
      </c>
      <c r="AK2005">
        <v>0</v>
      </c>
      <c r="AU2005" s="6">
        <v>42130</v>
      </c>
      <c r="AV2005" s="6">
        <v>42130</v>
      </c>
      <c r="AW2005" t="s">
        <v>54</v>
      </c>
      <c r="AX2005" t="str">
        <f t="shared" si="157"/>
        <v>FOR</v>
      </c>
      <c r="AY2005" t="s">
        <v>55</v>
      </c>
    </row>
    <row r="2006" spans="1:51" hidden="1">
      <c r="A2006">
        <v>100480</v>
      </c>
      <c r="B2006" t="s">
        <v>193</v>
      </c>
      <c r="C2006" t="str">
        <f t="shared" ref="C2006:D2012" si="160">"01597140282"</f>
        <v>01597140282</v>
      </c>
      <c r="D2006" t="str">
        <f t="shared" si="160"/>
        <v>01597140282</v>
      </c>
      <c r="E2006" t="s">
        <v>52</v>
      </c>
      <c r="F2006">
        <v>2013</v>
      </c>
      <c r="G2006">
        <v>971</v>
      </c>
      <c r="H2006" s="1">
        <v>41607</v>
      </c>
      <c r="I2006" s="1">
        <v>41618</v>
      </c>
      <c r="J2006" s="1">
        <v>41618</v>
      </c>
      <c r="K2006" s="1">
        <v>41708</v>
      </c>
      <c r="N2006" s="5"/>
      <c r="O2006">
        <v>176.9</v>
      </c>
      <c r="P2006">
        <v>394</v>
      </c>
      <c r="Q2006" s="2">
        <v>69698.600000000006</v>
      </c>
      <c r="R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 s="1">
        <v>42382</v>
      </c>
      <c r="AC2006" t="s">
        <v>53</v>
      </c>
      <c r="AD2006" t="s">
        <v>53</v>
      </c>
      <c r="AK2006">
        <v>0</v>
      </c>
      <c r="AU2006" s="6">
        <v>42102</v>
      </c>
      <c r="AV2006" s="6">
        <v>42102</v>
      </c>
      <c r="AW2006" t="s">
        <v>54</v>
      </c>
      <c r="AX2006" t="str">
        <f t="shared" si="157"/>
        <v>FOR</v>
      </c>
      <c r="AY2006" t="s">
        <v>55</v>
      </c>
    </row>
    <row r="2007" spans="1:51" hidden="1">
      <c r="A2007">
        <v>100480</v>
      </c>
      <c r="B2007" t="s">
        <v>193</v>
      </c>
      <c r="C2007" t="str">
        <f t="shared" si="160"/>
        <v>01597140282</v>
      </c>
      <c r="D2007" t="str">
        <f t="shared" si="160"/>
        <v>01597140282</v>
      </c>
      <c r="E2007" t="s">
        <v>52</v>
      </c>
      <c r="F2007">
        <v>2014</v>
      </c>
      <c r="G2007">
        <v>91</v>
      </c>
      <c r="H2007" s="1">
        <v>41669</v>
      </c>
      <c r="I2007" s="1">
        <v>41684</v>
      </c>
      <c r="J2007" s="1">
        <v>41684</v>
      </c>
      <c r="K2007" s="1">
        <v>41774</v>
      </c>
      <c r="N2007" s="5"/>
      <c r="O2007">
        <v>265.35000000000002</v>
      </c>
      <c r="P2007">
        <v>328</v>
      </c>
      <c r="Q2007" s="2">
        <v>87034.8</v>
      </c>
      <c r="R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 s="1">
        <v>42382</v>
      </c>
      <c r="AC2007" t="s">
        <v>53</v>
      </c>
      <c r="AD2007" t="s">
        <v>53</v>
      </c>
      <c r="AK2007">
        <v>0</v>
      </c>
      <c r="AU2007" s="6">
        <v>42102</v>
      </c>
      <c r="AV2007" s="6">
        <v>42102</v>
      </c>
      <c r="AW2007" t="s">
        <v>54</v>
      </c>
      <c r="AX2007" t="str">
        <f t="shared" si="157"/>
        <v>FOR</v>
      </c>
      <c r="AY2007" t="s">
        <v>55</v>
      </c>
    </row>
    <row r="2008" spans="1:51" hidden="1">
      <c r="A2008">
        <v>100480</v>
      </c>
      <c r="B2008" t="s">
        <v>193</v>
      </c>
      <c r="C2008" t="str">
        <f t="shared" si="160"/>
        <v>01597140282</v>
      </c>
      <c r="D2008" t="str">
        <f t="shared" si="160"/>
        <v>01597140282</v>
      </c>
      <c r="E2008" t="s">
        <v>52</v>
      </c>
      <c r="F2008">
        <v>2014</v>
      </c>
      <c r="G2008">
        <v>414</v>
      </c>
      <c r="H2008" s="1">
        <v>41759</v>
      </c>
      <c r="I2008" s="1">
        <v>41771</v>
      </c>
      <c r="J2008" s="1">
        <v>41771</v>
      </c>
      <c r="K2008" s="1">
        <v>41861</v>
      </c>
      <c r="N2008" s="5"/>
      <c r="O2008">
        <v>265.35000000000002</v>
      </c>
      <c r="P2008">
        <v>241</v>
      </c>
      <c r="Q2008" s="2">
        <v>63949.35</v>
      </c>
      <c r="R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 s="1">
        <v>42382</v>
      </c>
      <c r="AC2008" t="s">
        <v>53</v>
      </c>
      <c r="AD2008" t="s">
        <v>53</v>
      </c>
      <c r="AK2008">
        <v>0</v>
      </c>
      <c r="AU2008" s="6">
        <v>42102</v>
      </c>
      <c r="AV2008" s="6">
        <v>42102</v>
      </c>
      <c r="AW2008" t="s">
        <v>54</v>
      </c>
      <c r="AX2008" t="str">
        <f t="shared" si="157"/>
        <v>FOR</v>
      </c>
      <c r="AY2008" t="s">
        <v>55</v>
      </c>
    </row>
    <row r="2009" spans="1:51" hidden="1">
      <c r="A2009">
        <v>100480</v>
      </c>
      <c r="B2009" t="s">
        <v>193</v>
      </c>
      <c r="C2009" t="str">
        <f t="shared" si="160"/>
        <v>01597140282</v>
      </c>
      <c r="D2009" t="str">
        <f t="shared" si="160"/>
        <v>01597140282</v>
      </c>
      <c r="E2009" t="s">
        <v>52</v>
      </c>
      <c r="F2009">
        <v>2014</v>
      </c>
      <c r="G2009">
        <v>447</v>
      </c>
      <c r="H2009" s="1">
        <v>41789</v>
      </c>
      <c r="I2009" s="1">
        <v>41796</v>
      </c>
      <c r="J2009" s="1">
        <v>41796</v>
      </c>
      <c r="K2009" s="1">
        <v>41886</v>
      </c>
      <c r="N2009" s="5"/>
      <c r="O2009">
        <v>619.15</v>
      </c>
      <c r="P2009">
        <v>245</v>
      </c>
      <c r="Q2009" s="2">
        <v>151691.75</v>
      </c>
      <c r="R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 s="1">
        <v>42382</v>
      </c>
      <c r="AC2009" t="s">
        <v>53</v>
      </c>
      <c r="AD2009" t="s">
        <v>53</v>
      </c>
      <c r="AK2009">
        <v>0</v>
      </c>
      <c r="AU2009" s="6">
        <v>42131</v>
      </c>
      <c r="AV2009" s="6">
        <v>42131</v>
      </c>
      <c r="AW2009" t="s">
        <v>54</v>
      </c>
      <c r="AX2009" t="str">
        <f t="shared" si="157"/>
        <v>FOR</v>
      </c>
      <c r="AY2009" t="s">
        <v>55</v>
      </c>
    </row>
    <row r="2010" spans="1:51" hidden="1">
      <c r="A2010">
        <v>100480</v>
      </c>
      <c r="B2010" t="s">
        <v>193</v>
      </c>
      <c r="C2010" t="str">
        <f t="shared" si="160"/>
        <v>01597140282</v>
      </c>
      <c r="D2010" t="str">
        <f t="shared" si="160"/>
        <v>01597140282</v>
      </c>
      <c r="E2010" t="s">
        <v>52</v>
      </c>
      <c r="F2010">
        <v>2014</v>
      </c>
      <c r="G2010">
        <v>873</v>
      </c>
      <c r="H2010" s="1">
        <v>41912</v>
      </c>
      <c r="I2010" s="1">
        <v>41921</v>
      </c>
      <c r="J2010" s="1">
        <v>41921</v>
      </c>
      <c r="K2010" s="1">
        <v>42011</v>
      </c>
      <c r="N2010" s="5"/>
      <c r="O2010" s="2">
        <v>1769</v>
      </c>
      <c r="P2010">
        <v>120</v>
      </c>
      <c r="Q2010" s="2">
        <v>212280</v>
      </c>
      <c r="R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 s="1">
        <v>42382</v>
      </c>
      <c r="AC2010" t="s">
        <v>53</v>
      </c>
      <c r="AD2010" t="s">
        <v>53</v>
      </c>
      <c r="AK2010">
        <v>0</v>
      </c>
      <c r="AU2010" s="6">
        <v>42131</v>
      </c>
      <c r="AV2010" s="6">
        <v>42131</v>
      </c>
      <c r="AW2010" t="s">
        <v>54</v>
      </c>
      <c r="AX2010" t="str">
        <f t="shared" si="157"/>
        <v>FOR</v>
      </c>
      <c r="AY2010" t="s">
        <v>55</v>
      </c>
    </row>
    <row r="2011" spans="1:51" hidden="1">
      <c r="A2011">
        <v>100480</v>
      </c>
      <c r="B2011" t="s">
        <v>193</v>
      </c>
      <c r="C2011" t="str">
        <f t="shared" si="160"/>
        <v>01597140282</v>
      </c>
      <c r="D2011" t="str">
        <f t="shared" si="160"/>
        <v>01597140282</v>
      </c>
      <c r="E2011" t="s">
        <v>52</v>
      </c>
      <c r="F2011">
        <v>2014</v>
      </c>
      <c r="G2011">
        <v>1217</v>
      </c>
      <c r="H2011" s="1">
        <v>42004</v>
      </c>
      <c r="I2011" s="1">
        <v>42004</v>
      </c>
      <c r="J2011" s="1">
        <v>42004</v>
      </c>
      <c r="K2011" s="1">
        <v>42064</v>
      </c>
      <c r="N2011" s="5"/>
      <c r="O2011">
        <v>619.15</v>
      </c>
      <c r="P2011">
        <v>67</v>
      </c>
      <c r="Q2011" s="2">
        <v>41483.050000000003</v>
      </c>
      <c r="R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 s="1">
        <v>42382</v>
      </c>
      <c r="AC2011" t="s">
        <v>53</v>
      </c>
      <c r="AD2011" t="s">
        <v>53</v>
      </c>
      <c r="AK2011">
        <v>0</v>
      </c>
      <c r="AU2011" s="6">
        <v>42131</v>
      </c>
      <c r="AV2011" s="6">
        <v>42131</v>
      </c>
      <c r="AW2011" t="s">
        <v>54</v>
      </c>
      <c r="AX2011" t="str">
        <f t="shared" si="157"/>
        <v>FOR</v>
      </c>
      <c r="AY2011" t="s">
        <v>55</v>
      </c>
    </row>
    <row r="2012" spans="1:51" hidden="1">
      <c r="A2012">
        <v>100480</v>
      </c>
      <c r="B2012" t="s">
        <v>193</v>
      </c>
      <c r="C2012" t="str">
        <f t="shared" si="160"/>
        <v>01597140282</v>
      </c>
      <c r="D2012" t="str">
        <f t="shared" si="160"/>
        <v>01597140282</v>
      </c>
      <c r="E2012" t="s">
        <v>52</v>
      </c>
      <c r="F2012">
        <v>2014</v>
      </c>
      <c r="G2012">
        <v>1228</v>
      </c>
      <c r="H2012" s="1">
        <v>42004</v>
      </c>
      <c r="I2012" s="1">
        <v>42018</v>
      </c>
      <c r="J2012" s="1">
        <v>42018</v>
      </c>
      <c r="K2012" s="1">
        <v>42078</v>
      </c>
      <c r="N2012" s="5"/>
      <c r="O2012" s="2">
        <v>1061.4000000000001</v>
      </c>
      <c r="P2012">
        <v>53</v>
      </c>
      <c r="Q2012" s="2">
        <v>56254.2</v>
      </c>
      <c r="R2012">
        <v>0</v>
      </c>
      <c r="V2012">
        <v>0</v>
      </c>
      <c r="W2012">
        <v>0</v>
      </c>
      <c r="X2012">
        <v>0</v>
      </c>
      <c r="Y2012">
        <v>0</v>
      </c>
      <c r="Z2012" s="2">
        <v>1061.4000000000001</v>
      </c>
      <c r="AA2012">
        <v>0</v>
      </c>
      <c r="AB2012" s="1">
        <v>42382</v>
      </c>
      <c r="AC2012" t="s">
        <v>53</v>
      </c>
      <c r="AD2012" t="s">
        <v>53</v>
      </c>
      <c r="AK2012">
        <v>0</v>
      </c>
      <c r="AU2012" s="6">
        <v>42131</v>
      </c>
      <c r="AV2012" s="6">
        <v>42131</v>
      </c>
      <c r="AW2012" t="s">
        <v>54</v>
      </c>
      <c r="AX2012" t="str">
        <f t="shared" si="157"/>
        <v>FOR</v>
      </c>
      <c r="AY2012" t="s">
        <v>55</v>
      </c>
    </row>
    <row r="2013" spans="1:51" hidden="1">
      <c r="A2013">
        <v>100486</v>
      </c>
      <c r="B2013" t="s">
        <v>194</v>
      </c>
      <c r="C2013" t="str">
        <f t="shared" ref="C2013:D2021" si="161">"11575580151"</f>
        <v>11575580151</v>
      </c>
      <c r="D2013" t="str">
        <f t="shared" si="161"/>
        <v>11575580151</v>
      </c>
      <c r="E2013" t="s">
        <v>52</v>
      </c>
      <c r="F2013">
        <v>2014</v>
      </c>
      <c r="G2013">
        <v>6864</v>
      </c>
      <c r="H2013" s="1">
        <v>41751</v>
      </c>
      <c r="I2013" s="1">
        <v>41778</v>
      </c>
      <c r="J2013" s="1">
        <v>41778</v>
      </c>
      <c r="K2013" s="1">
        <v>41868</v>
      </c>
      <c r="N2013" s="5"/>
      <c r="O2013">
        <v>78.819999999999993</v>
      </c>
      <c r="P2013">
        <v>225</v>
      </c>
      <c r="Q2013" s="2">
        <v>17734.5</v>
      </c>
      <c r="R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 s="1">
        <v>42382</v>
      </c>
      <c r="AC2013" t="s">
        <v>53</v>
      </c>
      <c r="AD2013" t="s">
        <v>53</v>
      </c>
      <c r="AK2013">
        <v>0</v>
      </c>
      <c r="AU2013" s="6">
        <v>42093</v>
      </c>
      <c r="AV2013" s="6">
        <v>42093</v>
      </c>
      <c r="AW2013" t="s">
        <v>54</v>
      </c>
      <c r="AX2013" t="str">
        <f t="shared" si="157"/>
        <v>FOR</v>
      </c>
      <c r="AY2013" t="s">
        <v>55</v>
      </c>
    </row>
    <row r="2014" spans="1:51" hidden="1">
      <c r="A2014">
        <v>100486</v>
      </c>
      <c r="B2014" t="s">
        <v>194</v>
      </c>
      <c r="C2014" t="str">
        <f t="shared" si="161"/>
        <v>11575580151</v>
      </c>
      <c r="D2014" t="str">
        <f t="shared" si="161"/>
        <v>11575580151</v>
      </c>
      <c r="E2014" t="s">
        <v>52</v>
      </c>
      <c r="F2014">
        <v>2014</v>
      </c>
      <c r="G2014">
        <v>8133</v>
      </c>
      <c r="H2014" s="1">
        <v>41759</v>
      </c>
      <c r="I2014" s="1">
        <v>41778</v>
      </c>
      <c r="J2014" s="1">
        <v>41778</v>
      </c>
      <c r="K2014" s="1">
        <v>41868</v>
      </c>
      <c r="N2014" s="5"/>
      <c r="O2014">
        <v>920.78</v>
      </c>
      <c r="P2014">
        <v>225</v>
      </c>
      <c r="Q2014" s="2">
        <v>207175.5</v>
      </c>
      <c r="R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 s="1">
        <v>42382</v>
      </c>
      <c r="AC2014" t="s">
        <v>53</v>
      </c>
      <c r="AD2014" t="s">
        <v>53</v>
      </c>
      <c r="AK2014">
        <v>0</v>
      </c>
      <c r="AU2014" s="6">
        <v>42093</v>
      </c>
      <c r="AV2014" s="6">
        <v>42093</v>
      </c>
      <c r="AW2014" t="s">
        <v>54</v>
      </c>
      <c r="AX2014" t="str">
        <f t="shared" si="157"/>
        <v>FOR</v>
      </c>
      <c r="AY2014" t="s">
        <v>55</v>
      </c>
    </row>
    <row r="2015" spans="1:51" hidden="1">
      <c r="A2015">
        <v>100486</v>
      </c>
      <c r="B2015" t="s">
        <v>194</v>
      </c>
      <c r="C2015" t="str">
        <f t="shared" si="161"/>
        <v>11575580151</v>
      </c>
      <c r="D2015" t="str">
        <f t="shared" si="161"/>
        <v>11575580151</v>
      </c>
      <c r="E2015" t="s">
        <v>52</v>
      </c>
      <c r="F2015">
        <v>2014</v>
      </c>
      <c r="G2015">
        <v>10068</v>
      </c>
      <c r="H2015" s="1">
        <v>41789</v>
      </c>
      <c r="I2015" s="1">
        <v>41807</v>
      </c>
      <c r="J2015" s="1">
        <v>41807</v>
      </c>
      <c r="K2015" s="1">
        <v>41897</v>
      </c>
      <c r="N2015" s="5"/>
      <c r="O2015">
        <v>620.25</v>
      </c>
      <c r="P2015">
        <v>233</v>
      </c>
      <c r="Q2015" s="2">
        <v>144518.25</v>
      </c>
      <c r="R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 s="1">
        <v>42382</v>
      </c>
      <c r="AC2015" t="s">
        <v>53</v>
      </c>
      <c r="AD2015" t="s">
        <v>53</v>
      </c>
      <c r="AK2015">
        <v>0</v>
      </c>
      <c r="AU2015" s="6">
        <v>42130</v>
      </c>
      <c r="AV2015" s="6">
        <v>42130</v>
      </c>
      <c r="AW2015" t="s">
        <v>54</v>
      </c>
      <c r="AX2015" t="str">
        <f t="shared" si="157"/>
        <v>FOR</v>
      </c>
      <c r="AY2015" t="s">
        <v>55</v>
      </c>
    </row>
    <row r="2016" spans="1:51" hidden="1">
      <c r="A2016">
        <v>100486</v>
      </c>
      <c r="B2016" t="s">
        <v>194</v>
      </c>
      <c r="C2016" t="str">
        <f t="shared" si="161"/>
        <v>11575580151</v>
      </c>
      <c r="D2016" t="str">
        <f t="shared" si="161"/>
        <v>11575580151</v>
      </c>
      <c r="E2016" t="s">
        <v>52</v>
      </c>
      <c r="F2016">
        <v>2014</v>
      </c>
      <c r="G2016">
        <v>13468</v>
      </c>
      <c r="H2016" s="1">
        <v>41841</v>
      </c>
      <c r="I2016" s="1">
        <v>41929</v>
      </c>
      <c r="J2016" s="1">
        <v>41929</v>
      </c>
      <c r="K2016" s="1">
        <v>41989</v>
      </c>
      <c r="N2016" s="5"/>
      <c r="O2016">
        <v>248.1</v>
      </c>
      <c r="P2016">
        <v>202</v>
      </c>
      <c r="Q2016" s="2">
        <v>50116.2</v>
      </c>
      <c r="R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 s="1">
        <v>42382</v>
      </c>
      <c r="AC2016" t="s">
        <v>53</v>
      </c>
      <c r="AD2016" t="s">
        <v>53</v>
      </c>
      <c r="AK2016">
        <v>0</v>
      </c>
      <c r="AU2016" s="6">
        <v>42191</v>
      </c>
      <c r="AV2016" s="6">
        <v>42191</v>
      </c>
      <c r="AW2016" t="s">
        <v>54</v>
      </c>
      <c r="AX2016" t="str">
        <f t="shared" si="157"/>
        <v>FOR</v>
      </c>
      <c r="AY2016" t="s">
        <v>55</v>
      </c>
    </row>
    <row r="2017" spans="1:51" hidden="1">
      <c r="A2017">
        <v>100486</v>
      </c>
      <c r="B2017" t="s">
        <v>194</v>
      </c>
      <c r="C2017" t="str">
        <f t="shared" si="161"/>
        <v>11575580151</v>
      </c>
      <c r="D2017" t="str">
        <f t="shared" si="161"/>
        <v>11575580151</v>
      </c>
      <c r="E2017" t="s">
        <v>52</v>
      </c>
      <c r="F2017">
        <v>2014</v>
      </c>
      <c r="G2017">
        <v>14755</v>
      </c>
      <c r="H2017" s="1">
        <v>41851</v>
      </c>
      <c r="I2017" s="1">
        <v>41929</v>
      </c>
      <c r="J2017" s="1">
        <v>41929</v>
      </c>
      <c r="K2017" s="1">
        <v>41989</v>
      </c>
      <c r="N2017" s="5"/>
      <c r="O2017">
        <v>387.66</v>
      </c>
      <c r="P2017">
        <v>202</v>
      </c>
      <c r="Q2017" s="2">
        <v>78307.320000000007</v>
      </c>
      <c r="R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 s="1">
        <v>42382</v>
      </c>
      <c r="AC2017" t="s">
        <v>53</v>
      </c>
      <c r="AD2017" t="s">
        <v>53</v>
      </c>
      <c r="AK2017">
        <v>0</v>
      </c>
      <c r="AU2017" s="6">
        <v>42191</v>
      </c>
      <c r="AV2017" s="6">
        <v>42191</v>
      </c>
      <c r="AW2017" t="s">
        <v>54</v>
      </c>
      <c r="AX2017" t="str">
        <f t="shared" si="157"/>
        <v>FOR</v>
      </c>
      <c r="AY2017" t="s">
        <v>55</v>
      </c>
    </row>
    <row r="2018" spans="1:51" hidden="1">
      <c r="A2018">
        <v>100486</v>
      </c>
      <c r="B2018" t="s">
        <v>194</v>
      </c>
      <c r="C2018" t="str">
        <f t="shared" si="161"/>
        <v>11575580151</v>
      </c>
      <c r="D2018" t="str">
        <f t="shared" si="161"/>
        <v>11575580151</v>
      </c>
      <c r="E2018" t="s">
        <v>52</v>
      </c>
      <c r="F2018">
        <v>2014</v>
      </c>
      <c r="G2018">
        <v>16373</v>
      </c>
      <c r="H2018" s="1">
        <v>41880</v>
      </c>
      <c r="I2018" s="1">
        <v>41907</v>
      </c>
      <c r="J2018" s="1">
        <v>41907</v>
      </c>
      <c r="K2018" s="1">
        <v>41997</v>
      </c>
      <c r="N2018" s="5"/>
      <c r="O2018">
        <v>620.25</v>
      </c>
      <c r="P2018">
        <v>194</v>
      </c>
      <c r="Q2018" s="2">
        <v>120328.5</v>
      </c>
      <c r="R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 s="1">
        <v>42382</v>
      </c>
      <c r="AC2018" t="s">
        <v>53</v>
      </c>
      <c r="AD2018" t="s">
        <v>53</v>
      </c>
      <c r="AK2018">
        <v>0</v>
      </c>
      <c r="AU2018" s="6">
        <v>42191</v>
      </c>
      <c r="AV2018" s="6">
        <v>42191</v>
      </c>
      <c r="AW2018" t="s">
        <v>54</v>
      </c>
      <c r="AX2018" t="str">
        <f t="shared" si="157"/>
        <v>FOR</v>
      </c>
      <c r="AY2018" t="s">
        <v>55</v>
      </c>
    </row>
    <row r="2019" spans="1:51" hidden="1">
      <c r="A2019">
        <v>100486</v>
      </c>
      <c r="B2019" t="s">
        <v>194</v>
      </c>
      <c r="C2019" t="str">
        <f t="shared" si="161"/>
        <v>11575580151</v>
      </c>
      <c r="D2019" t="str">
        <f t="shared" si="161"/>
        <v>11575580151</v>
      </c>
      <c r="E2019" t="s">
        <v>52</v>
      </c>
      <c r="F2019">
        <v>2014</v>
      </c>
      <c r="G2019">
        <v>18453</v>
      </c>
      <c r="H2019" s="1">
        <v>41912</v>
      </c>
      <c r="I2019" s="1">
        <v>41935</v>
      </c>
      <c r="J2019" s="1">
        <v>41935</v>
      </c>
      <c r="K2019" s="1">
        <v>41995</v>
      </c>
      <c r="N2019" s="5"/>
      <c r="O2019">
        <v>620.25</v>
      </c>
      <c r="P2019">
        <v>254</v>
      </c>
      <c r="Q2019" s="2">
        <v>157543.5</v>
      </c>
      <c r="R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 s="1">
        <v>42382</v>
      </c>
      <c r="AC2019" t="s">
        <v>53</v>
      </c>
      <c r="AD2019" t="s">
        <v>53</v>
      </c>
      <c r="AK2019">
        <v>0</v>
      </c>
      <c r="AU2019" s="6">
        <v>42249</v>
      </c>
      <c r="AV2019" s="6">
        <v>42249</v>
      </c>
      <c r="AW2019" t="s">
        <v>54</v>
      </c>
      <c r="AX2019" t="str">
        <f t="shared" si="157"/>
        <v>FOR</v>
      </c>
      <c r="AY2019" t="s">
        <v>55</v>
      </c>
    </row>
    <row r="2020" spans="1:51">
      <c r="A2020">
        <v>100486</v>
      </c>
      <c r="B2020" t="s">
        <v>194</v>
      </c>
      <c r="C2020" t="str">
        <f t="shared" si="161"/>
        <v>11575580151</v>
      </c>
      <c r="D2020" t="str">
        <f t="shared" si="161"/>
        <v>11575580151</v>
      </c>
      <c r="E2020" t="s">
        <v>52</v>
      </c>
      <c r="F2020">
        <v>2014</v>
      </c>
      <c r="G2020">
        <v>21816</v>
      </c>
      <c r="H2020" s="1">
        <v>41963</v>
      </c>
      <c r="I2020" s="1">
        <v>41996</v>
      </c>
      <c r="J2020" s="1">
        <v>41996</v>
      </c>
      <c r="K2020" s="1">
        <v>42056</v>
      </c>
      <c r="L2020" s="7">
        <v>620.25</v>
      </c>
      <c r="M2020" s="5">
        <v>248</v>
      </c>
      <c r="N2020" s="7">
        <v>153822</v>
      </c>
      <c r="O2020">
        <v>620.25</v>
      </c>
      <c r="P2020">
        <v>248</v>
      </c>
      <c r="Q2020" s="2">
        <v>153822</v>
      </c>
      <c r="R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 s="1">
        <v>42382</v>
      </c>
      <c r="AC2020" t="s">
        <v>53</v>
      </c>
      <c r="AD2020" t="s">
        <v>53</v>
      </c>
      <c r="AK2020">
        <v>0</v>
      </c>
      <c r="AU2020" s="6">
        <v>42304</v>
      </c>
      <c r="AV2020" s="6">
        <v>42304</v>
      </c>
      <c r="AW2020" t="s">
        <v>54</v>
      </c>
      <c r="AX2020" t="str">
        <f t="shared" si="157"/>
        <v>FOR</v>
      </c>
      <c r="AY2020" t="s">
        <v>55</v>
      </c>
    </row>
    <row r="2021" spans="1:51">
      <c r="A2021">
        <v>100486</v>
      </c>
      <c r="B2021" t="s">
        <v>194</v>
      </c>
      <c r="C2021" t="str">
        <f t="shared" si="161"/>
        <v>11575580151</v>
      </c>
      <c r="D2021" t="str">
        <f t="shared" si="161"/>
        <v>11575580151</v>
      </c>
      <c r="E2021" t="s">
        <v>52</v>
      </c>
      <c r="F2021">
        <v>2015</v>
      </c>
      <c r="G2021">
        <v>330</v>
      </c>
      <c r="H2021" s="1">
        <v>42025</v>
      </c>
      <c r="I2021" s="1">
        <v>42054</v>
      </c>
      <c r="J2021" s="1">
        <v>42054</v>
      </c>
      <c r="K2021" s="1">
        <v>42114</v>
      </c>
      <c r="L2021" s="7">
        <v>508.4</v>
      </c>
      <c r="M2021" s="5">
        <v>241</v>
      </c>
      <c r="N2021" s="7">
        <v>122524.4</v>
      </c>
      <c r="O2021">
        <v>508.4</v>
      </c>
      <c r="P2021">
        <v>241</v>
      </c>
      <c r="Q2021" s="2">
        <v>122524.4</v>
      </c>
      <c r="R2021">
        <v>111.85</v>
      </c>
      <c r="V2021">
        <v>0</v>
      </c>
      <c r="W2021">
        <v>0</v>
      </c>
      <c r="X2021">
        <v>0</v>
      </c>
      <c r="Y2021">
        <v>620.25</v>
      </c>
      <c r="Z2021">
        <v>620.25</v>
      </c>
      <c r="AA2021">
        <v>620.25</v>
      </c>
      <c r="AB2021" s="1">
        <v>42382</v>
      </c>
      <c r="AC2021" t="s">
        <v>53</v>
      </c>
      <c r="AD2021" t="s">
        <v>53</v>
      </c>
      <c r="AK2021">
        <v>111.85</v>
      </c>
      <c r="AU2021" s="6">
        <v>42355</v>
      </c>
      <c r="AV2021" s="6">
        <v>42355</v>
      </c>
      <c r="AW2021" t="s">
        <v>54</v>
      </c>
      <c r="AX2021" t="str">
        <f t="shared" si="157"/>
        <v>FOR</v>
      </c>
      <c r="AY2021" t="s">
        <v>55</v>
      </c>
    </row>
    <row r="2022" spans="1:51" hidden="1">
      <c r="A2022">
        <v>100487</v>
      </c>
      <c r="B2022" t="s">
        <v>195</v>
      </c>
      <c r="C2022" t="str">
        <f>"05187720965"</f>
        <v>05187720965</v>
      </c>
      <c r="D2022" t="str">
        <f>"05187720965"</f>
        <v>05187720965</v>
      </c>
      <c r="E2022" t="s">
        <v>52</v>
      </c>
      <c r="F2022">
        <v>2014</v>
      </c>
      <c r="G2022">
        <v>1007767</v>
      </c>
      <c r="H2022" s="1">
        <v>41766</v>
      </c>
      <c r="I2022" s="1">
        <v>41780</v>
      </c>
      <c r="J2022" s="1">
        <v>41780</v>
      </c>
      <c r="K2022" s="1">
        <v>41870</v>
      </c>
      <c r="N2022" s="5"/>
      <c r="O2022">
        <v>281.82</v>
      </c>
      <c r="P2022">
        <v>378</v>
      </c>
      <c r="Q2022" s="2">
        <v>106527.96</v>
      </c>
      <c r="R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 s="1">
        <v>42382</v>
      </c>
      <c r="AC2022" t="s">
        <v>53</v>
      </c>
      <c r="AD2022" t="s">
        <v>53</v>
      </c>
      <c r="AK2022">
        <v>0</v>
      </c>
      <c r="AU2022" s="6">
        <v>42248</v>
      </c>
      <c r="AV2022" s="6">
        <v>42248</v>
      </c>
      <c r="AW2022" t="s">
        <v>54</v>
      </c>
      <c r="AX2022" t="str">
        <f t="shared" si="157"/>
        <v>FOR</v>
      </c>
      <c r="AY2022" t="s">
        <v>55</v>
      </c>
    </row>
    <row r="2023" spans="1:51">
      <c r="A2023">
        <v>100487</v>
      </c>
      <c r="B2023" t="s">
        <v>195</v>
      </c>
      <c r="C2023" t="str">
        <f>"05187720965"</f>
        <v>05187720965</v>
      </c>
      <c r="D2023" t="str">
        <f>"05187720965"</f>
        <v>05187720965</v>
      </c>
      <c r="E2023" t="s">
        <v>52</v>
      </c>
      <c r="F2023">
        <v>2015</v>
      </c>
      <c r="G2023">
        <v>1501002529</v>
      </c>
      <c r="H2023" s="1">
        <v>42051</v>
      </c>
      <c r="I2023" s="1">
        <v>42066</v>
      </c>
      <c r="J2023" s="1">
        <v>42066</v>
      </c>
      <c r="K2023" s="1">
        <v>42126</v>
      </c>
      <c r="L2023" s="7">
        <v>1155</v>
      </c>
      <c r="M2023" s="5">
        <v>229</v>
      </c>
      <c r="N2023" s="7">
        <v>264495</v>
      </c>
      <c r="O2023" s="2">
        <v>1155</v>
      </c>
      <c r="P2023">
        <v>229</v>
      </c>
      <c r="Q2023" s="2">
        <v>264495</v>
      </c>
      <c r="R2023">
        <v>254.1</v>
      </c>
      <c r="V2023">
        <v>0</v>
      </c>
      <c r="W2023">
        <v>0</v>
      </c>
      <c r="X2023">
        <v>0</v>
      </c>
      <c r="Y2023" s="2">
        <v>1409.1</v>
      </c>
      <c r="Z2023" s="2">
        <v>1409.1</v>
      </c>
      <c r="AA2023" s="2">
        <v>1409.1</v>
      </c>
      <c r="AB2023" s="1">
        <v>42382</v>
      </c>
      <c r="AC2023" t="s">
        <v>53</v>
      </c>
      <c r="AD2023" t="s">
        <v>53</v>
      </c>
      <c r="AK2023">
        <v>254.1</v>
      </c>
      <c r="AU2023" s="6">
        <v>42355</v>
      </c>
      <c r="AV2023" s="6">
        <v>42355</v>
      </c>
      <c r="AW2023" t="s">
        <v>54</v>
      </c>
      <c r="AX2023" t="str">
        <f t="shared" si="157"/>
        <v>FOR</v>
      </c>
      <c r="AY2023" t="s">
        <v>55</v>
      </c>
    </row>
    <row r="2024" spans="1:51" hidden="1">
      <c r="A2024">
        <v>100491</v>
      </c>
      <c r="B2024" t="s">
        <v>196</v>
      </c>
      <c r="C2024" t="str">
        <f t="shared" ref="C2024:D2028" si="162">"00175410265"</f>
        <v>00175410265</v>
      </c>
      <c r="D2024" t="str">
        <f t="shared" si="162"/>
        <v>00175410265</v>
      </c>
      <c r="E2024" t="s">
        <v>52</v>
      </c>
      <c r="F2024">
        <v>2013</v>
      </c>
      <c r="G2024">
        <v>1815</v>
      </c>
      <c r="H2024" s="1">
        <v>41639</v>
      </c>
      <c r="I2024" s="1">
        <v>41639</v>
      </c>
      <c r="J2024" s="1">
        <v>41639</v>
      </c>
      <c r="K2024" s="1">
        <v>41729</v>
      </c>
      <c r="N2024" s="5"/>
      <c r="O2024" s="2">
        <v>8218.36</v>
      </c>
      <c r="P2024">
        <v>295</v>
      </c>
      <c r="Q2024" s="2">
        <v>2424416.2000000002</v>
      </c>
      <c r="R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 s="1">
        <v>42382</v>
      </c>
      <c r="AC2024" t="s">
        <v>53</v>
      </c>
      <c r="AD2024" t="s">
        <v>53</v>
      </c>
      <c r="AK2024">
        <v>0</v>
      </c>
      <c r="AU2024" s="6">
        <v>42024</v>
      </c>
      <c r="AV2024" s="6">
        <v>42024</v>
      </c>
      <c r="AW2024" t="s">
        <v>54</v>
      </c>
      <c r="AX2024" t="str">
        <f t="shared" si="157"/>
        <v>FOR</v>
      </c>
      <c r="AY2024" t="s">
        <v>55</v>
      </c>
    </row>
    <row r="2025" spans="1:51" hidden="1">
      <c r="A2025">
        <v>100491</v>
      </c>
      <c r="B2025" t="s">
        <v>196</v>
      </c>
      <c r="C2025" t="str">
        <f t="shared" si="162"/>
        <v>00175410265</v>
      </c>
      <c r="D2025" t="str">
        <f t="shared" si="162"/>
        <v>00175410265</v>
      </c>
      <c r="E2025" t="s">
        <v>52</v>
      </c>
      <c r="F2025">
        <v>2014</v>
      </c>
      <c r="G2025">
        <v>596</v>
      </c>
      <c r="H2025" s="1">
        <v>41787</v>
      </c>
      <c r="I2025" s="1">
        <v>41795</v>
      </c>
      <c r="J2025" s="1">
        <v>41795</v>
      </c>
      <c r="K2025" s="1">
        <v>41885</v>
      </c>
      <c r="N2025" s="5"/>
      <c r="O2025" s="2">
        <v>13941.96</v>
      </c>
      <c r="P2025">
        <v>216</v>
      </c>
      <c r="Q2025" s="2">
        <v>3011463.36</v>
      </c>
      <c r="R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 s="1">
        <v>42382</v>
      </c>
      <c r="AC2025" t="s">
        <v>53</v>
      </c>
      <c r="AD2025" t="s">
        <v>53</v>
      </c>
      <c r="AK2025">
        <v>0</v>
      </c>
      <c r="AU2025" s="6">
        <v>42101</v>
      </c>
      <c r="AV2025" s="6">
        <v>42101</v>
      </c>
      <c r="AW2025" t="s">
        <v>54</v>
      </c>
      <c r="AX2025" t="str">
        <f t="shared" si="157"/>
        <v>FOR</v>
      </c>
      <c r="AY2025" t="s">
        <v>55</v>
      </c>
    </row>
    <row r="2026" spans="1:51" hidden="1">
      <c r="A2026">
        <v>100491</v>
      </c>
      <c r="B2026" t="s">
        <v>196</v>
      </c>
      <c r="C2026" t="str">
        <f t="shared" si="162"/>
        <v>00175410265</v>
      </c>
      <c r="D2026" t="str">
        <f t="shared" si="162"/>
        <v>00175410265</v>
      </c>
      <c r="E2026" t="s">
        <v>52</v>
      </c>
      <c r="F2026">
        <v>2014</v>
      </c>
      <c r="G2026">
        <v>905</v>
      </c>
      <c r="H2026" s="1">
        <v>41843</v>
      </c>
      <c r="I2026" s="1">
        <v>41849</v>
      </c>
      <c r="J2026" s="1">
        <v>41849</v>
      </c>
      <c r="K2026" s="1">
        <v>41939</v>
      </c>
      <c r="N2026" s="5"/>
      <c r="O2026" s="2">
        <v>3485.49</v>
      </c>
      <c r="P2026">
        <v>185</v>
      </c>
      <c r="Q2026" s="2">
        <v>644815.65</v>
      </c>
      <c r="R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 s="1">
        <v>42382</v>
      </c>
      <c r="AC2026" t="s">
        <v>53</v>
      </c>
      <c r="AD2026" t="s">
        <v>53</v>
      </c>
      <c r="AK2026">
        <v>0</v>
      </c>
      <c r="AU2026" s="6">
        <v>42124</v>
      </c>
      <c r="AV2026" s="6">
        <v>42124</v>
      </c>
      <c r="AW2026" t="s">
        <v>54</v>
      </c>
      <c r="AX2026" t="str">
        <f t="shared" si="157"/>
        <v>FOR</v>
      </c>
      <c r="AY2026" t="s">
        <v>55</v>
      </c>
    </row>
    <row r="2027" spans="1:51" hidden="1">
      <c r="A2027">
        <v>100491</v>
      </c>
      <c r="B2027" t="s">
        <v>196</v>
      </c>
      <c r="C2027" t="str">
        <f t="shared" si="162"/>
        <v>00175410265</v>
      </c>
      <c r="D2027" t="str">
        <f t="shared" si="162"/>
        <v>00175410265</v>
      </c>
      <c r="E2027" t="s">
        <v>52</v>
      </c>
      <c r="F2027">
        <v>2014</v>
      </c>
      <c r="G2027">
        <v>1497</v>
      </c>
      <c r="H2027" s="1">
        <v>41943</v>
      </c>
      <c r="I2027" s="1">
        <v>41962</v>
      </c>
      <c r="J2027" s="1">
        <v>41962</v>
      </c>
      <c r="K2027" s="1">
        <v>42022</v>
      </c>
      <c r="N2027" s="5"/>
      <c r="O2027" s="2">
        <v>4849.7</v>
      </c>
      <c r="P2027">
        <v>102</v>
      </c>
      <c r="Q2027" s="2">
        <v>494669.4</v>
      </c>
      <c r="R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 s="1">
        <v>42382</v>
      </c>
      <c r="AC2027" t="s">
        <v>53</v>
      </c>
      <c r="AD2027" t="s">
        <v>53</v>
      </c>
      <c r="AK2027">
        <v>0</v>
      </c>
      <c r="AU2027" s="6">
        <v>42124</v>
      </c>
      <c r="AV2027" s="6">
        <v>42124</v>
      </c>
      <c r="AW2027" t="s">
        <v>54</v>
      </c>
      <c r="AX2027" t="str">
        <f t="shared" si="157"/>
        <v>FOR</v>
      </c>
      <c r="AY2027" t="s">
        <v>55</v>
      </c>
    </row>
    <row r="2028" spans="1:51" hidden="1">
      <c r="A2028">
        <v>100491</v>
      </c>
      <c r="B2028" t="s">
        <v>196</v>
      </c>
      <c r="C2028" t="str">
        <f t="shared" si="162"/>
        <v>00175410265</v>
      </c>
      <c r="D2028" t="str">
        <f t="shared" si="162"/>
        <v>00175410265</v>
      </c>
      <c r="E2028" t="s">
        <v>52</v>
      </c>
      <c r="F2028">
        <v>2014</v>
      </c>
      <c r="G2028">
        <v>1710</v>
      </c>
      <c r="H2028" s="1">
        <v>41971</v>
      </c>
      <c r="I2028" s="1">
        <v>41990</v>
      </c>
      <c r="J2028" s="1">
        <v>41990</v>
      </c>
      <c r="K2028" s="1">
        <v>42050</v>
      </c>
      <c r="N2028" s="5"/>
      <c r="O2028" s="2">
        <v>5028.8900000000003</v>
      </c>
      <c r="P2028">
        <v>74</v>
      </c>
      <c r="Q2028" s="2">
        <v>372137.86</v>
      </c>
      <c r="R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 s="1">
        <v>42382</v>
      </c>
      <c r="AC2028" t="s">
        <v>53</v>
      </c>
      <c r="AD2028" t="s">
        <v>53</v>
      </c>
      <c r="AK2028">
        <v>0</v>
      </c>
      <c r="AU2028" s="6">
        <v>42124</v>
      </c>
      <c r="AV2028" s="6">
        <v>42124</v>
      </c>
      <c r="AW2028" t="s">
        <v>54</v>
      </c>
      <c r="AX2028" t="str">
        <f t="shared" si="157"/>
        <v>FOR</v>
      </c>
      <c r="AY2028" t="s">
        <v>55</v>
      </c>
    </row>
    <row r="2029" spans="1:51" hidden="1">
      <c r="A2029">
        <v>100494</v>
      </c>
      <c r="B2029" t="s">
        <v>197</v>
      </c>
      <c r="C2029" t="str">
        <f t="shared" ref="C2029:D2050" si="163">"03524050238"</f>
        <v>03524050238</v>
      </c>
      <c r="D2029" t="str">
        <f t="shared" si="163"/>
        <v>03524050238</v>
      </c>
      <c r="E2029" t="s">
        <v>52</v>
      </c>
      <c r="F2029">
        <v>2013</v>
      </c>
      <c r="G2029">
        <v>40289174</v>
      </c>
      <c r="H2029" s="1">
        <v>41487</v>
      </c>
      <c r="I2029" s="1">
        <v>41515</v>
      </c>
      <c r="J2029" s="1">
        <v>41515</v>
      </c>
      <c r="K2029" s="1">
        <v>41605</v>
      </c>
      <c r="N2029" s="5"/>
      <c r="O2029">
        <v>103.95</v>
      </c>
      <c r="P2029">
        <v>434</v>
      </c>
      <c r="Q2029" s="2">
        <v>45114.3</v>
      </c>
      <c r="R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 s="1">
        <v>42382</v>
      </c>
      <c r="AC2029" t="s">
        <v>53</v>
      </c>
      <c r="AD2029" t="s">
        <v>53</v>
      </c>
      <c r="AK2029">
        <v>0</v>
      </c>
      <c r="AU2029" s="6">
        <v>42039</v>
      </c>
      <c r="AV2029" s="6">
        <v>42039</v>
      </c>
      <c r="AW2029" t="s">
        <v>54</v>
      </c>
      <c r="AX2029" t="str">
        <f t="shared" si="157"/>
        <v>FOR</v>
      </c>
      <c r="AY2029" t="s">
        <v>55</v>
      </c>
    </row>
    <row r="2030" spans="1:51" hidden="1">
      <c r="A2030">
        <v>100494</v>
      </c>
      <c r="B2030" t="s">
        <v>197</v>
      </c>
      <c r="C2030" t="str">
        <f t="shared" si="163"/>
        <v>03524050238</v>
      </c>
      <c r="D2030" t="str">
        <f t="shared" si="163"/>
        <v>03524050238</v>
      </c>
      <c r="E2030" t="s">
        <v>52</v>
      </c>
      <c r="F2030">
        <v>2013</v>
      </c>
      <c r="G2030">
        <v>40304757</v>
      </c>
      <c r="H2030" s="1">
        <v>41593</v>
      </c>
      <c r="I2030" s="1">
        <v>41610</v>
      </c>
      <c r="J2030" s="1">
        <v>41610</v>
      </c>
      <c r="K2030" s="1">
        <v>41700</v>
      </c>
      <c r="N2030" s="5"/>
      <c r="O2030" s="2">
        <v>4135.8</v>
      </c>
      <c r="P2030">
        <v>339</v>
      </c>
      <c r="Q2030" s="2">
        <v>1402036.2</v>
      </c>
      <c r="R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 s="1">
        <v>42382</v>
      </c>
      <c r="AC2030" t="s">
        <v>53</v>
      </c>
      <c r="AD2030" t="s">
        <v>53</v>
      </c>
      <c r="AK2030">
        <v>0</v>
      </c>
      <c r="AU2030" s="6">
        <v>42039</v>
      </c>
      <c r="AV2030" s="6">
        <v>42039</v>
      </c>
      <c r="AW2030" t="s">
        <v>54</v>
      </c>
      <c r="AX2030" t="str">
        <f t="shared" si="157"/>
        <v>FOR</v>
      </c>
      <c r="AY2030" t="s">
        <v>55</v>
      </c>
    </row>
    <row r="2031" spans="1:51" hidden="1">
      <c r="A2031">
        <v>100494</v>
      </c>
      <c r="B2031" t="s">
        <v>197</v>
      </c>
      <c r="C2031" t="str">
        <f t="shared" si="163"/>
        <v>03524050238</v>
      </c>
      <c r="D2031" t="str">
        <f t="shared" si="163"/>
        <v>03524050238</v>
      </c>
      <c r="E2031" t="s">
        <v>52</v>
      </c>
      <c r="F2031">
        <v>2013</v>
      </c>
      <c r="G2031">
        <v>40307525</v>
      </c>
      <c r="H2031" s="1">
        <v>41611</v>
      </c>
      <c r="I2031" s="1">
        <v>42026</v>
      </c>
      <c r="J2031" s="1">
        <v>42026</v>
      </c>
      <c r="K2031" s="1">
        <v>42086</v>
      </c>
      <c r="N2031" s="5"/>
      <c r="O2031" s="2">
        <v>1171.2</v>
      </c>
      <c r="P2031">
        <v>-11</v>
      </c>
      <c r="Q2031" s="2">
        <v>-12883.2</v>
      </c>
      <c r="R2031">
        <v>0</v>
      </c>
      <c r="V2031">
        <v>0</v>
      </c>
      <c r="W2031">
        <v>0</v>
      </c>
      <c r="X2031">
        <v>0</v>
      </c>
      <c r="Y2031">
        <v>0</v>
      </c>
      <c r="Z2031" s="2">
        <v>1171.2</v>
      </c>
      <c r="AA2031">
        <v>0</v>
      </c>
      <c r="AB2031" s="1">
        <v>42382</v>
      </c>
      <c r="AC2031" t="s">
        <v>53</v>
      </c>
      <c r="AD2031" t="s">
        <v>53</v>
      </c>
      <c r="AK2031">
        <v>0</v>
      </c>
      <c r="AU2031" s="6">
        <v>42075</v>
      </c>
      <c r="AV2031" s="6">
        <v>42075</v>
      </c>
      <c r="AW2031" t="s">
        <v>54</v>
      </c>
      <c r="AX2031" t="str">
        <f t="shared" si="157"/>
        <v>FOR</v>
      </c>
      <c r="AY2031" t="s">
        <v>55</v>
      </c>
    </row>
    <row r="2032" spans="1:51" hidden="1">
      <c r="A2032">
        <v>100494</v>
      </c>
      <c r="B2032" t="s">
        <v>197</v>
      </c>
      <c r="C2032" t="str">
        <f t="shared" si="163"/>
        <v>03524050238</v>
      </c>
      <c r="D2032" t="str">
        <f t="shared" si="163"/>
        <v>03524050238</v>
      </c>
      <c r="E2032" t="s">
        <v>52</v>
      </c>
      <c r="F2032">
        <v>2013</v>
      </c>
      <c r="G2032">
        <v>40308155</v>
      </c>
      <c r="H2032" s="1">
        <v>41613</v>
      </c>
      <c r="I2032" s="1">
        <v>42026</v>
      </c>
      <c r="J2032" s="1">
        <v>42026</v>
      </c>
      <c r="K2032" s="1">
        <v>42086</v>
      </c>
      <c r="N2032" s="5"/>
      <c r="O2032" s="2">
        <v>1037.24</v>
      </c>
      <c r="P2032">
        <v>-11</v>
      </c>
      <c r="Q2032" s="2">
        <v>-11409.64</v>
      </c>
      <c r="R2032">
        <v>0</v>
      </c>
      <c r="V2032">
        <v>0</v>
      </c>
      <c r="W2032">
        <v>0</v>
      </c>
      <c r="X2032">
        <v>0</v>
      </c>
      <c r="Y2032">
        <v>0</v>
      </c>
      <c r="Z2032" s="2">
        <v>1037.24</v>
      </c>
      <c r="AA2032">
        <v>0</v>
      </c>
      <c r="AB2032" s="1">
        <v>42382</v>
      </c>
      <c r="AC2032" t="s">
        <v>53</v>
      </c>
      <c r="AD2032" t="s">
        <v>53</v>
      </c>
      <c r="AK2032">
        <v>0</v>
      </c>
      <c r="AU2032" s="6">
        <v>42075</v>
      </c>
      <c r="AV2032" s="6">
        <v>42075</v>
      </c>
      <c r="AW2032" t="s">
        <v>54</v>
      </c>
      <c r="AX2032" t="str">
        <f t="shared" si="157"/>
        <v>FOR</v>
      </c>
      <c r="AY2032" t="s">
        <v>55</v>
      </c>
    </row>
    <row r="2033" spans="1:51" hidden="1">
      <c r="A2033">
        <v>100494</v>
      </c>
      <c r="B2033" t="s">
        <v>197</v>
      </c>
      <c r="C2033" t="str">
        <f t="shared" si="163"/>
        <v>03524050238</v>
      </c>
      <c r="D2033" t="str">
        <f t="shared" si="163"/>
        <v>03524050238</v>
      </c>
      <c r="E2033" t="s">
        <v>52</v>
      </c>
      <c r="F2033">
        <v>2013</v>
      </c>
      <c r="G2033">
        <v>40308959</v>
      </c>
      <c r="H2033" s="1">
        <v>41619</v>
      </c>
      <c r="I2033" s="1">
        <v>41639</v>
      </c>
      <c r="J2033" s="1">
        <v>41639</v>
      </c>
      <c r="K2033" s="1">
        <v>41729</v>
      </c>
      <c r="N2033" s="5"/>
      <c r="O2033" s="2">
        <v>4782.3999999999996</v>
      </c>
      <c r="P2033">
        <v>310</v>
      </c>
      <c r="Q2033" s="2">
        <v>1482544</v>
      </c>
      <c r="R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 s="1">
        <v>42382</v>
      </c>
      <c r="AC2033" t="s">
        <v>53</v>
      </c>
      <c r="AD2033" t="s">
        <v>53</v>
      </c>
      <c r="AK2033">
        <v>0</v>
      </c>
      <c r="AU2033" s="6">
        <v>42039</v>
      </c>
      <c r="AV2033" s="6">
        <v>42039</v>
      </c>
      <c r="AW2033" t="s">
        <v>54</v>
      </c>
      <c r="AX2033" t="str">
        <f t="shared" si="157"/>
        <v>FOR</v>
      </c>
      <c r="AY2033" t="s">
        <v>55</v>
      </c>
    </row>
    <row r="2034" spans="1:51" hidden="1">
      <c r="A2034">
        <v>100494</v>
      </c>
      <c r="B2034" t="s">
        <v>197</v>
      </c>
      <c r="C2034" t="str">
        <f t="shared" si="163"/>
        <v>03524050238</v>
      </c>
      <c r="D2034" t="str">
        <f t="shared" si="163"/>
        <v>03524050238</v>
      </c>
      <c r="E2034" t="s">
        <v>52</v>
      </c>
      <c r="F2034">
        <v>2014</v>
      </c>
      <c r="G2034">
        <v>332677</v>
      </c>
      <c r="H2034" s="1">
        <v>41772</v>
      </c>
      <c r="I2034" s="1">
        <v>41789</v>
      </c>
      <c r="J2034" s="1">
        <v>41789</v>
      </c>
      <c r="K2034" s="1">
        <v>41879</v>
      </c>
      <c r="N2034" s="5"/>
      <c r="O2034">
        <v>30.36</v>
      </c>
      <c r="P2034">
        <v>222</v>
      </c>
      <c r="Q2034" s="2">
        <v>6739.92</v>
      </c>
      <c r="R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 s="1">
        <v>42382</v>
      </c>
      <c r="AC2034" t="s">
        <v>53</v>
      </c>
      <c r="AD2034" t="s">
        <v>53</v>
      </c>
      <c r="AK2034">
        <v>0</v>
      </c>
      <c r="AU2034" s="6">
        <v>42101</v>
      </c>
      <c r="AV2034" s="6">
        <v>42101</v>
      </c>
      <c r="AW2034" t="s">
        <v>54</v>
      </c>
      <c r="AX2034" t="str">
        <f t="shared" si="157"/>
        <v>FOR</v>
      </c>
      <c r="AY2034" t="s">
        <v>55</v>
      </c>
    </row>
    <row r="2035" spans="1:51" hidden="1">
      <c r="A2035">
        <v>100494</v>
      </c>
      <c r="B2035" t="s">
        <v>197</v>
      </c>
      <c r="C2035" t="str">
        <f t="shared" si="163"/>
        <v>03524050238</v>
      </c>
      <c r="D2035" t="str">
        <f t="shared" si="163"/>
        <v>03524050238</v>
      </c>
      <c r="E2035" t="s">
        <v>52</v>
      </c>
      <c r="F2035">
        <v>2014</v>
      </c>
      <c r="G2035">
        <v>40314292</v>
      </c>
      <c r="H2035" s="1">
        <v>41660</v>
      </c>
      <c r="I2035" s="1">
        <v>41684</v>
      </c>
      <c r="J2035" s="1">
        <v>41684</v>
      </c>
      <c r="K2035" s="1">
        <v>41774</v>
      </c>
      <c r="N2035" s="5"/>
      <c r="O2035" s="2">
        <v>10199.200000000001</v>
      </c>
      <c r="P2035">
        <v>265</v>
      </c>
      <c r="Q2035" s="2">
        <v>2702788</v>
      </c>
      <c r="R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 s="1">
        <v>42382</v>
      </c>
      <c r="AC2035" t="s">
        <v>53</v>
      </c>
      <c r="AD2035" t="s">
        <v>53</v>
      </c>
      <c r="AK2035">
        <v>0</v>
      </c>
      <c r="AU2035" s="6">
        <v>42039</v>
      </c>
      <c r="AV2035" s="6">
        <v>42039</v>
      </c>
      <c r="AW2035" t="s">
        <v>54</v>
      </c>
      <c r="AX2035" t="str">
        <f t="shared" si="157"/>
        <v>FOR</v>
      </c>
      <c r="AY2035" t="s">
        <v>55</v>
      </c>
    </row>
    <row r="2036" spans="1:51" hidden="1">
      <c r="A2036">
        <v>100494</v>
      </c>
      <c r="B2036" t="s">
        <v>197</v>
      </c>
      <c r="C2036" t="str">
        <f t="shared" si="163"/>
        <v>03524050238</v>
      </c>
      <c r="D2036" t="str">
        <f t="shared" si="163"/>
        <v>03524050238</v>
      </c>
      <c r="E2036" t="s">
        <v>52</v>
      </c>
      <c r="F2036">
        <v>2014</v>
      </c>
      <c r="G2036">
        <v>40322668</v>
      </c>
      <c r="H2036" s="1">
        <v>41709</v>
      </c>
      <c r="I2036" s="1">
        <v>41736</v>
      </c>
      <c r="J2036" s="1">
        <v>41736</v>
      </c>
      <c r="K2036" s="1">
        <v>41826</v>
      </c>
      <c r="N2036" s="5"/>
      <c r="O2036">
        <v>307.44</v>
      </c>
      <c r="P2036">
        <v>249</v>
      </c>
      <c r="Q2036" s="2">
        <v>76552.56</v>
      </c>
      <c r="R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 s="1">
        <v>42382</v>
      </c>
      <c r="AC2036" t="s">
        <v>53</v>
      </c>
      <c r="AD2036" t="s">
        <v>53</v>
      </c>
      <c r="AK2036">
        <v>0</v>
      </c>
      <c r="AU2036" s="6">
        <v>42075</v>
      </c>
      <c r="AV2036" s="6">
        <v>42075</v>
      </c>
      <c r="AW2036" t="s">
        <v>54</v>
      </c>
      <c r="AX2036" t="str">
        <f t="shared" si="157"/>
        <v>FOR</v>
      </c>
      <c r="AY2036" t="s">
        <v>55</v>
      </c>
    </row>
    <row r="2037" spans="1:51" hidden="1">
      <c r="A2037">
        <v>100494</v>
      </c>
      <c r="B2037" t="s">
        <v>197</v>
      </c>
      <c r="C2037" t="str">
        <f t="shared" si="163"/>
        <v>03524050238</v>
      </c>
      <c r="D2037" t="str">
        <f t="shared" si="163"/>
        <v>03524050238</v>
      </c>
      <c r="E2037" t="s">
        <v>52</v>
      </c>
      <c r="F2037">
        <v>2014</v>
      </c>
      <c r="G2037">
        <v>40323334</v>
      </c>
      <c r="H2037" s="1">
        <v>41715</v>
      </c>
      <c r="I2037" s="1">
        <v>41737</v>
      </c>
      <c r="J2037" s="1">
        <v>41737</v>
      </c>
      <c r="K2037" s="1">
        <v>41827</v>
      </c>
      <c r="N2037" s="5"/>
      <c r="O2037">
        <v>658.8</v>
      </c>
      <c r="P2037">
        <v>248</v>
      </c>
      <c r="Q2037" s="2">
        <v>163382.39999999999</v>
      </c>
      <c r="R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 s="1">
        <v>42382</v>
      </c>
      <c r="AC2037" t="s">
        <v>53</v>
      </c>
      <c r="AD2037" t="s">
        <v>53</v>
      </c>
      <c r="AK2037">
        <v>0</v>
      </c>
      <c r="AU2037" s="6">
        <v>42075</v>
      </c>
      <c r="AV2037" s="6">
        <v>42075</v>
      </c>
      <c r="AW2037" t="s">
        <v>54</v>
      </c>
      <c r="AX2037" t="str">
        <f t="shared" si="157"/>
        <v>FOR</v>
      </c>
      <c r="AY2037" t="s">
        <v>55</v>
      </c>
    </row>
    <row r="2038" spans="1:51" hidden="1">
      <c r="A2038">
        <v>100494</v>
      </c>
      <c r="B2038" t="s">
        <v>197</v>
      </c>
      <c r="C2038" t="str">
        <f t="shared" si="163"/>
        <v>03524050238</v>
      </c>
      <c r="D2038" t="str">
        <f t="shared" si="163"/>
        <v>03524050238</v>
      </c>
      <c r="E2038" t="s">
        <v>52</v>
      </c>
      <c r="F2038">
        <v>2014</v>
      </c>
      <c r="G2038">
        <v>40324603</v>
      </c>
      <c r="H2038" s="1">
        <v>41723</v>
      </c>
      <c r="I2038" s="1">
        <v>41743</v>
      </c>
      <c r="J2038" s="1">
        <v>41743</v>
      </c>
      <c r="K2038" s="1">
        <v>41833</v>
      </c>
      <c r="N2038" s="5"/>
      <c r="O2038" s="2">
        <v>4782.3999999999996</v>
      </c>
      <c r="P2038">
        <v>242</v>
      </c>
      <c r="Q2038" s="2">
        <v>1157340.8</v>
      </c>
      <c r="R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 s="1">
        <v>42382</v>
      </c>
      <c r="AC2038" t="s">
        <v>53</v>
      </c>
      <c r="AD2038" t="s">
        <v>53</v>
      </c>
      <c r="AK2038">
        <v>0</v>
      </c>
      <c r="AU2038" s="6">
        <v>42075</v>
      </c>
      <c r="AV2038" s="6">
        <v>42075</v>
      </c>
      <c r="AW2038" t="s">
        <v>54</v>
      </c>
      <c r="AX2038" t="str">
        <f t="shared" si="157"/>
        <v>FOR</v>
      </c>
      <c r="AY2038" t="s">
        <v>55</v>
      </c>
    </row>
    <row r="2039" spans="1:51" hidden="1">
      <c r="A2039">
        <v>100494</v>
      </c>
      <c r="B2039" t="s">
        <v>197</v>
      </c>
      <c r="C2039" t="str">
        <f t="shared" si="163"/>
        <v>03524050238</v>
      </c>
      <c r="D2039" t="str">
        <f t="shared" si="163"/>
        <v>03524050238</v>
      </c>
      <c r="E2039" t="s">
        <v>52</v>
      </c>
      <c r="F2039">
        <v>2014</v>
      </c>
      <c r="G2039">
        <v>40330415</v>
      </c>
      <c r="H2039" s="1">
        <v>41759</v>
      </c>
      <c r="I2039" s="1">
        <v>41788</v>
      </c>
      <c r="J2039" s="1">
        <v>41788</v>
      </c>
      <c r="K2039" s="1">
        <v>41878</v>
      </c>
      <c r="N2039" s="5"/>
      <c r="O2039" s="2">
        <v>15079.2</v>
      </c>
      <c r="P2039">
        <v>223</v>
      </c>
      <c r="Q2039" s="2">
        <v>3362661.6</v>
      </c>
      <c r="R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 s="1">
        <v>42382</v>
      </c>
      <c r="AC2039" t="s">
        <v>53</v>
      </c>
      <c r="AD2039" t="s">
        <v>53</v>
      </c>
      <c r="AK2039">
        <v>0</v>
      </c>
      <c r="AU2039" s="6">
        <v>42101</v>
      </c>
      <c r="AV2039" s="6">
        <v>42101</v>
      </c>
      <c r="AW2039" t="s">
        <v>54</v>
      </c>
      <c r="AX2039" t="str">
        <f t="shared" si="157"/>
        <v>FOR</v>
      </c>
      <c r="AY2039" t="s">
        <v>55</v>
      </c>
    </row>
    <row r="2040" spans="1:51" hidden="1">
      <c r="A2040">
        <v>100494</v>
      </c>
      <c r="B2040" t="s">
        <v>197</v>
      </c>
      <c r="C2040" t="str">
        <f t="shared" si="163"/>
        <v>03524050238</v>
      </c>
      <c r="D2040" t="str">
        <f t="shared" si="163"/>
        <v>03524050238</v>
      </c>
      <c r="E2040" t="s">
        <v>52</v>
      </c>
      <c r="F2040">
        <v>2014</v>
      </c>
      <c r="G2040">
        <v>40333753</v>
      </c>
      <c r="H2040" s="1">
        <v>41779</v>
      </c>
      <c r="I2040" s="1">
        <v>41800</v>
      </c>
      <c r="J2040" s="1">
        <v>41800</v>
      </c>
      <c r="K2040" s="1">
        <v>41890</v>
      </c>
      <c r="N2040" s="5"/>
      <c r="O2040">
        <v>861.32</v>
      </c>
      <c r="P2040">
        <v>269</v>
      </c>
      <c r="Q2040" s="2">
        <v>231695.08</v>
      </c>
      <c r="R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 s="1">
        <v>42382</v>
      </c>
      <c r="AC2040" t="s">
        <v>53</v>
      </c>
      <c r="AD2040" t="s">
        <v>53</v>
      </c>
      <c r="AK2040">
        <v>0</v>
      </c>
      <c r="AU2040" s="6">
        <v>42159</v>
      </c>
      <c r="AV2040" s="6">
        <v>42159</v>
      </c>
      <c r="AW2040" t="s">
        <v>54</v>
      </c>
      <c r="AX2040" t="str">
        <f t="shared" si="157"/>
        <v>FOR</v>
      </c>
      <c r="AY2040" t="s">
        <v>55</v>
      </c>
    </row>
    <row r="2041" spans="1:51" hidden="1">
      <c r="A2041">
        <v>100494</v>
      </c>
      <c r="B2041" t="s">
        <v>197</v>
      </c>
      <c r="C2041" t="str">
        <f t="shared" si="163"/>
        <v>03524050238</v>
      </c>
      <c r="D2041" t="str">
        <f t="shared" si="163"/>
        <v>03524050238</v>
      </c>
      <c r="E2041" t="s">
        <v>52</v>
      </c>
      <c r="F2041">
        <v>2014</v>
      </c>
      <c r="G2041">
        <v>40339389</v>
      </c>
      <c r="H2041" s="1">
        <v>41814</v>
      </c>
      <c r="I2041" s="1">
        <v>41843</v>
      </c>
      <c r="J2041" s="1">
        <v>41843</v>
      </c>
      <c r="K2041" s="1">
        <v>41933</v>
      </c>
      <c r="N2041" s="5"/>
      <c r="O2041" s="2">
        <v>4221.2</v>
      </c>
      <c r="P2041">
        <v>226</v>
      </c>
      <c r="Q2041" s="2">
        <v>953991.2</v>
      </c>
      <c r="R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 s="1">
        <v>42382</v>
      </c>
      <c r="AC2041" t="s">
        <v>53</v>
      </c>
      <c r="AD2041" t="s">
        <v>53</v>
      </c>
      <c r="AK2041">
        <v>0</v>
      </c>
      <c r="AU2041" s="6">
        <v>42159</v>
      </c>
      <c r="AV2041" s="6">
        <v>42159</v>
      </c>
      <c r="AW2041" t="s">
        <v>54</v>
      </c>
      <c r="AX2041" t="str">
        <f t="shared" si="157"/>
        <v>FOR</v>
      </c>
      <c r="AY2041" t="s">
        <v>55</v>
      </c>
    </row>
    <row r="2042" spans="1:51" hidden="1">
      <c r="A2042">
        <v>100494</v>
      </c>
      <c r="B2042" t="s">
        <v>197</v>
      </c>
      <c r="C2042" t="str">
        <f t="shared" si="163"/>
        <v>03524050238</v>
      </c>
      <c r="D2042" t="str">
        <f t="shared" si="163"/>
        <v>03524050238</v>
      </c>
      <c r="E2042" t="s">
        <v>52</v>
      </c>
      <c r="F2042">
        <v>2014</v>
      </c>
      <c r="G2042">
        <v>40342673</v>
      </c>
      <c r="H2042" s="1">
        <v>41830</v>
      </c>
      <c r="I2042" s="1">
        <v>41845</v>
      </c>
      <c r="J2042" s="1">
        <v>41845</v>
      </c>
      <c r="K2042" s="1">
        <v>41935</v>
      </c>
      <c r="N2042" s="5"/>
      <c r="O2042" s="2">
        <v>1329.8</v>
      </c>
      <c r="P2042">
        <v>253</v>
      </c>
      <c r="Q2042" s="2">
        <v>336439.4</v>
      </c>
      <c r="R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 s="1">
        <v>42382</v>
      </c>
      <c r="AC2042" t="s">
        <v>53</v>
      </c>
      <c r="AD2042" t="s">
        <v>53</v>
      </c>
      <c r="AK2042">
        <v>0</v>
      </c>
      <c r="AU2042" s="6">
        <v>42188</v>
      </c>
      <c r="AV2042" s="6">
        <v>42188</v>
      </c>
      <c r="AW2042" t="s">
        <v>54</v>
      </c>
      <c r="AX2042" t="str">
        <f t="shared" si="157"/>
        <v>FOR</v>
      </c>
      <c r="AY2042" t="s">
        <v>55</v>
      </c>
    </row>
    <row r="2043" spans="1:51" hidden="1">
      <c r="A2043">
        <v>100494</v>
      </c>
      <c r="B2043" t="s">
        <v>197</v>
      </c>
      <c r="C2043" t="str">
        <f t="shared" si="163"/>
        <v>03524050238</v>
      </c>
      <c r="D2043" t="str">
        <f t="shared" si="163"/>
        <v>03524050238</v>
      </c>
      <c r="E2043" t="s">
        <v>52</v>
      </c>
      <c r="F2043">
        <v>2014</v>
      </c>
      <c r="G2043">
        <v>40345976</v>
      </c>
      <c r="H2043" s="1">
        <v>41850</v>
      </c>
      <c r="I2043" s="1">
        <v>41877</v>
      </c>
      <c r="J2043" s="1">
        <v>41877</v>
      </c>
      <c r="K2043" s="1">
        <v>41967</v>
      </c>
      <c r="N2043" s="5"/>
      <c r="O2043" s="2">
        <v>10199.200000000001</v>
      </c>
      <c r="P2043">
        <v>221</v>
      </c>
      <c r="Q2043" s="2">
        <v>2254023.2000000002</v>
      </c>
      <c r="R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 s="1">
        <v>42382</v>
      </c>
      <c r="AC2043" t="s">
        <v>53</v>
      </c>
      <c r="AD2043" t="s">
        <v>53</v>
      </c>
      <c r="AK2043">
        <v>0</v>
      </c>
      <c r="AU2043" s="6">
        <v>42188</v>
      </c>
      <c r="AV2043" s="6">
        <v>42188</v>
      </c>
      <c r="AW2043" t="s">
        <v>54</v>
      </c>
      <c r="AX2043" t="str">
        <f t="shared" si="157"/>
        <v>FOR</v>
      </c>
      <c r="AY2043" t="s">
        <v>55</v>
      </c>
    </row>
    <row r="2044" spans="1:51" hidden="1">
      <c r="A2044">
        <v>100494</v>
      </c>
      <c r="B2044" t="s">
        <v>197</v>
      </c>
      <c r="C2044" t="str">
        <f t="shared" si="163"/>
        <v>03524050238</v>
      </c>
      <c r="D2044" t="str">
        <f t="shared" si="163"/>
        <v>03524050238</v>
      </c>
      <c r="E2044" t="s">
        <v>52</v>
      </c>
      <c r="F2044">
        <v>2014</v>
      </c>
      <c r="G2044">
        <v>40346148</v>
      </c>
      <c r="H2044" s="1">
        <v>41850</v>
      </c>
      <c r="I2044" s="1">
        <v>41877</v>
      </c>
      <c r="J2044" s="1">
        <v>41877</v>
      </c>
      <c r="K2044" s="1">
        <v>41967</v>
      </c>
      <c r="N2044" s="5"/>
      <c r="O2044">
        <v>41.58</v>
      </c>
      <c r="P2044">
        <v>221</v>
      </c>
      <c r="Q2044" s="2">
        <v>9189.18</v>
      </c>
      <c r="R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 s="1">
        <v>42382</v>
      </c>
      <c r="AC2044" t="s">
        <v>53</v>
      </c>
      <c r="AD2044" t="s">
        <v>53</v>
      </c>
      <c r="AK2044">
        <v>0</v>
      </c>
      <c r="AU2044" s="6">
        <v>42188</v>
      </c>
      <c r="AV2044" s="6">
        <v>42188</v>
      </c>
      <c r="AW2044" t="s">
        <v>54</v>
      </c>
      <c r="AX2044" t="str">
        <f t="shared" si="157"/>
        <v>FOR</v>
      </c>
      <c r="AY2044" t="s">
        <v>55</v>
      </c>
    </row>
    <row r="2045" spans="1:51" hidden="1">
      <c r="A2045">
        <v>100494</v>
      </c>
      <c r="B2045" t="s">
        <v>197</v>
      </c>
      <c r="C2045" t="str">
        <f t="shared" si="163"/>
        <v>03524050238</v>
      </c>
      <c r="D2045" t="str">
        <f t="shared" si="163"/>
        <v>03524050238</v>
      </c>
      <c r="E2045" t="s">
        <v>52</v>
      </c>
      <c r="F2045">
        <v>2014</v>
      </c>
      <c r="G2045">
        <v>40352275</v>
      </c>
      <c r="H2045" s="1">
        <v>41900</v>
      </c>
      <c r="I2045" s="1">
        <v>41932</v>
      </c>
      <c r="J2045" s="1">
        <v>41932</v>
      </c>
      <c r="K2045" s="1">
        <v>41992</v>
      </c>
      <c r="N2045" s="5"/>
      <c r="O2045" s="2">
        <v>4245.6000000000004</v>
      </c>
      <c r="P2045">
        <v>257</v>
      </c>
      <c r="Q2045" s="2">
        <v>1091119.2</v>
      </c>
      <c r="R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 s="1">
        <v>42382</v>
      </c>
      <c r="AC2045" t="s">
        <v>53</v>
      </c>
      <c r="AD2045" t="s">
        <v>53</v>
      </c>
      <c r="AK2045">
        <v>0</v>
      </c>
      <c r="AU2045" s="6">
        <v>42249</v>
      </c>
      <c r="AV2045" s="6">
        <v>42249</v>
      </c>
      <c r="AW2045" t="s">
        <v>54</v>
      </c>
      <c r="AX2045" t="str">
        <f t="shared" si="157"/>
        <v>FOR</v>
      </c>
      <c r="AY2045" t="s">
        <v>55</v>
      </c>
    </row>
    <row r="2046" spans="1:51">
      <c r="A2046">
        <v>100494</v>
      </c>
      <c r="B2046" t="s">
        <v>197</v>
      </c>
      <c r="C2046" t="str">
        <f t="shared" si="163"/>
        <v>03524050238</v>
      </c>
      <c r="D2046" t="str">
        <f t="shared" si="163"/>
        <v>03524050238</v>
      </c>
      <c r="E2046" t="s">
        <v>52</v>
      </c>
      <c r="F2046">
        <v>2014</v>
      </c>
      <c r="G2046">
        <v>40361646</v>
      </c>
      <c r="H2046" s="1">
        <v>41961</v>
      </c>
      <c r="I2046" s="1">
        <v>42075</v>
      </c>
      <c r="J2046" s="1">
        <v>42075</v>
      </c>
      <c r="K2046" s="1">
        <v>42135</v>
      </c>
      <c r="L2046" s="7">
        <v>505.08</v>
      </c>
      <c r="M2046" s="5">
        <v>169</v>
      </c>
      <c r="N2046" s="7">
        <v>85358.52</v>
      </c>
      <c r="O2046">
        <v>505.08</v>
      </c>
      <c r="P2046">
        <v>169</v>
      </c>
      <c r="Q2046" s="2">
        <v>85358.52</v>
      </c>
      <c r="R2046">
        <v>0</v>
      </c>
      <c r="V2046">
        <v>0</v>
      </c>
      <c r="W2046">
        <v>0</v>
      </c>
      <c r="X2046">
        <v>0</v>
      </c>
      <c r="Y2046">
        <v>0</v>
      </c>
      <c r="Z2046">
        <v>505.08</v>
      </c>
      <c r="AA2046">
        <v>0</v>
      </c>
      <c r="AB2046" s="1">
        <v>42382</v>
      </c>
      <c r="AC2046" t="s">
        <v>53</v>
      </c>
      <c r="AD2046" t="s">
        <v>53</v>
      </c>
      <c r="AK2046">
        <v>0</v>
      </c>
      <c r="AU2046" s="6">
        <v>42304</v>
      </c>
      <c r="AV2046" s="6">
        <v>42304</v>
      </c>
      <c r="AW2046" t="s">
        <v>54</v>
      </c>
      <c r="AX2046" t="str">
        <f t="shared" si="157"/>
        <v>FOR</v>
      </c>
      <c r="AY2046" t="s">
        <v>55</v>
      </c>
    </row>
    <row r="2047" spans="1:51">
      <c r="A2047">
        <v>100494</v>
      </c>
      <c r="B2047" t="s">
        <v>197</v>
      </c>
      <c r="C2047" t="str">
        <f t="shared" si="163"/>
        <v>03524050238</v>
      </c>
      <c r="D2047" t="str">
        <f t="shared" si="163"/>
        <v>03524050238</v>
      </c>
      <c r="E2047" t="s">
        <v>52</v>
      </c>
      <c r="F2047">
        <v>2014</v>
      </c>
      <c r="G2047">
        <v>40363146</v>
      </c>
      <c r="H2047" s="1">
        <v>41970</v>
      </c>
      <c r="I2047" s="1">
        <v>41990</v>
      </c>
      <c r="J2047" s="1">
        <v>41990</v>
      </c>
      <c r="K2047" s="1">
        <v>42050</v>
      </c>
      <c r="L2047" s="7">
        <v>8674.2000000000007</v>
      </c>
      <c r="M2047" s="5">
        <v>254</v>
      </c>
      <c r="N2047" s="7">
        <v>2203246.7999999998</v>
      </c>
      <c r="O2047" s="2">
        <v>8674.2000000000007</v>
      </c>
      <c r="P2047">
        <v>254</v>
      </c>
      <c r="Q2047" s="2">
        <v>2203246.7999999998</v>
      </c>
      <c r="R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 s="1">
        <v>42382</v>
      </c>
      <c r="AC2047" t="s">
        <v>53</v>
      </c>
      <c r="AD2047" t="s">
        <v>53</v>
      </c>
      <c r="AK2047">
        <v>0</v>
      </c>
      <c r="AU2047" s="6">
        <v>42304</v>
      </c>
      <c r="AV2047" s="6">
        <v>42304</v>
      </c>
      <c r="AW2047" t="s">
        <v>54</v>
      </c>
      <c r="AX2047" t="str">
        <f t="shared" si="157"/>
        <v>FOR</v>
      </c>
      <c r="AY2047" t="s">
        <v>55</v>
      </c>
    </row>
    <row r="2048" spans="1:51">
      <c r="A2048">
        <v>100494</v>
      </c>
      <c r="B2048" t="s">
        <v>197</v>
      </c>
      <c r="C2048" t="str">
        <f t="shared" si="163"/>
        <v>03524050238</v>
      </c>
      <c r="D2048" t="str">
        <f t="shared" si="163"/>
        <v>03524050238</v>
      </c>
      <c r="E2048" t="s">
        <v>52</v>
      </c>
      <c r="F2048">
        <v>2015</v>
      </c>
      <c r="G2048">
        <v>740372061</v>
      </c>
      <c r="H2048" s="1">
        <v>42027</v>
      </c>
      <c r="I2048" s="1">
        <v>42053</v>
      </c>
      <c r="J2048" s="1">
        <v>42053</v>
      </c>
      <c r="K2048" s="1">
        <v>42113</v>
      </c>
      <c r="L2048" s="7">
        <v>4330</v>
      </c>
      <c r="M2048" s="5">
        <v>243</v>
      </c>
      <c r="N2048" s="7">
        <v>1052190</v>
      </c>
      <c r="O2048" s="2">
        <v>4330</v>
      </c>
      <c r="P2048">
        <v>243</v>
      </c>
      <c r="Q2048" s="2">
        <v>1052190</v>
      </c>
      <c r="R2048">
        <v>952.6</v>
      </c>
      <c r="V2048">
        <v>0</v>
      </c>
      <c r="W2048">
        <v>0</v>
      </c>
      <c r="X2048">
        <v>0</v>
      </c>
      <c r="Y2048" s="2">
        <v>5282.6</v>
      </c>
      <c r="Z2048" s="2">
        <v>5282.6</v>
      </c>
      <c r="AA2048" s="2">
        <v>5282.6</v>
      </c>
      <c r="AB2048" s="1">
        <v>42382</v>
      </c>
      <c r="AC2048" t="s">
        <v>53</v>
      </c>
      <c r="AD2048" t="s">
        <v>53</v>
      </c>
      <c r="AK2048">
        <v>952.6</v>
      </c>
      <c r="AU2048" s="6">
        <v>42356</v>
      </c>
      <c r="AV2048" s="6">
        <v>42356</v>
      </c>
      <c r="AW2048" t="s">
        <v>54</v>
      </c>
      <c r="AX2048" t="str">
        <f t="shared" si="157"/>
        <v>FOR</v>
      </c>
      <c r="AY2048" t="s">
        <v>55</v>
      </c>
    </row>
    <row r="2049" spans="1:51">
      <c r="A2049">
        <v>100494</v>
      </c>
      <c r="B2049" t="s">
        <v>197</v>
      </c>
      <c r="C2049" t="str">
        <f t="shared" si="163"/>
        <v>03524050238</v>
      </c>
      <c r="D2049" t="str">
        <f t="shared" si="163"/>
        <v>03524050238</v>
      </c>
      <c r="E2049" t="s">
        <v>52</v>
      </c>
      <c r="F2049">
        <v>2015</v>
      </c>
      <c r="G2049">
        <v>740372404</v>
      </c>
      <c r="H2049" s="1">
        <v>42030</v>
      </c>
      <c r="I2049" s="1">
        <v>42054</v>
      </c>
      <c r="J2049" s="1">
        <v>42054</v>
      </c>
      <c r="K2049" s="1">
        <v>42114</v>
      </c>
      <c r="L2049" s="7">
        <v>7600</v>
      </c>
      <c r="M2049" s="5">
        <v>242</v>
      </c>
      <c r="N2049" s="7">
        <v>1839200</v>
      </c>
      <c r="O2049" s="2">
        <v>7600</v>
      </c>
      <c r="P2049">
        <v>242</v>
      </c>
      <c r="Q2049" s="2">
        <v>1839200</v>
      </c>
      <c r="R2049" s="2">
        <v>1672</v>
      </c>
      <c r="V2049">
        <v>0</v>
      </c>
      <c r="W2049">
        <v>0</v>
      </c>
      <c r="X2049">
        <v>0</v>
      </c>
      <c r="Y2049" s="2">
        <v>9272</v>
      </c>
      <c r="Z2049" s="2">
        <v>9272</v>
      </c>
      <c r="AA2049" s="2">
        <v>9272</v>
      </c>
      <c r="AB2049" s="1">
        <v>42382</v>
      </c>
      <c r="AC2049" t="s">
        <v>53</v>
      </c>
      <c r="AD2049" t="s">
        <v>53</v>
      </c>
      <c r="AK2049" s="2">
        <v>1672</v>
      </c>
      <c r="AU2049" s="6">
        <v>42356</v>
      </c>
      <c r="AV2049" s="6">
        <v>42356</v>
      </c>
      <c r="AW2049" t="s">
        <v>54</v>
      </c>
      <c r="AX2049" t="str">
        <f t="shared" si="157"/>
        <v>FOR</v>
      </c>
      <c r="AY2049" t="s">
        <v>55</v>
      </c>
    </row>
    <row r="2050" spans="1:51">
      <c r="A2050">
        <v>100494</v>
      </c>
      <c r="B2050" t="s">
        <v>197</v>
      </c>
      <c r="C2050" t="str">
        <f t="shared" si="163"/>
        <v>03524050238</v>
      </c>
      <c r="D2050" t="str">
        <f t="shared" si="163"/>
        <v>03524050238</v>
      </c>
      <c r="E2050" t="s">
        <v>52</v>
      </c>
      <c r="F2050">
        <v>2015</v>
      </c>
      <c r="G2050">
        <v>740372670</v>
      </c>
      <c r="H2050" s="1">
        <v>42031</v>
      </c>
      <c r="I2050" s="1">
        <v>42054</v>
      </c>
      <c r="J2050" s="1">
        <v>42054</v>
      </c>
      <c r="K2050" s="1">
        <v>42114</v>
      </c>
      <c r="L2050" s="7">
        <v>913</v>
      </c>
      <c r="M2050" s="5">
        <v>242</v>
      </c>
      <c r="N2050" s="7">
        <v>220946</v>
      </c>
      <c r="O2050">
        <v>913</v>
      </c>
      <c r="P2050">
        <v>242</v>
      </c>
      <c r="Q2050" s="2">
        <v>220946</v>
      </c>
      <c r="R2050">
        <v>200.86</v>
      </c>
      <c r="V2050">
        <v>0</v>
      </c>
      <c r="W2050">
        <v>0</v>
      </c>
      <c r="X2050">
        <v>0</v>
      </c>
      <c r="Y2050" s="2">
        <v>1113.8599999999999</v>
      </c>
      <c r="Z2050" s="2">
        <v>1113.8599999999999</v>
      </c>
      <c r="AA2050" s="2">
        <v>1113.8599999999999</v>
      </c>
      <c r="AB2050" s="1">
        <v>42382</v>
      </c>
      <c r="AC2050" t="s">
        <v>53</v>
      </c>
      <c r="AD2050" t="s">
        <v>53</v>
      </c>
      <c r="AK2050">
        <v>200.86</v>
      </c>
      <c r="AU2050" s="6">
        <v>42356</v>
      </c>
      <c r="AV2050" s="6">
        <v>42356</v>
      </c>
      <c r="AW2050" t="s">
        <v>54</v>
      </c>
      <c r="AX2050" t="str">
        <f t="shared" si="157"/>
        <v>FOR</v>
      </c>
      <c r="AY2050" t="s">
        <v>55</v>
      </c>
    </row>
    <row r="2051" spans="1:51" hidden="1">
      <c r="A2051">
        <v>100500</v>
      </c>
      <c r="B2051" t="s">
        <v>198</v>
      </c>
      <c r="C2051" t="str">
        <f>"00777280157"</f>
        <v>00777280157</v>
      </c>
      <c r="D2051" t="str">
        <f>"02401440157"</f>
        <v>02401440157</v>
      </c>
      <c r="E2051" t="s">
        <v>52</v>
      </c>
      <c r="F2051">
        <v>2013</v>
      </c>
      <c r="G2051">
        <v>761586</v>
      </c>
      <c r="H2051" s="1">
        <v>41628</v>
      </c>
      <c r="I2051" s="1">
        <v>41639</v>
      </c>
      <c r="J2051" s="1">
        <v>41639</v>
      </c>
      <c r="K2051" s="1">
        <v>41729</v>
      </c>
      <c r="N2051" s="5"/>
      <c r="O2051" s="2">
        <v>1042.8</v>
      </c>
      <c r="P2051">
        <v>462</v>
      </c>
      <c r="Q2051" s="2">
        <v>481773.6</v>
      </c>
      <c r="R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 s="1">
        <v>42382</v>
      </c>
      <c r="AC2051" t="s">
        <v>53</v>
      </c>
      <c r="AD2051" t="s">
        <v>53</v>
      </c>
      <c r="AK2051">
        <v>0</v>
      </c>
      <c r="AU2051" s="6">
        <v>42191</v>
      </c>
      <c r="AV2051" s="6">
        <v>42191</v>
      </c>
      <c r="AW2051" t="s">
        <v>54</v>
      </c>
      <c r="AX2051" t="str">
        <f t="shared" ref="AX2051:AX2114" si="164">"FOR"</f>
        <v>FOR</v>
      </c>
      <c r="AY2051" t="s">
        <v>55</v>
      </c>
    </row>
    <row r="2052" spans="1:51" hidden="1">
      <c r="A2052">
        <v>100500</v>
      </c>
      <c r="B2052" t="s">
        <v>198</v>
      </c>
      <c r="C2052" t="str">
        <f>"00777280157"</f>
        <v>00777280157</v>
      </c>
      <c r="D2052" t="str">
        <f>"02401440157"</f>
        <v>02401440157</v>
      </c>
      <c r="E2052" t="s">
        <v>52</v>
      </c>
      <c r="F2052">
        <v>2014</v>
      </c>
      <c r="G2052">
        <v>831784</v>
      </c>
      <c r="H2052" s="1">
        <v>41842</v>
      </c>
      <c r="I2052" s="1">
        <v>41851</v>
      </c>
      <c r="J2052" s="1">
        <v>41851</v>
      </c>
      <c r="K2052" s="1">
        <v>41941</v>
      </c>
      <c r="N2052" s="5"/>
      <c r="O2052" s="2">
        <v>1042.8</v>
      </c>
      <c r="P2052">
        <v>250</v>
      </c>
      <c r="Q2052" s="2">
        <v>260700</v>
      </c>
      <c r="R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 s="1">
        <v>42382</v>
      </c>
      <c r="AC2052" t="s">
        <v>53</v>
      </c>
      <c r="AD2052" t="s">
        <v>53</v>
      </c>
      <c r="AK2052">
        <v>0</v>
      </c>
      <c r="AU2052" s="6">
        <v>42191</v>
      </c>
      <c r="AV2052" s="6">
        <v>42191</v>
      </c>
      <c r="AW2052" t="s">
        <v>54</v>
      </c>
      <c r="AX2052" t="str">
        <f t="shared" si="164"/>
        <v>FOR</v>
      </c>
      <c r="AY2052" t="s">
        <v>55</v>
      </c>
    </row>
    <row r="2053" spans="1:51" hidden="1">
      <c r="A2053">
        <v>100500</v>
      </c>
      <c r="B2053" t="s">
        <v>198</v>
      </c>
      <c r="C2053" t="str">
        <f>"00777280157"</f>
        <v>00777280157</v>
      </c>
      <c r="D2053" t="str">
        <f>"02401440157"</f>
        <v>02401440157</v>
      </c>
      <c r="E2053" t="s">
        <v>52</v>
      </c>
      <c r="F2053">
        <v>2014</v>
      </c>
      <c r="G2053">
        <v>841391</v>
      </c>
      <c r="H2053" s="1">
        <v>41878</v>
      </c>
      <c r="I2053" s="1">
        <v>41897</v>
      </c>
      <c r="J2053" s="1">
        <v>41897</v>
      </c>
      <c r="K2053" s="1">
        <v>41987</v>
      </c>
      <c r="N2053" s="5"/>
      <c r="O2053">
        <v>521.4</v>
      </c>
      <c r="P2053">
        <v>204</v>
      </c>
      <c r="Q2053" s="2">
        <v>106365.6</v>
      </c>
      <c r="R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 s="1">
        <v>42382</v>
      </c>
      <c r="AC2053" t="s">
        <v>53</v>
      </c>
      <c r="AD2053" t="s">
        <v>53</v>
      </c>
      <c r="AK2053">
        <v>0</v>
      </c>
      <c r="AU2053" s="6">
        <v>42191</v>
      </c>
      <c r="AV2053" s="6">
        <v>42191</v>
      </c>
      <c r="AW2053" t="s">
        <v>54</v>
      </c>
      <c r="AX2053" t="str">
        <f t="shared" si="164"/>
        <v>FOR</v>
      </c>
      <c r="AY2053" t="s">
        <v>55</v>
      </c>
    </row>
    <row r="2054" spans="1:51">
      <c r="A2054">
        <v>100500</v>
      </c>
      <c r="B2054" t="s">
        <v>198</v>
      </c>
      <c r="C2054" t="str">
        <f>"00777280157"</f>
        <v>00777280157</v>
      </c>
      <c r="D2054" t="str">
        <f>"02401440157"</f>
        <v>02401440157</v>
      </c>
      <c r="E2054" t="s">
        <v>52</v>
      </c>
      <c r="F2054">
        <v>2014</v>
      </c>
      <c r="G2054">
        <v>868449</v>
      </c>
      <c r="H2054" s="1">
        <v>41956</v>
      </c>
      <c r="I2054" s="1">
        <v>41967</v>
      </c>
      <c r="J2054" s="1">
        <v>41967</v>
      </c>
      <c r="K2054" s="1">
        <v>42027</v>
      </c>
      <c r="L2054" s="7">
        <v>292.8</v>
      </c>
      <c r="M2054" s="5">
        <v>277</v>
      </c>
      <c r="N2054" s="7">
        <v>81105.600000000006</v>
      </c>
      <c r="O2054">
        <v>292.8</v>
      </c>
      <c r="P2054">
        <v>277</v>
      </c>
      <c r="Q2054" s="2">
        <v>81105.600000000006</v>
      </c>
      <c r="R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 s="1">
        <v>42382</v>
      </c>
      <c r="AC2054" t="s">
        <v>53</v>
      </c>
      <c r="AD2054" t="s">
        <v>53</v>
      </c>
      <c r="AK2054">
        <v>0</v>
      </c>
      <c r="AU2054" s="6">
        <v>42304</v>
      </c>
      <c r="AV2054" s="6">
        <v>42304</v>
      </c>
      <c r="AW2054" t="s">
        <v>54</v>
      </c>
      <c r="AX2054" t="str">
        <f t="shared" si="164"/>
        <v>FOR</v>
      </c>
      <c r="AY2054" t="s">
        <v>55</v>
      </c>
    </row>
    <row r="2055" spans="1:51" hidden="1">
      <c r="A2055">
        <v>100513</v>
      </c>
      <c r="B2055" t="s">
        <v>199</v>
      </c>
      <c r="C2055" t="str">
        <f t="shared" ref="C2055:D2058" si="165">"05866880726"</f>
        <v>05866880726</v>
      </c>
      <c r="D2055" t="str">
        <f t="shared" si="165"/>
        <v>05866880726</v>
      </c>
      <c r="E2055" t="s">
        <v>52</v>
      </c>
      <c r="F2055">
        <v>2014</v>
      </c>
      <c r="G2055">
        <v>1931</v>
      </c>
      <c r="H2055" s="1">
        <v>41872</v>
      </c>
      <c r="I2055" s="1">
        <v>41891</v>
      </c>
      <c r="J2055" s="1">
        <v>41891</v>
      </c>
      <c r="K2055" s="1">
        <v>41981</v>
      </c>
      <c r="N2055" s="5"/>
      <c r="O2055">
        <v>894.4</v>
      </c>
      <c r="P2055">
        <v>58</v>
      </c>
      <c r="Q2055" s="2">
        <v>51875.199999999997</v>
      </c>
      <c r="R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 s="1">
        <v>42382</v>
      </c>
      <c r="AC2055" t="s">
        <v>53</v>
      </c>
      <c r="AD2055" t="s">
        <v>53</v>
      </c>
      <c r="AK2055">
        <v>0</v>
      </c>
      <c r="AU2055" s="6">
        <v>42039</v>
      </c>
      <c r="AV2055" s="6">
        <v>42039</v>
      </c>
      <c r="AW2055" t="s">
        <v>54</v>
      </c>
      <c r="AX2055" t="str">
        <f t="shared" si="164"/>
        <v>FOR</v>
      </c>
      <c r="AY2055" t="s">
        <v>55</v>
      </c>
    </row>
    <row r="2056" spans="1:51" hidden="1">
      <c r="A2056">
        <v>100513</v>
      </c>
      <c r="B2056" t="s">
        <v>199</v>
      </c>
      <c r="C2056" t="str">
        <f t="shared" si="165"/>
        <v>05866880726</v>
      </c>
      <c r="D2056" t="str">
        <f t="shared" si="165"/>
        <v>05866880726</v>
      </c>
      <c r="E2056" t="s">
        <v>52</v>
      </c>
      <c r="F2056">
        <v>2014</v>
      </c>
      <c r="G2056">
        <v>2674</v>
      </c>
      <c r="H2056" s="1">
        <v>41948</v>
      </c>
      <c r="I2056" s="1">
        <v>41956</v>
      </c>
      <c r="J2056" s="1">
        <v>41956</v>
      </c>
      <c r="K2056" s="1">
        <v>42016</v>
      </c>
      <c r="N2056" s="5"/>
      <c r="O2056">
        <v>61</v>
      </c>
      <c r="P2056">
        <v>23</v>
      </c>
      <c r="Q2056" s="2">
        <v>1403</v>
      </c>
      <c r="R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 s="1">
        <v>42382</v>
      </c>
      <c r="AC2056" t="s">
        <v>53</v>
      </c>
      <c r="AD2056" t="s">
        <v>53</v>
      </c>
      <c r="AK2056">
        <v>0</v>
      </c>
      <c r="AU2056" s="6">
        <v>42039</v>
      </c>
      <c r="AV2056" s="6">
        <v>42039</v>
      </c>
      <c r="AW2056" t="s">
        <v>54</v>
      </c>
      <c r="AX2056" t="str">
        <f t="shared" si="164"/>
        <v>FOR</v>
      </c>
      <c r="AY2056" t="s">
        <v>55</v>
      </c>
    </row>
    <row r="2057" spans="1:51" hidden="1">
      <c r="A2057">
        <v>100513</v>
      </c>
      <c r="B2057" t="s">
        <v>199</v>
      </c>
      <c r="C2057" t="str">
        <f t="shared" si="165"/>
        <v>05866880726</v>
      </c>
      <c r="D2057" t="str">
        <f t="shared" si="165"/>
        <v>05866880726</v>
      </c>
      <c r="E2057" t="s">
        <v>52</v>
      </c>
      <c r="F2057">
        <v>2015</v>
      </c>
      <c r="G2057">
        <v>1362</v>
      </c>
      <c r="H2057" s="1">
        <v>42185</v>
      </c>
      <c r="I2057" s="1">
        <v>42198</v>
      </c>
      <c r="J2057" s="1">
        <v>42198</v>
      </c>
      <c r="K2057" s="1">
        <v>42258</v>
      </c>
      <c r="N2057" s="5"/>
      <c r="O2057">
        <v>669.44</v>
      </c>
      <c r="P2057">
        <v>-37</v>
      </c>
      <c r="Q2057" s="2">
        <v>-24769.279999999999</v>
      </c>
      <c r="R2057">
        <v>0</v>
      </c>
      <c r="V2057">
        <v>0</v>
      </c>
      <c r="W2057">
        <v>0</v>
      </c>
      <c r="X2057">
        <v>0</v>
      </c>
      <c r="Y2057">
        <v>813.2</v>
      </c>
      <c r="Z2057">
        <v>813.2</v>
      </c>
      <c r="AA2057">
        <v>813.2</v>
      </c>
      <c r="AB2057" s="1">
        <v>42382</v>
      </c>
      <c r="AC2057" t="s">
        <v>53</v>
      </c>
      <c r="AD2057" t="s">
        <v>53</v>
      </c>
      <c r="AK2057">
        <v>0</v>
      </c>
      <c r="AU2057" s="6">
        <v>42221</v>
      </c>
      <c r="AV2057" s="6">
        <v>42221</v>
      </c>
      <c r="AW2057" t="s">
        <v>54</v>
      </c>
      <c r="AX2057" t="str">
        <f t="shared" si="164"/>
        <v>FOR</v>
      </c>
      <c r="AY2057" t="s">
        <v>55</v>
      </c>
    </row>
    <row r="2058" spans="1:51" hidden="1">
      <c r="A2058">
        <v>100513</v>
      </c>
      <c r="B2058" t="s">
        <v>199</v>
      </c>
      <c r="C2058" t="str">
        <f t="shared" si="165"/>
        <v>05866880726</v>
      </c>
      <c r="D2058" t="str">
        <f t="shared" si="165"/>
        <v>05866880726</v>
      </c>
      <c r="E2058" t="s">
        <v>52</v>
      </c>
      <c r="F2058">
        <v>2015</v>
      </c>
      <c r="G2058">
        <v>1959</v>
      </c>
      <c r="H2058" s="1">
        <v>42262</v>
      </c>
      <c r="I2058" s="1">
        <v>42263</v>
      </c>
      <c r="J2058" s="1">
        <v>42262</v>
      </c>
      <c r="K2058" s="1">
        <v>42322</v>
      </c>
      <c r="N2058" s="5"/>
      <c r="O2058" s="2">
        <v>1862.26</v>
      </c>
      <c r="P2058">
        <v>-47</v>
      </c>
      <c r="Q2058" s="2">
        <v>-87526.22</v>
      </c>
      <c r="R2058">
        <v>0</v>
      </c>
      <c r="V2058">
        <v>0</v>
      </c>
      <c r="W2058">
        <v>0</v>
      </c>
      <c r="X2058">
        <v>0</v>
      </c>
      <c r="Y2058" s="2">
        <v>2271.96</v>
      </c>
      <c r="Z2058" s="2">
        <v>2271.96</v>
      </c>
      <c r="AA2058" s="2">
        <v>2271.96</v>
      </c>
      <c r="AB2058" s="1">
        <v>42382</v>
      </c>
      <c r="AC2058" t="s">
        <v>53</v>
      </c>
      <c r="AD2058" t="s">
        <v>53</v>
      </c>
      <c r="AK2058">
        <v>0</v>
      </c>
      <c r="AU2058" s="6">
        <v>42275</v>
      </c>
      <c r="AV2058" s="6">
        <v>42275</v>
      </c>
      <c r="AW2058" t="s">
        <v>54</v>
      </c>
      <c r="AX2058" t="str">
        <f t="shared" si="164"/>
        <v>FOR</v>
      </c>
      <c r="AY2058" t="s">
        <v>55</v>
      </c>
    </row>
    <row r="2059" spans="1:51" hidden="1">
      <c r="A2059">
        <v>100517</v>
      </c>
      <c r="B2059" t="s">
        <v>200</v>
      </c>
      <c r="C2059" t="str">
        <f>"01115150540"</f>
        <v>01115150540</v>
      </c>
      <c r="D2059" t="str">
        <f>"01115150540"</f>
        <v>01115150540</v>
      </c>
      <c r="E2059" t="s">
        <v>52</v>
      </c>
      <c r="F2059">
        <v>2014</v>
      </c>
      <c r="G2059">
        <v>257</v>
      </c>
      <c r="H2059" s="1">
        <v>41790</v>
      </c>
      <c r="I2059" s="1">
        <v>41810</v>
      </c>
      <c r="J2059" s="1">
        <v>41810</v>
      </c>
      <c r="K2059" s="1">
        <v>41900</v>
      </c>
      <c r="N2059" s="5"/>
      <c r="O2059" s="2">
        <v>2318.73</v>
      </c>
      <c r="P2059">
        <v>161</v>
      </c>
      <c r="Q2059" s="2">
        <v>373315.53</v>
      </c>
      <c r="R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 s="1">
        <v>42382</v>
      </c>
      <c r="AC2059" t="s">
        <v>53</v>
      </c>
      <c r="AD2059" t="s">
        <v>53</v>
      </c>
      <c r="AK2059">
        <v>0</v>
      </c>
      <c r="AU2059" s="6">
        <v>42061</v>
      </c>
      <c r="AV2059" s="6">
        <v>42061</v>
      </c>
      <c r="AW2059" t="s">
        <v>54</v>
      </c>
      <c r="AX2059" t="str">
        <f t="shared" si="164"/>
        <v>FOR</v>
      </c>
      <c r="AY2059" t="s">
        <v>55</v>
      </c>
    </row>
    <row r="2060" spans="1:51" hidden="1">
      <c r="A2060">
        <v>100520</v>
      </c>
      <c r="B2060" t="s">
        <v>201</v>
      </c>
      <c r="C2060" t="str">
        <f t="shared" ref="C2060:D2062" si="166">"06600500158"</f>
        <v>06600500158</v>
      </c>
      <c r="D2060" t="str">
        <f t="shared" si="166"/>
        <v>06600500158</v>
      </c>
      <c r="E2060" t="s">
        <v>52</v>
      </c>
      <c r="F2060">
        <v>2014</v>
      </c>
      <c r="G2060">
        <v>1090</v>
      </c>
      <c r="H2060" s="1">
        <v>41740</v>
      </c>
      <c r="I2060" s="1">
        <v>41745</v>
      </c>
      <c r="J2060" s="1">
        <v>41745</v>
      </c>
      <c r="K2060" s="1">
        <v>41835</v>
      </c>
      <c r="N2060" s="5"/>
      <c r="O2060" s="2">
        <v>1771.99</v>
      </c>
      <c r="P2060">
        <v>259</v>
      </c>
      <c r="Q2060" s="2">
        <v>458945.41</v>
      </c>
      <c r="R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 s="1">
        <v>42382</v>
      </c>
      <c r="AC2060" t="s">
        <v>53</v>
      </c>
      <c r="AD2060" t="s">
        <v>53</v>
      </c>
      <c r="AK2060">
        <v>0</v>
      </c>
      <c r="AU2060" s="6">
        <v>42094</v>
      </c>
      <c r="AV2060" s="6">
        <v>42094</v>
      </c>
      <c r="AW2060" t="s">
        <v>54</v>
      </c>
      <c r="AX2060" t="str">
        <f t="shared" si="164"/>
        <v>FOR</v>
      </c>
      <c r="AY2060" t="s">
        <v>55</v>
      </c>
    </row>
    <row r="2061" spans="1:51" hidden="1">
      <c r="A2061">
        <v>100520</v>
      </c>
      <c r="B2061" t="s">
        <v>201</v>
      </c>
      <c r="C2061" t="str">
        <f t="shared" si="166"/>
        <v>06600500158</v>
      </c>
      <c r="D2061" t="str">
        <f t="shared" si="166"/>
        <v>06600500158</v>
      </c>
      <c r="E2061" t="s">
        <v>52</v>
      </c>
      <c r="F2061">
        <v>2014</v>
      </c>
      <c r="G2061">
        <v>1946</v>
      </c>
      <c r="H2061" s="1">
        <v>41820</v>
      </c>
      <c r="I2061" s="1">
        <v>41834</v>
      </c>
      <c r="J2061" s="1">
        <v>41834</v>
      </c>
      <c r="K2061" s="1">
        <v>41924</v>
      </c>
      <c r="N2061" s="5"/>
      <c r="O2061" s="2">
        <v>52094</v>
      </c>
      <c r="P2061">
        <v>170</v>
      </c>
      <c r="Q2061" s="2">
        <v>8855980</v>
      </c>
      <c r="R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 s="1">
        <v>42382</v>
      </c>
      <c r="AC2061" t="s">
        <v>53</v>
      </c>
      <c r="AD2061" t="s">
        <v>53</v>
      </c>
      <c r="AK2061">
        <v>0</v>
      </c>
      <c r="AU2061" s="6">
        <v>42094</v>
      </c>
      <c r="AV2061" s="6">
        <v>42094</v>
      </c>
      <c r="AW2061" t="s">
        <v>54</v>
      </c>
      <c r="AX2061" t="str">
        <f t="shared" si="164"/>
        <v>FOR</v>
      </c>
      <c r="AY2061" t="s">
        <v>55</v>
      </c>
    </row>
    <row r="2062" spans="1:51" hidden="1">
      <c r="A2062">
        <v>100520</v>
      </c>
      <c r="B2062" t="s">
        <v>201</v>
      </c>
      <c r="C2062" t="str">
        <f t="shared" si="166"/>
        <v>06600500158</v>
      </c>
      <c r="D2062" t="str">
        <f t="shared" si="166"/>
        <v>06600500158</v>
      </c>
      <c r="E2062" t="s">
        <v>52</v>
      </c>
      <c r="F2062">
        <v>2014</v>
      </c>
      <c r="G2062">
        <v>3290</v>
      </c>
      <c r="H2062" s="1">
        <v>41943</v>
      </c>
      <c r="I2062" s="1">
        <v>42080</v>
      </c>
      <c r="J2062" s="1">
        <v>42080</v>
      </c>
      <c r="K2062" s="1">
        <v>42140</v>
      </c>
      <c r="N2062" s="5"/>
      <c r="O2062" s="2">
        <v>7669.53</v>
      </c>
      <c r="P2062">
        <v>-10</v>
      </c>
      <c r="Q2062" s="2">
        <v>-76695.3</v>
      </c>
      <c r="R2062">
        <v>0</v>
      </c>
      <c r="V2062">
        <v>0</v>
      </c>
      <c r="W2062">
        <v>0</v>
      </c>
      <c r="X2062">
        <v>0</v>
      </c>
      <c r="Y2062">
        <v>0</v>
      </c>
      <c r="Z2062" s="2">
        <v>7669.53</v>
      </c>
      <c r="AA2062">
        <v>0</v>
      </c>
      <c r="AB2062" s="1">
        <v>42382</v>
      </c>
      <c r="AC2062" t="s">
        <v>53</v>
      </c>
      <c r="AD2062" t="s">
        <v>53</v>
      </c>
      <c r="AK2062">
        <v>0</v>
      </c>
      <c r="AU2062" s="6">
        <v>42130</v>
      </c>
      <c r="AV2062" s="6">
        <v>42130</v>
      </c>
      <c r="AW2062" t="s">
        <v>54</v>
      </c>
      <c r="AX2062" t="str">
        <f t="shared" si="164"/>
        <v>FOR</v>
      </c>
      <c r="AY2062" t="s">
        <v>55</v>
      </c>
    </row>
    <row r="2063" spans="1:51" hidden="1">
      <c r="A2063">
        <v>100538</v>
      </c>
      <c r="B2063" t="s">
        <v>202</v>
      </c>
      <c r="C2063" t="str">
        <f t="shared" ref="C2063:C2070" si="167">"01781570591"</f>
        <v>01781570591</v>
      </c>
      <c r="D2063" t="str">
        <f t="shared" ref="D2063:D2070" si="168">"06954380157"</f>
        <v>06954380157</v>
      </c>
      <c r="E2063" t="s">
        <v>52</v>
      </c>
      <c r="F2063">
        <v>2013</v>
      </c>
      <c r="G2063">
        <v>10094256</v>
      </c>
      <c r="H2063" s="1">
        <v>41459</v>
      </c>
      <c r="I2063" s="1">
        <v>41470</v>
      </c>
      <c r="J2063" s="1">
        <v>41470</v>
      </c>
      <c r="K2063" s="1">
        <v>41560</v>
      </c>
      <c r="N2063" s="5"/>
      <c r="O2063">
        <v>470.25</v>
      </c>
      <c r="P2063">
        <v>536</v>
      </c>
      <c r="Q2063" s="2">
        <v>252054</v>
      </c>
      <c r="R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 s="1">
        <v>42382</v>
      </c>
      <c r="AC2063" t="s">
        <v>53</v>
      </c>
      <c r="AD2063" t="s">
        <v>53</v>
      </c>
      <c r="AK2063">
        <v>0</v>
      </c>
      <c r="AU2063" s="6">
        <v>42096</v>
      </c>
      <c r="AV2063" s="6">
        <v>42096</v>
      </c>
      <c r="AW2063" t="s">
        <v>54</v>
      </c>
      <c r="AX2063" t="str">
        <f t="shared" si="164"/>
        <v>FOR</v>
      </c>
      <c r="AY2063" t="s">
        <v>55</v>
      </c>
    </row>
    <row r="2064" spans="1:51" hidden="1">
      <c r="A2064">
        <v>100538</v>
      </c>
      <c r="B2064" t="s">
        <v>202</v>
      </c>
      <c r="C2064" t="str">
        <f t="shared" si="167"/>
        <v>01781570591</v>
      </c>
      <c r="D2064" t="str">
        <f t="shared" si="168"/>
        <v>06954380157</v>
      </c>
      <c r="E2064" t="s">
        <v>52</v>
      </c>
      <c r="F2064">
        <v>2014</v>
      </c>
      <c r="G2064">
        <v>10024875</v>
      </c>
      <c r="H2064" s="1">
        <v>41687</v>
      </c>
      <c r="I2064" s="1">
        <v>41698</v>
      </c>
      <c r="J2064" s="1">
        <v>41698</v>
      </c>
      <c r="K2064" s="1">
        <v>41788</v>
      </c>
      <c r="N2064" s="5"/>
      <c r="O2064">
        <v>202.86</v>
      </c>
      <c r="P2064">
        <v>308</v>
      </c>
      <c r="Q2064" s="2">
        <v>62480.88</v>
      </c>
      <c r="R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 s="1">
        <v>42382</v>
      </c>
      <c r="AC2064" t="s">
        <v>53</v>
      </c>
      <c r="AD2064" t="s">
        <v>53</v>
      </c>
      <c r="AK2064">
        <v>0</v>
      </c>
      <c r="AU2064" s="6">
        <v>42096</v>
      </c>
      <c r="AV2064" s="6">
        <v>42096</v>
      </c>
      <c r="AW2064" t="s">
        <v>54</v>
      </c>
      <c r="AX2064" t="str">
        <f t="shared" si="164"/>
        <v>FOR</v>
      </c>
      <c r="AY2064" t="s">
        <v>55</v>
      </c>
    </row>
    <row r="2065" spans="1:51" hidden="1">
      <c r="A2065">
        <v>100538</v>
      </c>
      <c r="B2065" t="s">
        <v>202</v>
      </c>
      <c r="C2065" t="str">
        <f t="shared" si="167"/>
        <v>01781570591</v>
      </c>
      <c r="D2065" t="str">
        <f t="shared" si="168"/>
        <v>06954380157</v>
      </c>
      <c r="E2065" t="s">
        <v>52</v>
      </c>
      <c r="F2065">
        <v>2014</v>
      </c>
      <c r="G2065">
        <v>10044936</v>
      </c>
      <c r="H2065" s="1">
        <v>41726</v>
      </c>
      <c r="I2065" s="1">
        <v>41736</v>
      </c>
      <c r="J2065" s="1">
        <v>41736</v>
      </c>
      <c r="K2065" s="1">
        <v>41826</v>
      </c>
      <c r="N2065" s="5"/>
      <c r="O2065">
        <v>202.86</v>
      </c>
      <c r="P2065">
        <v>270</v>
      </c>
      <c r="Q2065" s="2">
        <v>54772.2</v>
      </c>
      <c r="R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 s="1">
        <v>42382</v>
      </c>
      <c r="AC2065" t="s">
        <v>53</v>
      </c>
      <c r="AD2065" t="s">
        <v>53</v>
      </c>
      <c r="AK2065">
        <v>0</v>
      </c>
      <c r="AU2065" s="6">
        <v>42096</v>
      </c>
      <c r="AV2065" s="6">
        <v>42096</v>
      </c>
      <c r="AW2065" t="s">
        <v>54</v>
      </c>
      <c r="AX2065" t="str">
        <f t="shared" si="164"/>
        <v>FOR</v>
      </c>
      <c r="AY2065" t="s">
        <v>55</v>
      </c>
    </row>
    <row r="2066" spans="1:51" hidden="1">
      <c r="A2066">
        <v>100538</v>
      </c>
      <c r="B2066" t="s">
        <v>202</v>
      </c>
      <c r="C2066" t="str">
        <f t="shared" si="167"/>
        <v>01781570591</v>
      </c>
      <c r="D2066" t="str">
        <f t="shared" si="168"/>
        <v>06954380157</v>
      </c>
      <c r="E2066" t="s">
        <v>52</v>
      </c>
      <c r="F2066">
        <v>2014</v>
      </c>
      <c r="G2066">
        <v>10049264</v>
      </c>
      <c r="H2066" s="1">
        <v>41733</v>
      </c>
      <c r="I2066" s="1">
        <v>41739</v>
      </c>
      <c r="J2066" s="1">
        <v>41739</v>
      </c>
      <c r="K2066" s="1">
        <v>41829</v>
      </c>
      <c r="N2066" s="5"/>
      <c r="O2066">
        <v>495</v>
      </c>
      <c r="P2066">
        <v>267</v>
      </c>
      <c r="Q2066" s="2">
        <v>132165</v>
      </c>
      <c r="R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 s="1">
        <v>42382</v>
      </c>
      <c r="AC2066" t="s">
        <v>53</v>
      </c>
      <c r="AD2066" t="s">
        <v>53</v>
      </c>
      <c r="AK2066">
        <v>0</v>
      </c>
      <c r="AU2066" s="6">
        <v>42096</v>
      </c>
      <c r="AV2066" s="6">
        <v>42096</v>
      </c>
      <c r="AW2066" t="s">
        <v>54</v>
      </c>
      <c r="AX2066" t="str">
        <f t="shared" si="164"/>
        <v>FOR</v>
      </c>
      <c r="AY2066" t="s">
        <v>55</v>
      </c>
    </row>
    <row r="2067" spans="1:51" hidden="1">
      <c r="A2067">
        <v>100538</v>
      </c>
      <c r="B2067" t="s">
        <v>202</v>
      </c>
      <c r="C2067" t="str">
        <f t="shared" si="167"/>
        <v>01781570591</v>
      </c>
      <c r="D2067" t="str">
        <f t="shared" si="168"/>
        <v>06954380157</v>
      </c>
      <c r="E2067" t="s">
        <v>52</v>
      </c>
      <c r="F2067">
        <v>2014</v>
      </c>
      <c r="G2067">
        <v>10066562</v>
      </c>
      <c r="H2067" s="1">
        <v>41772</v>
      </c>
      <c r="I2067" s="1">
        <v>41782</v>
      </c>
      <c r="J2067" s="1">
        <v>41782</v>
      </c>
      <c r="K2067" s="1">
        <v>41872</v>
      </c>
      <c r="N2067" s="5"/>
      <c r="O2067">
        <v>994.8</v>
      </c>
      <c r="P2067">
        <v>376</v>
      </c>
      <c r="Q2067" s="2">
        <v>374044.8</v>
      </c>
      <c r="R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 s="1">
        <v>42382</v>
      </c>
      <c r="AC2067" t="s">
        <v>53</v>
      </c>
      <c r="AD2067" t="s">
        <v>53</v>
      </c>
      <c r="AK2067">
        <v>0</v>
      </c>
      <c r="AU2067" s="6">
        <v>42248</v>
      </c>
      <c r="AV2067" s="6">
        <v>42248</v>
      </c>
      <c r="AW2067" t="s">
        <v>54</v>
      </c>
      <c r="AX2067" t="str">
        <f t="shared" si="164"/>
        <v>FOR</v>
      </c>
      <c r="AY2067" t="s">
        <v>55</v>
      </c>
    </row>
    <row r="2068" spans="1:51" hidden="1">
      <c r="A2068">
        <v>100538</v>
      </c>
      <c r="B2068" t="s">
        <v>202</v>
      </c>
      <c r="C2068" t="str">
        <f t="shared" si="167"/>
        <v>01781570591</v>
      </c>
      <c r="D2068" t="str">
        <f t="shared" si="168"/>
        <v>06954380157</v>
      </c>
      <c r="E2068" t="s">
        <v>52</v>
      </c>
      <c r="F2068">
        <v>2014</v>
      </c>
      <c r="G2068">
        <v>10066991</v>
      </c>
      <c r="H2068" s="1">
        <v>41773</v>
      </c>
      <c r="I2068" s="1">
        <v>41782</v>
      </c>
      <c r="J2068" s="1">
        <v>41782</v>
      </c>
      <c r="K2068" s="1">
        <v>41872</v>
      </c>
      <c r="N2068" s="5"/>
      <c r="O2068">
        <v>202.86</v>
      </c>
      <c r="P2068">
        <v>376</v>
      </c>
      <c r="Q2068" s="2">
        <v>76275.360000000001</v>
      </c>
      <c r="R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 s="1">
        <v>42382</v>
      </c>
      <c r="AC2068" t="s">
        <v>53</v>
      </c>
      <c r="AD2068" t="s">
        <v>53</v>
      </c>
      <c r="AK2068">
        <v>0</v>
      </c>
      <c r="AU2068" s="6">
        <v>42248</v>
      </c>
      <c r="AV2068" s="6">
        <v>42248</v>
      </c>
      <c r="AW2068" t="s">
        <v>54</v>
      </c>
      <c r="AX2068" t="str">
        <f t="shared" si="164"/>
        <v>FOR</v>
      </c>
      <c r="AY2068" t="s">
        <v>55</v>
      </c>
    </row>
    <row r="2069" spans="1:51" hidden="1">
      <c r="A2069">
        <v>100538</v>
      </c>
      <c r="B2069" t="s">
        <v>202</v>
      </c>
      <c r="C2069" t="str">
        <f t="shared" si="167"/>
        <v>01781570591</v>
      </c>
      <c r="D2069" t="str">
        <f t="shared" si="168"/>
        <v>06954380157</v>
      </c>
      <c r="E2069" t="s">
        <v>52</v>
      </c>
      <c r="F2069">
        <v>2014</v>
      </c>
      <c r="G2069">
        <v>10082306</v>
      </c>
      <c r="H2069" s="1">
        <v>41802</v>
      </c>
      <c r="I2069" s="1">
        <v>41809</v>
      </c>
      <c r="J2069" s="1">
        <v>41809</v>
      </c>
      <c r="K2069" s="1">
        <v>41899</v>
      </c>
      <c r="N2069" s="5"/>
      <c r="O2069" s="2">
        <v>6490</v>
      </c>
      <c r="P2069">
        <v>349</v>
      </c>
      <c r="Q2069" s="2">
        <v>2265010</v>
      </c>
      <c r="R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 s="1">
        <v>42382</v>
      </c>
      <c r="AC2069" t="s">
        <v>53</v>
      </c>
      <c r="AD2069" t="s">
        <v>53</v>
      </c>
      <c r="AK2069">
        <v>0</v>
      </c>
      <c r="AU2069" s="6">
        <v>42248</v>
      </c>
      <c r="AV2069" s="6">
        <v>42248</v>
      </c>
      <c r="AW2069" t="s">
        <v>54</v>
      </c>
      <c r="AX2069" t="str">
        <f t="shared" si="164"/>
        <v>FOR</v>
      </c>
      <c r="AY2069" t="s">
        <v>55</v>
      </c>
    </row>
    <row r="2070" spans="1:51">
      <c r="A2070">
        <v>100538</v>
      </c>
      <c r="B2070" t="s">
        <v>202</v>
      </c>
      <c r="C2070" t="str">
        <f t="shared" si="167"/>
        <v>01781570591</v>
      </c>
      <c r="D2070" t="str">
        <f t="shared" si="168"/>
        <v>06954380157</v>
      </c>
      <c r="E2070" t="s">
        <v>52</v>
      </c>
      <c r="F2070">
        <v>2014</v>
      </c>
      <c r="G2070">
        <v>10145257</v>
      </c>
      <c r="H2070" s="1">
        <v>41934</v>
      </c>
      <c r="I2070" s="1">
        <v>41941</v>
      </c>
      <c r="J2070" s="1">
        <v>41941</v>
      </c>
      <c r="K2070" s="1">
        <v>42001</v>
      </c>
      <c r="L2070" s="7">
        <v>994.8</v>
      </c>
      <c r="M2070" s="5">
        <v>281</v>
      </c>
      <c r="N2070" s="7">
        <v>279538.8</v>
      </c>
      <c r="O2070">
        <v>994.8</v>
      </c>
      <c r="P2070">
        <v>281</v>
      </c>
      <c r="Q2070" s="2">
        <v>279538.8</v>
      </c>
      <c r="R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 s="1">
        <v>42382</v>
      </c>
      <c r="AC2070" t="s">
        <v>53</v>
      </c>
      <c r="AD2070" t="s">
        <v>53</v>
      </c>
      <c r="AK2070">
        <v>0</v>
      </c>
      <c r="AU2070" s="6">
        <v>42282</v>
      </c>
      <c r="AV2070" s="6">
        <v>42282</v>
      </c>
      <c r="AW2070" t="s">
        <v>54</v>
      </c>
      <c r="AX2070" t="str">
        <f t="shared" si="164"/>
        <v>FOR</v>
      </c>
      <c r="AY2070" t="s">
        <v>55</v>
      </c>
    </row>
    <row r="2071" spans="1:51" hidden="1">
      <c r="A2071">
        <v>100539</v>
      </c>
      <c r="B2071" t="s">
        <v>203</v>
      </c>
      <c r="C2071" t="str">
        <f>"01112560626"</f>
        <v>01112560626</v>
      </c>
      <c r="D2071" t="str">
        <f>"80008110621"</f>
        <v>80008110621</v>
      </c>
      <c r="E2071" t="s">
        <v>52</v>
      </c>
      <c r="F2071">
        <v>2014</v>
      </c>
      <c r="G2071">
        <v>24</v>
      </c>
      <c r="H2071" s="1">
        <v>41757</v>
      </c>
      <c r="I2071" s="1">
        <v>41799</v>
      </c>
      <c r="J2071" s="1">
        <v>41799</v>
      </c>
      <c r="K2071" s="1">
        <v>41889</v>
      </c>
      <c r="N2071" s="5"/>
      <c r="O2071" s="2">
        <v>2269.1999999999998</v>
      </c>
      <c r="P2071">
        <v>332</v>
      </c>
      <c r="Q2071" s="2">
        <v>753374.4</v>
      </c>
      <c r="R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 s="1">
        <v>42382</v>
      </c>
      <c r="AC2071" t="s">
        <v>53</v>
      </c>
      <c r="AD2071" t="s">
        <v>53</v>
      </c>
      <c r="AK2071">
        <v>0</v>
      </c>
      <c r="AU2071" s="6">
        <v>42221</v>
      </c>
      <c r="AV2071" s="6">
        <v>42221</v>
      </c>
      <c r="AW2071" t="s">
        <v>54</v>
      </c>
      <c r="AX2071" t="str">
        <f t="shared" si="164"/>
        <v>FOR</v>
      </c>
      <c r="AY2071" t="s">
        <v>55</v>
      </c>
    </row>
    <row r="2072" spans="1:51" hidden="1">
      <c r="A2072">
        <v>100539</v>
      </c>
      <c r="B2072" t="s">
        <v>203</v>
      </c>
      <c r="C2072" t="str">
        <f>"01112560626"</f>
        <v>01112560626</v>
      </c>
      <c r="D2072" t="str">
        <f>"80008110621"</f>
        <v>80008110621</v>
      </c>
      <c r="E2072" t="s">
        <v>52</v>
      </c>
      <c r="F2072">
        <v>2014</v>
      </c>
      <c r="G2072">
        <v>96</v>
      </c>
      <c r="H2072" s="1">
        <v>41891</v>
      </c>
      <c r="I2072" s="1">
        <v>41901</v>
      </c>
      <c r="J2072" s="1">
        <v>41901</v>
      </c>
      <c r="K2072" s="1">
        <v>41991</v>
      </c>
      <c r="N2072" s="5"/>
      <c r="O2072" s="2">
        <v>2269.1999999999998</v>
      </c>
      <c r="P2072">
        <v>258</v>
      </c>
      <c r="Q2072" s="2">
        <v>585453.6</v>
      </c>
      <c r="R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 s="1">
        <v>42382</v>
      </c>
      <c r="AC2072" t="s">
        <v>53</v>
      </c>
      <c r="AD2072" t="s">
        <v>53</v>
      </c>
      <c r="AK2072">
        <v>0</v>
      </c>
      <c r="AU2072" s="6">
        <v>42249</v>
      </c>
      <c r="AV2072" s="6">
        <v>42249</v>
      </c>
      <c r="AW2072" t="s">
        <v>54</v>
      </c>
      <c r="AX2072" t="str">
        <f t="shared" si="164"/>
        <v>FOR</v>
      </c>
      <c r="AY2072" t="s">
        <v>55</v>
      </c>
    </row>
    <row r="2073" spans="1:51" hidden="1">
      <c r="A2073">
        <v>100539</v>
      </c>
      <c r="B2073" t="s">
        <v>203</v>
      </c>
      <c r="C2073" t="str">
        <f>"01112560626"</f>
        <v>01112560626</v>
      </c>
      <c r="D2073" t="str">
        <f>"80008110621"</f>
        <v>80008110621</v>
      </c>
      <c r="E2073" t="s">
        <v>52</v>
      </c>
      <c r="F2073">
        <v>2015</v>
      </c>
      <c r="G2073">
        <v>124</v>
      </c>
      <c r="H2073" s="1">
        <v>42250</v>
      </c>
      <c r="I2073" s="1">
        <v>42251</v>
      </c>
      <c r="J2073" s="1">
        <v>42251</v>
      </c>
      <c r="K2073" s="1">
        <v>42311</v>
      </c>
      <c r="N2073" s="5"/>
      <c r="O2073" s="2">
        <v>1860</v>
      </c>
      <c r="P2073">
        <v>-36</v>
      </c>
      <c r="Q2073" s="2">
        <v>-66960</v>
      </c>
      <c r="R2073">
        <v>0</v>
      </c>
      <c r="V2073">
        <v>0</v>
      </c>
      <c r="W2073">
        <v>0</v>
      </c>
      <c r="X2073">
        <v>0</v>
      </c>
      <c r="Y2073" s="2">
        <v>2269.1999999999998</v>
      </c>
      <c r="Z2073" s="2">
        <v>2269.1999999999998</v>
      </c>
      <c r="AA2073" s="2">
        <v>2269.1999999999998</v>
      </c>
      <c r="AB2073" s="1">
        <v>42382</v>
      </c>
      <c r="AC2073" t="s">
        <v>53</v>
      </c>
      <c r="AD2073" t="s">
        <v>53</v>
      </c>
      <c r="AK2073">
        <v>0</v>
      </c>
      <c r="AU2073" s="6">
        <v>42275</v>
      </c>
      <c r="AV2073" s="6">
        <v>42275</v>
      </c>
      <c r="AW2073" t="s">
        <v>54</v>
      </c>
      <c r="AX2073" t="str">
        <f t="shared" si="164"/>
        <v>FOR</v>
      </c>
      <c r="AY2073" t="s">
        <v>55</v>
      </c>
    </row>
    <row r="2074" spans="1:51">
      <c r="A2074">
        <v>100539</v>
      </c>
      <c r="B2074" t="s">
        <v>203</v>
      </c>
      <c r="C2074" t="str">
        <f>"01112560626"</f>
        <v>01112560626</v>
      </c>
      <c r="D2074" t="str">
        <f>"80008110621"</f>
        <v>80008110621</v>
      </c>
      <c r="E2074" t="s">
        <v>52</v>
      </c>
      <c r="F2074">
        <v>2015</v>
      </c>
      <c r="G2074">
        <v>150</v>
      </c>
      <c r="H2074" s="1">
        <v>42310</v>
      </c>
      <c r="I2074" s="1">
        <v>42312</v>
      </c>
      <c r="J2074" s="1">
        <v>42310</v>
      </c>
      <c r="K2074" s="1">
        <v>42370</v>
      </c>
      <c r="L2074" s="7">
        <v>1860</v>
      </c>
      <c r="M2074" s="5">
        <v>-17</v>
      </c>
      <c r="N2074" s="7">
        <v>-31620</v>
      </c>
      <c r="O2074" s="2">
        <v>1860</v>
      </c>
      <c r="P2074">
        <v>-17</v>
      </c>
      <c r="Q2074" s="2">
        <v>-31620</v>
      </c>
      <c r="R2074">
        <v>409.2</v>
      </c>
      <c r="V2074" s="2">
        <v>2269.1999999999998</v>
      </c>
      <c r="W2074" s="2">
        <v>2269.1999999999998</v>
      </c>
      <c r="X2074" s="2">
        <v>2269.1999999999998</v>
      </c>
      <c r="Y2074" s="2">
        <v>2269.1999999999998</v>
      </c>
      <c r="Z2074" s="2">
        <v>2269.1999999999998</v>
      </c>
      <c r="AA2074" s="2">
        <v>2269.1999999999998</v>
      </c>
      <c r="AB2074" s="1">
        <v>42382</v>
      </c>
      <c r="AC2074" t="s">
        <v>53</v>
      </c>
      <c r="AD2074" t="s">
        <v>53</v>
      </c>
      <c r="AK2074">
        <v>0</v>
      </c>
      <c r="AM2074">
        <v>409.2</v>
      </c>
      <c r="AU2074" s="6">
        <v>42353</v>
      </c>
      <c r="AV2074" s="6">
        <v>42353</v>
      </c>
      <c r="AW2074" t="s">
        <v>54</v>
      </c>
      <c r="AX2074" t="str">
        <f t="shared" si="164"/>
        <v>FOR</v>
      </c>
      <c r="AY2074" t="s">
        <v>55</v>
      </c>
    </row>
    <row r="2075" spans="1:51" hidden="1">
      <c r="A2075">
        <v>100542</v>
      </c>
      <c r="B2075" t="s">
        <v>204</v>
      </c>
      <c r="C2075" t="str">
        <f t="shared" ref="C2075:D2077" si="169">"05145650635"</f>
        <v>05145650635</v>
      </c>
      <c r="D2075" t="str">
        <f t="shared" si="169"/>
        <v>05145650635</v>
      </c>
      <c r="E2075" t="s">
        <v>52</v>
      </c>
      <c r="F2075">
        <v>2014</v>
      </c>
      <c r="G2075">
        <v>23</v>
      </c>
      <c r="H2075" s="1">
        <v>41680</v>
      </c>
      <c r="I2075" s="1">
        <v>41689</v>
      </c>
      <c r="J2075" s="1">
        <v>41689</v>
      </c>
      <c r="K2075" s="1">
        <v>41779</v>
      </c>
      <c r="N2075" s="5"/>
      <c r="O2075">
        <v>585.6</v>
      </c>
      <c r="P2075">
        <v>269</v>
      </c>
      <c r="Q2075" s="2">
        <v>157526.39999999999</v>
      </c>
      <c r="R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 s="1">
        <v>42382</v>
      </c>
      <c r="AC2075" t="s">
        <v>53</v>
      </c>
      <c r="AD2075" t="s">
        <v>53</v>
      </c>
      <c r="AK2075">
        <v>0</v>
      </c>
      <c r="AU2075" s="6">
        <v>42048</v>
      </c>
      <c r="AV2075" s="6">
        <v>42048</v>
      </c>
      <c r="AW2075" t="s">
        <v>54</v>
      </c>
      <c r="AX2075" t="str">
        <f t="shared" si="164"/>
        <v>FOR</v>
      </c>
      <c r="AY2075" t="s">
        <v>55</v>
      </c>
    </row>
    <row r="2076" spans="1:51" hidden="1">
      <c r="A2076">
        <v>100542</v>
      </c>
      <c r="B2076" t="s">
        <v>204</v>
      </c>
      <c r="C2076" t="str">
        <f t="shared" si="169"/>
        <v>05145650635</v>
      </c>
      <c r="D2076" t="str">
        <f t="shared" si="169"/>
        <v>05145650635</v>
      </c>
      <c r="E2076" t="s">
        <v>52</v>
      </c>
      <c r="F2076">
        <v>2014</v>
      </c>
      <c r="G2076">
        <v>114</v>
      </c>
      <c r="H2076" s="1">
        <v>41848</v>
      </c>
      <c r="I2076" s="1">
        <v>41851</v>
      </c>
      <c r="J2076" s="1">
        <v>41851</v>
      </c>
      <c r="K2076" s="1">
        <v>41941</v>
      </c>
      <c r="N2076" s="5"/>
      <c r="O2076" s="2">
        <v>4611.6000000000004</v>
      </c>
      <c r="P2076">
        <v>107</v>
      </c>
      <c r="Q2076" s="2">
        <v>493441.2</v>
      </c>
      <c r="R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 s="1">
        <v>42382</v>
      </c>
      <c r="AC2076" t="s">
        <v>53</v>
      </c>
      <c r="AD2076" t="s">
        <v>53</v>
      </c>
      <c r="AK2076">
        <v>0</v>
      </c>
      <c r="AU2076" s="6">
        <v>42048</v>
      </c>
      <c r="AV2076" s="6">
        <v>42048</v>
      </c>
      <c r="AW2076" t="s">
        <v>54</v>
      </c>
      <c r="AX2076" t="str">
        <f t="shared" si="164"/>
        <v>FOR</v>
      </c>
      <c r="AY2076" t="s">
        <v>55</v>
      </c>
    </row>
    <row r="2077" spans="1:51" hidden="1">
      <c r="A2077">
        <v>100542</v>
      </c>
      <c r="B2077" t="s">
        <v>204</v>
      </c>
      <c r="C2077" t="str">
        <f t="shared" si="169"/>
        <v>05145650635</v>
      </c>
      <c r="D2077" t="str">
        <f t="shared" si="169"/>
        <v>05145650635</v>
      </c>
      <c r="E2077" t="s">
        <v>52</v>
      </c>
      <c r="F2077">
        <v>2014</v>
      </c>
      <c r="G2077">
        <v>188</v>
      </c>
      <c r="H2077" s="1">
        <v>41991</v>
      </c>
      <c r="I2077" s="1">
        <v>42002</v>
      </c>
      <c r="J2077" s="1">
        <v>42002</v>
      </c>
      <c r="K2077" s="1">
        <v>42062</v>
      </c>
      <c r="N2077" s="5"/>
      <c r="O2077">
        <v>460.55</v>
      </c>
      <c r="P2077">
        <v>-14</v>
      </c>
      <c r="Q2077" s="2">
        <v>-6447.7</v>
      </c>
      <c r="R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 s="1">
        <v>42382</v>
      </c>
      <c r="AC2077" t="s">
        <v>53</v>
      </c>
      <c r="AD2077" t="s">
        <v>53</v>
      </c>
      <c r="AK2077">
        <v>0</v>
      </c>
      <c r="AU2077" s="6">
        <v>42048</v>
      </c>
      <c r="AV2077" s="6">
        <v>42048</v>
      </c>
      <c r="AW2077" t="s">
        <v>54</v>
      </c>
      <c r="AX2077" t="str">
        <f t="shared" si="164"/>
        <v>FOR</v>
      </c>
      <c r="AY2077" t="s">
        <v>55</v>
      </c>
    </row>
    <row r="2078" spans="1:51">
      <c r="A2078">
        <v>100543</v>
      </c>
      <c r="B2078" t="s">
        <v>205</v>
      </c>
      <c r="C2078" t="str">
        <f t="shared" ref="C2078:D2086" si="170">"00856750153"</f>
        <v>00856750153</v>
      </c>
      <c r="D2078" t="str">
        <f t="shared" si="170"/>
        <v>00856750153</v>
      </c>
      <c r="E2078" t="s">
        <v>52</v>
      </c>
      <c r="F2078">
        <v>2012</v>
      </c>
      <c r="G2078">
        <v>920829171</v>
      </c>
      <c r="H2078" s="1">
        <v>41274</v>
      </c>
      <c r="I2078" s="1">
        <v>41274</v>
      </c>
      <c r="J2078" s="1">
        <v>41274</v>
      </c>
      <c r="K2078" s="1">
        <v>41364</v>
      </c>
      <c r="L2078" s="7">
        <v>168795</v>
      </c>
      <c r="M2078" s="5">
        <v>969</v>
      </c>
      <c r="N2078" s="7">
        <v>163562355</v>
      </c>
      <c r="O2078" s="2">
        <v>168795</v>
      </c>
      <c r="P2078">
        <v>969</v>
      </c>
      <c r="Q2078" s="2">
        <v>163562355</v>
      </c>
      <c r="R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 s="1">
        <v>42382</v>
      </c>
      <c r="AC2078" t="s">
        <v>53</v>
      </c>
      <c r="AD2078" t="s">
        <v>53</v>
      </c>
      <c r="AK2078">
        <v>0</v>
      </c>
      <c r="AU2078" s="6">
        <v>42333</v>
      </c>
      <c r="AV2078" s="6">
        <v>42333</v>
      </c>
      <c r="AW2078" t="s">
        <v>54</v>
      </c>
      <c r="AX2078" t="str">
        <f t="shared" si="164"/>
        <v>FOR</v>
      </c>
      <c r="AY2078" t="s">
        <v>55</v>
      </c>
    </row>
    <row r="2079" spans="1:51" hidden="1">
      <c r="A2079">
        <v>100543</v>
      </c>
      <c r="B2079" t="s">
        <v>205</v>
      </c>
      <c r="C2079" t="str">
        <f t="shared" si="170"/>
        <v>00856750153</v>
      </c>
      <c r="D2079" t="str">
        <f t="shared" si="170"/>
        <v>00856750153</v>
      </c>
      <c r="E2079" t="s">
        <v>52</v>
      </c>
      <c r="F2079">
        <v>2014</v>
      </c>
      <c r="G2079">
        <v>20840941</v>
      </c>
      <c r="H2079" s="1">
        <v>41682</v>
      </c>
      <c r="I2079" s="1">
        <v>41712</v>
      </c>
      <c r="J2079" s="1">
        <v>41712</v>
      </c>
      <c r="K2079" s="1">
        <v>41802</v>
      </c>
      <c r="N2079" s="5"/>
      <c r="O2079" s="2">
        <v>93757</v>
      </c>
      <c r="P2079">
        <v>217</v>
      </c>
      <c r="Q2079" s="2">
        <v>20345269</v>
      </c>
      <c r="R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 s="1">
        <v>42382</v>
      </c>
      <c r="AC2079" t="s">
        <v>53</v>
      </c>
      <c r="AD2079" t="s">
        <v>53</v>
      </c>
      <c r="AK2079">
        <v>0</v>
      </c>
      <c r="AU2079" s="6">
        <v>42019</v>
      </c>
      <c r="AV2079" s="6">
        <v>42019</v>
      </c>
      <c r="AW2079" t="s">
        <v>54</v>
      </c>
      <c r="AX2079" t="str">
        <f t="shared" si="164"/>
        <v>FOR</v>
      </c>
      <c r="AY2079" t="s">
        <v>55</v>
      </c>
    </row>
    <row r="2080" spans="1:51" hidden="1">
      <c r="A2080">
        <v>100543</v>
      </c>
      <c r="B2080" t="s">
        <v>205</v>
      </c>
      <c r="C2080" t="str">
        <f t="shared" si="170"/>
        <v>00856750153</v>
      </c>
      <c r="D2080" t="str">
        <f t="shared" si="170"/>
        <v>00856750153</v>
      </c>
      <c r="E2080" t="s">
        <v>52</v>
      </c>
      <c r="F2080">
        <v>2014</v>
      </c>
      <c r="G2080">
        <v>20840942</v>
      </c>
      <c r="H2080" s="1">
        <v>41682</v>
      </c>
      <c r="I2080" s="1">
        <v>41712</v>
      </c>
      <c r="J2080" s="1">
        <v>41712</v>
      </c>
      <c r="K2080" s="1">
        <v>41802</v>
      </c>
      <c r="N2080" s="5"/>
      <c r="O2080" s="2">
        <v>93757</v>
      </c>
      <c r="P2080">
        <v>217</v>
      </c>
      <c r="Q2080" s="2">
        <v>20345269</v>
      </c>
      <c r="R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 s="1">
        <v>42382</v>
      </c>
      <c r="AC2080" t="s">
        <v>53</v>
      </c>
      <c r="AD2080" t="s">
        <v>53</v>
      </c>
      <c r="AK2080">
        <v>0</v>
      </c>
      <c r="AU2080" s="6">
        <v>42019</v>
      </c>
      <c r="AV2080" s="6">
        <v>42019</v>
      </c>
      <c r="AW2080" t="s">
        <v>54</v>
      </c>
      <c r="AX2080" t="str">
        <f t="shared" si="164"/>
        <v>FOR</v>
      </c>
      <c r="AY2080" t="s">
        <v>55</v>
      </c>
    </row>
    <row r="2081" spans="1:51" hidden="1">
      <c r="A2081">
        <v>100543</v>
      </c>
      <c r="B2081" t="s">
        <v>205</v>
      </c>
      <c r="C2081" t="str">
        <f t="shared" si="170"/>
        <v>00856750153</v>
      </c>
      <c r="D2081" t="str">
        <f t="shared" si="170"/>
        <v>00856750153</v>
      </c>
      <c r="E2081" t="s">
        <v>52</v>
      </c>
      <c r="F2081">
        <v>2014</v>
      </c>
      <c r="G2081">
        <v>20843026</v>
      </c>
      <c r="H2081" s="1">
        <v>41758</v>
      </c>
      <c r="I2081" s="1">
        <v>41773</v>
      </c>
      <c r="J2081" s="1">
        <v>41773</v>
      </c>
      <c r="K2081" s="1">
        <v>41863</v>
      </c>
      <c r="N2081" s="5"/>
      <c r="O2081" s="2">
        <v>7320</v>
      </c>
      <c r="P2081">
        <v>231</v>
      </c>
      <c r="Q2081" s="2">
        <v>1690920</v>
      </c>
      <c r="R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 s="1">
        <v>42382</v>
      </c>
      <c r="AC2081" t="s">
        <v>53</v>
      </c>
      <c r="AD2081" t="s">
        <v>53</v>
      </c>
      <c r="AK2081">
        <v>0</v>
      </c>
      <c r="AU2081" s="6">
        <v>42094</v>
      </c>
      <c r="AV2081" s="6">
        <v>42094</v>
      </c>
      <c r="AW2081" t="s">
        <v>54</v>
      </c>
      <c r="AX2081" t="str">
        <f t="shared" si="164"/>
        <v>FOR</v>
      </c>
      <c r="AY2081" t="s">
        <v>55</v>
      </c>
    </row>
    <row r="2082" spans="1:51" hidden="1">
      <c r="A2082">
        <v>100543</v>
      </c>
      <c r="B2082" t="s">
        <v>205</v>
      </c>
      <c r="C2082" t="str">
        <f t="shared" si="170"/>
        <v>00856750153</v>
      </c>
      <c r="D2082" t="str">
        <f t="shared" si="170"/>
        <v>00856750153</v>
      </c>
      <c r="E2082" t="s">
        <v>52</v>
      </c>
      <c r="F2082">
        <v>2014</v>
      </c>
      <c r="G2082">
        <v>20844515</v>
      </c>
      <c r="H2082" s="1">
        <v>41822</v>
      </c>
      <c r="I2082" s="1">
        <v>41834</v>
      </c>
      <c r="J2082" s="1">
        <v>41834</v>
      </c>
      <c r="K2082" s="1">
        <v>41924</v>
      </c>
      <c r="N2082" s="5"/>
      <c r="O2082" s="2">
        <v>7320</v>
      </c>
      <c r="P2082">
        <v>235</v>
      </c>
      <c r="Q2082" s="2">
        <v>1720200</v>
      </c>
      <c r="R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 s="1">
        <v>42382</v>
      </c>
      <c r="AC2082" t="s">
        <v>53</v>
      </c>
      <c r="AD2082" t="s">
        <v>53</v>
      </c>
      <c r="AK2082">
        <v>0</v>
      </c>
      <c r="AU2082" s="6">
        <v>42159</v>
      </c>
      <c r="AV2082" s="6">
        <v>42159</v>
      </c>
      <c r="AW2082" t="s">
        <v>54</v>
      </c>
      <c r="AX2082" t="str">
        <f t="shared" si="164"/>
        <v>FOR</v>
      </c>
      <c r="AY2082" t="s">
        <v>55</v>
      </c>
    </row>
    <row r="2083" spans="1:51">
      <c r="A2083">
        <v>100543</v>
      </c>
      <c r="B2083" t="s">
        <v>205</v>
      </c>
      <c r="C2083" t="str">
        <f t="shared" si="170"/>
        <v>00856750153</v>
      </c>
      <c r="D2083" t="str">
        <f t="shared" si="170"/>
        <v>00856750153</v>
      </c>
      <c r="E2083" t="s">
        <v>52</v>
      </c>
      <c r="F2083">
        <v>2015</v>
      </c>
      <c r="G2083">
        <v>920850508</v>
      </c>
      <c r="H2083" s="1">
        <v>42033</v>
      </c>
      <c r="I2083" s="1">
        <v>42052</v>
      </c>
      <c r="J2083" s="1">
        <v>42052</v>
      </c>
      <c r="K2083" s="1">
        <v>42112</v>
      </c>
      <c r="L2083" s="7">
        <v>76850</v>
      </c>
      <c r="M2083" s="5">
        <v>188</v>
      </c>
      <c r="N2083" s="7">
        <v>14447800</v>
      </c>
      <c r="O2083" s="2">
        <v>76850</v>
      </c>
      <c r="P2083">
        <v>188</v>
      </c>
      <c r="Q2083" s="2">
        <v>14447800</v>
      </c>
      <c r="R2083">
        <v>0</v>
      </c>
      <c r="V2083">
        <v>0</v>
      </c>
      <c r="W2083">
        <v>0</v>
      </c>
      <c r="X2083">
        <v>0</v>
      </c>
      <c r="Y2083">
        <v>0</v>
      </c>
      <c r="Z2083" s="2">
        <v>93757</v>
      </c>
      <c r="AA2083" s="2">
        <v>93757</v>
      </c>
      <c r="AB2083" s="1">
        <v>42382</v>
      </c>
      <c r="AC2083" t="s">
        <v>53</v>
      </c>
      <c r="AD2083" t="s">
        <v>53</v>
      </c>
      <c r="AK2083">
        <v>0</v>
      </c>
      <c r="AU2083" s="6">
        <v>42300</v>
      </c>
      <c r="AV2083" s="6">
        <v>42300</v>
      </c>
      <c r="AW2083" t="s">
        <v>54</v>
      </c>
      <c r="AX2083" t="str">
        <f t="shared" si="164"/>
        <v>FOR</v>
      </c>
      <c r="AY2083" t="s">
        <v>55</v>
      </c>
    </row>
    <row r="2084" spans="1:51">
      <c r="A2084">
        <v>100543</v>
      </c>
      <c r="B2084" t="s">
        <v>205</v>
      </c>
      <c r="C2084" t="str">
        <f t="shared" si="170"/>
        <v>00856750153</v>
      </c>
      <c r="D2084" t="str">
        <f t="shared" si="170"/>
        <v>00856750153</v>
      </c>
      <c r="E2084" t="s">
        <v>52</v>
      </c>
      <c r="F2084">
        <v>2015</v>
      </c>
      <c r="G2084">
        <v>920850509</v>
      </c>
      <c r="H2084" s="1">
        <v>42033</v>
      </c>
      <c r="I2084" s="1">
        <v>42041</v>
      </c>
      <c r="J2084" s="1">
        <v>42041</v>
      </c>
      <c r="K2084" s="1">
        <v>42101</v>
      </c>
      <c r="L2084" s="7">
        <v>76850</v>
      </c>
      <c r="M2084" s="5">
        <v>238</v>
      </c>
      <c r="N2084" s="7">
        <v>18290300</v>
      </c>
      <c r="O2084" s="2">
        <v>76850</v>
      </c>
      <c r="P2084">
        <v>238</v>
      </c>
      <c r="Q2084" s="2">
        <v>18290300</v>
      </c>
      <c r="R2084" s="2">
        <v>16907</v>
      </c>
      <c r="V2084">
        <v>0</v>
      </c>
      <c r="W2084">
        <v>0</v>
      </c>
      <c r="X2084">
        <v>0</v>
      </c>
      <c r="Y2084">
        <v>0</v>
      </c>
      <c r="Z2084" s="2">
        <v>93757</v>
      </c>
      <c r="AA2084" s="2">
        <v>93757</v>
      </c>
      <c r="AB2084" s="1">
        <v>42382</v>
      </c>
      <c r="AC2084" t="s">
        <v>53</v>
      </c>
      <c r="AD2084" t="s">
        <v>53</v>
      </c>
      <c r="AK2084" s="2">
        <v>16907</v>
      </c>
      <c r="AU2084" s="6">
        <v>42339</v>
      </c>
      <c r="AV2084" s="6">
        <v>42339</v>
      </c>
      <c r="AW2084" t="s">
        <v>54</v>
      </c>
      <c r="AX2084" t="str">
        <f t="shared" si="164"/>
        <v>FOR</v>
      </c>
      <c r="AY2084" t="s">
        <v>55</v>
      </c>
    </row>
    <row r="2085" spans="1:51">
      <c r="A2085">
        <v>100543</v>
      </c>
      <c r="B2085" t="s">
        <v>205</v>
      </c>
      <c r="C2085" t="str">
        <f t="shared" si="170"/>
        <v>00856750153</v>
      </c>
      <c r="D2085" t="str">
        <f t="shared" si="170"/>
        <v>00856750153</v>
      </c>
      <c r="E2085" t="s">
        <v>52</v>
      </c>
      <c r="F2085">
        <v>2015</v>
      </c>
      <c r="G2085">
        <v>920853391</v>
      </c>
      <c r="H2085" s="1">
        <v>42143</v>
      </c>
      <c r="I2085" s="1">
        <v>42164</v>
      </c>
      <c r="J2085" s="1">
        <v>42159</v>
      </c>
      <c r="K2085" s="1">
        <v>42219</v>
      </c>
      <c r="L2085" s="7">
        <v>6000</v>
      </c>
      <c r="M2085" s="5">
        <v>81</v>
      </c>
      <c r="N2085" s="7">
        <v>486000</v>
      </c>
      <c r="O2085" s="2">
        <v>6000</v>
      </c>
      <c r="P2085">
        <v>81</v>
      </c>
      <c r="Q2085" s="2">
        <v>486000</v>
      </c>
      <c r="R2085">
        <v>0</v>
      </c>
      <c r="V2085">
        <v>0</v>
      </c>
      <c r="W2085">
        <v>0</v>
      </c>
      <c r="X2085">
        <v>0</v>
      </c>
      <c r="Y2085" s="2">
        <v>7320</v>
      </c>
      <c r="Z2085" s="2">
        <v>7320</v>
      </c>
      <c r="AA2085" s="2">
        <v>7320</v>
      </c>
      <c r="AB2085" s="1">
        <v>42382</v>
      </c>
      <c r="AC2085" t="s">
        <v>53</v>
      </c>
      <c r="AD2085" t="s">
        <v>53</v>
      </c>
      <c r="AK2085">
        <v>0</v>
      </c>
      <c r="AU2085" s="6">
        <v>42300</v>
      </c>
      <c r="AV2085" s="6">
        <v>42300</v>
      </c>
      <c r="AW2085" t="s">
        <v>54</v>
      </c>
      <c r="AX2085" t="str">
        <f t="shared" si="164"/>
        <v>FOR</v>
      </c>
      <c r="AY2085" t="s">
        <v>55</v>
      </c>
    </row>
    <row r="2086" spans="1:51">
      <c r="A2086">
        <v>100543</v>
      </c>
      <c r="B2086" t="s">
        <v>205</v>
      </c>
      <c r="C2086" t="str">
        <f t="shared" si="170"/>
        <v>00856750153</v>
      </c>
      <c r="D2086" t="str">
        <f t="shared" si="170"/>
        <v>00856750153</v>
      </c>
      <c r="E2086" t="s">
        <v>52</v>
      </c>
      <c r="F2086">
        <v>2015</v>
      </c>
      <c r="G2086">
        <v>920854864</v>
      </c>
      <c r="H2086" s="1">
        <v>42187</v>
      </c>
      <c r="I2086" s="1">
        <v>42200</v>
      </c>
      <c r="J2086" s="1">
        <v>42199</v>
      </c>
      <c r="K2086" s="1">
        <v>42259</v>
      </c>
      <c r="L2086" s="7">
        <v>6000</v>
      </c>
      <c r="M2086" s="5">
        <v>80</v>
      </c>
      <c r="N2086" s="7">
        <v>480000</v>
      </c>
      <c r="O2086" s="2">
        <v>6000</v>
      </c>
      <c r="P2086">
        <v>80</v>
      </c>
      <c r="Q2086" s="2">
        <v>480000</v>
      </c>
      <c r="R2086" s="2">
        <v>1320</v>
      </c>
      <c r="V2086">
        <v>0</v>
      </c>
      <c r="W2086">
        <v>0</v>
      </c>
      <c r="X2086">
        <v>0</v>
      </c>
      <c r="Y2086" s="2">
        <v>7320</v>
      </c>
      <c r="Z2086" s="2">
        <v>7320</v>
      </c>
      <c r="AA2086" s="2">
        <v>7320</v>
      </c>
      <c r="AB2086" s="1">
        <v>42382</v>
      </c>
      <c r="AC2086" t="s">
        <v>53</v>
      </c>
      <c r="AD2086" t="s">
        <v>53</v>
      </c>
      <c r="AH2086" s="2">
        <v>1320</v>
      </c>
      <c r="AK2086">
        <v>0</v>
      </c>
      <c r="AU2086" s="6">
        <v>42339</v>
      </c>
      <c r="AV2086" s="6">
        <v>42339</v>
      </c>
      <c r="AW2086" t="s">
        <v>54</v>
      </c>
      <c r="AX2086" t="str">
        <f t="shared" si="164"/>
        <v>FOR</v>
      </c>
      <c r="AY2086" t="s">
        <v>55</v>
      </c>
    </row>
    <row r="2087" spans="1:51" hidden="1">
      <c r="A2087">
        <v>100553</v>
      </c>
      <c r="B2087" t="s">
        <v>206</v>
      </c>
      <c r="C2087" t="str">
        <f>"01114601006"</f>
        <v>01114601006</v>
      </c>
      <c r="D2087" t="str">
        <f>"97103880585"</f>
        <v>97103880585</v>
      </c>
      <c r="E2087" t="s">
        <v>52</v>
      </c>
      <c r="F2087">
        <v>2015</v>
      </c>
      <c r="G2087">
        <v>91</v>
      </c>
      <c r="H2087" s="1">
        <v>42109</v>
      </c>
      <c r="I2087" s="1">
        <v>42109</v>
      </c>
      <c r="J2087" s="1">
        <v>42109</v>
      </c>
      <c r="K2087" s="1">
        <v>42169</v>
      </c>
      <c r="N2087" s="5"/>
      <c r="O2087" s="2">
        <v>20000</v>
      </c>
      <c r="P2087">
        <v>-33</v>
      </c>
      <c r="Q2087" s="2">
        <v>-660000</v>
      </c>
      <c r="R2087">
        <v>0</v>
      </c>
      <c r="V2087">
        <v>0</v>
      </c>
      <c r="W2087">
        <v>0</v>
      </c>
      <c r="X2087">
        <v>0</v>
      </c>
      <c r="Y2087" s="2">
        <v>20000</v>
      </c>
      <c r="Z2087" s="2">
        <v>20000</v>
      </c>
      <c r="AA2087" s="2">
        <v>20000</v>
      </c>
      <c r="AB2087" s="1">
        <v>42382</v>
      </c>
      <c r="AC2087" t="s">
        <v>53</v>
      </c>
      <c r="AD2087" t="s">
        <v>53</v>
      </c>
      <c r="AK2087">
        <v>0</v>
      </c>
      <c r="AU2087" s="6">
        <v>42136</v>
      </c>
      <c r="AV2087" s="6">
        <v>42136</v>
      </c>
      <c r="AW2087" t="s">
        <v>54</v>
      </c>
      <c r="AX2087" t="str">
        <f t="shared" si="164"/>
        <v>FOR</v>
      </c>
      <c r="AY2087" t="s">
        <v>55</v>
      </c>
    </row>
    <row r="2088" spans="1:51" hidden="1">
      <c r="A2088">
        <v>100559</v>
      </c>
      <c r="B2088" t="s">
        <v>207</v>
      </c>
      <c r="C2088" t="str">
        <f t="shared" ref="C2088:D2090" si="171">"01122350380"</f>
        <v>01122350380</v>
      </c>
      <c r="D2088" t="str">
        <f t="shared" si="171"/>
        <v>01122350380</v>
      </c>
      <c r="E2088" t="s">
        <v>52</v>
      </c>
      <c r="F2088">
        <v>2014</v>
      </c>
      <c r="G2088">
        <v>86</v>
      </c>
      <c r="H2088" s="1">
        <v>41670</v>
      </c>
      <c r="I2088" s="1">
        <v>41694</v>
      </c>
      <c r="J2088" s="1">
        <v>41694</v>
      </c>
      <c r="K2088" s="1">
        <v>41784</v>
      </c>
      <c r="N2088" s="5"/>
      <c r="O2088">
        <v>600.6</v>
      </c>
      <c r="P2088">
        <v>240</v>
      </c>
      <c r="Q2088" s="2">
        <v>144144</v>
      </c>
      <c r="R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 s="1">
        <v>42382</v>
      </c>
      <c r="AC2088" t="s">
        <v>53</v>
      </c>
      <c r="AD2088" t="s">
        <v>53</v>
      </c>
      <c r="AK2088">
        <v>0</v>
      </c>
      <c r="AU2088" s="6">
        <v>42024</v>
      </c>
      <c r="AV2088" s="6">
        <v>42024</v>
      </c>
      <c r="AW2088" t="s">
        <v>54</v>
      </c>
      <c r="AX2088" t="str">
        <f t="shared" si="164"/>
        <v>FOR</v>
      </c>
      <c r="AY2088" t="s">
        <v>55</v>
      </c>
    </row>
    <row r="2089" spans="1:51" hidden="1">
      <c r="A2089">
        <v>100559</v>
      </c>
      <c r="B2089" t="s">
        <v>207</v>
      </c>
      <c r="C2089" t="str">
        <f t="shared" si="171"/>
        <v>01122350380</v>
      </c>
      <c r="D2089" t="str">
        <f t="shared" si="171"/>
        <v>01122350380</v>
      </c>
      <c r="E2089" t="s">
        <v>52</v>
      </c>
      <c r="F2089">
        <v>2014</v>
      </c>
      <c r="G2089">
        <v>395</v>
      </c>
      <c r="H2089" s="1">
        <v>41757</v>
      </c>
      <c r="I2089" s="1">
        <v>41779</v>
      </c>
      <c r="J2089" s="1">
        <v>41779</v>
      </c>
      <c r="K2089" s="1">
        <v>41869</v>
      </c>
      <c r="N2089" s="5"/>
      <c r="O2089" s="2">
        <v>1401.4</v>
      </c>
      <c r="P2089">
        <v>155</v>
      </c>
      <c r="Q2089" s="2">
        <v>217217</v>
      </c>
      <c r="R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 s="1">
        <v>42382</v>
      </c>
      <c r="AC2089" t="s">
        <v>53</v>
      </c>
      <c r="AD2089" t="s">
        <v>53</v>
      </c>
      <c r="AK2089">
        <v>0</v>
      </c>
      <c r="AU2089" s="6">
        <v>42024</v>
      </c>
      <c r="AV2089" s="6">
        <v>42024</v>
      </c>
      <c r="AW2089" t="s">
        <v>54</v>
      </c>
      <c r="AX2089" t="str">
        <f t="shared" si="164"/>
        <v>FOR</v>
      </c>
      <c r="AY2089" t="s">
        <v>55</v>
      </c>
    </row>
    <row r="2090" spans="1:51">
      <c r="A2090">
        <v>100559</v>
      </c>
      <c r="B2090" t="s">
        <v>207</v>
      </c>
      <c r="C2090" t="str">
        <f t="shared" si="171"/>
        <v>01122350380</v>
      </c>
      <c r="D2090" t="str">
        <f t="shared" si="171"/>
        <v>01122350380</v>
      </c>
      <c r="E2090" t="s">
        <v>52</v>
      </c>
      <c r="F2090">
        <v>2015</v>
      </c>
      <c r="G2090">
        <v>200</v>
      </c>
      <c r="H2090" s="1">
        <v>42062</v>
      </c>
      <c r="I2090" s="1">
        <v>42080</v>
      </c>
      <c r="J2090" s="1">
        <v>42080</v>
      </c>
      <c r="K2090" s="1">
        <v>42140</v>
      </c>
      <c r="L2090" s="7">
        <v>1925</v>
      </c>
      <c r="M2090" s="5">
        <v>215</v>
      </c>
      <c r="N2090" s="7">
        <v>413875</v>
      </c>
      <c r="O2090" s="2">
        <v>1925</v>
      </c>
      <c r="P2090">
        <v>215</v>
      </c>
      <c r="Q2090" s="2">
        <v>413875</v>
      </c>
      <c r="R2090">
        <v>423.5</v>
      </c>
      <c r="V2090">
        <v>0</v>
      </c>
      <c r="W2090">
        <v>0</v>
      </c>
      <c r="X2090">
        <v>0</v>
      </c>
      <c r="Y2090" s="2">
        <v>2348.5</v>
      </c>
      <c r="Z2090" s="2">
        <v>2348.5</v>
      </c>
      <c r="AA2090" s="2">
        <v>2348.5</v>
      </c>
      <c r="AB2090" s="1">
        <v>42382</v>
      </c>
      <c r="AC2090" t="s">
        <v>53</v>
      </c>
      <c r="AD2090" t="s">
        <v>53</v>
      </c>
      <c r="AK2090">
        <v>423.5</v>
      </c>
      <c r="AU2090" s="6">
        <v>42355</v>
      </c>
      <c r="AV2090" s="6">
        <v>42355</v>
      </c>
      <c r="AW2090" t="s">
        <v>54</v>
      </c>
      <c r="AX2090" t="str">
        <f t="shared" si="164"/>
        <v>FOR</v>
      </c>
      <c r="AY2090" t="s">
        <v>55</v>
      </c>
    </row>
    <row r="2091" spans="1:51">
      <c r="A2091">
        <v>100565</v>
      </c>
      <c r="B2091" t="s">
        <v>208</v>
      </c>
      <c r="C2091" t="str">
        <f t="shared" ref="C2091:D2097" si="172">"00747170157"</f>
        <v>00747170157</v>
      </c>
      <c r="D2091" t="str">
        <f t="shared" si="172"/>
        <v>00747170157</v>
      </c>
      <c r="E2091" t="s">
        <v>52</v>
      </c>
      <c r="F2091">
        <v>2014</v>
      </c>
      <c r="G2091">
        <v>44338235</v>
      </c>
      <c r="H2091" s="1">
        <v>41919</v>
      </c>
      <c r="I2091" s="1">
        <v>41932</v>
      </c>
      <c r="J2091" s="1">
        <v>41932</v>
      </c>
      <c r="K2091" s="1">
        <v>41992</v>
      </c>
      <c r="L2091" s="7">
        <v>6031.59</v>
      </c>
      <c r="M2091" s="5">
        <v>291</v>
      </c>
      <c r="N2091" s="7">
        <v>1755192.69</v>
      </c>
      <c r="O2091" s="2">
        <v>6031.59</v>
      </c>
      <c r="P2091">
        <v>291</v>
      </c>
      <c r="Q2091" s="2">
        <v>1755192.69</v>
      </c>
      <c r="R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 s="1">
        <v>42382</v>
      </c>
      <c r="AC2091" t="s">
        <v>53</v>
      </c>
      <c r="AD2091" t="s">
        <v>53</v>
      </c>
      <c r="AK2091">
        <v>0</v>
      </c>
      <c r="AU2091" s="6">
        <v>42283</v>
      </c>
      <c r="AV2091" s="6">
        <v>42283</v>
      </c>
      <c r="AW2091" t="s">
        <v>54</v>
      </c>
      <c r="AX2091" t="str">
        <f t="shared" si="164"/>
        <v>FOR</v>
      </c>
      <c r="AY2091" t="s">
        <v>55</v>
      </c>
    </row>
    <row r="2092" spans="1:51">
      <c r="A2092">
        <v>100565</v>
      </c>
      <c r="B2092" t="s">
        <v>208</v>
      </c>
      <c r="C2092" t="str">
        <f t="shared" si="172"/>
        <v>00747170157</v>
      </c>
      <c r="D2092" t="str">
        <f t="shared" si="172"/>
        <v>00747170157</v>
      </c>
      <c r="E2092" t="s">
        <v>52</v>
      </c>
      <c r="F2092">
        <v>2014</v>
      </c>
      <c r="G2092">
        <v>44343864</v>
      </c>
      <c r="H2092" s="1">
        <v>41960</v>
      </c>
      <c r="I2092" s="1">
        <v>41974</v>
      </c>
      <c r="J2092" s="1">
        <v>41974</v>
      </c>
      <c r="K2092" s="1">
        <v>42034</v>
      </c>
      <c r="L2092" s="7">
        <v>6031.59</v>
      </c>
      <c r="M2092" s="5">
        <v>270</v>
      </c>
      <c r="N2092" s="7">
        <v>1628529.3</v>
      </c>
      <c r="O2092" s="2">
        <v>6031.59</v>
      </c>
      <c r="P2092">
        <v>270</v>
      </c>
      <c r="Q2092" s="2">
        <v>1628529.3</v>
      </c>
      <c r="R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 s="1">
        <v>42382</v>
      </c>
      <c r="AC2092" t="s">
        <v>53</v>
      </c>
      <c r="AD2092" t="s">
        <v>53</v>
      </c>
      <c r="AK2092">
        <v>0</v>
      </c>
      <c r="AU2092" s="6">
        <v>42304</v>
      </c>
      <c r="AV2092" s="6">
        <v>42304</v>
      </c>
      <c r="AW2092" t="s">
        <v>54</v>
      </c>
      <c r="AX2092" t="str">
        <f t="shared" si="164"/>
        <v>FOR</v>
      </c>
      <c r="AY2092" t="s">
        <v>55</v>
      </c>
    </row>
    <row r="2093" spans="1:51">
      <c r="A2093">
        <v>100565</v>
      </c>
      <c r="B2093" t="s">
        <v>208</v>
      </c>
      <c r="C2093" t="str">
        <f t="shared" si="172"/>
        <v>00747170157</v>
      </c>
      <c r="D2093" t="str">
        <f t="shared" si="172"/>
        <v>00747170157</v>
      </c>
      <c r="E2093" t="s">
        <v>52</v>
      </c>
      <c r="F2093">
        <v>2014</v>
      </c>
      <c r="G2093">
        <v>44345663</v>
      </c>
      <c r="H2093" s="1">
        <v>41970</v>
      </c>
      <c r="I2093" s="1">
        <v>41978</v>
      </c>
      <c r="J2093" s="1">
        <v>41978</v>
      </c>
      <c r="K2093" s="1">
        <v>42038</v>
      </c>
      <c r="L2093" s="7">
        <v>6031.59</v>
      </c>
      <c r="M2093" s="5">
        <v>266</v>
      </c>
      <c r="N2093" s="7">
        <v>1604402.94</v>
      </c>
      <c r="O2093" s="2">
        <v>6031.59</v>
      </c>
      <c r="P2093">
        <v>266</v>
      </c>
      <c r="Q2093" s="2">
        <v>1604402.94</v>
      </c>
      <c r="R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 s="1">
        <v>42382</v>
      </c>
      <c r="AC2093" t="s">
        <v>53</v>
      </c>
      <c r="AD2093" t="s">
        <v>53</v>
      </c>
      <c r="AK2093">
        <v>0</v>
      </c>
      <c r="AU2093" s="6">
        <v>42304</v>
      </c>
      <c r="AV2093" s="6">
        <v>42304</v>
      </c>
      <c r="AW2093" t="s">
        <v>54</v>
      </c>
      <c r="AX2093" t="str">
        <f t="shared" si="164"/>
        <v>FOR</v>
      </c>
      <c r="AY2093" t="s">
        <v>55</v>
      </c>
    </row>
    <row r="2094" spans="1:51">
      <c r="A2094">
        <v>100565</v>
      </c>
      <c r="B2094" t="s">
        <v>208</v>
      </c>
      <c r="C2094" t="str">
        <f t="shared" si="172"/>
        <v>00747170157</v>
      </c>
      <c r="D2094" t="str">
        <f t="shared" si="172"/>
        <v>00747170157</v>
      </c>
      <c r="E2094" t="s">
        <v>52</v>
      </c>
      <c r="F2094">
        <v>2014</v>
      </c>
      <c r="G2094">
        <v>44348260</v>
      </c>
      <c r="H2094" s="1">
        <v>41989</v>
      </c>
      <c r="I2094" s="1">
        <v>42004</v>
      </c>
      <c r="J2094" s="1">
        <v>42004</v>
      </c>
      <c r="K2094" s="1">
        <v>42064</v>
      </c>
      <c r="L2094" s="7">
        <v>12063.17</v>
      </c>
      <c r="M2094" s="5">
        <v>276</v>
      </c>
      <c r="N2094" s="7">
        <v>3329434.92</v>
      </c>
      <c r="O2094" s="2">
        <v>12063.17</v>
      </c>
      <c r="P2094">
        <v>276</v>
      </c>
      <c r="Q2094" s="2">
        <v>3329434.92</v>
      </c>
      <c r="R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 s="1">
        <v>42382</v>
      </c>
      <c r="AC2094" t="s">
        <v>53</v>
      </c>
      <c r="AD2094" t="s">
        <v>53</v>
      </c>
      <c r="AK2094">
        <v>0</v>
      </c>
      <c r="AU2094" s="6">
        <v>42340</v>
      </c>
      <c r="AV2094" s="6">
        <v>42340</v>
      </c>
      <c r="AW2094" t="s">
        <v>54</v>
      </c>
      <c r="AX2094" t="str">
        <f t="shared" si="164"/>
        <v>FOR</v>
      </c>
      <c r="AY2094" t="s">
        <v>55</v>
      </c>
    </row>
    <row r="2095" spans="1:51">
      <c r="A2095">
        <v>100565</v>
      </c>
      <c r="B2095" t="s">
        <v>208</v>
      </c>
      <c r="C2095" t="str">
        <f t="shared" si="172"/>
        <v>00747170157</v>
      </c>
      <c r="D2095" t="str">
        <f t="shared" si="172"/>
        <v>00747170157</v>
      </c>
      <c r="E2095" t="s">
        <v>52</v>
      </c>
      <c r="F2095">
        <v>2015</v>
      </c>
      <c r="G2095">
        <v>6745301775</v>
      </c>
      <c r="H2095" s="1">
        <v>42017</v>
      </c>
      <c r="I2095" s="1">
        <v>42030</v>
      </c>
      <c r="J2095" s="1">
        <v>42030</v>
      </c>
      <c r="K2095" s="1">
        <v>42090</v>
      </c>
      <c r="L2095" s="7">
        <v>16449.78</v>
      </c>
      <c r="M2095" s="5">
        <v>266</v>
      </c>
      <c r="N2095" s="7">
        <v>4375641.4800000004</v>
      </c>
      <c r="O2095" s="2">
        <v>16449.78</v>
      </c>
      <c r="P2095">
        <v>266</v>
      </c>
      <c r="Q2095" s="2">
        <v>4375641.4800000004</v>
      </c>
      <c r="R2095" s="2">
        <v>1644.98</v>
      </c>
      <c r="V2095">
        <v>0</v>
      </c>
      <c r="W2095">
        <v>0</v>
      </c>
      <c r="X2095">
        <v>0</v>
      </c>
      <c r="Y2095" s="2">
        <v>18094.759999999998</v>
      </c>
      <c r="Z2095" s="2">
        <v>18094.759999999998</v>
      </c>
      <c r="AA2095" s="2">
        <v>18094.759999999998</v>
      </c>
      <c r="AB2095" s="1">
        <v>42382</v>
      </c>
      <c r="AC2095" t="s">
        <v>53</v>
      </c>
      <c r="AD2095" t="s">
        <v>53</v>
      </c>
      <c r="AK2095" s="2">
        <v>1644.98</v>
      </c>
      <c r="AU2095" s="6">
        <v>42356</v>
      </c>
      <c r="AV2095" s="6">
        <v>42356</v>
      </c>
      <c r="AW2095" t="s">
        <v>54</v>
      </c>
      <c r="AX2095" t="str">
        <f t="shared" si="164"/>
        <v>FOR</v>
      </c>
      <c r="AY2095" t="s">
        <v>55</v>
      </c>
    </row>
    <row r="2096" spans="1:51">
      <c r="A2096">
        <v>100565</v>
      </c>
      <c r="B2096" t="s">
        <v>208</v>
      </c>
      <c r="C2096" t="str">
        <f t="shared" si="172"/>
        <v>00747170157</v>
      </c>
      <c r="D2096" t="str">
        <f t="shared" si="172"/>
        <v>00747170157</v>
      </c>
      <c r="E2096" t="s">
        <v>52</v>
      </c>
      <c r="F2096">
        <v>2015</v>
      </c>
      <c r="G2096">
        <v>6745303763</v>
      </c>
      <c r="H2096" s="1">
        <v>42030</v>
      </c>
      <c r="I2096" s="1">
        <v>42039</v>
      </c>
      <c r="J2096" s="1">
        <v>42039</v>
      </c>
      <c r="K2096" s="1">
        <v>42099</v>
      </c>
      <c r="L2096" s="7">
        <v>16449.78</v>
      </c>
      <c r="M2096" s="5">
        <v>257</v>
      </c>
      <c r="N2096" s="7">
        <v>4227593.46</v>
      </c>
      <c r="O2096" s="2">
        <v>16449.78</v>
      </c>
      <c r="P2096">
        <v>257</v>
      </c>
      <c r="Q2096" s="2">
        <v>4227593.46</v>
      </c>
      <c r="R2096" s="2">
        <v>1644.98</v>
      </c>
      <c r="V2096">
        <v>0</v>
      </c>
      <c r="W2096">
        <v>0</v>
      </c>
      <c r="X2096">
        <v>0</v>
      </c>
      <c r="Y2096" s="2">
        <v>18094.759999999998</v>
      </c>
      <c r="Z2096" s="2">
        <v>18094.759999999998</v>
      </c>
      <c r="AA2096" s="2">
        <v>18094.759999999998</v>
      </c>
      <c r="AB2096" s="1">
        <v>42382</v>
      </c>
      <c r="AC2096" t="s">
        <v>53</v>
      </c>
      <c r="AD2096" t="s">
        <v>53</v>
      </c>
      <c r="AK2096" s="2">
        <v>1644.98</v>
      </c>
      <c r="AU2096" s="6">
        <v>42356</v>
      </c>
      <c r="AV2096" s="6">
        <v>42356</v>
      </c>
      <c r="AW2096" t="s">
        <v>54</v>
      </c>
      <c r="AX2096" t="str">
        <f t="shared" si="164"/>
        <v>FOR</v>
      </c>
      <c r="AY2096" t="s">
        <v>55</v>
      </c>
    </row>
    <row r="2097" spans="1:51">
      <c r="A2097">
        <v>100565</v>
      </c>
      <c r="B2097" t="s">
        <v>208</v>
      </c>
      <c r="C2097" t="str">
        <f t="shared" si="172"/>
        <v>00747170157</v>
      </c>
      <c r="D2097" t="str">
        <f t="shared" si="172"/>
        <v>00747170157</v>
      </c>
      <c r="E2097" t="s">
        <v>52</v>
      </c>
      <c r="F2097">
        <v>2015</v>
      </c>
      <c r="G2097">
        <v>6745304665</v>
      </c>
      <c r="H2097" s="1">
        <v>42034</v>
      </c>
      <c r="I2097" s="1">
        <v>42047</v>
      </c>
      <c r="J2097" s="1">
        <v>42047</v>
      </c>
      <c r="K2097" s="1">
        <v>42107</v>
      </c>
      <c r="L2097" s="7">
        <v>13708.15</v>
      </c>
      <c r="M2097" s="5">
        <v>249</v>
      </c>
      <c r="N2097" s="7">
        <v>3413329.35</v>
      </c>
      <c r="O2097" s="2">
        <v>13708.15</v>
      </c>
      <c r="P2097">
        <v>249</v>
      </c>
      <c r="Q2097" s="2">
        <v>3413329.35</v>
      </c>
      <c r="R2097" s="2">
        <v>1370.82</v>
      </c>
      <c r="V2097">
        <v>0</v>
      </c>
      <c r="W2097">
        <v>0</v>
      </c>
      <c r="X2097">
        <v>0</v>
      </c>
      <c r="Y2097" s="2">
        <v>15078.97</v>
      </c>
      <c r="Z2097" s="2">
        <v>15078.97</v>
      </c>
      <c r="AA2097" s="2">
        <v>15078.97</v>
      </c>
      <c r="AB2097" s="1">
        <v>42382</v>
      </c>
      <c r="AC2097" t="s">
        <v>53</v>
      </c>
      <c r="AD2097" t="s">
        <v>53</v>
      </c>
      <c r="AK2097" s="2">
        <v>1370.82</v>
      </c>
      <c r="AU2097" s="6">
        <v>42356</v>
      </c>
      <c r="AV2097" s="6">
        <v>42356</v>
      </c>
      <c r="AW2097" t="s">
        <v>54</v>
      </c>
      <c r="AX2097" t="str">
        <f t="shared" si="164"/>
        <v>FOR</v>
      </c>
      <c r="AY2097" t="s">
        <v>55</v>
      </c>
    </row>
    <row r="2098" spans="1:51" hidden="1">
      <c r="A2098">
        <v>100569</v>
      </c>
      <c r="B2098" t="s">
        <v>209</v>
      </c>
      <c r="C2098" t="str">
        <f>"02217770235"</f>
        <v>02217770235</v>
      </c>
      <c r="D2098" t="str">
        <f>"00695940213"</f>
        <v>00695940213</v>
      </c>
      <c r="E2098" t="s">
        <v>52</v>
      </c>
      <c r="F2098">
        <v>2014</v>
      </c>
      <c r="G2098">
        <v>1404693</v>
      </c>
      <c r="H2098" s="1">
        <v>41876</v>
      </c>
      <c r="I2098" s="1">
        <v>41891</v>
      </c>
      <c r="J2098" s="1">
        <v>41891</v>
      </c>
      <c r="K2098" s="1">
        <v>41981</v>
      </c>
      <c r="N2098" s="5"/>
      <c r="O2098">
        <v>118.95</v>
      </c>
      <c r="P2098">
        <v>268</v>
      </c>
      <c r="Q2098" s="2">
        <v>31878.6</v>
      </c>
      <c r="R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 s="1">
        <v>42382</v>
      </c>
      <c r="AC2098" t="s">
        <v>53</v>
      </c>
      <c r="AD2098" t="s">
        <v>53</v>
      </c>
      <c r="AK2098">
        <v>0</v>
      </c>
      <c r="AU2098" s="6">
        <v>42249</v>
      </c>
      <c r="AV2098" s="6">
        <v>42249</v>
      </c>
      <c r="AW2098" t="s">
        <v>54</v>
      </c>
      <c r="AX2098" t="str">
        <f t="shared" si="164"/>
        <v>FOR</v>
      </c>
      <c r="AY2098" t="s">
        <v>55</v>
      </c>
    </row>
    <row r="2099" spans="1:51">
      <c r="A2099">
        <v>100569</v>
      </c>
      <c r="B2099" t="s">
        <v>209</v>
      </c>
      <c r="C2099" t="str">
        <f>"02217770235"</f>
        <v>02217770235</v>
      </c>
      <c r="D2099" t="str">
        <f>"00695940213"</f>
        <v>00695940213</v>
      </c>
      <c r="E2099" t="s">
        <v>52</v>
      </c>
      <c r="F2099">
        <v>2014</v>
      </c>
      <c r="G2099">
        <v>1405558</v>
      </c>
      <c r="H2099" s="1">
        <v>41918</v>
      </c>
      <c r="I2099" s="1">
        <v>42047</v>
      </c>
      <c r="J2099" s="1">
        <v>42047</v>
      </c>
      <c r="K2099" s="1">
        <v>42107</v>
      </c>
      <c r="L2099" s="7">
        <v>144.57</v>
      </c>
      <c r="M2099" s="5">
        <v>175</v>
      </c>
      <c r="N2099" s="7">
        <v>25299.75</v>
      </c>
      <c r="O2099">
        <v>144.57</v>
      </c>
      <c r="P2099">
        <v>175</v>
      </c>
      <c r="Q2099" s="2">
        <v>25299.75</v>
      </c>
      <c r="R2099">
        <v>0</v>
      </c>
      <c r="V2099">
        <v>0</v>
      </c>
      <c r="W2099">
        <v>0</v>
      </c>
      <c r="X2099">
        <v>0</v>
      </c>
      <c r="Y2099">
        <v>0</v>
      </c>
      <c r="Z2099">
        <v>144.57</v>
      </c>
      <c r="AA2099">
        <v>0</v>
      </c>
      <c r="AB2099" s="1">
        <v>42382</v>
      </c>
      <c r="AC2099" t="s">
        <v>53</v>
      </c>
      <c r="AD2099" t="s">
        <v>53</v>
      </c>
      <c r="AK2099">
        <v>0</v>
      </c>
      <c r="AU2099" s="6">
        <v>42282</v>
      </c>
      <c r="AV2099" s="6">
        <v>42282</v>
      </c>
      <c r="AW2099" t="s">
        <v>54</v>
      </c>
      <c r="AX2099" t="str">
        <f t="shared" si="164"/>
        <v>FOR</v>
      </c>
      <c r="AY2099" t="s">
        <v>55</v>
      </c>
    </row>
    <row r="2100" spans="1:51" hidden="1">
      <c r="A2100">
        <v>100583</v>
      </c>
      <c r="B2100" t="s">
        <v>210</v>
      </c>
      <c r="C2100" t="str">
        <f t="shared" ref="C2100:D2109" si="173">"04888070960"</f>
        <v>04888070960</v>
      </c>
      <c r="D2100" t="str">
        <f t="shared" si="173"/>
        <v>04888070960</v>
      </c>
      <c r="E2100" t="s">
        <v>52</v>
      </c>
      <c r="F2100">
        <v>2014</v>
      </c>
      <c r="G2100">
        <v>6163</v>
      </c>
      <c r="H2100" s="1">
        <v>41789</v>
      </c>
      <c r="I2100" s="1">
        <v>41800</v>
      </c>
      <c r="J2100" s="1">
        <v>41800</v>
      </c>
      <c r="K2100" s="1">
        <v>41890</v>
      </c>
      <c r="N2100" s="5"/>
      <c r="O2100">
        <v>577.5</v>
      </c>
      <c r="P2100">
        <v>128</v>
      </c>
      <c r="Q2100" s="2">
        <v>73920</v>
      </c>
      <c r="R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 s="1">
        <v>42382</v>
      </c>
      <c r="AC2100" t="s">
        <v>53</v>
      </c>
      <c r="AD2100" t="s">
        <v>53</v>
      </c>
      <c r="AK2100">
        <v>0</v>
      </c>
      <c r="AU2100" s="6">
        <v>42018</v>
      </c>
      <c r="AV2100" s="6">
        <v>42018</v>
      </c>
      <c r="AW2100" t="s">
        <v>54</v>
      </c>
      <c r="AX2100" t="str">
        <f t="shared" si="164"/>
        <v>FOR</v>
      </c>
      <c r="AY2100" t="s">
        <v>55</v>
      </c>
    </row>
    <row r="2101" spans="1:51" hidden="1">
      <c r="A2101">
        <v>100583</v>
      </c>
      <c r="B2101" t="s">
        <v>210</v>
      </c>
      <c r="C2101" t="str">
        <f t="shared" si="173"/>
        <v>04888070960</v>
      </c>
      <c r="D2101" t="str">
        <f t="shared" si="173"/>
        <v>04888070960</v>
      </c>
      <c r="E2101" t="s">
        <v>52</v>
      </c>
      <c r="F2101">
        <v>2014</v>
      </c>
      <c r="G2101">
        <v>8283</v>
      </c>
      <c r="H2101" s="1">
        <v>41848</v>
      </c>
      <c r="I2101" s="1">
        <v>41872</v>
      </c>
      <c r="J2101" s="1">
        <v>41872</v>
      </c>
      <c r="K2101" s="1">
        <v>41962</v>
      </c>
      <c r="N2101" s="5"/>
      <c r="O2101">
        <v>385</v>
      </c>
      <c r="P2101">
        <v>56</v>
      </c>
      <c r="Q2101" s="2">
        <v>21560</v>
      </c>
      <c r="R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 s="1">
        <v>42382</v>
      </c>
      <c r="AC2101" t="s">
        <v>53</v>
      </c>
      <c r="AD2101" t="s">
        <v>53</v>
      </c>
      <c r="AK2101">
        <v>0</v>
      </c>
      <c r="AU2101" s="6">
        <v>42018</v>
      </c>
      <c r="AV2101" s="6">
        <v>42018</v>
      </c>
      <c r="AW2101" t="s">
        <v>54</v>
      </c>
      <c r="AX2101" t="str">
        <f t="shared" si="164"/>
        <v>FOR</v>
      </c>
      <c r="AY2101" t="s">
        <v>55</v>
      </c>
    </row>
    <row r="2102" spans="1:51" hidden="1">
      <c r="A2102">
        <v>100583</v>
      </c>
      <c r="B2102" t="s">
        <v>210</v>
      </c>
      <c r="C2102" t="str">
        <f t="shared" si="173"/>
        <v>04888070960</v>
      </c>
      <c r="D2102" t="str">
        <f t="shared" si="173"/>
        <v>04888070960</v>
      </c>
      <c r="E2102" t="s">
        <v>52</v>
      </c>
      <c r="F2102">
        <v>2014</v>
      </c>
      <c r="G2102">
        <v>8778</v>
      </c>
      <c r="H2102" s="1">
        <v>41892</v>
      </c>
      <c r="I2102" s="1">
        <v>41915</v>
      </c>
      <c r="J2102" s="1">
        <v>41915</v>
      </c>
      <c r="K2102" s="1">
        <v>42005</v>
      </c>
      <c r="N2102" s="5"/>
      <c r="O2102">
        <v>385</v>
      </c>
      <c r="P2102">
        <v>90</v>
      </c>
      <c r="Q2102" s="2">
        <v>34650</v>
      </c>
      <c r="R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 s="1">
        <v>42382</v>
      </c>
      <c r="AC2102" t="s">
        <v>53</v>
      </c>
      <c r="AD2102" t="s">
        <v>53</v>
      </c>
      <c r="AK2102">
        <v>0</v>
      </c>
      <c r="AU2102" s="6">
        <v>42095</v>
      </c>
      <c r="AV2102" s="6">
        <v>42095</v>
      </c>
      <c r="AW2102" t="s">
        <v>54</v>
      </c>
      <c r="AX2102" t="str">
        <f t="shared" si="164"/>
        <v>FOR</v>
      </c>
      <c r="AY2102" t="s">
        <v>55</v>
      </c>
    </row>
    <row r="2103" spans="1:51" hidden="1">
      <c r="A2103">
        <v>100583</v>
      </c>
      <c r="B2103" t="s">
        <v>210</v>
      </c>
      <c r="C2103" t="str">
        <f t="shared" si="173"/>
        <v>04888070960</v>
      </c>
      <c r="D2103" t="str">
        <f t="shared" si="173"/>
        <v>04888070960</v>
      </c>
      <c r="E2103" t="s">
        <v>52</v>
      </c>
      <c r="F2103">
        <v>2014</v>
      </c>
      <c r="G2103">
        <v>11462</v>
      </c>
      <c r="H2103" s="1">
        <v>41943</v>
      </c>
      <c r="I2103" s="1">
        <v>41956</v>
      </c>
      <c r="J2103" s="1">
        <v>41956</v>
      </c>
      <c r="K2103" s="1">
        <v>42016</v>
      </c>
      <c r="N2103" s="5"/>
      <c r="O2103">
        <v>385</v>
      </c>
      <c r="P2103">
        <v>79</v>
      </c>
      <c r="Q2103" s="2">
        <v>30415</v>
      </c>
      <c r="R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 s="1">
        <v>42382</v>
      </c>
      <c r="AC2103" t="s">
        <v>53</v>
      </c>
      <c r="AD2103" t="s">
        <v>53</v>
      </c>
      <c r="AK2103">
        <v>0</v>
      </c>
      <c r="AU2103" s="6">
        <v>42095</v>
      </c>
      <c r="AV2103" s="6">
        <v>42095</v>
      </c>
      <c r="AW2103" t="s">
        <v>54</v>
      </c>
      <c r="AX2103" t="str">
        <f t="shared" si="164"/>
        <v>FOR</v>
      </c>
      <c r="AY2103" t="s">
        <v>55</v>
      </c>
    </row>
    <row r="2104" spans="1:51" hidden="1">
      <c r="A2104">
        <v>100583</v>
      </c>
      <c r="B2104" t="s">
        <v>210</v>
      </c>
      <c r="C2104" t="str">
        <f t="shared" si="173"/>
        <v>04888070960</v>
      </c>
      <c r="D2104" t="str">
        <f t="shared" si="173"/>
        <v>04888070960</v>
      </c>
      <c r="E2104" t="s">
        <v>52</v>
      </c>
      <c r="F2104">
        <v>2014</v>
      </c>
      <c r="G2104">
        <v>13133</v>
      </c>
      <c r="H2104" s="1">
        <v>41989</v>
      </c>
      <c r="I2104" s="1">
        <v>42004</v>
      </c>
      <c r="J2104" s="1">
        <v>42004</v>
      </c>
      <c r="K2104" s="1">
        <v>42064</v>
      </c>
      <c r="N2104" s="5"/>
      <c r="O2104">
        <v>387.2</v>
      </c>
      <c r="P2104">
        <v>31</v>
      </c>
      <c r="Q2104" s="2">
        <v>12003.2</v>
      </c>
      <c r="R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 s="1">
        <v>42382</v>
      </c>
      <c r="AC2104" t="s">
        <v>53</v>
      </c>
      <c r="AD2104" t="s">
        <v>53</v>
      </c>
      <c r="AK2104">
        <v>0</v>
      </c>
      <c r="AU2104" s="6">
        <v>42095</v>
      </c>
      <c r="AV2104" s="6">
        <v>42095</v>
      </c>
      <c r="AW2104" t="s">
        <v>54</v>
      </c>
      <c r="AX2104" t="str">
        <f t="shared" si="164"/>
        <v>FOR</v>
      </c>
      <c r="AY2104" t="s">
        <v>55</v>
      </c>
    </row>
    <row r="2105" spans="1:51" hidden="1">
      <c r="A2105">
        <v>100583</v>
      </c>
      <c r="B2105" t="s">
        <v>210</v>
      </c>
      <c r="C2105" t="str">
        <f t="shared" si="173"/>
        <v>04888070960</v>
      </c>
      <c r="D2105" t="str">
        <f t="shared" si="173"/>
        <v>04888070960</v>
      </c>
      <c r="E2105" t="s">
        <v>52</v>
      </c>
      <c r="F2105">
        <v>2015</v>
      </c>
      <c r="G2105">
        <v>965</v>
      </c>
      <c r="H2105" s="1">
        <v>42034</v>
      </c>
      <c r="I2105" s="1">
        <v>42054</v>
      </c>
      <c r="J2105" s="1">
        <v>42054</v>
      </c>
      <c r="K2105" s="1">
        <v>42114</v>
      </c>
      <c r="N2105" s="5"/>
      <c r="O2105">
        <v>352</v>
      </c>
      <c r="P2105">
        <v>18</v>
      </c>
      <c r="Q2105" s="2">
        <v>6336</v>
      </c>
      <c r="R2105">
        <v>0</v>
      </c>
      <c r="V2105">
        <v>0</v>
      </c>
      <c r="W2105">
        <v>0</v>
      </c>
      <c r="X2105">
        <v>0</v>
      </c>
      <c r="Y2105">
        <v>387.2</v>
      </c>
      <c r="Z2105">
        <v>387.2</v>
      </c>
      <c r="AA2105">
        <v>387.2</v>
      </c>
      <c r="AB2105" s="1">
        <v>42382</v>
      </c>
      <c r="AC2105" t="s">
        <v>53</v>
      </c>
      <c r="AD2105" t="s">
        <v>53</v>
      </c>
      <c r="AK2105">
        <v>0</v>
      </c>
      <c r="AU2105" s="6">
        <v>42132</v>
      </c>
      <c r="AV2105" s="6">
        <v>42132</v>
      </c>
      <c r="AW2105" t="s">
        <v>54</v>
      </c>
      <c r="AX2105" t="str">
        <f t="shared" si="164"/>
        <v>FOR</v>
      </c>
      <c r="AY2105" t="s">
        <v>55</v>
      </c>
    </row>
    <row r="2106" spans="1:51" hidden="1">
      <c r="A2106">
        <v>100583</v>
      </c>
      <c r="B2106" t="s">
        <v>210</v>
      </c>
      <c r="C2106" t="str">
        <f t="shared" si="173"/>
        <v>04888070960</v>
      </c>
      <c r="D2106" t="str">
        <f t="shared" si="173"/>
        <v>04888070960</v>
      </c>
      <c r="E2106" t="s">
        <v>52</v>
      </c>
      <c r="F2106">
        <v>2015</v>
      </c>
      <c r="G2106">
        <v>3039</v>
      </c>
      <c r="H2106" s="1">
        <v>42087</v>
      </c>
      <c r="I2106" s="1">
        <v>42097</v>
      </c>
      <c r="J2106" s="1">
        <v>42097</v>
      </c>
      <c r="K2106" s="1">
        <v>42157</v>
      </c>
      <c r="N2106" s="5"/>
      <c r="O2106">
        <v>352</v>
      </c>
      <c r="P2106">
        <v>120</v>
      </c>
      <c r="Q2106" s="2">
        <v>42240</v>
      </c>
      <c r="R2106">
        <v>0</v>
      </c>
      <c r="V2106">
        <v>0</v>
      </c>
      <c r="W2106">
        <v>0</v>
      </c>
      <c r="X2106">
        <v>0</v>
      </c>
      <c r="Y2106">
        <v>387.2</v>
      </c>
      <c r="Z2106">
        <v>387.2</v>
      </c>
      <c r="AA2106">
        <v>387.2</v>
      </c>
      <c r="AB2106" s="1">
        <v>42382</v>
      </c>
      <c r="AC2106" t="s">
        <v>53</v>
      </c>
      <c r="AD2106" t="s">
        <v>53</v>
      </c>
      <c r="AK2106">
        <v>0</v>
      </c>
      <c r="AU2106" s="6">
        <v>42277</v>
      </c>
      <c r="AV2106" s="6">
        <v>42277</v>
      </c>
      <c r="AW2106" t="s">
        <v>54</v>
      </c>
      <c r="AX2106" t="str">
        <f t="shared" si="164"/>
        <v>FOR</v>
      </c>
      <c r="AY2106" t="s">
        <v>55</v>
      </c>
    </row>
    <row r="2107" spans="1:51" hidden="1">
      <c r="A2107">
        <v>100583</v>
      </c>
      <c r="B2107" t="s">
        <v>210</v>
      </c>
      <c r="C2107" t="str">
        <f t="shared" si="173"/>
        <v>04888070960</v>
      </c>
      <c r="D2107" t="str">
        <f t="shared" si="173"/>
        <v>04888070960</v>
      </c>
      <c r="E2107" t="s">
        <v>52</v>
      </c>
      <c r="F2107">
        <v>2015</v>
      </c>
      <c r="G2107" t="s">
        <v>211</v>
      </c>
      <c r="H2107" s="1">
        <v>42155</v>
      </c>
      <c r="I2107" s="1">
        <v>42177</v>
      </c>
      <c r="J2107" s="1">
        <v>42172</v>
      </c>
      <c r="K2107" s="1">
        <v>42232</v>
      </c>
      <c r="N2107" s="5"/>
      <c r="O2107">
        <v>352</v>
      </c>
      <c r="P2107">
        <v>45</v>
      </c>
      <c r="Q2107" s="2">
        <v>15840</v>
      </c>
      <c r="R2107">
        <v>0</v>
      </c>
      <c r="V2107">
        <v>0</v>
      </c>
      <c r="W2107">
        <v>0</v>
      </c>
      <c r="X2107">
        <v>0</v>
      </c>
      <c r="Y2107">
        <v>387.2</v>
      </c>
      <c r="Z2107">
        <v>387.2</v>
      </c>
      <c r="AA2107">
        <v>387.2</v>
      </c>
      <c r="AB2107" s="1">
        <v>42382</v>
      </c>
      <c r="AC2107" t="s">
        <v>53</v>
      </c>
      <c r="AD2107" t="s">
        <v>53</v>
      </c>
      <c r="AK2107">
        <v>0</v>
      </c>
      <c r="AU2107" s="6">
        <v>42277</v>
      </c>
      <c r="AV2107" s="6">
        <v>42277</v>
      </c>
      <c r="AW2107" t="s">
        <v>54</v>
      </c>
      <c r="AX2107" t="str">
        <f t="shared" si="164"/>
        <v>FOR</v>
      </c>
      <c r="AY2107" t="s">
        <v>55</v>
      </c>
    </row>
    <row r="2108" spans="1:51" hidden="1">
      <c r="A2108">
        <v>100583</v>
      </c>
      <c r="B2108" t="s">
        <v>210</v>
      </c>
      <c r="C2108" t="str">
        <f t="shared" si="173"/>
        <v>04888070960</v>
      </c>
      <c r="D2108" t="str">
        <f t="shared" si="173"/>
        <v>04888070960</v>
      </c>
      <c r="E2108" t="s">
        <v>52</v>
      </c>
      <c r="F2108">
        <v>2015</v>
      </c>
      <c r="G2108" t="s">
        <v>212</v>
      </c>
      <c r="H2108" s="1">
        <v>42207</v>
      </c>
      <c r="I2108" s="1">
        <v>42212</v>
      </c>
      <c r="J2108" s="1">
        <v>42209</v>
      </c>
      <c r="K2108" s="1">
        <v>42269</v>
      </c>
      <c r="N2108" s="5"/>
      <c r="O2108">
        <v>352</v>
      </c>
      <c r="P2108">
        <v>8</v>
      </c>
      <c r="Q2108" s="2">
        <v>2816</v>
      </c>
      <c r="R2108">
        <v>0</v>
      </c>
      <c r="V2108">
        <v>0</v>
      </c>
      <c r="W2108">
        <v>0</v>
      </c>
      <c r="X2108">
        <v>0</v>
      </c>
      <c r="Y2108">
        <v>387.2</v>
      </c>
      <c r="Z2108">
        <v>387.2</v>
      </c>
      <c r="AA2108">
        <v>387.2</v>
      </c>
      <c r="AB2108" s="1">
        <v>42382</v>
      </c>
      <c r="AC2108" t="s">
        <v>53</v>
      </c>
      <c r="AD2108" t="s">
        <v>53</v>
      </c>
      <c r="AK2108">
        <v>0</v>
      </c>
      <c r="AU2108" s="6">
        <v>42277</v>
      </c>
      <c r="AV2108" s="6">
        <v>42277</v>
      </c>
      <c r="AW2108" t="s">
        <v>54</v>
      </c>
      <c r="AX2108" t="str">
        <f t="shared" si="164"/>
        <v>FOR</v>
      </c>
      <c r="AY2108" t="s">
        <v>55</v>
      </c>
    </row>
    <row r="2109" spans="1:51" hidden="1">
      <c r="A2109">
        <v>100583</v>
      </c>
      <c r="B2109" t="s">
        <v>210</v>
      </c>
      <c r="C2109" t="str">
        <f t="shared" si="173"/>
        <v>04888070960</v>
      </c>
      <c r="D2109" t="str">
        <f t="shared" si="173"/>
        <v>04888070960</v>
      </c>
      <c r="E2109" t="s">
        <v>52</v>
      </c>
      <c r="F2109">
        <v>2015</v>
      </c>
      <c r="G2109" t="s">
        <v>213</v>
      </c>
      <c r="H2109" s="1">
        <v>42247</v>
      </c>
      <c r="I2109" s="1">
        <v>42258</v>
      </c>
      <c r="J2109" s="1">
        <v>42257</v>
      </c>
      <c r="K2109" s="1">
        <v>42317</v>
      </c>
      <c r="N2109" s="5"/>
      <c r="O2109">
        <v>352</v>
      </c>
      <c r="P2109">
        <v>-40</v>
      </c>
      <c r="Q2109" s="2">
        <v>-14080</v>
      </c>
      <c r="R2109">
        <v>0</v>
      </c>
      <c r="V2109">
        <v>0</v>
      </c>
      <c r="W2109">
        <v>0</v>
      </c>
      <c r="X2109">
        <v>0</v>
      </c>
      <c r="Y2109">
        <v>387.2</v>
      </c>
      <c r="Z2109">
        <v>387.2</v>
      </c>
      <c r="AA2109">
        <v>387.2</v>
      </c>
      <c r="AB2109" s="1">
        <v>42382</v>
      </c>
      <c r="AC2109" t="s">
        <v>53</v>
      </c>
      <c r="AD2109" t="s">
        <v>53</v>
      </c>
      <c r="AK2109">
        <v>0</v>
      </c>
      <c r="AU2109" s="6">
        <v>42277</v>
      </c>
      <c r="AV2109" s="6">
        <v>42277</v>
      </c>
      <c r="AW2109" t="s">
        <v>54</v>
      </c>
      <c r="AX2109" t="str">
        <f t="shared" si="164"/>
        <v>FOR</v>
      </c>
      <c r="AY2109" t="s">
        <v>55</v>
      </c>
    </row>
    <row r="2110" spans="1:51" hidden="1">
      <c r="A2110">
        <v>100613</v>
      </c>
      <c r="B2110" t="s">
        <v>214</v>
      </c>
      <c r="C2110" t="str">
        <f>"00751160151"</f>
        <v>00751160151</v>
      </c>
      <c r="D2110" t="str">
        <f>"00751160151"</f>
        <v>00751160151</v>
      </c>
      <c r="E2110" t="s">
        <v>52</v>
      </c>
      <c r="F2110">
        <v>2014</v>
      </c>
      <c r="G2110">
        <v>40197198</v>
      </c>
      <c r="H2110" s="1">
        <v>41907</v>
      </c>
      <c r="I2110" s="1">
        <v>41920</v>
      </c>
      <c r="J2110" s="1">
        <v>41920</v>
      </c>
      <c r="K2110" s="1">
        <v>42010</v>
      </c>
      <c r="N2110" s="5"/>
      <c r="O2110" s="2">
        <v>6100</v>
      </c>
      <c r="P2110">
        <v>239</v>
      </c>
      <c r="Q2110" s="2">
        <v>1457900</v>
      </c>
      <c r="R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 s="1">
        <v>42382</v>
      </c>
      <c r="AC2110" t="s">
        <v>53</v>
      </c>
      <c r="AD2110" t="s">
        <v>53</v>
      </c>
      <c r="AK2110">
        <v>0</v>
      </c>
      <c r="AU2110" s="6">
        <v>42249</v>
      </c>
      <c r="AV2110" s="6">
        <v>42249</v>
      </c>
      <c r="AW2110" t="s">
        <v>54</v>
      </c>
      <c r="AX2110" t="str">
        <f t="shared" si="164"/>
        <v>FOR</v>
      </c>
      <c r="AY2110" t="s">
        <v>55</v>
      </c>
    </row>
    <row r="2111" spans="1:51" hidden="1">
      <c r="A2111">
        <v>100622</v>
      </c>
      <c r="B2111" t="s">
        <v>215</v>
      </c>
      <c r="C2111" t="str">
        <f t="shared" ref="C2111:D2113" si="174">"01681100150"</f>
        <v>01681100150</v>
      </c>
      <c r="D2111" t="str">
        <f t="shared" si="174"/>
        <v>01681100150</v>
      </c>
      <c r="E2111" t="s">
        <v>52</v>
      </c>
      <c r="F2111">
        <v>2014</v>
      </c>
      <c r="G2111">
        <v>3369</v>
      </c>
      <c r="H2111" s="1">
        <v>41740</v>
      </c>
      <c r="I2111" s="1">
        <v>41757</v>
      </c>
      <c r="J2111" s="1">
        <v>41757</v>
      </c>
      <c r="K2111" s="1">
        <v>41847</v>
      </c>
      <c r="N2111" s="5"/>
      <c r="O2111" s="2">
        <v>4270</v>
      </c>
      <c r="P2111">
        <v>255</v>
      </c>
      <c r="Q2111" s="2">
        <v>1088850</v>
      </c>
      <c r="R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 s="1">
        <v>42382</v>
      </c>
      <c r="AC2111" t="s">
        <v>53</v>
      </c>
      <c r="AD2111" t="s">
        <v>53</v>
      </c>
      <c r="AK2111">
        <v>0</v>
      </c>
      <c r="AU2111" s="6">
        <v>42102</v>
      </c>
      <c r="AV2111" s="6">
        <v>42102</v>
      </c>
      <c r="AW2111" t="s">
        <v>54</v>
      </c>
      <c r="AX2111" t="str">
        <f t="shared" si="164"/>
        <v>FOR</v>
      </c>
      <c r="AY2111" t="s">
        <v>55</v>
      </c>
    </row>
    <row r="2112" spans="1:51" hidden="1">
      <c r="A2112">
        <v>100622</v>
      </c>
      <c r="B2112" t="s">
        <v>215</v>
      </c>
      <c r="C2112" t="str">
        <f t="shared" si="174"/>
        <v>01681100150</v>
      </c>
      <c r="D2112" t="str">
        <f t="shared" si="174"/>
        <v>01681100150</v>
      </c>
      <c r="E2112" t="s">
        <v>52</v>
      </c>
      <c r="F2112">
        <v>2014</v>
      </c>
      <c r="G2112">
        <v>8403</v>
      </c>
      <c r="H2112" s="1">
        <v>41912</v>
      </c>
      <c r="I2112" s="1">
        <v>41928</v>
      </c>
      <c r="J2112" s="1">
        <v>41928</v>
      </c>
      <c r="K2112" s="1">
        <v>41988</v>
      </c>
      <c r="N2112" s="5"/>
      <c r="O2112" s="2">
        <v>4270</v>
      </c>
      <c r="P2112">
        <v>114</v>
      </c>
      <c r="Q2112" s="2">
        <v>486780</v>
      </c>
      <c r="R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 s="1">
        <v>42382</v>
      </c>
      <c r="AC2112" t="s">
        <v>53</v>
      </c>
      <c r="AD2112" t="s">
        <v>53</v>
      </c>
      <c r="AK2112">
        <v>0</v>
      </c>
      <c r="AU2112" s="6">
        <v>42102</v>
      </c>
      <c r="AV2112" s="6">
        <v>42102</v>
      </c>
      <c r="AW2112" t="s">
        <v>54</v>
      </c>
      <c r="AX2112" t="str">
        <f t="shared" si="164"/>
        <v>FOR</v>
      </c>
      <c r="AY2112" t="s">
        <v>55</v>
      </c>
    </row>
    <row r="2113" spans="1:51" hidden="1">
      <c r="A2113">
        <v>100622</v>
      </c>
      <c r="B2113" t="s">
        <v>215</v>
      </c>
      <c r="C2113" t="str">
        <f t="shared" si="174"/>
        <v>01681100150</v>
      </c>
      <c r="D2113" t="str">
        <f t="shared" si="174"/>
        <v>01681100150</v>
      </c>
      <c r="E2113" t="s">
        <v>52</v>
      </c>
      <c r="F2113">
        <v>2015</v>
      </c>
      <c r="G2113">
        <v>619</v>
      </c>
      <c r="H2113" s="1">
        <v>42051</v>
      </c>
      <c r="I2113" s="1">
        <v>42067</v>
      </c>
      <c r="J2113" s="1">
        <v>42067</v>
      </c>
      <c r="K2113" s="1">
        <v>42127</v>
      </c>
      <c r="N2113" s="5"/>
      <c r="O2113" s="2">
        <v>3500</v>
      </c>
      <c r="P2113">
        <v>122</v>
      </c>
      <c r="Q2113" s="2">
        <v>427000</v>
      </c>
      <c r="R2113">
        <v>0</v>
      </c>
      <c r="V2113">
        <v>0</v>
      </c>
      <c r="W2113">
        <v>0</v>
      </c>
      <c r="X2113">
        <v>0</v>
      </c>
      <c r="Y2113" s="2">
        <v>4270</v>
      </c>
      <c r="Z2113" s="2">
        <v>4270</v>
      </c>
      <c r="AA2113" s="2">
        <v>4270</v>
      </c>
      <c r="AB2113" s="1">
        <v>42382</v>
      </c>
      <c r="AC2113" t="s">
        <v>53</v>
      </c>
      <c r="AD2113" t="s">
        <v>53</v>
      </c>
      <c r="AK2113">
        <v>0</v>
      </c>
      <c r="AU2113" s="6">
        <v>42249</v>
      </c>
      <c r="AV2113" s="6">
        <v>42249</v>
      </c>
      <c r="AW2113" t="s">
        <v>54</v>
      </c>
      <c r="AX2113" t="str">
        <f t="shared" si="164"/>
        <v>FOR</v>
      </c>
      <c r="AY2113" t="s">
        <v>55</v>
      </c>
    </row>
    <row r="2114" spans="1:51" hidden="1">
      <c r="A2114">
        <v>100623</v>
      </c>
      <c r="B2114" t="s">
        <v>216</v>
      </c>
      <c r="C2114" t="str">
        <f>"02555740964"</f>
        <v>02555740964</v>
      </c>
      <c r="D2114" t="str">
        <f>"00868480153"</f>
        <v>00868480153</v>
      </c>
      <c r="E2114" t="s">
        <v>52</v>
      </c>
      <c r="F2114">
        <v>2014</v>
      </c>
      <c r="G2114">
        <v>50273055</v>
      </c>
      <c r="H2114" s="1">
        <v>41771</v>
      </c>
      <c r="I2114" s="1">
        <v>41782</v>
      </c>
      <c r="J2114" s="1">
        <v>41782</v>
      </c>
      <c r="K2114" s="1">
        <v>41872</v>
      </c>
      <c r="N2114" s="5"/>
      <c r="O2114">
        <v>732</v>
      </c>
      <c r="P2114">
        <v>291</v>
      </c>
      <c r="Q2114" s="2">
        <v>213012</v>
      </c>
      <c r="R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 s="1">
        <v>42382</v>
      </c>
      <c r="AC2114" t="s">
        <v>53</v>
      </c>
      <c r="AD2114" t="s">
        <v>53</v>
      </c>
      <c r="AK2114">
        <v>0</v>
      </c>
      <c r="AU2114" s="6">
        <v>42163</v>
      </c>
      <c r="AV2114" s="6">
        <v>42163</v>
      </c>
      <c r="AW2114" t="s">
        <v>54</v>
      </c>
      <c r="AX2114" t="str">
        <f t="shared" si="164"/>
        <v>FOR</v>
      </c>
      <c r="AY2114" t="s">
        <v>55</v>
      </c>
    </row>
    <row r="2115" spans="1:51" hidden="1">
      <c r="A2115">
        <v>100623</v>
      </c>
      <c r="B2115" t="s">
        <v>216</v>
      </c>
      <c r="C2115" t="str">
        <f>"02555740964"</f>
        <v>02555740964</v>
      </c>
      <c r="D2115" t="str">
        <f>"00868480153"</f>
        <v>00868480153</v>
      </c>
      <c r="E2115" t="s">
        <v>52</v>
      </c>
      <c r="F2115">
        <v>2014</v>
      </c>
      <c r="G2115">
        <v>50281108</v>
      </c>
      <c r="H2115" s="1">
        <v>41834</v>
      </c>
      <c r="I2115" s="1">
        <v>41845</v>
      </c>
      <c r="J2115" s="1">
        <v>41845</v>
      </c>
      <c r="K2115" s="1">
        <v>41935</v>
      </c>
      <c r="N2115" s="5"/>
      <c r="O2115" s="2">
        <v>5612</v>
      </c>
      <c r="P2115">
        <v>228</v>
      </c>
      <c r="Q2115" s="2">
        <v>1279536</v>
      </c>
      <c r="R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 s="1">
        <v>42382</v>
      </c>
      <c r="AC2115" t="s">
        <v>53</v>
      </c>
      <c r="AD2115" t="s">
        <v>53</v>
      </c>
      <c r="AK2115">
        <v>0</v>
      </c>
      <c r="AU2115" s="6">
        <v>42163</v>
      </c>
      <c r="AV2115" s="6">
        <v>42163</v>
      </c>
      <c r="AW2115" t="s">
        <v>54</v>
      </c>
      <c r="AX2115" t="str">
        <f t="shared" ref="AX2115:AX2178" si="175">"FOR"</f>
        <v>FOR</v>
      </c>
      <c r="AY2115" t="s">
        <v>55</v>
      </c>
    </row>
    <row r="2116" spans="1:51" hidden="1">
      <c r="A2116">
        <v>100630</v>
      </c>
      <c r="B2116" t="s">
        <v>217</v>
      </c>
      <c r="C2116" t="str">
        <f t="shared" ref="C2116:D2135" si="176">"05688870483"</f>
        <v>05688870483</v>
      </c>
      <c r="D2116" t="str">
        <f t="shared" si="176"/>
        <v>05688870483</v>
      </c>
      <c r="E2116" t="s">
        <v>52</v>
      </c>
      <c r="F2116">
        <v>2013</v>
      </c>
      <c r="G2116">
        <v>527075</v>
      </c>
      <c r="H2116" s="1">
        <v>41607</v>
      </c>
      <c r="I2116" s="1">
        <v>41620</v>
      </c>
      <c r="J2116" s="1">
        <v>41620</v>
      </c>
      <c r="K2116" s="1">
        <v>41710</v>
      </c>
      <c r="N2116" s="5"/>
      <c r="O2116" s="2">
        <v>1374.9</v>
      </c>
      <c r="P2116">
        <v>453</v>
      </c>
      <c r="Q2116" s="2">
        <v>622829.69999999995</v>
      </c>
      <c r="R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 s="1">
        <v>42382</v>
      </c>
      <c r="AC2116" t="s">
        <v>53</v>
      </c>
      <c r="AD2116" t="s">
        <v>53</v>
      </c>
      <c r="AK2116">
        <v>0</v>
      </c>
      <c r="AU2116" s="6">
        <v>42163</v>
      </c>
      <c r="AV2116" s="6">
        <v>42163</v>
      </c>
      <c r="AW2116" t="s">
        <v>54</v>
      </c>
      <c r="AX2116" t="str">
        <f t="shared" si="175"/>
        <v>FOR</v>
      </c>
      <c r="AY2116" t="s">
        <v>55</v>
      </c>
    </row>
    <row r="2117" spans="1:51" hidden="1">
      <c r="A2117">
        <v>100630</v>
      </c>
      <c r="B2117" t="s">
        <v>217</v>
      </c>
      <c r="C2117" t="str">
        <f t="shared" si="176"/>
        <v>05688870483</v>
      </c>
      <c r="D2117" t="str">
        <f t="shared" si="176"/>
        <v>05688870483</v>
      </c>
      <c r="E2117" t="s">
        <v>52</v>
      </c>
      <c r="F2117">
        <v>2013</v>
      </c>
      <c r="G2117">
        <v>527076</v>
      </c>
      <c r="H2117" s="1">
        <v>41607</v>
      </c>
      <c r="I2117" s="1">
        <v>41620</v>
      </c>
      <c r="J2117" s="1">
        <v>41620</v>
      </c>
      <c r="K2117" s="1">
        <v>41710</v>
      </c>
      <c r="N2117" s="5"/>
      <c r="O2117" s="2">
        <v>2844.22</v>
      </c>
      <c r="P2117">
        <v>453</v>
      </c>
      <c r="Q2117" s="2">
        <v>1288431.6599999999</v>
      </c>
      <c r="R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 s="1">
        <v>42382</v>
      </c>
      <c r="AC2117" t="s">
        <v>53</v>
      </c>
      <c r="AD2117" t="s">
        <v>53</v>
      </c>
      <c r="AK2117">
        <v>0</v>
      </c>
      <c r="AU2117" s="6">
        <v>42163</v>
      </c>
      <c r="AV2117" s="6">
        <v>42163</v>
      </c>
      <c r="AW2117" t="s">
        <v>54</v>
      </c>
      <c r="AX2117" t="str">
        <f t="shared" si="175"/>
        <v>FOR</v>
      </c>
      <c r="AY2117" t="s">
        <v>55</v>
      </c>
    </row>
    <row r="2118" spans="1:51" hidden="1">
      <c r="A2118">
        <v>100630</v>
      </c>
      <c r="B2118" t="s">
        <v>217</v>
      </c>
      <c r="C2118" t="str">
        <f t="shared" si="176"/>
        <v>05688870483</v>
      </c>
      <c r="D2118" t="str">
        <f t="shared" si="176"/>
        <v>05688870483</v>
      </c>
      <c r="E2118" t="s">
        <v>52</v>
      </c>
      <c r="F2118">
        <v>2014</v>
      </c>
      <c r="G2118">
        <v>500982</v>
      </c>
      <c r="H2118" s="1">
        <v>41661</v>
      </c>
      <c r="I2118" s="1">
        <v>41675</v>
      </c>
      <c r="J2118" s="1">
        <v>41675</v>
      </c>
      <c r="K2118" s="1">
        <v>41765</v>
      </c>
      <c r="N2118" s="5"/>
      <c r="O2118" s="2">
        <v>9916.1</v>
      </c>
      <c r="P2118">
        <v>269</v>
      </c>
      <c r="Q2118" s="2">
        <v>2667430.9</v>
      </c>
      <c r="R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 s="1">
        <v>42382</v>
      </c>
      <c r="AC2118" t="s">
        <v>53</v>
      </c>
      <c r="AD2118" t="s">
        <v>53</v>
      </c>
      <c r="AK2118">
        <v>0</v>
      </c>
      <c r="AU2118" s="6">
        <v>42034</v>
      </c>
      <c r="AV2118" s="6">
        <v>42034</v>
      </c>
      <c r="AW2118" t="s">
        <v>54</v>
      </c>
      <c r="AX2118" t="str">
        <f t="shared" si="175"/>
        <v>FOR</v>
      </c>
      <c r="AY2118" t="s">
        <v>55</v>
      </c>
    </row>
    <row r="2119" spans="1:51" hidden="1">
      <c r="A2119">
        <v>100630</v>
      </c>
      <c r="B2119" t="s">
        <v>217</v>
      </c>
      <c r="C2119" t="str">
        <f t="shared" si="176"/>
        <v>05688870483</v>
      </c>
      <c r="D2119" t="str">
        <f t="shared" si="176"/>
        <v>05688870483</v>
      </c>
      <c r="E2119" t="s">
        <v>52</v>
      </c>
      <c r="F2119">
        <v>2014</v>
      </c>
      <c r="G2119">
        <v>501280</v>
      </c>
      <c r="H2119" s="1">
        <v>41666</v>
      </c>
      <c r="I2119" s="1">
        <v>41673</v>
      </c>
      <c r="J2119" s="1">
        <v>41673</v>
      </c>
      <c r="K2119" s="1">
        <v>41763</v>
      </c>
      <c r="N2119" s="5"/>
      <c r="O2119">
        <v>315.68</v>
      </c>
      <c r="P2119">
        <v>271</v>
      </c>
      <c r="Q2119" s="2">
        <v>85549.28</v>
      </c>
      <c r="R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 s="1">
        <v>42382</v>
      </c>
      <c r="AC2119" t="s">
        <v>53</v>
      </c>
      <c r="AD2119" t="s">
        <v>53</v>
      </c>
      <c r="AK2119">
        <v>0</v>
      </c>
      <c r="AU2119" s="6">
        <v>42034</v>
      </c>
      <c r="AV2119" s="6">
        <v>42034</v>
      </c>
      <c r="AW2119" t="s">
        <v>54</v>
      </c>
      <c r="AX2119" t="str">
        <f t="shared" si="175"/>
        <v>FOR</v>
      </c>
      <c r="AY2119" t="s">
        <v>55</v>
      </c>
    </row>
    <row r="2120" spans="1:51" hidden="1">
      <c r="A2120">
        <v>100630</v>
      </c>
      <c r="B2120" t="s">
        <v>217</v>
      </c>
      <c r="C2120" t="str">
        <f t="shared" si="176"/>
        <v>05688870483</v>
      </c>
      <c r="D2120" t="str">
        <f t="shared" si="176"/>
        <v>05688870483</v>
      </c>
      <c r="E2120" t="s">
        <v>52</v>
      </c>
      <c r="F2120">
        <v>2014</v>
      </c>
      <c r="G2120">
        <v>501281</v>
      </c>
      <c r="H2120" s="1">
        <v>41666</v>
      </c>
      <c r="I2120" s="1">
        <v>41673</v>
      </c>
      <c r="J2120" s="1">
        <v>41673</v>
      </c>
      <c r="K2120" s="1">
        <v>41763</v>
      </c>
      <c r="N2120" s="5"/>
      <c r="O2120">
        <v>947.03</v>
      </c>
      <c r="P2120">
        <v>271</v>
      </c>
      <c r="Q2120" s="2">
        <v>256645.13</v>
      </c>
      <c r="R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 s="1">
        <v>42382</v>
      </c>
      <c r="AC2120" t="s">
        <v>53</v>
      </c>
      <c r="AD2120" t="s">
        <v>53</v>
      </c>
      <c r="AK2120">
        <v>0</v>
      </c>
      <c r="AU2120" s="6">
        <v>42034</v>
      </c>
      <c r="AV2120" s="6">
        <v>42034</v>
      </c>
      <c r="AW2120" t="s">
        <v>54</v>
      </c>
      <c r="AX2120" t="str">
        <f t="shared" si="175"/>
        <v>FOR</v>
      </c>
      <c r="AY2120" t="s">
        <v>55</v>
      </c>
    </row>
    <row r="2121" spans="1:51" hidden="1">
      <c r="A2121">
        <v>100630</v>
      </c>
      <c r="B2121" t="s">
        <v>217</v>
      </c>
      <c r="C2121" t="str">
        <f t="shared" si="176"/>
        <v>05688870483</v>
      </c>
      <c r="D2121" t="str">
        <f t="shared" si="176"/>
        <v>05688870483</v>
      </c>
      <c r="E2121" t="s">
        <v>52</v>
      </c>
      <c r="F2121">
        <v>2014</v>
      </c>
      <c r="G2121">
        <v>501415</v>
      </c>
      <c r="H2121" s="1">
        <v>41667</v>
      </c>
      <c r="I2121" s="1">
        <v>41675</v>
      </c>
      <c r="J2121" s="1">
        <v>41675</v>
      </c>
      <c r="K2121" s="1">
        <v>41765</v>
      </c>
      <c r="N2121" s="5"/>
      <c r="O2121">
        <v>226.92</v>
      </c>
      <c r="P2121">
        <v>269</v>
      </c>
      <c r="Q2121" s="2">
        <v>61041.48</v>
      </c>
      <c r="R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 s="1">
        <v>42382</v>
      </c>
      <c r="AC2121" t="s">
        <v>53</v>
      </c>
      <c r="AD2121" t="s">
        <v>53</v>
      </c>
      <c r="AK2121">
        <v>0</v>
      </c>
      <c r="AU2121" s="6">
        <v>42034</v>
      </c>
      <c r="AV2121" s="6">
        <v>42034</v>
      </c>
      <c r="AW2121" t="s">
        <v>54</v>
      </c>
      <c r="AX2121" t="str">
        <f t="shared" si="175"/>
        <v>FOR</v>
      </c>
      <c r="AY2121" t="s">
        <v>55</v>
      </c>
    </row>
    <row r="2122" spans="1:51" hidden="1">
      <c r="A2122">
        <v>100630</v>
      </c>
      <c r="B2122" t="s">
        <v>217</v>
      </c>
      <c r="C2122" t="str">
        <f t="shared" si="176"/>
        <v>05688870483</v>
      </c>
      <c r="D2122" t="str">
        <f t="shared" si="176"/>
        <v>05688870483</v>
      </c>
      <c r="E2122" t="s">
        <v>52</v>
      </c>
      <c r="F2122">
        <v>2014</v>
      </c>
      <c r="G2122">
        <v>501452</v>
      </c>
      <c r="H2122" s="1">
        <v>41667</v>
      </c>
      <c r="I2122" s="1">
        <v>41675</v>
      </c>
      <c r="J2122" s="1">
        <v>41675</v>
      </c>
      <c r="K2122" s="1">
        <v>41765</v>
      </c>
      <c r="N2122" s="5"/>
      <c r="O2122" s="2">
        <v>3245.2</v>
      </c>
      <c r="P2122">
        <v>269</v>
      </c>
      <c r="Q2122" s="2">
        <v>872958.8</v>
      </c>
      <c r="R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 s="1">
        <v>42382</v>
      </c>
      <c r="AC2122" t="s">
        <v>53</v>
      </c>
      <c r="AD2122" t="s">
        <v>53</v>
      </c>
      <c r="AK2122">
        <v>0</v>
      </c>
      <c r="AU2122" s="6">
        <v>42034</v>
      </c>
      <c r="AV2122" s="6">
        <v>42034</v>
      </c>
      <c r="AW2122" t="s">
        <v>54</v>
      </c>
      <c r="AX2122" t="str">
        <f t="shared" si="175"/>
        <v>FOR</v>
      </c>
      <c r="AY2122" t="s">
        <v>55</v>
      </c>
    </row>
    <row r="2123" spans="1:51" hidden="1">
      <c r="A2123">
        <v>100630</v>
      </c>
      <c r="B2123" t="s">
        <v>217</v>
      </c>
      <c r="C2123" t="str">
        <f t="shared" si="176"/>
        <v>05688870483</v>
      </c>
      <c r="D2123" t="str">
        <f t="shared" si="176"/>
        <v>05688870483</v>
      </c>
      <c r="E2123" t="s">
        <v>52</v>
      </c>
      <c r="F2123">
        <v>2014</v>
      </c>
      <c r="G2123">
        <v>504238</v>
      </c>
      <c r="H2123" s="1">
        <v>41696</v>
      </c>
      <c r="I2123" s="1">
        <v>41712</v>
      </c>
      <c r="J2123" s="1">
        <v>41712</v>
      </c>
      <c r="K2123" s="1">
        <v>41802</v>
      </c>
      <c r="N2123" s="5"/>
      <c r="O2123" s="2">
        <v>1374.9</v>
      </c>
      <c r="P2123">
        <v>216</v>
      </c>
      <c r="Q2123" s="2">
        <v>296978.40000000002</v>
      </c>
      <c r="R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 s="1">
        <v>42382</v>
      </c>
      <c r="AC2123" t="s">
        <v>53</v>
      </c>
      <c r="AD2123" t="s">
        <v>53</v>
      </c>
      <c r="AK2123">
        <v>0</v>
      </c>
      <c r="AU2123" s="6">
        <v>42018</v>
      </c>
      <c r="AV2123" s="6">
        <v>42018</v>
      </c>
      <c r="AW2123" t="s">
        <v>54</v>
      </c>
      <c r="AX2123" t="str">
        <f t="shared" si="175"/>
        <v>FOR</v>
      </c>
      <c r="AY2123" t="s">
        <v>55</v>
      </c>
    </row>
    <row r="2124" spans="1:51" hidden="1">
      <c r="A2124">
        <v>100630</v>
      </c>
      <c r="B2124" t="s">
        <v>217</v>
      </c>
      <c r="C2124" t="str">
        <f t="shared" si="176"/>
        <v>05688870483</v>
      </c>
      <c r="D2124" t="str">
        <f t="shared" si="176"/>
        <v>05688870483</v>
      </c>
      <c r="E2124" t="s">
        <v>52</v>
      </c>
      <c r="F2124">
        <v>2014</v>
      </c>
      <c r="G2124">
        <v>504239</v>
      </c>
      <c r="H2124" s="1">
        <v>41696</v>
      </c>
      <c r="I2124" s="1">
        <v>41712</v>
      </c>
      <c r="J2124" s="1">
        <v>41712</v>
      </c>
      <c r="K2124" s="1">
        <v>41802</v>
      </c>
      <c r="N2124" s="5"/>
      <c r="O2124" s="2">
        <v>2844.22</v>
      </c>
      <c r="P2124">
        <v>216</v>
      </c>
      <c r="Q2124" s="2">
        <v>614351.52</v>
      </c>
      <c r="R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 s="1">
        <v>42382</v>
      </c>
      <c r="AC2124" t="s">
        <v>53</v>
      </c>
      <c r="AD2124" t="s">
        <v>53</v>
      </c>
      <c r="AK2124">
        <v>0</v>
      </c>
      <c r="AU2124" s="6">
        <v>42018</v>
      </c>
      <c r="AV2124" s="6">
        <v>42018</v>
      </c>
      <c r="AW2124" t="s">
        <v>54</v>
      </c>
      <c r="AX2124" t="str">
        <f t="shared" si="175"/>
        <v>FOR</v>
      </c>
      <c r="AY2124" t="s">
        <v>55</v>
      </c>
    </row>
    <row r="2125" spans="1:51" hidden="1">
      <c r="A2125">
        <v>100630</v>
      </c>
      <c r="B2125" t="s">
        <v>217</v>
      </c>
      <c r="C2125" t="str">
        <f t="shared" si="176"/>
        <v>05688870483</v>
      </c>
      <c r="D2125" t="str">
        <f t="shared" si="176"/>
        <v>05688870483</v>
      </c>
      <c r="E2125" t="s">
        <v>52</v>
      </c>
      <c r="F2125">
        <v>2014</v>
      </c>
      <c r="G2125">
        <v>505393</v>
      </c>
      <c r="H2125" s="1">
        <v>41709</v>
      </c>
      <c r="I2125" s="1">
        <v>41719</v>
      </c>
      <c r="J2125" s="1">
        <v>41719</v>
      </c>
      <c r="K2125" s="1">
        <v>41809</v>
      </c>
      <c r="N2125" s="5"/>
      <c r="O2125" s="2">
        <v>5099.4799999999996</v>
      </c>
      <c r="P2125">
        <v>266</v>
      </c>
      <c r="Q2125" s="2">
        <v>1356461.68</v>
      </c>
      <c r="R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 s="1">
        <v>42382</v>
      </c>
      <c r="AC2125" t="s">
        <v>53</v>
      </c>
      <c r="AD2125" t="s">
        <v>53</v>
      </c>
      <c r="AK2125">
        <v>0</v>
      </c>
      <c r="AU2125" s="6">
        <v>42075</v>
      </c>
      <c r="AV2125" s="6">
        <v>42075</v>
      </c>
      <c r="AW2125" t="s">
        <v>54</v>
      </c>
      <c r="AX2125" t="str">
        <f t="shared" si="175"/>
        <v>FOR</v>
      </c>
      <c r="AY2125" t="s">
        <v>55</v>
      </c>
    </row>
    <row r="2126" spans="1:51" hidden="1">
      <c r="A2126">
        <v>100630</v>
      </c>
      <c r="B2126" t="s">
        <v>217</v>
      </c>
      <c r="C2126" t="str">
        <f t="shared" si="176"/>
        <v>05688870483</v>
      </c>
      <c r="D2126" t="str">
        <f t="shared" si="176"/>
        <v>05688870483</v>
      </c>
      <c r="E2126" t="s">
        <v>52</v>
      </c>
      <c r="F2126">
        <v>2014</v>
      </c>
      <c r="G2126">
        <v>505424</v>
      </c>
      <c r="H2126" s="1">
        <v>41709</v>
      </c>
      <c r="I2126" s="1">
        <v>41719</v>
      </c>
      <c r="J2126" s="1">
        <v>41719</v>
      </c>
      <c r="K2126" s="1">
        <v>41809</v>
      </c>
      <c r="N2126" s="5"/>
      <c r="O2126" s="2">
        <v>3245.2</v>
      </c>
      <c r="P2126">
        <v>266</v>
      </c>
      <c r="Q2126" s="2">
        <v>863223.2</v>
      </c>
      <c r="R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 s="1">
        <v>42382</v>
      </c>
      <c r="AC2126" t="s">
        <v>53</v>
      </c>
      <c r="AD2126" t="s">
        <v>53</v>
      </c>
      <c r="AK2126">
        <v>0</v>
      </c>
      <c r="AU2126" s="6">
        <v>42075</v>
      </c>
      <c r="AV2126" s="6">
        <v>42075</v>
      </c>
      <c r="AW2126" t="s">
        <v>54</v>
      </c>
      <c r="AX2126" t="str">
        <f t="shared" si="175"/>
        <v>FOR</v>
      </c>
      <c r="AY2126" t="s">
        <v>55</v>
      </c>
    </row>
    <row r="2127" spans="1:51" hidden="1">
      <c r="A2127">
        <v>100630</v>
      </c>
      <c r="B2127" t="s">
        <v>217</v>
      </c>
      <c r="C2127" t="str">
        <f t="shared" si="176"/>
        <v>05688870483</v>
      </c>
      <c r="D2127" t="str">
        <f t="shared" si="176"/>
        <v>05688870483</v>
      </c>
      <c r="E2127" t="s">
        <v>52</v>
      </c>
      <c r="F2127">
        <v>2014</v>
      </c>
      <c r="G2127">
        <v>505512</v>
      </c>
      <c r="H2127" s="1">
        <v>41710</v>
      </c>
      <c r="I2127" s="1">
        <v>41725</v>
      </c>
      <c r="J2127" s="1">
        <v>41725</v>
      </c>
      <c r="K2127" s="1">
        <v>41815</v>
      </c>
      <c r="N2127" s="5"/>
      <c r="O2127" s="2">
        <v>5186.83</v>
      </c>
      <c r="P2127">
        <v>260</v>
      </c>
      <c r="Q2127" s="2">
        <v>1348575.8</v>
      </c>
      <c r="R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 s="1">
        <v>42382</v>
      </c>
      <c r="AC2127" t="s">
        <v>53</v>
      </c>
      <c r="AD2127" t="s">
        <v>53</v>
      </c>
      <c r="AK2127">
        <v>0</v>
      </c>
      <c r="AU2127" s="6">
        <v>42075</v>
      </c>
      <c r="AV2127" s="6">
        <v>42075</v>
      </c>
      <c r="AW2127" t="s">
        <v>54</v>
      </c>
      <c r="AX2127" t="str">
        <f t="shared" si="175"/>
        <v>FOR</v>
      </c>
      <c r="AY2127" t="s">
        <v>55</v>
      </c>
    </row>
    <row r="2128" spans="1:51" hidden="1">
      <c r="A2128">
        <v>100630</v>
      </c>
      <c r="B2128" t="s">
        <v>217</v>
      </c>
      <c r="C2128" t="str">
        <f t="shared" si="176"/>
        <v>05688870483</v>
      </c>
      <c r="D2128" t="str">
        <f t="shared" si="176"/>
        <v>05688870483</v>
      </c>
      <c r="E2128" t="s">
        <v>52</v>
      </c>
      <c r="F2128">
        <v>2014</v>
      </c>
      <c r="G2128">
        <v>507043</v>
      </c>
      <c r="H2128" s="1">
        <v>41726</v>
      </c>
      <c r="I2128" s="1">
        <v>41739</v>
      </c>
      <c r="J2128" s="1">
        <v>41739</v>
      </c>
      <c r="K2128" s="1">
        <v>41829</v>
      </c>
      <c r="N2128" s="5"/>
      <c r="O2128" s="2">
        <v>1374.9</v>
      </c>
      <c r="P2128">
        <v>205</v>
      </c>
      <c r="Q2128" s="2">
        <v>281854.5</v>
      </c>
      <c r="R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 s="1">
        <v>42382</v>
      </c>
      <c r="AC2128" t="s">
        <v>53</v>
      </c>
      <c r="AD2128" t="s">
        <v>53</v>
      </c>
      <c r="AK2128">
        <v>0</v>
      </c>
      <c r="AU2128" s="6">
        <v>42034</v>
      </c>
      <c r="AV2128" s="6">
        <v>42034</v>
      </c>
      <c r="AW2128" t="s">
        <v>54</v>
      </c>
      <c r="AX2128" t="str">
        <f t="shared" si="175"/>
        <v>FOR</v>
      </c>
      <c r="AY2128" t="s">
        <v>55</v>
      </c>
    </row>
    <row r="2129" spans="1:51" hidden="1">
      <c r="A2129">
        <v>100630</v>
      </c>
      <c r="B2129" t="s">
        <v>217</v>
      </c>
      <c r="C2129" t="str">
        <f t="shared" si="176"/>
        <v>05688870483</v>
      </c>
      <c r="D2129" t="str">
        <f t="shared" si="176"/>
        <v>05688870483</v>
      </c>
      <c r="E2129" t="s">
        <v>52</v>
      </c>
      <c r="F2129">
        <v>2014</v>
      </c>
      <c r="G2129">
        <v>507044</v>
      </c>
      <c r="H2129" s="1">
        <v>41726</v>
      </c>
      <c r="I2129" s="1">
        <v>41739</v>
      </c>
      <c r="J2129" s="1">
        <v>41739</v>
      </c>
      <c r="K2129" s="1">
        <v>41829</v>
      </c>
      <c r="N2129" s="5"/>
      <c r="O2129" s="2">
        <v>2844.22</v>
      </c>
      <c r="P2129">
        <v>205</v>
      </c>
      <c r="Q2129" s="2">
        <v>583065.1</v>
      </c>
      <c r="R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 s="1">
        <v>42382</v>
      </c>
      <c r="AC2129" t="s">
        <v>53</v>
      </c>
      <c r="AD2129" t="s">
        <v>53</v>
      </c>
      <c r="AK2129">
        <v>0</v>
      </c>
      <c r="AU2129" s="6">
        <v>42034</v>
      </c>
      <c r="AV2129" s="6">
        <v>42034</v>
      </c>
      <c r="AW2129" t="s">
        <v>54</v>
      </c>
      <c r="AX2129" t="str">
        <f t="shared" si="175"/>
        <v>FOR</v>
      </c>
      <c r="AY2129" t="s">
        <v>55</v>
      </c>
    </row>
    <row r="2130" spans="1:51" hidden="1">
      <c r="A2130">
        <v>100630</v>
      </c>
      <c r="B2130" t="s">
        <v>217</v>
      </c>
      <c r="C2130" t="str">
        <f t="shared" si="176"/>
        <v>05688870483</v>
      </c>
      <c r="D2130" t="str">
        <f t="shared" si="176"/>
        <v>05688870483</v>
      </c>
      <c r="E2130" t="s">
        <v>52</v>
      </c>
      <c r="F2130">
        <v>2014</v>
      </c>
      <c r="G2130">
        <v>508108</v>
      </c>
      <c r="H2130" s="1">
        <v>41736</v>
      </c>
      <c r="I2130" s="1">
        <v>41767</v>
      </c>
      <c r="J2130" s="1">
        <v>41767</v>
      </c>
      <c r="K2130" s="1">
        <v>41857</v>
      </c>
      <c r="N2130" s="5"/>
      <c r="O2130" s="2">
        <v>3245.2</v>
      </c>
      <c r="P2130">
        <v>239</v>
      </c>
      <c r="Q2130" s="2">
        <v>775602.8</v>
      </c>
      <c r="R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 s="1">
        <v>42382</v>
      </c>
      <c r="AC2130" t="s">
        <v>53</v>
      </c>
      <c r="AD2130" t="s">
        <v>53</v>
      </c>
      <c r="AK2130">
        <v>0</v>
      </c>
      <c r="AU2130" s="6">
        <v>42096</v>
      </c>
      <c r="AV2130" s="6">
        <v>42096</v>
      </c>
      <c r="AW2130" t="s">
        <v>54</v>
      </c>
      <c r="AX2130" t="str">
        <f t="shared" si="175"/>
        <v>FOR</v>
      </c>
      <c r="AY2130" t="s">
        <v>55</v>
      </c>
    </row>
    <row r="2131" spans="1:51" hidden="1">
      <c r="A2131">
        <v>100630</v>
      </c>
      <c r="B2131" t="s">
        <v>217</v>
      </c>
      <c r="C2131" t="str">
        <f t="shared" si="176"/>
        <v>05688870483</v>
      </c>
      <c r="D2131" t="str">
        <f t="shared" si="176"/>
        <v>05688870483</v>
      </c>
      <c r="E2131" t="s">
        <v>52</v>
      </c>
      <c r="F2131">
        <v>2014</v>
      </c>
      <c r="G2131">
        <v>509210</v>
      </c>
      <c r="H2131" s="1">
        <v>41753</v>
      </c>
      <c r="I2131" s="1">
        <v>41767</v>
      </c>
      <c r="J2131" s="1">
        <v>41767</v>
      </c>
      <c r="K2131" s="1">
        <v>41857</v>
      </c>
      <c r="N2131" s="5"/>
      <c r="O2131" s="2">
        <v>1374.9</v>
      </c>
      <c r="P2131">
        <v>218</v>
      </c>
      <c r="Q2131" s="2">
        <v>299728.2</v>
      </c>
      <c r="R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 s="1">
        <v>42382</v>
      </c>
      <c r="AC2131" t="s">
        <v>53</v>
      </c>
      <c r="AD2131" t="s">
        <v>53</v>
      </c>
      <c r="AK2131">
        <v>0</v>
      </c>
      <c r="AU2131" s="6">
        <v>42075</v>
      </c>
      <c r="AV2131" s="6">
        <v>42075</v>
      </c>
      <c r="AW2131" t="s">
        <v>54</v>
      </c>
      <c r="AX2131" t="str">
        <f t="shared" si="175"/>
        <v>FOR</v>
      </c>
      <c r="AY2131" t="s">
        <v>55</v>
      </c>
    </row>
    <row r="2132" spans="1:51" hidden="1">
      <c r="A2132">
        <v>100630</v>
      </c>
      <c r="B2132" t="s">
        <v>217</v>
      </c>
      <c r="C2132" t="str">
        <f t="shared" si="176"/>
        <v>05688870483</v>
      </c>
      <c r="D2132" t="str">
        <f t="shared" si="176"/>
        <v>05688870483</v>
      </c>
      <c r="E2132" t="s">
        <v>52</v>
      </c>
      <c r="F2132">
        <v>2014</v>
      </c>
      <c r="G2132">
        <v>509211</v>
      </c>
      <c r="H2132" s="1">
        <v>41753</v>
      </c>
      <c r="I2132" s="1">
        <v>41767</v>
      </c>
      <c r="J2132" s="1">
        <v>41767</v>
      </c>
      <c r="K2132" s="1">
        <v>41857</v>
      </c>
      <c r="N2132" s="5"/>
      <c r="O2132" s="2">
        <v>2844.22</v>
      </c>
      <c r="P2132">
        <v>218</v>
      </c>
      <c r="Q2132" s="2">
        <v>620039.96</v>
      </c>
      <c r="R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 s="1">
        <v>42382</v>
      </c>
      <c r="AC2132" t="s">
        <v>53</v>
      </c>
      <c r="AD2132" t="s">
        <v>53</v>
      </c>
      <c r="AK2132">
        <v>0</v>
      </c>
      <c r="AU2132" s="6">
        <v>42075</v>
      </c>
      <c r="AV2132" s="6">
        <v>42075</v>
      </c>
      <c r="AW2132" t="s">
        <v>54</v>
      </c>
      <c r="AX2132" t="str">
        <f t="shared" si="175"/>
        <v>FOR</v>
      </c>
      <c r="AY2132" t="s">
        <v>55</v>
      </c>
    </row>
    <row r="2133" spans="1:51" hidden="1">
      <c r="A2133">
        <v>100630</v>
      </c>
      <c r="B2133" t="s">
        <v>217</v>
      </c>
      <c r="C2133" t="str">
        <f t="shared" si="176"/>
        <v>05688870483</v>
      </c>
      <c r="D2133" t="str">
        <f t="shared" si="176"/>
        <v>05688870483</v>
      </c>
      <c r="E2133" t="s">
        <v>52</v>
      </c>
      <c r="F2133">
        <v>2014</v>
      </c>
      <c r="G2133">
        <v>511831</v>
      </c>
      <c r="H2133" s="1">
        <v>41789</v>
      </c>
      <c r="I2133" s="1">
        <v>41803</v>
      </c>
      <c r="J2133" s="1">
        <v>41803</v>
      </c>
      <c r="K2133" s="1">
        <v>41893</v>
      </c>
      <c r="N2133" s="5"/>
      <c r="O2133" s="2">
        <v>1374.9</v>
      </c>
      <c r="P2133">
        <v>203</v>
      </c>
      <c r="Q2133" s="2">
        <v>279104.7</v>
      </c>
      <c r="R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 s="1">
        <v>42382</v>
      </c>
      <c r="AC2133" t="s">
        <v>53</v>
      </c>
      <c r="AD2133" t="s">
        <v>53</v>
      </c>
      <c r="AK2133">
        <v>0</v>
      </c>
      <c r="AU2133" s="6">
        <v>42096</v>
      </c>
      <c r="AV2133" s="6">
        <v>42096</v>
      </c>
      <c r="AW2133" t="s">
        <v>54</v>
      </c>
      <c r="AX2133" t="str">
        <f t="shared" si="175"/>
        <v>FOR</v>
      </c>
      <c r="AY2133" t="s">
        <v>55</v>
      </c>
    </row>
    <row r="2134" spans="1:51" hidden="1">
      <c r="A2134">
        <v>100630</v>
      </c>
      <c r="B2134" t="s">
        <v>217</v>
      </c>
      <c r="C2134" t="str">
        <f t="shared" si="176"/>
        <v>05688870483</v>
      </c>
      <c r="D2134" t="str">
        <f t="shared" si="176"/>
        <v>05688870483</v>
      </c>
      <c r="E2134" t="s">
        <v>52</v>
      </c>
      <c r="F2134">
        <v>2014</v>
      </c>
      <c r="G2134">
        <v>511832</v>
      </c>
      <c r="H2134" s="1">
        <v>41789</v>
      </c>
      <c r="I2134" s="1">
        <v>41802</v>
      </c>
      <c r="J2134" s="1">
        <v>41802</v>
      </c>
      <c r="K2134" s="1">
        <v>41892</v>
      </c>
      <c r="N2134" s="5"/>
      <c r="O2134" s="2">
        <v>2844.22</v>
      </c>
      <c r="P2134">
        <v>204</v>
      </c>
      <c r="Q2134" s="2">
        <v>580220.88</v>
      </c>
      <c r="R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 s="1">
        <v>42382</v>
      </c>
      <c r="AC2134" t="s">
        <v>53</v>
      </c>
      <c r="AD2134" t="s">
        <v>53</v>
      </c>
      <c r="AK2134">
        <v>0</v>
      </c>
      <c r="AU2134" s="6">
        <v>42096</v>
      </c>
      <c r="AV2134" s="6">
        <v>42096</v>
      </c>
      <c r="AW2134" t="s">
        <v>54</v>
      </c>
      <c r="AX2134" t="str">
        <f t="shared" si="175"/>
        <v>FOR</v>
      </c>
      <c r="AY2134" t="s">
        <v>55</v>
      </c>
    </row>
    <row r="2135" spans="1:51" hidden="1">
      <c r="A2135">
        <v>100630</v>
      </c>
      <c r="B2135" t="s">
        <v>217</v>
      </c>
      <c r="C2135" t="str">
        <f t="shared" si="176"/>
        <v>05688870483</v>
      </c>
      <c r="D2135" t="str">
        <f t="shared" si="176"/>
        <v>05688870483</v>
      </c>
      <c r="E2135" t="s">
        <v>52</v>
      </c>
      <c r="F2135">
        <v>2014</v>
      </c>
      <c r="G2135">
        <v>512126</v>
      </c>
      <c r="H2135" s="1">
        <v>41795</v>
      </c>
      <c r="I2135" s="1">
        <v>41814</v>
      </c>
      <c r="J2135" s="1">
        <v>41814</v>
      </c>
      <c r="K2135" s="1">
        <v>41904</v>
      </c>
      <c r="N2135" s="5"/>
      <c r="O2135">
        <v>908.78</v>
      </c>
      <c r="P2135">
        <v>259</v>
      </c>
      <c r="Q2135" s="2">
        <v>235374.02</v>
      </c>
      <c r="R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 s="1">
        <v>42382</v>
      </c>
      <c r="AC2135" t="s">
        <v>53</v>
      </c>
      <c r="AD2135" t="s">
        <v>53</v>
      </c>
      <c r="AK2135">
        <v>0</v>
      </c>
      <c r="AU2135" s="6">
        <v>42163</v>
      </c>
      <c r="AV2135" s="6">
        <v>42163</v>
      </c>
      <c r="AW2135" t="s">
        <v>54</v>
      </c>
      <c r="AX2135" t="str">
        <f t="shared" si="175"/>
        <v>FOR</v>
      </c>
      <c r="AY2135" t="s">
        <v>55</v>
      </c>
    </row>
    <row r="2136" spans="1:51" hidden="1">
      <c r="A2136">
        <v>100630</v>
      </c>
      <c r="B2136" t="s">
        <v>217</v>
      </c>
      <c r="C2136" t="str">
        <f t="shared" ref="C2136:D2156" si="177">"05688870483"</f>
        <v>05688870483</v>
      </c>
      <c r="D2136" t="str">
        <f t="shared" si="177"/>
        <v>05688870483</v>
      </c>
      <c r="E2136" t="s">
        <v>52</v>
      </c>
      <c r="F2136">
        <v>2014</v>
      </c>
      <c r="G2136">
        <v>512558</v>
      </c>
      <c r="H2136" s="1">
        <v>41802</v>
      </c>
      <c r="I2136" s="1">
        <v>41815</v>
      </c>
      <c r="J2136" s="1">
        <v>41815</v>
      </c>
      <c r="K2136" s="1">
        <v>41905</v>
      </c>
      <c r="N2136" s="5"/>
      <c r="O2136">
        <v>841.8</v>
      </c>
      <c r="P2136">
        <v>258</v>
      </c>
      <c r="Q2136" s="2">
        <v>217184.4</v>
      </c>
      <c r="R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 s="1">
        <v>42382</v>
      </c>
      <c r="AC2136" t="s">
        <v>53</v>
      </c>
      <c r="AD2136" t="s">
        <v>53</v>
      </c>
      <c r="AK2136">
        <v>0</v>
      </c>
      <c r="AU2136" s="6">
        <v>42163</v>
      </c>
      <c r="AV2136" s="6">
        <v>42163</v>
      </c>
      <c r="AW2136" t="s">
        <v>54</v>
      </c>
      <c r="AX2136" t="str">
        <f t="shared" si="175"/>
        <v>FOR</v>
      </c>
      <c r="AY2136" t="s">
        <v>55</v>
      </c>
    </row>
    <row r="2137" spans="1:51" hidden="1">
      <c r="A2137">
        <v>100630</v>
      </c>
      <c r="B2137" t="s">
        <v>217</v>
      </c>
      <c r="C2137" t="str">
        <f t="shared" si="177"/>
        <v>05688870483</v>
      </c>
      <c r="D2137" t="str">
        <f t="shared" si="177"/>
        <v>05688870483</v>
      </c>
      <c r="E2137" t="s">
        <v>52</v>
      </c>
      <c r="F2137">
        <v>2014</v>
      </c>
      <c r="G2137">
        <v>513423</v>
      </c>
      <c r="H2137" s="1">
        <v>41816</v>
      </c>
      <c r="I2137" s="1">
        <v>41830</v>
      </c>
      <c r="J2137" s="1">
        <v>41830</v>
      </c>
      <c r="K2137" s="1">
        <v>41920</v>
      </c>
      <c r="N2137" s="5"/>
      <c r="O2137" s="2">
        <v>1374.9</v>
      </c>
      <c r="P2137">
        <v>211</v>
      </c>
      <c r="Q2137" s="2">
        <v>290103.90000000002</v>
      </c>
      <c r="R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 s="1">
        <v>42382</v>
      </c>
      <c r="AC2137" t="s">
        <v>53</v>
      </c>
      <c r="AD2137" t="s">
        <v>53</v>
      </c>
      <c r="AK2137">
        <v>0</v>
      </c>
      <c r="AU2137" s="6">
        <v>42131</v>
      </c>
      <c r="AV2137" s="6">
        <v>42131</v>
      </c>
      <c r="AW2137" t="s">
        <v>54</v>
      </c>
      <c r="AX2137" t="str">
        <f t="shared" si="175"/>
        <v>FOR</v>
      </c>
      <c r="AY2137" t="s">
        <v>55</v>
      </c>
    </row>
    <row r="2138" spans="1:51" hidden="1">
      <c r="A2138">
        <v>100630</v>
      </c>
      <c r="B2138" t="s">
        <v>217</v>
      </c>
      <c r="C2138" t="str">
        <f t="shared" si="177"/>
        <v>05688870483</v>
      </c>
      <c r="D2138" t="str">
        <f t="shared" si="177"/>
        <v>05688870483</v>
      </c>
      <c r="E2138" t="s">
        <v>52</v>
      </c>
      <c r="F2138">
        <v>2014</v>
      </c>
      <c r="G2138">
        <v>513424</v>
      </c>
      <c r="H2138" s="1">
        <v>41816</v>
      </c>
      <c r="I2138" s="1">
        <v>41830</v>
      </c>
      <c r="J2138" s="1">
        <v>41830</v>
      </c>
      <c r="K2138" s="1">
        <v>41920</v>
      </c>
      <c r="N2138" s="5"/>
      <c r="O2138" s="2">
        <v>2844.22</v>
      </c>
      <c r="P2138">
        <v>211</v>
      </c>
      <c r="Q2138" s="2">
        <v>600130.42000000004</v>
      </c>
      <c r="R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 s="1">
        <v>42382</v>
      </c>
      <c r="AC2138" t="s">
        <v>53</v>
      </c>
      <c r="AD2138" t="s">
        <v>53</v>
      </c>
      <c r="AK2138">
        <v>0</v>
      </c>
      <c r="AU2138" s="6">
        <v>42131</v>
      </c>
      <c r="AV2138" s="6">
        <v>42131</v>
      </c>
      <c r="AW2138" t="s">
        <v>54</v>
      </c>
      <c r="AX2138" t="str">
        <f t="shared" si="175"/>
        <v>FOR</v>
      </c>
      <c r="AY2138" t="s">
        <v>55</v>
      </c>
    </row>
    <row r="2139" spans="1:51" hidden="1">
      <c r="A2139">
        <v>100630</v>
      </c>
      <c r="B2139" t="s">
        <v>217</v>
      </c>
      <c r="C2139" t="str">
        <f t="shared" si="177"/>
        <v>05688870483</v>
      </c>
      <c r="D2139" t="str">
        <f t="shared" si="177"/>
        <v>05688870483</v>
      </c>
      <c r="E2139" t="s">
        <v>52</v>
      </c>
      <c r="F2139">
        <v>2014</v>
      </c>
      <c r="G2139">
        <v>516228</v>
      </c>
      <c r="H2139" s="1">
        <v>41849</v>
      </c>
      <c r="I2139" s="1">
        <v>41873</v>
      </c>
      <c r="J2139" s="1">
        <v>41873</v>
      </c>
      <c r="K2139" s="1">
        <v>41963</v>
      </c>
      <c r="N2139" s="5"/>
      <c r="O2139" s="2">
        <v>1374.9</v>
      </c>
      <c r="P2139">
        <v>200</v>
      </c>
      <c r="Q2139" s="2">
        <v>274980</v>
      </c>
      <c r="R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 s="1">
        <v>42382</v>
      </c>
      <c r="AC2139" t="s">
        <v>53</v>
      </c>
      <c r="AD2139" t="s">
        <v>53</v>
      </c>
      <c r="AK2139">
        <v>0</v>
      </c>
      <c r="AU2139" s="6">
        <v>42163</v>
      </c>
      <c r="AV2139" s="6">
        <v>42163</v>
      </c>
      <c r="AW2139" t="s">
        <v>54</v>
      </c>
      <c r="AX2139" t="str">
        <f t="shared" si="175"/>
        <v>FOR</v>
      </c>
      <c r="AY2139" t="s">
        <v>55</v>
      </c>
    </row>
    <row r="2140" spans="1:51" hidden="1">
      <c r="A2140">
        <v>100630</v>
      </c>
      <c r="B2140" t="s">
        <v>217</v>
      </c>
      <c r="C2140" t="str">
        <f t="shared" si="177"/>
        <v>05688870483</v>
      </c>
      <c r="D2140" t="str">
        <f t="shared" si="177"/>
        <v>05688870483</v>
      </c>
      <c r="E2140" t="s">
        <v>52</v>
      </c>
      <c r="F2140">
        <v>2014</v>
      </c>
      <c r="G2140">
        <v>516229</v>
      </c>
      <c r="H2140" s="1">
        <v>41849</v>
      </c>
      <c r="I2140" s="1">
        <v>41873</v>
      </c>
      <c r="J2140" s="1">
        <v>41873</v>
      </c>
      <c r="K2140" s="1">
        <v>41963</v>
      </c>
      <c r="N2140" s="5"/>
      <c r="O2140" s="2">
        <v>2844.22</v>
      </c>
      <c r="P2140">
        <v>200</v>
      </c>
      <c r="Q2140" s="2">
        <v>568844</v>
      </c>
      <c r="R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 s="1">
        <v>42382</v>
      </c>
      <c r="AC2140" t="s">
        <v>53</v>
      </c>
      <c r="AD2140" t="s">
        <v>53</v>
      </c>
      <c r="AK2140">
        <v>0</v>
      </c>
      <c r="AU2140" s="6">
        <v>42163</v>
      </c>
      <c r="AV2140" s="6">
        <v>42163</v>
      </c>
      <c r="AW2140" t="s">
        <v>54</v>
      </c>
      <c r="AX2140" t="str">
        <f t="shared" si="175"/>
        <v>FOR</v>
      </c>
      <c r="AY2140" t="s">
        <v>55</v>
      </c>
    </row>
    <row r="2141" spans="1:51">
      <c r="A2141">
        <v>100630</v>
      </c>
      <c r="B2141" t="s">
        <v>217</v>
      </c>
      <c r="C2141" t="str">
        <f t="shared" si="177"/>
        <v>05688870483</v>
      </c>
      <c r="D2141" t="str">
        <f t="shared" si="177"/>
        <v>05688870483</v>
      </c>
      <c r="E2141" t="s">
        <v>52</v>
      </c>
      <c r="F2141">
        <v>2014</v>
      </c>
      <c r="G2141">
        <v>520346</v>
      </c>
      <c r="H2141" s="1">
        <v>41915</v>
      </c>
      <c r="I2141" s="1">
        <v>41932</v>
      </c>
      <c r="J2141" s="1">
        <v>41932</v>
      </c>
      <c r="K2141" s="1">
        <v>41992</v>
      </c>
      <c r="L2141" s="7">
        <v>5560.64</v>
      </c>
      <c r="M2141" s="5">
        <v>286</v>
      </c>
      <c r="N2141" s="7">
        <v>1590343.04</v>
      </c>
      <c r="O2141" s="2">
        <v>5560.64</v>
      </c>
      <c r="P2141">
        <v>286</v>
      </c>
      <c r="Q2141" s="2">
        <v>1590343.04</v>
      </c>
      <c r="R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 s="1">
        <v>42382</v>
      </c>
      <c r="AC2141" t="s">
        <v>53</v>
      </c>
      <c r="AD2141" t="s">
        <v>53</v>
      </c>
      <c r="AK2141">
        <v>0</v>
      </c>
      <c r="AU2141" s="6">
        <v>42278</v>
      </c>
      <c r="AV2141" s="6">
        <v>42278</v>
      </c>
      <c r="AW2141" t="s">
        <v>54</v>
      </c>
      <c r="AX2141" t="str">
        <f t="shared" si="175"/>
        <v>FOR</v>
      </c>
      <c r="AY2141" t="s">
        <v>55</v>
      </c>
    </row>
    <row r="2142" spans="1:51">
      <c r="A2142">
        <v>100630</v>
      </c>
      <c r="B2142" t="s">
        <v>217</v>
      </c>
      <c r="C2142" t="str">
        <f t="shared" si="177"/>
        <v>05688870483</v>
      </c>
      <c r="D2142" t="str">
        <f t="shared" si="177"/>
        <v>05688870483</v>
      </c>
      <c r="E2142" t="s">
        <v>52</v>
      </c>
      <c r="F2142">
        <v>2014</v>
      </c>
      <c r="G2142">
        <v>521682</v>
      </c>
      <c r="H2142" s="1">
        <v>41939</v>
      </c>
      <c r="I2142" s="1">
        <v>41956</v>
      </c>
      <c r="J2142" s="1">
        <v>41956</v>
      </c>
      <c r="K2142" s="1">
        <v>42016</v>
      </c>
      <c r="L2142" s="7">
        <v>3245.2</v>
      </c>
      <c r="M2142" s="5">
        <v>262</v>
      </c>
      <c r="N2142" s="7">
        <v>850242.4</v>
      </c>
      <c r="O2142" s="2">
        <v>3245.2</v>
      </c>
      <c r="P2142">
        <v>262</v>
      </c>
      <c r="Q2142" s="2">
        <v>850242.4</v>
      </c>
      <c r="R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 s="1">
        <v>42382</v>
      </c>
      <c r="AC2142" t="s">
        <v>53</v>
      </c>
      <c r="AD2142" t="s">
        <v>53</v>
      </c>
      <c r="AK2142">
        <v>0</v>
      </c>
      <c r="AU2142" s="6">
        <v>42278</v>
      </c>
      <c r="AV2142" s="6">
        <v>42278</v>
      </c>
      <c r="AW2142" t="s">
        <v>54</v>
      </c>
      <c r="AX2142" t="str">
        <f t="shared" si="175"/>
        <v>FOR</v>
      </c>
      <c r="AY2142" t="s">
        <v>55</v>
      </c>
    </row>
    <row r="2143" spans="1:51">
      <c r="A2143">
        <v>100630</v>
      </c>
      <c r="B2143" t="s">
        <v>217</v>
      </c>
      <c r="C2143" t="str">
        <f t="shared" si="177"/>
        <v>05688870483</v>
      </c>
      <c r="D2143" t="str">
        <f t="shared" si="177"/>
        <v>05688870483</v>
      </c>
      <c r="E2143" t="s">
        <v>52</v>
      </c>
      <c r="F2143">
        <v>2014</v>
      </c>
      <c r="G2143">
        <v>521876</v>
      </c>
      <c r="H2143" s="1">
        <v>41941</v>
      </c>
      <c r="I2143" s="1">
        <v>41956</v>
      </c>
      <c r="J2143" s="1">
        <v>41956</v>
      </c>
      <c r="K2143" s="1">
        <v>42016</v>
      </c>
      <c r="L2143" s="7">
        <v>2488.8000000000002</v>
      </c>
      <c r="M2143" s="5">
        <v>262</v>
      </c>
      <c r="N2143" s="7">
        <v>652065.6</v>
      </c>
      <c r="O2143" s="2">
        <v>2488.8000000000002</v>
      </c>
      <c r="P2143">
        <v>262</v>
      </c>
      <c r="Q2143" s="2">
        <v>652065.6</v>
      </c>
      <c r="R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 s="1">
        <v>42382</v>
      </c>
      <c r="AC2143" t="s">
        <v>53</v>
      </c>
      <c r="AD2143" t="s">
        <v>53</v>
      </c>
      <c r="AK2143">
        <v>0</v>
      </c>
      <c r="AU2143" s="6">
        <v>42278</v>
      </c>
      <c r="AV2143" s="6">
        <v>42278</v>
      </c>
      <c r="AW2143" t="s">
        <v>54</v>
      </c>
      <c r="AX2143" t="str">
        <f t="shared" si="175"/>
        <v>FOR</v>
      </c>
      <c r="AY2143" t="s">
        <v>55</v>
      </c>
    </row>
    <row r="2144" spans="1:51">
      <c r="A2144">
        <v>100630</v>
      </c>
      <c r="B2144" t="s">
        <v>217</v>
      </c>
      <c r="C2144" t="str">
        <f t="shared" si="177"/>
        <v>05688870483</v>
      </c>
      <c r="D2144" t="str">
        <f t="shared" si="177"/>
        <v>05688870483</v>
      </c>
      <c r="E2144" t="s">
        <v>52</v>
      </c>
      <c r="F2144">
        <v>2014</v>
      </c>
      <c r="G2144">
        <v>522346</v>
      </c>
      <c r="H2144" s="1">
        <v>41943</v>
      </c>
      <c r="I2144" s="1">
        <v>41956</v>
      </c>
      <c r="J2144" s="1">
        <v>41956</v>
      </c>
      <c r="K2144" s="1">
        <v>42016</v>
      </c>
      <c r="L2144" s="7">
        <v>1374.9</v>
      </c>
      <c r="M2144" s="5">
        <v>262</v>
      </c>
      <c r="N2144" s="7">
        <v>360223.8</v>
      </c>
      <c r="O2144" s="2">
        <v>1374.9</v>
      </c>
      <c r="P2144">
        <v>262</v>
      </c>
      <c r="Q2144" s="2">
        <v>360223.8</v>
      </c>
      <c r="R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 s="1">
        <v>42382</v>
      </c>
      <c r="AC2144" t="s">
        <v>53</v>
      </c>
      <c r="AD2144" t="s">
        <v>53</v>
      </c>
      <c r="AK2144">
        <v>0</v>
      </c>
      <c r="AU2144" s="6">
        <v>42278</v>
      </c>
      <c r="AV2144" s="6">
        <v>42278</v>
      </c>
      <c r="AW2144" t="s">
        <v>54</v>
      </c>
      <c r="AX2144" t="str">
        <f t="shared" si="175"/>
        <v>FOR</v>
      </c>
      <c r="AY2144" t="s">
        <v>55</v>
      </c>
    </row>
    <row r="2145" spans="1:51">
      <c r="A2145">
        <v>100630</v>
      </c>
      <c r="B2145" t="s">
        <v>217</v>
      </c>
      <c r="C2145" t="str">
        <f t="shared" si="177"/>
        <v>05688870483</v>
      </c>
      <c r="D2145" t="str">
        <f t="shared" si="177"/>
        <v>05688870483</v>
      </c>
      <c r="E2145" t="s">
        <v>52</v>
      </c>
      <c r="F2145">
        <v>2014</v>
      </c>
      <c r="G2145">
        <v>522347</v>
      </c>
      <c r="H2145" s="1">
        <v>41942</v>
      </c>
      <c r="I2145" s="1">
        <v>41956</v>
      </c>
      <c r="J2145" s="1">
        <v>41956</v>
      </c>
      <c r="K2145" s="1">
        <v>42016</v>
      </c>
      <c r="L2145" s="7">
        <v>2844.22</v>
      </c>
      <c r="M2145" s="5">
        <v>262</v>
      </c>
      <c r="N2145" s="7">
        <v>745185.64</v>
      </c>
      <c r="O2145" s="2">
        <v>2844.22</v>
      </c>
      <c r="P2145">
        <v>262</v>
      </c>
      <c r="Q2145" s="2">
        <v>745185.64</v>
      </c>
      <c r="R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 s="1">
        <v>42382</v>
      </c>
      <c r="AC2145" t="s">
        <v>53</v>
      </c>
      <c r="AD2145" t="s">
        <v>53</v>
      </c>
      <c r="AK2145">
        <v>0</v>
      </c>
      <c r="AU2145" s="6">
        <v>42278</v>
      </c>
      <c r="AV2145" s="6">
        <v>42278</v>
      </c>
      <c r="AW2145" t="s">
        <v>54</v>
      </c>
      <c r="AX2145" t="str">
        <f t="shared" si="175"/>
        <v>FOR</v>
      </c>
      <c r="AY2145" t="s">
        <v>55</v>
      </c>
    </row>
    <row r="2146" spans="1:51">
      <c r="A2146">
        <v>100630</v>
      </c>
      <c r="B2146" t="s">
        <v>217</v>
      </c>
      <c r="C2146" t="str">
        <f t="shared" si="177"/>
        <v>05688870483</v>
      </c>
      <c r="D2146" t="str">
        <f t="shared" si="177"/>
        <v>05688870483</v>
      </c>
      <c r="E2146" t="s">
        <v>52</v>
      </c>
      <c r="F2146">
        <v>2014</v>
      </c>
      <c r="G2146">
        <v>524020</v>
      </c>
      <c r="H2146" s="1">
        <v>41971</v>
      </c>
      <c r="I2146" s="1">
        <v>41988</v>
      </c>
      <c r="J2146" s="1">
        <v>41988</v>
      </c>
      <c r="K2146" s="1">
        <v>42048</v>
      </c>
      <c r="L2146" s="7">
        <v>1374.9</v>
      </c>
      <c r="M2146" s="5">
        <v>230</v>
      </c>
      <c r="N2146" s="7">
        <v>316227</v>
      </c>
      <c r="O2146" s="2">
        <v>1374.9</v>
      </c>
      <c r="P2146">
        <v>230</v>
      </c>
      <c r="Q2146" s="2">
        <v>316227</v>
      </c>
      <c r="R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 s="1">
        <v>42382</v>
      </c>
      <c r="AC2146" t="s">
        <v>53</v>
      </c>
      <c r="AD2146" t="s">
        <v>53</v>
      </c>
      <c r="AK2146">
        <v>0</v>
      </c>
      <c r="AU2146" s="6">
        <v>42278</v>
      </c>
      <c r="AV2146" s="6">
        <v>42278</v>
      </c>
      <c r="AW2146" t="s">
        <v>54</v>
      </c>
      <c r="AX2146" t="str">
        <f t="shared" si="175"/>
        <v>FOR</v>
      </c>
      <c r="AY2146" t="s">
        <v>55</v>
      </c>
    </row>
    <row r="2147" spans="1:51">
      <c r="A2147">
        <v>100630</v>
      </c>
      <c r="B2147" t="s">
        <v>217</v>
      </c>
      <c r="C2147" t="str">
        <f t="shared" si="177"/>
        <v>05688870483</v>
      </c>
      <c r="D2147" t="str">
        <f t="shared" si="177"/>
        <v>05688870483</v>
      </c>
      <c r="E2147" t="s">
        <v>52</v>
      </c>
      <c r="F2147">
        <v>2014</v>
      </c>
      <c r="G2147">
        <v>524021</v>
      </c>
      <c r="H2147" s="1">
        <v>41971</v>
      </c>
      <c r="I2147" s="1">
        <v>41990</v>
      </c>
      <c r="J2147" s="1">
        <v>41990</v>
      </c>
      <c r="K2147" s="1">
        <v>42050</v>
      </c>
      <c r="L2147" s="7">
        <v>2844.22</v>
      </c>
      <c r="M2147" s="5">
        <v>228</v>
      </c>
      <c r="N2147" s="7">
        <v>648482.16</v>
      </c>
      <c r="O2147" s="2">
        <v>2844.22</v>
      </c>
      <c r="P2147">
        <v>228</v>
      </c>
      <c r="Q2147" s="2">
        <v>648482.16</v>
      </c>
      <c r="R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 s="1">
        <v>42382</v>
      </c>
      <c r="AC2147" t="s">
        <v>53</v>
      </c>
      <c r="AD2147" t="s">
        <v>53</v>
      </c>
      <c r="AK2147">
        <v>0</v>
      </c>
      <c r="AU2147" s="6">
        <v>42278</v>
      </c>
      <c r="AV2147" s="6">
        <v>42278</v>
      </c>
      <c r="AW2147" t="s">
        <v>54</v>
      </c>
      <c r="AX2147" t="str">
        <f t="shared" si="175"/>
        <v>FOR</v>
      </c>
      <c r="AY2147" t="s">
        <v>55</v>
      </c>
    </row>
    <row r="2148" spans="1:51">
      <c r="A2148">
        <v>100630</v>
      </c>
      <c r="B2148" t="s">
        <v>217</v>
      </c>
      <c r="C2148" t="str">
        <f t="shared" si="177"/>
        <v>05688870483</v>
      </c>
      <c r="D2148" t="str">
        <f t="shared" si="177"/>
        <v>05688870483</v>
      </c>
      <c r="E2148" t="s">
        <v>52</v>
      </c>
      <c r="F2148">
        <v>2014</v>
      </c>
      <c r="G2148">
        <v>525723</v>
      </c>
      <c r="H2148" s="1">
        <v>41995</v>
      </c>
      <c r="I2148" s="1">
        <v>42004</v>
      </c>
      <c r="J2148" s="1">
        <v>42004</v>
      </c>
      <c r="K2148" s="1">
        <v>42064</v>
      </c>
      <c r="L2148" s="7">
        <v>1374.9</v>
      </c>
      <c r="M2148" s="5">
        <v>236</v>
      </c>
      <c r="N2148" s="7">
        <v>324476.40000000002</v>
      </c>
      <c r="O2148" s="2">
        <v>1374.9</v>
      </c>
      <c r="P2148">
        <v>236</v>
      </c>
      <c r="Q2148" s="2">
        <v>324476.40000000002</v>
      </c>
      <c r="R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 s="1">
        <v>42382</v>
      </c>
      <c r="AC2148" t="s">
        <v>53</v>
      </c>
      <c r="AD2148" t="s">
        <v>53</v>
      </c>
      <c r="AK2148">
        <v>0</v>
      </c>
      <c r="AU2148" s="6">
        <v>42300</v>
      </c>
      <c r="AV2148" s="6">
        <v>42300</v>
      </c>
      <c r="AW2148" t="s">
        <v>54</v>
      </c>
      <c r="AX2148" t="str">
        <f t="shared" si="175"/>
        <v>FOR</v>
      </c>
      <c r="AY2148" t="s">
        <v>55</v>
      </c>
    </row>
    <row r="2149" spans="1:51">
      <c r="A2149">
        <v>100630</v>
      </c>
      <c r="B2149" t="s">
        <v>217</v>
      </c>
      <c r="C2149" t="str">
        <f t="shared" si="177"/>
        <v>05688870483</v>
      </c>
      <c r="D2149" t="str">
        <f t="shared" si="177"/>
        <v>05688870483</v>
      </c>
      <c r="E2149" t="s">
        <v>52</v>
      </c>
      <c r="F2149">
        <v>2014</v>
      </c>
      <c r="G2149">
        <v>525724</v>
      </c>
      <c r="H2149" s="1">
        <v>41995</v>
      </c>
      <c r="I2149" s="1">
        <v>42004</v>
      </c>
      <c r="J2149" s="1">
        <v>42004</v>
      </c>
      <c r="K2149" s="1">
        <v>42064</v>
      </c>
      <c r="L2149" s="7">
        <v>2844.22</v>
      </c>
      <c r="M2149" s="5">
        <v>236</v>
      </c>
      <c r="N2149" s="7">
        <v>671235.92</v>
      </c>
      <c r="O2149" s="2">
        <v>2844.22</v>
      </c>
      <c r="P2149">
        <v>236</v>
      </c>
      <c r="Q2149" s="2">
        <v>671235.92</v>
      </c>
      <c r="R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 s="1">
        <v>42382</v>
      </c>
      <c r="AC2149" t="s">
        <v>53</v>
      </c>
      <c r="AD2149" t="s">
        <v>53</v>
      </c>
      <c r="AK2149">
        <v>0</v>
      </c>
      <c r="AU2149" s="6">
        <v>42300</v>
      </c>
      <c r="AV2149" s="6">
        <v>42300</v>
      </c>
      <c r="AW2149" t="s">
        <v>54</v>
      </c>
      <c r="AX2149" t="str">
        <f t="shared" si="175"/>
        <v>FOR</v>
      </c>
      <c r="AY2149" t="s">
        <v>55</v>
      </c>
    </row>
    <row r="2150" spans="1:51">
      <c r="A2150">
        <v>100630</v>
      </c>
      <c r="B2150" t="s">
        <v>217</v>
      </c>
      <c r="C2150" t="str">
        <f t="shared" si="177"/>
        <v>05688870483</v>
      </c>
      <c r="D2150" t="str">
        <f t="shared" si="177"/>
        <v>05688870483</v>
      </c>
      <c r="E2150" t="s">
        <v>52</v>
      </c>
      <c r="F2150">
        <v>2015</v>
      </c>
      <c r="G2150">
        <v>500781</v>
      </c>
      <c r="H2150" s="1">
        <v>42025</v>
      </c>
      <c r="I2150" s="1">
        <v>42052</v>
      </c>
      <c r="J2150" s="1">
        <v>42052</v>
      </c>
      <c r="K2150" s="1">
        <v>42112</v>
      </c>
      <c r="L2150" s="7">
        <v>656.2</v>
      </c>
      <c r="M2150" s="5">
        <v>243</v>
      </c>
      <c r="N2150" s="7">
        <v>159456.6</v>
      </c>
      <c r="O2150">
        <v>656.2</v>
      </c>
      <c r="P2150">
        <v>243</v>
      </c>
      <c r="Q2150" s="2">
        <v>159456.6</v>
      </c>
      <c r="R2150">
        <v>144.36000000000001</v>
      </c>
      <c r="V2150">
        <v>0</v>
      </c>
      <c r="W2150">
        <v>0</v>
      </c>
      <c r="X2150">
        <v>0</v>
      </c>
      <c r="Y2150">
        <v>800.56</v>
      </c>
      <c r="Z2150">
        <v>800.56</v>
      </c>
      <c r="AA2150">
        <v>800.56</v>
      </c>
      <c r="AB2150" s="1">
        <v>42382</v>
      </c>
      <c r="AC2150" t="s">
        <v>53</v>
      </c>
      <c r="AD2150" t="s">
        <v>53</v>
      </c>
      <c r="AK2150">
        <v>144.36000000000001</v>
      </c>
      <c r="AU2150" s="6">
        <v>42355</v>
      </c>
      <c r="AV2150" s="6">
        <v>42355</v>
      </c>
      <c r="AW2150" t="s">
        <v>54</v>
      </c>
      <c r="AX2150" t="str">
        <f t="shared" si="175"/>
        <v>FOR</v>
      </c>
      <c r="AY2150" t="s">
        <v>55</v>
      </c>
    </row>
    <row r="2151" spans="1:51">
      <c r="A2151">
        <v>100630</v>
      </c>
      <c r="B2151" t="s">
        <v>217</v>
      </c>
      <c r="C2151" t="str">
        <f t="shared" si="177"/>
        <v>05688870483</v>
      </c>
      <c r="D2151" t="str">
        <f t="shared" si="177"/>
        <v>05688870483</v>
      </c>
      <c r="E2151" t="s">
        <v>52</v>
      </c>
      <c r="F2151">
        <v>2015</v>
      </c>
      <c r="G2151">
        <v>500871</v>
      </c>
      <c r="H2151" s="1">
        <v>42026</v>
      </c>
      <c r="I2151" s="1">
        <v>42052</v>
      </c>
      <c r="J2151" s="1">
        <v>42052</v>
      </c>
      <c r="K2151" s="1">
        <v>42112</v>
      </c>
      <c r="L2151" s="7">
        <v>1597.3</v>
      </c>
      <c r="M2151" s="5">
        <v>243</v>
      </c>
      <c r="N2151" s="7">
        <v>388143.9</v>
      </c>
      <c r="O2151" s="2">
        <v>1597.3</v>
      </c>
      <c r="P2151">
        <v>243</v>
      </c>
      <c r="Q2151" s="2">
        <v>388143.9</v>
      </c>
      <c r="R2151">
        <v>351.41</v>
      </c>
      <c r="V2151">
        <v>0</v>
      </c>
      <c r="W2151">
        <v>0</v>
      </c>
      <c r="X2151">
        <v>0</v>
      </c>
      <c r="Y2151" s="2">
        <v>1948.71</v>
      </c>
      <c r="Z2151" s="2">
        <v>1948.71</v>
      </c>
      <c r="AA2151" s="2">
        <v>1948.71</v>
      </c>
      <c r="AB2151" s="1">
        <v>42382</v>
      </c>
      <c r="AC2151" t="s">
        <v>53</v>
      </c>
      <c r="AD2151" t="s">
        <v>53</v>
      </c>
      <c r="AK2151">
        <v>351.41</v>
      </c>
      <c r="AU2151" s="6">
        <v>42355</v>
      </c>
      <c r="AV2151" s="6">
        <v>42355</v>
      </c>
      <c r="AW2151" t="s">
        <v>54</v>
      </c>
      <c r="AX2151" t="str">
        <f t="shared" si="175"/>
        <v>FOR</v>
      </c>
      <c r="AY2151" t="s">
        <v>55</v>
      </c>
    </row>
    <row r="2152" spans="1:51">
      <c r="A2152">
        <v>100630</v>
      </c>
      <c r="B2152" t="s">
        <v>217</v>
      </c>
      <c r="C2152" t="str">
        <f t="shared" si="177"/>
        <v>05688870483</v>
      </c>
      <c r="D2152" t="str">
        <f t="shared" si="177"/>
        <v>05688870483</v>
      </c>
      <c r="E2152" t="s">
        <v>52</v>
      </c>
      <c r="F2152">
        <v>2015</v>
      </c>
      <c r="G2152">
        <v>501613</v>
      </c>
      <c r="H2152" s="1">
        <v>42034</v>
      </c>
      <c r="I2152" s="1">
        <v>42047</v>
      </c>
      <c r="J2152" s="1">
        <v>42047</v>
      </c>
      <c r="K2152" s="1">
        <v>42107</v>
      </c>
      <c r="L2152" s="7">
        <v>1126.97</v>
      </c>
      <c r="M2152" s="5">
        <v>233</v>
      </c>
      <c r="N2152" s="7">
        <v>262584.01</v>
      </c>
      <c r="O2152" s="2">
        <v>1126.97</v>
      </c>
      <c r="P2152">
        <v>233</v>
      </c>
      <c r="Q2152" s="2">
        <v>262584.01</v>
      </c>
      <c r="R2152">
        <v>247.93</v>
      </c>
      <c r="V2152">
        <v>0</v>
      </c>
      <c r="W2152">
        <v>0</v>
      </c>
      <c r="X2152">
        <v>0</v>
      </c>
      <c r="Y2152" s="2">
        <v>1374.9</v>
      </c>
      <c r="Z2152" s="2">
        <v>1374.9</v>
      </c>
      <c r="AA2152" s="2">
        <v>1374.9</v>
      </c>
      <c r="AB2152" s="1">
        <v>42382</v>
      </c>
      <c r="AC2152" t="s">
        <v>53</v>
      </c>
      <c r="AD2152" t="s">
        <v>53</v>
      </c>
      <c r="AK2152">
        <v>247.93</v>
      </c>
      <c r="AU2152" s="6">
        <v>42340</v>
      </c>
      <c r="AV2152" s="6">
        <v>42340</v>
      </c>
      <c r="AW2152" t="s">
        <v>54</v>
      </c>
      <c r="AX2152" t="str">
        <f t="shared" si="175"/>
        <v>FOR</v>
      </c>
      <c r="AY2152" t="s">
        <v>55</v>
      </c>
    </row>
    <row r="2153" spans="1:51">
      <c r="A2153">
        <v>100630</v>
      </c>
      <c r="B2153" t="s">
        <v>217</v>
      </c>
      <c r="C2153" t="str">
        <f t="shared" si="177"/>
        <v>05688870483</v>
      </c>
      <c r="D2153" t="str">
        <f t="shared" si="177"/>
        <v>05688870483</v>
      </c>
      <c r="E2153" t="s">
        <v>52</v>
      </c>
      <c r="F2153">
        <v>2015</v>
      </c>
      <c r="G2153">
        <v>501614</v>
      </c>
      <c r="H2153" s="1">
        <v>42034</v>
      </c>
      <c r="I2153" s="1">
        <v>42047</v>
      </c>
      <c r="J2153" s="1">
        <v>42047</v>
      </c>
      <c r="K2153" s="1">
        <v>42107</v>
      </c>
      <c r="L2153" s="7">
        <v>2331.33</v>
      </c>
      <c r="M2153" s="5">
        <v>233</v>
      </c>
      <c r="N2153" s="7">
        <v>543199.89</v>
      </c>
      <c r="O2153" s="2">
        <v>2331.33</v>
      </c>
      <c r="P2153">
        <v>233</v>
      </c>
      <c r="Q2153" s="2">
        <v>543199.89</v>
      </c>
      <c r="R2153">
        <v>512.89</v>
      </c>
      <c r="V2153">
        <v>0</v>
      </c>
      <c r="W2153">
        <v>0</v>
      </c>
      <c r="X2153">
        <v>0</v>
      </c>
      <c r="Y2153" s="2">
        <v>2844.22</v>
      </c>
      <c r="Z2153" s="2">
        <v>2844.22</v>
      </c>
      <c r="AA2153" s="2">
        <v>2844.22</v>
      </c>
      <c r="AB2153" s="1">
        <v>42382</v>
      </c>
      <c r="AC2153" t="s">
        <v>53</v>
      </c>
      <c r="AD2153" t="s">
        <v>53</v>
      </c>
      <c r="AK2153">
        <v>512.89</v>
      </c>
      <c r="AU2153" s="6">
        <v>42340</v>
      </c>
      <c r="AV2153" s="6">
        <v>42340</v>
      </c>
      <c r="AW2153" t="s">
        <v>54</v>
      </c>
      <c r="AX2153" t="str">
        <f t="shared" si="175"/>
        <v>FOR</v>
      </c>
      <c r="AY2153" t="s">
        <v>55</v>
      </c>
    </row>
    <row r="2154" spans="1:51">
      <c r="A2154">
        <v>100630</v>
      </c>
      <c r="B2154" t="s">
        <v>217</v>
      </c>
      <c r="C2154" t="str">
        <f t="shared" si="177"/>
        <v>05688870483</v>
      </c>
      <c r="D2154" t="str">
        <f t="shared" si="177"/>
        <v>05688870483</v>
      </c>
      <c r="E2154" t="s">
        <v>52</v>
      </c>
      <c r="F2154">
        <v>2015</v>
      </c>
      <c r="G2154">
        <v>501695</v>
      </c>
      <c r="H2154" s="1">
        <v>42034</v>
      </c>
      <c r="I2154" s="1">
        <v>42047</v>
      </c>
      <c r="J2154" s="1">
        <v>42047</v>
      </c>
      <c r="K2154" s="1">
        <v>42107</v>
      </c>
      <c r="L2154" s="7">
        <v>3591</v>
      </c>
      <c r="M2154" s="5">
        <v>248</v>
      </c>
      <c r="N2154" s="7">
        <v>890568</v>
      </c>
      <c r="O2154" s="2">
        <v>3591</v>
      </c>
      <c r="P2154">
        <v>248</v>
      </c>
      <c r="Q2154" s="2">
        <v>890568</v>
      </c>
      <c r="R2154">
        <v>790.02</v>
      </c>
      <c r="V2154">
        <v>0</v>
      </c>
      <c r="W2154">
        <v>0</v>
      </c>
      <c r="X2154">
        <v>0</v>
      </c>
      <c r="Y2154" s="2">
        <v>4381.0200000000004</v>
      </c>
      <c r="Z2154" s="2">
        <v>4381.0200000000004</v>
      </c>
      <c r="AA2154" s="2">
        <v>4381.0200000000004</v>
      </c>
      <c r="AB2154" s="1">
        <v>42382</v>
      </c>
      <c r="AC2154" t="s">
        <v>53</v>
      </c>
      <c r="AD2154" t="s">
        <v>53</v>
      </c>
      <c r="AK2154">
        <v>790.02</v>
      </c>
      <c r="AU2154" s="6">
        <v>42355</v>
      </c>
      <c r="AV2154" s="6">
        <v>42355</v>
      </c>
      <c r="AW2154" t="s">
        <v>54</v>
      </c>
      <c r="AX2154" t="str">
        <f t="shared" si="175"/>
        <v>FOR</v>
      </c>
      <c r="AY2154" t="s">
        <v>55</v>
      </c>
    </row>
    <row r="2155" spans="1:51">
      <c r="A2155">
        <v>100630</v>
      </c>
      <c r="B2155" t="s">
        <v>217</v>
      </c>
      <c r="C2155" t="str">
        <f t="shared" si="177"/>
        <v>05688870483</v>
      </c>
      <c r="D2155" t="str">
        <f t="shared" si="177"/>
        <v>05688870483</v>
      </c>
      <c r="E2155" t="s">
        <v>52</v>
      </c>
      <c r="F2155">
        <v>2015</v>
      </c>
      <c r="G2155">
        <v>503784</v>
      </c>
      <c r="H2155" s="1">
        <v>42063</v>
      </c>
      <c r="I2155" s="1">
        <v>42080</v>
      </c>
      <c r="J2155" s="1">
        <v>42080</v>
      </c>
      <c r="K2155" s="1">
        <v>42140</v>
      </c>
      <c r="L2155" s="7">
        <v>1126.97</v>
      </c>
      <c r="M2155" s="5">
        <v>200</v>
      </c>
      <c r="N2155" s="7">
        <v>225394</v>
      </c>
      <c r="O2155" s="2">
        <v>1126.97</v>
      </c>
      <c r="P2155">
        <v>200</v>
      </c>
      <c r="Q2155" s="2">
        <v>225394</v>
      </c>
      <c r="R2155">
        <v>247.93</v>
      </c>
      <c r="V2155">
        <v>0</v>
      </c>
      <c r="W2155">
        <v>0</v>
      </c>
      <c r="X2155">
        <v>0</v>
      </c>
      <c r="Y2155" s="2">
        <v>1374.9</v>
      </c>
      <c r="Z2155" s="2">
        <v>1374.9</v>
      </c>
      <c r="AA2155" s="2">
        <v>1374.9</v>
      </c>
      <c r="AB2155" s="1">
        <v>42382</v>
      </c>
      <c r="AC2155" t="s">
        <v>53</v>
      </c>
      <c r="AD2155" t="s">
        <v>53</v>
      </c>
      <c r="AK2155">
        <v>247.93</v>
      </c>
      <c r="AU2155" s="6">
        <v>42340</v>
      </c>
      <c r="AV2155" s="6">
        <v>42340</v>
      </c>
      <c r="AW2155" t="s">
        <v>54</v>
      </c>
      <c r="AX2155" t="str">
        <f t="shared" si="175"/>
        <v>FOR</v>
      </c>
      <c r="AY2155" t="s">
        <v>55</v>
      </c>
    </row>
    <row r="2156" spans="1:51">
      <c r="A2156">
        <v>100630</v>
      </c>
      <c r="B2156" t="s">
        <v>217</v>
      </c>
      <c r="C2156" t="str">
        <f t="shared" si="177"/>
        <v>05688870483</v>
      </c>
      <c r="D2156" t="str">
        <f t="shared" si="177"/>
        <v>05688870483</v>
      </c>
      <c r="E2156" t="s">
        <v>52</v>
      </c>
      <c r="F2156">
        <v>2015</v>
      </c>
      <c r="G2156">
        <v>503785</v>
      </c>
      <c r="H2156" s="1">
        <v>42063</v>
      </c>
      <c r="I2156" s="1">
        <v>42080</v>
      </c>
      <c r="J2156" s="1">
        <v>42080</v>
      </c>
      <c r="K2156" s="1">
        <v>42140</v>
      </c>
      <c r="L2156" s="7">
        <v>2331.33</v>
      </c>
      <c r="M2156" s="5">
        <v>200</v>
      </c>
      <c r="N2156" s="7">
        <v>466266</v>
      </c>
      <c r="O2156" s="2">
        <v>2331.33</v>
      </c>
      <c r="P2156">
        <v>200</v>
      </c>
      <c r="Q2156" s="2">
        <v>466266</v>
      </c>
      <c r="R2156">
        <v>512.89</v>
      </c>
      <c r="V2156">
        <v>0</v>
      </c>
      <c r="W2156">
        <v>0</v>
      </c>
      <c r="X2156">
        <v>0</v>
      </c>
      <c r="Y2156" s="2">
        <v>2844.22</v>
      </c>
      <c r="Z2156" s="2">
        <v>2844.22</v>
      </c>
      <c r="AA2156" s="2">
        <v>2844.22</v>
      </c>
      <c r="AB2156" s="1">
        <v>42382</v>
      </c>
      <c r="AC2156" t="s">
        <v>53</v>
      </c>
      <c r="AD2156" t="s">
        <v>53</v>
      </c>
      <c r="AK2156">
        <v>512.89</v>
      </c>
      <c r="AU2156" s="6">
        <v>42340</v>
      </c>
      <c r="AV2156" s="6">
        <v>42340</v>
      </c>
      <c r="AW2156" t="s">
        <v>54</v>
      </c>
      <c r="AX2156" t="str">
        <f t="shared" si="175"/>
        <v>FOR</v>
      </c>
      <c r="AY2156" t="s">
        <v>55</v>
      </c>
    </row>
    <row r="2157" spans="1:51" hidden="1">
      <c r="A2157">
        <v>100631</v>
      </c>
      <c r="B2157" t="s">
        <v>218</v>
      </c>
      <c r="C2157" t="str">
        <f>"13023610150"</f>
        <v>13023610150</v>
      </c>
      <c r="D2157" t="str">
        <f>""</f>
        <v/>
      </c>
      <c r="E2157" t="s">
        <v>52</v>
      </c>
      <c r="F2157">
        <v>2010</v>
      </c>
      <c r="G2157">
        <v>38</v>
      </c>
      <c r="H2157" s="1">
        <v>40192</v>
      </c>
      <c r="I2157" s="1">
        <v>42261</v>
      </c>
      <c r="J2157" s="1">
        <v>42261</v>
      </c>
      <c r="K2157" s="1">
        <v>42321</v>
      </c>
      <c r="N2157" s="5"/>
      <c r="O2157" s="2">
        <v>1277.6400000000001</v>
      </c>
      <c r="P2157">
        <v>-46</v>
      </c>
      <c r="Q2157" s="2">
        <v>-58771.44</v>
      </c>
      <c r="R2157">
        <v>0</v>
      </c>
      <c r="V2157">
        <v>0</v>
      </c>
      <c r="W2157">
        <v>0</v>
      </c>
      <c r="X2157">
        <v>0</v>
      </c>
      <c r="Y2157">
        <v>0</v>
      </c>
      <c r="Z2157" s="2">
        <v>1277.6400000000001</v>
      </c>
      <c r="AA2157">
        <v>0</v>
      </c>
      <c r="AB2157" s="1">
        <v>42382</v>
      </c>
      <c r="AC2157" t="s">
        <v>53</v>
      </c>
      <c r="AD2157" t="s">
        <v>53</v>
      </c>
      <c r="AK2157">
        <v>0</v>
      </c>
      <c r="AU2157" s="6">
        <v>42275</v>
      </c>
      <c r="AV2157" s="6">
        <v>42275</v>
      </c>
      <c r="AW2157" t="s">
        <v>54</v>
      </c>
      <c r="AX2157" t="str">
        <f t="shared" si="175"/>
        <v>FOR</v>
      </c>
      <c r="AY2157" t="s">
        <v>55</v>
      </c>
    </row>
    <row r="2158" spans="1:51" hidden="1">
      <c r="A2158">
        <v>100633</v>
      </c>
      <c r="B2158" t="s">
        <v>219</v>
      </c>
      <c r="C2158" t="str">
        <f t="shared" ref="C2158:D2160" si="178">"00997380191"</f>
        <v>00997380191</v>
      </c>
      <c r="D2158" t="str">
        <f t="shared" si="178"/>
        <v>00997380191</v>
      </c>
      <c r="E2158" t="s">
        <v>52</v>
      </c>
      <c r="F2158">
        <v>2014</v>
      </c>
      <c r="G2158">
        <v>170</v>
      </c>
      <c r="H2158" s="1">
        <v>41729</v>
      </c>
      <c r="I2158" s="1">
        <v>41757</v>
      </c>
      <c r="J2158" s="1">
        <v>41757</v>
      </c>
      <c r="K2158" s="1">
        <v>41847</v>
      </c>
      <c r="N2158" s="5"/>
      <c r="O2158" s="2">
        <v>3676.1</v>
      </c>
      <c r="P2158">
        <v>316</v>
      </c>
      <c r="Q2158" s="2">
        <v>1161647.6000000001</v>
      </c>
      <c r="R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 s="1">
        <v>42382</v>
      </c>
      <c r="AC2158" t="s">
        <v>53</v>
      </c>
      <c r="AD2158" t="s">
        <v>53</v>
      </c>
      <c r="AK2158">
        <v>0</v>
      </c>
      <c r="AU2158" s="6">
        <v>42163</v>
      </c>
      <c r="AV2158" s="6">
        <v>42163</v>
      </c>
      <c r="AW2158" t="s">
        <v>54</v>
      </c>
      <c r="AX2158" t="str">
        <f t="shared" si="175"/>
        <v>FOR</v>
      </c>
      <c r="AY2158" t="s">
        <v>55</v>
      </c>
    </row>
    <row r="2159" spans="1:51" hidden="1">
      <c r="A2159">
        <v>100633</v>
      </c>
      <c r="B2159" t="s">
        <v>219</v>
      </c>
      <c r="C2159" t="str">
        <f t="shared" si="178"/>
        <v>00997380191</v>
      </c>
      <c r="D2159" t="str">
        <f t="shared" si="178"/>
        <v>00997380191</v>
      </c>
      <c r="E2159" t="s">
        <v>52</v>
      </c>
      <c r="F2159">
        <v>2014</v>
      </c>
      <c r="G2159">
        <v>410</v>
      </c>
      <c r="H2159" s="1">
        <v>41851</v>
      </c>
      <c r="I2159" s="1">
        <v>41890</v>
      </c>
      <c r="J2159" s="1">
        <v>41890</v>
      </c>
      <c r="K2159" s="1">
        <v>41980</v>
      </c>
      <c r="N2159" s="5"/>
      <c r="O2159" s="2">
        <v>6832</v>
      </c>
      <c r="P2159">
        <v>183</v>
      </c>
      <c r="Q2159" s="2">
        <v>1250256</v>
      </c>
      <c r="R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 s="1">
        <v>42382</v>
      </c>
      <c r="AC2159" t="s">
        <v>53</v>
      </c>
      <c r="AD2159" t="s">
        <v>53</v>
      </c>
      <c r="AK2159">
        <v>0</v>
      </c>
      <c r="AU2159" s="6">
        <v>42163</v>
      </c>
      <c r="AV2159" s="6">
        <v>42163</v>
      </c>
      <c r="AW2159" t="s">
        <v>54</v>
      </c>
      <c r="AX2159" t="str">
        <f t="shared" si="175"/>
        <v>FOR</v>
      </c>
      <c r="AY2159" t="s">
        <v>55</v>
      </c>
    </row>
    <row r="2160" spans="1:51" hidden="1">
      <c r="A2160">
        <v>100633</v>
      </c>
      <c r="B2160" t="s">
        <v>219</v>
      </c>
      <c r="C2160" t="str">
        <f t="shared" si="178"/>
        <v>00997380191</v>
      </c>
      <c r="D2160" t="str">
        <f t="shared" si="178"/>
        <v>00997380191</v>
      </c>
      <c r="E2160" t="s">
        <v>52</v>
      </c>
      <c r="F2160">
        <v>2014</v>
      </c>
      <c r="G2160">
        <v>411</v>
      </c>
      <c r="H2160" s="1">
        <v>41851</v>
      </c>
      <c r="I2160" s="1">
        <v>41890</v>
      </c>
      <c r="J2160" s="1">
        <v>41890</v>
      </c>
      <c r="K2160" s="1">
        <v>41980</v>
      </c>
      <c r="N2160" s="5"/>
      <c r="O2160" s="2">
        <v>10248</v>
      </c>
      <c r="P2160">
        <v>183</v>
      </c>
      <c r="Q2160" s="2">
        <v>1875384</v>
      </c>
      <c r="R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 s="1">
        <v>42382</v>
      </c>
      <c r="AC2160" t="s">
        <v>53</v>
      </c>
      <c r="AD2160" t="s">
        <v>53</v>
      </c>
      <c r="AK2160">
        <v>0</v>
      </c>
      <c r="AU2160" s="6">
        <v>42163</v>
      </c>
      <c r="AV2160" s="6">
        <v>42163</v>
      </c>
      <c r="AW2160" t="s">
        <v>54</v>
      </c>
      <c r="AX2160" t="str">
        <f t="shared" si="175"/>
        <v>FOR</v>
      </c>
      <c r="AY2160" t="s">
        <v>55</v>
      </c>
    </row>
    <row r="2161" spans="1:51" hidden="1">
      <c r="A2161">
        <v>100636</v>
      </c>
      <c r="B2161" t="s">
        <v>220</v>
      </c>
      <c r="C2161" t="str">
        <f t="shared" ref="C2161:D2170" si="179">"00397360488"</f>
        <v>00397360488</v>
      </c>
      <c r="D2161" t="str">
        <f t="shared" si="179"/>
        <v>00397360488</v>
      </c>
      <c r="E2161" t="s">
        <v>52</v>
      </c>
      <c r="F2161">
        <v>2014</v>
      </c>
      <c r="G2161">
        <v>881</v>
      </c>
      <c r="H2161" s="1">
        <v>41684</v>
      </c>
      <c r="I2161" s="1">
        <v>41711</v>
      </c>
      <c r="J2161" s="1">
        <v>41711</v>
      </c>
      <c r="K2161" s="1">
        <v>41801</v>
      </c>
      <c r="N2161" s="5"/>
      <c r="O2161" s="2">
        <v>1198.1600000000001</v>
      </c>
      <c r="P2161">
        <v>217</v>
      </c>
      <c r="Q2161" s="2">
        <v>260000.72</v>
      </c>
      <c r="R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 s="1">
        <v>42382</v>
      </c>
      <c r="AC2161" t="s">
        <v>53</v>
      </c>
      <c r="AD2161" t="s">
        <v>53</v>
      </c>
      <c r="AK2161">
        <v>0</v>
      </c>
      <c r="AU2161" s="6">
        <v>42018</v>
      </c>
      <c r="AV2161" s="6">
        <v>42018</v>
      </c>
      <c r="AW2161" t="s">
        <v>54</v>
      </c>
      <c r="AX2161" t="str">
        <f t="shared" si="175"/>
        <v>FOR</v>
      </c>
      <c r="AY2161" t="s">
        <v>55</v>
      </c>
    </row>
    <row r="2162" spans="1:51" hidden="1">
      <c r="A2162">
        <v>100636</v>
      </c>
      <c r="B2162" t="s">
        <v>220</v>
      </c>
      <c r="C2162" t="str">
        <f t="shared" si="179"/>
        <v>00397360488</v>
      </c>
      <c r="D2162" t="str">
        <f t="shared" si="179"/>
        <v>00397360488</v>
      </c>
      <c r="E2162" t="s">
        <v>52</v>
      </c>
      <c r="F2162">
        <v>2014</v>
      </c>
      <c r="G2162">
        <v>2715</v>
      </c>
      <c r="H2162" s="1">
        <v>41779</v>
      </c>
      <c r="I2162" s="1">
        <v>41800</v>
      </c>
      <c r="J2162" s="1">
        <v>41800</v>
      </c>
      <c r="K2162" s="1">
        <v>41890</v>
      </c>
      <c r="N2162" s="5"/>
      <c r="O2162">
        <v>480.44</v>
      </c>
      <c r="P2162">
        <v>128</v>
      </c>
      <c r="Q2162" s="2">
        <v>61496.32</v>
      </c>
      <c r="R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 s="1">
        <v>42382</v>
      </c>
      <c r="AC2162" t="s">
        <v>53</v>
      </c>
      <c r="AD2162" t="s">
        <v>53</v>
      </c>
      <c r="AK2162">
        <v>0</v>
      </c>
      <c r="AU2162" s="6">
        <v>42018</v>
      </c>
      <c r="AV2162" s="6">
        <v>42018</v>
      </c>
      <c r="AW2162" t="s">
        <v>54</v>
      </c>
      <c r="AX2162" t="str">
        <f t="shared" si="175"/>
        <v>FOR</v>
      </c>
      <c r="AY2162" t="s">
        <v>55</v>
      </c>
    </row>
    <row r="2163" spans="1:51" hidden="1">
      <c r="A2163">
        <v>100636</v>
      </c>
      <c r="B2163" t="s">
        <v>220</v>
      </c>
      <c r="C2163" t="str">
        <f t="shared" si="179"/>
        <v>00397360488</v>
      </c>
      <c r="D2163" t="str">
        <f t="shared" si="179"/>
        <v>00397360488</v>
      </c>
      <c r="E2163" t="s">
        <v>52</v>
      </c>
      <c r="F2163">
        <v>2014</v>
      </c>
      <c r="G2163">
        <v>3817</v>
      </c>
      <c r="H2163" s="1">
        <v>41835</v>
      </c>
      <c r="I2163" s="1">
        <v>41849</v>
      </c>
      <c r="J2163" s="1">
        <v>41849</v>
      </c>
      <c r="K2163" s="1">
        <v>41939</v>
      </c>
      <c r="N2163" s="5"/>
      <c r="O2163">
        <v>907.92</v>
      </c>
      <c r="P2163">
        <v>79</v>
      </c>
      <c r="Q2163" s="2">
        <v>71725.679999999993</v>
      </c>
      <c r="R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 s="1">
        <v>42382</v>
      </c>
      <c r="AC2163" t="s">
        <v>53</v>
      </c>
      <c r="AD2163" t="s">
        <v>53</v>
      </c>
      <c r="AK2163">
        <v>0</v>
      </c>
      <c r="AU2163" s="6">
        <v>42018</v>
      </c>
      <c r="AV2163" s="6">
        <v>42018</v>
      </c>
      <c r="AW2163" t="s">
        <v>54</v>
      </c>
      <c r="AX2163" t="str">
        <f t="shared" si="175"/>
        <v>FOR</v>
      </c>
      <c r="AY2163" t="s">
        <v>55</v>
      </c>
    </row>
    <row r="2164" spans="1:51" hidden="1">
      <c r="A2164">
        <v>100636</v>
      </c>
      <c r="B2164" t="s">
        <v>220</v>
      </c>
      <c r="C2164" t="str">
        <f t="shared" si="179"/>
        <v>00397360488</v>
      </c>
      <c r="D2164" t="str">
        <f t="shared" si="179"/>
        <v>00397360488</v>
      </c>
      <c r="E2164" t="s">
        <v>52</v>
      </c>
      <c r="F2164">
        <v>2014</v>
      </c>
      <c r="G2164">
        <v>3819</v>
      </c>
      <c r="H2164" s="1">
        <v>41835</v>
      </c>
      <c r="I2164" s="1">
        <v>41849</v>
      </c>
      <c r="J2164" s="1">
        <v>41849</v>
      </c>
      <c r="K2164" s="1">
        <v>41939</v>
      </c>
      <c r="N2164" s="5"/>
      <c r="O2164">
        <v>66.98</v>
      </c>
      <c r="P2164">
        <v>79</v>
      </c>
      <c r="Q2164" s="2">
        <v>5291.42</v>
      </c>
      <c r="R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 s="1">
        <v>42382</v>
      </c>
      <c r="AC2164" t="s">
        <v>53</v>
      </c>
      <c r="AD2164" t="s">
        <v>53</v>
      </c>
      <c r="AK2164">
        <v>0</v>
      </c>
      <c r="AU2164" s="6">
        <v>42018</v>
      </c>
      <c r="AV2164" s="6">
        <v>42018</v>
      </c>
      <c r="AW2164" t="s">
        <v>54</v>
      </c>
      <c r="AX2164" t="str">
        <f t="shared" si="175"/>
        <v>FOR</v>
      </c>
      <c r="AY2164" t="s">
        <v>55</v>
      </c>
    </row>
    <row r="2165" spans="1:51" hidden="1">
      <c r="A2165">
        <v>100636</v>
      </c>
      <c r="B2165" t="s">
        <v>220</v>
      </c>
      <c r="C2165" t="str">
        <f t="shared" si="179"/>
        <v>00397360488</v>
      </c>
      <c r="D2165" t="str">
        <f t="shared" si="179"/>
        <v>00397360488</v>
      </c>
      <c r="E2165" t="s">
        <v>52</v>
      </c>
      <c r="F2165">
        <v>2014</v>
      </c>
      <c r="G2165">
        <v>3822</v>
      </c>
      <c r="H2165" s="1">
        <v>41835</v>
      </c>
      <c r="I2165" s="1">
        <v>41849</v>
      </c>
      <c r="J2165" s="1">
        <v>41849</v>
      </c>
      <c r="K2165" s="1">
        <v>41939</v>
      </c>
      <c r="N2165" s="5"/>
      <c r="O2165">
        <v>267.91000000000003</v>
      </c>
      <c r="P2165">
        <v>79</v>
      </c>
      <c r="Q2165" s="2">
        <v>21164.89</v>
      </c>
      <c r="R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 s="1">
        <v>42382</v>
      </c>
      <c r="AC2165" t="s">
        <v>53</v>
      </c>
      <c r="AD2165" t="s">
        <v>53</v>
      </c>
      <c r="AK2165">
        <v>0</v>
      </c>
      <c r="AU2165" s="6">
        <v>42018</v>
      </c>
      <c r="AV2165" s="6">
        <v>42018</v>
      </c>
      <c r="AW2165" t="s">
        <v>54</v>
      </c>
      <c r="AX2165" t="str">
        <f t="shared" si="175"/>
        <v>FOR</v>
      </c>
      <c r="AY2165" t="s">
        <v>55</v>
      </c>
    </row>
    <row r="2166" spans="1:51" hidden="1">
      <c r="A2166">
        <v>100636</v>
      </c>
      <c r="B2166" t="s">
        <v>220</v>
      </c>
      <c r="C2166" t="str">
        <f t="shared" si="179"/>
        <v>00397360488</v>
      </c>
      <c r="D2166" t="str">
        <f t="shared" si="179"/>
        <v>00397360488</v>
      </c>
      <c r="E2166" t="s">
        <v>52</v>
      </c>
      <c r="F2166">
        <v>2014</v>
      </c>
      <c r="G2166">
        <v>5989</v>
      </c>
      <c r="H2166" s="1">
        <v>41957</v>
      </c>
      <c r="I2166" s="1">
        <v>41974</v>
      </c>
      <c r="J2166" s="1">
        <v>41974</v>
      </c>
      <c r="K2166" s="1">
        <v>42034</v>
      </c>
      <c r="N2166" s="5"/>
      <c r="O2166" s="2">
        <v>1162.05</v>
      </c>
      <c r="P2166">
        <v>-16</v>
      </c>
      <c r="Q2166" s="2">
        <v>-18592.8</v>
      </c>
      <c r="R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 s="1">
        <v>42382</v>
      </c>
      <c r="AC2166" t="s">
        <v>53</v>
      </c>
      <c r="AD2166" t="s">
        <v>53</v>
      </c>
      <c r="AK2166">
        <v>0</v>
      </c>
      <c r="AU2166" s="6">
        <v>42018</v>
      </c>
      <c r="AV2166" s="6">
        <v>42018</v>
      </c>
      <c r="AW2166" t="s">
        <v>54</v>
      </c>
      <c r="AX2166" t="str">
        <f t="shared" si="175"/>
        <v>FOR</v>
      </c>
      <c r="AY2166" t="s">
        <v>55</v>
      </c>
    </row>
    <row r="2167" spans="1:51" hidden="1">
      <c r="A2167">
        <v>100636</v>
      </c>
      <c r="B2167" t="s">
        <v>220</v>
      </c>
      <c r="C2167" t="str">
        <f t="shared" si="179"/>
        <v>00397360488</v>
      </c>
      <c r="D2167" t="str">
        <f t="shared" si="179"/>
        <v>00397360488</v>
      </c>
      <c r="E2167" t="s">
        <v>52</v>
      </c>
      <c r="F2167">
        <v>2015</v>
      </c>
      <c r="G2167" t="s">
        <v>221</v>
      </c>
      <c r="H2167" s="1">
        <v>42031</v>
      </c>
      <c r="I2167" s="1">
        <v>42054</v>
      </c>
      <c r="J2167" s="1">
        <v>42054</v>
      </c>
      <c r="K2167" s="1">
        <v>42114</v>
      </c>
      <c r="N2167" s="5"/>
      <c r="O2167">
        <v>895</v>
      </c>
      <c r="P2167">
        <v>163</v>
      </c>
      <c r="Q2167" s="2">
        <v>145885</v>
      </c>
      <c r="R2167">
        <v>0</v>
      </c>
      <c r="V2167">
        <v>0</v>
      </c>
      <c r="W2167">
        <v>0</v>
      </c>
      <c r="X2167">
        <v>0</v>
      </c>
      <c r="Y2167" s="2">
        <v>1091.9000000000001</v>
      </c>
      <c r="Z2167" s="2">
        <v>1091.9000000000001</v>
      </c>
      <c r="AA2167" s="2">
        <v>1091.9000000000001</v>
      </c>
      <c r="AB2167" s="1">
        <v>42382</v>
      </c>
      <c r="AC2167" t="s">
        <v>53</v>
      </c>
      <c r="AD2167" t="s">
        <v>53</v>
      </c>
      <c r="AK2167">
        <v>0</v>
      </c>
      <c r="AU2167" s="6">
        <v>42277</v>
      </c>
      <c r="AV2167" s="6">
        <v>42277</v>
      </c>
      <c r="AW2167" t="s">
        <v>54</v>
      </c>
      <c r="AX2167" t="str">
        <f t="shared" si="175"/>
        <v>FOR</v>
      </c>
      <c r="AY2167" t="s">
        <v>55</v>
      </c>
    </row>
    <row r="2168" spans="1:51" hidden="1">
      <c r="A2168">
        <v>100636</v>
      </c>
      <c r="B2168" t="s">
        <v>220</v>
      </c>
      <c r="C2168" t="str">
        <f t="shared" si="179"/>
        <v>00397360488</v>
      </c>
      <c r="D2168" t="str">
        <f t="shared" si="179"/>
        <v>00397360488</v>
      </c>
      <c r="E2168" t="s">
        <v>52</v>
      </c>
      <c r="F2168">
        <v>2015</v>
      </c>
      <c r="G2168">
        <v>1977</v>
      </c>
      <c r="H2168" s="1">
        <v>42102</v>
      </c>
      <c r="I2168" s="1">
        <v>42117</v>
      </c>
      <c r="J2168" s="1">
        <v>42116</v>
      </c>
      <c r="K2168" s="1">
        <v>42176</v>
      </c>
      <c r="N2168" s="5"/>
      <c r="O2168">
        <v>532.4</v>
      </c>
      <c r="P2168">
        <v>101</v>
      </c>
      <c r="Q2168" s="2">
        <v>53772.4</v>
      </c>
      <c r="R2168">
        <v>0</v>
      </c>
      <c r="V2168">
        <v>0</v>
      </c>
      <c r="W2168">
        <v>0</v>
      </c>
      <c r="X2168">
        <v>0</v>
      </c>
      <c r="Y2168">
        <v>649.53</v>
      </c>
      <c r="Z2168">
        <v>649.53</v>
      </c>
      <c r="AA2168">
        <v>649.53</v>
      </c>
      <c r="AB2168" s="1">
        <v>42382</v>
      </c>
      <c r="AC2168" t="s">
        <v>53</v>
      </c>
      <c r="AD2168" t="s">
        <v>53</v>
      </c>
      <c r="AK2168">
        <v>0</v>
      </c>
      <c r="AU2168" s="6">
        <v>42277</v>
      </c>
      <c r="AV2168" s="6">
        <v>42277</v>
      </c>
      <c r="AW2168" t="s">
        <v>54</v>
      </c>
      <c r="AX2168" t="str">
        <f t="shared" si="175"/>
        <v>FOR</v>
      </c>
      <c r="AY2168" t="s">
        <v>55</v>
      </c>
    </row>
    <row r="2169" spans="1:51" hidden="1">
      <c r="A2169">
        <v>100636</v>
      </c>
      <c r="B2169" t="s">
        <v>220</v>
      </c>
      <c r="C2169" t="str">
        <f t="shared" si="179"/>
        <v>00397360488</v>
      </c>
      <c r="D2169" t="str">
        <f t="shared" si="179"/>
        <v>00397360488</v>
      </c>
      <c r="E2169" t="s">
        <v>52</v>
      </c>
      <c r="F2169">
        <v>2015</v>
      </c>
      <c r="G2169" t="s">
        <v>222</v>
      </c>
      <c r="H2169" s="1">
        <v>42062</v>
      </c>
      <c r="I2169" s="1">
        <v>42081</v>
      </c>
      <c r="J2169" s="1">
        <v>42081</v>
      </c>
      <c r="K2169" s="1">
        <v>42141</v>
      </c>
      <c r="N2169" s="5"/>
      <c r="O2169">
        <v>366</v>
      </c>
      <c r="P2169">
        <v>136</v>
      </c>
      <c r="Q2169" s="2">
        <v>49776</v>
      </c>
      <c r="R2169">
        <v>0</v>
      </c>
      <c r="V2169">
        <v>0</v>
      </c>
      <c r="W2169">
        <v>0</v>
      </c>
      <c r="X2169">
        <v>0</v>
      </c>
      <c r="Y2169">
        <v>446.52</v>
      </c>
      <c r="Z2169">
        <v>446.52</v>
      </c>
      <c r="AA2169">
        <v>446.52</v>
      </c>
      <c r="AB2169" s="1">
        <v>42382</v>
      </c>
      <c r="AC2169" t="s">
        <v>53</v>
      </c>
      <c r="AD2169" t="s">
        <v>53</v>
      </c>
      <c r="AK2169">
        <v>0</v>
      </c>
      <c r="AU2169" s="6">
        <v>42277</v>
      </c>
      <c r="AV2169" s="6">
        <v>42277</v>
      </c>
      <c r="AW2169" t="s">
        <v>54</v>
      </c>
      <c r="AX2169" t="str">
        <f t="shared" si="175"/>
        <v>FOR</v>
      </c>
      <c r="AY2169" t="s">
        <v>55</v>
      </c>
    </row>
    <row r="2170" spans="1:51" hidden="1">
      <c r="A2170">
        <v>100636</v>
      </c>
      <c r="B2170" t="s">
        <v>220</v>
      </c>
      <c r="C2170" t="str">
        <f t="shared" si="179"/>
        <v>00397360488</v>
      </c>
      <c r="D2170" t="str">
        <f t="shared" si="179"/>
        <v>00397360488</v>
      </c>
      <c r="E2170" t="s">
        <v>52</v>
      </c>
      <c r="F2170">
        <v>2015</v>
      </c>
      <c r="G2170" t="s">
        <v>223</v>
      </c>
      <c r="H2170" s="1">
        <v>42152</v>
      </c>
      <c r="I2170" s="1">
        <v>42163</v>
      </c>
      <c r="J2170" s="1">
        <v>42159</v>
      </c>
      <c r="K2170" s="1">
        <v>42219</v>
      </c>
      <c r="N2170" s="5"/>
      <c r="O2170">
        <v>583.9</v>
      </c>
      <c r="P2170">
        <v>58</v>
      </c>
      <c r="Q2170" s="2">
        <v>33866.199999999997</v>
      </c>
      <c r="R2170">
        <v>0</v>
      </c>
      <c r="V2170">
        <v>0</v>
      </c>
      <c r="W2170">
        <v>0</v>
      </c>
      <c r="X2170">
        <v>0</v>
      </c>
      <c r="Y2170">
        <v>712.36</v>
      </c>
      <c r="Z2170">
        <v>712.36</v>
      </c>
      <c r="AA2170">
        <v>712.36</v>
      </c>
      <c r="AB2170" s="1">
        <v>42382</v>
      </c>
      <c r="AC2170" t="s">
        <v>53</v>
      </c>
      <c r="AD2170" t="s">
        <v>53</v>
      </c>
      <c r="AK2170">
        <v>0</v>
      </c>
      <c r="AU2170" s="6">
        <v>42277</v>
      </c>
      <c r="AV2170" s="6">
        <v>42277</v>
      </c>
      <c r="AW2170" t="s">
        <v>54</v>
      </c>
      <c r="AX2170" t="str">
        <f t="shared" si="175"/>
        <v>FOR</v>
      </c>
      <c r="AY2170" t="s">
        <v>55</v>
      </c>
    </row>
    <row r="2171" spans="1:51" hidden="1">
      <c r="A2171">
        <v>100651</v>
      </c>
      <c r="B2171" t="s">
        <v>224</v>
      </c>
      <c r="C2171" t="str">
        <f t="shared" ref="C2171:D2179" si="180">"04356871212"</f>
        <v>04356871212</v>
      </c>
      <c r="D2171" t="str">
        <f t="shared" si="180"/>
        <v>04356871212</v>
      </c>
      <c r="E2171" t="s">
        <v>52</v>
      </c>
      <c r="F2171">
        <v>2015</v>
      </c>
      <c r="G2171">
        <v>420</v>
      </c>
      <c r="H2171" s="1">
        <v>42114</v>
      </c>
      <c r="I2171" s="1">
        <v>42115</v>
      </c>
      <c r="J2171" s="1">
        <v>42115</v>
      </c>
      <c r="K2171" s="1">
        <v>42175</v>
      </c>
      <c r="N2171" s="5"/>
      <c r="O2171">
        <v>180</v>
      </c>
      <c r="P2171">
        <v>-59</v>
      </c>
      <c r="Q2171" s="2">
        <v>-10620</v>
      </c>
      <c r="R2171">
        <v>0</v>
      </c>
      <c r="V2171">
        <v>0</v>
      </c>
      <c r="W2171">
        <v>0</v>
      </c>
      <c r="X2171">
        <v>0</v>
      </c>
      <c r="Y2171">
        <v>180</v>
      </c>
      <c r="Z2171">
        <v>180</v>
      </c>
      <c r="AA2171">
        <v>180</v>
      </c>
      <c r="AB2171" s="1">
        <v>42382</v>
      </c>
      <c r="AC2171" t="s">
        <v>53</v>
      </c>
      <c r="AD2171" t="s">
        <v>53</v>
      </c>
      <c r="AK2171">
        <v>0</v>
      </c>
      <c r="AU2171" s="6">
        <v>42116</v>
      </c>
      <c r="AV2171" s="6">
        <v>42116</v>
      </c>
      <c r="AW2171" t="s">
        <v>54</v>
      </c>
      <c r="AX2171" t="str">
        <f t="shared" si="175"/>
        <v>FOR</v>
      </c>
      <c r="AY2171" t="s">
        <v>55</v>
      </c>
    </row>
    <row r="2172" spans="1:51" hidden="1">
      <c r="A2172">
        <v>100651</v>
      </c>
      <c r="B2172" t="s">
        <v>224</v>
      </c>
      <c r="C2172" t="str">
        <f t="shared" si="180"/>
        <v>04356871212</v>
      </c>
      <c r="D2172" t="str">
        <f t="shared" si="180"/>
        <v>04356871212</v>
      </c>
      <c r="E2172" t="s">
        <v>52</v>
      </c>
      <c r="F2172">
        <v>2015</v>
      </c>
      <c r="G2172">
        <v>520</v>
      </c>
      <c r="H2172" s="1">
        <v>42144</v>
      </c>
      <c r="I2172" s="1">
        <v>42144</v>
      </c>
      <c r="J2172" s="1">
        <v>42144</v>
      </c>
      <c r="K2172" s="1">
        <v>42204</v>
      </c>
      <c r="N2172" s="5"/>
      <c r="O2172">
        <v>180</v>
      </c>
      <c r="P2172">
        <v>-60</v>
      </c>
      <c r="Q2172" s="2">
        <v>-10800</v>
      </c>
      <c r="R2172">
        <v>0</v>
      </c>
      <c r="V2172">
        <v>0</v>
      </c>
      <c r="W2172">
        <v>0</v>
      </c>
      <c r="X2172">
        <v>0</v>
      </c>
      <c r="Y2172">
        <v>180</v>
      </c>
      <c r="Z2172">
        <v>180</v>
      </c>
      <c r="AA2172">
        <v>180</v>
      </c>
      <c r="AB2172" s="1">
        <v>42382</v>
      </c>
      <c r="AC2172" t="s">
        <v>53</v>
      </c>
      <c r="AD2172" t="s">
        <v>53</v>
      </c>
      <c r="AK2172">
        <v>0</v>
      </c>
      <c r="AU2172" s="6">
        <v>42144</v>
      </c>
      <c r="AV2172" s="6">
        <v>42144</v>
      </c>
      <c r="AW2172" t="s">
        <v>54</v>
      </c>
      <c r="AX2172" t="str">
        <f t="shared" si="175"/>
        <v>FOR</v>
      </c>
      <c r="AY2172" t="s">
        <v>55</v>
      </c>
    </row>
    <row r="2173" spans="1:51" hidden="1">
      <c r="A2173">
        <v>100651</v>
      </c>
      <c r="B2173" t="s">
        <v>224</v>
      </c>
      <c r="C2173" t="str">
        <f t="shared" si="180"/>
        <v>04356871212</v>
      </c>
      <c r="D2173" t="str">
        <f t="shared" si="180"/>
        <v>04356871212</v>
      </c>
      <c r="E2173" t="s">
        <v>52</v>
      </c>
      <c r="F2173">
        <v>2015</v>
      </c>
      <c r="G2173">
        <v>619</v>
      </c>
      <c r="H2173" s="1">
        <v>42174</v>
      </c>
      <c r="I2173" s="1">
        <v>42174</v>
      </c>
      <c r="J2173" s="1">
        <v>42174</v>
      </c>
      <c r="K2173" s="1">
        <v>42234</v>
      </c>
      <c r="N2173" s="5"/>
      <c r="O2173">
        <v>180</v>
      </c>
      <c r="P2173">
        <v>-57</v>
      </c>
      <c r="Q2173" s="2">
        <v>-10260</v>
      </c>
      <c r="R2173">
        <v>0</v>
      </c>
      <c r="V2173">
        <v>0</v>
      </c>
      <c r="W2173">
        <v>0</v>
      </c>
      <c r="X2173">
        <v>0</v>
      </c>
      <c r="Y2173">
        <v>180</v>
      </c>
      <c r="Z2173">
        <v>180</v>
      </c>
      <c r="AA2173">
        <v>180</v>
      </c>
      <c r="AB2173" s="1">
        <v>42382</v>
      </c>
      <c r="AC2173" t="s">
        <v>53</v>
      </c>
      <c r="AD2173" t="s">
        <v>53</v>
      </c>
      <c r="AK2173">
        <v>0</v>
      </c>
      <c r="AU2173" s="6">
        <v>42177</v>
      </c>
      <c r="AV2173" s="6">
        <v>42177</v>
      </c>
      <c r="AW2173" t="s">
        <v>54</v>
      </c>
      <c r="AX2173" t="str">
        <f t="shared" si="175"/>
        <v>FOR</v>
      </c>
      <c r="AY2173" t="s">
        <v>55</v>
      </c>
    </row>
    <row r="2174" spans="1:51" hidden="1">
      <c r="A2174">
        <v>100651</v>
      </c>
      <c r="B2174" t="s">
        <v>224</v>
      </c>
      <c r="C2174" t="str">
        <f t="shared" si="180"/>
        <v>04356871212</v>
      </c>
      <c r="D2174" t="str">
        <f t="shared" si="180"/>
        <v>04356871212</v>
      </c>
      <c r="E2174" t="s">
        <v>52</v>
      </c>
      <c r="F2174">
        <v>2015</v>
      </c>
      <c r="G2174">
        <v>721</v>
      </c>
      <c r="H2174" s="1">
        <v>42206</v>
      </c>
      <c r="I2174" s="1">
        <v>42206</v>
      </c>
      <c r="J2174" s="1">
        <v>42206</v>
      </c>
      <c r="K2174" s="1">
        <v>42266</v>
      </c>
      <c r="N2174" s="5"/>
      <c r="O2174">
        <v>180</v>
      </c>
      <c r="P2174">
        <v>-60</v>
      </c>
      <c r="Q2174" s="2">
        <v>-10800</v>
      </c>
      <c r="R2174">
        <v>0</v>
      </c>
      <c r="V2174">
        <v>0</v>
      </c>
      <c r="W2174">
        <v>0</v>
      </c>
      <c r="X2174">
        <v>0</v>
      </c>
      <c r="Y2174">
        <v>180</v>
      </c>
      <c r="Z2174">
        <v>180</v>
      </c>
      <c r="AA2174">
        <v>180</v>
      </c>
      <c r="AB2174" s="1">
        <v>42382</v>
      </c>
      <c r="AC2174" t="s">
        <v>53</v>
      </c>
      <c r="AD2174" t="s">
        <v>53</v>
      </c>
      <c r="AK2174">
        <v>0</v>
      </c>
      <c r="AU2174" s="6">
        <v>42206</v>
      </c>
      <c r="AV2174" s="6">
        <v>42206</v>
      </c>
      <c r="AW2174" t="s">
        <v>54</v>
      </c>
      <c r="AX2174" t="str">
        <f t="shared" si="175"/>
        <v>FOR</v>
      </c>
      <c r="AY2174" t="s">
        <v>55</v>
      </c>
    </row>
    <row r="2175" spans="1:51" hidden="1">
      <c r="A2175">
        <v>100651</v>
      </c>
      <c r="B2175" t="s">
        <v>224</v>
      </c>
      <c r="C2175" t="str">
        <f t="shared" si="180"/>
        <v>04356871212</v>
      </c>
      <c r="D2175" t="str">
        <f t="shared" si="180"/>
        <v>04356871212</v>
      </c>
      <c r="E2175" t="s">
        <v>52</v>
      </c>
      <c r="F2175">
        <v>2015</v>
      </c>
      <c r="G2175">
        <v>819</v>
      </c>
      <c r="H2175" s="1">
        <v>42235</v>
      </c>
      <c r="I2175" s="1">
        <v>42236</v>
      </c>
      <c r="J2175" s="1">
        <v>42236</v>
      </c>
      <c r="K2175" s="1">
        <v>42296</v>
      </c>
      <c r="N2175" s="5"/>
      <c r="O2175">
        <v>180</v>
      </c>
      <c r="P2175">
        <v>-60</v>
      </c>
      <c r="Q2175" s="2">
        <v>-10800</v>
      </c>
      <c r="R2175">
        <v>0</v>
      </c>
      <c r="V2175">
        <v>0</v>
      </c>
      <c r="W2175">
        <v>0</v>
      </c>
      <c r="X2175">
        <v>0</v>
      </c>
      <c r="Y2175">
        <v>180</v>
      </c>
      <c r="Z2175">
        <v>180</v>
      </c>
      <c r="AA2175">
        <v>180</v>
      </c>
      <c r="AB2175" s="1">
        <v>42382</v>
      </c>
      <c r="AC2175" t="s">
        <v>53</v>
      </c>
      <c r="AD2175" t="s">
        <v>53</v>
      </c>
      <c r="AK2175">
        <v>0</v>
      </c>
      <c r="AU2175" s="6">
        <v>42236</v>
      </c>
      <c r="AV2175" s="6">
        <v>42236</v>
      </c>
      <c r="AW2175" t="s">
        <v>54</v>
      </c>
      <c r="AX2175" t="str">
        <f t="shared" si="175"/>
        <v>FOR</v>
      </c>
      <c r="AY2175" t="s">
        <v>55</v>
      </c>
    </row>
    <row r="2176" spans="1:51" hidden="1">
      <c r="A2176">
        <v>100651</v>
      </c>
      <c r="B2176" t="s">
        <v>224</v>
      </c>
      <c r="C2176" t="str">
        <f t="shared" si="180"/>
        <v>04356871212</v>
      </c>
      <c r="D2176" t="str">
        <f t="shared" si="180"/>
        <v>04356871212</v>
      </c>
      <c r="E2176" t="s">
        <v>52</v>
      </c>
      <c r="F2176">
        <v>2015</v>
      </c>
      <c r="G2176">
        <v>918</v>
      </c>
      <c r="H2176" s="1">
        <v>42265</v>
      </c>
      <c r="I2176" s="1">
        <v>42268</v>
      </c>
      <c r="J2176" s="1">
        <v>42268</v>
      </c>
      <c r="K2176" s="1">
        <v>42328</v>
      </c>
      <c r="N2176" s="5"/>
      <c r="O2176">
        <v>180</v>
      </c>
      <c r="P2176">
        <v>-58</v>
      </c>
      <c r="Q2176" s="2">
        <v>-10440</v>
      </c>
      <c r="R2176">
        <v>0</v>
      </c>
      <c r="V2176">
        <v>0</v>
      </c>
      <c r="W2176">
        <v>0</v>
      </c>
      <c r="X2176">
        <v>0</v>
      </c>
      <c r="Y2176">
        <v>180</v>
      </c>
      <c r="Z2176">
        <v>180</v>
      </c>
      <c r="AA2176">
        <v>180</v>
      </c>
      <c r="AB2176" s="1">
        <v>42382</v>
      </c>
      <c r="AC2176" t="s">
        <v>53</v>
      </c>
      <c r="AD2176" t="s">
        <v>53</v>
      </c>
      <c r="AK2176">
        <v>0</v>
      </c>
      <c r="AU2176" s="6">
        <v>42270</v>
      </c>
      <c r="AV2176" s="6">
        <v>42270</v>
      </c>
      <c r="AW2176" t="s">
        <v>54</v>
      </c>
      <c r="AX2176" t="str">
        <f t="shared" si="175"/>
        <v>FOR</v>
      </c>
      <c r="AY2176" t="s">
        <v>55</v>
      </c>
    </row>
    <row r="2177" spans="1:51" hidden="1">
      <c r="A2177">
        <v>100651</v>
      </c>
      <c r="B2177" t="s">
        <v>224</v>
      </c>
      <c r="C2177" t="str">
        <f t="shared" si="180"/>
        <v>04356871212</v>
      </c>
      <c r="D2177" t="str">
        <f t="shared" si="180"/>
        <v>04356871212</v>
      </c>
      <c r="E2177" t="s">
        <v>52</v>
      </c>
      <c r="F2177">
        <v>2015</v>
      </c>
      <c r="G2177">
        <v>1021</v>
      </c>
      <c r="H2177" s="1">
        <v>42298</v>
      </c>
      <c r="I2177" s="1">
        <v>42268</v>
      </c>
      <c r="J2177" s="1">
        <v>42268</v>
      </c>
      <c r="K2177" s="1">
        <v>42328</v>
      </c>
      <c r="L2177" s="5">
        <v>180</v>
      </c>
      <c r="M2177" s="5">
        <v>-30</v>
      </c>
      <c r="N2177" s="7">
        <v>-5400</v>
      </c>
      <c r="O2177">
        <v>180</v>
      </c>
      <c r="P2177">
        <v>-30</v>
      </c>
      <c r="Q2177" s="2">
        <v>-5400</v>
      </c>
      <c r="R2177">
        <v>0</v>
      </c>
      <c r="V2177">
        <v>180</v>
      </c>
      <c r="W2177">
        <v>0</v>
      </c>
      <c r="X2177">
        <v>180</v>
      </c>
      <c r="Y2177">
        <v>180</v>
      </c>
      <c r="Z2177">
        <v>180</v>
      </c>
      <c r="AA2177">
        <v>180</v>
      </c>
      <c r="AB2177" s="1">
        <v>42382</v>
      </c>
      <c r="AC2177" t="s">
        <v>53</v>
      </c>
      <c r="AD2177" t="s">
        <v>53</v>
      </c>
      <c r="AK2177">
        <v>0</v>
      </c>
      <c r="AU2177" s="6">
        <v>42298</v>
      </c>
      <c r="AV2177" s="6">
        <v>42298</v>
      </c>
      <c r="AW2177" t="s">
        <v>54</v>
      </c>
      <c r="AX2177" t="str">
        <f t="shared" si="175"/>
        <v>FOR</v>
      </c>
      <c r="AY2177" t="s">
        <v>55</v>
      </c>
    </row>
    <row r="2178" spans="1:51" hidden="1">
      <c r="A2178">
        <v>100651</v>
      </c>
      <c r="B2178" t="s">
        <v>224</v>
      </c>
      <c r="C2178" t="str">
        <f t="shared" si="180"/>
        <v>04356871212</v>
      </c>
      <c r="D2178" t="str">
        <f t="shared" si="180"/>
        <v>04356871212</v>
      </c>
      <c r="E2178" t="s">
        <v>52</v>
      </c>
      <c r="F2178">
        <v>2015</v>
      </c>
      <c r="G2178">
        <v>1120</v>
      </c>
      <c r="H2178" s="1">
        <v>42328</v>
      </c>
      <c r="I2178" s="1">
        <v>42331</v>
      </c>
      <c r="J2178" s="1">
        <v>42331</v>
      </c>
      <c r="K2178" s="1">
        <v>42391</v>
      </c>
      <c r="L2178" s="5">
        <v>180</v>
      </c>
      <c r="M2178" s="5">
        <v>-58</v>
      </c>
      <c r="N2178" s="7">
        <v>-10440</v>
      </c>
      <c r="O2178">
        <v>180</v>
      </c>
      <c r="P2178">
        <v>-58</v>
      </c>
      <c r="Q2178" s="2">
        <v>-10440</v>
      </c>
      <c r="R2178">
        <v>0</v>
      </c>
      <c r="V2178">
        <v>180</v>
      </c>
      <c r="W2178">
        <v>180</v>
      </c>
      <c r="X2178">
        <v>180</v>
      </c>
      <c r="Y2178">
        <v>180</v>
      </c>
      <c r="Z2178">
        <v>180</v>
      </c>
      <c r="AA2178">
        <v>180</v>
      </c>
      <c r="AB2178" s="1">
        <v>42382</v>
      </c>
      <c r="AC2178" t="s">
        <v>53</v>
      </c>
      <c r="AD2178" t="s">
        <v>53</v>
      </c>
      <c r="AK2178">
        <v>0</v>
      </c>
      <c r="AU2178" s="6">
        <v>42333</v>
      </c>
      <c r="AV2178" s="6">
        <v>42333</v>
      </c>
      <c r="AW2178" t="s">
        <v>54</v>
      </c>
      <c r="AX2178" t="str">
        <f t="shared" si="175"/>
        <v>FOR</v>
      </c>
      <c r="AY2178" t="s">
        <v>55</v>
      </c>
    </row>
    <row r="2179" spans="1:51" hidden="1">
      <c r="A2179">
        <v>100651</v>
      </c>
      <c r="B2179" t="s">
        <v>224</v>
      </c>
      <c r="C2179" t="str">
        <f t="shared" si="180"/>
        <v>04356871212</v>
      </c>
      <c r="D2179" t="str">
        <f t="shared" si="180"/>
        <v>04356871212</v>
      </c>
      <c r="E2179" t="s">
        <v>52</v>
      </c>
      <c r="F2179">
        <v>2015</v>
      </c>
      <c r="G2179">
        <v>1211</v>
      </c>
      <c r="H2179" s="1">
        <v>42349</v>
      </c>
      <c r="I2179" s="1">
        <v>42349</v>
      </c>
      <c r="J2179" s="1">
        <v>42349</v>
      </c>
      <c r="K2179" s="1">
        <v>42409</v>
      </c>
      <c r="L2179" s="5">
        <v>180</v>
      </c>
      <c r="M2179" s="5">
        <v>-60</v>
      </c>
      <c r="N2179" s="7">
        <v>-10800</v>
      </c>
      <c r="O2179">
        <v>180</v>
      </c>
      <c r="P2179">
        <v>-60</v>
      </c>
      <c r="Q2179" s="2">
        <v>-10800</v>
      </c>
      <c r="R2179">
        <v>0</v>
      </c>
      <c r="V2179">
        <v>180</v>
      </c>
      <c r="W2179">
        <v>180</v>
      </c>
      <c r="X2179">
        <v>180</v>
      </c>
      <c r="Y2179">
        <v>180</v>
      </c>
      <c r="Z2179">
        <v>180</v>
      </c>
      <c r="AA2179">
        <v>180</v>
      </c>
      <c r="AB2179" s="1">
        <v>42382</v>
      </c>
      <c r="AC2179" t="s">
        <v>53</v>
      </c>
      <c r="AD2179" t="s">
        <v>53</v>
      </c>
      <c r="AK2179">
        <v>0</v>
      </c>
      <c r="AU2179" s="6">
        <v>42349</v>
      </c>
      <c r="AV2179" s="6">
        <v>42349</v>
      </c>
      <c r="AW2179" t="s">
        <v>54</v>
      </c>
      <c r="AX2179" t="str">
        <f t="shared" ref="AX2179:AX2242" si="181">"FOR"</f>
        <v>FOR</v>
      </c>
      <c r="AY2179" t="s">
        <v>55</v>
      </c>
    </row>
    <row r="2180" spans="1:51" hidden="1">
      <c r="A2180">
        <v>100655</v>
      </c>
      <c r="B2180" t="s">
        <v>225</v>
      </c>
      <c r="C2180" t="str">
        <f t="shared" ref="C2180:C2193" si="182">"12971700153"</f>
        <v>12971700153</v>
      </c>
      <c r="D2180" t="str">
        <f t="shared" ref="D2180:D2193" si="183">"00100190610"</f>
        <v>00100190610</v>
      </c>
      <c r="E2180" t="s">
        <v>52</v>
      </c>
      <c r="F2180">
        <v>2014</v>
      </c>
      <c r="G2180">
        <v>30581</v>
      </c>
      <c r="H2180" s="1">
        <v>41687</v>
      </c>
      <c r="I2180" s="1">
        <v>41701</v>
      </c>
      <c r="J2180" s="1">
        <v>41701</v>
      </c>
      <c r="K2180" s="1">
        <v>41791</v>
      </c>
      <c r="N2180" s="5"/>
      <c r="O2180">
        <v>677.1</v>
      </c>
      <c r="P2180">
        <v>246</v>
      </c>
      <c r="Q2180" s="2">
        <v>166566.6</v>
      </c>
      <c r="R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 s="1">
        <v>42382</v>
      </c>
      <c r="AC2180" t="s">
        <v>53</v>
      </c>
      <c r="AD2180" t="s">
        <v>53</v>
      </c>
      <c r="AK2180">
        <v>0</v>
      </c>
      <c r="AU2180" s="6">
        <v>42037</v>
      </c>
      <c r="AV2180" s="6">
        <v>42037</v>
      </c>
      <c r="AW2180" t="s">
        <v>54</v>
      </c>
      <c r="AX2180" t="str">
        <f t="shared" si="181"/>
        <v>FOR</v>
      </c>
      <c r="AY2180" t="s">
        <v>55</v>
      </c>
    </row>
    <row r="2181" spans="1:51" hidden="1">
      <c r="A2181">
        <v>100655</v>
      </c>
      <c r="B2181" t="s">
        <v>225</v>
      </c>
      <c r="C2181" t="str">
        <f t="shared" si="182"/>
        <v>12971700153</v>
      </c>
      <c r="D2181" t="str">
        <f t="shared" si="183"/>
        <v>00100190610</v>
      </c>
      <c r="E2181" t="s">
        <v>52</v>
      </c>
      <c r="F2181">
        <v>2014</v>
      </c>
      <c r="G2181">
        <v>35641</v>
      </c>
      <c r="H2181" s="1">
        <v>41694</v>
      </c>
      <c r="I2181" s="1">
        <v>41715</v>
      </c>
      <c r="J2181" s="1">
        <v>41715</v>
      </c>
      <c r="K2181" s="1">
        <v>41805</v>
      </c>
      <c r="N2181" s="5"/>
      <c r="O2181" s="2">
        <v>3385.5</v>
      </c>
      <c r="P2181">
        <v>232</v>
      </c>
      <c r="Q2181" s="2">
        <v>785436</v>
      </c>
      <c r="R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 s="1">
        <v>42382</v>
      </c>
      <c r="AC2181" t="s">
        <v>53</v>
      </c>
      <c r="AD2181" t="s">
        <v>53</v>
      </c>
      <c r="AK2181">
        <v>0</v>
      </c>
      <c r="AU2181" s="6">
        <v>42037</v>
      </c>
      <c r="AV2181" s="6">
        <v>42037</v>
      </c>
      <c r="AW2181" t="s">
        <v>54</v>
      </c>
      <c r="AX2181" t="str">
        <f t="shared" si="181"/>
        <v>FOR</v>
      </c>
      <c r="AY2181" t="s">
        <v>55</v>
      </c>
    </row>
    <row r="2182" spans="1:51" hidden="1">
      <c r="A2182">
        <v>100655</v>
      </c>
      <c r="B2182" t="s">
        <v>225</v>
      </c>
      <c r="C2182" t="str">
        <f t="shared" si="182"/>
        <v>12971700153</v>
      </c>
      <c r="D2182" t="str">
        <f t="shared" si="183"/>
        <v>00100190610</v>
      </c>
      <c r="E2182" t="s">
        <v>52</v>
      </c>
      <c r="F2182">
        <v>2014</v>
      </c>
      <c r="G2182">
        <v>38502</v>
      </c>
      <c r="H2182" s="1">
        <v>41697</v>
      </c>
      <c r="I2182" s="1">
        <v>41711</v>
      </c>
      <c r="J2182" s="1">
        <v>41711</v>
      </c>
      <c r="K2182" s="1">
        <v>41801</v>
      </c>
      <c r="N2182" s="5"/>
      <c r="O2182" s="2">
        <v>2031.3</v>
      </c>
      <c r="P2182">
        <v>236</v>
      </c>
      <c r="Q2182" s="2">
        <v>479386.8</v>
      </c>
      <c r="R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 s="1">
        <v>42382</v>
      </c>
      <c r="AC2182" t="s">
        <v>53</v>
      </c>
      <c r="AD2182" t="s">
        <v>53</v>
      </c>
      <c r="AK2182">
        <v>0</v>
      </c>
      <c r="AU2182" s="6">
        <v>42037</v>
      </c>
      <c r="AV2182" s="6">
        <v>42037</v>
      </c>
      <c r="AW2182" t="s">
        <v>54</v>
      </c>
      <c r="AX2182" t="str">
        <f t="shared" si="181"/>
        <v>FOR</v>
      </c>
      <c r="AY2182" t="s">
        <v>55</v>
      </c>
    </row>
    <row r="2183" spans="1:51" hidden="1">
      <c r="A2183">
        <v>100655</v>
      </c>
      <c r="B2183" t="s">
        <v>225</v>
      </c>
      <c r="C2183" t="str">
        <f t="shared" si="182"/>
        <v>12971700153</v>
      </c>
      <c r="D2183" t="str">
        <f t="shared" si="183"/>
        <v>00100190610</v>
      </c>
      <c r="E2183" t="s">
        <v>52</v>
      </c>
      <c r="F2183">
        <v>2014</v>
      </c>
      <c r="G2183">
        <v>43405</v>
      </c>
      <c r="H2183" s="1">
        <v>41703</v>
      </c>
      <c r="I2183" s="1">
        <v>41722</v>
      </c>
      <c r="J2183" s="1">
        <v>41722</v>
      </c>
      <c r="K2183" s="1">
        <v>41812</v>
      </c>
      <c r="N2183" s="5"/>
      <c r="O2183">
        <v>843.26</v>
      </c>
      <c r="P2183">
        <v>249</v>
      </c>
      <c r="Q2183" s="2">
        <v>209971.74</v>
      </c>
      <c r="R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 s="1">
        <v>42382</v>
      </c>
      <c r="AC2183" t="s">
        <v>53</v>
      </c>
      <c r="AD2183" t="s">
        <v>53</v>
      </c>
      <c r="AK2183">
        <v>0</v>
      </c>
      <c r="AU2183" s="6">
        <v>42061</v>
      </c>
      <c r="AV2183" s="6">
        <v>42061</v>
      </c>
      <c r="AW2183" t="s">
        <v>54</v>
      </c>
      <c r="AX2183" t="str">
        <f t="shared" si="181"/>
        <v>FOR</v>
      </c>
      <c r="AY2183" t="s">
        <v>55</v>
      </c>
    </row>
    <row r="2184" spans="1:51" hidden="1">
      <c r="A2184">
        <v>100655</v>
      </c>
      <c r="B2184" t="s">
        <v>225</v>
      </c>
      <c r="C2184" t="str">
        <f t="shared" si="182"/>
        <v>12971700153</v>
      </c>
      <c r="D2184" t="str">
        <f t="shared" si="183"/>
        <v>00100190610</v>
      </c>
      <c r="E2184" t="s">
        <v>52</v>
      </c>
      <c r="F2184">
        <v>2014</v>
      </c>
      <c r="G2184">
        <v>59086</v>
      </c>
      <c r="H2184" s="1">
        <v>41724</v>
      </c>
      <c r="I2184" s="1">
        <v>41794</v>
      </c>
      <c r="J2184" s="1">
        <v>41794</v>
      </c>
      <c r="K2184" s="1">
        <v>41884</v>
      </c>
      <c r="N2184" s="5"/>
      <c r="O2184" s="2">
        <v>2171.6</v>
      </c>
      <c r="P2184">
        <v>177</v>
      </c>
      <c r="Q2184" s="2">
        <v>384373.2</v>
      </c>
      <c r="R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 s="1">
        <v>42382</v>
      </c>
      <c r="AC2184" t="s">
        <v>53</v>
      </c>
      <c r="AD2184" t="s">
        <v>53</v>
      </c>
      <c r="AK2184">
        <v>0</v>
      </c>
      <c r="AU2184" s="6">
        <v>42061</v>
      </c>
      <c r="AV2184" s="6">
        <v>42061</v>
      </c>
      <c r="AW2184" t="s">
        <v>54</v>
      </c>
      <c r="AX2184" t="str">
        <f t="shared" si="181"/>
        <v>FOR</v>
      </c>
      <c r="AY2184" t="s">
        <v>55</v>
      </c>
    </row>
    <row r="2185" spans="1:51" hidden="1">
      <c r="A2185">
        <v>100655</v>
      </c>
      <c r="B2185" t="s">
        <v>225</v>
      </c>
      <c r="C2185" t="str">
        <f t="shared" si="182"/>
        <v>12971700153</v>
      </c>
      <c r="D2185" t="str">
        <f t="shared" si="183"/>
        <v>00100190610</v>
      </c>
      <c r="E2185" t="s">
        <v>52</v>
      </c>
      <c r="F2185">
        <v>2014</v>
      </c>
      <c r="G2185">
        <v>73289</v>
      </c>
      <c r="H2185" s="1">
        <v>41743</v>
      </c>
      <c r="I2185" s="1">
        <v>41764</v>
      </c>
      <c r="J2185" s="1">
        <v>41764</v>
      </c>
      <c r="K2185" s="1">
        <v>41854</v>
      </c>
      <c r="N2185" s="5"/>
      <c r="O2185">
        <v>843.26</v>
      </c>
      <c r="P2185">
        <v>248</v>
      </c>
      <c r="Q2185" s="2">
        <v>209128.48</v>
      </c>
      <c r="R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 s="1">
        <v>42382</v>
      </c>
      <c r="AC2185" t="s">
        <v>53</v>
      </c>
      <c r="AD2185" t="s">
        <v>53</v>
      </c>
      <c r="AK2185">
        <v>0</v>
      </c>
      <c r="AU2185" s="6">
        <v>42102</v>
      </c>
      <c r="AV2185" s="6">
        <v>42102</v>
      </c>
      <c r="AW2185" t="s">
        <v>54</v>
      </c>
      <c r="AX2185" t="str">
        <f t="shared" si="181"/>
        <v>FOR</v>
      </c>
      <c r="AY2185" t="s">
        <v>55</v>
      </c>
    </row>
    <row r="2186" spans="1:51" hidden="1">
      <c r="A2186">
        <v>100655</v>
      </c>
      <c r="B2186" t="s">
        <v>225</v>
      </c>
      <c r="C2186" t="str">
        <f t="shared" si="182"/>
        <v>12971700153</v>
      </c>
      <c r="D2186" t="str">
        <f t="shared" si="183"/>
        <v>00100190610</v>
      </c>
      <c r="E2186" t="s">
        <v>52</v>
      </c>
      <c r="F2186">
        <v>2014</v>
      </c>
      <c r="G2186">
        <v>80250</v>
      </c>
      <c r="H2186" s="1">
        <v>41753</v>
      </c>
      <c r="I2186" s="1">
        <v>41771</v>
      </c>
      <c r="J2186" s="1">
        <v>41771</v>
      </c>
      <c r="K2186" s="1">
        <v>41861</v>
      </c>
      <c r="N2186" s="5"/>
      <c r="O2186" s="2">
        <v>2031.3</v>
      </c>
      <c r="P2186">
        <v>241</v>
      </c>
      <c r="Q2186" s="2">
        <v>489543.3</v>
      </c>
      <c r="R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 s="1">
        <v>42382</v>
      </c>
      <c r="AC2186" t="s">
        <v>53</v>
      </c>
      <c r="AD2186" t="s">
        <v>53</v>
      </c>
      <c r="AK2186">
        <v>0</v>
      </c>
      <c r="AU2186" s="6">
        <v>42102</v>
      </c>
      <c r="AV2186" s="6">
        <v>42102</v>
      </c>
      <c r="AW2186" t="s">
        <v>54</v>
      </c>
      <c r="AX2186" t="str">
        <f t="shared" si="181"/>
        <v>FOR</v>
      </c>
      <c r="AY2186" t="s">
        <v>55</v>
      </c>
    </row>
    <row r="2187" spans="1:51" hidden="1">
      <c r="A2187">
        <v>100655</v>
      </c>
      <c r="B2187" t="s">
        <v>225</v>
      </c>
      <c r="C2187" t="str">
        <f t="shared" si="182"/>
        <v>12971700153</v>
      </c>
      <c r="D2187" t="str">
        <f t="shared" si="183"/>
        <v>00100190610</v>
      </c>
      <c r="E2187" t="s">
        <v>52</v>
      </c>
      <c r="F2187">
        <v>2014</v>
      </c>
      <c r="G2187">
        <v>128691</v>
      </c>
      <c r="H2187" s="1">
        <v>41821</v>
      </c>
      <c r="I2187" s="1">
        <v>41834</v>
      </c>
      <c r="J2187" s="1">
        <v>41834</v>
      </c>
      <c r="K2187" s="1">
        <v>41924</v>
      </c>
      <c r="N2187" s="5"/>
      <c r="O2187">
        <v>843.26</v>
      </c>
      <c r="P2187">
        <v>267</v>
      </c>
      <c r="Q2187" s="2">
        <v>225150.42</v>
      </c>
      <c r="R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 s="1">
        <v>42382</v>
      </c>
      <c r="AC2187" t="s">
        <v>53</v>
      </c>
      <c r="AD2187" t="s">
        <v>53</v>
      </c>
      <c r="AK2187">
        <v>0</v>
      </c>
      <c r="AU2187" s="6">
        <v>42191</v>
      </c>
      <c r="AV2187" s="6">
        <v>42191</v>
      </c>
      <c r="AW2187" t="s">
        <v>54</v>
      </c>
      <c r="AX2187" t="str">
        <f t="shared" si="181"/>
        <v>FOR</v>
      </c>
      <c r="AY2187" t="s">
        <v>55</v>
      </c>
    </row>
    <row r="2188" spans="1:51" hidden="1">
      <c r="A2188">
        <v>100655</v>
      </c>
      <c r="B2188" t="s">
        <v>225</v>
      </c>
      <c r="C2188" t="str">
        <f t="shared" si="182"/>
        <v>12971700153</v>
      </c>
      <c r="D2188" t="str">
        <f t="shared" si="183"/>
        <v>00100190610</v>
      </c>
      <c r="E2188" t="s">
        <v>52</v>
      </c>
      <c r="F2188">
        <v>2014</v>
      </c>
      <c r="G2188">
        <v>151357</v>
      </c>
      <c r="H2188" s="1">
        <v>41856</v>
      </c>
      <c r="I2188" s="1">
        <v>41877</v>
      </c>
      <c r="J2188" s="1">
        <v>41877</v>
      </c>
      <c r="K2188" s="1">
        <v>41967</v>
      </c>
      <c r="N2188" s="5"/>
      <c r="O2188" s="2">
        <v>7832.4</v>
      </c>
      <c r="P2188">
        <v>224</v>
      </c>
      <c r="Q2188" s="2">
        <v>1754457.6</v>
      </c>
      <c r="R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 s="1">
        <v>42382</v>
      </c>
      <c r="AC2188" t="s">
        <v>53</v>
      </c>
      <c r="AD2188" t="s">
        <v>53</v>
      </c>
      <c r="AK2188">
        <v>0</v>
      </c>
      <c r="AU2188" s="6">
        <v>42191</v>
      </c>
      <c r="AV2188" s="6">
        <v>42191</v>
      </c>
      <c r="AW2188" t="s">
        <v>54</v>
      </c>
      <c r="AX2188" t="str">
        <f t="shared" si="181"/>
        <v>FOR</v>
      </c>
      <c r="AY2188" t="s">
        <v>55</v>
      </c>
    </row>
    <row r="2189" spans="1:51">
      <c r="A2189">
        <v>100655</v>
      </c>
      <c r="B2189" t="s">
        <v>225</v>
      </c>
      <c r="C2189" t="str">
        <f t="shared" si="182"/>
        <v>12971700153</v>
      </c>
      <c r="D2189" t="str">
        <f t="shared" si="183"/>
        <v>00100190610</v>
      </c>
      <c r="E2189" t="s">
        <v>52</v>
      </c>
      <c r="F2189">
        <v>2014</v>
      </c>
      <c r="G2189">
        <v>182984</v>
      </c>
      <c r="H2189" s="1">
        <v>41926</v>
      </c>
      <c r="I2189" s="1">
        <v>41936</v>
      </c>
      <c r="J2189" s="1">
        <v>41936</v>
      </c>
      <c r="K2189" s="1">
        <v>41996</v>
      </c>
      <c r="L2189" s="7">
        <v>812.52</v>
      </c>
      <c r="M2189" s="5">
        <v>286</v>
      </c>
      <c r="N2189" s="7">
        <v>232380.72</v>
      </c>
      <c r="O2189">
        <v>812.52</v>
      </c>
      <c r="P2189">
        <v>286</v>
      </c>
      <c r="Q2189" s="2">
        <v>232380.72</v>
      </c>
      <c r="R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 s="1">
        <v>42382</v>
      </c>
      <c r="AC2189" t="s">
        <v>53</v>
      </c>
      <c r="AD2189" t="s">
        <v>53</v>
      </c>
      <c r="AK2189">
        <v>0</v>
      </c>
      <c r="AU2189" s="6">
        <v>42282</v>
      </c>
      <c r="AV2189" s="6">
        <v>42282</v>
      </c>
      <c r="AW2189" t="s">
        <v>54</v>
      </c>
      <c r="AX2189" t="str">
        <f t="shared" si="181"/>
        <v>FOR</v>
      </c>
      <c r="AY2189" t="s">
        <v>55</v>
      </c>
    </row>
    <row r="2190" spans="1:51">
      <c r="A2190">
        <v>100655</v>
      </c>
      <c r="B2190" t="s">
        <v>225</v>
      </c>
      <c r="C2190" t="str">
        <f t="shared" si="182"/>
        <v>12971700153</v>
      </c>
      <c r="D2190" t="str">
        <f t="shared" si="183"/>
        <v>00100190610</v>
      </c>
      <c r="E2190" t="s">
        <v>52</v>
      </c>
      <c r="F2190">
        <v>2014</v>
      </c>
      <c r="G2190">
        <v>203037</v>
      </c>
      <c r="H2190" s="1">
        <v>41961</v>
      </c>
      <c r="I2190" s="1">
        <v>42080</v>
      </c>
      <c r="J2190" s="1">
        <v>42080</v>
      </c>
      <c r="K2190" s="1">
        <v>42140</v>
      </c>
      <c r="L2190" s="7">
        <v>843.26</v>
      </c>
      <c r="M2190" s="5">
        <v>142</v>
      </c>
      <c r="N2190" s="7">
        <v>119742.92</v>
      </c>
      <c r="O2190">
        <v>843.26</v>
      </c>
      <c r="P2190">
        <v>142</v>
      </c>
      <c r="Q2190" s="2">
        <v>119742.92</v>
      </c>
      <c r="R2190">
        <v>0</v>
      </c>
      <c r="V2190">
        <v>0</v>
      </c>
      <c r="W2190">
        <v>0</v>
      </c>
      <c r="X2190">
        <v>0</v>
      </c>
      <c r="Y2190">
        <v>0</v>
      </c>
      <c r="Z2190">
        <v>843.26</v>
      </c>
      <c r="AA2190">
        <v>0</v>
      </c>
      <c r="AB2190" s="1">
        <v>42382</v>
      </c>
      <c r="AC2190" t="s">
        <v>53</v>
      </c>
      <c r="AD2190" t="s">
        <v>53</v>
      </c>
      <c r="AK2190">
        <v>0</v>
      </c>
      <c r="AU2190" s="6">
        <v>42282</v>
      </c>
      <c r="AV2190" s="6">
        <v>42282</v>
      </c>
      <c r="AW2190" t="s">
        <v>54</v>
      </c>
      <c r="AX2190" t="str">
        <f t="shared" si="181"/>
        <v>FOR</v>
      </c>
      <c r="AY2190" t="s">
        <v>55</v>
      </c>
    </row>
    <row r="2191" spans="1:51">
      <c r="A2191">
        <v>100655</v>
      </c>
      <c r="B2191" t="s">
        <v>225</v>
      </c>
      <c r="C2191" t="str">
        <f t="shared" si="182"/>
        <v>12971700153</v>
      </c>
      <c r="D2191" t="str">
        <f t="shared" si="183"/>
        <v>00100190610</v>
      </c>
      <c r="E2191" t="s">
        <v>52</v>
      </c>
      <c r="F2191">
        <v>2014</v>
      </c>
      <c r="G2191">
        <v>220828</v>
      </c>
      <c r="H2191" s="1">
        <v>41990</v>
      </c>
      <c r="I2191" s="1">
        <v>42073</v>
      </c>
      <c r="J2191" s="1">
        <v>42073</v>
      </c>
      <c r="K2191" s="1">
        <v>42133</v>
      </c>
      <c r="L2191" s="7">
        <v>1264.9000000000001</v>
      </c>
      <c r="M2191" s="5">
        <v>208</v>
      </c>
      <c r="N2191" s="7">
        <v>263099.2</v>
      </c>
      <c r="O2191" s="2">
        <v>1264.9000000000001</v>
      </c>
      <c r="P2191">
        <v>208</v>
      </c>
      <c r="Q2191" s="2">
        <v>263099.2</v>
      </c>
      <c r="R2191">
        <v>0</v>
      </c>
      <c r="V2191">
        <v>0</v>
      </c>
      <c r="W2191">
        <v>0</v>
      </c>
      <c r="X2191">
        <v>0</v>
      </c>
      <c r="Y2191">
        <v>0</v>
      </c>
      <c r="Z2191" s="2">
        <v>1264.9000000000001</v>
      </c>
      <c r="AA2191">
        <v>0</v>
      </c>
      <c r="AB2191" s="1">
        <v>42382</v>
      </c>
      <c r="AC2191" t="s">
        <v>53</v>
      </c>
      <c r="AD2191" t="s">
        <v>53</v>
      </c>
      <c r="AK2191">
        <v>0</v>
      </c>
      <c r="AU2191" s="6">
        <v>42341</v>
      </c>
      <c r="AV2191" s="6">
        <v>42341</v>
      </c>
      <c r="AW2191" t="s">
        <v>54</v>
      </c>
      <c r="AX2191" t="str">
        <f t="shared" si="181"/>
        <v>FOR</v>
      </c>
      <c r="AY2191" t="s">
        <v>55</v>
      </c>
    </row>
    <row r="2192" spans="1:51">
      <c r="A2192">
        <v>100655</v>
      </c>
      <c r="B2192" t="s">
        <v>225</v>
      </c>
      <c r="C2192" t="str">
        <f t="shared" si="182"/>
        <v>12971700153</v>
      </c>
      <c r="D2192" t="str">
        <f t="shared" si="183"/>
        <v>00100190610</v>
      </c>
      <c r="E2192" t="s">
        <v>52</v>
      </c>
      <c r="F2192">
        <v>2015</v>
      </c>
      <c r="G2192">
        <v>9522</v>
      </c>
      <c r="H2192" s="1">
        <v>42026</v>
      </c>
      <c r="I2192" s="1">
        <v>42044</v>
      </c>
      <c r="J2192" s="1">
        <v>42044</v>
      </c>
      <c r="K2192" s="1">
        <v>42104</v>
      </c>
      <c r="L2192" s="7">
        <v>444</v>
      </c>
      <c r="M2192" s="5">
        <v>251</v>
      </c>
      <c r="N2192" s="7">
        <v>111444</v>
      </c>
      <c r="O2192">
        <v>444</v>
      </c>
      <c r="P2192">
        <v>251</v>
      </c>
      <c r="Q2192" s="2">
        <v>111444</v>
      </c>
      <c r="R2192">
        <v>97.68</v>
      </c>
      <c r="V2192">
        <v>0</v>
      </c>
      <c r="W2192">
        <v>0</v>
      </c>
      <c r="X2192">
        <v>0</v>
      </c>
      <c r="Y2192">
        <v>541.67999999999995</v>
      </c>
      <c r="Z2192">
        <v>541.67999999999995</v>
      </c>
      <c r="AA2192">
        <v>541.67999999999995</v>
      </c>
      <c r="AB2192" s="1">
        <v>42382</v>
      </c>
      <c r="AC2192" t="s">
        <v>53</v>
      </c>
      <c r="AD2192" t="s">
        <v>53</v>
      </c>
      <c r="AK2192">
        <v>97.68</v>
      </c>
      <c r="AU2192" s="6">
        <v>42355</v>
      </c>
      <c r="AV2192" s="6">
        <v>42355</v>
      </c>
      <c r="AW2192" t="s">
        <v>54</v>
      </c>
      <c r="AX2192" t="str">
        <f t="shared" si="181"/>
        <v>FOR</v>
      </c>
      <c r="AY2192" t="s">
        <v>55</v>
      </c>
    </row>
    <row r="2193" spans="1:51">
      <c r="A2193">
        <v>100655</v>
      </c>
      <c r="B2193" t="s">
        <v>225</v>
      </c>
      <c r="C2193" t="str">
        <f t="shared" si="182"/>
        <v>12971700153</v>
      </c>
      <c r="D2193" t="str">
        <f t="shared" si="183"/>
        <v>00100190610</v>
      </c>
      <c r="E2193" t="s">
        <v>52</v>
      </c>
      <c r="F2193">
        <v>2015</v>
      </c>
      <c r="G2193">
        <v>44716</v>
      </c>
      <c r="H2193" s="1">
        <v>42080</v>
      </c>
      <c r="I2193" s="1">
        <v>42094</v>
      </c>
      <c r="J2193" s="1">
        <v>42094</v>
      </c>
      <c r="K2193" s="1">
        <v>42154</v>
      </c>
      <c r="L2193" s="7">
        <v>555</v>
      </c>
      <c r="M2193" s="5">
        <v>201</v>
      </c>
      <c r="N2193" s="7">
        <v>111555</v>
      </c>
      <c r="O2193">
        <v>555</v>
      </c>
      <c r="P2193">
        <v>201</v>
      </c>
      <c r="Q2193" s="2">
        <v>111555</v>
      </c>
      <c r="R2193">
        <v>122.1</v>
      </c>
      <c r="V2193">
        <v>0</v>
      </c>
      <c r="W2193">
        <v>0</v>
      </c>
      <c r="X2193">
        <v>0</v>
      </c>
      <c r="Y2193">
        <v>677.1</v>
      </c>
      <c r="Z2193">
        <v>677.1</v>
      </c>
      <c r="AA2193">
        <v>677.1</v>
      </c>
      <c r="AB2193" s="1">
        <v>42382</v>
      </c>
      <c r="AC2193" t="s">
        <v>53</v>
      </c>
      <c r="AD2193" t="s">
        <v>53</v>
      </c>
      <c r="AK2193">
        <v>122.1</v>
      </c>
      <c r="AU2193" s="6">
        <v>42355</v>
      </c>
      <c r="AV2193" s="6">
        <v>42355</v>
      </c>
      <c r="AW2193" t="s">
        <v>54</v>
      </c>
      <c r="AX2193" t="str">
        <f t="shared" si="181"/>
        <v>FOR</v>
      </c>
      <c r="AY2193" t="s">
        <v>55</v>
      </c>
    </row>
    <row r="2194" spans="1:51" hidden="1">
      <c r="A2194">
        <v>100660</v>
      </c>
      <c r="B2194" t="s">
        <v>226</v>
      </c>
      <c r="C2194" t="str">
        <f>"00897041000"</f>
        <v>00897041000</v>
      </c>
      <c r="D2194" t="str">
        <f>"00452440589"</f>
        <v>00452440589</v>
      </c>
      <c r="E2194" t="s">
        <v>52</v>
      </c>
      <c r="F2194">
        <v>2014</v>
      </c>
      <c r="G2194">
        <v>51400247</v>
      </c>
      <c r="H2194" s="1">
        <v>41850</v>
      </c>
      <c r="I2194" s="1">
        <v>41873</v>
      </c>
      <c r="J2194" s="1">
        <v>41873</v>
      </c>
      <c r="K2194" s="1">
        <v>41963</v>
      </c>
      <c r="N2194" s="5"/>
      <c r="O2194" s="2">
        <v>6850.3</v>
      </c>
      <c r="P2194">
        <v>130</v>
      </c>
      <c r="Q2194" s="2">
        <v>890539</v>
      </c>
      <c r="R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 s="1">
        <v>42382</v>
      </c>
      <c r="AC2194" t="s">
        <v>53</v>
      </c>
      <c r="AD2194" t="s">
        <v>53</v>
      </c>
      <c r="AK2194">
        <v>0</v>
      </c>
      <c r="AU2194" s="6">
        <v>42093</v>
      </c>
      <c r="AV2194" s="6">
        <v>42093</v>
      </c>
      <c r="AW2194" t="s">
        <v>54</v>
      </c>
      <c r="AX2194" t="str">
        <f t="shared" si="181"/>
        <v>FOR</v>
      </c>
      <c r="AY2194" t="s">
        <v>55</v>
      </c>
    </row>
    <row r="2195" spans="1:51" hidden="1">
      <c r="A2195">
        <v>100660</v>
      </c>
      <c r="B2195" t="s">
        <v>226</v>
      </c>
      <c r="C2195" t="str">
        <f>"00897041000"</f>
        <v>00897041000</v>
      </c>
      <c r="D2195" t="str">
        <f>"00452440589"</f>
        <v>00452440589</v>
      </c>
      <c r="E2195" t="s">
        <v>52</v>
      </c>
      <c r="F2195">
        <v>2014</v>
      </c>
      <c r="G2195">
        <v>51400371</v>
      </c>
      <c r="H2195" s="1">
        <v>41941</v>
      </c>
      <c r="I2195" s="1">
        <v>41971</v>
      </c>
      <c r="J2195" s="1">
        <v>41971</v>
      </c>
      <c r="K2195" s="1">
        <v>42031</v>
      </c>
      <c r="N2195" s="5"/>
      <c r="O2195" s="2">
        <v>2418.04</v>
      </c>
      <c r="P2195">
        <v>62</v>
      </c>
      <c r="Q2195" s="2">
        <v>149918.48000000001</v>
      </c>
      <c r="R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 s="1">
        <v>42382</v>
      </c>
      <c r="AC2195" t="s">
        <v>53</v>
      </c>
      <c r="AD2195" t="s">
        <v>53</v>
      </c>
      <c r="AK2195">
        <v>0</v>
      </c>
      <c r="AU2195" s="6">
        <v>42093</v>
      </c>
      <c r="AV2195" s="6">
        <v>42093</v>
      </c>
      <c r="AW2195" t="s">
        <v>54</v>
      </c>
      <c r="AX2195" t="str">
        <f t="shared" si="181"/>
        <v>FOR</v>
      </c>
      <c r="AY2195" t="s">
        <v>55</v>
      </c>
    </row>
    <row r="2196" spans="1:51">
      <c r="A2196">
        <v>100660</v>
      </c>
      <c r="B2196" t="s">
        <v>226</v>
      </c>
      <c r="C2196" t="str">
        <f>"00897041000"</f>
        <v>00897041000</v>
      </c>
      <c r="D2196" t="str">
        <f>"00452440589"</f>
        <v>00452440589</v>
      </c>
      <c r="E2196" t="s">
        <v>52</v>
      </c>
      <c r="F2196">
        <v>2015</v>
      </c>
      <c r="G2196">
        <v>551500024</v>
      </c>
      <c r="H2196" s="1">
        <v>42058</v>
      </c>
      <c r="I2196" s="1">
        <v>42088</v>
      </c>
      <c r="J2196" s="1">
        <v>42088</v>
      </c>
      <c r="K2196" s="1">
        <v>42148</v>
      </c>
      <c r="L2196" s="7">
        <v>1039.08</v>
      </c>
      <c r="M2196" s="5">
        <v>151</v>
      </c>
      <c r="N2196" s="7">
        <v>156901.07999999999</v>
      </c>
      <c r="O2196" s="2">
        <v>1039.08</v>
      </c>
      <c r="P2196">
        <v>151</v>
      </c>
      <c r="Q2196" s="2">
        <v>156901.07999999999</v>
      </c>
      <c r="R2196">
        <v>0</v>
      </c>
      <c r="V2196">
        <v>0</v>
      </c>
      <c r="W2196">
        <v>0</v>
      </c>
      <c r="X2196">
        <v>0</v>
      </c>
      <c r="Y2196">
        <v>0</v>
      </c>
      <c r="Z2196" s="2">
        <v>1267.68</v>
      </c>
      <c r="AA2196" s="2">
        <v>1267.68</v>
      </c>
      <c r="AB2196" s="1">
        <v>42382</v>
      </c>
      <c r="AC2196" t="s">
        <v>53</v>
      </c>
      <c r="AD2196" t="s">
        <v>53</v>
      </c>
      <c r="AK2196">
        <v>0</v>
      </c>
      <c r="AU2196" s="6">
        <v>42299</v>
      </c>
      <c r="AV2196" s="6">
        <v>42299</v>
      </c>
      <c r="AW2196" t="s">
        <v>54</v>
      </c>
      <c r="AX2196" t="str">
        <f t="shared" si="181"/>
        <v>FOR</v>
      </c>
      <c r="AY2196" t="s">
        <v>55</v>
      </c>
    </row>
    <row r="2197" spans="1:51">
      <c r="A2197">
        <v>100660</v>
      </c>
      <c r="B2197" t="s">
        <v>226</v>
      </c>
      <c r="C2197" t="str">
        <f>"00897041000"</f>
        <v>00897041000</v>
      </c>
      <c r="D2197" t="str">
        <f>"00452440589"</f>
        <v>00452440589</v>
      </c>
      <c r="E2197" t="s">
        <v>52</v>
      </c>
      <c r="F2197">
        <v>2015</v>
      </c>
      <c r="G2197">
        <v>551500463</v>
      </c>
      <c r="H2197" s="1">
        <v>42263</v>
      </c>
      <c r="I2197" s="1">
        <v>42268</v>
      </c>
      <c r="J2197" s="1">
        <v>42266</v>
      </c>
      <c r="K2197" s="1">
        <v>42326</v>
      </c>
      <c r="L2197" s="7">
        <v>1252.5</v>
      </c>
      <c r="M2197" s="5">
        <v>-27</v>
      </c>
      <c r="N2197" s="7">
        <v>-33817.5</v>
      </c>
      <c r="O2197" s="2">
        <v>1252.5</v>
      </c>
      <c r="P2197">
        <v>-27</v>
      </c>
      <c r="Q2197" s="2">
        <v>-33817.5</v>
      </c>
      <c r="R2197">
        <v>0</v>
      </c>
      <c r="V2197">
        <v>0</v>
      </c>
      <c r="W2197">
        <v>0</v>
      </c>
      <c r="X2197">
        <v>0</v>
      </c>
      <c r="Y2197" s="2">
        <v>1528.05</v>
      </c>
      <c r="Z2197" s="2">
        <v>1528.05</v>
      </c>
      <c r="AA2197" s="2">
        <v>1528.05</v>
      </c>
      <c r="AB2197" s="1">
        <v>42382</v>
      </c>
      <c r="AC2197" t="s">
        <v>53</v>
      </c>
      <c r="AD2197" t="s">
        <v>53</v>
      </c>
      <c r="AK2197">
        <v>0</v>
      </c>
      <c r="AU2197" s="6">
        <v>42299</v>
      </c>
      <c r="AV2197" s="6">
        <v>42299</v>
      </c>
      <c r="AW2197" t="s">
        <v>54</v>
      </c>
      <c r="AX2197" t="str">
        <f t="shared" si="181"/>
        <v>FOR</v>
      </c>
      <c r="AY2197" t="s">
        <v>55</v>
      </c>
    </row>
    <row r="2198" spans="1:51" hidden="1">
      <c r="A2198">
        <v>100662</v>
      </c>
      <c r="B2198" t="s">
        <v>227</v>
      </c>
      <c r="C2198" t="str">
        <f t="shared" ref="C2198:D2201" si="184">"01643040387"</f>
        <v>01643040387</v>
      </c>
      <c r="D2198" t="str">
        <f t="shared" si="184"/>
        <v>01643040387</v>
      </c>
      <c r="E2198" t="s">
        <v>52</v>
      </c>
      <c r="F2198">
        <v>2013</v>
      </c>
      <c r="G2198">
        <v>71</v>
      </c>
      <c r="H2198" s="1">
        <v>41624</v>
      </c>
      <c r="I2198" s="1">
        <v>41639</v>
      </c>
      <c r="J2198" s="1">
        <v>41639</v>
      </c>
      <c r="K2198" s="1">
        <v>41729</v>
      </c>
      <c r="N2198" s="5"/>
      <c r="O2198">
        <v>782.33</v>
      </c>
      <c r="P2198">
        <v>289</v>
      </c>
      <c r="Q2198" s="2">
        <v>226093.37</v>
      </c>
      <c r="R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 s="1">
        <v>42382</v>
      </c>
      <c r="AC2198" t="s">
        <v>53</v>
      </c>
      <c r="AD2198" t="s">
        <v>53</v>
      </c>
      <c r="AK2198">
        <v>0</v>
      </c>
      <c r="AU2198" s="6">
        <v>42018</v>
      </c>
      <c r="AV2198" s="6">
        <v>42018</v>
      </c>
      <c r="AW2198" t="s">
        <v>54</v>
      </c>
      <c r="AX2198" t="str">
        <f t="shared" si="181"/>
        <v>FOR</v>
      </c>
      <c r="AY2198" t="s">
        <v>55</v>
      </c>
    </row>
    <row r="2199" spans="1:51" hidden="1">
      <c r="A2199">
        <v>100662</v>
      </c>
      <c r="B2199" t="s">
        <v>227</v>
      </c>
      <c r="C2199" t="str">
        <f t="shared" si="184"/>
        <v>01643040387</v>
      </c>
      <c r="D2199" t="str">
        <f t="shared" si="184"/>
        <v>01643040387</v>
      </c>
      <c r="E2199" t="s">
        <v>52</v>
      </c>
      <c r="F2199">
        <v>2014</v>
      </c>
      <c r="G2199">
        <v>14</v>
      </c>
      <c r="H2199" s="1">
        <v>41705</v>
      </c>
      <c r="I2199" s="1">
        <v>41712</v>
      </c>
      <c r="J2199" s="1">
        <v>41712</v>
      </c>
      <c r="K2199" s="1">
        <v>41802</v>
      </c>
      <c r="N2199" s="5"/>
      <c r="O2199" s="2">
        <v>3586.43</v>
      </c>
      <c r="P2199">
        <v>447</v>
      </c>
      <c r="Q2199" s="2">
        <v>1603134.21</v>
      </c>
      <c r="R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 s="1">
        <v>42382</v>
      </c>
      <c r="AC2199" t="s">
        <v>53</v>
      </c>
      <c r="AD2199" t="s">
        <v>53</v>
      </c>
      <c r="AK2199">
        <v>0</v>
      </c>
      <c r="AU2199" s="6">
        <v>42249</v>
      </c>
      <c r="AV2199" s="6">
        <v>42249</v>
      </c>
      <c r="AW2199" t="s">
        <v>54</v>
      </c>
      <c r="AX2199" t="str">
        <f t="shared" si="181"/>
        <v>FOR</v>
      </c>
      <c r="AY2199" t="s">
        <v>55</v>
      </c>
    </row>
    <row r="2200" spans="1:51">
      <c r="A2200">
        <v>100662</v>
      </c>
      <c r="B2200" t="s">
        <v>227</v>
      </c>
      <c r="C2200" t="str">
        <f t="shared" si="184"/>
        <v>01643040387</v>
      </c>
      <c r="D2200" t="str">
        <f t="shared" si="184"/>
        <v>01643040387</v>
      </c>
      <c r="E2200" t="s">
        <v>52</v>
      </c>
      <c r="F2200">
        <v>2014</v>
      </c>
      <c r="G2200">
        <v>75</v>
      </c>
      <c r="H2200" s="1">
        <v>41989</v>
      </c>
      <c r="I2200" s="1">
        <v>42002</v>
      </c>
      <c r="J2200" s="1">
        <v>42002</v>
      </c>
      <c r="K2200" s="1">
        <v>42062</v>
      </c>
      <c r="L2200" s="7">
        <v>423.95</v>
      </c>
      <c r="M2200" s="5">
        <v>243</v>
      </c>
      <c r="N2200" s="7">
        <v>103019.85</v>
      </c>
      <c r="O2200">
        <v>423.95</v>
      </c>
      <c r="P2200">
        <v>243</v>
      </c>
      <c r="Q2200" s="2">
        <v>103019.85</v>
      </c>
      <c r="R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 s="1">
        <v>42382</v>
      </c>
      <c r="AC2200" t="s">
        <v>53</v>
      </c>
      <c r="AD2200" t="s">
        <v>53</v>
      </c>
      <c r="AK2200">
        <v>0</v>
      </c>
      <c r="AU2200" s="6">
        <v>42305</v>
      </c>
      <c r="AV2200" s="6">
        <v>42305</v>
      </c>
      <c r="AW2200" t="s">
        <v>54</v>
      </c>
      <c r="AX2200" t="str">
        <f t="shared" si="181"/>
        <v>FOR</v>
      </c>
      <c r="AY2200" t="s">
        <v>55</v>
      </c>
    </row>
    <row r="2201" spans="1:51">
      <c r="A2201">
        <v>100662</v>
      </c>
      <c r="B2201" t="s">
        <v>227</v>
      </c>
      <c r="C2201" t="str">
        <f t="shared" si="184"/>
        <v>01643040387</v>
      </c>
      <c r="D2201" t="str">
        <f t="shared" si="184"/>
        <v>01643040387</v>
      </c>
      <c r="E2201" t="s">
        <v>52</v>
      </c>
      <c r="F2201">
        <v>2015</v>
      </c>
      <c r="G2201">
        <v>7</v>
      </c>
      <c r="H2201" s="1">
        <v>42044</v>
      </c>
      <c r="I2201" s="1">
        <v>42048</v>
      </c>
      <c r="J2201" s="1">
        <v>42048</v>
      </c>
      <c r="K2201" s="1">
        <v>42108</v>
      </c>
      <c r="L2201" s="7">
        <v>710</v>
      </c>
      <c r="M2201" s="5">
        <v>247</v>
      </c>
      <c r="N2201" s="7">
        <v>175370</v>
      </c>
      <c r="O2201">
        <v>710</v>
      </c>
      <c r="P2201">
        <v>247</v>
      </c>
      <c r="Q2201" s="2">
        <v>175370</v>
      </c>
      <c r="R2201">
        <v>156.19999999999999</v>
      </c>
      <c r="V2201">
        <v>0</v>
      </c>
      <c r="W2201">
        <v>0</v>
      </c>
      <c r="X2201">
        <v>0</v>
      </c>
      <c r="Y2201">
        <v>866.2</v>
      </c>
      <c r="Z2201">
        <v>866.2</v>
      </c>
      <c r="AA2201">
        <v>866.2</v>
      </c>
      <c r="AB2201" s="1">
        <v>42382</v>
      </c>
      <c r="AC2201" t="s">
        <v>53</v>
      </c>
      <c r="AD2201" t="s">
        <v>53</v>
      </c>
      <c r="AK2201">
        <v>156.19999999999999</v>
      </c>
      <c r="AU2201" s="6">
        <v>42355</v>
      </c>
      <c r="AV2201" s="6">
        <v>42355</v>
      </c>
      <c r="AW2201" t="s">
        <v>54</v>
      </c>
      <c r="AX2201" t="str">
        <f t="shared" si="181"/>
        <v>FOR</v>
      </c>
      <c r="AY2201" t="s">
        <v>55</v>
      </c>
    </row>
    <row r="2202" spans="1:51" hidden="1">
      <c r="A2202">
        <v>100672</v>
      </c>
      <c r="B2202" t="s">
        <v>228</v>
      </c>
      <c r="C2202" t="str">
        <f t="shared" ref="C2202:D2211" si="185">"06225750725"</f>
        <v>06225750725</v>
      </c>
      <c r="D2202" t="str">
        <f t="shared" si="185"/>
        <v>06225750725</v>
      </c>
      <c r="E2202" t="s">
        <v>52</v>
      </c>
      <c r="F2202">
        <v>2014</v>
      </c>
      <c r="G2202">
        <v>10</v>
      </c>
      <c r="H2202" s="1">
        <v>41667</v>
      </c>
      <c r="I2202" s="1">
        <v>41684</v>
      </c>
      <c r="J2202" s="1">
        <v>41684</v>
      </c>
      <c r="K2202" s="1">
        <v>41774</v>
      </c>
      <c r="N2202" s="5"/>
      <c r="O2202">
        <v>140.54</v>
      </c>
      <c r="P2202">
        <v>356</v>
      </c>
      <c r="Q2202" s="2">
        <v>50032.24</v>
      </c>
      <c r="R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 s="1">
        <v>42382</v>
      </c>
      <c r="AC2202" t="s">
        <v>53</v>
      </c>
      <c r="AD2202" t="s">
        <v>53</v>
      </c>
      <c r="AK2202">
        <v>0</v>
      </c>
      <c r="AU2202" s="6">
        <v>42130</v>
      </c>
      <c r="AV2202" s="6">
        <v>42130</v>
      </c>
      <c r="AW2202" t="s">
        <v>54</v>
      </c>
      <c r="AX2202" t="str">
        <f t="shared" si="181"/>
        <v>FOR</v>
      </c>
      <c r="AY2202" t="s">
        <v>55</v>
      </c>
    </row>
    <row r="2203" spans="1:51" hidden="1">
      <c r="A2203">
        <v>100672</v>
      </c>
      <c r="B2203" t="s">
        <v>228</v>
      </c>
      <c r="C2203" t="str">
        <f t="shared" si="185"/>
        <v>06225750725</v>
      </c>
      <c r="D2203" t="str">
        <f t="shared" si="185"/>
        <v>06225750725</v>
      </c>
      <c r="E2203" t="s">
        <v>52</v>
      </c>
      <c r="F2203">
        <v>2014</v>
      </c>
      <c r="G2203">
        <v>11</v>
      </c>
      <c r="H2203" s="1">
        <v>41667</v>
      </c>
      <c r="I2203" s="1">
        <v>41684</v>
      </c>
      <c r="J2203" s="1">
        <v>41684</v>
      </c>
      <c r="K2203" s="1">
        <v>41774</v>
      </c>
      <c r="N2203" s="5"/>
      <c r="O2203">
        <v>175.68</v>
      </c>
      <c r="P2203">
        <v>356</v>
      </c>
      <c r="Q2203" s="2">
        <v>62542.080000000002</v>
      </c>
      <c r="R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 s="1">
        <v>42382</v>
      </c>
      <c r="AC2203" t="s">
        <v>53</v>
      </c>
      <c r="AD2203" t="s">
        <v>53</v>
      </c>
      <c r="AK2203">
        <v>0</v>
      </c>
      <c r="AU2203" s="6">
        <v>42130</v>
      </c>
      <c r="AV2203" s="6">
        <v>42130</v>
      </c>
      <c r="AW2203" t="s">
        <v>54</v>
      </c>
      <c r="AX2203" t="str">
        <f t="shared" si="181"/>
        <v>FOR</v>
      </c>
      <c r="AY2203" t="s">
        <v>55</v>
      </c>
    </row>
    <row r="2204" spans="1:51" hidden="1">
      <c r="A2204">
        <v>100672</v>
      </c>
      <c r="B2204" t="s">
        <v>228</v>
      </c>
      <c r="C2204" t="str">
        <f t="shared" si="185"/>
        <v>06225750725</v>
      </c>
      <c r="D2204" t="str">
        <f t="shared" si="185"/>
        <v>06225750725</v>
      </c>
      <c r="E2204" t="s">
        <v>52</v>
      </c>
      <c r="F2204">
        <v>2014</v>
      </c>
      <c r="G2204">
        <v>124</v>
      </c>
      <c r="H2204" s="1">
        <v>41729</v>
      </c>
      <c r="I2204" s="1">
        <v>41743</v>
      </c>
      <c r="J2204" s="1">
        <v>41743</v>
      </c>
      <c r="K2204" s="1">
        <v>41833</v>
      </c>
      <c r="N2204" s="5"/>
      <c r="O2204">
        <v>647.82000000000005</v>
      </c>
      <c r="P2204">
        <v>297</v>
      </c>
      <c r="Q2204" s="2">
        <v>192402.54</v>
      </c>
      <c r="R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 s="1">
        <v>42382</v>
      </c>
      <c r="AC2204" t="s">
        <v>53</v>
      </c>
      <c r="AD2204" t="s">
        <v>53</v>
      </c>
      <c r="AK2204">
        <v>0</v>
      </c>
      <c r="AU2204" s="6">
        <v>42130</v>
      </c>
      <c r="AV2204" s="6">
        <v>42130</v>
      </c>
      <c r="AW2204" t="s">
        <v>54</v>
      </c>
      <c r="AX2204" t="str">
        <f t="shared" si="181"/>
        <v>FOR</v>
      </c>
      <c r="AY2204" t="s">
        <v>55</v>
      </c>
    </row>
    <row r="2205" spans="1:51" hidden="1">
      <c r="A2205">
        <v>100672</v>
      </c>
      <c r="B2205" t="s">
        <v>228</v>
      </c>
      <c r="C2205" t="str">
        <f t="shared" si="185"/>
        <v>06225750725</v>
      </c>
      <c r="D2205" t="str">
        <f t="shared" si="185"/>
        <v>06225750725</v>
      </c>
      <c r="E2205" t="s">
        <v>52</v>
      </c>
      <c r="F2205">
        <v>2014</v>
      </c>
      <c r="G2205">
        <v>165</v>
      </c>
      <c r="H2205" s="1">
        <v>41758</v>
      </c>
      <c r="I2205" s="1">
        <v>41779</v>
      </c>
      <c r="J2205" s="1">
        <v>41779</v>
      </c>
      <c r="K2205" s="1">
        <v>41869</v>
      </c>
      <c r="N2205" s="5"/>
      <c r="O2205">
        <v>70.27</v>
      </c>
      <c r="P2205">
        <v>261</v>
      </c>
      <c r="Q2205" s="2">
        <v>18340.47</v>
      </c>
      <c r="R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 s="1">
        <v>42382</v>
      </c>
      <c r="AC2205" t="s">
        <v>53</v>
      </c>
      <c r="AD2205" t="s">
        <v>53</v>
      </c>
      <c r="AK2205">
        <v>0</v>
      </c>
      <c r="AU2205" s="6">
        <v>42130</v>
      </c>
      <c r="AV2205" s="6">
        <v>42130</v>
      </c>
      <c r="AW2205" t="s">
        <v>54</v>
      </c>
      <c r="AX2205" t="str">
        <f t="shared" si="181"/>
        <v>FOR</v>
      </c>
      <c r="AY2205" t="s">
        <v>55</v>
      </c>
    </row>
    <row r="2206" spans="1:51" hidden="1">
      <c r="A2206">
        <v>100672</v>
      </c>
      <c r="B2206" t="s">
        <v>228</v>
      </c>
      <c r="C2206" t="str">
        <f t="shared" si="185"/>
        <v>06225750725</v>
      </c>
      <c r="D2206" t="str">
        <f t="shared" si="185"/>
        <v>06225750725</v>
      </c>
      <c r="E2206" t="s">
        <v>52</v>
      </c>
      <c r="F2206">
        <v>2014</v>
      </c>
      <c r="G2206">
        <v>288</v>
      </c>
      <c r="H2206" s="1">
        <v>41841</v>
      </c>
      <c r="I2206" s="1">
        <v>41872</v>
      </c>
      <c r="J2206" s="1">
        <v>41872</v>
      </c>
      <c r="K2206" s="1">
        <v>41962</v>
      </c>
      <c r="N2206" s="5"/>
      <c r="O2206">
        <v>179.85</v>
      </c>
      <c r="P2206">
        <v>229</v>
      </c>
      <c r="Q2206" s="2">
        <v>41185.65</v>
      </c>
      <c r="R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 s="1">
        <v>42382</v>
      </c>
      <c r="AC2206" t="s">
        <v>53</v>
      </c>
      <c r="AD2206" t="s">
        <v>53</v>
      </c>
      <c r="AK2206">
        <v>0</v>
      </c>
      <c r="AU2206" s="6">
        <v>42191</v>
      </c>
      <c r="AV2206" s="6">
        <v>42191</v>
      </c>
      <c r="AW2206" t="s">
        <v>54</v>
      </c>
      <c r="AX2206" t="str">
        <f t="shared" si="181"/>
        <v>FOR</v>
      </c>
      <c r="AY2206" t="s">
        <v>55</v>
      </c>
    </row>
    <row r="2207" spans="1:51" hidden="1">
      <c r="A2207">
        <v>100672</v>
      </c>
      <c r="B2207" t="s">
        <v>228</v>
      </c>
      <c r="C2207" t="str">
        <f t="shared" si="185"/>
        <v>06225750725</v>
      </c>
      <c r="D2207" t="str">
        <f t="shared" si="185"/>
        <v>06225750725</v>
      </c>
      <c r="E2207" t="s">
        <v>52</v>
      </c>
      <c r="F2207">
        <v>2014</v>
      </c>
      <c r="G2207">
        <v>350</v>
      </c>
      <c r="H2207" s="1">
        <v>41912</v>
      </c>
      <c r="I2207" s="1">
        <v>41932</v>
      </c>
      <c r="J2207" s="1">
        <v>41932</v>
      </c>
      <c r="K2207" s="1">
        <v>41992</v>
      </c>
      <c r="N2207" s="5"/>
      <c r="O2207">
        <v>140.54</v>
      </c>
      <c r="P2207">
        <v>257</v>
      </c>
      <c r="Q2207" s="2">
        <v>36118.78</v>
      </c>
      <c r="R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 s="1">
        <v>42382</v>
      </c>
      <c r="AC2207" t="s">
        <v>53</v>
      </c>
      <c r="AD2207" t="s">
        <v>53</v>
      </c>
      <c r="AK2207">
        <v>0</v>
      </c>
      <c r="AU2207" s="6">
        <v>42249</v>
      </c>
      <c r="AV2207" s="6">
        <v>42249</v>
      </c>
      <c r="AW2207" t="s">
        <v>54</v>
      </c>
      <c r="AX2207" t="str">
        <f t="shared" si="181"/>
        <v>FOR</v>
      </c>
      <c r="AY2207" t="s">
        <v>55</v>
      </c>
    </row>
    <row r="2208" spans="1:51">
      <c r="A2208">
        <v>100672</v>
      </c>
      <c r="B2208" t="s">
        <v>228</v>
      </c>
      <c r="C2208" t="str">
        <f t="shared" si="185"/>
        <v>06225750725</v>
      </c>
      <c r="D2208" t="str">
        <f t="shared" si="185"/>
        <v>06225750725</v>
      </c>
      <c r="E2208" t="s">
        <v>52</v>
      </c>
      <c r="F2208">
        <v>2014</v>
      </c>
      <c r="G2208">
        <v>443</v>
      </c>
      <c r="H2208" s="1">
        <v>41971</v>
      </c>
      <c r="I2208" s="1">
        <v>41985</v>
      </c>
      <c r="J2208" s="1">
        <v>41985</v>
      </c>
      <c r="K2208" s="1">
        <v>42045</v>
      </c>
      <c r="L2208" s="7">
        <v>35.14</v>
      </c>
      <c r="M2208" s="5">
        <v>260</v>
      </c>
      <c r="N2208" s="7">
        <v>9136.4</v>
      </c>
      <c r="O2208">
        <v>35.14</v>
      </c>
      <c r="P2208">
        <v>260</v>
      </c>
      <c r="Q2208" s="2">
        <v>9136.4</v>
      </c>
      <c r="R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 s="1">
        <v>42382</v>
      </c>
      <c r="AC2208" t="s">
        <v>53</v>
      </c>
      <c r="AD2208" t="s">
        <v>53</v>
      </c>
      <c r="AK2208">
        <v>0</v>
      </c>
      <c r="AU2208" s="6">
        <v>42305</v>
      </c>
      <c r="AV2208" s="6">
        <v>42305</v>
      </c>
      <c r="AW2208" t="s">
        <v>54</v>
      </c>
      <c r="AX2208" t="str">
        <f t="shared" si="181"/>
        <v>FOR</v>
      </c>
      <c r="AY2208" t="s">
        <v>55</v>
      </c>
    </row>
    <row r="2209" spans="1:51">
      <c r="A2209">
        <v>100672</v>
      </c>
      <c r="B2209" t="s">
        <v>228</v>
      </c>
      <c r="C2209" t="str">
        <f t="shared" si="185"/>
        <v>06225750725</v>
      </c>
      <c r="D2209" t="str">
        <f t="shared" si="185"/>
        <v>06225750725</v>
      </c>
      <c r="E2209" t="s">
        <v>52</v>
      </c>
      <c r="F2209">
        <v>2014</v>
      </c>
      <c r="G2209">
        <v>479</v>
      </c>
      <c r="H2209" s="1">
        <v>41992</v>
      </c>
      <c r="I2209" s="1">
        <v>42018</v>
      </c>
      <c r="J2209" s="1">
        <v>42018</v>
      </c>
      <c r="K2209" s="1">
        <v>42078</v>
      </c>
      <c r="L2209" s="7">
        <v>599.51</v>
      </c>
      <c r="M2209" s="5">
        <v>227</v>
      </c>
      <c r="N2209" s="7">
        <v>136088.76999999999</v>
      </c>
      <c r="O2209">
        <v>599.51</v>
      </c>
      <c r="P2209">
        <v>227</v>
      </c>
      <c r="Q2209" s="2">
        <v>136088.76999999999</v>
      </c>
      <c r="R2209">
        <v>0</v>
      </c>
      <c r="V2209">
        <v>0</v>
      </c>
      <c r="W2209">
        <v>0</v>
      </c>
      <c r="X2209">
        <v>0</v>
      </c>
      <c r="Y2209">
        <v>0</v>
      </c>
      <c r="Z2209">
        <v>599.51</v>
      </c>
      <c r="AA2209">
        <v>0</v>
      </c>
      <c r="AB2209" s="1">
        <v>42382</v>
      </c>
      <c r="AC2209" t="s">
        <v>53</v>
      </c>
      <c r="AD2209" t="s">
        <v>53</v>
      </c>
      <c r="AK2209">
        <v>0</v>
      </c>
      <c r="AU2209" s="6">
        <v>42305</v>
      </c>
      <c r="AV2209" s="6">
        <v>42305</v>
      </c>
      <c r="AW2209" t="s">
        <v>54</v>
      </c>
      <c r="AX2209" t="str">
        <f t="shared" si="181"/>
        <v>FOR</v>
      </c>
      <c r="AY2209" t="s">
        <v>55</v>
      </c>
    </row>
    <row r="2210" spans="1:51">
      <c r="A2210">
        <v>100672</v>
      </c>
      <c r="B2210" t="s">
        <v>228</v>
      </c>
      <c r="C2210" t="str">
        <f t="shared" si="185"/>
        <v>06225750725</v>
      </c>
      <c r="D2210" t="str">
        <f t="shared" si="185"/>
        <v>06225750725</v>
      </c>
      <c r="E2210" t="s">
        <v>52</v>
      </c>
      <c r="F2210">
        <v>2015</v>
      </c>
      <c r="G2210">
        <v>4</v>
      </c>
      <c r="H2210" s="1">
        <v>42031</v>
      </c>
      <c r="I2210" s="1">
        <v>42044</v>
      </c>
      <c r="J2210" s="1">
        <v>42044</v>
      </c>
      <c r="K2210" s="1">
        <v>42104</v>
      </c>
      <c r="L2210" s="7">
        <v>115.2</v>
      </c>
      <c r="M2210" s="5">
        <v>201</v>
      </c>
      <c r="N2210" s="7">
        <v>23155.200000000001</v>
      </c>
      <c r="O2210">
        <v>115.2</v>
      </c>
      <c r="P2210">
        <v>201</v>
      </c>
      <c r="Q2210" s="2">
        <v>23155.200000000001</v>
      </c>
      <c r="R2210">
        <v>0</v>
      </c>
      <c r="V2210">
        <v>0</v>
      </c>
      <c r="W2210">
        <v>0</v>
      </c>
      <c r="X2210">
        <v>0</v>
      </c>
      <c r="Y2210">
        <v>140.54</v>
      </c>
      <c r="Z2210">
        <v>140.54</v>
      </c>
      <c r="AA2210">
        <v>140.54</v>
      </c>
      <c r="AB2210" s="1">
        <v>42382</v>
      </c>
      <c r="AC2210" t="s">
        <v>53</v>
      </c>
      <c r="AD2210" t="s">
        <v>53</v>
      </c>
      <c r="AK2210">
        <v>0</v>
      </c>
      <c r="AU2210" s="6">
        <v>42305</v>
      </c>
      <c r="AV2210" s="6">
        <v>42305</v>
      </c>
      <c r="AW2210" t="s">
        <v>54</v>
      </c>
      <c r="AX2210" t="str">
        <f t="shared" si="181"/>
        <v>FOR</v>
      </c>
      <c r="AY2210" t="s">
        <v>55</v>
      </c>
    </row>
    <row r="2211" spans="1:51">
      <c r="A2211">
        <v>100672</v>
      </c>
      <c r="B2211" t="s">
        <v>228</v>
      </c>
      <c r="C2211" t="str">
        <f t="shared" si="185"/>
        <v>06225750725</v>
      </c>
      <c r="D2211" t="str">
        <f t="shared" si="185"/>
        <v>06225750725</v>
      </c>
      <c r="E2211" t="s">
        <v>52</v>
      </c>
      <c r="F2211">
        <v>2015</v>
      </c>
      <c r="G2211">
        <v>43</v>
      </c>
      <c r="H2211" s="1">
        <v>42062</v>
      </c>
      <c r="I2211" s="1">
        <v>42087</v>
      </c>
      <c r="J2211" s="1">
        <v>42087</v>
      </c>
      <c r="K2211" s="1">
        <v>42147</v>
      </c>
      <c r="L2211" s="7">
        <v>196.56</v>
      </c>
      <c r="M2211" s="5">
        <v>158</v>
      </c>
      <c r="N2211" s="7">
        <v>31056.48</v>
      </c>
      <c r="O2211">
        <v>196.56</v>
      </c>
      <c r="P2211">
        <v>158</v>
      </c>
      <c r="Q2211" s="2">
        <v>31056.48</v>
      </c>
      <c r="R2211">
        <v>0</v>
      </c>
      <c r="V2211">
        <v>0</v>
      </c>
      <c r="W2211">
        <v>0</v>
      </c>
      <c r="X2211">
        <v>0</v>
      </c>
      <c r="Y2211">
        <v>239.8</v>
      </c>
      <c r="Z2211">
        <v>239.8</v>
      </c>
      <c r="AA2211">
        <v>239.8</v>
      </c>
      <c r="AB2211" s="1">
        <v>42382</v>
      </c>
      <c r="AC2211" t="s">
        <v>53</v>
      </c>
      <c r="AD2211" t="s">
        <v>53</v>
      </c>
      <c r="AK2211">
        <v>0</v>
      </c>
      <c r="AU2211" s="6">
        <v>42305</v>
      </c>
      <c r="AV2211" s="6">
        <v>42305</v>
      </c>
      <c r="AW2211" t="s">
        <v>54</v>
      </c>
      <c r="AX2211" t="str">
        <f t="shared" si="181"/>
        <v>FOR</v>
      </c>
      <c r="AY2211" t="s">
        <v>55</v>
      </c>
    </row>
    <row r="2212" spans="1:51" hidden="1">
      <c r="A2212">
        <v>100673</v>
      </c>
      <c r="B2212" t="s">
        <v>229</v>
      </c>
      <c r="C2212" t="str">
        <f>"00612690289"</f>
        <v>00612690289</v>
      </c>
      <c r="D2212" t="str">
        <f>"00612690289"</f>
        <v>00612690289</v>
      </c>
      <c r="E2212" t="s">
        <v>52</v>
      </c>
      <c r="F2212">
        <v>2014</v>
      </c>
      <c r="G2212">
        <v>1443715</v>
      </c>
      <c r="H2212" s="1">
        <v>41873</v>
      </c>
      <c r="I2212" s="1">
        <v>41890</v>
      </c>
      <c r="J2212" s="1">
        <v>41890</v>
      </c>
      <c r="K2212" s="1">
        <v>41980</v>
      </c>
      <c r="N2212" s="5"/>
      <c r="O2212" s="2">
        <v>2064.92</v>
      </c>
      <c r="P2212">
        <v>269</v>
      </c>
      <c r="Q2212" s="2">
        <v>555463.48</v>
      </c>
      <c r="R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 s="1">
        <v>42382</v>
      </c>
      <c r="AC2212" t="s">
        <v>53</v>
      </c>
      <c r="AD2212" t="s">
        <v>53</v>
      </c>
      <c r="AK2212">
        <v>0</v>
      </c>
      <c r="AU2212" s="6">
        <v>42249</v>
      </c>
      <c r="AV2212" s="6">
        <v>42249</v>
      </c>
      <c r="AW2212" t="s">
        <v>54</v>
      </c>
      <c r="AX2212" t="str">
        <f t="shared" si="181"/>
        <v>FOR</v>
      </c>
      <c r="AY2212" t="s">
        <v>55</v>
      </c>
    </row>
    <row r="2213" spans="1:51" hidden="1">
      <c r="A2213">
        <v>100695</v>
      </c>
      <c r="B2213" t="s">
        <v>230</v>
      </c>
      <c r="C2213" t="str">
        <f t="shared" ref="C2213:D2232" si="186">"00721920155"</f>
        <v>00721920155</v>
      </c>
      <c r="D2213" t="str">
        <f t="shared" si="186"/>
        <v>00721920155</v>
      </c>
      <c r="E2213" t="s">
        <v>52</v>
      </c>
      <c r="F2213">
        <v>2014</v>
      </c>
      <c r="G2213">
        <v>40084732</v>
      </c>
      <c r="H2213" s="1">
        <v>41669</v>
      </c>
      <c r="I2213" s="1">
        <v>42086</v>
      </c>
      <c r="J2213" s="1">
        <v>42086</v>
      </c>
      <c r="K2213" s="1">
        <v>42146</v>
      </c>
      <c r="N2213" s="5"/>
      <c r="O2213">
        <v>119.6</v>
      </c>
      <c r="P2213">
        <v>12</v>
      </c>
      <c r="Q2213" s="2">
        <v>1435.2</v>
      </c>
      <c r="R2213">
        <v>0</v>
      </c>
      <c r="V2213">
        <v>0</v>
      </c>
      <c r="W2213">
        <v>0</v>
      </c>
      <c r="X2213">
        <v>0</v>
      </c>
      <c r="Y2213">
        <v>0</v>
      </c>
      <c r="Z2213">
        <v>119.6</v>
      </c>
      <c r="AA2213">
        <v>0</v>
      </c>
      <c r="AB2213" s="1">
        <v>42382</v>
      </c>
      <c r="AC2213" t="s">
        <v>53</v>
      </c>
      <c r="AD2213" t="s">
        <v>53</v>
      </c>
      <c r="AK2213">
        <v>0</v>
      </c>
      <c r="AU2213" s="6">
        <v>42158</v>
      </c>
      <c r="AV2213" s="6">
        <v>42158</v>
      </c>
      <c r="AW2213" t="s">
        <v>54</v>
      </c>
      <c r="AX2213" t="str">
        <f t="shared" si="181"/>
        <v>FOR</v>
      </c>
      <c r="AY2213" t="s">
        <v>55</v>
      </c>
    </row>
    <row r="2214" spans="1:51" hidden="1">
      <c r="A2214">
        <v>100695</v>
      </c>
      <c r="B2214" t="s">
        <v>230</v>
      </c>
      <c r="C2214" t="str">
        <f t="shared" si="186"/>
        <v>00721920155</v>
      </c>
      <c r="D2214" t="str">
        <f t="shared" si="186"/>
        <v>00721920155</v>
      </c>
      <c r="E2214" t="s">
        <v>52</v>
      </c>
      <c r="F2214">
        <v>2014</v>
      </c>
      <c r="G2214">
        <v>40085222</v>
      </c>
      <c r="H2214" s="1">
        <v>41677</v>
      </c>
      <c r="I2214" s="1">
        <v>41731</v>
      </c>
      <c r="J2214" s="1">
        <v>41731</v>
      </c>
      <c r="K2214" s="1">
        <v>41821</v>
      </c>
      <c r="N2214" s="5"/>
      <c r="O2214" s="2">
        <v>1384.46</v>
      </c>
      <c r="P2214">
        <v>337</v>
      </c>
      <c r="Q2214" s="2">
        <v>466563.02</v>
      </c>
      <c r="R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 s="1">
        <v>42382</v>
      </c>
      <c r="AC2214" t="s">
        <v>53</v>
      </c>
      <c r="AD2214" t="s">
        <v>53</v>
      </c>
      <c r="AK2214">
        <v>0</v>
      </c>
      <c r="AU2214" s="6">
        <v>42158</v>
      </c>
      <c r="AV2214" s="6">
        <v>42158</v>
      </c>
      <c r="AW2214" t="s">
        <v>54</v>
      </c>
      <c r="AX2214" t="str">
        <f t="shared" si="181"/>
        <v>FOR</v>
      </c>
      <c r="AY2214" t="s">
        <v>55</v>
      </c>
    </row>
    <row r="2215" spans="1:51" hidden="1">
      <c r="A2215">
        <v>100695</v>
      </c>
      <c r="B2215" t="s">
        <v>230</v>
      </c>
      <c r="C2215" t="str">
        <f t="shared" si="186"/>
        <v>00721920155</v>
      </c>
      <c r="D2215" t="str">
        <f t="shared" si="186"/>
        <v>00721920155</v>
      </c>
      <c r="E2215" t="s">
        <v>52</v>
      </c>
      <c r="F2215">
        <v>2014</v>
      </c>
      <c r="G2215">
        <v>40086232</v>
      </c>
      <c r="H2215" s="1">
        <v>41698</v>
      </c>
      <c r="I2215" s="1">
        <v>41716</v>
      </c>
      <c r="J2215" s="1">
        <v>41716</v>
      </c>
      <c r="K2215" s="1">
        <v>41806</v>
      </c>
      <c r="N2215" s="5"/>
      <c r="O2215" s="2">
        <v>5095.18</v>
      </c>
      <c r="P2215">
        <v>352</v>
      </c>
      <c r="Q2215" s="2">
        <v>1793503.36</v>
      </c>
      <c r="R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 s="1">
        <v>42382</v>
      </c>
      <c r="AC2215" t="s">
        <v>53</v>
      </c>
      <c r="AD2215" t="s">
        <v>53</v>
      </c>
      <c r="AK2215">
        <v>0</v>
      </c>
      <c r="AU2215" s="6">
        <v>42158</v>
      </c>
      <c r="AV2215" s="6">
        <v>42158</v>
      </c>
      <c r="AW2215" t="s">
        <v>54</v>
      </c>
      <c r="AX2215" t="str">
        <f t="shared" si="181"/>
        <v>FOR</v>
      </c>
      <c r="AY2215" t="s">
        <v>55</v>
      </c>
    </row>
    <row r="2216" spans="1:51" hidden="1">
      <c r="A2216">
        <v>100695</v>
      </c>
      <c r="B2216" t="s">
        <v>230</v>
      </c>
      <c r="C2216" t="str">
        <f t="shared" si="186"/>
        <v>00721920155</v>
      </c>
      <c r="D2216" t="str">
        <f t="shared" si="186"/>
        <v>00721920155</v>
      </c>
      <c r="E2216" t="s">
        <v>52</v>
      </c>
      <c r="F2216">
        <v>2014</v>
      </c>
      <c r="G2216">
        <v>40088280</v>
      </c>
      <c r="H2216" s="1">
        <v>41745</v>
      </c>
      <c r="I2216" s="1">
        <v>41767</v>
      </c>
      <c r="J2216" s="1">
        <v>41767</v>
      </c>
      <c r="K2216" s="1">
        <v>41857</v>
      </c>
      <c r="N2216" s="5"/>
      <c r="O2216">
        <v>119.6</v>
      </c>
      <c r="P2216">
        <v>301</v>
      </c>
      <c r="Q2216" s="2">
        <v>35999.599999999999</v>
      </c>
      <c r="R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 s="1">
        <v>42382</v>
      </c>
      <c r="AC2216" t="s">
        <v>53</v>
      </c>
      <c r="AD2216" t="s">
        <v>53</v>
      </c>
      <c r="AK2216">
        <v>0</v>
      </c>
      <c r="AU2216" s="6">
        <v>42158</v>
      </c>
      <c r="AV2216" s="6">
        <v>42158</v>
      </c>
      <c r="AW2216" t="s">
        <v>54</v>
      </c>
      <c r="AX2216" t="str">
        <f t="shared" si="181"/>
        <v>FOR</v>
      </c>
      <c r="AY2216" t="s">
        <v>55</v>
      </c>
    </row>
    <row r="2217" spans="1:51" hidden="1">
      <c r="A2217">
        <v>100695</v>
      </c>
      <c r="B2217" t="s">
        <v>230</v>
      </c>
      <c r="C2217" t="str">
        <f t="shared" si="186"/>
        <v>00721920155</v>
      </c>
      <c r="D2217" t="str">
        <f t="shared" si="186"/>
        <v>00721920155</v>
      </c>
      <c r="E2217" t="s">
        <v>52</v>
      </c>
      <c r="F2217">
        <v>2014</v>
      </c>
      <c r="G2217">
        <v>40088670</v>
      </c>
      <c r="H2217" s="1">
        <v>41757</v>
      </c>
      <c r="I2217" s="1">
        <v>41775</v>
      </c>
      <c r="J2217" s="1">
        <v>41775</v>
      </c>
      <c r="K2217" s="1">
        <v>41865</v>
      </c>
      <c r="N2217" s="5"/>
      <c r="O2217">
        <v>119.6</v>
      </c>
      <c r="P2217">
        <v>293</v>
      </c>
      <c r="Q2217" s="2">
        <v>35042.800000000003</v>
      </c>
      <c r="R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 s="1">
        <v>42382</v>
      </c>
      <c r="AC2217" t="s">
        <v>53</v>
      </c>
      <c r="AD2217" t="s">
        <v>53</v>
      </c>
      <c r="AK2217">
        <v>0</v>
      </c>
      <c r="AU2217" s="6">
        <v>42158</v>
      </c>
      <c r="AV2217" s="6">
        <v>42158</v>
      </c>
      <c r="AW2217" t="s">
        <v>54</v>
      </c>
      <c r="AX2217" t="str">
        <f t="shared" si="181"/>
        <v>FOR</v>
      </c>
      <c r="AY2217" t="s">
        <v>55</v>
      </c>
    </row>
    <row r="2218" spans="1:51" hidden="1">
      <c r="A2218">
        <v>100695</v>
      </c>
      <c r="B2218" t="s">
        <v>230</v>
      </c>
      <c r="C2218" t="str">
        <f t="shared" si="186"/>
        <v>00721920155</v>
      </c>
      <c r="D2218" t="str">
        <f t="shared" si="186"/>
        <v>00721920155</v>
      </c>
      <c r="E2218" t="s">
        <v>52</v>
      </c>
      <c r="F2218">
        <v>2014</v>
      </c>
      <c r="G2218">
        <v>40088685</v>
      </c>
      <c r="H2218" s="1">
        <v>41757</v>
      </c>
      <c r="I2218" s="1">
        <v>41775</v>
      </c>
      <c r="J2218" s="1">
        <v>41775</v>
      </c>
      <c r="K2218" s="1">
        <v>41865</v>
      </c>
      <c r="N2218" s="5"/>
      <c r="O2218">
        <v>119.6</v>
      </c>
      <c r="P2218">
        <v>293</v>
      </c>
      <c r="Q2218" s="2">
        <v>35042.800000000003</v>
      </c>
      <c r="R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 s="1">
        <v>42382</v>
      </c>
      <c r="AC2218" t="s">
        <v>53</v>
      </c>
      <c r="AD2218" t="s">
        <v>53</v>
      </c>
      <c r="AK2218">
        <v>0</v>
      </c>
      <c r="AU2218" s="6">
        <v>42158</v>
      </c>
      <c r="AV2218" s="6">
        <v>42158</v>
      </c>
      <c r="AW2218" t="s">
        <v>54</v>
      </c>
      <c r="AX2218" t="str">
        <f t="shared" si="181"/>
        <v>FOR</v>
      </c>
      <c r="AY2218" t="s">
        <v>55</v>
      </c>
    </row>
    <row r="2219" spans="1:51" hidden="1">
      <c r="A2219">
        <v>100695</v>
      </c>
      <c r="B2219" t="s">
        <v>230</v>
      </c>
      <c r="C2219" t="str">
        <f t="shared" si="186"/>
        <v>00721920155</v>
      </c>
      <c r="D2219" t="str">
        <f t="shared" si="186"/>
        <v>00721920155</v>
      </c>
      <c r="E2219" t="s">
        <v>52</v>
      </c>
      <c r="F2219">
        <v>2014</v>
      </c>
      <c r="G2219">
        <v>40088942</v>
      </c>
      <c r="H2219" s="1">
        <v>41759</v>
      </c>
      <c r="I2219" s="1">
        <v>41775</v>
      </c>
      <c r="J2219" s="1">
        <v>41775</v>
      </c>
      <c r="K2219" s="1">
        <v>41865</v>
      </c>
      <c r="N2219" s="5"/>
      <c r="O2219">
        <v>119.6</v>
      </c>
      <c r="P2219">
        <v>293</v>
      </c>
      <c r="Q2219" s="2">
        <v>35042.800000000003</v>
      </c>
      <c r="R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 s="1">
        <v>42382</v>
      </c>
      <c r="AC2219" t="s">
        <v>53</v>
      </c>
      <c r="AD2219" t="s">
        <v>53</v>
      </c>
      <c r="AK2219">
        <v>0</v>
      </c>
      <c r="AU2219" s="6">
        <v>42158</v>
      </c>
      <c r="AV2219" s="6">
        <v>42158</v>
      </c>
      <c r="AW2219" t="s">
        <v>54</v>
      </c>
      <c r="AX2219" t="str">
        <f t="shared" si="181"/>
        <v>FOR</v>
      </c>
      <c r="AY2219" t="s">
        <v>55</v>
      </c>
    </row>
    <row r="2220" spans="1:51" hidden="1">
      <c r="A2220">
        <v>100695</v>
      </c>
      <c r="B2220" t="s">
        <v>230</v>
      </c>
      <c r="C2220" t="str">
        <f t="shared" si="186"/>
        <v>00721920155</v>
      </c>
      <c r="D2220" t="str">
        <f t="shared" si="186"/>
        <v>00721920155</v>
      </c>
      <c r="E2220" t="s">
        <v>52</v>
      </c>
      <c r="F2220">
        <v>2014</v>
      </c>
      <c r="G2220">
        <v>40088997</v>
      </c>
      <c r="H2220" s="1">
        <v>41764</v>
      </c>
      <c r="I2220" s="1">
        <v>41775</v>
      </c>
      <c r="J2220" s="1">
        <v>41775</v>
      </c>
      <c r="K2220" s="1">
        <v>41865</v>
      </c>
      <c r="N2220" s="5"/>
      <c r="O2220">
        <v>119.6</v>
      </c>
      <c r="P2220">
        <v>293</v>
      </c>
      <c r="Q2220" s="2">
        <v>35042.800000000003</v>
      </c>
      <c r="R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 s="1">
        <v>42382</v>
      </c>
      <c r="AC2220" t="s">
        <v>53</v>
      </c>
      <c r="AD2220" t="s">
        <v>53</v>
      </c>
      <c r="AK2220">
        <v>0</v>
      </c>
      <c r="AU2220" s="6">
        <v>42158</v>
      </c>
      <c r="AV2220" s="6">
        <v>42158</v>
      </c>
      <c r="AW2220" t="s">
        <v>54</v>
      </c>
      <c r="AX2220" t="str">
        <f t="shared" si="181"/>
        <v>FOR</v>
      </c>
      <c r="AY2220" t="s">
        <v>55</v>
      </c>
    </row>
    <row r="2221" spans="1:51" hidden="1">
      <c r="A2221">
        <v>100695</v>
      </c>
      <c r="B2221" t="s">
        <v>230</v>
      </c>
      <c r="C2221" t="str">
        <f t="shared" si="186"/>
        <v>00721920155</v>
      </c>
      <c r="D2221" t="str">
        <f t="shared" si="186"/>
        <v>00721920155</v>
      </c>
      <c r="E2221" t="s">
        <v>52</v>
      </c>
      <c r="F2221">
        <v>2014</v>
      </c>
      <c r="G2221">
        <v>40089000</v>
      </c>
      <c r="H2221" s="1">
        <v>41764</v>
      </c>
      <c r="I2221" s="1">
        <v>41775</v>
      </c>
      <c r="J2221" s="1">
        <v>41775</v>
      </c>
      <c r="K2221" s="1">
        <v>41865</v>
      </c>
      <c r="N2221" s="5"/>
      <c r="O2221">
        <v>119.6</v>
      </c>
      <c r="P2221">
        <v>293</v>
      </c>
      <c r="Q2221" s="2">
        <v>35042.800000000003</v>
      </c>
      <c r="R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 s="1">
        <v>42382</v>
      </c>
      <c r="AC2221" t="s">
        <v>53</v>
      </c>
      <c r="AD2221" t="s">
        <v>53</v>
      </c>
      <c r="AK2221">
        <v>0</v>
      </c>
      <c r="AU2221" s="6">
        <v>42158</v>
      </c>
      <c r="AV2221" s="6">
        <v>42158</v>
      </c>
      <c r="AW2221" t="s">
        <v>54</v>
      </c>
      <c r="AX2221" t="str">
        <f t="shared" si="181"/>
        <v>FOR</v>
      </c>
      <c r="AY2221" t="s">
        <v>55</v>
      </c>
    </row>
    <row r="2222" spans="1:51" hidden="1">
      <c r="A2222">
        <v>100695</v>
      </c>
      <c r="B2222" t="s">
        <v>230</v>
      </c>
      <c r="C2222" t="str">
        <f t="shared" si="186"/>
        <v>00721920155</v>
      </c>
      <c r="D2222" t="str">
        <f t="shared" si="186"/>
        <v>00721920155</v>
      </c>
      <c r="E2222" t="s">
        <v>52</v>
      </c>
      <c r="F2222">
        <v>2014</v>
      </c>
      <c r="G2222">
        <v>40089004</v>
      </c>
      <c r="H2222" s="1">
        <v>41764</v>
      </c>
      <c r="I2222" s="1">
        <v>41775</v>
      </c>
      <c r="J2222" s="1">
        <v>41775</v>
      </c>
      <c r="K2222" s="1">
        <v>41865</v>
      </c>
      <c r="N2222" s="5"/>
      <c r="O2222">
        <v>119.6</v>
      </c>
      <c r="P2222">
        <v>293</v>
      </c>
      <c r="Q2222" s="2">
        <v>35042.800000000003</v>
      </c>
      <c r="R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 s="1">
        <v>42382</v>
      </c>
      <c r="AC2222" t="s">
        <v>53</v>
      </c>
      <c r="AD2222" t="s">
        <v>53</v>
      </c>
      <c r="AK2222">
        <v>0</v>
      </c>
      <c r="AU2222" s="6">
        <v>42158</v>
      </c>
      <c r="AV2222" s="6">
        <v>42158</v>
      </c>
      <c r="AW2222" t="s">
        <v>54</v>
      </c>
      <c r="AX2222" t="str">
        <f t="shared" si="181"/>
        <v>FOR</v>
      </c>
      <c r="AY2222" t="s">
        <v>55</v>
      </c>
    </row>
    <row r="2223" spans="1:51" hidden="1">
      <c r="A2223">
        <v>100695</v>
      </c>
      <c r="B2223" t="s">
        <v>230</v>
      </c>
      <c r="C2223" t="str">
        <f t="shared" si="186"/>
        <v>00721920155</v>
      </c>
      <c r="D2223" t="str">
        <f t="shared" si="186"/>
        <v>00721920155</v>
      </c>
      <c r="E2223" t="s">
        <v>52</v>
      </c>
      <c r="F2223">
        <v>2014</v>
      </c>
      <c r="G2223">
        <v>40089006</v>
      </c>
      <c r="H2223" s="1">
        <v>41764</v>
      </c>
      <c r="I2223" s="1">
        <v>41775</v>
      </c>
      <c r="J2223" s="1">
        <v>41775</v>
      </c>
      <c r="K2223" s="1">
        <v>41865</v>
      </c>
      <c r="N2223" s="5"/>
      <c r="O2223">
        <v>119.6</v>
      </c>
      <c r="P2223">
        <v>293</v>
      </c>
      <c r="Q2223" s="2">
        <v>35042.800000000003</v>
      </c>
      <c r="R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 s="1">
        <v>42382</v>
      </c>
      <c r="AC2223" t="s">
        <v>53</v>
      </c>
      <c r="AD2223" t="s">
        <v>53</v>
      </c>
      <c r="AK2223">
        <v>0</v>
      </c>
      <c r="AU2223" s="6">
        <v>42158</v>
      </c>
      <c r="AV2223" s="6">
        <v>42158</v>
      </c>
      <c r="AW2223" t="s">
        <v>54</v>
      </c>
      <c r="AX2223" t="str">
        <f t="shared" si="181"/>
        <v>FOR</v>
      </c>
      <c r="AY2223" t="s">
        <v>55</v>
      </c>
    </row>
    <row r="2224" spans="1:51" hidden="1">
      <c r="A2224">
        <v>100695</v>
      </c>
      <c r="B2224" t="s">
        <v>230</v>
      </c>
      <c r="C2224" t="str">
        <f t="shared" si="186"/>
        <v>00721920155</v>
      </c>
      <c r="D2224" t="str">
        <f t="shared" si="186"/>
        <v>00721920155</v>
      </c>
      <c r="E2224" t="s">
        <v>52</v>
      </c>
      <c r="F2224">
        <v>2014</v>
      </c>
      <c r="G2224">
        <v>40089008</v>
      </c>
      <c r="H2224" s="1">
        <v>41764</v>
      </c>
      <c r="I2224" s="1">
        <v>41775</v>
      </c>
      <c r="J2224" s="1">
        <v>41775</v>
      </c>
      <c r="K2224" s="1">
        <v>41865</v>
      </c>
      <c r="N2224" s="5"/>
      <c r="O2224">
        <v>119.6</v>
      </c>
      <c r="P2224">
        <v>293</v>
      </c>
      <c r="Q2224" s="2">
        <v>35042.800000000003</v>
      </c>
      <c r="R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 s="1">
        <v>42382</v>
      </c>
      <c r="AC2224" t="s">
        <v>53</v>
      </c>
      <c r="AD2224" t="s">
        <v>53</v>
      </c>
      <c r="AK2224">
        <v>0</v>
      </c>
      <c r="AU2224" s="6">
        <v>42158</v>
      </c>
      <c r="AV2224" s="6">
        <v>42158</v>
      </c>
      <c r="AW2224" t="s">
        <v>54</v>
      </c>
      <c r="AX2224" t="str">
        <f t="shared" si="181"/>
        <v>FOR</v>
      </c>
      <c r="AY2224" t="s">
        <v>55</v>
      </c>
    </row>
    <row r="2225" spans="1:51" hidden="1">
      <c r="A2225">
        <v>100695</v>
      </c>
      <c r="B2225" t="s">
        <v>230</v>
      </c>
      <c r="C2225" t="str">
        <f t="shared" si="186"/>
        <v>00721920155</v>
      </c>
      <c r="D2225" t="str">
        <f t="shared" si="186"/>
        <v>00721920155</v>
      </c>
      <c r="E2225" t="s">
        <v>52</v>
      </c>
      <c r="F2225">
        <v>2014</v>
      </c>
      <c r="G2225">
        <v>40090330</v>
      </c>
      <c r="H2225" s="1">
        <v>41793</v>
      </c>
      <c r="I2225" s="1">
        <v>41810</v>
      </c>
      <c r="J2225" s="1">
        <v>41810</v>
      </c>
      <c r="K2225" s="1">
        <v>41900</v>
      </c>
      <c r="N2225" s="5"/>
      <c r="O2225">
        <v>119.6</v>
      </c>
      <c r="P2225">
        <v>258</v>
      </c>
      <c r="Q2225" s="2">
        <v>30856.799999999999</v>
      </c>
      <c r="R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 s="1">
        <v>42382</v>
      </c>
      <c r="AC2225" t="s">
        <v>53</v>
      </c>
      <c r="AD2225" t="s">
        <v>53</v>
      </c>
      <c r="AK2225">
        <v>0</v>
      </c>
      <c r="AU2225" s="6">
        <v>42158</v>
      </c>
      <c r="AV2225" s="6">
        <v>42158</v>
      </c>
      <c r="AW2225" t="s">
        <v>54</v>
      </c>
      <c r="AX2225" t="str">
        <f t="shared" si="181"/>
        <v>FOR</v>
      </c>
      <c r="AY2225" t="s">
        <v>55</v>
      </c>
    </row>
    <row r="2226" spans="1:51" hidden="1">
      <c r="A2226">
        <v>100695</v>
      </c>
      <c r="B2226" t="s">
        <v>230</v>
      </c>
      <c r="C2226" t="str">
        <f t="shared" si="186"/>
        <v>00721920155</v>
      </c>
      <c r="D2226" t="str">
        <f t="shared" si="186"/>
        <v>00721920155</v>
      </c>
      <c r="E2226" t="s">
        <v>52</v>
      </c>
      <c r="F2226">
        <v>2014</v>
      </c>
      <c r="G2226">
        <v>40090332</v>
      </c>
      <c r="H2226" s="1">
        <v>41793</v>
      </c>
      <c r="I2226" s="1">
        <v>41810</v>
      </c>
      <c r="J2226" s="1">
        <v>41810</v>
      </c>
      <c r="K2226" s="1">
        <v>41900</v>
      </c>
      <c r="N2226" s="5"/>
      <c r="O2226">
        <v>119.6</v>
      </c>
      <c r="P2226">
        <v>258</v>
      </c>
      <c r="Q2226" s="2">
        <v>30856.799999999999</v>
      </c>
      <c r="R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 s="1">
        <v>42382</v>
      </c>
      <c r="AC2226" t="s">
        <v>53</v>
      </c>
      <c r="AD2226" t="s">
        <v>53</v>
      </c>
      <c r="AK2226">
        <v>0</v>
      </c>
      <c r="AU2226" s="6">
        <v>42158</v>
      </c>
      <c r="AV2226" s="6">
        <v>42158</v>
      </c>
      <c r="AW2226" t="s">
        <v>54</v>
      </c>
      <c r="AX2226" t="str">
        <f t="shared" si="181"/>
        <v>FOR</v>
      </c>
      <c r="AY2226" t="s">
        <v>55</v>
      </c>
    </row>
    <row r="2227" spans="1:51" hidden="1">
      <c r="A2227">
        <v>100695</v>
      </c>
      <c r="B2227" t="s">
        <v>230</v>
      </c>
      <c r="C2227" t="str">
        <f t="shared" si="186"/>
        <v>00721920155</v>
      </c>
      <c r="D2227" t="str">
        <f t="shared" si="186"/>
        <v>00721920155</v>
      </c>
      <c r="E2227" t="s">
        <v>52</v>
      </c>
      <c r="F2227">
        <v>2014</v>
      </c>
      <c r="G2227">
        <v>40090340</v>
      </c>
      <c r="H2227" s="1">
        <v>41793</v>
      </c>
      <c r="I2227" s="1">
        <v>41810</v>
      </c>
      <c r="J2227" s="1">
        <v>41810</v>
      </c>
      <c r="K2227" s="1">
        <v>41900</v>
      </c>
      <c r="N2227" s="5"/>
      <c r="O2227" s="2">
        <v>2147.1999999999998</v>
      </c>
      <c r="P2227">
        <v>258</v>
      </c>
      <c r="Q2227" s="2">
        <v>553977.59999999998</v>
      </c>
      <c r="R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 s="1">
        <v>42382</v>
      </c>
      <c r="AC2227" t="s">
        <v>53</v>
      </c>
      <c r="AD2227" t="s">
        <v>53</v>
      </c>
      <c r="AK2227">
        <v>0</v>
      </c>
      <c r="AU2227" s="6">
        <v>42158</v>
      </c>
      <c r="AV2227" s="6">
        <v>42158</v>
      </c>
      <c r="AW2227" t="s">
        <v>54</v>
      </c>
      <c r="AX2227" t="str">
        <f t="shared" si="181"/>
        <v>FOR</v>
      </c>
      <c r="AY2227" t="s">
        <v>55</v>
      </c>
    </row>
    <row r="2228" spans="1:51" hidden="1">
      <c r="A2228">
        <v>100695</v>
      </c>
      <c r="B2228" t="s">
        <v>230</v>
      </c>
      <c r="C2228" t="str">
        <f t="shared" si="186"/>
        <v>00721920155</v>
      </c>
      <c r="D2228" t="str">
        <f t="shared" si="186"/>
        <v>00721920155</v>
      </c>
      <c r="E2228" t="s">
        <v>52</v>
      </c>
      <c r="F2228">
        <v>2014</v>
      </c>
      <c r="G2228">
        <v>40090394</v>
      </c>
      <c r="H2228" s="1">
        <v>41795</v>
      </c>
      <c r="I2228" s="1">
        <v>41810</v>
      </c>
      <c r="J2228" s="1">
        <v>41810</v>
      </c>
      <c r="K2228" s="1">
        <v>41900</v>
      </c>
      <c r="N2228" s="5"/>
      <c r="O2228">
        <v>119.6</v>
      </c>
      <c r="P2228">
        <v>258</v>
      </c>
      <c r="Q2228" s="2">
        <v>30856.799999999999</v>
      </c>
      <c r="R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 s="1">
        <v>42382</v>
      </c>
      <c r="AC2228" t="s">
        <v>53</v>
      </c>
      <c r="AD2228" t="s">
        <v>53</v>
      </c>
      <c r="AK2228">
        <v>0</v>
      </c>
      <c r="AU2228" s="6">
        <v>42158</v>
      </c>
      <c r="AV2228" s="6">
        <v>42158</v>
      </c>
      <c r="AW2228" t="s">
        <v>54</v>
      </c>
      <c r="AX2228" t="str">
        <f t="shared" si="181"/>
        <v>FOR</v>
      </c>
      <c r="AY2228" t="s">
        <v>55</v>
      </c>
    </row>
    <row r="2229" spans="1:51" hidden="1">
      <c r="A2229">
        <v>100695</v>
      </c>
      <c r="B2229" t="s">
        <v>230</v>
      </c>
      <c r="C2229" t="str">
        <f t="shared" si="186"/>
        <v>00721920155</v>
      </c>
      <c r="D2229" t="str">
        <f t="shared" si="186"/>
        <v>00721920155</v>
      </c>
      <c r="E2229" t="s">
        <v>52</v>
      </c>
      <c r="F2229">
        <v>2014</v>
      </c>
      <c r="G2229">
        <v>40090396</v>
      </c>
      <c r="H2229" s="1">
        <v>41795</v>
      </c>
      <c r="I2229" s="1">
        <v>41810</v>
      </c>
      <c r="J2229" s="1">
        <v>41810</v>
      </c>
      <c r="K2229" s="1">
        <v>41900</v>
      </c>
      <c r="N2229" s="5"/>
      <c r="O2229">
        <v>119.6</v>
      </c>
      <c r="P2229">
        <v>258</v>
      </c>
      <c r="Q2229" s="2">
        <v>30856.799999999999</v>
      </c>
      <c r="R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 s="1">
        <v>42382</v>
      </c>
      <c r="AC2229" t="s">
        <v>53</v>
      </c>
      <c r="AD2229" t="s">
        <v>53</v>
      </c>
      <c r="AK2229">
        <v>0</v>
      </c>
      <c r="AU2229" s="6">
        <v>42158</v>
      </c>
      <c r="AV2229" s="6">
        <v>42158</v>
      </c>
      <c r="AW2229" t="s">
        <v>54</v>
      </c>
      <c r="AX2229" t="str">
        <f t="shared" si="181"/>
        <v>FOR</v>
      </c>
      <c r="AY2229" t="s">
        <v>55</v>
      </c>
    </row>
    <row r="2230" spans="1:51" hidden="1">
      <c r="A2230">
        <v>100695</v>
      </c>
      <c r="B2230" t="s">
        <v>230</v>
      </c>
      <c r="C2230" t="str">
        <f t="shared" si="186"/>
        <v>00721920155</v>
      </c>
      <c r="D2230" t="str">
        <f t="shared" si="186"/>
        <v>00721920155</v>
      </c>
      <c r="E2230" t="s">
        <v>52</v>
      </c>
      <c r="F2230">
        <v>2014</v>
      </c>
      <c r="G2230">
        <v>40090404</v>
      </c>
      <c r="H2230" s="1">
        <v>41795</v>
      </c>
      <c r="I2230" s="1">
        <v>41810</v>
      </c>
      <c r="J2230" s="1">
        <v>41810</v>
      </c>
      <c r="K2230" s="1">
        <v>41900</v>
      </c>
      <c r="N2230" s="5"/>
      <c r="O2230">
        <v>119.6</v>
      </c>
      <c r="P2230">
        <v>258</v>
      </c>
      <c r="Q2230" s="2">
        <v>30856.799999999999</v>
      </c>
      <c r="R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 s="1">
        <v>42382</v>
      </c>
      <c r="AC2230" t="s">
        <v>53</v>
      </c>
      <c r="AD2230" t="s">
        <v>53</v>
      </c>
      <c r="AK2230">
        <v>0</v>
      </c>
      <c r="AU2230" s="6">
        <v>42158</v>
      </c>
      <c r="AV2230" s="6">
        <v>42158</v>
      </c>
      <c r="AW2230" t="s">
        <v>54</v>
      </c>
      <c r="AX2230" t="str">
        <f t="shared" si="181"/>
        <v>FOR</v>
      </c>
      <c r="AY2230" t="s">
        <v>55</v>
      </c>
    </row>
    <row r="2231" spans="1:51" hidden="1">
      <c r="A2231">
        <v>100695</v>
      </c>
      <c r="B2231" t="s">
        <v>230</v>
      </c>
      <c r="C2231" t="str">
        <f t="shared" si="186"/>
        <v>00721920155</v>
      </c>
      <c r="D2231" t="str">
        <f t="shared" si="186"/>
        <v>00721920155</v>
      </c>
      <c r="E2231" t="s">
        <v>52</v>
      </c>
      <c r="F2231">
        <v>2014</v>
      </c>
      <c r="G2231">
        <v>40090410</v>
      </c>
      <c r="H2231" s="1">
        <v>41795</v>
      </c>
      <c r="I2231" s="1">
        <v>41810</v>
      </c>
      <c r="J2231" s="1">
        <v>41810</v>
      </c>
      <c r="K2231" s="1">
        <v>41900</v>
      </c>
      <c r="N2231" s="5"/>
      <c r="O2231">
        <v>119.6</v>
      </c>
      <c r="P2231">
        <v>258</v>
      </c>
      <c r="Q2231" s="2">
        <v>30856.799999999999</v>
      </c>
      <c r="R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 s="1">
        <v>42382</v>
      </c>
      <c r="AC2231" t="s">
        <v>53</v>
      </c>
      <c r="AD2231" t="s">
        <v>53</v>
      </c>
      <c r="AK2231">
        <v>0</v>
      </c>
      <c r="AU2231" s="6">
        <v>42158</v>
      </c>
      <c r="AV2231" s="6">
        <v>42158</v>
      </c>
      <c r="AW2231" t="s">
        <v>54</v>
      </c>
      <c r="AX2231" t="str">
        <f t="shared" si="181"/>
        <v>FOR</v>
      </c>
      <c r="AY2231" t="s">
        <v>55</v>
      </c>
    </row>
    <row r="2232" spans="1:51" hidden="1">
      <c r="A2232">
        <v>100695</v>
      </c>
      <c r="B2232" t="s">
        <v>230</v>
      </c>
      <c r="C2232" t="str">
        <f t="shared" si="186"/>
        <v>00721920155</v>
      </c>
      <c r="D2232" t="str">
        <f t="shared" si="186"/>
        <v>00721920155</v>
      </c>
      <c r="E2232" t="s">
        <v>52</v>
      </c>
      <c r="F2232">
        <v>2014</v>
      </c>
      <c r="G2232">
        <v>40090411</v>
      </c>
      <c r="H2232" s="1">
        <v>41795</v>
      </c>
      <c r="I2232" s="1">
        <v>41810</v>
      </c>
      <c r="J2232" s="1">
        <v>41810</v>
      </c>
      <c r="K2232" s="1">
        <v>41900</v>
      </c>
      <c r="N2232" s="5"/>
      <c r="O2232">
        <v>119.6</v>
      </c>
      <c r="P2232">
        <v>258</v>
      </c>
      <c r="Q2232" s="2">
        <v>30856.799999999999</v>
      </c>
      <c r="R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 s="1">
        <v>42382</v>
      </c>
      <c r="AC2232" t="s">
        <v>53</v>
      </c>
      <c r="AD2232" t="s">
        <v>53</v>
      </c>
      <c r="AK2232">
        <v>0</v>
      </c>
      <c r="AU2232" s="6">
        <v>42158</v>
      </c>
      <c r="AV2232" s="6">
        <v>42158</v>
      </c>
      <c r="AW2232" t="s">
        <v>54</v>
      </c>
      <c r="AX2232" t="str">
        <f t="shared" si="181"/>
        <v>FOR</v>
      </c>
      <c r="AY2232" t="s">
        <v>55</v>
      </c>
    </row>
    <row r="2233" spans="1:51" hidden="1">
      <c r="A2233">
        <v>100695</v>
      </c>
      <c r="B2233" t="s">
        <v>230</v>
      </c>
      <c r="C2233" t="str">
        <f t="shared" ref="C2233:D2252" si="187">"00721920155"</f>
        <v>00721920155</v>
      </c>
      <c r="D2233" t="str">
        <f t="shared" si="187"/>
        <v>00721920155</v>
      </c>
      <c r="E2233" t="s">
        <v>52</v>
      </c>
      <c r="F2233">
        <v>2014</v>
      </c>
      <c r="G2233">
        <v>40090415</v>
      </c>
      <c r="H2233" s="1">
        <v>41795</v>
      </c>
      <c r="I2233" s="1">
        <v>41810</v>
      </c>
      <c r="J2233" s="1">
        <v>41810</v>
      </c>
      <c r="K2233" s="1">
        <v>41900</v>
      </c>
      <c r="N2233" s="5"/>
      <c r="O2233">
        <v>119.6</v>
      </c>
      <c r="P2233">
        <v>258</v>
      </c>
      <c r="Q2233" s="2">
        <v>30856.799999999999</v>
      </c>
      <c r="R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 s="1">
        <v>42382</v>
      </c>
      <c r="AC2233" t="s">
        <v>53</v>
      </c>
      <c r="AD2233" t="s">
        <v>53</v>
      </c>
      <c r="AK2233">
        <v>0</v>
      </c>
      <c r="AU2233" s="6">
        <v>42158</v>
      </c>
      <c r="AV2233" s="6">
        <v>42158</v>
      </c>
      <c r="AW2233" t="s">
        <v>54</v>
      </c>
      <c r="AX2233" t="str">
        <f t="shared" si="181"/>
        <v>FOR</v>
      </c>
      <c r="AY2233" t="s">
        <v>55</v>
      </c>
    </row>
    <row r="2234" spans="1:51" hidden="1">
      <c r="A2234">
        <v>100695</v>
      </c>
      <c r="B2234" t="s">
        <v>230</v>
      </c>
      <c r="C2234" t="str">
        <f t="shared" si="187"/>
        <v>00721920155</v>
      </c>
      <c r="D2234" t="str">
        <f t="shared" si="187"/>
        <v>00721920155</v>
      </c>
      <c r="E2234" t="s">
        <v>52</v>
      </c>
      <c r="F2234">
        <v>2014</v>
      </c>
      <c r="G2234">
        <v>40090422</v>
      </c>
      <c r="H2234" s="1">
        <v>41795</v>
      </c>
      <c r="I2234" s="1">
        <v>41810</v>
      </c>
      <c r="J2234" s="1">
        <v>41810</v>
      </c>
      <c r="K2234" s="1">
        <v>41900</v>
      </c>
      <c r="N2234" s="5"/>
      <c r="O2234">
        <v>119.6</v>
      </c>
      <c r="P2234">
        <v>258</v>
      </c>
      <c r="Q2234" s="2">
        <v>30856.799999999999</v>
      </c>
      <c r="R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 s="1">
        <v>42382</v>
      </c>
      <c r="AC2234" t="s">
        <v>53</v>
      </c>
      <c r="AD2234" t="s">
        <v>53</v>
      </c>
      <c r="AK2234">
        <v>0</v>
      </c>
      <c r="AU2234" s="6">
        <v>42158</v>
      </c>
      <c r="AV2234" s="6">
        <v>42158</v>
      </c>
      <c r="AW2234" t="s">
        <v>54</v>
      </c>
      <c r="AX2234" t="str">
        <f t="shared" si="181"/>
        <v>FOR</v>
      </c>
      <c r="AY2234" t="s">
        <v>55</v>
      </c>
    </row>
    <row r="2235" spans="1:51" hidden="1">
      <c r="A2235">
        <v>100695</v>
      </c>
      <c r="B2235" t="s">
        <v>230</v>
      </c>
      <c r="C2235" t="str">
        <f t="shared" si="187"/>
        <v>00721920155</v>
      </c>
      <c r="D2235" t="str">
        <f t="shared" si="187"/>
        <v>00721920155</v>
      </c>
      <c r="E2235" t="s">
        <v>52</v>
      </c>
      <c r="F2235">
        <v>2014</v>
      </c>
      <c r="G2235">
        <v>40090424</v>
      </c>
      <c r="H2235" s="1">
        <v>41795</v>
      </c>
      <c r="I2235" s="1">
        <v>41810</v>
      </c>
      <c r="J2235" s="1">
        <v>41810</v>
      </c>
      <c r="K2235" s="1">
        <v>41900</v>
      </c>
      <c r="N2235" s="5"/>
      <c r="O2235">
        <v>119.6</v>
      </c>
      <c r="P2235">
        <v>258</v>
      </c>
      <c r="Q2235" s="2">
        <v>30856.799999999999</v>
      </c>
      <c r="R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 s="1">
        <v>42382</v>
      </c>
      <c r="AC2235" t="s">
        <v>53</v>
      </c>
      <c r="AD2235" t="s">
        <v>53</v>
      </c>
      <c r="AK2235">
        <v>0</v>
      </c>
      <c r="AU2235" s="6">
        <v>42158</v>
      </c>
      <c r="AV2235" s="6">
        <v>42158</v>
      </c>
      <c r="AW2235" t="s">
        <v>54</v>
      </c>
      <c r="AX2235" t="str">
        <f t="shared" si="181"/>
        <v>FOR</v>
      </c>
      <c r="AY2235" t="s">
        <v>55</v>
      </c>
    </row>
    <row r="2236" spans="1:51" hidden="1">
      <c r="A2236">
        <v>100695</v>
      </c>
      <c r="B2236" t="s">
        <v>230</v>
      </c>
      <c r="C2236" t="str">
        <f t="shared" si="187"/>
        <v>00721920155</v>
      </c>
      <c r="D2236" t="str">
        <f t="shared" si="187"/>
        <v>00721920155</v>
      </c>
      <c r="E2236" t="s">
        <v>52</v>
      </c>
      <c r="F2236">
        <v>2014</v>
      </c>
      <c r="G2236">
        <v>40090441</v>
      </c>
      <c r="H2236" s="1">
        <v>41796</v>
      </c>
      <c r="I2236" s="1">
        <v>41810</v>
      </c>
      <c r="J2236" s="1">
        <v>41810</v>
      </c>
      <c r="K2236" s="1">
        <v>41900</v>
      </c>
      <c r="N2236" s="5"/>
      <c r="O2236">
        <v>119.6</v>
      </c>
      <c r="P2236">
        <v>258</v>
      </c>
      <c r="Q2236" s="2">
        <v>30856.799999999999</v>
      </c>
      <c r="R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 s="1">
        <v>42382</v>
      </c>
      <c r="AC2236" t="s">
        <v>53</v>
      </c>
      <c r="AD2236" t="s">
        <v>53</v>
      </c>
      <c r="AK2236">
        <v>0</v>
      </c>
      <c r="AU2236" s="6">
        <v>42158</v>
      </c>
      <c r="AV2236" s="6">
        <v>42158</v>
      </c>
      <c r="AW2236" t="s">
        <v>54</v>
      </c>
      <c r="AX2236" t="str">
        <f t="shared" si="181"/>
        <v>FOR</v>
      </c>
      <c r="AY2236" t="s">
        <v>55</v>
      </c>
    </row>
    <row r="2237" spans="1:51" hidden="1">
      <c r="A2237">
        <v>100695</v>
      </c>
      <c r="B2237" t="s">
        <v>230</v>
      </c>
      <c r="C2237" t="str">
        <f t="shared" si="187"/>
        <v>00721920155</v>
      </c>
      <c r="D2237" t="str">
        <f t="shared" si="187"/>
        <v>00721920155</v>
      </c>
      <c r="E2237" t="s">
        <v>52</v>
      </c>
      <c r="F2237">
        <v>2014</v>
      </c>
      <c r="G2237">
        <v>40090501</v>
      </c>
      <c r="H2237" s="1">
        <v>41799</v>
      </c>
      <c r="I2237" s="1">
        <v>41810</v>
      </c>
      <c r="J2237" s="1">
        <v>41810</v>
      </c>
      <c r="K2237" s="1">
        <v>41900</v>
      </c>
      <c r="N2237" s="5"/>
      <c r="O2237">
        <v>119.6</v>
      </c>
      <c r="P2237">
        <v>258</v>
      </c>
      <c r="Q2237" s="2">
        <v>30856.799999999999</v>
      </c>
      <c r="R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 s="1">
        <v>42382</v>
      </c>
      <c r="AC2237" t="s">
        <v>53</v>
      </c>
      <c r="AD2237" t="s">
        <v>53</v>
      </c>
      <c r="AK2237">
        <v>0</v>
      </c>
      <c r="AU2237" s="6">
        <v>42158</v>
      </c>
      <c r="AV2237" s="6">
        <v>42158</v>
      </c>
      <c r="AW2237" t="s">
        <v>54</v>
      </c>
      <c r="AX2237" t="str">
        <f t="shared" si="181"/>
        <v>FOR</v>
      </c>
      <c r="AY2237" t="s">
        <v>55</v>
      </c>
    </row>
    <row r="2238" spans="1:51" hidden="1">
      <c r="A2238">
        <v>100695</v>
      </c>
      <c r="B2238" t="s">
        <v>230</v>
      </c>
      <c r="C2238" t="str">
        <f t="shared" si="187"/>
        <v>00721920155</v>
      </c>
      <c r="D2238" t="str">
        <f t="shared" si="187"/>
        <v>00721920155</v>
      </c>
      <c r="E2238" t="s">
        <v>52</v>
      </c>
      <c r="F2238">
        <v>2014</v>
      </c>
      <c r="G2238">
        <v>40090505</v>
      </c>
      <c r="H2238" s="1">
        <v>41799</v>
      </c>
      <c r="I2238" s="1">
        <v>41810</v>
      </c>
      <c r="J2238" s="1">
        <v>41810</v>
      </c>
      <c r="K2238" s="1">
        <v>41900</v>
      </c>
      <c r="N2238" s="5"/>
      <c r="O2238">
        <v>119.6</v>
      </c>
      <c r="P2238">
        <v>258</v>
      </c>
      <c r="Q2238" s="2">
        <v>30856.799999999999</v>
      </c>
      <c r="R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 s="1">
        <v>42382</v>
      </c>
      <c r="AC2238" t="s">
        <v>53</v>
      </c>
      <c r="AD2238" t="s">
        <v>53</v>
      </c>
      <c r="AK2238">
        <v>0</v>
      </c>
      <c r="AU2238" s="6">
        <v>42158</v>
      </c>
      <c r="AV2238" s="6">
        <v>42158</v>
      </c>
      <c r="AW2238" t="s">
        <v>54</v>
      </c>
      <c r="AX2238" t="str">
        <f t="shared" si="181"/>
        <v>FOR</v>
      </c>
      <c r="AY2238" t="s">
        <v>55</v>
      </c>
    </row>
    <row r="2239" spans="1:51" hidden="1">
      <c r="A2239">
        <v>100695</v>
      </c>
      <c r="B2239" t="s">
        <v>230</v>
      </c>
      <c r="C2239" t="str">
        <f t="shared" si="187"/>
        <v>00721920155</v>
      </c>
      <c r="D2239" t="str">
        <f t="shared" si="187"/>
        <v>00721920155</v>
      </c>
      <c r="E2239" t="s">
        <v>52</v>
      </c>
      <c r="F2239">
        <v>2014</v>
      </c>
      <c r="G2239">
        <v>40090684</v>
      </c>
      <c r="H2239" s="1">
        <v>41802</v>
      </c>
      <c r="I2239" s="1">
        <v>41829</v>
      </c>
      <c r="J2239" s="1">
        <v>41829</v>
      </c>
      <c r="K2239" s="1">
        <v>41919</v>
      </c>
      <c r="N2239" s="5"/>
      <c r="O2239" s="2">
        <v>2753.34</v>
      </c>
      <c r="P2239">
        <v>239</v>
      </c>
      <c r="Q2239" s="2">
        <v>658048.26</v>
      </c>
      <c r="R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 s="1">
        <v>42382</v>
      </c>
      <c r="AC2239" t="s">
        <v>53</v>
      </c>
      <c r="AD2239" t="s">
        <v>53</v>
      </c>
      <c r="AK2239">
        <v>0</v>
      </c>
      <c r="AU2239" s="6">
        <v>42158</v>
      </c>
      <c r="AV2239" s="6">
        <v>42158</v>
      </c>
      <c r="AW2239" t="s">
        <v>54</v>
      </c>
      <c r="AX2239" t="str">
        <f t="shared" si="181"/>
        <v>FOR</v>
      </c>
      <c r="AY2239" t="s">
        <v>55</v>
      </c>
    </row>
    <row r="2240" spans="1:51" hidden="1">
      <c r="A2240">
        <v>100695</v>
      </c>
      <c r="B2240" t="s">
        <v>230</v>
      </c>
      <c r="C2240" t="str">
        <f t="shared" si="187"/>
        <v>00721920155</v>
      </c>
      <c r="D2240" t="str">
        <f t="shared" si="187"/>
        <v>00721920155</v>
      </c>
      <c r="E2240" t="s">
        <v>52</v>
      </c>
      <c r="F2240">
        <v>2014</v>
      </c>
      <c r="G2240">
        <v>40090705</v>
      </c>
      <c r="H2240" s="1">
        <v>41803</v>
      </c>
      <c r="I2240" s="1">
        <v>41827</v>
      </c>
      <c r="J2240" s="1">
        <v>41827</v>
      </c>
      <c r="K2240" s="1">
        <v>41917</v>
      </c>
      <c r="N2240" s="5"/>
      <c r="O2240">
        <v>119.6</v>
      </c>
      <c r="P2240">
        <v>241</v>
      </c>
      <c r="Q2240" s="2">
        <v>28823.599999999999</v>
      </c>
      <c r="R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 s="1">
        <v>42382</v>
      </c>
      <c r="AC2240" t="s">
        <v>53</v>
      </c>
      <c r="AD2240" t="s">
        <v>53</v>
      </c>
      <c r="AK2240">
        <v>0</v>
      </c>
      <c r="AU2240" s="6">
        <v>42158</v>
      </c>
      <c r="AV2240" s="6">
        <v>42158</v>
      </c>
      <c r="AW2240" t="s">
        <v>54</v>
      </c>
      <c r="AX2240" t="str">
        <f t="shared" si="181"/>
        <v>FOR</v>
      </c>
      <c r="AY2240" t="s">
        <v>55</v>
      </c>
    </row>
    <row r="2241" spans="1:51" hidden="1">
      <c r="A2241">
        <v>100695</v>
      </c>
      <c r="B2241" t="s">
        <v>230</v>
      </c>
      <c r="C2241" t="str">
        <f t="shared" si="187"/>
        <v>00721920155</v>
      </c>
      <c r="D2241" t="str">
        <f t="shared" si="187"/>
        <v>00721920155</v>
      </c>
      <c r="E2241" t="s">
        <v>52</v>
      </c>
      <c r="F2241">
        <v>2014</v>
      </c>
      <c r="G2241">
        <v>40090723</v>
      </c>
      <c r="H2241" s="1">
        <v>41803</v>
      </c>
      <c r="I2241" s="1">
        <v>41827</v>
      </c>
      <c r="J2241" s="1">
        <v>41827</v>
      </c>
      <c r="K2241" s="1">
        <v>41917</v>
      </c>
      <c r="N2241" s="5"/>
      <c r="O2241">
        <v>119.6</v>
      </c>
      <c r="P2241">
        <v>241</v>
      </c>
      <c r="Q2241" s="2">
        <v>28823.599999999999</v>
      </c>
      <c r="R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 s="1">
        <v>42382</v>
      </c>
      <c r="AC2241" t="s">
        <v>53</v>
      </c>
      <c r="AD2241" t="s">
        <v>53</v>
      </c>
      <c r="AK2241">
        <v>0</v>
      </c>
      <c r="AU2241" s="6">
        <v>42158</v>
      </c>
      <c r="AV2241" s="6">
        <v>42158</v>
      </c>
      <c r="AW2241" t="s">
        <v>54</v>
      </c>
      <c r="AX2241" t="str">
        <f t="shared" si="181"/>
        <v>FOR</v>
      </c>
      <c r="AY2241" t="s">
        <v>55</v>
      </c>
    </row>
    <row r="2242" spans="1:51" hidden="1">
      <c r="A2242">
        <v>100695</v>
      </c>
      <c r="B2242" t="s">
        <v>230</v>
      </c>
      <c r="C2242" t="str">
        <f t="shared" si="187"/>
        <v>00721920155</v>
      </c>
      <c r="D2242" t="str">
        <f t="shared" si="187"/>
        <v>00721920155</v>
      </c>
      <c r="E2242" t="s">
        <v>52</v>
      </c>
      <c r="F2242">
        <v>2014</v>
      </c>
      <c r="G2242">
        <v>40090726</v>
      </c>
      <c r="H2242" s="1">
        <v>41803</v>
      </c>
      <c r="I2242" s="1">
        <v>41827</v>
      </c>
      <c r="J2242" s="1">
        <v>41827</v>
      </c>
      <c r="K2242" s="1">
        <v>41917</v>
      </c>
      <c r="N2242" s="5"/>
      <c r="O2242">
        <v>119.6</v>
      </c>
      <c r="P2242">
        <v>241</v>
      </c>
      <c r="Q2242" s="2">
        <v>28823.599999999999</v>
      </c>
      <c r="R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 s="1">
        <v>42382</v>
      </c>
      <c r="AC2242" t="s">
        <v>53</v>
      </c>
      <c r="AD2242" t="s">
        <v>53</v>
      </c>
      <c r="AK2242">
        <v>0</v>
      </c>
      <c r="AU2242" s="6">
        <v>42158</v>
      </c>
      <c r="AV2242" s="6">
        <v>42158</v>
      </c>
      <c r="AW2242" t="s">
        <v>54</v>
      </c>
      <c r="AX2242" t="str">
        <f t="shared" si="181"/>
        <v>FOR</v>
      </c>
      <c r="AY2242" t="s">
        <v>55</v>
      </c>
    </row>
    <row r="2243" spans="1:51" hidden="1">
      <c r="A2243">
        <v>100695</v>
      </c>
      <c r="B2243" t="s">
        <v>230</v>
      </c>
      <c r="C2243" t="str">
        <f t="shared" si="187"/>
        <v>00721920155</v>
      </c>
      <c r="D2243" t="str">
        <f t="shared" si="187"/>
        <v>00721920155</v>
      </c>
      <c r="E2243" t="s">
        <v>52</v>
      </c>
      <c r="F2243">
        <v>2014</v>
      </c>
      <c r="G2243">
        <v>40090746</v>
      </c>
      <c r="H2243" s="1">
        <v>41803</v>
      </c>
      <c r="I2243" s="1">
        <v>41827</v>
      </c>
      <c r="J2243" s="1">
        <v>41827</v>
      </c>
      <c r="K2243" s="1">
        <v>41917</v>
      </c>
      <c r="N2243" s="5"/>
      <c r="O2243">
        <v>119.6</v>
      </c>
      <c r="P2243">
        <v>241</v>
      </c>
      <c r="Q2243" s="2">
        <v>28823.599999999999</v>
      </c>
      <c r="R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 s="1">
        <v>42382</v>
      </c>
      <c r="AC2243" t="s">
        <v>53</v>
      </c>
      <c r="AD2243" t="s">
        <v>53</v>
      </c>
      <c r="AK2243">
        <v>0</v>
      </c>
      <c r="AU2243" s="6">
        <v>42158</v>
      </c>
      <c r="AV2243" s="6">
        <v>42158</v>
      </c>
      <c r="AW2243" t="s">
        <v>54</v>
      </c>
      <c r="AX2243" t="str">
        <f t="shared" ref="AX2243:AX2306" si="188">"FOR"</f>
        <v>FOR</v>
      </c>
      <c r="AY2243" t="s">
        <v>55</v>
      </c>
    </row>
    <row r="2244" spans="1:51" hidden="1">
      <c r="A2244">
        <v>100695</v>
      </c>
      <c r="B2244" t="s">
        <v>230</v>
      </c>
      <c r="C2244" t="str">
        <f t="shared" si="187"/>
        <v>00721920155</v>
      </c>
      <c r="D2244" t="str">
        <f t="shared" si="187"/>
        <v>00721920155</v>
      </c>
      <c r="E2244" t="s">
        <v>52</v>
      </c>
      <c r="F2244">
        <v>2014</v>
      </c>
      <c r="G2244">
        <v>40090750</v>
      </c>
      <c r="H2244" s="1">
        <v>41803</v>
      </c>
      <c r="I2244" s="1">
        <v>41827</v>
      </c>
      <c r="J2244" s="1">
        <v>41827</v>
      </c>
      <c r="K2244" s="1">
        <v>41917</v>
      </c>
      <c r="N2244" s="5"/>
      <c r="O2244">
        <v>119.6</v>
      </c>
      <c r="P2244">
        <v>241</v>
      </c>
      <c r="Q2244" s="2">
        <v>28823.599999999999</v>
      </c>
      <c r="R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 s="1">
        <v>42382</v>
      </c>
      <c r="AC2244" t="s">
        <v>53</v>
      </c>
      <c r="AD2244" t="s">
        <v>53</v>
      </c>
      <c r="AK2244">
        <v>0</v>
      </c>
      <c r="AU2244" s="6">
        <v>42158</v>
      </c>
      <c r="AV2244" s="6">
        <v>42158</v>
      </c>
      <c r="AW2244" t="s">
        <v>54</v>
      </c>
      <c r="AX2244" t="str">
        <f t="shared" si="188"/>
        <v>FOR</v>
      </c>
      <c r="AY2244" t="s">
        <v>55</v>
      </c>
    </row>
    <row r="2245" spans="1:51" hidden="1">
      <c r="A2245">
        <v>100695</v>
      </c>
      <c r="B2245" t="s">
        <v>230</v>
      </c>
      <c r="C2245" t="str">
        <f t="shared" si="187"/>
        <v>00721920155</v>
      </c>
      <c r="D2245" t="str">
        <f t="shared" si="187"/>
        <v>00721920155</v>
      </c>
      <c r="E2245" t="s">
        <v>52</v>
      </c>
      <c r="F2245">
        <v>2014</v>
      </c>
      <c r="G2245">
        <v>40090757</v>
      </c>
      <c r="H2245" s="1">
        <v>41803</v>
      </c>
      <c r="I2245" s="1">
        <v>41827</v>
      </c>
      <c r="J2245" s="1">
        <v>41827</v>
      </c>
      <c r="K2245" s="1">
        <v>41917</v>
      </c>
      <c r="N2245" s="5"/>
      <c r="O2245">
        <v>119.6</v>
      </c>
      <c r="P2245">
        <v>241</v>
      </c>
      <c r="Q2245" s="2">
        <v>28823.599999999999</v>
      </c>
      <c r="R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 s="1">
        <v>42382</v>
      </c>
      <c r="AC2245" t="s">
        <v>53</v>
      </c>
      <c r="AD2245" t="s">
        <v>53</v>
      </c>
      <c r="AK2245">
        <v>0</v>
      </c>
      <c r="AU2245" s="6">
        <v>42158</v>
      </c>
      <c r="AV2245" s="6">
        <v>42158</v>
      </c>
      <c r="AW2245" t="s">
        <v>54</v>
      </c>
      <c r="AX2245" t="str">
        <f t="shared" si="188"/>
        <v>FOR</v>
      </c>
      <c r="AY2245" t="s">
        <v>55</v>
      </c>
    </row>
    <row r="2246" spans="1:51" hidden="1">
      <c r="A2246">
        <v>100695</v>
      </c>
      <c r="B2246" t="s">
        <v>230</v>
      </c>
      <c r="C2246" t="str">
        <f t="shared" si="187"/>
        <v>00721920155</v>
      </c>
      <c r="D2246" t="str">
        <f t="shared" si="187"/>
        <v>00721920155</v>
      </c>
      <c r="E2246" t="s">
        <v>52</v>
      </c>
      <c r="F2246">
        <v>2014</v>
      </c>
      <c r="G2246">
        <v>40090759</v>
      </c>
      <c r="H2246" s="1">
        <v>41803</v>
      </c>
      <c r="I2246" s="1">
        <v>41827</v>
      </c>
      <c r="J2246" s="1">
        <v>41827</v>
      </c>
      <c r="K2246" s="1">
        <v>41917</v>
      </c>
      <c r="N2246" s="5"/>
      <c r="O2246">
        <v>119.6</v>
      </c>
      <c r="P2246">
        <v>241</v>
      </c>
      <c r="Q2246" s="2">
        <v>28823.599999999999</v>
      </c>
      <c r="R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 s="1">
        <v>42382</v>
      </c>
      <c r="AC2246" t="s">
        <v>53</v>
      </c>
      <c r="AD2246" t="s">
        <v>53</v>
      </c>
      <c r="AK2246">
        <v>0</v>
      </c>
      <c r="AU2246" s="6">
        <v>42158</v>
      </c>
      <c r="AV2246" s="6">
        <v>42158</v>
      </c>
      <c r="AW2246" t="s">
        <v>54</v>
      </c>
      <c r="AX2246" t="str">
        <f t="shared" si="188"/>
        <v>FOR</v>
      </c>
      <c r="AY2246" t="s">
        <v>55</v>
      </c>
    </row>
    <row r="2247" spans="1:51" hidden="1">
      <c r="A2247">
        <v>100695</v>
      </c>
      <c r="B2247" t="s">
        <v>230</v>
      </c>
      <c r="C2247" t="str">
        <f t="shared" si="187"/>
        <v>00721920155</v>
      </c>
      <c r="D2247" t="str">
        <f t="shared" si="187"/>
        <v>00721920155</v>
      </c>
      <c r="E2247" t="s">
        <v>52</v>
      </c>
      <c r="F2247">
        <v>2014</v>
      </c>
      <c r="G2247">
        <v>40090768</v>
      </c>
      <c r="H2247" s="1">
        <v>41806</v>
      </c>
      <c r="I2247" s="1">
        <v>41827</v>
      </c>
      <c r="J2247" s="1">
        <v>41827</v>
      </c>
      <c r="K2247" s="1">
        <v>41917</v>
      </c>
      <c r="N2247" s="5"/>
      <c r="O2247">
        <v>119.6</v>
      </c>
      <c r="P2247">
        <v>241</v>
      </c>
      <c r="Q2247" s="2">
        <v>28823.599999999999</v>
      </c>
      <c r="R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 s="1">
        <v>42382</v>
      </c>
      <c r="AC2247" t="s">
        <v>53</v>
      </c>
      <c r="AD2247" t="s">
        <v>53</v>
      </c>
      <c r="AK2247">
        <v>0</v>
      </c>
      <c r="AU2247" s="6">
        <v>42158</v>
      </c>
      <c r="AV2247" s="6">
        <v>42158</v>
      </c>
      <c r="AW2247" t="s">
        <v>54</v>
      </c>
      <c r="AX2247" t="str">
        <f t="shared" si="188"/>
        <v>FOR</v>
      </c>
      <c r="AY2247" t="s">
        <v>55</v>
      </c>
    </row>
    <row r="2248" spans="1:51" hidden="1">
      <c r="A2248">
        <v>100695</v>
      </c>
      <c r="B2248" t="s">
        <v>230</v>
      </c>
      <c r="C2248" t="str">
        <f t="shared" si="187"/>
        <v>00721920155</v>
      </c>
      <c r="D2248" t="str">
        <f t="shared" si="187"/>
        <v>00721920155</v>
      </c>
      <c r="E2248" t="s">
        <v>52</v>
      </c>
      <c r="F2248">
        <v>2014</v>
      </c>
      <c r="G2248">
        <v>40090769</v>
      </c>
      <c r="H2248" s="1">
        <v>41806</v>
      </c>
      <c r="I2248" s="1">
        <v>41827</v>
      </c>
      <c r="J2248" s="1">
        <v>41827</v>
      </c>
      <c r="K2248" s="1">
        <v>41917</v>
      </c>
      <c r="N2248" s="5"/>
      <c r="O2248">
        <v>119.6</v>
      </c>
      <c r="P2248">
        <v>241</v>
      </c>
      <c r="Q2248" s="2">
        <v>28823.599999999999</v>
      </c>
      <c r="R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 s="1">
        <v>42382</v>
      </c>
      <c r="AC2248" t="s">
        <v>53</v>
      </c>
      <c r="AD2248" t="s">
        <v>53</v>
      </c>
      <c r="AK2248">
        <v>0</v>
      </c>
      <c r="AU2248" s="6">
        <v>42158</v>
      </c>
      <c r="AV2248" s="6">
        <v>42158</v>
      </c>
      <c r="AW2248" t="s">
        <v>54</v>
      </c>
      <c r="AX2248" t="str">
        <f t="shared" si="188"/>
        <v>FOR</v>
      </c>
      <c r="AY2248" t="s">
        <v>55</v>
      </c>
    </row>
    <row r="2249" spans="1:51" hidden="1">
      <c r="A2249">
        <v>100695</v>
      </c>
      <c r="B2249" t="s">
        <v>230</v>
      </c>
      <c r="C2249" t="str">
        <f t="shared" si="187"/>
        <v>00721920155</v>
      </c>
      <c r="D2249" t="str">
        <f t="shared" si="187"/>
        <v>00721920155</v>
      </c>
      <c r="E2249" t="s">
        <v>52</v>
      </c>
      <c r="F2249">
        <v>2014</v>
      </c>
      <c r="G2249">
        <v>40090880</v>
      </c>
      <c r="H2249" s="1">
        <v>41808</v>
      </c>
      <c r="I2249" s="1">
        <v>41827</v>
      </c>
      <c r="J2249" s="1">
        <v>41827</v>
      </c>
      <c r="K2249" s="1">
        <v>41917</v>
      </c>
      <c r="N2249" s="5"/>
      <c r="O2249">
        <v>119.6</v>
      </c>
      <c r="P2249">
        <v>241</v>
      </c>
      <c r="Q2249" s="2">
        <v>28823.599999999999</v>
      </c>
      <c r="R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 s="1">
        <v>42382</v>
      </c>
      <c r="AC2249" t="s">
        <v>53</v>
      </c>
      <c r="AD2249" t="s">
        <v>53</v>
      </c>
      <c r="AK2249">
        <v>0</v>
      </c>
      <c r="AU2249" s="6">
        <v>42158</v>
      </c>
      <c r="AV2249" s="6">
        <v>42158</v>
      </c>
      <c r="AW2249" t="s">
        <v>54</v>
      </c>
      <c r="AX2249" t="str">
        <f t="shared" si="188"/>
        <v>FOR</v>
      </c>
      <c r="AY2249" t="s">
        <v>55</v>
      </c>
    </row>
    <row r="2250" spans="1:51" hidden="1">
      <c r="A2250">
        <v>100695</v>
      </c>
      <c r="B2250" t="s">
        <v>230</v>
      </c>
      <c r="C2250" t="str">
        <f t="shared" si="187"/>
        <v>00721920155</v>
      </c>
      <c r="D2250" t="str">
        <f t="shared" si="187"/>
        <v>00721920155</v>
      </c>
      <c r="E2250" t="s">
        <v>52</v>
      </c>
      <c r="F2250">
        <v>2014</v>
      </c>
      <c r="G2250">
        <v>40090888</v>
      </c>
      <c r="H2250" s="1">
        <v>41808</v>
      </c>
      <c r="I2250" s="1">
        <v>41827</v>
      </c>
      <c r="J2250" s="1">
        <v>41827</v>
      </c>
      <c r="K2250" s="1">
        <v>41917</v>
      </c>
      <c r="N2250" s="5"/>
      <c r="O2250">
        <v>119.6</v>
      </c>
      <c r="P2250">
        <v>241</v>
      </c>
      <c r="Q2250" s="2">
        <v>28823.599999999999</v>
      </c>
      <c r="R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 s="1">
        <v>42382</v>
      </c>
      <c r="AC2250" t="s">
        <v>53</v>
      </c>
      <c r="AD2250" t="s">
        <v>53</v>
      </c>
      <c r="AK2250">
        <v>0</v>
      </c>
      <c r="AU2250" s="6">
        <v>42158</v>
      </c>
      <c r="AV2250" s="6">
        <v>42158</v>
      </c>
      <c r="AW2250" t="s">
        <v>54</v>
      </c>
      <c r="AX2250" t="str">
        <f t="shared" si="188"/>
        <v>FOR</v>
      </c>
      <c r="AY2250" t="s">
        <v>55</v>
      </c>
    </row>
    <row r="2251" spans="1:51" hidden="1">
      <c r="A2251">
        <v>100695</v>
      </c>
      <c r="B2251" t="s">
        <v>230</v>
      </c>
      <c r="C2251" t="str">
        <f t="shared" si="187"/>
        <v>00721920155</v>
      </c>
      <c r="D2251" t="str">
        <f t="shared" si="187"/>
        <v>00721920155</v>
      </c>
      <c r="E2251" t="s">
        <v>52</v>
      </c>
      <c r="F2251">
        <v>2014</v>
      </c>
      <c r="G2251">
        <v>40091176</v>
      </c>
      <c r="H2251" s="1">
        <v>41813</v>
      </c>
      <c r="I2251" s="1">
        <v>41829</v>
      </c>
      <c r="J2251" s="1">
        <v>41829</v>
      </c>
      <c r="K2251" s="1">
        <v>41919</v>
      </c>
      <c r="N2251" s="5"/>
      <c r="O2251">
        <v>119.6</v>
      </c>
      <c r="P2251">
        <v>239</v>
      </c>
      <c r="Q2251" s="2">
        <v>28584.400000000001</v>
      </c>
      <c r="R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 s="1">
        <v>42382</v>
      </c>
      <c r="AC2251" t="s">
        <v>53</v>
      </c>
      <c r="AD2251" t="s">
        <v>53</v>
      </c>
      <c r="AK2251">
        <v>0</v>
      </c>
      <c r="AU2251" s="6">
        <v>42158</v>
      </c>
      <c r="AV2251" s="6">
        <v>42158</v>
      </c>
      <c r="AW2251" t="s">
        <v>54</v>
      </c>
      <c r="AX2251" t="str">
        <f t="shared" si="188"/>
        <v>FOR</v>
      </c>
      <c r="AY2251" t="s">
        <v>55</v>
      </c>
    </row>
    <row r="2252" spans="1:51" hidden="1">
      <c r="A2252">
        <v>100695</v>
      </c>
      <c r="B2252" t="s">
        <v>230</v>
      </c>
      <c r="C2252" t="str">
        <f t="shared" si="187"/>
        <v>00721920155</v>
      </c>
      <c r="D2252" t="str">
        <f t="shared" si="187"/>
        <v>00721920155</v>
      </c>
      <c r="E2252" t="s">
        <v>52</v>
      </c>
      <c r="F2252">
        <v>2014</v>
      </c>
      <c r="G2252">
        <v>40091182</v>
      </c>
      <c r="H2252" s="1">
        <v>41813</v>
      </c>
      <c r="I2252" s="1">
        <v>41829</v>
      </c>
      <c r="J2252" s="1">
        <v>41829</v>
      </c>
      <c r="K2252" s="1">
        <v>41919</v>
      </c>
      <c r="N2252" s="5"/>
      <c r="O2252">
        <v>119.6</v>
      </c>
      <c r="P2252">
        <v>239</v>
      </c>
      <c r="Q2252" s="2">
        <v>28584.400000000001</v>
      </c>
      <c r="R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 s="1">
        <v>42382</v>
      </c>
      <c r="AC2252" t="s">
        <v>53</v>
      </c>
      <c r="AD2252" t="s">
        <v>53</v>
      </c>
      <c r="AK2252">
        <v>0</v>
      </c>
      <c r="AU2252" s="6">
        <v>42158</v>
      </c>
      <c r="AV2252" s="6">
        <v>42158</v>
      </c>
      <c r="AW2252" t="s">
        <v>54</v>
      </c>
      <c r="AX2252" t="str">
        <f t="shared" si="188"/>
        <v>FOR</v>
      </c>
      <c r="AY2252" t="s">
        <v>55</v>
      </c>
    </row>
    <row r="2253" spans="1:51" hidden="1">
      <c r="A2253">
        <v>100695</v>
      </c>
      <c r="B2253" t="s">
        <v>230</v>
      </c>
      <c r="C2253" t="str">
        <f t="shared" ref="C2253:D2272" si="189">"00721920155"</f>
        <v>00721920155</v>
      </c>
      <c r="D2253" t="str">
        <f t="shared" si="189"/>
        <v>00721920155</v>
      </c>
      <c r="E2253" t="s">
        <v>52</v>
      </c>
      <c r="F2253">
        <v>2014</v>
      </c>
      <c r="G2253">
        <v>40091440</v>
      </c>
      <c r="H2253" s="1">
        <v>41816</v>
      </c>
      <c r="I2253" s="1">
        <v>41834</v>
      </c>
      <c r="J2253" s="1">
        <v>41834</v>
      </c>
      <c r="K2253" s="1">
        <v>41924</v>
      </c>
      <c r="N2253" s="5"/>
      <c r="O2253" s="2">
        <v>7728.09</v>
      </c>
      <c r="P2253">
        <v>234</v>
      </c>
      <c r="Q2253" s="2">
        <v>1808373.06</v>
      </c>
      <c r="R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 s="1">
        <v>42382</v>
      </c>
      <c r="AC2253" t="s">
        <v>53</v>
      </c>
      <c r="AD2253" t="s">
        <v>53</v>
      </c>
      <c r="AK2253">
        <v>0</v>
      </c>
      <c r="AU2253" s="6">
        <v>42158</v>
      </c>
      <c r="AV2253" s="6">
        <v>42158</v>
      </c>
      <c r="AW2253" t="s">
        <v>54</v>
      </c>
      <c r="AX2253" t="str">
        <f t="shared" si="188"/>
        <v>FOR</v>
      </c>
      <c r="AY2253" t="s">
        <v>55</v>
      </c>
    </row>
    <row r="2254" spans="1:51" hidden="1">
      <c r="A2254">
        <v>100695</v>
      </c>
      <c r="B2254" t="s">
        <v>230</v>
      </c>
      <c r="C2254" t="str">
        <f t="shared" si="189"/>
        <v>00721920155</v>
      </c>
      <c r="D2254" t="str">
        <f t="shared" si="189"/>
        <v>00721920155</v>
      </c>
      <c r="E2254" t="s">
        <v>52</v>
      </c>
      <c r="F2254">
        <v>2014</v>
      </c>
      <c r="G2254">
        <v>40091587</v>
      </c>
      <c r="H2254" s="1">
        <v>41820</v>
      </c>
      <c r="I2254" s="1">
        <v>41841</v>
      </c>
      <c r="J2254" s="1">
        <v>41841</v>
      </c>
      <c r="K2254" s="1">
        <v>41931</v>
      </c>
      <c r="N2254" s="5"/>
      <c r="O2254">
        <v>119.6</v>
      </c>
      <c r="P2254">
        <v>227</v>
      </c>
      <c r="Q2254" s="2">
        <v>27149.200000000001</v>
      </c>
      <c r="R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 s="1">
        <v>42382</v>
      </c>
      <c r="AC2254" t="s">
        <v>53</v>
      </c>
      <c r="AD2254" t="s">
        <v>53</v>
      </c>
      <c r="AK2254">
        <v>0</v>
      </c>
      <c r="AU2254" s="6">
        <v>42158</v>
      </c>
      <c r="AV2254" s="6">
        <v>42158</v>
      </c>
      <c r="AW2254" t="s">
        <v>54</v>
      </c>
      <c r="AX2254" t="str">
        <f t="shared" si="188"/>
        <v>FOR</v>
      </c>
      <c r="AY2254" t="s">
        <v>55</v>
      </c>
    </row>
    <row r="2255" spans="1:51" hidden="1">
      <c r="A2255">
        <v>100695</v>
      </c>
      <c r="B2255" t="s">
        <v>230</v>
      </c>
      <c r="C2255" t="str">
        <f t="shared" si="189"/>
        <v>00721920155</v>
      </c>
      <c r="D2255" t="str">
        <f t="shared" si="189"/>
        <v>00721920155</v>
      </c>
      <c r="E2255" t="s">
        <v>52</v>
      </c>
      <c r="F2255">
        <v>2014</v>
      </c>
      <c r="G2255">
        <v>40091595</v>
      </c>
      <c r="H2255" s="1">
        <v>41820</v>
      </c>
      <c r="I2255" s="1">
        <v>41841</v>
      </c>
      <c r="J2255" s="1">
        <v>41841</v>
      </c>
      <c r="K2255" s="1">
        <v>41931</v>
      </c>
      <c r="N2255" s="5"/>
      <c r="O2255">
        <v>119.6</v>
      </c>
      <c r="P2255">
        <v>227</v>
      </c>
      <c r="Q2255" s="2">
        <v>27149.200000000001</v>
      </c>
      <c r="R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 s="1">
        <v>42382</v>
      </c>
      <c r="AC2255" t="s">
        <v>53</v>
      </c>
      <c r="AD2255" t="s">
        <v>53</v>
      </c>
      <c r="AK2255">
        <v>0</v>
      </c>
      <c r="AU2255" s="6">
        <v>42158</v>
      </c>
      <c r="AV2255" s="6">
        <v>42158</v>
      </c>
      <c r="AW2255" t="s">
        <v>54</v>
      </c>
      <c r="AX2255" t="str">
        <f t="shared" si="188"/>
        <v>FOR</v>
      </c>
      <c r="AY2255" t="s">
        <v>55</v>
      </c>
    </row>
    <row r="2256" spans="1:51" hidden="1">
      <c r="A2256">
        <v>100695</v>
      </c>
      <c r="B2256" t="s">
        <v>230</v>
      </c>
      <c r="C2256" t="str">
        <f t="shared" si="189"/>
        <v>00721920155</v>
      </c>
      <c r="D2256" t="str">
        <f t="shared" si="189"/>
        <v>00721920155</v>
      </c>
      <c r="E2256" t="s">
        <v>52</v>
      </c>
      <c r="F2256">
        <v>2014</v>
      </c>
      <c r="G2256">
        <v>40091609</v>
      </c>
      <c r="H2256" s="1">
        <v>41820</v>
      </c>
      <c r="I2256" s="1">
        <v>41841</v>
      </c>
      <c r="J2256" s="1">
        <v>41841</v>
      </c>
      <c r="K2256" s="1">
        <v>41931</v>
      </c>
      <c r="N2256" s="5"/>
      <c r="O2256">
        <v>119.6</v>
      </c>
      <c r="P2256">
        <v>227</v>
      </c>
      <c r="Q2256" s="2">
        <v>27149.200000000001</v>
      </c>
      <c r="R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 s="1">
        <v>42382</v>
      </c>
      <c r="AC2256" t="s">
        <v>53</v>
      </c>
      <c r="AD2256" t="s">
        <v>53</v>
      </c>
      <c r="AK2256">
        <v>0</v>
      </c>
      <c r="AU2256" s="6">
        <v>42158</v>
      </c>
      <c r="AV2256" s="6">
        <v>42158</v>
      </c>
      <c r="AW2256" t="s">
        <v>54</v>
      </c>
      <c r="AX2256" t="str">
        <f t="shared" si="188"/>
        <v>FOR</v>
      </c>
      <c r="AY2256" t="s">
        <v>55</v>
      </c>
    </row>
    <row r="2257" spans="1:51" hidden="1">
      <c r="A2257">
        <v>100695</v>
      </c>
      <c r="B2257" t="s">
        <v>230</v>
      </c>
      <c r="C2257" t="str">
        <f t="shared" si="189"/>
        <v>00721920155</v>
      </c>
      <c r="D2257" t="str">
        <f t="shared" si="189"/>
        <v>00721920155</v>
      </c>
      <c r="E2257" t="s">
        <v>52</v>
      </c>
      <c r="F2257">
        <v>2014</v>
      </c>
      <c r="G2257">
        <v>40091742</v>
      </c>
      <c r="H2257" s="1">
        <v>41823</v>
      </c>
      <c r="I2257" s="1">
        <v>41845</v>
      </c>
      <c r="J2257" s="1">
        <v>41845</v>
      </c>
      <c r="K2257" s="1">
        <v>41935</v>
      </c>
      <c r="N2257" s="5"/>
      <c r="O2257">
        <v>119.6</v>
      </c>
      <c r="P2257">
        <v>313</v>
      </c>
      <c r="Q2257" s="2">
        <v>37434.800000000003</v>
      </c>
      <c r="R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 s="1">
        <v>42382</v>
      </c>
      <c r="AC2257" t="s">
        <v>53</v>
      </c>
      <c r="AD2257" t="s">
        <v>53</v>
      </c>
      <c r="AK2257">
        <v>0</v>
      </c>
      <c r="AU2257" s="6">
        <v>42248</v>
      </c>
      <c r="AV2257" s="6">
        <v>42248</v>
      </c>
      <c r="AW2257" t="s">
        <v>54</v>
      </c>
      <c r="AX2257" t="str">
        <f t="shared" si="188"/>
        <v>FOR</v>
      </c>
      <c r="AY2257" t="s">
        <v>55</v>
      </c>
    </row>
    <row r="2258" spans="1:51" hidden="1">
      <c r="A2258">
        <v>100695</v>
      </c>
      <c r="B2258" t="s">
        <v>230</v>
      </c>
      <c r="C2258" t="str">
        <f t="shared" si="189"/>
        <v>00721920155</v>
      </c>
      <c r="D2258" t="str">
        <f t="shared" si="189"/>
        <v>00721920155</v>
      </c>
      <c r="E2258" t="s">
        <v>52</v>
      </c>
      <c r="F2258">
        <v>2014</v>
      </c>
      <c r="G2258">
        <v>40091750</v>
      </c>
      <c r="H2258" s="1">
        <v>41823</v>
      </c>
      <c r="I2258" s="1">
        <v>41851</v>
      </c>
      <c r="J2258" s="1">
        <v>41851</v>
      </c>
      <c r="K2258" s="1">
        <v>41941</v>
      </c>
      <c r="N2258" s="5"/>
      <c r="O2258">
        <v>185.93</v>
      </c>
      <c r="P2258">
        <v>217</v>
      </c>
      <c r="Q2258" s="2">
        <v>40346.81</v>
      </c>
      <c r="R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 s="1">
        <v>42382</v>
      </c>
      <c r="AC2258" t="s">
        <v>53</v>
      </c>
      <c r="AD2258" t="s">
        <v>53</v>
      </c>
      <c r="AK2258">
        <v>0</v>
      </c>
      <c r="AU2258" s="6">
        <v>42158</v>
      </c>
      <c r="AV2258" s="6">
        <v>42158</v>
      </c>
      <c r="AW2258" t="s">
        <v>54</v>
      </c>
      <c r="AX2258" t="str">
        <f t="shared" si="188"/>
        <v>FOR</v>
      </c>
      <c r="AY2258" t="s">
        <v>55</v>
      </c>
    </row>
    <row r="2259" spans="1:51" hidden="1">
      <c r="A2259">
        <v>100695</v>
      </c>
      <c r="B2259" t="s">
        <v>230</v>
      </c>
      <c r="C2259" t="str">
        <f t="shared" si="189"/>
        <v>00721920155</v>
      </c>
      <c r="D2259" t="str">
        <f t="shared" si="189"/>
        <v>00721920155</v>
      </c>
      <c r="E2259" t="s">
        <v>52</v>
      </c>
      <c r="F2259">
        <v>2014</v>
      </c>
      <c r="G2259">
        <v>40091872</v>
      </c>
      <c r="H2259" s="1">
        <v>41828</v>
      </c>
      <c r="I2259" s="1">
        <v>41845</v>
      </c>
      <c r="J2259" s="1">
        <v>41845</v>
      </c>
      <c r="K2259" s="1">
        <v>41935</v>
      </c>
      <c r="N2259" s="5"/>
      <c r="O2259">
        <v>119.6</v>
      </c>
      <c r="P2259">
        <v>313</v>
      </c>
      <c r="Q2259" s="2">
        <v>37434.800000000003</v>
      </c>
      <c r="R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 s="1">
        <v>42382</v>
      </c>
      <c r="AC2259" t="s">
        <v>53</v>
      </c>
      <c r="AD2259" t="s">
        <v>53</v>
      </c>
      <c r="AK2259">
        <v>0</v>
      </c>
      <c r="AU2259" s="6">
        <v>42248</v>
      </c>
      <c r="AV2259" s="6">
        <v>42248</v>
      </c>
      <c r="AW2259" t="s">
        <v>54</v>
      </c>
      <c r="AX2259" t="str">
        <f t="shared" si="188"/>
        <v>FOR</v>
      </c>
      <c r="AY2259" t="s">
        <v>55</v>
      </c>
    </row>
    <row r="2260" spans="1:51" hidden="1">
      <c r="A2260">
        <v>100695</v>
      </c>
      <c r="B2260" t="s">
        <v>230</v>
      </c>
      <c r="C2260" t="str">
        <f t="shared" si="189"/>
        <v>00721920155</v>
      </c>
      <c r="D2260" t="str">
        <f t="shared" si="189"/>
        <v>00721920155</v>
      </c>
      <c r="E2260" t="s">
        <v>52</v>
      </c>
      <c r="F2260">
        <v>2014</v>
      </c>
      <c r="G2260">
        <v>40092158</v>
      </c>
      <c r="H2260" s="1">
        <v>41836</v>
      </c>
      <c r="I2260" s="1">
        <v>41851</v>
      </c>
      <c r="J2260" s="1">
        <v>41851</v>
      </c>
      <c r="K2260" s="1">
        <v>41941</v>
      </c>
      <c r="N2260" s="5"/>
      <c r="O2260">
        <v>119.6</v>
      </c>
      <c r="P2260">
        <v>307</v>
      </c>
      <c r="Q2260" s="2">
        <v>36717.199999999997</v>
      </c>
      <c r="R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 s="1">
        <v>42382</v>
      </c>
      <c r="AC2260" t="s">
        <v>53</v>
      </c>
      <c r="AD2260" t="s">
        <v>53</v>
      </c>
      <c r="AK2260">
        <v>0</v>
      </c>
      <c r="AU2260" s="6">
        <v>42248</v>
      </c>
      <c r="AV2260" s="6">
        <v>42248</v>
      </c>
      <c r="AW2260" t="s">
        <v>54</v>
      </c>
      <c r="AX2260" t="str">
        <f t="shared" si="188"/>
        <v>FOR</v>
      </c>
      <c r="AY2260" t="s">
        <v>55</v>
      </c>
    </row>
    <row r="2261" spans="1:51" hidden="1">
      <c r="A2261">
        <v>100695</v>
      </c>
      <c r="B2261" t="s">
        <v>230</v>
      </c>
      <c r="C2261" t="str">
        <f t="shared" si="189"/>
        <v>00721920155</v>
      </c>
      <c r="D2261" t="str">
        <f t="shared" si="189"/>
        <v>00721920155</v>
      </c>
      <c r="E2261" t="s">
        <v>52</v>
      </c>
      <c r="F2261">
        <v>2014</v>
      </c>
      <c r="G2261">
        <v>40092317</v>
      </c>
      <c r="H2261" s="1">
        <v>41838</v>
      </c>
      <c r="I2261" s="1">
        <v>41851</v>
      </c>
      <c r="J2261" s="1">
        <v>41851</v>
      </c>
      <c r="K2261" s="1">
        <v>41941</v>
      </c>
      <c r="N2261" s="5"/>
      <c r="O2261" s="2">
        <v>2709.62</v>
      </c>
      <c r="P2261">
        <v>217</v>
      </c>
      <c r="Q2261" s="2">
        <v>587987.54</v>
      </c>
      <c r="R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 s="1">
        <v>42382</v>
      </c>
      <c r="AC2261" t="s">
        <v>53</v>
      </c>
      <c r="AD2261" t="s">
        <v>53</v>
      </c>
      <c r="AK2261">
        <v>0</v>
      </c>
      <c r="AU2261" s="6">
        <v>42158</v>
      </c>
      <c r="AV2261" s="6">
        <v>42158</v>
      </c>
      <c r="AW2261" t="s">
        <v>54</v>
      </c>
      <c r="AX2261" t="str">
        <f t="shared" si="188"/>
        <v>FOR</v>
      </c>
      <c r="AY2261" t="s">
        <v>55</v>
      </c>
    </row>
    <row r="2262" spans="1:51" hidden="1">
      <c r="A2262">
        <v>100695</v>
      </c>
      <c r="B2262" t="s">
        <v>230</v>
      </c>
      <c r="C2262" t="str">
        <f t="shared" si="189"/>
        <v>00721920155</v>
      </c>
      <c r="D2262" t="str">
        <f t="shared" si="189"/>
        <v>00721920155</v>
      </c>
      <c r="E2262" t="s">
        <v>52</v>
      </c>
      <c r="F2262">
        <v>2014</v>
      </c>
      <c r="G2262">
        <v>40092318</v>
      </c>
      <c r="H2262" s="1">
        <v>41838</v>
      </c>
      <c r="I2262" s="1">
        <v>41851</v>
      </c>
      <c r="J2262" s="1">
        <v>41851</v>
      </c>
      <c r="K2262" s="1">
        <v>41941</v>
      </c>
      <c r="N2262" s="5"/>
      <c r="O2262">
        <v>119.6</v>
      </c>
      <c r="P2262">
        <v>307</v>
      </c>
      <c r="Q2262" s="2">
        <v>36717.199999999997</v>
      </c>
      <c r="R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 s="1">
        <v>42382</v>
      </c>
      <c r="AC2262" t="s">
        <v>53</v>
      </c>
      <c r="AD2262" t="s">
        <v>53</v>
      </c>
      <c r="AK2262">
        <v>0</v>
      </c>
      <c r="AU2262" s="6">
        <v>42248</v>
      </c>
      <c r="AV2262" s="6">
        <v>42248</v>
      </c>
      <c r="AW2262" t="s">
        <v>54</v>
      </c>
      <c r="AX2262" t="str">
        <f t="shared" si="188"/>
        <v>FOR</v>
      </c>
      <c r="AY2262" t="s">
        <v>55</v>
      </c>
    </row>
    <row r="2263" spans="1:51" hidden="1">
      <c r="A2263">
        <v>100695</v>
      </c>
      <c r="B2263" t="s">
        <v>230</v>
      </c>
      <c r="C2263" t="str">
        <f t="shared" si="189"/>
        <v>00721920155</v>
      </c>
      <c r="D2263" t="str">
        <f t="shared" si="189"/>
        <v>00721920155</v>
      </c>
      <c r="E2263" t="s">
        <v>52</v>
      </c>
      <c r="F2263">
        <v>2014</v>
      </c>
      <c r="G2263">
        <v>40092400</v>
      </c>
      <c r="H2263" s="1">
        <v>41841</v>
      </c>
      <c r="I2263" s="1">
        <v>41851</v>
      </c>
      <c r="J2263" s="1">
        <v>41851</v>
      </c>
      <c r="K2263" s="1">
        <v>41941</v>
      </c>
      <c r="N2263" s="5"/>
      <c r="O2263">
        <v>119.6</v>
      </c>
      <c r="P2263">
        <v>307</v>
      </c>
      <c r="Q2263" s="2">
        <v>36717.199999999997</v>
      </c>
      <c r="R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 s="1">
        <v>42382</v>
      </c>
      <c r="AC2263" t="s">
        <v>53</v>
      </c>
      <c r="AD2263" t="s">
        <v>53</v>
      </c>
      <c r="AK2263">
        <v>0</v>
      </c>
      <c r="AU2263" s="6">
        <v>42248</v>
      </c>
      <c r="AV2263" s="6">
        <v>42248</v>
      </c>
      <c r="AW2263" t="s">
        <v>54</v>
      </c>
      <c r="AX2263" t="str">
        <f t="shared" si="188"/>
        <v>FOR</v>
      </c>
      <c r="AY2263" t="s">
        <v>55</v>
      </c>
    </row>
    <row r="2264" spans="1:51" hidden="1">
      <c r="A2264">
        <v>100695</v>
      </c>
      <c r="B2264" t="s">
        <v>230</v>
      </c>
      <c r="C2264" t="str">
        <f t="shared" si="189"/>
        <v>00721920155</v>
      </c>
      <c r="D2264" t="str">
        <f t="shared" si="189"/>
        <v>00721920155</v>
      </c>
      <c r="E2264" t="s">
        <v>52</v>
      </c>
      <c r="F2264">
        <v>2014</v>
      </c>
      <c r="G2264">
        <v>40092431</v>
      </c>
      <c r="H2264" s="1">
        <v>41841</v>
      </c>
      <c r="I2264" s="1">
        <v>41851</v>
      </c>
      <c r="J2264" s="1">
        <v>41851</v>
      </c>
      <c r="K2264" s="1">
        <v>41941</v>
      </c>
      <c r="N2264" s="5"/>
      <c r="O2264">
        <v>119.6</v>
      </c>
      <c r="P2264">
        <v>307</v>
      </c>
      <c r="Q2264" s="2">
        <v>36717.199999999997</v>
      </c>
      <c r="R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 s="1">
        <v>42382</v>
      </c>
      <c r="AC2264" t="s">
        <v>53</v>
      </c>
      <c r="AD2264" t="s">
        <v>53</v>
      </c>
      <c r="AK2264">
        <v>0</v>
      </c>
      <c r="AU2264" s="6">
        <v>42248</v>
      </c>
      <c r="AV2264" s="6">
        <v>42248</v>
      </c>
      <c r="AW2264" t="s">
        <v>54</v>
      </c>
      <c r="AX2264" t="str">
        <f t="shared" si="188"/>
        <v>FOR</v>
      </c>
      <c r="AY2264" t="s">
        <v>55</v>
      </c>
    </row>
    <row r="2265" spans="1:51" hidden="1">
      <c r="A2265">
        <v>100695</v>
      </c>
      <c r="B2265" t="s">
        <v>230</v>
      </c>
      <c r="C2265" t="str">
        <f t="shared" si="189"/>
        <v>00721920155</v>
      </c>
      <c r="D2265" t="str">
        <f t="shared" si="189"/>
        <v>00721920155</v>
      </c>
      <c r="E2265" t="s">
        <v>52</v>
      </c>
      <c r="F2265">
        <v>2014</v>
      </c>
      <c r="G2265">
        <v>40092470</v>
      </c>
      <c r="H2265" s="1">
        <v>41842</v>
      </c>
      <c r="I2265" s="1">
        <v>41851</v>
      </c>
      <c r="J2265" s="1">
        <v>41851</v>
      </c>
      <c r="K2265" s="1">
        <v>41941</v>
      </c>
      <c r="N2265" s="5"/>
      <c r="O2265">
        <v>119.6</v>
      </c>
      <c r="P2265">
        <v>307</v>
      </c>
      <c r="Q2265" s="2">
        <v>36717.199999999997</v>
      </c>
      <c r="R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 s="1">
        <v>42382</v>
      </c>
      <c r="AC2265" t="s">
        <v>53</v>
      </c>
      <c r="AD2265" t="s">
        <v>53</v>
      </c>
      <c r="AK2265">
        <v>0</v>
      </c>
      <c r="AU2265" s="6">
        <v>42248</v>
      </c>
      <c r="AV2265" s="6">
        <v>42248</v>
      </c>
      <c r="AW2265" t="s">
        <v>54</v>
      </c>
      <c r="AX2265" t="str">
        <f t="shared" si="188"/>
        <v>FOR</v>
      </c>
      <c r="AY2265" t="s">
        <v>55</v>
      </c>
    </row>
    <row r="2266" spans="1:51" hidden="1">
      <c r="A2266">
        <v>100695</v>
      </c>
      <c r="B2266" t="s">
        <v>230</v>
      </c>
      <c r="C2266" t="str">
        <f t="shared" si="189"/>
        <v>00721920155</v>
      </c>
      <c r="D2266" t="str">
        <f t="shared" si="189"/>
        <v>00721920155</v>
      </c>
      <c r="E2266" t="s">
        <v>52</v>
      </c>
      <c r="F2266">
        <v>2014</v>
      </c>
      <c r="G2266">
        <v>40092476</v>
      </c>
      <c r="H2266" s="1">
        <v>41842</v>
      </c>
      <c r="I2266" s="1">
        <v>41851</v>
      </c>
      <c r="J2266" s="1">
        <v>41851</v>
      </c>
      <c r="K2266" s="1">
        <v>41941</v>
      </c>
      <c r="N2266" s="5"/>
      <c r="O2266">
        <v>119.6</v>
      </c>
      <c r="P2266">
        <v>307</v>
      </c>
      <c r="Q2266" s="2">
        <v>36717.199999999997</v>
      </c>
      <c r="R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 s="1">
        <v>42382</v>
      </c>
      <c r="AC2266" t="s">
        <v>53</v>
      </c>
      <c r="AD2266" t="s">
        <v>53</v>
      </c>
      <c r="AK2266">
        <v>0</v>
      </c>
      <c r="AU2266" s="6">
        <v>42248</v>
      </c>
      <c r="AV2266" s="6">
        <v>42248</v>
      </c>
      <c r="AW2266" t="s">
        <v>54</v>
      </c>
      <c r="AX2266" t="str">
        <f t="shared" si="188"/>
        <v>FOR</v>
      </c>
      <c r="AY2266" t="s">
        <v>55</v>
      </c>
    </row>
    <row r="2267" spans="1:51" hidden="1">
      <c r="A2267">
        <v>100695</v>
      </c>
      <c r="B2267" t="s">
        <v>230</v>
      </c>
      <c r="C2267" t="str">
        <f t="shared" si="189"/>
        <v>00721920155</v>
      </c>
      <c r="D2267" t="str">
        <f t="shared" si="189"/>
        <v>00721920155</v>
      </c>
      <c r="E2267" t="s">
        <v>52</v>
      </c>
      <c r="F2267">
        <v>2014</v>
      </c>
      <c r="G2267">
        <v>40092489</v>
      </c>
      <c r="H2267" s="1">
        <v>41842</v>
      </c>
      <c r="I2267" s="1">
        <v>41851</v>
      </c>
      <c r="J2267" s="1">
        <v>41851</v>
      </c>
      <c r="K2267" s="1">
        <v>41941</v>
      </c>
      <c r="N2267" s="5"/>
      <c r="O2267">
        <v>119.6</v>
      </c>
      <c r="P2267">
        <v>307</v>
      </c>
      <c r="Q2267" s="2">
        <v>36717.199999999997</v>
      </c>
      <c r="R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 s="1">
        <v>42382</v>
      </c>
      <c r="AC2267" t="s">
        <v>53</v>
      </c>
      <c r="AD2267" t="s">
        <v>53</v>
      </c>
      <c r="AK2267">
        <v>0</v>
      </c>
      <c r="AU2267" s="6">
        <v>42248</v>
      </c>
      <c r="AV2267" s="6">
        <v>42248</v>
      </c>
      <c r="AW2267" t="s">
        <v>54</v>
      </c>
      <c r="AX2267" t="str">
        <f t="shared" si="188"/>
        <v>FOR</v>
      </c>
      <c r="AY2267" t="s">
        <v>55</v>
      </c>
    </row>
    <row r="2268" spans="1:51" hidden="1">
      <c r="A2268">
        <v>100695</v>
      </c>
      <c r="B2268" t="s">
        <v>230</v>
      </c>
      <c r="C2268" t="str">
        <f t="shared" si="189"/>
        <v>00721920155</v>
      </c>
      <c r="D2268" t="str">
        <f t="shared" si="189"/>
        <v>00721920155</v>
      </c>
      <c r="E2268" t="s">
        <v>52</v>
      </c>
      <c r="F2268">
        <v>2014</v>
      </c>
      <c r="G2268">
        <v>40092492</v>
      </c>
      <c r="H2268" s="1">
        <v>41842</v>
      </c>
      <c r="I2268" s="1">
        <v>41851</v>
      </c>
      <c r="J2268" s="1">
        <v>41851</v>
      </c>
      <c r="K2268" s="1">
        <v>41941</v>
      </c>
      <c r="N2268" s="5"/>
      <c r="O2268">
        <v>119.6</v>
      </c>
      <c r="P2268">
        <v>307</v>
      </c>
      <c r="Q2268" s="2">
        <v>36717.199999999997</v>
      </c>
      <c r="R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 s="1">
        <v>42382</v>
      </c>
      <c r="AC2268" t="s">
        <v>53</v>
      </c>
      <c r="AD2268" t="s">
        <v>53</v>
      </c>
      <c r="AK2268">
        <v>0</v>
      </c>
      <c r="AU2268" s="6">
        <v>42248</v>
      </c>
      <c r="AV2268" s="6">
        <v>42248</v>
      </c>
      <c r="AW2268" t="s">
        <v>54</v>
      </c>
      <c r="AX2268" t="str">
        <f t="shared" si="188"/>
        <v>FOR</v>
      </c>
      <c r="AY2268" t="s">
        <v>55</v>
      </c>
    </row>
    <row r="2269" spans="1:51" hidden="1">
      <c r="A2269">
        <v>100695</v>
      </c>
      <c r="B2269" t="s">
        <v>230</v>
      </c>
      <c r="C2269" t="str">
        <f t="shared" si="189"/>
        <v>00721920155</v>
      </c>
      <c r="D2269" t="str">
        <f t="shared" si="189"/>
        <v>00721920155</v>
      </c>
      <c r="E2269" t="s">
        <v>52</v>
      </c>
      <c r="F2269">
        <v>2014</v>
      </c>
      <c r="G2269">
        <v>40092494</v>
      </c>
      <c r="H2269" s="1">
        <v>41842</v>
      </c>
      <c r="I2269" s="1">
        <v>41851</v>
      </c>
      <c r="J2269" s="1">
        <v>41851</v>
      </c>
      <c r="K2269" s="1">
        <v>41941</v>
      </c>
      <c r="N2269" s="5"/>
      <c r="O2269">
        <v>119.6</v>
      </c>
      <c r="P2269">
        <v>307</v>
      </c>
      <c r="Q2269" s="2">
        <v>36717.199999999997</v>
      </c>
      <c r="R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 s="1">
        <v>42382</v>
      </c>
      <c r="AC2269" t="s">
        <v>53</v>
      </c>
      <c r="AD2269" t="s">
        <v>53</v>
      </c>
      <c r="AK2269">
        <v>0</v>
      </c>
      <c r="AU2269" s="6">
        <v>42248</v>
      </c>
      <c r="AV2269" s="6">
        <v>42248</v>
      </c>
      <c r="AW2269" t="s">
        <v>54</v>
      </c>
      <c r="AX2269" t="str">
        <f t="shared" si="188"/>
        <v>FOR</v>
      </c>
      <c r="AY2269" t="s">
        <v>55</v>
      </c>
    </row>
    <row r="2270" spans="1:51" hidden="1">
      <c r="A2270">
        <v>100695</v>
      </c>
      <c r="B2270" t="s">
        <v>230</v>
      </c>
      <c r="C2270" t="str">
        <f t="shared" si="189"/>
        <v>00721920155</v>
      </c>
      <c r="D2270" t="str">
        <f t="shared" si="189"/>
        <v>00721920155</v>
      </c>
      <c r="E2270" t="s">
        <v>52</v>
      </c>
      <c r="F2270">
        <v>2014</v>
      </c>
      <c r="G2270">
        <v>40093024</v>
      </c>
      <c r="H2270" s="1">
        <v>41855</v>
      </c>
      <c r="I2270" s="1">
        <v>41877</v>
      </c>
      <c r="J2270" s="1">
        <v>41877</v>
      </c>
      <c r="K2270" s="1">
        <v>41967</v>
      </c>
      <c r="N2270" s="5"/>
      <c r="O2270">
        <v>119.6</v>
      </c>
      <c r="P2270">
        <v>281</v>
      </c>
      <c r="Q2270" s="2">
        <v>33607.599999999999</v>
      </c>
      <c r="R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 s="1">
        <v>42382</v>
      </c>
      <c r="AC2270" t="s">
        <v>53</v>
      </c>
      <c r="AD2270" t="s">
        <v>53</v>
      </c>
      <c r="AK2270">
        <v>0</v>
      </c>
      <c r="AU2270" s="6">
        <v>42248</v>
      </c>
      <c r="AV2270" s="6">
        <v>42248</v>
      </c>
      <c r="AW2270" t="s">
        <v>54</v>
      </c>
      <c r="AX2270" t="str">
        <f t="shared" si="188"/>
        <v>FOR</v>
      </c>
      <c r="AY2270" t="s">
        <v>55</v>
      </c>
    </row>
    <row r="2271" spans="1:51" hidden="1">
      <c r="A2271">
        <v>100695</v>
      </c>
      <c r="B2271" t="s">
        <v>230</v>
      </c>
      <c r="C2271" t="str">
        <f t="shared" si="189"/>
        <v>00721920155</v>
      </c>
      <c r="D2271" t="str">
        <f t="shared" si="189"/>
        <v>00721920155</v>
      </c>
      <c r="E2271" t="s">
        <v>52</v>
      </c>
      <c r="F2271">
        <v>2014</v>
      </c>
      <c r="G2271">
        <v>40093861</v>
      </c>
      <c r="H2271" s="1">
        <v>41892</v>
      </c>
      <c r="I2271" s="1">
        <v>41911</v>
      </c>
      <c r="J2271" s="1">
        <v>41911</v>
      </c>
      <c r="K2271" s="1">
        <v>42001</v>
      </c>
      <c r="N2271" s="5"/>
      <c r="O2271">
        <v>119.6</v>
      </c>
      <c r="P2271">
        <v>247</v>
      </c>
      <c r="Q2271" s="2">
        <v>29541.200000000001</v>
      </c>
      <c r="R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 s="1">
        <v>42382</v>
      </c>
      <c r="AC2271" t="s">
        <v>53</v>
      </c>
      <c r="AD2271" t="s">
        <v>53</v>
      </c>
      <c r="AK2271">
        <v>0</v>
      </c>
      <c r="AU2271" s="6">
        <v>42248</v>
      </c>
      <c r="AV2271" s="6">
        <v>42248</v>
      </c>
      <c r="AW2271" t="s">
        <v>54</v>
      </c>
      <c r="AX2271" t="str">
        <f t="shared" si="188"/>
        <v>FOR</v>
      </c>
      <c r="AY2271" t="s">
        <v>55</v>
      </c>
    </row>
    <row r="2272" spans="1:51" hidden="1">
      <c r="A2272">
        <v>100695</v>
      </c>
      <c r="B2272" t="s">
        <v>230</v>
      </c>
      <c r="C2272" t="str">
        <f t="shared" si="189"/>
        <v>00721920155</v>
      </c>
      <c r="D2272" t="str">
        <f t="shared" si="189"/>
        <v>00721920155</v>
      </c>
      <c r="E2272" t="s">
        <v>52</v>
      </c>
      <c r="F2272">
        <v>2014</v>
      </c>
      <c r="G2272">
        <v>40093867</v>
      </c>
      <c r="H2272" s="1">
        <v>41892</v>
      </c>
      <c r="I2272" s="1">
        <v>41911</v>
      </c>
      <c r="J2272" s="1">
        <v>41911</v>
      </c>
      <c r="K2272" s="1">
        <v>42001</v>
      </c>
      <c r="N2272" s="5"/>
      <c r="O2272">
        <v>119.6</v>
      </c>
      <c r="P2272">
        <v>247</v>
      </c>
      <c r="Q2272" s="2">
        <v>29541.200000000001</v>
      </c>
      <c r="R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 s="1">
        <v>42382</v>
      </c>
      <c r="AC2272" t="s">
        <v>53</v>
      </c>
      <c r="AD2272" t="s">
        <v>53</v>
      </c>
      <c r="AK2272">
        <v>0</v>
      </c>
      <c r="AU2272" s="6">
        <v>42248</v>
      </c>
      <c r="AV2272" s="6">
        <v>42248</v>
      </c>
      <c r="AW2272" t="s">
        <v>54</v>
      </c>
      <c r="AX2272" t="str">
        <f t="shared" si="188"/>
        <v>FOR</v>
      </c>
      <c r="AY2272" t="s">
        <v>55</v>
      </c>
    </row>
    <row r="2273" spans="1:51" hidden="1">
      <c r="A2273">
        <v>100695</v>
      </c>
      <c r="B2273" t="s">
        <v>230</v>
      </c>
      <c r="C2273" t="str">
        <f t="shared" ref="C2273:D2292" si="190">"00721920155"</f>
        <v>00721920155</v>
      </c>
      <c r="D2273" t="str">
        <f t="shared" si="190"/>
        <v>00721920155</v>
      </c>
      <c r="E2273" t="s">
        <v>52</v>
      </c>
      <c r="F2273">
        <v>2014</v>
      </c>
      <c r="G2273">
        <v>40093870</v>
      </c>
      <c r="H2273" s="1">
        <v>41893</v>
      </c>
      <c r="I2273" s="1">
        <v>41911</v>
      </c>
      <c r="J2273" s="1">
        <v>41911</v>
      </c>
      <c r="K2273" s="1">
        <v>42001</v>
      </c>
      <c r="N2273" s="5"/>
      <c r="O2273">
        <v>119.6</v>
      </c>
      <c r="P2273">
        <v>247</v>
      </c>
      <c r="Q2273" s="2">
        <v>29541.200000000001</v>
      </c>
      <c r="R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 s="1">
        <v>42382</v>
      </c>
      <c r="AC2273" t="s">
        <v>53</v>
      </c>
      <c r="AD2273" t="s">
        <v>53</v>
      </c>
      <c r="AK2273">
        <v>0</v>
      </c>
      <c r="AU2273" s="6">
        <v>42248</v>
      </c>
      <c r="AV2273" s="6">
        <v>42248</v>
      </c>
      <c r="AW2273" t="s">
        <v>54</v>
      </c>
      <c r="AX2273" t="str">
        <f t="shared" si="188"/>
        <v>FOR</v>
      </c>
      <c r="AY2273" t="s">
        <v>55</v>
      </c>
    </row>
    <row r="2274" spans="1:51" hidden="1">
      <c r="A2274">
        <v>100695</v>
      </c>
      <c r="B2274" t="s">
        <v>230</v>
      </c>
      <c r="C2274" t="str">
        <f t="shared" si="190"/>
        <v>00721920155</v>
      </c>
      <c r="D2274" t="str">
        <f t="shared" si="190"/>
        <v>00721920155</v>
      </c>
      <c r="E2274" t="s">
        <v>52</v>
      </c>
      <c r="F2274">
        <v>2014</v>
      </c>
      <c r="G2274">
        <v>40093874</v>
      </c>
      <c r="H2274" s="1">
        <v>41893</v>
      </c>
      <c r="I2274" s="1">
        <v>41911</v>
      </c>
      <c r="J2274" s="1">
        <v>41911</v>
      </c>
      <c r="K2274" s="1">
        <v>42001</v>
      </c>
      <c r="N2274" s="5"/>
      <c r="O2274">
        <v>119.6</v>
      </c>
      <c r="P2274">
        <v>247</v>
      </c>
      <c r="Q2274" s="2">
        <v>29541.200000000001</v>
      </c>
      <c r="R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 s="1">
        <v>42382</v>
      </c>
      <c r="AC2274" t="s">
        <v>53</v>
      </c>
      <c r="AD2274" t="s">
        <v>53</v>
      </c>
      <c r="AK2274">
        <v>0</v>
      </c>
      <c r="AU2274" s="6">
        <v>42248</v>
      </c>
      <c r="AV2274" s="6">
        <v>42248</v>
      </c>
      <c r="AW2274" t="s">
        <v>54</v>
      </c>
      <c r="AX2274" t="str">
        <f t="shared" si="188"/>
        <v>FOR</v>
      </c>
      <c r="AY2274" t="s">
        <v>55</v>
      </c>
    </row>
    <row r="2275" spans="1:51" hidden="1">
      <c r="A2275">
        <v>100695</v>
      </c>
      <c r="B2275" t="s">
        <v>230</v>
      </c>
      <c r="C2275" t="str">
        <f t="shared" si="190"/>
        <v>00721920155</v>
      </c>
      <c r="D2275" t="str">
        <f t="shared" si="190"/>
        <v>00721920155</v>
      </c>
      <c r="E2275" t="s">
        <v>52</v>
      </c>
      <c r="F2275">
        <v>2014</v>
      </c>
      <c r="G2275">
        <v>40093879</v>
      </c>
      <c r="H2275" s="1">
        <v>41893</v>
      </c>
      <c r="I2275" s="1">
        <v>41911</v>
      </c>
      <c r="J2275" s="1">
        <v>41911</v>
      </c>
      <c r="K2275" s="1">
        <v>42001</v>
      </c>
      <c r="N2275" s="5"/>
      <c r="O2275">
        <v>119.6</v>
      </c>
      <c r="P2275">
        <v>247</v>
      </c>
      <c r="Q2275" s="2">
        <v>29541.200000000001</v>
      </c>
      <c r="R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 s="1">
        <v>42382</v>
      </c>
      <c r="AC2275" t="s">
        <v>53</v>
      </c>
      <c r="AD2275" t="s">
        <v>53</v>
      </c>
      <c r="AK2275">
        <v>0</v>
      </c>
      <c r="AU2275" s="6">
        <v>42248</v>
      </c>
      <c r="AV2275" s="6">
        <v>42248</v>
      </c>
      <c r="AW2275" t="s">
        <v>54</v>
      </c>
      <c r="AX2275" t="str">
        <f t="shared" si="188"/>
        <v>FOR</v>
      </c>
      <c r="AY2275" t="s">
        <v>55</v>
      </c>
    </row>
    <row r="2276" spans="1:51" hidden="1">
      <c r="A2276">
        <v>100695</v>
      </c>
      <c r="B2276" t="s">
        <v>230</v>
      </c>
      <c r="C2276" t="str">
        <f t="shared" si="190"/>
        <v>00721920155</v>
      </c>
      <c r="D2276" t="str">
        <f t="shared" si="190"/>
        <v>00721920155</v>
      </c>
      <c r="E2276" t="s">
        <v>52</v>
      </c>
      <c r="F2276">
        <v>2014</v>
      </c>
      <c r="G2276">
        <v>40093882</v>
      </c>
      <c r="H2276" s="1">
        <v>41893</v>
      </c>
      <c r="I2276" s="1">
        <v>41911</v>
      </c>
      <c r="J2276" s="1">
        <v>41911</v>
      </c>
      <c r="K2276" s="1">
        <v>42001</v>
      </c>
      <c r="N2276" s="5"/>
      <c r="O2276">
        <v>119.6</v>
      </c>
      <c r="P2276">
        <v>247</v>
      </c>
      <c r="Q2276" s="2">
        <v>29541.200000000001</v>
      </c>
      <c r="R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 s="1">
        <v>42382</v>
      </c>
      <c r="AC2276" t="s">
        <v>53</v>
      </c>
      <c r="AD2276" t="s">
        <v>53</v>
      </c>
      <c r="AK2276">
        <v>0</v>
      </c>
      <c r="AU2276" s="6">
        <v>42248</v>
      </c>
      <c r="AV2276" s="6">
        <v>42248</v>
      </c>
      <c r="AW2276" t="s">
        <v>54</v>
      </c>
      <c r="AX2276" t="str">
        <f t="shared" si="188"/>
        <v>FOR</v>
      </c>
      <c r="AY2276" t="s">
        <v>55</v>
      </c>
    </row>
    <row r="2277" spans="1:51" hidden="1">
      <c r="A2277">
        <v>100695</v>
      </c>
      <c r="B2277" t="s">
        <v>230</v>
      </c>
      <c r="C2277" t="str">
        <f t="shared" si="190"/>
        <v>00721920155</v>
      </c>
      <c r="D2277" t="str">
        <f t="shared" si="190"/>
        <v>00721920155</v>
      </c>
      <c r="E2277" t="s">
        <v>52</v>
      </c>
      <c r="F2277">
        <v>2014</v>
      </c>
      <c r="G2277">
        <v>40093953</v>
      </c>
      <c r="H2277" s="1">
        <v>41894</v>
      </c>
      <c r="I2277" s="1">
        <v>41911</v>
      </c>
      <c r="J2277" s="1">
        <v>41911</v>
      </c>
      <c r="K2277" s="1">
        <v>42001</v>
      </c>
      <c r="N2277" s="5"/>
      <c r="O2277">
        <v>119.6</v>
      </c>
      <c r="P2277">
        <v>247</v>
      </c>
      <c r="Q2277" s="2">
        <v>29541.200000000001</v>
      </c>
      <c r="R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 s="1">
        <v>42382</v>
      </c>
      <c r="AC2277" t="s">
        <v>53</v>
      </c>
      <c r="AD2277" t="s">
        <v>53</v>
      </c>
      <c r="AK2277">
        <v>0</v>
      </c>
      <c r="AU2277" s="6">
        <v>42248</v>
      </c>
      <c r="AV2277" s="6">
        <v>42248</v>
      </c>
      <c r="AW2277" t="s">
        <v>54</v>
      </c>
      <c r="AX2277" t="str">
        <f t="shared" si="188"/>
        <v>FOR</v>
      </c>
      <c r="AY2277" t="s">
        <v>55</v>
      </c>
    </row>
    <row r="2278" spans="1:51" hidden="1">
      <c r="A2278">
        <v>100695</v>
      </c>
      <c r="B2278" t="s">
        <v>230</v>
      </c>
      <c r="C2278" t="str">
        <f t="shared" si="190"/>
        <v>00721920155</v>
      </c>
      <c r="D2278" t="str">
        <f t="shared" si="190"/>
        <v>00721920155</v>
      </c>
      <c r="E2278" t="s">
        <v>52</v>
      </c>
      <c r="F2278">
        <v>2014</v>
      </c>
      <c r="G2278">
        <v>40093955</v>
      </c>
      <c r="H2278" s="1">
        <v>41894</v>
      </c>
      <c r="I2278" s="1">
        <v>41911</v>
      </c>
      <c r="J2278" s="1">
        <v>41911</v>
      </c>
      <c r="K2278" s="1">
        <v>42001</v>
      </c>
      <c r="N2278" s="5"/>
      <c r="O2278">
        <v>119.6</v>
      </c>
      <c r="P2278">
        <v>247</v>
      </c>
      <c r="Q2278" s="2">
        <v>29541.200000000001</v>
      </c>
      <c r="R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 s="1">
        <v>42382</v>
      </c>
      <c r="AC2278" t="s">
        <v>53</v>
      </c>
      <c r="AD2278" t="s">
        <v>53</v>
      </c>
      <c r="AK2278">
        <v>0</v>
      </c>
      <c r="AU2278" s="6">
        <v>42248</v>
      </c>
      <c r="AV2278" s="6">
        <v>42248</v>
      </c>
      <c r="AW2278" t="s">
        <v>54</v>
      </c>
      <c r="AX2278" t="str">
        <f t="shared" si="188"/>
        <v>FOR</v>
      </c>
      <c r="AY2278" t="s">
        <v>55</v>
      </c>
    </row>
    <row r="2279" spans="1:51" hidden="1">
      <c r="A2279">
        <v>100695</v>
      </c>
      <c r="B2279" t="s">
        <v>230</v>
      </c>
      <c r="C2279" t="str">
        <f t="shared" si="190"/>
        <v>00721920155</v>
      </c>
      <c r="D2279" t="str">
        <f t="shared" si="190"/>
        <v>00721920155</v>
      </c>
      <c r="E2279" t="s">
        <v>52</v>
      </c>
      <c r="F2279">
        <v>2014</v>
      </c>
      <c r="G2279">
        <v>40094087</v>
      </c>
      <c r="H2279" s="1">
        <v>41898</v>
      </c>
      <c r="I2279" s="1">
        <v>41911</v>
      </c>
      <c r="J2279" s="1">
        <v>41911</v>
      </c>
      <c r="K2279" s="1">
        <v>42001</v>
      </c>
      <c r="N2279" s="5"/>
      <c r="O2279">
        <v>119.6</v>
      </c>
      <c r="P2279">
        <v>247</v>
      </c>
      <c r="Q2279" s="2">
        <v>29541.200000000001</v>
      </c>
      <c r="R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 s="1">
        <v>42382</v>
      </c>
      <c r="AC2279" t="s">
        <v>53</v>
      </c>
      <c r="AD2279" t="s">
        <v>53</v>
      </c>
      <c r="AK2279">
        <v>0</v>
      </c>
      <c r="AU2279" s="6">
        <v>42248</v>
      </c>
      <c r="AV2279" s="6">
        <v>42248</v>
      </c>
      <c r="AW2279" t="s">
        <v>54</v>
      </c>
      <c r="AX2279" t="str">
        <f t="shared" si="188"/>
        <v>FOR</v>
      </c>
      <c r="AY2279" t="s">
        <v>55</v>
      </c>
    </row>
    <row r="2280" spans="1:51" hidden="1">
      <c r="A2280">
        <v>100695</v>
      </c>
      <c r="B2280" t="s">
        <v>230</v>
      </c>
      <c r="C2280" t="str">
        <f t="shared" si="190"/>
        <v>00721920155</v>
      </c>
      <c r="D2280" t="str">
        <f t="shared" si="190"/>
        <v>00721920155</v>
      </c>
      <c r="E2280" t="s">
        <v>52</v>
      </c>
      <c r="F2280">
        <v>2014</v>
      </c>
      <c r="G2280">
        <v>40094155</v>
      </c>
      <c r="H2280" s="1">
        <v>41899</v>
      </c>
      <c r="I2280" s="1">
        <v>41911</v>
      </c>
      <c r="J2280" s="1">
        <v>41911</v>
      </c>
      <c r="K2280" s="1">
        <v>42001</v>
      </c>
      <c r="N2280" s="5"/>
      <c r="O2280">
        <v>119.6</v>
      </c>
      <c r="P2280">
        <v>247</v>
      </c>
      <c r="Q2280" s="2">
        <v>29541.200000000001</v>
      </c>
      <c r="R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 s="1">
        <v>42382</v>
      </c>
      <c r="AC2280" t="s">
        <v>53</v>
      </c>
      <c r="AD2280" t="s">
        <v>53</v>
      </c>
      <c r="AK2280">
        <v>0</v>
      </c>
      <c r="AU2280" s="6">
        <v>42248</v>
      </c>
      <c r="AV2280" s="6">
        <v>42248</v>
      </c>
      <c r="AW2280" t="s">
        <v>54</v>
      </c>
      <c r="AX2280" t="str">
        <f t="shared" si="188"/>
        <v>FOR</v>
      </c>
      <c r="AY2280" t="s">
        <v>55</v>
      </c>
    </row>
    <row r="2281" spans="1:51" hidden="1">
      <c r="A2281">
        <v>100695</v>
      </c>
      <c r="B2281" t="s">
        <v>230</v>
      </c>
      <c r="C2281" t="str">
        <f t="shared" si="190"/>
        <v>00721920155</v>
      </c>
      <c r="D2281" t="str">
        <f t="shared" si="190"/>
        <v>00721920155</v>
      </c>
      <c r="E2281" t="s">
        <v>52</v>
      </c>
      <c r="F2281">
        <v>2014</v>
      </c>
      <c r="G2281">
        <v>40094158</v>
      </c>
      <c r="H2281" s="1">
        <v>41899</v>
      </c>
      <c r="I2281" s="1">
        <v>41911</v>
      </c>
      <c r="J2281" s="1">
        <v>41911</v>
      </c>
      <c r="K2281" s="1">
        <v>42001</v>
      </c>
      <c r="N2281" s="5"/>
      <c r="O2281">
        <v>119.6</v>
      </c>
      <c r="P2281">
        <v>247</v>
      </c>
      <c r="Q2281" s="2">
        <v>29541.200000000001</v>
      </c>
      <c r="R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 s="1">
        <v>42382</v>
      </c>
      <c r="AC2281" t="s">
        <v>53</v>
      </c>
      <c r="AD2281" t="s">
        <v>53</v>
      </c>
      <c r="AK2281">
        <v>0</v>
      </c>
      <c r="AU2281" s="6">
        <v>42248</v>
      </c>
      <c r="AV2281" s="6">
        <v>42248</v>
      </c>
      <c r="AW2281" t="s">
        <v>54</v>
      </c>
      <c r="AX2281" t="str">
        <f t="shared" si="188"/>
        <v>FOR</v>
      </c>
      <c r="AY2281" t="s">
        <v>55</v>
      </c>
    </row>
    <row r="2282" spans="1:51" hidden="1">
      <c r="A2282">
        <v>100695</v>
      </c>
      <c r="B2282" t="s">
        <v>230</v>
      </c>
      <c r="C2282" t="str">
        <f t="shared" si="190"/>
        <v>00721920155</v>
      </c>
      <c r="D2282" t="str">
        <f t="shared" si="190"/>
        <v>00721920155</v>
      </c>
      <c r="E2282" t="s">
        <v>52</v>
      </c>
      <c r="F2282">
        <v>2014</v>
      </c>
      <c r="G2282">
        <v>40094173</v>
      </c>
      <c r="H2282" s="1">
        <v>41899</v>
      </c>
      <c r="I2282" s="1">
        <v>41911</v>
      </c>
      <c r="J2282" s="1">
        <v>41911</v>
      </c>
      <c r="K2282" s="1">
        <v>42001</v>
      </c>
      <c r="N2282" s="5"/>
      <c r="O2282">
        <v>119.6</v>
      </c>
      <c r="P2282">
        <v>247</v>
      </c>
      <c r="Q2282" s="2">
        <v>29541.200000000001</v>
      </c>
      <c r="R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 s="1">
        <v>42382</v>
      </c>
      <c r="AC2282" t="s">
        <v>53</v>
      </c>
      <c r="AD2282" t="s">
        <v>53</v>
      </c>
      <c r="AK2282">
        <v>0</v>
      </c>
      <c r="AU2282" s="6">
        <v>42248</v>
      </c>
      <c r="AV2282" s="6">
        <v>42248</v>
      </c>
      <c r="AW2282" t="s">
        <v>54</v>
      </c>
      <c r="AX2282" t="str">
        <f t="shared" si="188"/>
        <v>FOR</v>
      </c>
      <c r="AY2282" t="s">
        <v>55</v>
      </c>
    </row>
    <row r="2283" spans="1:51" hidden="1">
      <c r="A2283">
        <v>100695</v>
      </c>
      <c r="B2283" t="s">
        <v>230</v>
      </c>
      <c r="C2283" t="str">
        <f t="shared" si="190"/>
        <v>00721920155</v>
      </c>
      <c r="D2283" t="str">
        <f t="shared" si="190"/>
        <v>00721920155</v>
      </c>
      <c r="E2283" t="s">
        <v>52</v>
      </c>
      <c r="F2283">
        <v>2014</v>
      </c>
      <c r="G2283">
        <v>40094469</v>
      </c>
      <c r="H2283" s="1">
        <v>41905</v>
      </c>
      <c r="I2283" s="1">
        <v>41929</v>
      </c>
      <c r="J2283" s="1">
        <v>41929</v>
      </c>
      <c r="K2283" s="1">
        <v>41989</v>
      </c>
      <c r="N2283" s="5"/>
      <c r="O2283">
        <v>119.6</v>
      </c>
      <c r="P2283">
        <v>259</v>
      </c>
      <c r="Q2283" s="2">
        <v>30976.400000000001</v>
      </c>
      <c r="R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 s="1">
        <v>42382</v>
      </c>
      <c r="AC2283" t="s">
        <v>53</v>
      </c>
      <c r="AD2283" t="s">
        <v>53</v>
      </c>
      <c r="AK2283">
        <v>0</v>
      </c>
      <c r="AU2283" s="6">
        <v>42248</v>
      </c>
      <c r="AV2283" s="6">
        <v>42248</v>
      </c>
      <c r="AW2283" t="s">
        <v>54</v>
      </c>
      <c r="AX2283" t="str">
        <f t="shared" si="188"/>
        <v>FOR</v>
      </c>
      <c r="AY2283" t="s">
        <v>55</v>
      </c>
    </row>
    <row r="2284" spans="1:51" hidden="1">
      <c r="A2284">
        <v>100695</v>
      </c>
      <c r="B2284" t="s">
        <v>230</v>
      </c>
      <c r="C2284" t="str">
        <f t="shared" si="190"/>
        <v>00721920155</v>
      </c>
      <c r="D2284" t="str">
        <f t="shared" si="190"/>
        <v>00721920155</v>
      </c>
      <c r="E2284" t="s">
        <v>52</v>
      </c>
      <c r="F2284">
        <v>2014</v>
      </c>
      <c r="G2284">
        <v>40094490</v>
      </c>
      <c r="H2284" s="1">
        <v>41905</v>
      </c>
      <c r="I2284" s="1">
        <v>41929</v>
      </c>
      <c r="J2284" s="1">
        <v>41929</v>
      </c>
      <c r="K2284" s="1">
        <v>41989</v>
      </c>
      <c r="N2284" s="5"/>
      <c r="O2284">
        <v>119.6</v>
      </c>
      <c r="P2284">
        <v>259</v>
      </c>
      <c r="Q2284" s="2">
        <v>30976.400000000001</v>
      </c>
      <c r="R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 s="1">
        <v>42382</v>
      </c>
      <c r="AC2284" t="s">
        <v>53</v>
      </c>
      <c r="AD2284" t="s">
        <v>53</v>
      </c>
      <c r="AK2284">
        <v>0</v>
      </c>
      <c r="AU2284" s="6">
        <v>42248</v>
      </c>
      <c r="AV2284" s="6">
        <v>42248</v>
      </c>
      <c r="AW2284" t="s">
        <v>54</v>
      </c>
      <c r="AX2284" t="str">
        <f t="shared" si="188"/>
        <v>FOR</v>
      </c>
      <c r="AY2284" t="s">
        <v>55</v>
      </c>
    </row>
    <row r="2285" spans="1:51" hidden="1">
      <c r="A2285">
        <v>100695</v>
      </c>
      <c r="B2285" t="s">
        <v>230</v>
      </c>
      <c r="C2285" t="str">
        <f t="shared" si="190"/>
        <v>00721920155</v>
      </c>
      <c r="D2285" t="str">
        <f t="shared" si="190"/>
        <v>00721920155</v>
      </c>
      <c r="E2285" t="s">
        <v>52</v>
      </c>
      <c r="F2285">
        <v>2014</v>
      </c>
      <c r="G2285">
        <v>40094566</v>
      </c>
      <c r="H2285" s="1">
        <v>41905</v>
      </c>
      <c r="I2285" s="1">
        <v>41929</v>
      </c>
      <c r="J2285" s="1">
        <v>41929</v>
      </c>
      <c r="K2285" s="1">
        <v>41989</v>
      </c>
      <c r="N2285" s="5"/>
      <c r="O2285">
        <v>119.6</v>
      </c>
      <c r="P2285">
        <v>259</v>
      </c>
      <c r="Q2285" s="2">
        <v>30976.400000000001</v>
      </c>
      <c r="R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 s="1">
        <v>42382</v>
      </c>
      <c r="AC2285" t="s">
        <v>53</v>
      </c>
      <c r="AD2285" t="s">
        <v>53</v>
      </c>
      <c r="AK2285">
        <v>0</v>
      </c>
      <c r="AU2285" s="6">
        <v>42248</v>
      </c>
      <c r="AV2285" s="6">
        <v>42248</v>
      </c>
      <c r="AW2285" t="s">
        <v>54</v>
      </c>
      <c r="AX2285" t="str">
        <f t="shared" si="188"/>
        <v>FOR</v>
      </c>
      <c r="AY2285" t="s">
        <v>55</v>
      </c>
    </row>
    <row r="2286" spans="1:51" hidden="1">
      <c r="A2286">
        <v>100695</v>
      </c>
      <c r="B2286" t="s">
        <v>230</v>
      </c>
      <c r="C2286" t="str">
        <f t="shared" si="190"/>
        <v>00721920155</v>
      </c>
      <c r="D2286" t="str">
        <f t="shared" si="190"/>
        <v>00721920155</v>
      </c>
      <c r="E2286" t="s">
        <v>52</v>
      </c>
      <c r="F2286">
        <v>2014</v>
      </c>
      <c r="G2286">
        <v>40094945</v>
      </c>
      <c r="H2286" s="1">
        <v>41911</v>
      </c>
      <c r="I2286" s="1">
        <v>41929</v>
      </c>
      <c r="J2286" s="1">
        <v>41929</v>
      </c>
      <c r="K2286" s="1">
        <v>41989</v>
      </c>
      <c r="N2286" s="5"/>
      <c r="O2286">
        <v>119.6</v>
      </c>
      <c r="P2286">
        <v>259</v>
      </c>
      <c r="Q2286" s="2">
        <v>30976.400000000001</v>
      </c>
      <c r="R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 s="1">
        <v>42382</v>
      </c>
      <c r="AC2286" t="s">
        <v>53</v>
      </c>
      <c r="AD2286" t="s">
        <v>53</v>
      </c>
      <c r="AK2286">
        <v>0</v>
      </c>
      <c r="AU2286" s="6">
        <v>42248</v>
      </c>
      <c r="AV2286" s="6">
        <v>42248</v>
      </c>
      <c r="AW2286" t="s">
        <v>54</v>
      </c>
      <c r="AX2286" t="str">
        <f t="shared" si="188"/>
        <v>FOR</v>
      </c>
      <c r="AY2286" t="s">
        <v>55</v>
      </c>
    </row>
    <row r="2287" spans="1:51" hidden="1">
      <c r="A2287">
        <v>100695</v>
      </c>
      <c r="B2287" t="s">
        <v>230</v>
      </c>
      <c r="C2287" t="str">
        <f t="shared" si="190"/>
        <v>00721920155</v>
      </c>
      <c r="D2287" t="str">
        <f t="shared" si="190"/>
        <v>00721920155</v>
      </c>
      <c r="E2287" t="s">
        <v>52</v>
      </c>
      <c r="F2287">
        <v>2014</v>
      </c>
      <c r="G2287">
        <v>40094949</v>
      </c>
      <c r="H2287" s="1">
        <v>41912</v>
      </c>
      <c r="I2287" s="1">
        <v>41929</v>
      </c>
      <c r="J2287" s="1">
        <v>41929</v>
      </c>
      <c r="K2287" s="1">
        <v>41989</v>
      </c>
      <c r="N2287" s="5"/>
      <c r="O2287">
        <v>119.6</v>
      </c>
      <c r="P2287">
        <v>259</v>
      </c>
      <c r="Q2287" s="2">
        <v>30976.400000000001</v>
      </c>
      <c r="R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 s="1">
        <v>42382</v>
      </c>
      <c r="AC2287" t="s">
        <v>53</v>
      </c>
      <c r="AD2287" t="s">
        <v>53</v>
      </c>
      <c r="AK2287">
        <v>0</v>
      </c>
      <c r="AU2287" s="6">
        <v>42248</v>
      </c>
      <c r="AV2287" s="6">
        <v>42248</v>
      </c>
      <c r="AW2287" t="s">
        <v>54</v>
      </c>
      <c r="AX2287" t="str">
        <f t="shared" si="188"/>
        <v>FOR</v>
      </c>
      <c r="AY2287" t="s">
        <v>55</v>
      </c>
    </row>
    <row r="2288" spans="1:51" hidden="1">
      <c r="A2288">
        <v>100695</v>
      </c>
      <c r="B2288" t="s">
        <v>230</v>
      </c>
      <c r="C2288" t="str">
        <f t="shared" si="190"/>
        <v>00721920155</v>
      </c>
      <c r="D2288" t="str">
        <f t="shared" si="190"/>
        <v>00721920155</v>
      </c>
      <c r="E2288" t="s">
        <v>52</v>
      </c>
      <c r="F2288">
        <v>2014</v>
      </c>
      <c r="G2288">
        <v>40094957</v>
      </c>
      <c r="H2288" s="1">
        <v>41912</v>
      </c>
      <c r="I2288" s="1">
        <v>41929</v>
      </c>
      <c r="J2288" s="1">
        <v>41929</v>
      </c>
      <c r="K2288" s="1">
        <v>41989</v>
      </c>
      <c r="N2288" s="5"/>
      <c r="O2288">
        <v>119.6</v>
      </c>
      <c r="P2288">
        <v>259</v>
      </c>
      <c r="Q2288" s="2">
        <v>30976.400000000001</v>
      </c>
      <c r="R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 s="1">
        <v>42382</v>
      </c>
      <c r="AC2288" t="s">
        <v>53</v>
      </c>
      <c r="AD2288" t="s">
        <v>53</v>
      </c>
      <c r="AK2288">
        <v>0</v>
      </c>
      <c r="AU2288" s="6">
        <v>42248</v>
      </c>
      <c r="AV2288" s="6">
        <v>42248</v>
      </c>
      <c r="AW2288" t="s">
        <v>54</v>
      </c>
      <c r="AX2288" t="str">
        <f t="shared" si="188"/>
        <v>FOR</v>
      </c>
      <c r="AY2288" t="s">
        <v>55</v>
      </c>
    </row>
    <row r="2289" spans="1:51" hidden="1">
      <c r="A2289">
        <v>100695</v>
      </c>
      <c r="B2289" t="s">
        <v>230</v>
      </c>
      <c r="C2289" t="str">
        <f t="shared" si="190"/>
        <v>00721920155</v>
      </c>
      <c r="D2289" t="str">
        <f t="shared" si="190"/>
        <v>00721920155</v>
      </c>
      <c r="E2289" t="s">
        <v>52</v>
      </c>
      <c r="F2289">
        <v>2014</v>
      </c>
      <c r="G2289">
        <v>40094958</v>
      </c>
      <c r="H2289" s="1">
        <v>41912</v>
      </c>
      <c r="I2289" s="1">
        <v>41929</v>
      </c>
      <c r="J2289" s="1">
        <v>41929</v>
      </c>
      <c r="K2289" s="1">
        <v>41989</v>
      </c>
      <c r="N2289" s="5"/>
      <c r="O2289">
        <v>119.6</v>
      </c>
      <c r="P2289">
        <v>259</v>
      </c>
      <c r="Q2289" s="2">
        <v>30976.400000000001</v>
      </c>
      <c r="R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 s="1">
        <v>42382</v>
      </c>
      <c r="AC2289" t="s">
        <v>53</v>
      </c>
      <c r="AD2289" t="s">
        <v>53</v>
      </c>
      <c r="AK2289">
        <v>0</v>
      </c>
      <c r="AU2289" s="6">
        <v>42248</v>
      </c>
      <c r="AV2289" s="6">
        <v>42248</v>
      </c>
      <c r="AW2289" t="s">
        <v>54</v>
      </c>
      <c r="AX2289" t="str">
        <f t="shared" si="188"/>
        <v>FOR</v>
      </c>
      <c r="AY2289" t="s">
        <v>55</v>
      </c>
    </row>
    <row r="2290" spans="1:51" hidden="1">
      <c r="A2290">
        <v>100695</v>
      </c>
      <c r="B2290" t="s">
        <v>230</v>
      </c>
      <c r="C2290" t="str">
        <f t="shared" si="190"/>
        <v>00721920155</v>
      </c>
      <c r="D2290" t="str">
        <f t="shared" si="190"/>
        <v>00721920155</v>
      </c>
      <c r="E2290" t="s">
        <v>52</v>
      </c>
      <c r="F2290">
        <v>2014</v>
      </c>
      <c r="G2290">
        <v>40094970</v>
      </c>
      <c r="H2290" s="1">
        <v>41912</v>
      </c>
      <c r="I2290" s="1">
        <v>41929</v>
      </c>
      <c r="J2290" s="1">
        <v>41929</v>
      </c>
      <c r="K2290" s="1">
        <v>41989</v>
      </c>
      <c r="N2290" s="5"/>
      <c r="O2290">
        <v>119.6</v>
      </c>
      <c r="P2290">
        <v>259</v>
      </c>
      <c r="Q2290" s="2">
        <v>30976.400000000001</v>
      </c>
      <c r="R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 s="1">
        <v>42382</v>
      </c>
      <c r="AC2290" t="s">
        <v>53</v>
      </c>
      <c r="AD2290" t="s">
        <v>53</v>
      </c>
      <c r="AK2290">
        <v>0</v>
      </c>
      <c r="AU2290" s="6">
        <v>42248</v>
      </c>
      <c r="AV2290" s="6">
        <v>42248</v>
      </c>
      <c r="AW2290" t="s">
        <v>54</v>
      </c>
      <c r="AX2290" t="str">
        <f t="shared" si="188"/>
        <v>FOR</v>
      </c>
      <c r="AY2290" t="s">
        <v>55</v>
      </c>
    </row>
    <row r="2291" spans="1:51" hidden="1">
      <c r="A2291">
        <v>100695</v>
      </c>
      <c r="B2291" t="s">
        <v>230</v>
      </c>
      <c r="C2291" t="str">
        <f t="shared" si="190"/>
        <v>00721920155</v>
      </c>
      <c r="D2291" t="str">
        <f t="shared" si="190"/>
        <v>00721920155</v>
      </c>
      <c r="E2291" t="s">
        <v>52</v>
      </c>
      <c r="F2291">
        <v>2014</v>
      </c>
      <c r="G2291">
        <v>40094974</v>
      </c>
      <c r="H2291" s="1">
        <v>41912</v>
      </c>
      <c r="I2291" s="1">
        <v>41929</v>
      </c>
      <c r="J2291" s="1">
        <v>41929</v>
      </c>
      <c r="K2291" s="1">
        <v>41989</v>
      </c>
      <c r="N2291" s="5"/>
      <c r="O2291">
        <v>119.6</v>
      </c>
      <c r="P2291">
        <v>259</v>
      </c>
      <c r="Q2291" s="2">
        <v>30976.400000000001</v>
      </c>
      <c r="R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 s="1">
        <v>42382</v>
      </c>
      <c r="AC2291" t="s">
        <v>53</v>
      </c>
      <c r="AD2291" t="s">
        <v>53</v>
      </c>
      <c r="AK2291">
        <v>0</v>
      </c>
      <c r="AU2291" s="6">
        <v>42248</v>
      </c>
      <c r="AV2291" s="6">
        <v>42248</v>
      </c>
      <c r="AW2291" t="s">
        <v>54</v>
      </c>
      <c r="AX2291" t="str">
        <f t="shared" si="188"/>
        <v>FOR</v>
      </c>
      <c r="AY2291" t="s">
        <v>55</v>
      </c>
    </row>
    <row r="2292" spans="1:51" hidden="1">
      <c r="A2292">
        <v>100695</v>
      </c>
      <c r="B2292" t="s">
        <v>230</v>
      </c>
      <c r="C2292" t="str">
        <f t="shared" si="190"/>
        <v>00721920155</v>
      </c>
      <c r="D2292" t="str">
        <f t="shared" si="190"/>
        <v>00721920155</v>
      </c>
      <c r="E2292" t="s">
        <v>52</v>
      </c>
      <c r="F2292">
        <v>2014</v>
      </c>
      <c r="G2292">
        <v>40094977</v>
      </c>
      <c r="H2292" s="1">
        <v>41912</v>
      </c>
      <c r="I2292" s="1">
        <v>41929</v>
      </c>
      <c r="J2292" s="1">
        <v>41929</v>
      </c>
      <c r="K2292" s="1">
        <v>41989</v>
      </c>
      <c r="N2292" s="5"/>
      <c r="O2292">
        <v>119.6</v>
      </c>
      <c r="P2292">
        <v>259</v>
      </c>
      <c r="Q2292" s="2">
        <v>30976.400000000001</v>
      </c>
      <c r="R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 s="1">
        <v>42382</v>
      </c>
      <c r="AC2292" t="s">
        <v>53</v>
      </c>
      <c r="AD2292" t="s">
        <v>53</v>
      </c>
      <c r="AK2292">
        <v>0</v>
      </c>
      <c r="AU2292" s="6">
        <v>42248</v>
      </c>
      <c r="AV2292" s="6">
        <v>42248</v>
      </c>
      <c r="AW2292" t="s">
        <v>54</v>
      </c>
      <c r="AX2292" t="str">
        <f t="shared" si="188"/>
        <v>FOR</v>
      </c>
      <c r="AY2292" t="s">
        <v>55</v>
      </c>
    </row>
    <row r="2293" spans="1:51" hidden="1">
      <c r="A2293">
        <v>100695</v>
      </c>
      <c r="B2293" t="s">
        <v>230</v>
      </c>
      <c r="C2293" t="str">
        <f t="shared" ref="C2293:D2312" si="191">"00721920155"</f>
        <v>00721920155</v>
      </c>
      <c r="D2293" t="str">
        <f t="shared" si="191"/>
        <v>00721920155</v>
      </c>
      <c r="E2293" t="s">
        <v>52</v>
      </c>
      <c r="F2293">
        <v>2014</v>
      </c>
      <c r="G2293">
        <v>40094979</v>
      </c>
      <c r="H2293" s="1">
        <v>41912</v>
      </c>
      <c r="I2293" s="1">
        <v>41929</v>
      </c>
      <c r="J2293" s="1">
        <v>41929</v>
      </c>
      <c r="K2293" s="1">
        <v>41989</v>
      </c>
      <c r="N2293" s="5"/>
      <c r="O2293">
        <v>119.6</v>
      </c>
      <c r="P2293">
        <v>259</v>
      </c>
      <c r="Q2293" s="2">
        <v>30976.400000000001</v>
      </c>
      <c r="R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 s="1">
        <v>42382</v>
      </c>
      <c r="AC2293" t="s">
        <v>53</v>
      </c>
      <c r="AD2293" t="s">
        <v>53</v>
      </c>
      <c r="AK2293">
        <v>0</v>
      </c>
      <c r="AU2293" s="6">
        <v>42248</v>
      </c>
      <c r="AV2293" s="6">
        <v>42248</v>
      </c>
      <c r="AW2293" t="s">
        <v>54</v>
      </c>
      <c r="AX2293" t="str">
        <f t="shared" si="188"/>
        <v>FOR</v>
      </c>
      <c r="AY2293" t="s">
        <v>55</v>
      </c>
    </row>
    <row r="2294" spans="1:51" hidden="1">
      <c r="A2294">
        <v>100695</v>
      </c>
      <c r="B2294" t="s">
        <v>230</v>
      </c>
      <c r="C2294" t="str">
        <f t="shared" si="191"/>
        <v>00721920155</v>
      </c>
      <c r="D2294" t="str">
        <f t="shared" si="191"/>
        <v>00721920155</v>
      </c>
      <c r="E2294" t="s">
        <v>52</v>
      </c>
      <c r="F2294">
        <v>2014</v>
      </c>
      <c r="G2294">
        <v>40094981</v>
      </c>
      <c r="H2294" s="1">
        <v>41912</v>
      </c>
      <c r="I2294" s="1">
        <v>41929</v>
      </c>
      <c r="J2294" s="1">
        <v>41929</v>
      </c>
      <c r="K2294" s="1">
        <v>41989</v>
      </c>
      <c r="N2294" s="5"/>
      <c r="O2294">
        <v>119.6</v>
      </c>
      <c r="P2294">
        <v>259</v>
      </c>
      <c r="Q2294" s="2">
        <v>30976.400000000001</v>
      </c>
      <c r="R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 s="1">
        <v>42382</v>
      </c>
      <c r="AC2294" t="s">
        <v>53</v>
      </c>
      <c r="AD2294" t="s">
        <v>53</v>
      </c>
      <c r="AK2294">
        <v>0</v>
      </c>
      <c r="AU2294" s="6">
        <v>42248</v>
      </c>
      <c r="AV2294" s="6">
        <v>42248</v>
      </c>
      <c r="AW2294" t="s">
        <v>54</v>
      </c>
      <c r="AX2294" t="str">
        <f t="shared" si="188"/>
        <v>FOR</v>
      </c>
      <c r="AY2294" t="s">
        <v>55</v>
      </c>
    </row>
    <row r="2295" spans="1:51">
      <c r="A2295">
        <v>100695</v>
      </c>
      <c r="B2295" t="s">
        <v>230</v>
      </c>
      <c r="C2295" t="str">
        <f t="shared" si="191"/>
        <v>00721920155</v>
      </c>
      <c r="D2295" t="str">
        <f t="shared" si="191"/>
        <v>00721920155</v>
      </c>
      <c r="E2295" t="s">
        <v>52</v>
      </c>
      <c r="F2295">
        <v>2014</v>
      </c>
      <c r="G2295">
        <v>40095071</v>
      </c>
      <c r="H2295" s="1">
        <v>41920</v>
      </c>
      <c r="I2295" s="1">
        <v>41932</v>
      </c>
      <c r="J2295" s="1">
        <v>41932</v>
      </c>
      <c r="K2295" s="1">
        <v>41992</v>
      </c>
      <c r="L2295" s="7">
        <v>119.6</v>
      </c>
      <c r="M2295" s="5">
        <v>290</v>
      </c>
      <c r="N2295" s="7">
        <v>34684</v>
      </c>
      <c r="O2295">
        <v>119.6</v>
      </c>
      <c r="P2295">
        <v>290</v>
      </c>
      <c r="Q2295" s="2">
        <v>34684</v>
      </c>
      <c r="R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 s="1">
        <v>42382</v>
      </c>
      <c r="AC2295" t="s">
        <v>53</v>
      </c>
      <c r="AD2295" t="s">
        <v>53</v>
      </c>
      <c r="AK2295">
        <v>0</v>
      </c>
      <c r="AU2295" s="6">
        <v>42282</v>
      </c>
      <c r="AV2295" s="6">
        <v>42282</v>
      </c>
      <c r="AW2295" t="s">
        <v>54</v>
      </c>
      <c r="AX2295" t="str">
        <f t="shared" si="188"/>
        <v>FOR</v>
      </c>
      <c r="AY2295" t="s">
        <v>55</v>
      </c>
    </row>
    <row r="2296" spans="1:51">
      <c r="A2296">
        <v>100695</v>
      </c>
      <c r="B2296" t="s">
        <v>230</v>
      </c>
      <c r="C2296" t="str">
        <f t="shared" si="191"/>
        <v>00721920155</v>
      </c>
      <c r="D2296" t="str">
        <f t="shared" si="191"/>
        <v>00721920155</v>
      </c>
      <c r="E2296" t="s">
        <v>52</v>
      </c>
      <c r="F2296">
        <v>2014</v>
      </c>
      <c r="G2296">
        <v>40095072</v>
      </c>
      <c r="H2296" s="1">
        <v>41920</v>
      </c>
      <c r="I2296" s="1">
        <v>41932</v>
      </c>
      <c r="J2296" s="1">
        <v>41932</v>
      </c>
      <c r="K2296" s="1">
        <v>41992</v>
      </c>
      <c r="L2296" s="7">
        <v>119.6</v>
      </c>
      <c r="M2296" s="5">
        <v>290</v>
      </c>
      <c r="N2296" s="7">
        <v>34684</v>
      </c>
      <c r="O2296">
        <v>119.6</v>
      </c>
      <c r="P2296">
        <v>290</v>
      </c>
      <c r="Q2296" s="2">
        <v>34684</v>
      </c>
      <c r="R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 s="1">
        <v>42382</v>
      </c>
      <c r="AC2296" t="s">
        <v>53</v>
      </c>
      <c r="AD2296" t="s">
        <v>53</v>
      </c>
      <c r="AK2296">
        <v>0</v>
      </c>
      <c r="AU2296" s="6">
        <v>42282</v>
      </c>
      <c r="AV2296" s="6">
        <v>42282</v>
      </c>
      <c r="AW2296" t="s">
        <v>54</v>
      </c>
      <c r="AX2296" t="str">
        <f t="shared" si="188"/>
        <v>FOR</v>
      </c>
      <c r="AY2296" t="s">
        <v>55</v>
      </c>
    </row>
    <row r="2297" spans="1:51">
      <c r="A2297">
        <v>100695</v>
      </c>
      <c r="B2297" t="s">
        <v>230</v>
      </c>
      <c r="C2297" t="str">
        <f t="shared" si="191"/>
        <v>00721920155</v>
      </c>
      <c r="D2297" t="str">
        <f t="shared" si="191"/>
        <v>00721920155</v>
      </c>
      <c r="E2297" t="s">
        <v>52</v>
      </c>
      <c r="F2297">
        <v>2014</v>
      </c>
      <c r="G2297">
        <v>40095073</v>
      </c>
      <c r="H2297" s="1">
        <v>41920</v>
      </c>
      <c r="I2297" s="1">
        <v>41932</v>
      </c>
      <c r="J2297" s="1">
        <v>41932</v>
      </c>
      <c r="K2297" s="1">
        <v>41992</v>
      </c>
      <c r="L2297" s="7">
        <v>119.6</v>
      </c>
      <c r="M2297" s="5">
        <v>290</v>
      </c>
      <c r="N2297" s="7">
        <v>34684</v>
      </c>
      <c r="O2297">
        <v>119.6</v>
      </c>
      <c r="P2297">
        <v>290</v>
      </c>
      <c r="Q2297" s="2">
        <v>34684</v>
      </c>
      <c r="R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 s="1">
        <v>42382</v>
      </c>
      <c r="AC2297" t="s">
        <v>53</v>
      </c>
      <c r="AD2297" t="s">
        <v>53</v>
      </c>
      <c r="AK2297">
        <v>0</v>
      </c>
      <c r="AU2297" s="6">
        <v>42282</v>
      </c>
      <c r="AV2297" s="6">
        <v>42282</v>
      </c>
      <c r="AW2297" t="s">
        <v>54</v>
      </c>
      <c r="AX2297" t="str">
        <f t="shared" si="188"/>
        <v>FOR</v>
      </c>
      <c r="AY2297" t="s">
        <v>55</v>
      </c>
    </row>
    <row r="2298" spans="1:51">
      <c r="A2298">
        <v>100695</v>
      </c>
      <c r="B2298" t="s">
        <v>230</v>
      </c>
      <c r="C2298" t="str">
        <f t="shared" si="191"/>
        <v>00721920155</v>
      </c>
      <c r="D2298" t="str">
        <f t="shared" si="191"/>
        <v>00721920155</v>
      </c>
      <c r="E2298" t="s">
        <v>52</v>
      </c>
      <c r="F2298">
        <v>2014</v>
      </c>
      <c r="G2298">
        <v>40095075</v>
      </c>
      <c r="H2298" s="1">
        <v>41920</v>
      </c>
      <c r="I2298" s="1">
        <v>41932</v>
      </c>
      <c r="J2298" s="1">
        <v>41932</v>
      </c>
      <c r="K2298" s="1">
        <v>41992</v>
      </c>
      <c r="L2298" s="7">
        <v>119.6</v>
      </c>
      <c r="M2298" s="5">
        <v>290</v>
      </c>
      <c r="N2298" s="7">
        <v>34684</v>
      </c>
      <c r="O2298">
        <v>119.6</v>
      </c>
      <c r="P2298">
        <v>290</v>
      </c>
      <c r="Q2298" s="2">
        <v>34684</v>
      </c>
      <c r="R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 s="1">
        <v>42382</v>
      </c>
      <c r="AC2298" t="s">
        <v>53</v>
      </c>
      <c r="AD2298" t="s">
        <v>53</v>
      </c>
      <c r="AK2298">
        <v>0</v>
      </c>
      <c r="AU2298" s="6">
        <v>42282</v>
      </c>
      <c r="AV2298" s="6">
        <v>42282</v>
      </c>
      <c r="AW2298" t="s">
        <v>54</v>
      </c>
      <c r="AX2298" t="str">
        <f t="shared" si="188"/>
        <v>FOR</v>
      </c>
      <c r="AY2298" t="s">
        <v>55</v>
      </c>
    </row>
    <row r="2299" spans="1:51">
      <c r="A2299">
        <v>100695</v>
      </c>
      <c r="B2299" t="s">
        <v>230</v>
      </c>
      <c r="C2299" t="str">
        <f t="shared" si="191"/>
        <v>00721920155</v>
      </c>
      <c r="D2299" t="str">
        <f t="shared" si="191"/>
        <v>00721920155</v>
      </c>
      <c r="E2299" t="s">
        <v>52</v>
      </c>
      <c r="F2299">
        <v>2014</v>
      </c>
      <c r="G2299">
        <v>40095076</v>
      </c>
      <c r="H2299" s="1">
        <v>41920</v>
      </c>
      <c r="I2299" s="1">
        <v>41932</v>
      </c>
      <c r="J2299" s="1">
        <v>41932</v>
      </c>
      <c r="K2299" s="1">
        <v>41992</v>
      </c>
      <c r="L2299" s="7">
        <v>119.6</v>
      </c>
      <c r="M2299" s="5">
        <v>290</v>
      </c>
      <c r="N2299" s="7">
        <v>34684</v>
      </c>
      <c r="O2299">
        <v>119.6</v>
      </c>
      <c r="P2299">
        <v>290</v>
      </c>
      <c r="Q2299" s="2">
        <v>34684</v>
      </c>
      <c r="R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 s="1">
        <v>42382</v>
      </c>
      <c r="AC2299" t="s">
        <v>53</v>
      </c>
      <c r="AD2299" t="s">
        <v>53</v>
      </c>
      <c r="AK2299">
        <v>0</v>
      </c>
      <c r="AU2299" s="6">
        <v>42282</v>
      </c>
      <c r="AV2299" s="6">
        <v>42282</v>
      </c>
      <c r="AW2299" t="s">
        <v>54</v>
      </c>
      <c r="AX2299" t="str">
        <f t="shared" si="188"/>
        <v>FOR</v>
      </c>
      <c r="AY2299" t="s">
        <v>55</v>
      </c>
    </row>
    <row r="2300" spans="1:51">
      <c r="A2300">
        <v>100695</v>
      </c>
      <c r="B2300" t="s">
        <v>230</v>
      </c>
      <c r="C2300" t="str">
        <f t="shared" si="191"/>
        <v>00721920155</v>
      </c>
      <c r="D2300" t="str">
        <f t="shared" si="191"/>
        <v>00721920155</v>
      </c>
      <c r="E2300" t="s">
        <v>52</v>
      </c>
      <c r="F2300">
        <v>2014</v>
      </c>
      <c r="G2300">
        <v>40095077</v>
      </c>
      <c r="H2300" s="1">
        <v>41920</v>
      </c>
      <c r="I2300" s="1">
        <v>41932</v>
      </c>
      <c r="J2300" s="1">
        <v>41932</v>
      </c>
      <c r="K2300" s="1">
        <v>41992</v>
      </c>
      <c r="L2300" s="7">
        <v>119.6</v>
      </c>
      <c r="M2300" s="5">
        <v>290</v>
      </c>
      <c r="N2300" s="7">
        <v>34684</v>
      </c>
      <c r="O2300">
        <v>119.6</v>
      </c>
      <c r="P2300">
        <v>290</v>
      </c>
      <c r="Q2300" s="2">
        <v>34684</v>
      </c>
      <c r="R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 s="1">
        <v>42382</v>
      </c>
      <c r="AC2300" t="s">
        <v>53</v>
      </c>
      <c r="AD2300" t="s">
        <v>53</v>
      </c>
      <c r="AK2300">
        <v>0</v>
      </c>
      <c r="AU2300" s="6">
        <v>42282</v>
      </c>
      <c r="AV2300" s="6">
        <v>42282</v>
      </c>
      <c r="AW2300" t="s">
        <v>54</v>
      </c>
      <c r="AX2300" t="str">
        <f t="shared" si="188"/>
        <v>FOR</v>
      </c>
      <c r="AY2300" t="s">
        <v>55</v>
      </c>
    </row>
    <row r="2301" spans="1:51">
      <c r="A2301">
        <v>100695</v>
      </c>
      <c r="B2301" t="s">
        <v>230</v>
      </c>
      <c r="C2301" t="str">
        <f t="shared" si="191"/>
        <v>00721920155</v>
      </c>
      <c r="D2301" t="str">
        <f t="shared" si="191"/>
        <v>00721920155</v>
      </c>
      <c r="E2301" t="s">
        <v>52</v>
      </c>
      <c r="F2301">
        <v>2014</v>
      </c>
      <c r="G2301">
        <v>40095078</v>
      </c>
      <c r="H2301" s="1">
        <v>41920</v>
      </c>
      <c r="I2301" s="1">
        <v>41932</v>
      </c>
      <c r="J2301" s="1">
        <v>41932</v>
      </c>
      <c r="K2301" s="1">
        <v>41992</v>
      </c>
      <c r="L2301" s="7">
        <v>119.6</v>
      </c>
      <c r="M2301" s="5">
        <v>290</v>
      </c>
      <c r="N2301" s="7">
        <v>34684</v>
      </c>
      <c r="O2301">
        <v>119.6</v>
      </c>
      <c r="P2301">
        <v>290</v>
      </c>
      <c r="Q2301" s="2">
        <v>34684</v>
      </c>
      <c r="R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 s="1">
        <v>42382</v>
      </c>
      <c r="AC2301" t="s">
        <v>53</v>
      </c>
      <c r="AD2301" t="s">
        <v>53</v>
      </c>
      <c r="AK2301">
        <v>0</v>
      </c>
      <c r="AU2301" s="6">
        <v>42282</v>
      </c>
      <c r="AV2301" s="6">
        <v>42282</v>
      </c>
      <c r="AW2301" t="s">
        <v>54</v>
      </c>
      <c r="AX2301" t="str">
        <f t="shared" si="188"/>
        <v>FOR</v>
      </c>
      <c r="AY2301" t="s">
        <v>55</v>
      </c>
    </row>
    <row r="2302" spans="1:51">
      <c r="A2302">
        <v>100695</v>
      </c>
      <c r="B2302" t="s">
        <v>230</v>
      </c>
      <c r="C2302" t="str">
        <f t="shared" si="191"/>
        <v>00721920155</v>
      </c>
      <c r="D2302" t="str">
        <f t="shared" si="191"/>
        <v>00721920155</v>
      </c>
      <c r="E2302" t="s">
        <v>52</v>
      </c>
      <c r="F2302">
        <v>2014</v>
      </c>
      <c r="G2302">
        <v>40095079</v>
      </c>
      <c r="H2302" s="1">
        <v>41920</v>
      </c>
      <c r="I2302" s="1">
        <v>41932</v>
      </c>
      <c r="J2302" s="1">
        <v>41932</v>
      </c>
      <c r="K2302" s="1">
        <v>41992</v>
      </c>
      <c r="L2302" s="7">
        <v>119.6</v>
      </c>
      <c r="M2302" s="5">
        <v>290</v>
      </c>
      <c r="N2302" s="7">
        <v>34684</v>
      </c>
      <c r="O2302">
        <v>119.6</v>
      </c>
      <c r="P2302">
        <v>290</v>
      </c>
      <c r="Q2302" s="2">
        <v>34684</v>
      </c>
      <c r="R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 s="1">
        <v>42382</v>
      </c>
      <c r="AC2302" t="s">
        <v>53</v>
      </c>
      <c r="AD2302" t="s">
        <v>53</v>
      </c>
      <c r="AK2302">
        <v>0</v>
      </c>
      <c r="AU2302" s="6">
        <v>42282</v>
      </c>
      <c r="AV2302" s="6">
        <v>42282</v>
      </c>
      <c r="AW2302" t="s">
        <v>54</v>
      </c>
      <c r="AX2302" t="str">
        <f t="shared" si="188"/>
        <v>FOR</v>
      </c>
      <c r="AY2302" t="s">
        <v>55</v>
      </c>
    </row>
    <row r="2303" spans="1:51">
      <c r="A2303">
        <v>100695</v>
      </c>
      <c r="B2303" t="s">
        <v>230</v>
      </c>
      <c r="C2303" t="str">
        <f t="shared" si="191"/>
        <v>00721920155</v>
      </c>
      <c r="D2303" t="str">
        <f t="shared" si="191"/>
        <v>00721920155</v>
      </c>
      <c r="E2303" t="s">
        <v>52</v>
      </c>
      <c r="F2303">
        <v>2014</v>
      </c>
      <c r="G2303">
        <v>40095150</v>
      </c>
      <c r="H2303" s="1">
        <v>41921</v>
      </c>
      <c r="I2303" s="1">
        <v>41939</v>
      </c>
      <c r="J2303" s="1">
        <v>41939</v>
      </c>
      <c r="K2303" s="1">
        <v>41999</v>
      </c>
      <c r="L2303" s="7">
        <v>119.6</v>
      </c>
      <c r="M2303" s="5">
        <v>283</v>
      </c>
      <c r="N2303" s="7">
        <v>33846.800000000003</v>
      </c>
      <c r="O2303">
        <v>119.6</v>
      </c>
      <c r="P2303">
        <v>283</v>
      </c>
      <c r="Q2303" s="2">
        <v>33846.800000000003</v>
      </c>
      <c r="R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 s="1">
        <v>42382</v>
      </c>
      <c r="AC2303" t="s">
        <v>53</v>
      </c>
      <c r="AD2303" t="s">
        <v>53</v>
      </c>
      <c r="AK2303">
        <v>0</v>
      </c>
      <c r="AU2303" s="6">
        <v>42282</v>
      </c>
      <c r="AV2303" s="6">
        <v>42282</v>
      </c>
      <c r="AW2303" t="s">
        <v>54</v>
      </c>
      <c r="AX2303" t="str">
        <f t="shared" si="188"/>
        <v>FOR</v>
      </c>
      <c r="AY2303" t="s">
        <v>55</v>
      </c>
    </row>
    <row r="2304" spans="1:51">
      <c r="A2304">
        <v>100695</v>
      </c>
      <c r="B2304" t="s">
        <v>230</v>
      </c>
      <c r="C2304" t="str">
        <f t="shared" si="191"/>
        <v>00721920155</v>
      </c>
      <c r="D2304" t="str">
        <f t="shared" si="191"/>
        <v>00721920155</v>
      </c>
      <c r="E2304" t="s">
        <v>52</v>
      </c>
      <c r="F2304">
        <v>2014</v>
      </c>
      <c r="G2304">
        <v>40095152</v>
      </c>
      <c r="H2304" s="1">
        <v>41921</v>
      </c>
      <c r="I2304" s="1">
        <v>41939</v>
      </c>
      <c r="J2304" s="1">
        <v>41939</v>
      </c>
      <c r="K2304" s="1">
        <v>41999</v>
      </c>
      <c r="L2304" s="7">
        <v>119.6</v>
      </c>
      <c r="M2304" s="5">
        <v>283</v>
      </c>
      <c r="N2304" s="7">
        <v>33846.800000000003</v>
      </c>
      <c r="O2304">
        <v>119.6</v>
      </c>
      <c r="P2304">
        <v>283</v>
      </c>
      <c r="Q2304" s="2">
        <v>33846.800000000003</v>
      </c>
      <c r="R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 s="1">
        <v>42382</v>
      </c>
      <c r="AC2304" t="s">
        <v>53</v>
      </c>
      <c r="AD2304" t="s">
        <v>53</v>
      </c>
      <c r="AK2304">
        <v>0</v>
      </c>
      <c r="AU2304" s="6">
        <v>42282</v>
      </c>
      <c r="AV2304" s="6">
        <v>42282</v>
      </c>
      <c r="AW2304" t="s">
        <v>54</v>
      </c>
      <c r="AX2304" t="str">
        <f t="shared" si="188"/>
        <v>FOR</v>
      </c>
      <c r="AY2304" t="s">
        <v>55</v>
      </c>
    </row>
    <row r="2305" spans="1:51">
      <c r="A2305">
        <v>100695</v>
      </c>
      <c r="B2305" t="s">
        <v>230</v>
      </c>
      <c r="C2305" t="str">
        <f t="shared" si="191"/>
        <v>00721920155</v>
      </c>
      <c r="D2305" t="str">
        <f t="shared" si="191"/>
        <v>00721920155</v>
      </c>
      <c r="E2305" t="s">
        <v>52</v>
      </c>
      <c r="F2305">
        <v>2014</v>
      </c>
      <c r="G2305">
        <v>40095153</v>
      </c>
      <c r="H2305" s="1">
        <v>41921</v>
      </c>
      <c r="I2305" s="1">
        <v>41939</v>
      </c>
      <c r="J2305" s="1">
        <v>41939</v>
      </c>
      <c r="K2305" s="1">
        <v>41999</v>
      </c>
      <c r="L2305" s="7">
        <v>119.6</v>
      </c>
      <c r="M2305" s="5">
        <v>283</v>
      </c>
      <c r="N2305" s="7">
        <v>33846.800000000003</v>
      </c>
      <c r="O2305">
        <v>119.6</v>
      </c>
      <c r="P2305">
        <v>283</v>
      </c>
      <c r="Q2305" s="2">
        <v>33846.800000000003</v>
      </c>
      <c r="R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 s="1">
        <v>42382</v>
      </c>
      <c r="AC2305" t="s">
        <v>53</v>
      </c>
      <c r="AD2305" t="s">
        <v>53</v>
      </c>
      <c r="AK2305">
        <v>0</v>
      </c>
      <c r="AU2305" s="6">
        <v>42282</v>
      </c>
      <c r="AV2305" s="6">
        <v>42282</v>
      </c>
      <c r="AW2305" t="s">
        <v>54</v>
      </c>
      <c r="AX2305" t="str">
        <f t="shared" si="188"/>
        <v>FOR</v>
      </c>
      <c r="AY2305" t="s">
        <v>55</v>
      </c>
    </row>
    <row r="2306" spans="1:51">
      <c r="A2306">
        <v>100695</v>
      </c>
      <c r="B2306" t="s">
        <v>230</v>
      </c>
      <c r="C2306" t="str">
        <f t="shared" si="191"/>
        <v>00721920155</v>
      </c>
      <c r="D2306" t="str">
        <f t="shared" si="191"/>
        <v>00721920155</v>
      </c>
      <c r="E2306" t="s">
        <v>52</v>
      </c>
      <c r="F2306">
        <v>2014</v>
      </c>
      <c r="G2306">
        <v>40095155</v>
      </c>
      <c r="H2306" s="1">
        <v>41921</v>
      </c>
      <c r="I2306" s="1">
        <v>41939</v>
      </c>
      <c r="J2306" s="1">
        <v>41939</v>
      </c>
      <c r="K2306" s="1">
        <v>41999</v>
      </c>
      <c r="L2306" s="7">
        <v>119.6</v>
      </c>
      <c r="M2306" s="5">
        <v>283</v>
      </c>
      <c r="N2306" s="7">
        <v>33846.800000000003</v>
      </c>
      <c r="O2306">
        <v>119.6</v>
      </c>
      <c r="P2306">
        <v>283</v>
      </c>
      <c r="Q2306" s="2">
        <v>33846.800000000003</v>
      </c>
      <c r="R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 s="1">
        <v>42382</v>
      </c>
      <c r="AC2306" t="s">
        <v>53</v>
      </c>
      <c r="AD2306" t="s">
        <v>53</v>
      </c>
      <c r="AK2306">
        <v>0</v>
      </c>
      <c r="AU2306" s="6">
        <v>42282</v>
      </c>
      <c r="AV2306" s="6">
        <v>42282</v>
      </c>
      <c r="AW2306" t="s">
        <v>54</v>
      </c>
      <c r="AX2306" t="str">
        <f t="shared" si="188"/>
        <v>FOR</v>
      </c>
      <c r="AY2306" t="s">
        <v>55</v>
      </c>
    </row>
    <row r="2307" spans="1:51">
      <c r="A2307">
        <v>100695</v>
      </c>
      <c r="B2307" t="s">
        <v>230</v>
      </c>
      <c r="C2307" t="str">
        <f t="shared" si="191"/>
        <v>00721920155</v>
      </c>
      <c r="D2307" t="str">
        <f t="shared" si="191"/>
        <v>00721920155</v>
      </c>
      <c r="E2307" t="s">
        <v>52</v>
      </c>
      <c r="F2307">
        <v>2014</v>
      </c>
      <c r="G2307">
        <v>40095156</v>
      </c>
      <c r="H2307" s="1">
        <v>41921</v>
      </c>
      <c r="I2307" s="1">
        <v>41939</v>
      </c>
      <c r="J2307" s="1">
        <v>41939</v>
      </c>
      <c r="K2307" s="1">
        <v>41999</v>
      </c>
      <c r="L2307" s="7">
        <v>119.6</v>
      </c>
      <c r="M2307" s="5">
        <v>283</v>
      </c>
      <c r="N2307" s="7">
        <v>33846.800000000003</v>
      </c>
      <c r="O2307">
        <v>119.6</v>
      </c>
      <c r="P2307">
        <v>283</v>
      </c>
      <c r="Q2307" s="2">
        <v>33846.800000000003</v>
      </c>
      <c r="R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 s="1">
        <v>42382</v>
      </c>
      <c r="AC2307" t="s">
        <v>53</v>
      </c>
      <c r="AD2307" t="s">
        <v>53</v>
      </c>
      <c r="AK2307">
        <v>0</v>
      </c>
      <c r="AU2307" s="6">
        <v>42282</v>
      </c>
      <c r="AV2307" s="6">
        <v>42282</v>
      </c>
      <c r="AW2307" t="s">
        <v>54</v>
      </c>
      <c r="AX2307" t="str">
        <f t="shared" ref="AX2307:AX2370" si="192">"FOR"</f>
        <v>FOR</v>
      </c>
      <c r="AY2307" t="s">
        <v>55</v>
      </c>
    </row>
    <row r="2308" spans="1:51">
      <c r="A2308">
        <v>100695</v>
      </c>
      <c r="B2308" t="s">
        <v>230</v>
      </c>
      <c r="C2308" t="str">
        <f t="shared" si="191"/>
        <v>00721920155</v>
      </c>
      <c r="D2308" t="str">
        <f t="shared" si="191"/>
        <v>00721920155</v>
      </c>
      <c r="E2308" t="s">
        <v>52</v>
      </c>
      <c r="F2308">
        <v>2014</v>
      </c>
      <c r="G2308">
        <v>40095158</v>
      </c>
      <c r="H2308" s="1">
        <v>41921</v>
      </c>
      <c r="I2308" s="1">
        <v>41939</v>
      </c>
      <c r="J2308" s="1">
        <v>41939</v>
      </c>
      <c r="K2308" s="1">
        <v>41999</v>
      </c>
      <c r="L2308" s="7">
        <v>119.6</v>
      </c>
      <c r="M2308" s="5">
        <v>283</v>
      </c>
      <c r="N2308" s="7">
        <v>33846.800000000003</v>
      </c>
      <c r="O2308">
        <v>119.6</v>
      </c>
      <c r="P2308">
        <v>283</v>
      </c>
      <c r="Q2308" s="2">
        <v>33846.800000000003</v>
      </c>
      <c r="R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 s="1">
        <v>42382</v>
      </c>
      <c r="AC2308" t="s">
        <v>53</v>
      </c>
      <c r="AD2308" t="s">
        <v>53</v>
      </c>
      <c r="AK2308">
        <v>0</v>
      </c>
      <c r="AU2308" s="6">
        <v>42282</v>
      </c>
      <c r="AV2308" s="6">
        <v>42282</v>
      </c>
      <c r="AW2308" t="s">
        <v>54</v>
      </c>
      <c r="AX2308" t="str">
        <f t="shared" si="192"/>
        <v>FOR</v>
      </c>
      <c r="AY2308" t="s">
        <v>55</v>
      </c>
    </row>
    <row r="2309" spans="1:51">
      <c r="A2309">
        <v>100695</v>
      </c>
      <c r="B2309" t="s">
        <v>230</v>
      </c>
      <c r="C2309" t="str">
        <f t="shared" si="191"/>
        <v>00721920155</v>
      </c>
      <c r="D2309" t="str">
        <f t="shared" si="191"/>
        <v>00721920155</v>
      </c>
      <c r="E2309" t="s">
        <v>52</v>
      </c>
      <c r="F2309">
        <v>2014</v>
      </c>
      <c r="G2309">
        <v>40095159</v>
      </c>
      <c r="H2309" s="1">
        <v>41921</v>
      </c>
      <c r="I2309" s="1">
        <v>41939</v>
      </c>
      <c r="J2309" s="1">
        <v>41939</v>
      </c>
      <c r="K2309" s="1">
        <v>41999</v>
      </c>
      <c r="L2309" s="7">
        <v>119.6</v>
      </c>
      <c r="M2309" s="5">
        <v>283</v>
      </c>
      <c r="N2309" s="7">
        <v>33846.800000000003</v>
      </c>
      <c r="O2309">
        <v>119.6</v>
      </c>
      <c r="P2309">
        <v>283</v>
      </c>
      <c r="Q2309" s="2">
        <v>33846.800000000003</v>
      </c>
      <c r="R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 s="1">
        <v>42382</v>
      </c>
      <c r="AC2309" t="s">
        <v>53</v>
      </c>
      <c r="AD2309" t="s">
        <v>53</v>
      </c>
      <c r="AK2309">
        <v>0</v>
      </c>
      <c r="AU2309" s="6">
        <v>42282</v>
      </c>
      <c r="AV2309" s="6">
        <v>42282</v>
      </c>
      <c r="AW2309" t="s">
        <v>54</v>
      </c>
      <c r="AX2309" t="str">
        <f t="shared" si="192"/>
        <v>FOR</v>
      </c>
      <c r="AY2309" t="s">
        <v>55</v>
      </c>
    </row>
    <row r="2310" spans="1:51">
      <c r="A2310">
        <v>100695</v>
      </c>
      <c r="B2310" t="s">
        <v>230</v>
      </c>
      <c r="C2310" t="str">
        <f t="shared" si="191"/>
        <v>00721920155</v>
      </c>
      <c r="D2310" t="str">
        <f t="shared" si="191"/>
        <v>00721920155</v>
      </c>
      <c r="E2310" t="s">
        <v>52</v>
      </c>
      <c r="F2310">
        <v>2014</v>
      </c>
      <c r="G2310">
        <v>40095339</v>
      </c>
      <c r="H2310" s="1">
        <v>41927</v>
      </c>
      <c r="I2310" s="1">
        <v>41955</v>
      </c>
      <c r="J2310" s="1">
        <v>41955</v>
      </c>
      <c r="K2310" s="1">
        <v>42015</v>
      </c>
      <c r="L2310" s="7">
        <v>119.6</v>
      </c>
      <c r="M2310" s="5">
        <v>267</v>
      </c>
      <c r="N2310" s="7">
        <v>31933.200000000001</v>
      </c>
      <c r="O2310">
        <v>119.6</v>
      </c>
      <c r="P2310">
        <v>267</v>
      </c>
      <c r="Q2310" s="2">
        <v>31933.200000000001</v>
      </c>
      <c r="R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 s="1">
        <v>42382</v>
      </c>
      <c r="AC2310" t="s">
        <v>53</v>
      </c>
      <c r="AD2310" t="s">
        <v>53</v>
      </c>
      <c r="AK2310">
        <v>0</v>
      </c>
      <c r="AU2310" s="6">
        <v>42282</v>
      </c>
      <c r="AV2310" s="6">
        <v>42282</v>
      </c>
      <c r="AW2310" t="s">
        <v>54</v>
      </c>
      <c r="AX2310" t="str">
        <f t="shared" si="192"/>
        <v>FOR</v>
      </c>
      <c r="AY2310" t="s">
        <v>55</v>
      </c>
    </row>
    <row r="2311" spans="1:51">
      <c r="A2311">
        <v>100695</v>
      </c>
      <c r="B2311" t="s">
        <v>230</v>
      </c>
      <c r="C2311" t="str">
        <f t="shared" si="191"/>
        <v>00721920155</v>
      </c>
      <c r="D2311" t="str">
        <f t="shared" si="191"/>
        <v>00721920155</v>
      </c>
      <c r="E2311" t="s">
        <v>52</v>
      </c>
      <c r="F2311">
        <v>2014</v>
      </c>
      <c r="G2311">
        <v>40095635</v>
      </c>
      <c r="H2311" s="1">
        <v>41933</v>
      </c>
      <c r="I2311" s="1">
        <v>41955</v>
      </c>
      <c r="J2311" s="1">
        <v>41955</v>
      </c>
      <c r="K2311" s="1">
        <v>42015</v>
      </c>
      <c r="L2311" s="7">
        <v>119.6</v>
      </c>
      <c r="M2311" s="5">
        <v>267</v>
      </c>
      <c r="N2311" s="7">
        <v>31933.200000000001</v>
      </c>
      <c r="O2311">
        <v>119.6</v>
      </c>
      <c r="P2311">
        <v>267</v>
      </c>
      <c r="Q2311" s="2">
        <v>31933.200000000001</v>
      </c>
      <c r="R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 s="1">
        <v>42382</v>
      </c>
      <c r="AC2311" t="s">
        <v>53</v>
      </c>
      <c r="AD2311" t="s">
        <v>53</v>
      </c>
      <c r="AK2311">
        <v>0</v>
      </c>
      <c r="AU2311" s="6">
        <v>42282</v>
      </c>
      <c r="AV2311" s="6">
        <v>42282</v>
      </c>
      <c r="AW2311" t="s">
        <v>54</v>
      </c>
      <c r="AX2311" t="str">
        <f t="shared" si="192"/>
        <v>FOR</v>
      </c>
      <c r="AY2311" t="s">
        <v>55</v>
      </c>
    </row>
    <row r="2312" spans="1:51">
      <c r="A2312">
        <v>100695</v>
      </c>
      <c r="B2312" t="s">
        <v>230</v>
      </c>
      <c r="C2312" t="str">
        <f t="shared" si="191"/>
        <v>00721920155</v>
      </c>
      <c r="D2312" t="str">
        <f t="shared" si="191"/>
        <v>00721920155</v>
      </c>
      <c r="E2312" t="s">
        <v>52</v>
      </c>
      <c r="F2312">
        <v>2014</v>
      </c>
      <c r="G2312">
        <v>40095652</v>
      </c>
      <c r="H2312" s="1">
        <v>41934</v>
      </c>
      <c r="I2312" s="1">
        <v>41955</v>
      </c>
      <c r="J2312" s="1">
        <v>41955</v>
      </c>
      <c r="K2312" s="1">
        <v>42015</v>
      </c>
      <c r="L2312" s="7">
        <v>119.6</v>
      </c>
      <c r="M2312" s="5">
        <v>267</v>
      </c>
      <c r="N2312" s="7">
        <v>31933.200000000001</v>
      </c>
      <c r="O2312">
        <v>119.6</v>
      </c>
      <c r="P2312">
        <v>267</v>
      </c>
      <c r="Q2312" s="2">
        <v>31933.200000000001</v>
      </c>
      <c r="R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 s="1">
        <v>42382</v>
      </c>
      <c r="AC2312" t="s">
        <v>53</v>
      </c>
      <c r="AD2312" t="s">
        <v>53</v>
      </c>
      <c r="AK2312">
        <v>0</v>
      </c>
      <c r="AU2312" s="6">
        <v>42282</v>
      </c>
      <c r="AV2312" s="6">
        <v>42282</v>
      </c>
      <c r="AW2312" t="s">
        <v>54</v>
      </c>
      <c r="AX2312" t="str">
        <f t="shared" si="192"/>
        <v>FOR</v>
      </c>
      <c r="AY2312" t="s">
        <v>55</v>
      </c>
    </row>
    <row r="2313" spans="1:51">
      <c r="A2313">
        <v>100695</v>
      </c>
      <c r="B2313" t="s">
        <v>230</v>
      </c>
      <c r="C2313" t="str">
        <f t="shared" ref="C2313:D2332" si="193">"00721920155"</f>
        <v>00721920155</v>
      </c>
      <c r="D2313" t="str">
        <f t="shared" si="193"/>
        <v>00721920155</v>
      </c>
      <c r="E2313" t="s">
        <v>52</v>
      </c>
      <c r="F2313">
        <v>2014</v>
      </c>
      <c r="G2313">
        <v>40095655</v>
      </c>
      <c r="H2313" s="1">
        <v>41934</v>
      </c>
      <c r="I2313" s="1">
        <v>41955</v>
      </c>
      <c r="J2313" s="1">
        <v>41955</v>
      </c>
      <c r="K2313" s="1">
        <v>42015</v>
      </c>
      <c r="L2313" s="7">
        <v>119.6</v>
      </c>
      <c r="M2313" s="5">
        <v>267</v>
      </c>
      <c r="N2313" s="7">
        <v>31933.200000000001</v>
      </c>
      <c r="O2313">
        <v>119.6</v>
      </c>
      <c r="P2313">
        <v>267</v>
      </c>
      <c r="Q2313" s="2">
        <v>31933.200000000001</v>
      </c>
      <c r="R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 s="1">
        <v>42382</v>
      </c>
      <c r="AC2313" t="s">
        <v>53</v>
      </c>
      <c r="AD2313" t="s">
        <v>53</v>
      </c>
      <c r="AK2313">
        <v>0</v>
      </c>
      <c r="AU2313" s="6">
        <v>42282</v>
      </c>
      <c r="AV2313" s="6">
        <v>42282</v>
      </c>
      <c r="AW2313" t="s">
        <v>54</v>
      </c>
      <c r="AX2313" t="str">
        <f t="shared" si="192"/>
        <v>FOR</v>
      </c>
      <c r="AY2313" t="s">
        <v>55</v>
      </c>
    </row>
    <row r="2314" spans="1:51">
      <c r="A2314">
        <v>100695</v>
      </c>
      <c r="B2314" t="s">
        <v>230</v>
      </c>
      <c r="C2314" t="str">
        <f t="shared" si="193"/>
        <v>00721920155</v>
      </c>
      <c r="D2314" t="str">
        <f t="shared" si="193"/>
        <v>00721920155</v>
      </c>
      <c r="E2314" t="s">
        <v>52</v>
      </c>
      <c r="F2314">
        <v>2014</v>
      </c>
      <c r="G2314">
        <v>40095656</v>
      </c>
      <c r="H2314" s="1">
        <v>41934</v>
      </c>
      <c r="I2314" s="1">
        <v>41955</v>
      </c>
      <c r="J2314" s="1">
        <v>41955</v>
      </c>
      <c r="K2314" s="1">
        <v>42015</v>
      </c>
      <c r="L2314" s="7">
        <v>119.6</v>
      </c>
      <c r="M2314" s="5">
        <v>267</v>
      </c>
      <c r="N2314" s="7">
        <v>31933.200000000001</v>
      </c>
      <c r="O2314">
        <v>119.6</v>
      </c>
      <c r="P2314">
        <v>267</v>
      </c>
      <c r="Q2314" s="2">
        <v>31933.200000000001</v>
      </c>
      <c r="R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 s="1">
        <v>42382</v>
      </c>
      <c r="AC2314" t="s">
        <v>53</v>
      </c>
      <c r="AD2314" t="s">
        <v>53</v>
      </c>
      <c r="AK2314">
        <v>0</v>
      </c>
      <c r="AU2314" s="6">
        <v>42282</v>
      </c>
      <c r="AV2314" s="6">
        <v>42282</v>
      </c>
      <c r="AW2314" t="s">
        <v>54</v>
      </c>
      <c r="AX2314" t="str">
        <f t="shared" si="192"/>
        <v>FOR</v>
      </c>
      <c r="AY2314" t="s">
        <v>55</v>
      </c>
    </row>
    <row r="2315" spans="1:51">
      <c r="A2315">
        <v>100695</v>
      </c>
      <c r="B2315" t="s">
        <v>230</v>
      </c>
      <c r="C2315" t="str">
        <f t="shared" si="193"/>
        <v>00721920155</v>
      </c>
      <c r="D2315" t="str">
        <f t="shared" si="193"/>
        <v>00721920155</v>
      </c>
      <c r="E2315" t="s">
        <v>52</v>
      </c>
      <c r="F2315">
        <v>2014</v>
      </c>
      <c r="G2315">
        <v>40095657</v>
      </c>
      <c r="H2315" s="1">
        <v>41934</v>
      </c>
      <c r="I2315" s="1">
        <v>41955</v>
      </c>
      <c r="J2315" s="1">
        <v>41955</v>
      </c>
      <c r="K2315" s="1">
        <v>42015</v>
      </c>
      <c r="L2315" s="7">
        <v>119.6</v>
      </c>
      <c r="M2315" s="5">
        <v>267</v>
      </c>
      <c r="N2315" s="7">
        <v>31933.200000000001</v>
      </c>
      <c r="O2315">
        <v>119.6</v>
      </c>
      <c r="P2315">
        <v>267</v>
      </c>
      <c r="Q2315" s="2">
        <v>31933.200000000001</v>
      </c>
      <c r="R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 s="1">
        <v>42382</v>
      </c>
      <c r="AC2315" t="s">
        <v>53</v>
      </c>
      <c r="AD2315" t="s">
        <v>53</v>
      </c>
      <c r="AK2315">
        <v>0</v>
      </c>
      <c r="AU2315" s="6">
        <v>42282</v>
      </c>
      <c r="AV2315" s="6">
        <v>42282</v>
      </c>
      <c r="AW2315" t="s">
        <v>54</v>
      </c>
      <c r="AX2315" t="str">
        <f t="shared" si="192"/>
        <v>FOR</v>
      </c>
      <c r="AY2315" t="s">
        <v>55</v>
      </c>
    </row>
    <row r="2316" spans="1:51">
      <c r="A2316">
        <v>100695</v>
      </c>
      <c r="B2316" t="s">
        <v>230</v>
      </c>
      <c r="C2316" t="str">
        <f t="shared" si="193"/>
        <v>00721920155</v>
      </c>
      <c r="D2316" t="str">
        <f t="shared" si="193"/>
        <v>00721920155</v>
      </c>
      <c r="E2316" t="s">
        <v>52</v>
      </c>
      <c r="F2316">
        <v>2014</v>
      </c>
      <c r="G2316">
        <v>40095659</v>
      </c>
      <c r="H2316" s="1">
        <v>41934</v>
      </c>
      <c r="I2316" s="1">
        <v>41955</v>
      </c>
      <c r="J2316" s="1">
        <v>41955</v>
      </c>
      <c r="K2316" s="1">
        <v>42015</v>
      </c>
      <c r="L2316" s="7">
        <v>119.6</v>
      </c>
      <c r="M2316" s="5">
        <v>267</v>
      </c>
      <c r="N2316" s="7">
        <v>31933.200000000001</v>
      </c>
      <c r="O2316">
        <v>119.6</v>
      </c>
      <c r="P2316">
        <v>267</v>
      </c>
      <c r="Q2316" s="2">
        <v>31933.200000000001</v>
      </c>
      <c r="R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 s="1">
        <v>42382</v>
      </c>
      <c r="AC2316" t="s">
        <v>53</v>
      </c>
      <c r="AD2316" t="s">
        <v>53</v>
      </c>
      <c r="AK2316">
        <v>0</v>
      </c>
      <c r="AU2316" s="6">
        <v>42282</v>
      </c>
      <c r="AV2316" s="6">
        <v>42282</v>
      </c>
      <c r="AW2316" t="s">
        <v>54</v>
      </c>
      <c r="AX2316" t="str">
        <f t="shared" si="192"/>
        <v>FOR</v>
      </c>
      <c r="AY2316" t="s">
        <v>55</v>
      </c>
    </row>
    <row r="2317" spans="1:51">
      <c r="A2317">
        <v>100695</v>
      </c>
      <c r="B2317" t="s">
        <v>230</v>
      </c>
      <c r="C2317" t="str">
        <f t="shared" si="193"/>
        <v>00721920155</v>
      </c>
      <c r="D2317" t="str">
        <f t="shared" si="193"/>
        <v>00721920155</v>
      </c>
      <c r="E2317" t="s">
        <v>52</v>
      </c>
      <c r="F2317">
        <v>2014</v>
      </c>
      <c r="G2317">
        <v>40095850</v>
      </c>
      <c r="H2317" s="1">
        <v>41939</v>
      </c>
      <c r="I2317" s="1">
        <v>41955</v>
      </c>
      <c r="J2317" s="1">
        <v>41955</v>
      </c>
      <c r="K2317" s="1">
        <v>42015</v>
      </c>
      <c r="L2317" s="7">
        <v>119.6</v>
      </c>
      <c r="M2317" s="5">
        <v>267</v>
      </c>
      <c r="N2317" s="7">
        <v>31933.200000000001</v>
      </c>
      <c r="O2317">
        <v>119.6</v>
      </c>
      <c r="P2317">
        <v>267</v>
      </c>
      <c r="Q2317" s="2">
        <v>31933.200000000001</v>
      </c>
      <c r="R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 s="1">
        <v>42382</v>
      </c>
      <c r="AC2317" t="s">
        <v>53</v>
      </c>
      <c r="AD2317" t="s">
        <v>53</v>
      </c>
      <c r="AK2317">
        <v>0</v>
      </c>
      <c r="AU2317" s="6">
        <v>42282</v>
      </c>
      <c r="AV2317" s="6">
        <v>42282</v>
      </c>
      <c r="AW2317" t="s">
        <v>54</v>
      </c>
      <c r="AX2317" t="str">
        <f t="shared" si="192"/>
        <v>FOR</v>
      </c>
      <c r="AY2317" t="s">
        <v>55</v>
      </c>
    </row>
    <row r="2318" spans="1:51">
      <c r="A2318">
        <v>100695</v>
      </c>
      <c r="B2318" t="s">
        <v>230</v>
      </c>
      <c r="C2318" t="str">
        <f t="shared" si="193"/>
        <v>00721920155</v>
      </c>
      <c r="D2318" t="str">
        <f t="shared" si="193"/>
        <v>00721920155</v>
      </c>
      <c r="E2318" t="s">
        <v>52</v>
      </c>
      <c r="F2318">
        <v>2014</v>
      </c>
      <c r="G2318">
        <v>40095854</v>
      </c>
      <c r="H2318" s="1">
        <v>41939</v>
      </c>
      <c r="I2318" s="1">
        <v>41955</v>
      </c>
      <c r="J2318" s="1">
        <v>41955</v>
      </c>
      <c r="K2318" s="1">
        <v>42015</v>
      </c>
      <c r="L2318" s="7">
        <v>119.6</v>
      </c>
      <c r="M2318" s="5">
        <v>267</v>
      </c>
      <c r="N2318" s="7">
        <v>31933.200000000001</v>
      </c>
      <c r="O2318">
        <v>119.6</v>
      </c>
      <c r="P2318">
        <v>267</v>
      </c>
      <c r="Q2318" s="2">
        <v>31933.200000000001</v>
      </c>
      <c r="R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 s="1">
        <v>42382</v>
      </c>
      <c r="AC2318" t="s">
        <v>53</v>
      </c>
      <c r="AD2318" t="s">
        <v>53</v>
      </c>
      <c r="AK2318">
        <v>0</v>
      </c>
      <c r="AU2318" s="6">
        <v>42282</v>
      </c>
      <c r="AV2318" s="6">
        <v>42282</v>
      </c>
      <c r="AW2318" t="s">
        <v>54</v>
      </c>
      <c r="AX2318" t="str">
        <f t="shared" si="192"/>
        <v>FOR</v>
      </c>
      <c r="AY2318" t="s">
        <v>55</v>
      </c>
    </row>
    <row r="2319" spans="1:51">
      <c r="A2319">
        <v>100695</v>
      </c>
      <c r="B2319" t="s">
        <v>230</v>
      </c>
      <c r="C2319" t="str">
        <f t="shared" si="193"/>
        <v>00721920155</v>
      </c>
      <c r="D2319" t="str">
        <f t="shared" si="193"/>
        <v>00721920155</v>
      </c>
      <c r="E2319" t="s">
        <v>52</v>
      </c>
      <c r="F2319">
        <v>2014</v>
      </c>
      <c r="G2319">
        <v>40095857</v>
      </c>
      <c r="H2319" s="1">
        <v>41939</v>
      </c>
      <c r="I2319" s="1">
        <v>41955</v>
      </c>
      <c r="J2319" s="1">
        <v>41955</v>
      </c>
      <c r="K2319" s="1">
        <v>42015</v>
      </c>
      <c r="L2319" s="7">
        <v>119.6</v>
      </c>
      <c r="M2319" s="5">
        <v>267</v>
      </c>
      <c r="N2319" s="7">
        <v>31933.200000000001</v>
      </c>
      <c r="O2319">
        <v>119.6</v>
      </c>
      <c r="P2319">
        <v>267</v>
      </c>
      <c r="Q2319" s="2">
        <v>31933.200000000001</v>
      </c>
      <c r="R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 s="1">
        <v>42382</v>
      </c>
      <c r="AC2319" t="s">
        <v>53</v>
      </c>
      <c r="AD2319" t="s">
        <v>53</v>
      </c>
      <c r="AK2319">
        <v>0</v>
      </c>
      <c r="AU2319" s="6">
        <v>42282</v>
      </c>
      <c r="AV2319" s="6">
        <v>42282</v>
      </c>
      <c r="AW2319" t="s">
        <v>54</v>
      </c>
      <c r="AX2319" t="str">
        <f t="shared" si="192"/>
        <v>FOR</v>
      </c>
      <c r="AY2319" t="s">
        <v>55</v>
      </c>
    </row>
    <row r="2320" spans="1:51">
      <c r="A2320">
        <v>100695</v>
      </c>
      <c r="B2320" t="s">
        <v>230</v>
      </c>
      <c r="C2320" t="str">
        <f t="shared" si="193"/>
        <v>00721920155</v>
      </c>
      <c r="D2320" t="str">
        <f t="shared" si="193"/>
        <v>00721920155</v>
      </c>
      <c r="E2320" t="s">
        <v>52</v>
      </c>
      <c r="F2320">
        <v>2014</v>
      </c>
      <c r="G2320">
        <v>40095858</v>
      </c>
      <c r="H2320" s="1">
        <v>41939</v>
      </c>
      <c r="I2320" s="1">
        <v>41955</v>
      </c>
      <c r="J2320" s="1">
        <v>41955</v>
      </c>
      <c r="K2320" s="1">
        <v>42015</v>
      </c>
      <c r="L2320" s="7">
        <v>119.6</v>
      </c>
      <c r="M2320" s="5">
        <v>267</v>
      </c>
      <c r="N2320" s="7">
        <v>31933.200000000001</v>
      </c>
      <c r="O2320">
        <v>119.6</v>
      </c>
      <c r="P2320">
        <v>267</v>
      </c>
      <c r="Q2320" s="2">
        <v>31933.200000000001</v>
      </c>
      <c r="R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 s="1">
        <v>42382</v>
      </c>
      <c r="AC2320" t="s">
        <v>53</v>
      </c>
      <c r="AD2320" t="s">
        <v>53</v>
      </c>
      <c r="AK2320">
        <v>0</v>
      </c>
      <c r="AU2320" s="6">
        <v>42282</v>
      </c>
      <c r="AV2320" s="6">
        <v>42282</v>
      </c>
      <c r="AW2320" t="s">
        <v>54</v>
      </c>
      <c r="AX2320" t="str">
        <f t="shared" si="192"/>
        <v>FOR</v>
      </c>
      <c r="AY2320" t="s">
        <v>55</v>
      </c>
    </row>
    <row r="2321" spans="1:51">
      <c r="A2321">
        <v>100695</v>
      </c>
      <c r="B2321" t="s">
        <v>230</v>
      </c>
      <c r="C2321" t="str">
        <f t="shared" si="193"/>
        <v>00721920155</v>
      </c>
      <c r="D2321" t="str">
        <f t="shared" si="193"/>
        <v>00721920155</v>
      </c>
      <c r="E2321" t="s">
        <v>52</v>
      </c>
      <c r="F2321">
        <v>2014</v>
      </c>
      <c r="G2321">
        <v>40095859</v>
      </c>
      <c r="H2321" s="1">
        <v>41939</v>
      </c>
      <c r="I2321" s="1">
        <v>41955</v>
      </c>
      <c r="J2321" s="1">
        <v>41955</v>
      </c>
      <c r="K2321" s="1">
        <v>42015</v>
      </c>
      <c r="L2321" s="7">
        <v>119.6</v>
      </c>
      <c r="M2321" s="5">
        <v>267</v>
      </c>
      <c r="N2321" s="7">
        <v>31933.200000000001</v>
      </c>
      <c r="O2321">
        <v>119.6</v>
      </c>
      <c r="P2321">
        <v>267</v>
      </c>
      <c r="Q2321" s="2">
        <v>31933.200000000001</v>
      </c>
      <c r="R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 s="1">
        <v>42382</v>
      </c>
      <c r="AC2321" t="s">
        <v>53</v>
      </c>
      <c r="AD2321" t="s">
        <v>53</v>
      </c>
      <c r="AK2321">
        <v>0</v>
      </c>
      <c r="AU2321" s="6">
        <v>42282</v>
      </c>
      <c r="AV2321" s="6">
        <v>42282</v>
      </c>
      <c r="AW2321" t="s">
        <v>54</v>
      </c>
      <c r="AX2321" t="str">
        <f t="shared" si="192"/>
        <v>FOR</v>
      </c>
      <c r="AY2321" t="s">
        <v>55</v>
      </c>
    </row>
    <row r="2322" spans="1:51">
      <c r="A2322">
        <v>100695</v>
      </c>
      <c r="B2322" t="s">
        <v>230</v>
      </c>
      <c r="C2322" t="str">
        <f t="shared" si="193"/>
        <v>00721920155</v>
      </c>
      <c r="D2322" t="str">
        <f t="shared" si="193"/>
        <v>00721920155</v>
      </c>
      <c r="E2322" t="s">
        <v>52</v>
      </c>
      <c r="F2322">
        <v>2014</v>
      </c>
      <c r="G2322">
        <v>40095860</v>
      </c>
      <c r="H2322" s="1">
        <v>41939</v>
      </c>
      <c r="I2322" s="1">
        <v>41955</v>
      </c>
      <c r="J2322" s="1">
        <v>41955</v>
      </c>
      <c r="K2322" s="1">
        <v>42015</v>
      </c>
      <c r="L2322" s="7">
        <v>119.6</v>
      </c>
      <c r="M2322" s="5">
        <v>267</v>
      </c>
      <c r="N2322" s="7">
        <v>31933.200000000001</v>
      </c>
      <c r="O2322">
        <v>119.6</v>
      </c>
      <c r="P2322">
        <v>267</v>
      </c>
      <c r="Q2322" s="2">
        <v>31933.200000000001</v>
      </c>
      <c r="R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 s="1">
        <v>42382</v>
      </c>
      <c r="AC2322" t="s">
        <v>53</v>
      </c>
      <c r="AD2322" t="s">
        <v>53</v>
      </c>
      <c r="AK2322">
        <v>0</v>
      </c>
      <c r="AU2322" s="6">
        <v>42282</v>
      </c>
      <c r="AV2322" s="6">
        <v>42282</v>
      </c>
      <c r="AW2322" t="s">
        <v>54</v>
      </c>
      <c r="AX2322" t="str">
        <f t="shared" si="192"/>
        <v>FOR</v>
      </c>
      <c r="AY2322" t="s">
        <v>55</v>
      </c>
    </row>
    <row r="2323" spans="1:51">
      <c r="A2323">
        <v>100695</v>
      </c>
      <c r="B2323" t="s">
        <v>230</v>
      </c>
      <c r="C2323" t="str">
        <f t="shared" si="193"/>
        <v>00721920155</v>
      </c>
      <c r="D2323" t="str">
        <f t="shared" si="193"/>
        <v>00721920155</v>
      </c>
      <c r="E2323" t="s">
        <v>52</v>
      </c>
      <c r="F2323">
        <v>2014</v>
      </c>
      <c r="G2323">
        <v>40095942</v>
      </c>
      <c r="H2323" s="1">
        <v>41940</v>
      </c>
      <c r="I2323" s="1">
        <v>41955</v>
      </c>
      <c r="J2323" s="1">
        <v>41955</v>
      </c>
      <c r="K2323" s="1">
        <v>42015</v>
      </c>
      <c r="L2323" s="7">
        <v>119.6</v>
      </c>
      <c r="M2323" s="5">
        <v>267</v>
      </c>
      <c r="N2323" s="7">
        <v>31933.200000000001</v>
      </c>
      <c r="O2323">
        <v>119.6</v>
      </c>
      <c r="P2323">
        <v>267</v>
      </c>
      <c r="Q2323" s="2">
        <v>31933.200000000001</v>
      </c>
      <c r="R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 s="1">
        <v>42382</v>
      </c>
      <c r="AC2323" t="s">
        <v>53</v>
      </c>
      <c r="AD2323" t="s">
        <v>53</v>
      </c>
      <c r="AK2323">
        <v>0</v>
      </c>
      <c r="AU2323" s="6">
        <v>42282</v>
      </c>
      <c r="AV2323" s="6">
        <v>42282</v>
      </c>
      <c r="AW2323" t="s">
        <v>54</v>
      </c>
      <c r="AX2323" t="str">
        <f t="shared" si="192"/>
        <v>FOR</v>
      </c>
      <c r="AY2323" t="s">
        <v>55</v>
      </c>
    </row>
    <row r="2324" spans="1:51">
      <c r="A2324">
        <v>100695</v>
      </c>
      <c r="B2324" t="s">
        <v>230</v>
      </c>
      <c r="C2324" t="str">
        <f t="shared" si="193"/>
        <v>00721920155</v>
      </c>
      <c r="D2324" t="str">
        <f t="shared" si="193"/>
        <v>00721920155</v>
      </c>
      <c r="E2324" t="s">
        <v>52</v>
      </c>
      <c r="F2324">
        <v>2014</v>
      </c>
      <c r="G2324">
        <v>40096190</v>
      </c>
      <c r="H2324" s="1">
        <v>41942</v>
      </c>
      <c r="I2324" s="1">
        <v>41962</v>
      </c>
      <c r="J2324" s="1">
        <v>41962</v>
      </c>
      <c r="K2324" s="1">
        <v>42022</v>
      </c>
      <c r="L2324" s="7">
        <v>119.6</v>
      </c>
      <c r="M2324" s="5">
        <v>260</v>
      </c>
      <c r="N2324" s="7">
        <v>31096</v>
      </c>
      <c r="O2324">
        <v>119.6</v>
      </c>
      <c r="P2324">
        <v>260</v>
      </c>
      <c r="Q2324" s="2">
        <v>31096</v>
      </c>
      <c r="R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 s="1">
        <v>42382</v>
      </c>
      <c r="AC2324" t="s">
        <v>53</v>
      </c>
      <c r="AD2324" t="s">
        <v>53</v>
      </c>
      <c r="AK2324">
        <v>0</v>
      </c>
      <c r="AU2324" s="6">
        <v>42282</v>
      </c>
      <c r="AV2324" s="6">
        <v>42282</v>
      </c>
      <c r="AW2324" t="s">
        <v>54</v>
      </c>
      <c r="AX2324" t="str">
        <f t="shared" si="192"/>
        <v>FOR</v>
      </c>
      <c r="AY2324" t="s">
        <v>55</v>
      </c>
    </row>
    <row r="2325" spans="1:51">
      <c r="A2325">
        <v>100695</v>
      </c>
      <c r="B2325" t="s">
        <v>230</v>
      </c>
      <c r="C2325" t="str">
        <f t="shared" si="193"/>
        <v>00721920155</v>
      </c>
      <c r="D2325" t="str">
        <f t="shared" si="193"/>
        <v>00721920155</v>
      </c>
      <c r="E2325" t="s">
        <v>52</v>
      </c>
      <c r="F2325">
        <v>2014</v>
      </c>
      <c r="G2325">
        <v>40096193</v>
      </c>
      <c r="H2325" s="1">
        <v>41942</v>
      </c>
      <c r="I2325" s="1">
        <v>41962</v>
      </c>
      <c r="J2325" s="1">
        <v>41962</v>
      </c>
      <c r="K2325" s="1">
        <v>42022</v>
      </c>
      <c r="L2325" s="7">
        <v>119.6</v>
      </c>
      <c r="M2325" s="5">
        <v>260</v>
      </c>
      <c r="N2325" s="7">
        <v>31096</v>
      </c>
      <c r="O2325">
        <v>119.6</v>
      </c>
      <c r="P2325">
        <v>260</v>
      </c>
      <c r="Q2325" s="2">
        <v>31096</v>
      </c>
      <c r="R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 s="1">
        <v>42382</v>
      </c>
      <c r="AC2325" t="s">
        <v>53</v>
      </c>
      <c r="AD2325" t="s">
        <v>53</v>
      </c>
      <c r="AK2325">
        <v>0</v>
      </c>
      <c r="AU2325" s="6">
        <v>42282</v>
      </c>
      <c r="AV2325" s="6">
        <v>42282</v>
      </c>
      <c r="AW2325" t="s">
        <v>54</v>
      </c>
      <c r="AX2325" t="str">
        <f t="shared" si="192"/>
        <v>FOR</v>
      </c>
      <c r="AY2325" t="s">
        <v>55</v>
      </c>
    </row>
    <row r="2326" spans="1:51">
      <c r="A2326">
        <v>100695</v>
      </c>
      <c r="B2326" t="s">
        <v>230</v>
      </c>
      <c r="C2326" t="str">
        <f t="shared" si="193"/>
        <v>00721920155</v>
      </c>
      <c r="D2326" t="str">
        <f t="shared" si="193"/>
        <v>00721920155</v>
      </c>
      <c r="E2326" t="s">
        <v>52</v>
      </c>
      <c r="F2326">
        <v>2014</v>
      </c>
      <c r="G2326">
        <v>40096195</v>
      </c>
      <c r="H2326" s="1">
        <v>41942</v>
      </c>
      <c r="I2326" s="1">
        <v>41962</v>
      </c>
      <c r="J2326" s="1">
        <v>41962</v>
      </c>
      <c r="K2326" s="1">
        <v>42022</v>
      </c>
      <c r="L2326" s="7">
        <v>119.6</v>
      </c>
      <c r="M2326" s="5">
        <v>260</v>
      </c>
      <c r="N2326" s="7">
        <v>31096</v>
      </c>
      <c r="O2326">
        <v>119.6</v>
      </c>
      <c r="P2326">
        <v>260</v>
      </c>
      <c r="Q2326" s="2">
        <v>31096</v>
      </c>
      <c r="R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 s="1">
        <v>42382</v>
      </c>
      <c r="AC2326" t="s">
        <v>53</v>
      </c>
      <c r="AD2326" t="s">
        <v>53</v>
      </c>
      <c r="AK2326">
        <v>0</v>
      </c>
      <c r="AU2326" s="6">
        <v>42282</v>
      </c>
      <c r="AV2326" s="6">
        <v>42282</v>
      </c>
      <c r="AW2326" t="s">
        <v>54</v>
      </c>
      <c r="AX2326" t="str">
        <f t="shared" si="192"/>
        <v>FOR</v>
      </c>
      <c r="AY2326" t="s">
        <v>55</v>
      </c>
    </row>
    <row r="2327" spans="1:51">
      <c r="A2327">
        <v>100695</v>
      </c>
      <c r="B2327" t="s">
        <v>230</v>
      </c>
      <c r="C2327" t="str">
        <f t="shared" si="193"/>
        <v>00721920155</v>
      </c>
      <c r="D2327" t="str">
        <f t="shared" si="193"/>
        <v>00721920155</v>
      </c>
      <c r="E2327" t="s">
        <v>52</v>
      </c>
      <c r="F2327">
        <v>2014</v>
      </c>
      <c r="G2327">
        <v>40096201</v>
      </c>
      <c r="H2327" s="1">
        <v>41942</v>
      </c>
      <c r="I2327" s="1">
        <v>41962</v>
      </c>
      <c r="J2327" s="1">
        <v>41962</v>
      </c>
      <c r="K2327" s="1">
        <v>42022</v>
      </c>
      <c r="L2327" s="7">
        <v>119.6</v>
      </c>
      <c r="M2327" s="5">
        <v>260</v>
      </c>
      <c r="N2327" s="7">
        <v>31096</v>
      </c>
      <c r="O2327">
        <v>119.6</v>
      </c>
      <c r="P2327">
        <v>260</v>
      </c>
      <c r="Q2327" s="2">
        <v>31096</v>
      </c>
      <c r="R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 s="1">
        <v>42382</v>
      </c>
      <c r="AC2327" t="s">
        <v>53</v>
      </c>
      <c r="AD2327" t="s">
        <v>53</v>
      </c>
      <c r="AK2327">
        <v>0</v>
      </c>
      <c r="AU2327" s="6">
        <v>42282</v>
      </c>
      <c r="AV2327" s="6">
        <v>42282</v>
      </c>
      <c r="AW2327" t="s">
        <v>54</v>
      </c>
      <c r="AX2327" t="str">
        <f t="shared" si="192"/>
        <v>FOR</v>
      </c>
      <c r="AY2327" t="s">
        <v>55</v>
      </c>
    </row>
    <row r="2328" spans="1:51">
      <c r="A2328">
        <v>100695</v>
      </c>
      <c r="B2328" t="s">
        <v>230</v>
      </c>
      <c r="C2328" t="str">
        <f t="shared" si="193"/>
        <v>00721920155</v>
      </c>
      <c r="D2328" t="str">
        <f t="shared" si="193"/>
        <v>00721920155</v>
      </c>
      <c r="E2328" t="s">
        <v>52</v>
      </c>
      <c r="F2328">
        <v>2014</v>
      </c>
      <c r="G2328">
        <v>40096202</v>
      </c>
      <c r="H2328" s="1">
        <v>41942</v>
      </c>
      <c r="I2328" s="1">
        <v>41962</v>
      </c>
      <c r="J2328" s="1">
        <v>41962</v>
      </c>
      <c r="K2328" s="1">
        <v>42022</v>
      </c>
      <c r="L2328" s="7">
        <v>119.6</v>
      </c>
      <c r="M2328" s="5">
        <v>260</v>
      </c>
      <c r="N2328" s="7">
        <v>31096</v>
      </c>
      <c r="O2328">
        <v>119.6</v>
      </c>
      <c r="P2328">
        <v>260</v>
      </c>
      <c r="Q2328" s="2">
        <v>31096</v>
      </c>
      <c r="R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 s="1">
        <v>42382</v>
      </c>
      <c r="AC2328" t="s">
        <v>53</v>
      </c>
      <c r="AD2328" t="s">
        <v>53</v>
      </c>
      <c r="AK2328">
        <v>0</v>
      </c>
      <c r="AU2328" s="6">
        <v>42282</v>
      </c>
      <c r="AV2328" s="6">
        <v>42282</v>
      </c>
      <c r="AW2328" t="s">
        <v>54</v>
      </c>
      <c r="AX2328" t="str">
        <f t="shared" si="192"/>
        <v>FOR</v>
      </c>
      <c r="AY2328" t="s">
        <v>55</v>
      </c>
    </row>
    <row r="2329" spans="1:51">
      <c r="A2329">
        <v>100695</v>
      </c>
      <c r="B2329" t="s">
        <v>230</v>
      </c>
      <c r="C2329" t="str">
        <f t="shared" si="193"/>
        <v>00721920155</v>
      </c>
      <c r="D2329" t="str">
        <f t="shared" si="193"/>
        <v>00721920155</v>
      </c>
      <c r="E2329" t="s">
        <v>52</v>
      </c>
      <c r="F2329">
        <v>2014</v>
      </c>
      <c r="G2329">
        <v>40096203</v>
      </c>
      <c r="H2329" s="1">
        <v>41942</v>
      </c>
      <c r="I2329" s="1">
        <v>41962</v>
      </c>
      <c r="J2329" s="1">
        <v>41962</v>
      </c>
      <c r="K2329" s="1">
        <v>42022</v>
      </c>
      <c r="L2329" s="7">
        <v>119.6</v>
      </c>
      <c r="M2329" s="5">
        <v>260</v>
      </c>
      <c r="N2329" s="7">
        <v>31096</v>
      </c>
      <c r="O2329">
        <v>119.6</v>
      </c>
      <c r="P2329">
        <v>260</v>
      </c>
      <c r="Q2329" s="2">
        <v>31096</v>
      </c>
      <c r="R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 s="1">
        <v>42382</v>
      </c>
      <c r="AC2329" t="s">
        <v>53</v>
      </c>
      <c r="AD2329" t="s">
        <v>53</v>
      </c>
      <c r="AK2329">
        <v>0</v>
      </c>
      <c r="AU2329" s="6">
        <v>42282</v>
      </c>
      <c r="AV2329" s="6">
        <v>42282</v>
      </c>
      <c r="AW2329" t="s">
        <v>54</v>
      </c>
      <c r="AX2329" t="str">
        <f t="shared" si="192"/>
        <v>FOR</v>
      </c>
      <c r="AY2329" t="s">
        <v>55</v>
      </c>
    </row>
    <row r="2330" spans="1:51">
      <c r="A2330">
        <v>100695</v>
      </c>
      <c r="B2330" t="s">
        <v>230</v>
      </c>
      <c r="C2330" t="str">
        <f t="shared" si="193"/>
        <v>00721920155</v>
      </c>
      <c r="D2330" t="str">
        <f t="shared" si="193"/>
        <v>00721920155</v>
      </c>
      <c r="E2330" t="s">
        <v>52</v>
      </c>
      <c r="F2330">
        <v>2014</v>
      </c>
      <c r="G2330">
        <v>40096259</v>
      </c>
      <c r="H2330" s="1">
        <v>41943</v>
      </c>
      <c r="I2330" s="1">
        <v>41962</v>
      </c>
      <c r="J2330" s="1">
        <v>41962</v>
      </c>
      <c r="K2330" s="1">
        <v>42022</v>
      </c>
      <c r="L2330" s="7">
        <v>119.6</v>
      </c>
      <c r="M2330" s="5">
        <v>260</v>
      </c>
      <c r="N2330" s="7">
        <v>31096</v>
      </c>
      <c r="O2330">
        <v>119.6</v>
      </c>
      <c r="P2330">
        <v>260</v>
      </c>
      <c r="Q2330" s="2">
        <v>31096</v>
      </c>
      <c r="R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 s="1">
        <v>42382</v>
      </c>
      <c r="AC2330" t="s">
        <v>53</v>
      </c>
      <c r="AD2330" t="s">
        <v>53</v>
      </c>
      <c r="AK2330">
        <v>0</v>
      </c>
      <c r="AU2330" s="6">
        <v>42282</v>
      </c>
      <c r="AV2330" s="6">
        <v>42282</v>
      </c>
      <c r="AW2330" t="s">
        <v>54</v>
      </c>
      <c r="AX2330" t="str">
        <f t="shared" si="192"/>
        <v>FOR</v>
      </c>
      <c r="AY2330" t="s">
        <v>55</v>
      </c>
    </row>
    <row r="2331" spans="1:51">
      <c r="A2331">
        <v>100695</v>
      </c>
      <c r="B2331" t="s">
        <v>230</v>
      </c>
      <c r="C2331" t="str">
        <f t="shared" si="193"/>
        <v>00721920155</v>
      </c>
      <c r="D2331" t="str">
        <f t="shared" si="193"/>
        <v>00721920155</v>
      </c>
      <c r="E2331" t="s">
        <v>52</v>
      </c>
      <c r="F2331">
        <v>2014</v>
      </c>
      <c r="G2331">
        <v>40096405</v>
      </c>
      <c r="H2331" s="1">
        <v>41948</v>
      </c>
      <c r="I2331" s="1">
        <v>41967</v>
      </c>
      <c r="J2331" s="1">
        <v>41967</v>
      </c>
      <c r="K2331" s="1">
        <v>42027</v>
      </c>
      <c r="L2331" s="7">
        <v>119.6</v>
      </c>
      <c r="M2331" s="5">
        <v>277</v>
      </c>
      <c r="N2331" s="7">
        <v>33129.199999999997</v>
      </c>
      <c r="O2331">
        <v>119.6</v>
      </c>
      <c r="P2331">
        <v>277</v>
      </c>
      <c r="Q2331" s="2">
        <v>33129.199999999997</v>
      </c>
      <c r="R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 s="1">
        <v>42382</v>
      </c>
      <c r="AC2331" t="s">
        <v>53</v>
      </c>
      <c r="AD2331" t="s">
        <v>53</v>
      </c>
      <c r="AK2331">
        <v>0</v>
      </c>
      <c r="AU2331" s="6">
        <v>42304</v>
      </c>
      <c r="AV2331" s="6">
        <v>42304</v>
      </c>
      <c r="AW2331" t="s">
        <v>54</v>
      </c>
      <c r="AX2331" t="str">
        <f t="shared" si="192"/>
        <v>FOR</v>
      </c>
      <c r="AY2331" t="s">
        <v>55</v>
      </c>
    </row>
    <row r="2332" spans="1:51">
      <c r="A2332">
        <v>100695</v>
      </c>
      <c r="B2332" t="s">
        <v>230</v>
      </c>
      <c r="C2332" t="str">
        <f t="shared" si="193"/>
        <v>00721920155</v>
      </c>
      <c r="D2332" t="str">
        <f t="shared" si="193"/>
        <v>00721920155</v>
      </c>
      <c r="E2332" t="s">
        <v>52</v>
      </c>
      <c r="F2332">
        <v>2014</v>
      </c>
      <c r="G2332">
        <v>40096408</v>
      </c>
      <c r="H2332" s="1">
        <v>41948</v>
      </c>
      <c r="I2332" s="1">
        <v>41967</v>
      </c>
      <c r="J2332" s="1">
        <v>41967</v>
      </c>
      <c r="K2332" s="1">
        <v>42027</v>
      </c>
      <c r="L2332" s="7">
        <v>119.6</v>
      </c>
      <c r="M2332" s="5">
        <v>277</v>
      </c>
      <c r="N2332" s="7">
        <v>33129.199999999997</v>
      </c>
      <c r="O2332">
        <v>119.6</v>
      </c>
      <c r="P2332">
        <v>277</v>
      </c>
      <c r="Q2332" s="2">
        <v>33129.199999999997</v>
      </c>
      <c r="R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 s="1">
        <v>42382</v>
      </c>
      <c r="AC2332" t="s">
        <v>53</v>
      </c>
      <c r="AD2332" t="s">
        <v>53</v>
      </c>
      <c r="AK2332">
        <v>0</v>
      </c>
      <c r="AU2332" s="6">
        <v>42304</v>
      </c>
      <c r="AV2332" s="6">
        <v>42304</v>
      </c>
      <c r="AW2332" t="s">
        <v>54</v>
      </c>
      <c r="AX2332" t="str">
        <f t="shared" si="192"/>
        <v>FOR</v>
      </c>
      <c r="AY2332" t="s">
        <v>55</v>
      </c>
    </row>
    <row r="2333" spans="1:51">
      <c r="A2333">
        <v>100695</v>
      </c>
      <c r="B2333" t="s">
        <v>230</v>
      </c>
      <c r="C2333" t="str">
        <f t="shared" ref="C2333:D2352" si="194">"00721920155"</f>
        <v>00721920155</v>
      </c>
      <c r="D2333" t="str">
        <f t="shared" si="194"/>
        <v>00721920155</v>
      </c>
      <c r="E2333" t="s">
        <v>52</v>
      </c>
      <c r="F2333">
        <v>2014</v>
      </c>
      <c r="G2333">
        <v>40096422</v>
      </c>
      <c r="H2333" s="1">
        <v>41948</v>
      </c>
      <c r="I2333" s="1">
        <v>41967</v>
      </c>
      <c r="J2333" s="1">
        <v>41967</v>
      </c>
      <c r="K2333" s="1">
        <v>42027</v>
      </c>
      <c r="L2333" s="7">
        <v>119.6</v>
      </c>
      <c r="M2333" s="5">
        <v>277</v>
      </c>
      <c r="N2333" s="7">
        <v>33129.199999999997</v>
      </c>
      <c r="O2333">
        <v>119.6</v>
      </c>
      <c r="P2333">
        <v>277</v>
      </c>
      <c r="Q2333" s="2">
        <v>33129.199999999997</v>
      </c>
      <c r="R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 s="1">
        <v>42382</v>
      </c>
      <c r="AC2333" t="s">
        <v>53</v>
      </c>
      <c r="AD2333" t="s">
        <v>53</v>
      </c>
      <c r="AK2333">
        <v>0</v>
      </c>
      <c r="AU2333" s="6">
        <v>42304</v>
      </c>
      <c r="AV2333" s="6">
        <v>42304</v>
      </c>
      <c r="AW2333" t="s">
        <v>54</v>
      </c>
      <c r="AX2333" t="str">
        <f t="shared" si="192"/>
        <v>FOR</v>
      </c>
      <c r="AY2333" t="s">
        <v>55</v>
      </c>
    </row>
    <row r="2334" spans="1:51">
      <c r="A2334">
        <v>100695</v>
      </c>
      <c r="B2334" t="s">
        <v>230</v>
      </c>
      <c r="C2334" t="str">
        <f t="shared" si="194"/>
        <v>00721920155</v>
      </c>
      <c r="D2334" t="str">
        <f t="shared" si="194"/>
        <v>00721920155</v>
      </c>
      <c r="E2334" t="s">
        <v>52</v>
      </c>
      <c r="F2334">
        <v>2014</v>
      </c>
      <c r="G2334">
        <v>40096433</v>
      </c>
      <c r="H2334" s="1">
        <v>41948</v>
      </c>
      <c r="I2334" s="1">
        <v>41967</v>
      </c>
      <c r="J2334" s="1">
        <v>41967</v>
      </c>
      <c r="K2334" s="1">
        <v>42027</v>
      </c>
      <c r="L2334" s="7">
        <v>119.6</v>
      </c>
      <c r="M2334" s="5">
        <v>277</v>
      </c>
      <c r="N2334" s="7">
        <v>33129.199999999997</v>
      </c>
      <c r="O2334">
        <v>119.6</v>
      </c>
      <c r="P2334">
        <v>277</v>
      </c>
      <c r="Q2334" s="2">
        <v>33129.199999999997</v>
      </c>
      <c r="R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 s="1">
        <v>42382</v>
      </c>
      <c r="AC2334" t="s">
        <v>53</v>
      </c>
      <c r="AD2334" t="s">
        <v>53</v>
      </c>
      <c r="AK2334">
        <v>0</v>
      </c>
      <c r="AU2334" s="6">
        <v>42304</v>
      </c>
      <c r="AV2334" s="6">
        <v>42304</v>
      </c>
      <c r="AW2334" t="s">
        <v>54</v>
      </c>
      <c r="AX2334" t="str">
        <f t="shared" si="192"/>
        <v>FOR</v>
      </c>
      <c r="AY2334" t="s">
        <v>55</v>
      </c>
    </row>
    <row r="2335" spans="1:51">
      <c r="A2335">
        <v>100695</v>
      </c>
      <c r="B2335" t="s">
        <v>230</v>
      </c>
      <c r="C2335" t="str">
        <f t="shared" si="194"/>
        <v>00721920155</v>
      </c>
      <c r="D2335" t="str">
        <f t="shared" si="194"/>
        <v>00721920155</v>
      </c>
      <c r="E2335" t="s">
        <v>52</v>
      </c>
      <c r="F2335">
        <v>2014</v>
      </c>
      <c r="G2335">
        <v>40096436</v>
      </c>
      <c r="H2335" s="1">
        <v>41948</v>
      </c>
      <c r="I2335" s="1">
        <v>41967</v>
      </c>
      <c r="J2335" s="1">
        <v>41967</v>
      </c>
      <c r="K2335" s="1">
        <v>42027</v>
      </c>
      <c r="L2335" s="7">
        <v>119.6</v>
      </c>
      <c r="M2335" s="5">
        <v>277</v>
      </c>
      <c r="N2335" s="7">
        <v>33129.199999999997</v>
      </c>
      <c r="O2335">
        <v>119.6</v>
      </c>
      <c r="P2335">
        <v>277</v>
      </c>
      <c r="Q2335" s="2">
        <v>33129.199999999997</v>
      </c>
      <c r="R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 s="1">
        <v>42382</v>
      </c>
      <c r="AC2335" t="s">
        <v>53</v>
      </c>
      <c r="AD2335" t="s">
        <v>53</v>
      </c>
      <c r="AK2335">
        <v>0</v>
      </c>
      <c r="AU2335" s="6">
        <v>42304</v>
      </c>
      <c r="AV2335" s="6">
        <v>42304</v>
      </c>
      <c r="AW2335" t="s">
        <v>54</v>
      </c>
      <c r="AX2335" t="str">
        <f t="shared" si="192"/>
        <v>FOR</v>
      </c>
      <c r="AY2335" t="s">
        <v>55</v>
      </c>
    </row>
    <row r="2336" spans="1:51">
      <c r="A2336">
        <v>100695</v>
      </c>
      <c r="B2336" t="s">
        <v>230</v>
      </c>
      <c r="C2336" t="str">
        <f t="shared" si="194"/>
        <v>00721920155</v>
      </c>
      <c r="D2336" t="str">
        <f t="shared" si="194"/>
        <v>00721920155</v>
      </c>
      <c r="E2336" t="s">
        <v>52</v>
      </c>
      <c r="F2336">
        <v>2014</v>
      </c>
      <c r="G2336">
        <v>40096440</v>
      </c>
      <c r="H2336" s="1">
        <v>41948</v>
      </c>
      <c r="I2336" s="1">
        <v>41967</v>
      </c>
      <c r="J2336" s="1">
        <v>41967</v>
      </c>
      <c r="K2336" s="1">
        <v>42027</v>
      </c>
      <c r="L2336" s="7">
        <v>119.6</v>
      </c>
      <c r="M2336" s="5">
        <v>277</v>
      </c>
      <c r="N2336" s="7">
        <v>33129.199999999997</v>
      </c>
      <c r="O2336">
        <v>119.6</v>
      </c>
      <c r="P2336">
        <v>277</v>
      </c>
      <c r="Q2336" s="2">
        <v>33129.199999999997</v>
      </c>
      <c r="R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 s="1">
        <v>42382</v>
      </c>
      <c r="AC2336" t="s">
        <v>53</v>
      </c>
      <c r="AD2336" t="s">
        <v>53</v>
      </c>
      <c r="AK2336">
        <v>0</v>
      </c>
      <c r="AU2336" s="6">
        <v>42304</v>
      </c>
      <c r="AV2336" s="6">
        <v>42304</v>
      </c>
      <c r="AW2336" t="s">
        <v>54</v>
      </c>
      <c r="AX2336" t="str">
        <f t="shared" si="192"/>
        <v>FOR</v>
      </c>
      <c r="AY2336" t="s">
        <v>55</v>
      </c>
    </row>
    <row r="2337" spans="1:51">
      <c r="A2337">
        <v>100695</v>
      </c>
      <c r="B2337" t="s">
        <v>230</v>
      </c>
      <c r="C2337" t="str">
        <f t="shared" si="194"/>
        <v>00721920155</v>
      </c>
      <c r="D2337" t="str">
        <f t="shared" si="194"/>
        <v>00721920155</v>
      </c>
      <c r="E2337" t="s">
        <v>52</v>
      </c>
      <c r="F2337">
        <v>2014</v>
      </c>
      <c r="G2337">
        <v>40096559</v>
      </c>
      <c r="H2337" s="1">
        <v>41954</v>
      </c>
      <c r="I2337" s="1">
        <v>41967</v>
      </c>
      <c r="J2337" s="1">
        <v>41967</v>
      </c>
      <c r="K2337" s="1">
        <v>42027</v>
      </c>
      <c r="L2337" s="7">
        <v>119.6</v>
      </c>
      <c r="M2337" s="5">
        <v>277</v>
      </c>
      <c r="N2337" s="7">
        <v>33129.199999999997</v>
      </c>
      <c r="O2337">
        <v>119.6</v>
      </c>
      <c r="P2337">
        <v>277</v>
      </c>
      <c r="Q2337" s="2">
        <v>33129.199999999997</v>
      </c>
      <c r="R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 s="1">
        <v>42382</v>
      </c>
      <c r="AC2337" t="s">
        <v>53</v>
      </c>
      <c r="AD2337" t="s">
        <v>53</v>
      </c>
      <c r="AK2337">
        <v>0</v>
      </c>
      <c r="AU2337" s="6">
        <v>42304</v>
      </c>
      <c r="AV2337" s="6">
        <v>42304</v>
      </c>
      <c r="AW2337" t="s">
        <v>54</v>
      </c>
      <c r="AX2337" t="str">
        <f t="shared" si="192"/>
        <v>FOR</v>
      </c>
      <c r="AY2337" t="s">
        <v>55</v>
      </c>
    </row>
    <row r="2338" spans="1:51">
      <c r="A2338">
        <v>100695</v>
      </c>
      <c r="B2338" t="s">
        <v>230</v>
      </c>
      <c r="C2338" t="str">
        <f t="shared" si="194"/>
        <v>00721920155</v>
      </c>
      <c r="D2338" t="str">
        <f t="shared" si="194"/>
        <v>00721920155</v>
      </c>
      <c r="E2338" t="s">
        <v>52</v>
      </c>
      <c r="F2338">
        <v>2014</v>
      </c>
      <c r="G2338">
        <v>40096573</v>
      </c>
      <c r="H2338" s="1">
        <v>41954</v>
      </c>
      <c r="I2338" s="1">
        <v>41967</v>
      </c>
      <c r="J2338" s="1">
        <v>41967</v>
      </c>
      <c r="K2338" s="1">
        <v>42027</v>
      </c>
      <c r="L2338" s="7">
        <v>119.6</v>
      </c>
      <c r="M2338" s="5">
        <v>277</v>
      </c>
      <c r="N2338" s="7">
        <v>33129.199999999997</v>
      </c>
      <c r="O2338">
        <v>119.6</v>
      </c>
      <c r="P2338">
        <v>277</v>
      </c>
      <c r="Q2338" s="2">
        <v>33129.199999999997</v>
      </c>
      <c r="R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 s="1">
        <v>42382</v>
      </c>
      <c r="AC2338" t="s">
        <v>53</v>
      </c>
      <c r="AD2338" t="s">
        <v>53</v>
      </c>
      <c r="AK2338">
        <v>0</v>
      </c>
      <c r="AU2338" s="6">
        <v>42304</v>
      </c>
      <c r="AV2338" s="6">
        <v>42304</v>
      </c>
      <c r="AW2338" t="s">
        <v>54</v>
      </c>
      <c r="AX2338" t="str">
        <f t="shared" si="192"/>
        <v>FOR</v>
      </c>
      <c r="AY2338" t="s">
        <v>55</v>
      </c>
    </row>
    <row r="2339" spans="1:51">
      <c r="A2339">
        <v>100695</v>
      </c>
      <c r="B2339" t="s">
        <v>230</v>
      </c>
      <c r="C2339" t="str">
        <f t="shared" si="194"/>
        <v>00721920155</v>
      </c>
      <c r="D2339" t="str">
        <f t="shared" si="194"/>
        <v>00721920155</v>
      </c>
      <c r="E2339" t="s">
        <v>52</v>
      </c>
      <c r="F2339">
        <v>2014</v>
      </c>
      <c r="G2339">
        <v>40096576</v>
      </c>
      <c r="H2339" s="1">
        <v>41954</v>
      </c>
      <c r="I2339" s="1">
        <v>41967</v>
      </c>
      <c r="J2339" s="1">
        <v>41967</v>
      </c>
      <c r="K2339" s="1">
        <v>42027</v>
      </c>
      <c r="L2339" s="7">
        <v>119.6</v>
      </c>
      <c r="M2339" s="5">
        <v>277</v>
      </c>
      <c r="N2339" s="7">
        <v>33129.199999999997</v>
      </c>
      <c r="O2339">
        <v>119.6</v>
      </c>
      <c r="P2339">
        <v>277</v>
      </c>
      <c r="Q2339" s="2">
        <v>33129.199999999997</v>
      </c>
      <c r="R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 s="1">
        <v>42382</v>
      </c>
      <c r="AC2339" t="s">
        <v>53</v>
      </c>
      <c r="AD2339" t="s">
        <v>53</v>
      </c>
      <c r="AK2339">
        <v>0</v>
      </c>
      <c r="AU2339" s="6">
        <v>42304</v>
      </c>
      <c r="AV2339" s="6">
        <v>42304</v>
      </c>
      <c r="AW2339" t="s">
        <v>54</v>
      </c>
      <c r="AX2339" t="str">
        <f t="shared" si="192"/>
        <v>FOR</v>
      </c>
      <c r="AY2339" t="s">
        <v>55</v>
      </c>
    </row>
    <row r="2340" spans="1:51">
      <c r="A2340">
        <v>100695</v>
      </c>
      <c r="B2340" t="s">
        <v>230</v>
      </c>
      <c r="C2340" t="str">
        <f t="shared" si="194"/>
        <v>00721920155</v>
      </c>
      <c r="D2340" t="str">
        <f t="shared" si="194"/>
        <v>00721920155</v>
      </c>
      <c r="E2340" t="s">
        <v>52</v>
      </c>
      <c r="F2340">
        <v>2014</v>
      </c>
      <c r="G2340">
        <v>40096582</v>
      </c>
      <c r="H2340" s="1">
        <v>41954</v>
      </c>
      <c r="I2340" s="1">
        <v>41967</v>
      </c>
      <c r="J2340" s="1">
        <v>41967</v>
      </c>
      <c r="K2340" s="1">
        <v>42027</v>
      </c>
      <c r="L2340" s="7">
        <v>119.6</v>
      </c>
      <c r="M2340" s="5">
        <v>277</v>
      </c>
      <c r="N2340" s="7">
        <v>33129.199999999997</v>
      </c>
      <c r="O2340">
        <v>119.6</v>
      </c>
      <c r="P2340">
        <v>277</v>
      </c>
      <c r="Q2340" s="2">
        <v>33129.199999999997</v>
      </c>
      <c r="R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 s="1">
        <v>42382</v>
      </c>
      <c r="AC2340" t="s">
        <v>53</v>
      </c>
      <c r="AD2340" t="s">
        <v>53</v>
      </c>
      <c r="AK2340">
        <v>0</v>
      </c>
      <c r="AU2340" s="6">
        <v>42304</v>
      </c>
      <c r="AV2340" s="6">
        <v>42304</v>
      </c>
      <c r="AW2340" t="s">
        <v>54</v>
      </c>
      <c r="AX2340" t="str">
        <f t="shared" si="192"/>
        <v>FOR</v>
      </c>
      <c r="AY2340" t="s">
        <v>55</v>
      </c>
    </row>
    <row r="2341" spans="1:51">
      <c r="A2341">
        <v>100695</v>
      </c>
      <c r="B2341" t="s">
        <v>230</v>
      </c>
      <c r="C2341" t="str">
        <f t="shared" si="194"/>
        <v>00721920155</v>
      </c>
      <c r="D2341" t="str">
        <f t="shared" si="194"/>
        <v>00721920155</v>
      </c>
      <c r="E2341" t="s">
        <v>52</v>
      </c>
      <c r="F2341">
        <v>2014</v>
      </c>
      <c r="G2341">
        <v>40096660</v>
      </c>
      <c r="H2341" s="1">
        <v>41955</v>
      </c>
      <c r="I2341" s="1">
        <v>41967</v>
      </c>
      <c r="J2341" s="1">
        <v>41967</v>
      </c>
      <c r="K2341" s="1">
        <v>42027</v>
      </c>
      <c r="L2341" s="7">
        <v>119.6</v>
      </c>
      <c r="M2341" s="5">
        <v>277</v>
      </c>
      <c r="N2341" s="7">
        <v>33129.199999999997</v>
      </c>
      <c r="O2341">
        <v>119.6</v>
      </c>
      <c r="P2341">
        <v>277</v>
      </c>
      <c r="Q2341" s="2">
        <v>33129.199999999997</v>
      </c>
      <c r="R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 s="1">
        <v>42382</v>
      </c>
      <c r="AC2341" t="s">
        <v>53</v>
      </c>
      <c r="AD2341" t="s">
        <v>53</v>
      </c>
      <c r="AK2341">
        <v>0</v>
      </c>
      <c r="AU2341" s="6">
        <v>42304</v>
      </c>
      <c r="AV2341" s="6">
        <v>42304</v>
      </c>
      <c r="AW2341" t="s">
        <v>54</v>
      </c>
      <c r="AX2341" t="str">
        <f t="shared" si="192"/>
        <v>FOR</v>
      </c>
      <c r="AY2341" t="s">
        <v>55</v>
      </c>
    </row>
    <row r="2342" spans="1:51">
      <c r="A2342">
        <v>100695</v>
      </c>
      <c r="B2342" t="s">
        <v>230</v>
      </c>
      <c r="C2342" t="str">
        <f t="shared" si="194"/>
        <v>00721920155</v>
      </c>
      <c r="D2342" t="str">
        <f t="shared" si="194"/>
        <v>00721920155</v>
      </c>
      <c r="E2342" t="s">
        <v>52</v>
      </c>
      <c r="F2342">
        <v>2014</v>
      </c>
      <c r="G2342">
        <v>40096664</v>
      </c>
      <c r="H2342" s="1">
        <v>41955</v>
      </c>
      <c r="I2342" s="1">
        <v>41967</v>
      </c>
      <c r="J2342" s="1">
        <v>41967</v>
      </c>
      <c r="K2342" s="1">
        <v>42027</v>
      </c>
      <c r="L2342" s="7">
        <v>119.6</v>
      </c>
      <c r="M2342" s="5">
        <v>277</v>
      </c>
      <c r="N2342" s="7">
        <v>33129.199999999997</v>
      </c>
      <c r="O2342">
        <v>119.6</v>
      </c>
      <c r="P2342">
        <v>277</v>
      </c>
      <c r="Q2342" s="2">
        <v>33129.199999999997</v>
      </c>
      <c r="R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 s="1">
        <v>42382</v>
      </c>
      <c r="AC2342" t="s">
        <v>53</v>
      </c>
      <c r="AD2342" t="s">
        <v>53</v>
      </c>
      <c r="AK2342">
        <v>0</v>
      </c>
      <c r="AU2342" s="6">
        <v>42304</v>
      </c>
      <c r="AV2342" s="6">
        <v>42304</v>
      </c>
      <c r="AW2342" t="s">
        <v>54</v>
      </c>
      <c r="AX2342" t="str">
        <f t="shared" si="192"/>
        <v>FOR</v>
      </c>
      <c r="AY2342" t="s">
        <v>55</v>
      </c>
    </row>
    <row r="2343" spans="1:51">
      <c r="A2343">
        <v>100695</v>
      </c>
      <c r="B2343" t="s">
        <v>230</v>
      </c>
      <c r="C2343" t="str">
        <f t="shared" si="194"/>
        <v>00721920155</v>
      </c>
      <c r="D2343" t="str">
        <f t="shared" si="194"/>
        <v>00721920155</v>
      </c>
      <c r="E2343" t="s">
        <v>52</v>
      </c>
      <c r="F2343">
        <v>2014</v>
      </c>
      <c r="G2343">
        <v>40096828</v>
      </c>
      <c r="H2343" s="1">
        <v>41960</v>
      </c>
      <c r="I2343" s="1">
        <v>42086</v>
      </c>
      <c r="J2343" s="1">
        <v>42086</v>
      </c>
      <c r="K2343" s="1">
        <v>42146</v>
      </c>
      <c r="L2343" s="7">
        <v>119.6</v>
      </c>
      <c r="M2343" s="5">
        <v>158</v>
      </c>
      <c r="N2343" s="7">
        <v>18896.8</v>
      </c>
      <c r="O2343">
        <v>119.6</v>
      </c>
      <c r="P2343">
        <v>158</v>
      </c>
      <c r="Q2343" s="2">
        <v>18896.8</v>
      </c>
      <c r="R2343">
        <v>0</v>
      </c>
      <c r="V2343">
        <v>0</v>
      </c>
      <c r="W2343">
        <v>0</v>
      </c>
      <c r="X2343">
        <v>0</v>
      </c>
      <c r="Y2343">
        <v>0</v>
      </c>
      <c r="Z2343">
        <v>119.6</v>
      </c>
      <c r="AA2343">
        <v>0</v>
      </c>
      <c r="AB2343" s="1">
        <v>42382</v>
      </c>
      <c r="AC2343" t="s">
        <v>53</v>
      </c>
      <c r="AD2343" t="s">
        <v>53</v>
      </c>
      <c r="AK2343">
        <v>0</v>
      </c>
      <c r="AU2343" s="6">
        <v>42304</v>
      </c>
      <c r="AV2343" s="6">
        <v>42304</v>
      </c>
      <c r="AW2343" t="s">
        <v>54</v>
      </c>
      <c r="AX2343" t="str">
        <f t="shared" si="192"/>
        <v>FOR</v>
      </c>
      <c r="AY2343" t="s">
        <v>55</v>
      </c>
    </row>
    <row r="2344" spans="1:51">
      <c r="A2344">
        <v>100695</v>
      </c>
      <c r="B2344" t="s">
        <v>230</v>
      </c>
      <c r="C2344" t="str">
        <f t="shared" si="194"/>
        <v>00721920155</v>
      </c>
      <c r="D2344" t="str">
        <f t="shared" si="194"/>
        <v>00721920155</v>
      </c>
      <c r="E2344" t="s">
        <v>52</v>
      </c>
      <c r="F2344">
        <v>2014</v>
      </c>
      <c r="G2344">
        <v>40096836</v>
      </c>
      <c r="H2344" s="1">
        <v>41960</v>
      </c>
      <c r="I2344" s="1">
        <v>42086</v>
      </c>
      <c r="J2344" s="1">
        <v>42086</v>
      </c>
      <c r="K2344" s="1">
        <v>42146</v>
      </c>
      <c r="L2344" s="7">
        <v>119.6</v>
      </c>
      <c r="M2344" s="5">
        <v>158</v>
      </c>
      <c r="N2344" s="7">
        <v>18896.8</v>
      </c>
      <c r="O2344">
        <v>119.6</v>
      </c>
      <c r="P2344">
        <v>158</v>
      </c>
      <c r="Q2344" s="2">
        <v>18896.8</v>
      </c>
      <c r="R2344">
        <v>0</v>
      </c>
      <c r="V2344">
        <v>0</v>
      </c>
      <c r="W2344">
        <v>0</v>
      </c>
      <c r="X2344">
        <v>0</v>
      </c>
      <c r="Y2344">
        <v>0</v>
      </c>
      <c r="Z2344">
        <v>119.6</v>
      </c>
      <c r="AA2344">
        <v>0</v>
      </c>
      <c r="AB2344" s="1">
        <v>42382</v>
      </c>
      <c r="AC2344" t="s">
        <v>53</v>
      </c>
      <c r="AD2344" t="s">
        <v>53</v>
      </c>
      <c r="AK2344">
        <v>0</v>
      </c>
      <c r="AU2344" s="6">
        <v>42304</v>
      </c>
      <c r="AV2344" s="6">
        <v>42304</v>
      </c>
      <c r="AW2344" t="s">
        <v>54</v>
      </c>
      <c r="AX2344" t="str">
        <f t="shared" si="192"/>
        <v>FOR</v>
      </c>
      <c r="AY2344" t="s">
        <v>55</v>
      </c>
    </row>
    <row r="2345" spans="1:51">
      <c r="A2345">
        <v>100695</v>
      </c>
      <c r="B2345" t="s">
        <v>230</v>
      </c>
      <c r="C2345" t="str">
        <f t="shared" si="194"/>
        <v>00721920155</v>
      </c>
      <c r="D2345" t="str">
        <f t="shared" si="194"/>
        <v>00721920155</v>
      </c>
      <c r="E2345" t="s">
        <v>52</v>
      </c>
      <c r="F2345">
        <v>2014</v>
      </c>
      <c r="G2345">
        <v>40096844</v>
      </c>
      <c r="H2345" s="1">
        <v>41960</v>
      </c>
      <c r="I2345" s="1">
        <v>42086</v>
      </c>
      <c r="J2345" s="1">
        <v>42086</v>
      </c>
      <c r="K2345" s="1">
        <v>42146</v>
      </c>
      <c r="L2345" s="7">
        <v>119.6</v>
      </c>
      <c r="M2345" s="5">
        <v>158</v>
      </c>
      <c r="N2345" s="7">
        <v>18896.8</v>
      </c>
      <c r="O2345">
        <v>119.6</v>
      </c>
      <c r="P2345">
        <v>158</v>
      </c>
      <c r="Q2345" s="2">
        <v>18896.8</v>
      </c>
      <c r="R2345">
        <v>0</v>
      </c>
      <c r="V2345">
        <v>0</v>
      </c>
      <c r="W2345">
        <v>0</v>
      </c>
      <c r="X2345">
        <v>0</v>
      </c>
      <c r="Y2345">
        <v>0</v>
      </c>
      <c r="Z2345">
        <v>119.6</v>
      </c>
      <c r="AA2345">
        <v>0</v>
      </c>
      <c r="AB2345" s="1">
        <v>42382</v>
      </c>
      <c r="AC2345" t="s">
        <v>53</v>
      </c>
      <c r="AD2345" t="s">
        <v>53</v>
      </c>
      <c r="AK2345">
        <v>0</v>
      </c>
      <c r="AU2345" s="6">
        <v>42304</v>
      </c>
      <c r="AV2345" s="6">
        <v>42304</v>
      </c>
      <c r="AW2345" t="s">
        <v>54</v>
      </c>
      <c r="AX2345" t="str">
        <f t="shared" si="192"/>
        <v>FOR</v>
      </c>
      <c r="AY2345" t="s">
        <v>55</v>
      </c>
    </row>
    <row r="2346" spans="1:51">
      <c r="A2346">
        <v>100695</v>
      </c>
      <c r="B2346" t="s">
        <v>230</v>
      </c>
      <c r="C2346" t="str">
        <f t="shared" si="194"/>
        <v>00721920155</v>
      </c>
      <c r="D2346" t="str">
        <f t="shared" si="194"/>
        <v>00721920155</v>
      </c>
      <c r="E2346" t="s">
        <v>52</v>
      </c>
      <c r="F2346">
        <v>2014</v>
      </c>
      <c r="G2346">
        <v>40096848</v>
      </c>
      <c r="H2346" s="1">
        <v>41960</v>
      </c>
      <c r="I2346" s="1">
        <v>42086</v>
      </c>
      <c r="J2346" s="1">
        <v>42086</v>
      </c>
      <c r="K2346" s="1">
        <v>42146</v>
      </c>
      <c r="L2346" s="7">
        <v>119.6</v>
      </c>
      <c r="M2346" s="5">
        <v>158</v>
      </c>
      <c r="N2346" s="7">
        <v>18896.8</v>
      </c>
      <c r="O2346">
        <v>119.6</v>
      </c>
      <c r="P2346">
        <v>158</v>
      </c>
      <c r="Q2346" s="2">
        <v>18896.8</v>
      </c>
      <c r="R2346">
        <v>0</v>
      </c>
      <c r="V2346">
        <v>0</v>
      </c>
      <c r="W2346">
        <v>0</v>
      </c>
      <c r="X2346">
        <v>0</v>
      </c>
      <c r="Y2346">
        <v>0</v>
      </c>
      <c r="Z2346">
        <v>119.6</v>
      </c>
      <c r="AA2346">
        <v>0</v>
      </c>
      <c r="AB2346" s="1">
        <v>42382</v>
      </c>
      <c r="AC2346" t="s">
        <v>53</v>
      </c>
      <c r="AD2346" t="s">
        <v>53</v>
      </c>
      <c r="AK2346">
        <v>0</v>
      </c>
      <c r="AU2346" s="6">
        <v>42304</v>
      </c>
      <c r="AV2346" s="6">
        <v>42304</v>
      </c>
      <c r="AW2346" t="s">
        <v>54</v>
      </c>
      <c r="AX2346" t="str">
        <f t="shared" si="192"/>
        <v>FOR</v>
      </c>
      <c r="AY2346" t="s">
        <v>55</v>
      </c>
    </row>
    <row r="2347" spans="1:51">
      <c r="A2347">
        <v>100695</v>
      </c>
      <c r="B2347" t="s">
        <v>230</v>
      </c>
      <c r="C2347" t="str">
        <f t="shared" si="194"/>
        <v>00721920155</v>
      </c>
      <c r="D2347" t="str">
        <f t="shared" si="194"/>
        <v>00721920155</v>
      </c>
      <c r="E2347" t="s">
        <v>52</v>
      </c>
      <c r="F2347">
        <v>2014</v>
      </c>
      <c r="G2347">
        <v>40096853</v>
      </c>
      <c r="H2347" s="1">
        <v>41960</v>
      </c>
      <c r="I2347" s="1">
        <v>42086</v>
      </c>
      <c r="J2347" s="1">
        <v>42086</v>
      </c>
      <c r="K2347" s="1">
        <v>42146</v>
      </c>
      <c r="L2347" s="7">
        <v>119.6</v>
      </c>
      <c r="M2347" s="5">
        <v>158</v>
      </c>
      <c r="N2347" s="7">
        <v>18896.8</v>
      </c>
      <c r="O2347">
        <v>119.6</v>
      </c>
      <c r="P2347">
        <v>158</v>
      </c>
      <c r="Q2347" s="2">
        <v>18896.8</v>
      </c>
      <c r="R2347">
        <v>0</v>
      </c>
      <c r="V2347">
        <v>0</v>
      </c>
      <c r="W2347">
        <v>0</v>
      </c>
      <c r="X2347">
        <v>0</v>
      </c>
      <c r="Y2347">
        <v>0</v>
      </c>
      <c r="Z2347">
        <v>119.6</v>
      </c>
      <c r="AA2347">
        <v>0</v>
      </c>
      <c r="AB2347" s="1">
        <v>42382</v>
      </c>
      <c r="AC2347" t="s">
        <v>53</v>
      </c>
      <c r="AD2347" t="s">
        <v>53</v>
      </c>
      <c r="AK2347">
        <v>0</v>
      </c>
      <c r="AU2347" s="6">
        <v>42304</v>
      </c>
      <c r="AV2347" s="6">
        <v>42304</v>
      </c>
      <c r="AW2347" t="s">
        <v>54</v>
      </c>
      <c r="AX2347" t="str">
        <f t="shared" si="192"/>
        <v>FOR</v>
      </c>
      <c r="AY2347" t="s">
        <v>55</v>
      </c>
    </row>
    <row r="2348" spans="1:51">
      <c r="A2348">
        <v>100695</v>
      </c>
      <c r="B2348" t="s">
        <v>230</v>
      </c>
      <c r="C2348" t="str">
        <f t="shared" si="194"/>
        <v>00721920155</v>
      </c>
      <c r="D2348" t="str">
        <f t="shared" si="194"/>
        <v>00721920155</v>
      </c>
      <c r="E2348" t="s">
        <v>52</v>
      </c>
      <c r="F2348">
        <v>2014</v>
      </c>
      <c r="G2348">
        <v>40097195</v>
      </c>
      <c r="H2348" s="1">
        <v>41968</v>
      </c>
      <c r="I2348" s="1">
        <v>41985</v>
      </c>
      <c r="J2348" s="1">
        <v>41985</v>
      </c>
      <c r="K2348" s="1">
        <v>42045</v>
      </c>
      <c r="L2348" s="7">
        <v>119.6</v>
      </c>
      <c r="M2348" s="5">
        <v>259</v>
      </c>
      <c r="N2348" s="7">
        <v>30976.400000000001</v>
      </c>
      <c r="O2348">
        <v>119.6</v>
      </c>
      <c r="P2348">
        <v>259</v>
      </c>
      <c r="Q2348" s="2">
        <v>30976.400000000001</v>
      </c>
      <c r="R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 s="1">
        <v>42382</v>
      </c>
      <c r="AC2348" t="s">
        <v>53</v>
      </c>
      <c r="AD2348" t="s">
        <v>53</v>
      </c>
      <c r="AK2348">
        <v>0</v>
      </c>
      <c r="AU2348" s="6">
        <v>42304</v>
      </c>
      <c r="AV2348" s="6">
        <v>42304</v>
      </c>
      <c r="AW2348" t="s">
        <v>54</v>
      </c>
      <c r="AX2348" t="str">
        <f t="shared" si="192"/>
        <v>FOR</v>
      </c>
      <c r="AY2348" t="s">
        <v>55</v>
      </c>
    </row>
    <row r="2349" spans="1:51">
      <c r="A2349">
        <v>100695</v>
      </c>
      <c r="B2349" t="s">
        <v>230</v>
      </c>
      <c r="C2349" t="str">
        <f t="shared" si="194"/>
        <v>00721920155</v>
      </c>
      <c r="D2349" t="str">
        <f t="shared" si="194"/>
        <v>00721920155</v>
      </c>
      <c r="E2349" t="s">
        <v>52</v>
      </c>
      <c r="F2349">
        <v>2014</v>
      </c>
      <c r="G2349">
        <v>40097201</v>
      </c>
      <c r="H2349" s="1">
        <v>41968</v>
      </c>
      <c r="I2349" s="1">
        <v>41985</v>
      </c>
      <c r="J2349" s="1">
        <v>41985</v>
      </c>
      <c r="K2349" s="1">
        <v>42045</v>
      </c>
      <c r="L2349" s="7">
        <v>119.6</v>
      </c>
      <c r="M2349" s="5">
        <v>259</v>
      </c>
      <c r="N2349" s="7">
        <v>30976.400000000001</v>
      </c>
      <c r="O2349">
        <v>119.6</v>
      </c>
      <c r="P2349">
        <v>259</v>
      </c>
      <c r="Q2349" s="2">
        <v>30976.400000000001</v>
      </c>
      <c r="R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 s="1">
        <v>42382</v>
      </c>
      <c r="AC2349" t="s">
        <v>53</v>
      </c>
      <c r="AD2349" t="s">
        <v>53</v>
      </c>
      <c r="AK2349">
        <v>0</v>
      </c>
      <c r="AU2349" s="6">
        <v>42304</v>
      </c>
      <c r="AV2349" s="6">
        <v>42304</v>
      </c>
      <c r="AW2349" t="s">
        <v>54</v>
      </c>
      <c r="AX2349" t="str">
        <f t="shared" si="192"/>
        <v>FOR</v>
      </c>
      <c r="AY2349" t="s">
        <v>55</v>
      </c>
    </row>
    <row r="2350" spans="1:51">
      <c r="A2350">
        <v>100695</v>
      </c>
      <c r="B2350" t="s">
        <v>230</v>
      </c>
      <c r="C2350" t="str">
        <f t="shared" si="194"/>
        <v>00721920155</v>
      </c>
      <c r="D2350" t="str">
        <f t="shared" si="194"/>
        <v>00721920155</v>
      </c>
      <c r="E2350" t="s">
        <v>52</v>
      </c>
      <c r="F2350">
        <v>2014</v>
      </c>
      <c r="G2350">
        <v>40097212</v>
      </c>
      <c r="H2350" s="1">
        <v>41968</v>
      </c>
      <c r="I2350" s="1">
        <v>41985</v>
      </c>
      <c r="J2350" s="1">
        <v>41985</v>
      </c>
      <c r="K2350" s="1">
        <v>42045</v>
      </c>
      <c r="L2350" s="7">
        <v>119.6</v>
      </c>
      <c r="M2350" s="5">
        <v>259</v>
      </c>
      <c r="N2350" s="7">
        <v>30976.400000000001</v>
      </c>
      <c r="O2350">
        <v>119.6</v>
      </c>
      <c r="P2350">
        <v>259</v>
      </c>
      <c r="Q2350" s="2">
        <v>30976.400000000001</v>
      </c>
      <c r="R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 s="1">
        <v>42382</v>
      </c>
      <c r="AC2350" t="s">
        <v>53</v>
      </c>
      <c r="AD2350" t="s">
        <v>53</v>
      </c>
      <c r="AK2350">
        <v>0</v>
      </c>
      <c r="AU2350" s="6">
        <v>42304</v>
      </c>
      <c r="AV2350" s="6">
        <v>42304</v>
      </c>
      <c r="AW2350" t="s">
        <v>54</v>
      </c>
      <c r="AX2350" t="str">
        <f t="shared" si="192"/>
        <v>FOR</v>
      </c>
      <c r="AY2350" t="s">
        <v>55</v>
      </c>
    </row>
    <row r="2351" spans="1:51">
      <c r="A2351">
        <v>100695</v>
      </c>
      <c r="B2351" t="s">
        <v>230</v>
      </c>
      <c r="C2351" t="str">
        <f t="shared" si="194"/>
        <v>00721920155</v>
      </c>
      <c r="D2351" t="str">
        <f t="shared" si="194"/>
        <v>00721920155</v>
      </c>
      <c r="E2351" t="s">
        <v>52</v>
      </c>
      <c r="F2351">
        <v>2014</v>
      </c>
      <c r="G2351">
        <v>40097214</v>
      </c>
      <c r="H2351" s="1">
        <v>41968</v>
      </c>
      <c r="I2351" s="1">
        <v>41985</v>
      </c>
      <c r="J2351" s="1">
        <v>41985</v>
      </c>
      <c r="K2351" s="1">
        <v>42045</v>
      </c>
      <c r="L2351" s="7">
        <v>119.6</v>
      </c>
      <c r="M2351" s="5">
        <v>259</v>
      </c>
      <c r="N2351" s="7">
        <v>30976.400000000001</v>
      </c>
      <c r="O2351">
        <v>119.6</v>
      </c>
      <c r="P2351">
        <v>259</v>
      </c>
      <c r="Q2351" s="2">
        <v>30976.400000000001</v>
      </c>
      <c r="R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 s="1">
        <v>42382</v>
      </c>
      <c r="AC2351" t="s">
        <v>53</v>
      </c>
      <c r="AD2351" t="s">
        <v>53</v>
      </c>
      <c r="AK2351">
        <v>0</v>
      </c>
      <c r="AU2351" s="6">
        <v>42304</v>
      </c>
      <c r="AV2351" s="6">
        <v>42304</v>
      </c>
      <c r="AW2351" t="s">
        <v>54</v>
      </c>
      <c r="AX2351" t="str">
        <f t="shared" si="192"/>
        <v>FOR</v>
      </c>
      <c r="AY2351" t="s">
        <v>55</v>
      </c>
    </row>
    <row r="2352" spans="1:51">
      <c r="A2352">
        <v>100695</v>
      </c>
      <c r="B2352" t="s">
        <v>230</v>
      </c>
      <c r="C2352" t="str">
        <f t="shared" si="194"/>
        <v>00721920155</v>
      </c>
      <c r="D2352" t="str">
        <f t="shared" si="194"/>
        <v>00721920155</v>
      </c>
      <c r="E2352" t="s">
        <v>52</v>
      </c>
      <c r="F2352">
        <v>2014</v>
      </c>
      <c r="G2352">
        <v>40097215</v>
      </c>
      <c r="H2352" s="1">
        <v>41968</v>
      </c>
      <c r="I2352" s="1">
        <v>41985</v>
      </c>
      <c r="J2352" s="1">
        <v>41985</v>
      </c>
      <c r="K2352" s="1">
        <v>42045</v>
      </c>
      <c r="L2352" s="7">
        <v>119.6</v>
      </c>
      <c r="M2352" s="5">
        <v>259</v>
      </c>
      <c r="N2352" s="7">
        <v>30976.400000000001</v>
      </c>
      <c r="O2352">
        <v>119.6</v>
      </c>
      <c r="P2352">
        <v>259</v>
      </c>
      <c r="Q2352" s="2">
        <v>30976.400000000001</v>
      </c>
      <c r="R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 s="1">
        <v>42382</v>
      </c>
      <c r="AC2352" t="s">
        <v>53</v>
      </c>
      <c r="AD2352" t="s">
        <v>53</v>
      </c>
      <c r="AK2352">
        <v>0</v>
      </c>
      <c r="AU2352" s="6">
        <v>42304</v>
      </c>
      <c r="AV2352" s="6">
        <v>42304</v>
      </c>
      <c r="AW2352" t="s">
        <v>54</v>
      </c>
      <c r="AX2352" t="str">
        <f t="shared" si="192"/>
        <v>FOR</v>
      </c>
      <c r="AY2352" t="s">
        <v>55</v>
      </c>
    </row>
    <row r="2353" spans="1:51">
      <c r="A2353">
        <v>100695</v>
      </c>
      <c r="B2353" t="s">
        <v>230</v>
      </c>
      <c r="C2353" t="str">
        <f t="shared" ref="C2353:D2372" si="195">"00721920155"</f>
        <v>00721920155</v>
      </c>
      <c r="D2353" t="str">
        <f t="shared" si="195"/>
        <v>00721920155</v>
      </c>
      <c r="E2353" t="s">
        <v>52</v>
      </c>
      <c r="F2353">
        <v>2014</v>
      </c>
      <c r="G2353">
        <v>40097356</v>
      </c>
      <c r="H2353" s="1">
        <v>41970</v>
      </c>
      <c r="I2353" s="1">
        <v>41985</v>
      </c>
      <c r="J2353" s="1">
        <v>41985</v>
      </c>
      <c r="K2353" s="1">
        <v>42045</v>
      </c>
      <c r="L2353" s="7">
        <v>119.6</v>
      </c>
      <c r="M2353" s="5">
        <v>259</v>
      </c>
      <c r="N2353" s="7">
        <v>30976.400000000001</v>
      </c>
      <c r="O2353">
        <v>119.6</v>
      </c>
      <c r="P2353">
        <v>259</v>
      </c>
      <c r="Q2353" s="2">
        <v>30976.400000000001</v>
      </c>
      <c r="R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 s="1">
        <v>42382</v>
      </c>
      <c r="AC2353" t="s">
        <v>53</v>
      </c>
      <c r="AD2353" t="s">
        <v>53</v>
      </c>
      <c r="AK2353">
        <v>0</v>
      </c>
      <c r="AU2353" s="6">
        <v>42304</v>
      </c>
      <c r="AV2353" s="6">
        <v>42304</v>
      </c>
      <c r="AW2353" t="s">
        <v>54</v>
      </c>
      <c r="AX2353" t="str">
        <f t="shared" si="192"/>
        <v>FOR</v>
      </c>
      <c r="AY2353" t="s">
        <v>55</v>
      </c>
    </row>
    <row r="2354" spans="1:51">
      <c r="A2354">
        <v>100695</v>
      </c>
      <c r="B2354" t="s">
        <v>230</v>
      </c>
      <c r="C2354" t="str">
        <f t="shared" si="195"/>
        <v>00721920155</v>
      </c>
      <c r="D2354" t="str">
        <f t="shared" si="195"/>
        <v>00721920155</v>
      </c>
      <c r="E2354" t="s">
        <v>52</v>
      </c>
      <c r="F2354">
        <v>2014</v>
      </c>
      <c r="G2354">
        <v>40097362</v>
      </c>
      <c r="H2354" s="1">
        <v>41970</v>
      </c>
      <c r="I2354" s="1">
        <v>41985</v>
      </c>
      <c r="J2354" s="1">
        <v>41985</v>
      </c>
      <c r="K2354" s="1">
        <v>42045</v>
      </c>
      <c r="L2354" s="7">
        <v>119.6</v>
      </c>
      <c r="M2354" s="5">
        <v>259</v>
      </c>
      <c r="N2354" s="7">
        <v>30976.400000000001</v>
      </c>
      <c r="O2354">
        <v>119.6</v>
      </c>
      <c r="P2354">
        <v>259</v>
      </c>
      <c r="Q2354" s="2">
        <v>30976.400000000001</v>
      </c>
      <c r="R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 s="1">
        <v>42382</v>
      </c>
      <c r="AC2354" t="s">
        <v>53</v>
      </c>
      <c r="AD2354" t="s">
        <v>53</v>
      </c>
      <c r="AK2354">
        <v>0</v>
      </c>
      <c r="AU2354" s="6">
        <v>42304</v>
      </c>
      <c r="AV2354" s="6">
        <v>42304</v>
      </c>
      <c r="AW2354" t="s">
        <v>54</v>
      </c>
      <c r="AX2354" t="str">
        <f t="shared" si="192"/>
        <v>FOR</v>
      </c>
      <c r="AY2354" t="s">
        <v>55</v>
      </c>
    </row>
    <row r="2355" spans="1:51">
      <c r="A2355">
        <v>100695</v>
      </c>
      <c r="B2355" t="s">
        <v>230</v>
      </c>
      <c r="C2355" t="str">
        <f t="shared" si="195"/>
        <v>00721920155</v>
      </c>
      <c r="D2355" t="str">
        <f t="shared" si="195"/>
        <v>00721920155</v>
      </c>
      <c r="E2355" t="s">
        <v>52</v>
      </c>
      <c r="F2355">
        <v>2014</v>
      </c>
      <c r="G2355">
        <v>40097376</v>
      </c>
      <c r="H2355" s="1">
        <v>41970</v>
      </c>
      <c r="I2355" s="1">
        <v>41985</v>
      </c>
      <c r="J2355" s="1">
        <v>41985</v>
      </c>
      <c r="K2355" s="1">
        <v>42045</v>
      </c>
      <c r="L2355" s="7">
        <v>119.6</v>
      </c>
      <c r="M2355" s="5">
        <v>259</v>
      </c>
      <c r="N2355" s="7">
        <v>30976.400000000001</v>
      </c>
      <c r="O2355">
        <v>119.6</v>
      </c>
      <c r="P2355">
        <v>259</v>
      </c>
      <c r="Q2355" s="2">
        <v>30976.400000000001</v>
      </c>
      <c r="R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 s="1">
        <v>42382</v>
      </c>
      <c r="AC2355" t="s">
        <v>53</v>
      </c>
      <c r="AD2355" t="s">
        <v>53</v>
      </c>
      <c r="AK2355">
        <v>0</v>
      </c>
      <c r="AU2355" s="6">
        <v>42304</v>
      </c>
      <c r="AV2355" s="6">
        <v>42304</v>
      </c>
      <c r="AW2355" t="s">
        <v>54</v>
      </c>
      <c r="AX2355" t="str">
        <f t="shared" si="192"/>
        <v>FOR</v>
      </c>
      <c r="AY2355" t="s">
        <v>55</v>
      </c>
    </row>
    <row r="2356" spans="1:51">
      <c r="A2356">
        <v>100695</v>
      </c>
      <c r="B2356" t="s">
        <v>230</v>
      </c>
      <c r="C2356" t="str">
        <f t="shared" si="195"/>
        <v>00721920155</v>
      </c>
      <c r="D2356" t="str">
        <f t="shared" si="195"/>
        <v>00721920155</v>
      </c>
      <c r="E2356" t="s">
        <v>52</v>
      </c>
      <c r="F2356">
        <v>2014</v>
      </c>
      <c r="G2356">
        <v>40097377</v>
      </c>
      <c r="H2356" s="1">
        <v>41970</v>
      </c>
      <c r="I2356" s="1">
        <v>41985</v>
      </c>
      <c r="J2356" s="1">
        <v>41985</v>
      </c>
      <c r="K2356" s="1">
        <v>42045</v>
      </c>
      <c r="L2356" s="7">
        <v>119.6</v>
      </c>
      <c r="M2356" s="5">
        <v>259</v>
      </c>
      <c r="N2356" s="7">
        <v>30976.400000000001</v>
      </c>
      <c r="O2356">
        <v>119.6</v>
      </c>
      <c r="P2356">
        <v>259</v>
      </c>
      <c r="Q2356" s="2">
        <v>30976.400000000001</v>
      </c>
      <c r="R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 s="1">
        <v>42382</v>
      </c>
      <c r="AC2356" t="s">
        <v>53</v>
      </c>
      <c r="AD2356" t="s">
        <v>53</v>
      </c>
      <c r="AK2356">
        <v>0</v>
      </c>
      <c r="AU2356" s="6">
        <v>42304</v>
      </c>
      <c r="AV2356" s="6">
        <v>42304</v>
      </c>
      <c r="AW2356" t="s">
        <v>54</v>
      </c>
      <c r="AX2356" t="str">
        <f t="shared" si="192"/>
        <v>FOR</v>
      </c>
      <c r="AY2356" t="s">
        <v>55</v>
      </c>
    </row>
    <row r="2357" spans="1:51">
      <c r="A2357">
        <v>100695</v>
      </c>
      <c r="B2357" t="s">
        <v>230</v>
      </c>
      <c r="C2357" t="str">
        <f t="shared" si="195"/>
        <v>00721920155</v>
      </c>
      <c r="D2357" t="str">
        <f t="shared" si="195"/>
        <v>00721920155</v>
      </c>
      <c r="E2357" t="s">
        <v>52</v>
      </c>
      <c r="F2357">
        <v>2014</v>
      </c>
      <c r="G2357">
        <v>40097382</v>
      </c>
      <c r="H2357" s="1">
        <v>41970</v>
      </c>
      <c r="I2357" s="1">
        <v>41985</v>
      </c>
      <c r="J2357" s="1">
        <v>41985</v>
      </c>
      <c r="K2357" s="1">
        <v>42045</v>
      </c>
      <c r="L2357" s="7">
        <v>119.6</v>
      </c>
      <c r="M2357" s="5">
        <v>259</v>
      </c>
      <c r="N2357" s="7">
        <v>30976.400000000001</v>
      </c>
      <c r="O2357">
        <v>119.6</v>
      </c>
      <c r="P2357">
        <v>259</v>
      </c>
      <c r="Q2357" s="2">
        <v>30976.400000000001</v>
      </c>
      <c r="R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 s="1">
        <v>42382</v>
      </c>
      <c r="AC2357" t="s">
        <v>53</v>
      </c>
      <c r="AD2357" t="s">
        <v>53</v>
      </c>
      <c r="AK2357">
        <v>0</v>
      </c>
      <c r="AU2357" s="6">
        <v>42304</v>
      </c>
      <c r="AV2357" s="6">
        <v>42304</v>
      </c>
      <c r="AW2357" t="s">
        <v>54</v>
      </c>
      <c r="AX2357" t="str">
        <f t="shared" si="192"/>
        <v>FOR</v>
      </c>
      <c r="AY2357" t="s">
        <v>55</v>
      </c>
    </row>
    <row r="2358" spans="1:51">
      <c r="A2358">
        <v>100695</v>
      </c>
      <c r="B2358" t="s">
        <v>230</v>
      </c>
      <c r="C2358" t="str">
        <f t="shared" si="195"/>
        <v>00721920155</v>
      </c>
      <c r="D2358" t="str">
        <f t="shared" si="195"/>
        <v>00721920155</v>
      </c>
      <c r="E2358" t="s">
        <v>52</v>
      </c>
      <c r="F2358">
        <v>2014</v>
      </c>
      <c r="G2358">
        <v>40097384</v>
      </c>
      <c r="H2358" s="1">
        <v>41970</v>
      </c>
      <c r="I2358" s="1">
        <v>41985</v>
      </c>
      <c r="J2358" s="1">
        <v>41985</v>
      </c>
      <c r="K2358" s="1">
        <v>42045</v>
      </c>
      <c r="L2358" s="7">
        <v>119.6</v>
      </c>
      <c r="M2358" s="5">
        <v>259</v>
      </c>
      <c r="N2358" s="7">
        <v>30976.400000000001</v>
      </c>
      <c r="O2358">
        <v>119.6</v>
      </c>
      <c r="P2358">
        <v>259</v>
      </c>
      <c r="Q2358" s="2">
        <v>30976.400000000001</v>
      </c>
      <c r="R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 s="1">
        <v>42382</v>
      </c>
      <c r="AC2358" t="s">
        <v>53</v>
      </c>
      <c r="AD2358" t="s">
        <v>53</v>
      </c>
      <c r="AK2358">
        <v>0</v>
      </c>
      <c r="AU2358" s="6">
        <v>42304</v>
      </c>
      <c r="AV2358" s="6">
        <v>42304</v>
      </c>
      <c r="AW2358" t="s">
        <v>54</v>
      </c>
      <c r="AX2358" t="str">
        <f t="shared" si="192"/>
        <v>FOR</v>
      </c>
      <c r="AY2358" t="s">
        <v>55</v>
      </c>
    </row>
    <row r="2359" spans="1:51">
      <c r="A2359">
        <v>100695</v>
      </c>
      <c r="B2359" t="s">
        <v>230</v>
      </c>
      <c r="C2359" t="str">
        <f t="shared" si="195"/>
        <v>00721920155</v>
      </c>
      <c r="D2359" t="str">
        <f t="shared" si="195"/>
        <v>00721920155</v>
      </c>
      <c r="E2359" t="s">
        <v>52</v>
      </c>
      <c r="F2359">
        <v>2014</v>
      </c>
      <c r="G2359">
        <v>40097419</v>
      </c>
      <c r="H2359" s="1">
        <v>41971</v>
      </c>
      <c r="I2359" s="1">
        <v>41985</v>
      </c>
      <c r="J2359" s="1">
        <v>41985</v>
      </c>
      <c r="K2359" s="1">
        <v>42045</v>
      </c>
      <c r="L2359" s="7">
        <v>119.6</v>
      </c>
      <c r="M2359" s="5">
        <v>259</v>
      </c>
      <c r="N2359" s="7">
        <v>30976.400000000001</v>
      </c>
      <c r="O2359">
        <v>119.6</v>
      </c>
      <c r="P2359">
        <v>259</v>
      </c>
      <c r="Q2359" s="2">
        <v>30976.400000000001</v>
      </c>
      <c r="R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 s="1">
        <v>42382</v>
      </c>
      <c r="AC2359" t="s">
        <v>53</v>
      </c>
      <c r="AD2359" t="s">
        <v>53</v>
      </c>
      <c r="AK2359">
        <v>0</v>
      </c>
      <c r="AU2359" s="6">
        <v>42304</v>
      </c>
      <c r="AV2359" s="6">
        <v>42304</v>
      </c>
      <c r="AW2359" t="s">
        <v>54</v>
      </c>
      <c r="AX2359" t="str">
        <f t="shared" si="192"/>
        <v>FOR</v>
      </c>
      <c r="AY2359" t="s">
        <v>55</v>
      </c>
    </row>
    <row r="2360" spans="1:51">
      <c r="A2360">
        <v>100695</v>
      </c>
      <c r="B2360" t="s">
        <v>230</v>
      </c>
      <c r="C2360" t="str">
        <f t="shared" si="195"/>
        <v>00721920155</v>
      </c>
      <c r="D2360" t="str">
        <f t="shared" si="195"/>
        <v>00721920155</v>
      </c>
      <c r="E2360" t="s">
        <v>52</v>
      </c>
      <c r="F2360">
        <v>2014</v>
      </c>
      <c r="G2360">
        <v>40097420</v>
      </c>
      <c r="H2360" s="1">
        <v>41971</v>
      </c>
      <c r="I2360" s="1">
        <v>41985</v>
      </c>
      <c r="J2360" s="1">
        <v>41985</v>
      </c>
      <c r="K2360" s="1">
        <v>42045</v>
      </c>
      <c r="L2360" s="7">
        <v>119.6</v>
      </c>
      <c r="M2360" s="5">
        <v>259</v>
      </c>
      <c r="N2360" s="7">
        <v>30976.400000000001</v>
      </c>
      <c r="O2360">
        <v>119.6</v>
      </c>
      <c r="P2360">
        <v>259</v>
      </c>
      <c r="Q2360" s="2">
        <v>30976.400000000001</v>
      </c>
      <c r="R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 s="1">
        <v>42382</v>
      </c>
      <c r="AC2360" t="s">
        <v>53</v>
      </c>
      <c r="AD2360" t="s">
        <v>53</v>
      </c>
      <c r="AK2360">
        <v>0</v>
      </c>
      <c r="AU2360" s="6">
        <v>42304</v>
      </c>
      <c r="AV2360" s="6">
        <v>42304</v>
      </c>
      <c r="AW2360" t="s">
        <v>54</v>
      </c>
      <c r="AX2360" t="str">
        <f t="shared" si="192"/>
        <v>FOR</v>
      </c>
      <c r="AY2360" t="s">
        <v>55</v>
      </c>
    </row>
    <row r="2361" spans="1:51">
      <c r="A2361">
        <v>100695</v>
      </c>
      <c r="B2361" t="s">
        <v>230</v>
      </c>
      <c r="C2361" t="str">
        <f t="shared" si="195"/>
        <v>00721920155</v>
      </c>
      <c r="D2361" t="str">
        <f t="shared" si="195"/>
        <v>00721920155</v>
      </c>
      <c r="E2361" t="s">
        <v>52</v>
      </c>
      <c r="F2361">
        <v>2014</v>
      </c>
      <c r="G2361">
        <v>40097432</v>
      </c>
      <c r="H2361" s="1">
        <v>41971</v>
      </c>
      <c r="I2361" s="1">
        <v>41985</v>
      </c>
      <c r="J2361" s="1">
        <v>41985</v>
      </c>
      <c r="K2361" s="1">
        <v>42045</v>
      </c>
      <c r="L2361" s="7">
        <v>119.6</v>
      </c>
      <c r="M2361" s="5">
        <v>259</v>
      </c>
      <c r="N2361" s="7">
        <v>30976.400000000001</v>
      </c>
      <c r="O2361">
        <v>119.6</v>
      </c>
      <c r="P2361">
        <v>259</v>
      </c>
      <c r="Q2361" s="2">
        <v>30976.400000000001</v>
      </c>
      <c r="R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 s="1">
        <v>42382</v>
      </c>
      <c r="AC2361" t="s">
        <v>53</v>
      </c>
      <c r="AD2361" t="s">
        <v>53</v>
      </c>
      <c r="AK2361">
        <v>0</v>
      </c>
      <c r="AU2361" s="6">
        <v>42304</v>
      </c>
      <c r="AV2361" s="6">
        <v>42304</v>
      </c>
      <c r="AW2361" t="s">
        <v>54</v>
      </c>
      <c r="AX2361" t="str">
        <f t="shared" si="192"/>
        <v>FOR</v>
      </c>
      <c r="AY2361" t="s">
        <v>55</v>
      </c>
    </row>
    <row r="2362" spans="1:51">
      <c r="A2362">
        <v>100695</v>
      </c>
      <c r="B2362" t="s">
        <v>230</v>
      </c>
      <c r="C2362" t="str">
        <f t="shared" si="195"/>
        <v>00721920155</v>
      </c>
      <c r="D2362" t="str">
        <f t="shared" si="195"/>
        <v>00721920155</v>
      </c>
      <c r="E2362" t="s">
        <v>52</v>
      </c>
      <c r="F2362">
        <v>2014</v>
      </c>
      <c r="G2362">
        <v>40097654</v>
      </c>
      <c r="H2362" s="1">
        <v>41975</v>
      </c>
      <c r="I2362" s="1">
        <v>41988</v>
      </c>
      <c r="J2362" s="1">
        <v>41988</v>
      </c>
      <c r="K2362" s="1">
        <v>42048</v>
      </c>
      <c r="L2362" s="7">
        <v>119.6</v>
      </c>
      <c r="M2362" s="5">
        <v>292</v>
      </c>
      <c r="N2362" s="7">
        <v>34923.199999999997</v>
      </c>
      <c r="O2362">
        <v>119.6</v>
      </c>
      <c r="P2362">
        <v>292</v>
      </c>
      <c r="Q2362" s="2">
        <v>34923.199999999997</v>
      </c>
      <c r="R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 s="1">
        <v>42382</v>
      </c>
      <c r="AC2362" t="s">
        <v>53</v>
      </c>
      <c r="AD2362" t="s">
        <v>53</v>
      </c>
      <c r="AK2362">
        <v>0</v>
      </c>
      <c r="AU2362" s="6">
        <v>42340</v>
      </c>
      <c r="AV2362" s="6">
        <v>42340</v>
      </c>
      <c r="AW2362" t="s">
        <v>54</v>
      </c>
      <c r="AX2362" t="str">
        <f t="shared" si="192"/>
        <v>FOR</v>
      </c>
      <c r="AY2362" t="s">
        <v>55</v>
      </c>
    </row>
    <row r="2363" spans="1:51">
      <c r="A2363">
        <v>100695</v>
      </c>
      <c r="B2363" t="s">
        <v>230</v>
      </c>
      <c r="C2363" t="str">
        <f t="shared" si="195"/>
        <v>00721920155</v>
      </c>
      <c r="D2363" t="str">
        <f t="shared" si="195"/>
        <v>00721920155</v>
      </c>
      <c r="E2363" t="s">
        <v>52</v>
      </c>
      <c r="F2363">
        <v>2014</v>
      </c>
      <c r="G2363">
        <v>40097667</v>
      </c>
      <c r="H2363" s="1">
        <v>41975</v>
      </c>
      <c r="I2363" s="1">
        <v>41988</v>
      </c>
      <c r="J2363" s="1">
        <v>41988</v>
      </c>
      <c r="K2363" s="1">
        <v>42048</v>
      </c>
      <c r="L2363" s="7">
        <v>119.6</v>
      </c>
      <c r="M2363" s="5">
        <v>292</v>
      </c>
      <c r="N2363" s="7">
        <v>34923.199999999997</v>
      </c>
      <c r="O2363">
        <v>119.6</v>
      </c>
      <c r="P2363">
        <v>292</v>
      </c>
      <c r="Q2363" s="2">
        <v>34923.199999999997</v>
      </c>
      <c r="R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 s="1">
        <v>42382</v>
      </c>
      <c r="AC2363" t="s">
        <v>53</v>
      </c>
      <c r="AD2363" t="s">
        <v>53</v>
      </c>
      <c r="AK2363">
        <v>0</v>
      </c>
      <c r="AU2363" s="6">
        <v>42340</v>
      </c>
      <c r="AV2363" s="6">
        <v>42340</v>
      </c>
      <c r="AW2363" t="s">
        <v>54</v>
      </c>
      <c r="AX2363" t="str">
        <f t="shared" si="192"/>
        <v>FOR</v>
      </c>
      <c r="AY2363" t="s">
        <v>55</v>
      </c>
    </row>
    <row r="2364" spans="1:51">
      <c r="A2364">
        <v>100695</v>
      </c>
      <c r="B2364" t="s">
        <v>230</v>
      </c>
      <c r="C2364" t="str">
        <f t="shared" si="195"/>
        <v>00721920155</v>
      </c>
      <c r="D2364" t="str">
        <f t="shared" si="195"/>
        <v>00721920155</v>
      </c>
      <c r="E2364" t="s">
        <v>52</v>
      </c>
      <c r="F2364">
        <v>2014</v>
      </c>
      <c r="G2364">
        <v>40097673</v>
      </c>
      <c r="H2364" s="1">
        <v>41975</v>
      </c>
      <c r="I2364" s="1">
        <v>41988</v>
      </c>
      <c r="J2364" s="1">
        <v>41988</v>
      </c>
      <c r="K2364" s="1">
        <v>42048</v>
      </c>
      <c r="L2364" s="7">
        <v>119.6</v>
      </c>
      <c r="M2364" s="5">
        <v>292</v>
      </c>
      <c r="N2364" s="7">
        <v>34923.199999999997</v>
      </c>
      <c r="O2364">
        <v>119.6</v>
      </c>
      <c r="P2364">
        <v>292</v>
      </c>
      <c r="Q2364" s="2">
        <v>34923.199999999997</v>
      </c>
      <c r="R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 s="1">
        <v>42382</v>
      </c>
      <c r="AC2364" t="s">
        <v>53</v>
      </c>
      <c r="AD2364" t="s">
        <v>53</v>
      </c>
      <c r="AK2364">
        <v>0</v>
      </c>
      <c r="AU2364" s="6">
        <v>42340</v>
      </c>
      <c r="AV2364" s="6">
        <v>42340</v>
      </c>
      <c r="AW2364" t="s">
        <v>54</v>
      </c>
      <c r="AX2364" t="str">
        <f t="shared" si="192"/>
        <v>FOR</v>
      </c>
      <c r="AY2364" t="s">
        <v>55</v>
      </c>
    </row>
    <row r="2365" spans="1:51">
      <c r="A2365">
        <v>100695</v>
      </c>
      <c r="B2365" t="s">
        <v>230</v>
      </c>
      <c r="C2365" t="str">
        <f t="shared" si="195"/>
        <v>00721920155</v>
      </c>
      <c r="D2365" t="str">
        <f t="shared" si="195"/>
        <v>00721920155</v>
      </c>
      <c r="E2365" t="s">
        <v>52</v>
      </c>
      <c r="F2365">
        <v>2014</v>
      </c>
      <c r="G2365">
        <v>40097705</v>
      </c>
      <c r="H2365" s="1">
        <v>41976</v>
      </c>
      <c r="I2365" s="1">
        <v>42004</v>
      </c>
      <c r="J2365" s="1">
        <v>42004</v>
      </c>
      <c r="K2365" s="1">
        <v>42064</v>
      </c>
      <c r="L2365" s="7">
        <v>7728.09</v>
      </c>
      <c r="M2365" s="5">
        <v>240</v>
      </c>
      <c r="N2365" s="7">
        <v>1854741.6</v>
      </c>
      <c r="O2365" s="2">
        <v>7728.09</v>
      </c>
      <c r="P2365">
        <v>240</v>
      </c>
      <c r="Q2365" s="2">
        <v>1854741.6</v>
      </c>
      <c r="R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 s="1">
        <v>42382</v>
      </c>
      <c r="AC2365" t="s">
        <v>53</v>
      </c>
      <c r="AD2365" t="s">
        <v>53</v>
      </c>
      <c r="AK2365">
        <v>0</v>
      </c>
      <c r="AU2365" s="6">
        <v>42304</v>
      </c>
      <c r="AV2365" s="6">
        <v>42304</v>
      </c>
      <c r="AW2365" t="s">
        <v>54</v>
      </c>
      <c r="AX2365" t="str">
        <f t="shared" si="192"/>
        <v>FOR</v>
      </c>
      <c r="AY2365" t="s">
        <v>55</v>
      </c>
    </row>
    <row r="2366" spans="1:51">
      <c r="A2366">
        <v>100695</v>
      </c>
      <c r="B2366" t="s">
        <v>230</v>
      </c>
      <c r="C2366" t="str">
        <f t="shared" si="195"/>
        <v>00721920155</v>
      </c>
      <c r="D2366" t="str">
        <f t="shared" si="195"/>
        <v>00721920155</v>
      </c>
      <c r="E2366" t="s">
        <v>52</v>
      </c>
      <c r="F2366">
        <v>2014</v>
      </c>
      <c r="G2366">
        <v>40097714</v>
      </c>
      <c r="H2366" s="1">
        <v>41976</v>
      </c>
      <c r="I2366" s="1">
        <v>42086</v>
      </c>
      <c r="J2366" s="1">
        <v>42086</v>
      </c>
      <c r="K2366" s="1">
        <v>42146</v>
      </c>
      <c r="L2366" s="7">
        <v>119.6</v>
      </c>
      <c r="M2366" s="5">
        <v>194</v>
      </c>
      <c r="N2366" s="7">
        <v>23202.400000000001</v>
      </c>
      <c r="O2366">
        <v>119.6</v>
      </c>
      <c r="P2366">
        <v>194</v>
      </c>
      <c r="Q2366" s="2">
        <v>23202.400000000001</v>
      </c>
      <c r="R2366">
        <v>0</v>
      </c>
      <c r="V2366">
        <v>0</v>
      </c>
      <c r="W2366">
        <v>0</v>
      </c>
      <c r="X2366">
        <v>0</v>
      </c>
      <c r="Y2366">
        <v>0</v>
      </c>
      <c r="Z2366">
        <v>119.6</v>
      </c>
      <c r="AA2366">
        <v>0</v>
      </c>
      <c r="AB2366" s="1">
        <v>42382</v>
      </c>
      <c r="AC2366" t="s">
        <v>53</v>
      </c>
      <c r="AD2366" t="s">
        <v>53</v>
      </c>
      <c r="AK2366">
        <v>0</v>
      </c>
      <c r="AU2366" s="6">
        <v>42340</v>
      </c>
      <c r="AV2366" s="6">
        <v>42340</v>
      </c>
      <c r="AW2366" t="s">
        <v>54</v>
      </c>
      <c r="AX2366" t="str">
        <f t="shared" si="192"/>
        <v>FOR</v>
      </c>
      <c r="AY2366" t="s">
        <v>55</v>
      </c>
    </row>
    <row r="2367" spans="1:51">
      <c r="A2367">
        <v>100695</v>
      </c>
      <c r="B2367" t="s">
        <v>230</v>
      </c>
      <c r="C2367" t="str">
        <f t="shared" si="195"/>
        <v>00721920155</v>
      </c>
      <c r="D2367" t="str">
        <f t="shared" si="195"/>
        <v>00721920155</v>
      </c>
      <c r="E2367" t="s">
        <v>52</v>
      </c>
      <c r="F2367">
        <v>2014</v>
      </c>
      <c r="G2367">
        <v>40097728</v>
      </c>
      <c r="H2367" s="1">
        <v>41977</v>
      </c>
      <c r="I2367" s="1">
        <v>41988</v>
      </c>
      <c r="J2367" s="1">
        <v>41988</v>
      </c>
      <c r="K2367" s="1">
        <v>42048</v>
      </c>
      <c r="L2367" s="7">
        <v>119.6</v>
      </c>
      <c r="M2367" s="5">
        <v>292</v>
      </c>
      <c r="N2367" s="7">
        <v>34923.199999999997</v>
      </c>
      <c r="O2367">
        <v>119.6</v>
      </c>
      <c r="P2367">
        <v>292</v>
      </c>
      <c r="Q2367" s="2">
        <v>34923.199999999997</v>
      </c>
      <c r="R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 s="1">
        <v>42382</v>
      </c>
      <c r="AC2367" t="s">
        <v>53</v>
      </c>
      <c r="AD2367" t="s">
        <v>53</v>
      </c>
      <c r="AK2367">
        <v>0</v>
      </c>
      <c r="AU2367" s="6">
        <v>42340</v>
      </c>
      <c r="AV2367" s="6">
        <v>42340</v>
      </c>
      <c r="AW2367" t="s">
        <v>54</v>
      </c>
      <c r="AX2367" t="str">
        <f t="shared" si="192"/>
        <v>FOR</v>
      </c>
      <c r="AY2367" t="s">
        <v>55</v>
      </c>
    </row>
    <row r="2368" spans="1:51">
      <c r="A2368">
        <v>100695</v>
      </c>
      <c r="B2368" t="s">
        <v>230</v>
      </c>
      <c r="C2368" t="str">
        <f t="shared" si="195"/>
        <v>00721920155</v>
      </c>
      <c r="D2368" t="str">
        <f t="shared" si="195"/>
        <v>00721920155</v>
      </c>
      <c r="E2368" t="s">
        <v>52</v>
      </c>
      <c r="F2368">
        <v>2014</v>
      </c>
      <c r="G2368">
        <v>40097731</v>
      </c>
      <c r="H2368" s="1">
        <v>41977</v>
      </c>
      <c r="I2368" s="1">
        <v>41988</v>
      </c>
      <c r="J2368" s="1">
        <v>41988</v>
      </c>
      <c r="K2368" s="1">
        <v>42048</v>
      </c>
      <c r="L2368" s="7">
        <v>119.6</v>
      </c>
      <c r="M2368" s="5">
        <v>292</v>
      </c>
      <c r="N2368" s="7">
        <v>34923.199999999997</v>
      </c>
      <c r="O2368">
        <v>119.6</v>
      </c>
      <c r="P2368">
        <v>292</v>
      </c>
      <c r="Q2368" s="2">
        <v>34923.199999999997</v>
      </c>
      <c r="R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 s="1">
        <v>42382</v>
      </c>
      <c r="AC2368" t="s">
        <v>53</v>
      </c>
      <c r="AD2368" t="s">
        <v>53</v>
      </c>
      <c r="AK2368">
        <v>0</v>
      </c>
      <c r="AU2368" s="6">
        <v>42340</v>
      </c>
      <c r="AV2368" s="6">
        <v>42340</v>
      </c>
      <c r="AW2368" t="s">
        <v>54</v>
      </c>
      <c r="AX2368" t="str">
        <f t="shared" si="192"/>
        <v>FOR</v>
      </c>
      <c r="AY2368" t="s">
        <v>55</v>
      </c>
    </row>
    <row r="2369" spans="1:51">
      <c r="A2369">
        <v>100695</v>
      </c>
      <c r="B2369" t="s">
        <v>230</v>
      </c>
      <c r="C2369" t="str">
        <f t="shared" si="195"/>
        <v>00721920155</v>
      </c>
      <c r="D2369" t="str">
        <f t="shared" si="195"/>
        <v>00721920155</v>
      </c>
      <c r="E2369" t="s">
        <v>52</v>
      </c>
      <c r="F2369">
        <v>2014</v>
      </c>
      <c r="G2369">
        <v>40097739</v>
      </c>
      <c r="H2369" s="1">
        <v>41977</v>
      </c>
      <c r="I2369" s="1">
        <v>41988</v>
      </c>
      <c r="J2369" s="1">
        <v>41988</v>
      </c>
      <c r="K2369" s="1">
        <v>42048</v>
      </c>
      <c r="L2369" s="7">
        <v>119.6</v>
      </c>
      <c r="M2369" s="5">
        <v>292</v>
      </c>
      <c r="N2369" s="7">
        <v>34923.199999999997</v>
      </c>
      <c r="O2369">
        <v>119.6</v>
      </c>
      <c r="P2369">
        <v>292</v>
      </c>
      <c r="Q2369" s="2">
        <v>34923.199999999997</v>
      </c>
      <c r="R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 s="1">
        <v>42382</v>
      </c>
      <c r="AC2369" t="s">
        <v>53</v>
      </c>
      <c r="AD2369" t="s">
        <v>53</v>
      </c>
      <c r="AK2369">
        <v>0</v>
      </c>
      <c r="AU2369" s="6">
        <v>42340</v>
      </c>
      <c r="AV2369" s="6">
        <v>42340</v>
      </c>
      <c r="AW2369" t="s">
        <v>54</v>
      </c>
      <c r="AX2369" t="str">
        <f t="shared" si="192"/>
        <v>FOR</v>
      </c>
      <c r="AY2369" t="s">
        <v>55</v>
      </c>
    </row>
    <row r="2370" spans="1:51">
      <c r="A2370">
        <v>100695</v>
      </c>
      <c r="B2370" t="s">
        <v>230</v>
      </c>
      <c r="C2370" t="str">
        <f t="shared" si="195"/>
        <v>00721920155</v>
      </c>
      <c r="D2370" t="str">
        <f t="shared" si="195"/>
        <v>00721920155</v>
      </c>
      <c r="E2370" t="s">
        <v>52</v>
      </c>
      <c r="F2370">
        <v>2014</v>
      </c>
      <c r="G2370">
        <v>40097744</v>
      </c>
      <c r="H2370" s="1">
        <v>41977</v>
      </c>
      <c r="I2370" s="1">
        <v>41988</v>
      </c>
      <c r="J2370" s="1">
        <v>41988</v>
      </c>
      <c r="K2370" s="1">
        <v>42048</v>
      </c>
      <c r="L2370" s="7">
        <v>119.6</v>
      </c>
      <c r="M2370" s="5">
        <v>292</v>
      </c>
      <c r="N2370" s="7">
        <v>34923.199999999997</v>
      </c>
      <c r="O2370">
        <v>119.6</v>
      </c>
      <c r="P2370">
        <v>292</v>
      </c>
      <c r="Q2370" s="2">
        <v>34923.199999999997</v>
      </c>
      <c r="R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 s="1">
        <v>42382</v>
      </c>
      <c r="AC2370" t="s">
        <v>53</v>
      </c>
      <c r="AD2370" t="s">
        <v>53</v>
      </c>
      <c r="AK2370">
        <v>0</v>
      </c>
      <c r="AU2370" s="6">
        <v>42340</v>
      </c>
      <c r="AV2370" s="6">
        <v>42340</v>
      </c>
      <c r="AW2370" t="s">
        <v>54</v>
      </c>
      <c r="AX2370" t="str">
        <f t="shared" si="192"/>
        <v>FOR</v>
      </c>
      <c r="AY2370" t="s">
        <v>55</v>
      </c>
    </row>
    <row r="2371" spans="1:51">
      <c r="A2371">
        <v>100695</v>
      </c>
      <c r="B2371" t="s">
        <v>230</v>
      </c>
      <c r="C2371" t="str">
        <f t="shared" si="195"/>
        <v>00721920155</v>
      </c>
      <c r="D2371" t="str">
        <f t="shared" si="195"/>
        <v>00721920155</v>
      </c>
      <c r="E2371" t="s">
        <v>52</v>
      </c>
      <c r="F2371">
        <v>2014</v>
      </c>
      <c r="G2371">
        <v>40097746</v>
      </c>
      <c r="H2371" s="1">
        <v>41977</v>
      </c>
      <c r="I2371" s="1">
        <v>41988</v>
      </c>
      <c r="J2371" s="1">
        <v>41988</v>
      </c>
      <c r="K2371" s="1">
        <v>42048</v>
      </c>
      <c r="L2371" s="7">
        <v>119.6</v>
      </c>
      <c r="M2371" s="5">
        <v>292</v>
      </c>
      <c r="N2371" s="7">
        <v>34923.199999999997</v>
      </c>
      <c r="O2371">
        <v>119.6</v>
      </c>
      <c r="P2371">
        <v>292</v>
      </c>
      <c r="Q2371" s="2">
        <v>34923.199999999997</v>
      </c>
      <c r="R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 s="1">
        <v>42382</v>
      </c>
      <c r="AC2371" t="s">
        <v>53</v>
      </c>
      <c r="AD2371" t="s">
        <v>53</v>
      </c>
      <c r="AK2371">
        <v>0</v>
      </c>
      <c r="AU2371" s="6">
        <v>42340</v>
      </c>
      <c r="AV2371" s="6">
        <v>42340</v>
      </c>
      <c r="AW2371" t="s">
        <v>54</v>
      </c>
      <c r="AX2371" t="str">
        <f t="shared" ref="AX2371:AX2434" si="196">"FOR"</f>
        <v>FOR</v>
      </c>
      <c r="AY2371" t="s">
        <v>55</v>
      </c>
    </row>
    <row r="2372" spans="1:51">
      <c r="A2372">
        <v>100695</v>
      </c>
      <c r="B2372" t="s">
        <v>230</v>
      </c>
      <c r="C2372" t="str">
        <f t="shared" si="195"/>
        <v>00721920155</v>
      </c>
      <c r="D2372" t="str">
        <f t="shared" si="195"/>
        <v>00721920155</v>
      </c>
      <c r="E2372" t="s">
        <v>52</v>
      </c>
      <c r="F2372">
        <v>2014</v>
      </c>
      <c r="G2372">
        <v>40097966</v>
      </c>
      <c r="H2372" s="1">
        <v>41984</v>
      </c>
      <c r="I2372" s="1">
        <v>42004</v>
      </c>
      <c r="J2372" s="1">
        <v>42004</v>
      </c>
      <c r="K2372" s="1">
        <v>42064</v>
      </c>
      <c r="L2372" s="7">
        <v>119.6</v>
      </c>
      <c r="M2372" s="5">
        <v>276</v>
      </c>
      <c r="N2372" s="7">
        <v>33009.599999999999</v>
      </c>
      <c r="O2372">
        <v>119.6</v>
      </c>
      <c r="P2372">
        <v>276</v>
      </c>
      <c r="Q2372" s="2">
        <v>33009.599999999999</v>
      </c>
      <c r="R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 s="1">
        <v>42382</v>
      </c>
      <c r="AC2372" t="s">
        <v>53</v>
      </c>
      <c r="AD2372" t="s">
        <v>53</v>
      </c>
      <c r="AK2372">
        <v>0</v>
      </c>
      <c r="AU2372" s="6">
        <v>42340</v>
      </c>
      <c r="AV2372" s="6">
        <v>42340</v>
      </c>
      <c r="AW2372" t="s">
        <v>54</v>
      </c>
      <c r="AX2372" t="str">
        <f t="shared" si="196"/>
        <v>FOR</v>
      </c>
      <c r="AY2372" t="s">
        <v>55</v>
      </c>
    </row>
    <row r="2373" spans="1:51">
      <c r="A2373">
        <v>100695</v>
      </c>
      <c r="B2373" t="s">
        <v>230</v>
      </c>
      <c r="C2373" t="str">
        <f t="shared" ref="C2373:D2381" si="197">"00721920155"</f>
        <v>00721920155</v>
      </c>
      <c r="D2373" t="str">
        <f t="shared" si="197"/>
        <v>00721920155</v>
      </c>
      <c r="E2373" t="s">
        <v>52</v>
      </c>
      <c r="F2373">
        <v>2014</v>
      </c>
      <c r="G2373">
        <v>40097997</v>
      </c>
      <c r="H2373" s="1">
        <v>41984</v>
      </c>
      <c r="I2373" s="1">
        <v>42004</v>
      </c>
      <c r="J2373" s="1">
        <v>42004</v>
      </c>
      <c r="K2373" s="1">
        <v>42064</v>
      </c>
      <c r="L2373" s="7">
        <v>119.6</v>
      </c>
      <c r="M2373" s="5">
        <v>276</v>
      </c>
      <c r="N2373" s="7">
        <v>33009.599999999999</v>
      </c>
      <c r="O2373">
        <v>119.6</v>
      </c>
      <c r="P2373">
        <v>276</v>
      </c>
      <c r="Q2373" s="2">
        <v>33009.599999999999</v>
      </c>
      <c r="R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 s="1">
        <v>42382</v>
      </c>
      <c r="AC2373" t="s">
        <v>53</v>
      </c>
      <c r="AD2373" t="s">
        <v>53</v>
      </c>
      <c r="AK2373">
        <v>0</v>
      </c>
      <c r="AU2373" s="6">
        <v>42340</v>
      </c>
      <c r="AV2373" s="6">
        <v>42340</v>
      </c>
      <c r="AW2373" t="s">
        <v>54</v>
      </c>
      <c r="AX2373" t="str">
        <f t="shared" si="196"/>
        <v>FOR</v>
      </c>
      <c r="AY2373" t="s">
        <v>55</v>
      </c>
    </row>
    <row r="2374" spans="1:51">
      <c r="A2374">
        <v>100695</v>
      </c>
      <c r="B2374" t="s">
        <v>230</v>
      </c>
      <c r="C2374" t="str">
        <f t="shared" si="197"/>
        <v>00721920155</v>
      </c>
      <c r="D2374" t="str">
        <f t="shared" si="197"/>
        <v>00721920155</v>
      </c>
      <c r="E2374" t="s">
        <v>52</v>
      </c>
      <c r="F2374">
        <v>2014</v>
      </c>
      <c r="G2374">
        <v>40098002</v>
      </c>
      <c r="H2374" s="1">
        <v>41984</v>
      </c>
      <c r="I2374" s="1">
        <v>42004</v>
      </c>
      <c r="J2374" s="1">
        <v>42004</v>
      </c>
      <c r="K2374" s="1">
        <v>42064</v>
      </c>
      <c r="L2374" s="7">
        <v>119.6</v>
      </c>
      <c r="M2374" s="5">
        <v>276</v>
      </c>
      <c r="N2374" s="7">
        <v>33009.599999999999</v>
      </c>
      <c r="O2374">
        <v>119.6</v>
      </c>
      <c r="P2374">
        <v>276</v>
      </c>
      <c r="Q2374" s="2">
        <v>33009.599999999999</v>
      </c>
      <c r="R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 s="1">
        <v>42382</v>
      </c>
      <c r="AC2374" t="s">
        <v>53</v>
      </c>
      <c r="AD2374" t="s">
        <v>53</v>
      </c>
      <c r="AK2374">
        <v>0</v>
      </c>
      <c r="AU2374" s="6">
        <v>42340</v>
      </c>
      <c r="AV2374" s="6">
        <v>42340</v>
      </c>
      <c r="AW2374" t="s">
        <v>54</v>
      </c>
      <c r="AX2374" t="str">
        <f t="shared" si="196"/>
        <v>FOR</v>
      </c>
      <c r="AY2374" t="s">
        <v>55</v>
      </c>
    </row>
    <row r="2375" spans="1:51">
      <c r="A2375">
        <v>100695</v>
      </c>
      <c r="B2375" t="s">
        <v>230</v>
      </c>
      <c r="C2375" t="str">
        <f t="shared" si="197"/>
        <v>00721920155</v>
      </c>
      <c r="D2375" t="str">
        <f t="shared" si="197"/>
        <v>00721920155</v>
      </c>
      <c r="E2375" t="s">
        <v>52</v>
      </c>
      <c r="F2375">
        <v>2014</v>
      </c>
      <c r="G2375">
        <v>40098044</v>
      </c>
      <c r="H2375" s="1">
        <v>41985</v>
      </c>
      <c r="I2375" s="1">
        <v>42004</v>
      </c>
      <c r="J2375" s="1">
        <v>42004</v>
      </c>
      <c r="K2375" s="1">
        <v>42064</v>
      </c>
      <c r="L2375" s="7">
        <v>119.6</v>
      </c>
      <c r="M2375" s="5">
        <v>276</v>
      </c>
      <c r="N2375" s="7">
        <v>33009.599999999999</v>
      </c>
      <c r="O2375">
        <v>119.6</v>
      </c>
      <c r="P2375">
        <v>276</v>
      </c>
      <c r="Q2375" s="2">
        <v>33009.599999999999</v>
      </c>
      <c r="R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 s="1">
        <v>42382</v>
      </c>
      <c r="AC2375" t="s">
        <v>53</v>
      </c>
      <c r="AD2375" t="s">
        <v>53</v>
      </c>
      <c r="AK2375">
        <v>0</v>
      </c>
      <c r="AU2375" s="6">
        <v>42340</v>
      </c>
      <c r="AV2375" s="6">
        <v>42340</v>
      </c>
      <c r="AW2375" t="s">
        <v>54</v>
      </c>
      <c r="AX2375" t="str">
        <f t="shared" si="196"/>
        <v>FOR</v>
      </c>
      <c r="AY2375" t="s">
        <v>55</v>
      </c>
    </row>
    <row r="2376" spans="1:51">
      <c r="A2376">
        <v>100695</v>
      </c>
      <c r="B2376" t="s">
        <v>230</v>
      </c>
      <c r="C2376" t="str">
        <f t="shared" si="197"/>
        <v>00721920155</v>
      </c>
      <c r="D2376" t="str">
        <f t="shared" si="197"/>
        <v>00721920155</v>
      </c>
      <c r="E2376" t="s">
        <v>52</v>
      </c>
      <c r="F2376">
        <v>2014</v>
      </c>
      <c r="G2376">
        <v>40098045</v>
      </c>
      <c r="H2376" s="1">
        <v>41985</v>
      </c>
      <c r="I2376" s="1">
        <v>42004</v>
      </c>
      <c r="J2376" s="1">
        <v>42004</v>
      </c>
      <c r="K2376" s="1">
        <v>42064</v>
      </c>
      <c r="L2376" s="7">
        <v>119.6</v>
      </c>
      <c r="M2376" s="5">
        <v>276</v>
      </c>
      <c r="N2376" s="7">
        <v>33009.599999999999</v>
      </c>
      <c r="O2376">
        <v>119.6</v>
      </c>
      <c r="P2376">
        <v>276</v>
      </c>
      <c r="Q2376" s="2">
        <v>33009.599999999999</v>
      </c>
      <c r="R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 s="1">
        <v>42382</v>
      </c>
      <c r="AC2376" t="s">
        <v>53</v>
      </c>
      <c r="AD2376" t="s">
        <v>53</v>
      </c>
      <c r="AK2376">
        <v>0</v>
      </c>
      <c r="AU2376" s="6">
        <v>42340</v>
      </c>
      <c r="AV2376" s="6">
        <v>42340</v>
      </c>
      <c r="AW2376" t="s">
        <v>54</v>
      </c>
      <c r="AX2376" t="str">
        <f t="shared" si="196"/>
        <v>FOR</v>
      </c>
      <c r="AY2376" t="s">
        <v>55</v>
      </c>
    </row>
    <row r="2377" spans="1:51">
      <c r="A2377">
        <v>100695</v>
      </c>
      <c r="B2377" t="s">
        <v>230</v>
      </c>
      <c r="C2377" t="str">
        <f t="shared" si="197"/>
        <v>00721920155</v>
      </c>
      <c r="D2377" t="str">
        <f t="shared" si="197"/>
        <v>00721920155</v>
      </c>
      <c r="E2377" t="s">
        <v>52</v>
      </c>
      <c r="F2377">
        <v>2014</v>
      </c>
      <c r="G2377">
        <v>40098046</v>
      </c>
      <c r="H2377" s="1">
        <v>41985</v>
      </c>
      <c r="I2377" s="1">
        <v>42004</v>
      </c>
      <c r="J2377" s="1">
        <v>42004</v>
      </c>
      <c r="K2377" s="1">
        <v>42064</v>
      </c>
      <c r="L2377" s="7">
        <v>119.6</v>
      </c>
      <c r="M2377" s="5">
        <v>276</v>
      </c>
      <c r="N2377" s="7">
        <v>33009.599999999999</v>
      </c>
      <c r="O2377">
        <v>119.6</v>
      </c>
      <c r="P2377">
        <v>276</v>
      </c>
      <c r="Q2377" s="2">
        <v>33009.599999999999</v>
      </c>
      <c r="R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 s="1">
        <v>42382</v>
      </c>
      <c r="AC2377" t="s">
        <v>53</v>
      </c>
      <c r="AD2377" t="s">
        <v>53</v>
      </c>
      <c r="AK2377">
        <v>0</v>
      </c>
      <c r="AU2377" s="6">
        <v>42340</v>
      </c>
      <c r="AV2377" s="6">
        <v>42340</v>
      </c>
      <c r="AW2377" t="s">
        <v>54</v>
      </c>
      <c r="AX2377" t="str">
        <f t="shared" si="196"/>
        <v>FOR</v>
      </c>
      <c r="AY2377" t="s">
        <v>55</v>
      </c>
    </row>
    <row r="2378" spans="1:51">
      <c r="A2378">
        <v>100695</v>
      </c>
      <c r="B2378" t="s">
        <v>230</v>
      </c>
      <c r="C2378" t="str">
        <f t="shared" si="197"/>
        <v>00721920155</v>
      </c>
      <c r="D2378" t="str">
        <f t="shared" si="197"/>
        <v>00721920155</v>
      </c>
      <c r="E2378" t="s">
        <v>52</v>
      </c>
      <c r="F2378">
        <v>2014</v>
      </c>
      <c r="G2378">
        <v>40098409</v>
      </c>
      <c r="H2378" s="1">
        <v>41990</v>
      </c>
      <c r="I2378" s="1">
        <v>42004</v>
      </c>
      <c r="J2378" s="1">
        <v>42004</v>
      </c>
      <c r="K2378" s="1">
        <v>42064</v>
      </c>
      <c r="L2378" s="7">
        <v>119.6</v>
      </c>
      <c r="M2378" s="5">
        <v>276</v>
      </c>
      <c r="N2378" s="7">
        <v>33009.599999999999</v>
      </c>
      <c r="O2378">
        <v>119.6</v>
      </c>
      <c r="P2378">
        <v>276</v>
      </c>
      <c r="Q2378" s="2">
        <v>33009.599999999999</v>
      </c>
      <c r="R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 s="1">
        <v>42382</v>
      </c>
      <c r="AC2378" t="s">
        <v>53</v>
      </c>
      <c r="AD2378" t="s">
        <v>53</v>
      </c>
      <c r="AK2378">
        <v>0</v>
      </c>
      <c r="AU2378" s="6">
        <v>42340</v>
      </c>
      <c r="AV2378" s="6">
        <v>42340</v>
      </c>
      <c r="AW2378" t="s">
        <v>54</v>
      </c>
      <c r="AX2378" t="str">
        <f t="shared" si="196"/>
        <v>FOR</v>
      </c>
      <c r="AY2378" t="s">
        <v>55</v>
      </c>
    </row>
    <row r="2379" spans="1:51">
      <c r="A2379">
        <v>100695</v>
      </c>
      <c r="B2379" t="s">
        <v>230</v>
      </c>
      <c r="C2379" t="str">
        <f t="shared" si="197"/>
        <v>00721920155</v>
      </c>
      <c r="D2379" t="str">
        <f t="shared" si="197"/>
        <v>00721920155</v>
      </c>
      <c r="E2379" t="s">
        <v>52</v>
      </c>
      <c r="F2379">
        <v>2014</v>
      </c>
      <c r="G2379">
        <v>40098411</v>
      </c>
      <c r="H2379" s="1">
        <v>41990</v>
      </c>
      <c r="I2379" s="1">
        <v>42004</v>
      </c>
      <c r="J2379" s="1">
        <v>42004</v>
      </c>
      <c r="K2379" s="1">
        <v>42064</v>
      </c>
      <c r="L2379" s="7">
        <v>119.6</v>
      </c>
      <c r="M2379" s="5">
        <v>276</v>
      </c>
      <c r="N2379" s="7">
        <v>33009.599999999999</v>
      </c>
      <c r="O2379">
        <v>119.6</v>
      </c>
      <c r="P2379">
        <v>276</v>
      </c>
      <c r="Q2379" s="2">
        <v>33009.599999999999</v>
      </c>
      <c r="R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 s="1">
        <v>42382</v>
      </c>
      <c r="AC2379" t="s">
        <v>53</v>
      </c>
      <c r="AD2379" t="s">
        <v>53</v>
      </c>
      <c r="AK2379">
        <v>0</v>
      </c>
      <c r="AU2379" s="6">
        <v>42340</v>
      </c>
      <c r="AV2379" s="6">
        <v>42340</v>
      </c>
      <c r="AW2379" t="s">
        <v>54</v>
      </c>
      <c r="AX2379" t="str">
        <f t="shared" si="196"/>
        <v>FOR</v>
      </c>
      <c r="AY2379" t="s">
        <v>55</v>
      </c>
    </row>
    <row r="2380" spans="1:51">
      <c r="A2380">
        <v>100695</v>
      </c>
      <c r="B2380" t="s">
        <v>230</v>
      </c>
      <c r="C2380" t="str">
        <f t="shared" si="197"/>
        <v>00721920155</v>
      </c>
      <c r="D2380" t="str">
        <f t="shared" si="197"/>
        <v>00721920155</v>
      </c>
      <c r="E2380" t="s">
        <v>52</v>
      </c>
      <c r="F2380">
        <v>2014</v>
      </c>
      <c r="G2380">
        <v>40098419</v>
      </c>
      <c r="H2380" s="1">
        <v>41991</v>
      </c>
      <c r="I2380" s="1">
        <v>42004</v>
      </c>
      <c r="J2380" s="1">
        <v>42004</v>
      </c>
      <c r="K2380" s="1">
        <v>42064</v>
      </c>
      <c r="L2380" s="7">
        <v>119.6</v>
      </c>
      <c r="M2380" s="5">
        <v>276</v>
      </c>
      <c r="N2380" s="7">
        <v>33009.599999999999</v>
      </c>
      <c r="O2380">
        <v>119.6</v>
      </c>
      <c r="P2380">
        <v>276</v>
      </c>
      <c r="Q2380" s="2">
        <v>33009.599999999999</v>
      </c>
      <c r="R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 s="1">
        <v>42382</v>
      </c>
      <c r="AC2380" t="s">
        <v>53</v>
      </c>
      <c r="AD2380" t="s">
        <v>53</v>
      </c>
      <c r="AK2380">
        <v>0</v>
      </c>
      <c r="AU2380" s="6">
        <v>42340</v>
      </c>
      <c r="AV2380" s="6">
        <v>42340</v>
      </c>
      <c r="AW2380" t="s">
        <v>54</v>
      </c>
      <c r="AX2380" t="str">
        <f t="shared" si="196"/>
        <v>FOR</v>
      </c>
      <c r="AY2380" t="s">
        <v>55</v>
      </c>
    </row>
    <row r="2381" spans="1:51">
      <c r="A2381">
        <v>100695</v>
      </c>
      <c r="B2381" t="s">
        <v>230</v>
      </c>
      <c r="C2381" t="str">
        <f t="shared" si="197"/>
        <v>00721920155</v>
      </c>
      <c r="D2381" t="str">
        <f t="shared" si="197"/>
        <v>00721920155</v>
      </c>
      <c r="E2381" t="s">
        <v>52</v>
      </c>
      <c r="F2381">
        <v>2014</v>
      </c>
      <c r="G2381">
        <v>40098770</v>
      </c>
      <c r="H2381" s="1">
        <v>42002</v>
      </c>
      <c r="I2381" s="1">
        <v>42030</v>
      </c>
      <c r="J2381" s="1">
        <v>42030</v>
      </c>
      <c r="K2381" s="1">
        <v>42090</v>
      </c>
      <c r="L2381" s="7">
        <v>119.6</v>
      </c>
      <c r="M2381" s="5">
        <v>250</v>
      </c>
      <c r="N2381" s="7">
        <v>29900</v>
      </c>
      <c r="O2381">
        <v>119.6</v>
      </c>
      <c r="P2381">
        <v>250</v>
      </c>
      <c r="Q2381" s="2">
        <v>29900</v>
      </c>
      <c r="R2381">
        <v>0</v>
      </c>
      <c r="V2381">
        <v>0</v>
      </c>
      <c r="W2381">
        <v>0</v>
      </c>
      <c r="X2381">
        <v>0</v>
      </c>
      <c r="Y2381">
        <v>0</v>
      </c>
      <c r="Z2381">
        <v>119.6</v>
      </c>
      <c r="AA2381">
        <v>0</v>
      </c>
      <c r="AB2381" s="1">
        <v>42382</v>
      </c>
      <c r="AC2381" t="s">
        <v>53</v>
      </c>
      <c r="AD2381" t="s">
        <v>53</v>
      </c>
      <c r="AK2381">
        <v>0</v>
      </c>
      <c r="AU2381" s="6">
        <v>42340</v>
      </c>
      <c r="AV2381" s="6">
        <v>42340</v>
      </c>
      <c r="AW2381" t="s">
        <v>54</v>
      </c>
      <c r="AX2381" t="str">
        <f t="shared" si="196"/>
        <v>FOR</v>
      </c>
      <c r="AY2381" t="s">
        <v>55</v>
      </c>
    </row>
    <row r="2382" spans="1:51" hidden="1">
      <c r="A2382">
        <v>100700</v>
      </c>
      <c r="B2382" t="s">
        <v>231</v>
      </c>
      <c r="C2382" t="str">
        <f t="shared" ref="C2382:C2413" si="198">"00766740625"</f>
        <v>00766740625</v>
      </c>
      <c r="D2382" t="str">
        <f t="shared" ref="D2382:D2413" si="199">"STFGPP58D22A783F"</f>
        <v>STFGPP58D22A783F</v>
      </c>
      <c r="E2382" t="s">
        <v>52</v>
      </c>
      <c r="F2382">
        <v>2010</v>
      </c>
      <c r="G2382">
        <v>148</v>
      </c>
      <c r="H2382" s="1">
        <v>40301</v>
      </c>
      <c r="I2382" s="1">
        <v>40317</v>
      </c>
      <c r="J2382" s="1">
        <v>40317</v>
      </c>
      <c r="K2382" s="1">
        <v>40407</v>
      </c>
      <c r="N2382" s="5"/>
      <c r="O2382">
        <v>78</v>
      </c>
      <c r="P2382">
        <v>1752</v>
      </c>
      <c r="Q2382" s="2">
        <v>136656</v>
      </c>
      <c r="R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 s="1">
        <v>42382</v>
      </c>
      <c r="AC2382" t="s">
        <v>53</v>
      </c>
      <c r="AD2382" t="s">
        <v>53</v>
      </c>
      <c r="AK2382">
        <v>0</v>
      </c>
      <c r="AU2382" s="6">
        <v>42159</v>
      </c>
      <c r="AV2382" s="6">
        <v>42159</v>
      </c>
      <c r="AW2382" t="s">
        <v>54</v>
      </c>
      <c r="AX2382" t="str">
        <f t="shared" si="196"/>
        <v>FOR</v>
      </c>
      <c r="AY2382" t="s">
        <v>55</v>
      </c>
    </row>
    <row r="2383" spans="1:51" hidden="1">
      <c r="A2383">
        <v>100700</v>
      </c>
      <c r="B2383" t="s">
        <v>231</v>
      </c>
      <c r="C2383" t="str">
        <f t="shared" si="198"/>
        <v>00766740625</v>
      </c>
      <c r="D2383" t="str">
        <f t="shared" si="199"/>
        <v>STFGPP58D22A783F</v>
      </c>
      <c r="E2383" t="s">
        <v>52</v>
      </c>
      <c r="F2383">
        <v>2014</v>
      </c>
      <c r="G2383">
        <v>35</v>
      </c>
      <c r="H2383" s="1">
        <v>41667</v>
      </c>
      <c r="I2383" s="1">
        <v>41675</v>
      </c>
      <c r="J2383" s="1">
        <v>41675</v>
      </c>
      <c r="K2383" s="1">
        <v>41765</v>
      </c>
      <c r="N2383" s="5"/>
      <c r="O2383">
        <v>45.75</v>
      </c>
      <c r="P2383">
        <v>269</v>
      </c>
      <c r="Q2383" s="2">
        <v>12306.75</v>
      </c>
      <c r="R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 s="1">
        <v>42382</v>
      </c>
      <c r="AC2383" t="s">
        <v>53</v>
      </c>
      <c r="AD2383" t="s">
        <v>53</v>
      </c>
      <c r="AK2383">
        <v>0</v>
      </c>
      <c r="AU2383" s="6">
        <v>42034</v>
      </c>
      <c r="AV2383" s="6">
        <v>42034</v>
      </c>
      <c r="AW2383" t="s">
        <v>54</v>
      </c>
      <c r="AX2383" t="str">
        <f t="shared" si="196"/>
        <v>FOR</v>
      </c>
      <c r="AY2383" t="s">
        <v>55</v>
      </c>
    </row>
    <row r="2384" spans="1:51" hidden="1">
      <c r="A2384">
        <v>100700</v>
      </c>
      <c r="B2384" t="s">
        <v>231</v>
      </c>
      <c r="C2384" t="str">
        <f t="shared" si="198"/>
        <v>00766740625</v>
      </c>
      <c r="D2384" t="str">
        <f t="shared" si="199"/>
        <v>STFGPP58D22A783F</v>
      </c>
      <c r="E2384" t="s">
        <v>52</v>
      </c>
      <c r="F2384">
        <v>2014</v>
      </c>
      <c r="G2384">
        <v>36</v>
      </c>
      <c r="H2384" s="1">
        <v>41668</v>
      </c>
      <c r="I2384" s="1">
        <v>41673</v>
      </c>
      <c r="J2384" s="1">
        <v>41673</v>
      </c>
      <c r="K2384" s="1">
        <v>41763</v>
      </c>
      <c r="N2384" s="5"/>
      <c r="O2384">
        <v>87.84</v>
      </c>
      <c r="P2384">
        <v>271</v>
      </c>
      <c r="Q2384" s="2">
        <v>23804.639999999999</v>
      </c>
      <c r="R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 s="1">
        <v>42382</v>
      </c>
      <c r="AC2384" t="s">
        <v>53</v>
      </c>
      <c r="AD2384" t="s">
        <v>53</v>
      </c>
      <c r="AK2384">
        <v>0</v>
      </c>
      <c r="AU2384" s="6">
        <v>42034</v>
      </c>
      <c r="AV2384" s="6">
        <v>42034</v>
      </c>
      <c r="AW2384" t="s">
        <v>54</v>
      </c>
      <c r="AX2384" t="str">
        <f t="shared" si="196"/>
        <v>FOR</v>
      </c>
      <c r="AY2384" t="s">
        <v>55</v>
      </c>
    </row>
    <row r="2385" spans="1:51" hidden="1">
      <c r="A2385">
        <v>100700</v>
      </c>
      <c r="B2385" t="s">
        <v>231</v>
      </c>
      <c r="C2385" t="str">
        <f t="shared" si="198"/>
        <v>00766740625</v>
      </c>
      <c r="D2385" t="str">
        <f t="shared" si="199"/>
        <v>STFGPP58D22A783F</v>
      </c>
      <c r="E2385" t="s">
        <v>52</v>
      </c>
      <c r="F2385">
        <v>2014</v>
      </c>
      <c r="G2385">
        <v>37</v>
      </c>
      <c r="H2385" s="1">
        <v>41668</v>
      </c>
      <c r="I2385" s="1">
        <v>41673</v>
      </c>
      <c r="J2385" s="1">
        <v>41673</v>
      </c>
      <c r="K2385" s="1">
        <v>41763</v>
      </c>
      <c r="N2385" s="5"/>
      <c r="O2385">
        <v>93.18</v>
      </c>
      <c r="P2385">
        <v>271</v>
      </c>
      <c r="Q2385" s="2">
        <v>25251.78</v>
      </c>
      <c r="R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 s="1">
        <v>42382</v>
      </c>
      <c r="AC2385" t="s">
        <v>53</v>
      </c>
      <c r="AD2385" t="s">
        <v>53</v>
      </c>
      <c r="AK2385">
        <v>0</v>
      </c>
      <c r="AU2385" s="6">
        <v>42034</v>
      </c>
      <c r="AV2385" s="6">
        <v>42034</v>
      </c>
      <c r="AW2385" t="s">
        <v>54</v>
      </c>
      <c r="AX2385" t="str">
        <f t="shared" si="196"/>
        <v>FOR</v>
      </c>
      <c r="AY2385" t="s">
        <v>55</v>
      </c>
    </row>
    <row r="2386" spans="1:51" hidden="1">
      <c r="A2386">
        <v>100700</v>
      </c>
      <c r="B2386" t="s">
        <v>231</v>
      </c>
      <c r="C2386" t="str">
        <f t="shared" si="198"/>
        <v>00766740625</v>
      </c>
      <c r="D2386" t="str">
        <f t="shared" si="199"/>
        <v>STFGPP58D22A783F</v>
      </c>
      <c r="E2386" t="s">
        <v>52</v>
      </c>
      <c r="F2386">
        <v>2014</v>
      </c>
      <c r="G2386">
        <v>42</v>
      </c>
      <c r="H2386" s="1">
        <v>41669</v>
      </c>
      <c r="I2386" s="1">
        <v>41673</v>
      </c>
      <c r="J2386" s="1">
        <v>41673</v>
      </c>
      <c r="K2386" s="1">
        <v>41763</v>
      </c>
      <c r="N2386" s="5"/>
      <c r="O2386">
        <v>52.7</v>
      </c>
      <c r="P2386">
        <v>271</v>
      </c>
      <c r="Q2386" s="2">
        <v>14281.7</v>
      </c>
      <c r="R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 s="1">
        <v>42382</v>
      </c>
      <c r="AC2386" t="s">
        <v>53</v>
      </c>
      <c r="AD2386" t="s">
        <v>53</v>
      </c>
      <c r="AK2386">
        <v>0</v>
      </c>
      <c r="AU2386" s="6">
        <v>42034</v>
      </c>
      <c r="AV2386" s="6">
        <v>42034</v>
      </c>
      <c r="AW2386" t="s">
        <v>54</v>
      </c>
      <c r="AX2386" t="str">
        <f t="shared" si="196"/>
        <v>FOR</v>
      </c>
      <c r="AY2386" t="s">
        <v>55</v>
      </c>
    </row>
    <row r="2387" spans="1:51" hidden="1">
      <c r="A2387">
        <v>100700</v>
      </c>
      <c r="B2387" t="s">
        <v>231</v>
      </c>
      <c r="C2387" t="str">
        <f t="shared" si="198"/>
        <v>00766740625</v>
      </c>
      <c r="D2387" t="str">
        <f t="shared" si="199"/>
        <v>STFGPP58D22A783F</v>
      </c>
      <c r="E2387" t="s">
        <v>52</v>
      </c>
      <c r="F2387">
        <v>2014</v>
      </c>
      <c r="G2387">
        <v>43</v>
      </c>
      <c r="H2387" s="1">
        <v>41669</v>
      </c>
      <c r="I2387" s="1">
        <v>41673</v>
      </c>
      <c r="J2387" s="1">
        <v>41673</v>
      </c>
      <c r="K2387" s="1">
        <v>41763</v>
      </c>
      <c r="N2387" s="5"/>
      <c r="O2387">
        <v>662.77</v>
      </c>
      <c r="P2387">
        <v>271</v>
      </c>
      <c r="Q2387" s="2">
        <v>179610.67</v>
      </c>
      <c r="R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 s="1">
        <v>42382</v>
      </c>
      <c r="AC2387" t="s">
        <v>53</v>
      </c>
      <c r="AD2387" t="s">
        <v>53</v>
      </c>
      <c r="AK2387">
        <v>0</v>
      </c>
      <c r="AU2387" s="6">
        <v>42034</v>
      </c>
      <c r="AV2387" s="6">
        <v>42034</v>
      </c>
      <c r="AW2387" t="s">
        <v>54</v>
      </c>
      <c r="AX2387" t="str">
        <f t="shared" si="196"/>
        <v>FOR</v>
      </c>
      <c r="AY2387" t="s">
        <v>55</v>
      </c>
    </row>
    <row r="2388" spans="1:51" hidden="1">
      <c r="A2388">
        <v>100700</v>
      </c>
      <c r="B2388" t="s">
        <v>231</v>
      </c>
      <c r="C2388" t="str">
        <f t="shared" si="198"/>
        <v>00766740625</v>
      </c>
      <c r="D2388" t="str">
        <f t="shared" si="199"/>
        <v>STFGPP58D22A783F</v>
      </c>
      <c r="E2388" t="s">
        <v>52</v>
      </c>
      <c r="F2388">
        <v>2014</v>
      </c>
      <c r="G2388">
        <v>48</v>
      </c>
      <c r="H2388" s="1">
        <v>41670</v>
      </c>
      <c r="I2388" s="1">
        <v>41673</v>
      </c>
      <c r="J2388" s="1">
        <v>41673</v>
      </c>
      <c r="K2388" s="1">
        <v>41763</v>
      </c>
      <c r="N2388" s="5"/>
      <c r="O2388">
        <v>626</v>
      </c>
      <c r="P2388">
        <v>271</v>
      </c>
      <c r="Q2388" s="2">
        <v>169646</v>
      </c>
      <c r="R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 s="1">
        <v>42382</v>
      </c>
      <c r="AC2388" t="s">
        <v>53</v>
      </c>
      <c r="AD2388" t="s">
        <v>53</v>
      </c>
      <c r="AK2388">
        <v>0</v>
      </c>
      <c r="AU2388" s="6">
        <v>42034</v>
      </c>
      <c r="AV2388" s="6">
        <v>42034</v>
      </c>
      <c r="AW2388" t="s">
        <v>54</v>
      </c>
      <c r="AX2388" t="str">
        <f t="shared" si="196"/>
        <v>FOR</v>
      </c>
      <c r="AY2388" t="s">
        <v>55</v>
      </c>
    </row>
    <row r="2389" spans="1:51" hidden="1">
      <c r="A2389">
        <v>100700</v>
      </c>
      <c r="B2389" t="s">
        <v>231</v>
      </c>
      <c r="C2389" t="str">
        <f t="shared" si="198"/>
        <v>00766740625</v>
      </c>
      <c r="D2389" t="str">
        <f t="shared" si="199"/>
        <v>STFGPP58D22A783F</v>
      </c>
      <c r="E2389" t="s">
        <v>52</v>
      </c>
      <c r="F2389">
        <v>2014</v>
      </c>
      <c r="G2389">
        <v>66</v>
      </c>
      <c r="H2389" s="1">
        <v>41682</v>
      </c>
      <c r="I2389" s="1">
        <v>41684</v>
      </c>
      <c r="J2389" s="1">
        <v>41684</v>
      </c>
      <c r="K2389" s="1">
        <v>41774</v>
      </c>
      <c r="N2389" s="5"/>
      <c r="O2389">
        <v>122</v>
      </c>
      <c r="P2389">
        <v>260</v>
      </c>
      <c r="Q2389" s="2">
        <v>31720</v>
      </c>
      <c r="R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 s="1">
        <v>42382</v>
      </c>
      <c r="AC2389" t="s">
        <v>53</v>
      </c>
      <c r="AD2389" t="s">
        <v>53</v>
      </c>
      <c r="AK2389">
        <v>0</v>
      </c>
      <c r="AU2389" s="6">
        <v>42034</v>
      </c>
      <c r="AV2389" s="6">
        <v>42034</v>
      </c>
      <c r="AW2389" t="s">
        <v>54</v>
      </c>
      <c r="AX2389" t="str">
        <f t="shared" si="196"/>
        <v>FOR</v>
      </c>
      <c r="AY2389" t="s">
        <v>55</v>
      </c>
    </row>
    <row r="2390" spans="1:51" hidden="1">
      <c r="A2390">
        <v>100700</v>
      </c>
      <c r="B2390" t="s">
        <v>231</v>
      </c>
      <c r="C2390" t="str">
        <f t="shared" si="198"/>
        <v>00766740625</v>
      </c>
      <c r="D2390" t="str">
        <f t="shared" si="199"/>
        <v>STFGPP58D22A783F</v>
      </c>
      <c r="E2390" t="s">
        <v>52</v>
      </c>
      <c r="F2390">
        <v>2014</v>
      </c>
      <c r="G2390">
        <v>70</v>
      </c>
      <c r="H2390" s="1">
        <v>41687</v>
      </c>
      <c r="I2390" s="1">
        <v>41689</v>
      </c>
      <c r="J2390" s="1">
        <v>41689</v>
      </c>
      <c r="K2390" s="1">
        <v>41779</v>
      </c>
      <c r="N2390" s="5"/>
      <c r="O2390">
        <v>116.48</v>
      </c>
      <c r="P2390">
        <v>255</v>
      </c>
      <c r="Q2390" s="2">
        <v>29702.400000000001</v>
      </c>
      <c r="R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 s="1">
        <v>42382</v>
      </c>
      <c r="AC2390" t="s">
        <v>53</v>
      </c>
      <c r="AD2390" t="s">
        <v>53</v>
      </c>
      <c r="AK2390">
        <v>0</v>
      </c>
      <c r="AU2390" s="6">
        <v>42034</v>
      </c>
      <c r="AV2390" s="6">
        <v>42034</v>
      </c>
      <c r="AW2390" t="s">
        <v>54</v>
      </c>
      <c r="AX2390" t="str">
        <f t="shared" si="196"/>
        <v>FOR</v>
      </c>
      <c r="AY2390" t="s">
        <v>55</v>
      </c>
    </row>
    <row r="2391" spans="1:51" hidden="1">
      <c r="A2391">
        <v>100700</v>
      </c>
      <c r="B2391" t="s">
        <v>231</v>
      </c>
      <c r="C2391" t="str">
        <f t="shared" si="198"/>
        <v>00766740625</v>
      </c>
      <c r="D2391" t="str">
        <f t="shared" si="199"/>
        <v>STFGPP58D22A783F</v>
      </c>
      <c r="E2391" t="s">
        <v>52</v>
      </c>
      <c r="F2391">
        <v>2014</v>
      </c>
      <c r="G2391">
        <v>71</v>
      </c>
      <c r="H2391" s="1">
        <v>41687</v>
      </c>
      <c r="I2391" s="1">
        <v>41689</v>
      </c>
      <c r="J2391" s="1">
        <v>41689</v>
      </c>
      <c r="K2391" s="1">
        <v>41779</v>
      </c>
      <c r="N2391" s="5"/>
      <c r="O2391">
        <v>355.56</v>
      </c>
      <c r="P2391">
        <v>255</v>
      </c>
      <c r="Q2391" s="2">
        <v>90667.8</v>
      </c>
      <c r="R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 s="1">
        <v>42382</v>
      </c>
      <c r="AC2391" t="s">
        <v>53</v>
      </c>
      <c r="AD2391" t="s">
        <v>53</v>
      </c>
      <c r="AK2391">
        <v>0</v>
      </c>
      <c r="AU2391" s="6">
        <v>42034</v>
      </c>
      <c r="AV2391" s="6">
        <v>42034</v>
      </c>
      <c r="AW2391" t="s">
        <v>54</v>
      </c>
      <c r="AX2391" t="str">
        <f t="shared" si="196"/>
        <v>FOR</v>
      </c>
      <c r="AY2391" t="s">
        <v>55</v>
      </c>
    </row>
    <row r="2392" spans="1:51" hidden="1">
      <c r="A2392">
        <v>100700</v>
      </c>
      <c r="B2392" t="s">
        <v>231</v>
      </c>
      <c r="C2392" t="str">
        <f t="shared" si="198"/>
        <v>00766740625</v>
      </c>
      <c r="D2392" t="str">
        <f t="shared" si="199"/>
        <v>STFGPP58D22A783F</v>
      </c>
      <c r="E2392" t="s">
        <v>52</v>
      </c>
      <c r="F2392">
        <v>2014</v>
      </c>
      <c r="G2392">
        <v>90</v>
      </c>
      <c r="H2392" s="1">
        <v>41694</v>
      </c>
      <c r="I2392" s="1">
        <v>41695</v>
      </c>
      <c r="J2392" s="1">
        <v>41695</v>
      </c>
      <c r="K2392" s="1">
        <v>41785</v>
      </c>
      <c r="N2392" s="5"/>
      <c r="O2392">
        <v>137.25</v>
      </c>
      <c r="P2392">
        <v>249</v>
      </c>
      <c r="Q2392" s="2">
        <v>34175.25</v>
      </c>
      <c r="R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 s="1">
        <v>42382</v>
      </c>
      <c r="AC2392" t="s">
        <v>53</v>
      </c>
      <c r="AD2392" t="s">
        <v>53</v>
      </c>
      <c r="AK2392">
        <v>0</v>
      </c>
      <c r="AU2392" s="6">
        <v>42034</v>
      </c>
      <c r="AV2392" s="6">
        <v>42034</v>
      </c>
      <c r="AW2392" t="s">
        <v>54</v>
      </c>
      <c r="AX2392" t="str">
        <f t="shared" si="196"/>
        <v>FOR</v>
      </c>
      <c r="AY2392" t="s">
        <v>55</v>
      </c>
    </row>
    <row r="2393" spans="1:51" hidden="1">
      <c r="A2393">
        <v>100700</v>
      </c>
      <c r="B2393" t="s">
        <v>231</v>
      </c>
      <c r="C2393" t="str">
        <f t="shared" si="198"/>
        <v>00766740625</v>
      </c>
      <c r="D2393" t="str">
        <f t="shared" si="199"/>
        <v>STFGPP58D22A783F</v>
      </c>
      <c r="E2393" t="s">
        <v>52</v>
      </c>
      <c r="F2393">
        <v>2014</v>
      </c>
      <c r="G2393">
        <v>98</v>
      </c>
      <c r="H2393" s="1">
        <v>41698</v>
      </c>
      <c r="I2393" s="1">
        <v>41702</v>
      </c>
      <c r="J2393" s="1">
        <v>41702</v>
      </c>
      <c r="K2393" s="1">
        <v>41792</v>
      </c>
      <c r="N2393" s="5"/>
      <c r="O2393">
        <v>469.41</v>
      </c>
      <c r="P2393">
        <v>242</v>
      </c>
      <c r="Q2393" s="2">
        <v>113597.22</v>
      </c>
      <c r="R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 s="1">
        <v>42382</v>
      </c>
      <c r="AC2393" t="s">
        <v>53</v>
      </c>
      <c r="AD2393" t="s">
        <v>53</v>
      </c>
      <c r="AK2393">
        <v>0</v>
      </c>
      <c r="AU2393" s="6">
        <v>42034</v>
      </c>
      <c r="AV2393" s="6">
        <v>42034</v>
      </c>
      <c r="AW2393" t="s">
        <v>54</v>
      </c>
      <c r="AX2393" t="str">
        <f t="shared" si="196"/>
        <v>FOR</v>
      </c>
      <c r="AY2393" t="s">
        <v>55</v>
      </c>
    </row>
    <row r="2394" spans="1:51" hidden="1">
      <c r="A2394">
        <v>100700</v>
      </c>
      <c r="B2394" t="s">
        <v>231</v>
      </c>
      <c r="C2394" t="str">
        <f t="shared" si="198"/>
        <v>00766740625</v>
      </c>
      <c r="D2394" t="str">
        <f t="shared" si="199"/>
        <v>STFGPP58D22A783F</v>
      </c>
      <c r="E2394" t="s">
        <v>52</v>
      </c>
      <c r="F2394">
        <v>2014</v>
      </c>
      <c r="G2394">
        <v>99</v>
      </c>
      <c r="H2394" s="1">
        <v>41698</v>
      </c>
      <c r="I2394" s="1">
        <v>41702</v>
      </c>
      <c r="J2394" s="1">
        <v>41702</v>
      </c>
      <c r="K2394" s="1">
        <v>41792</v>
      </c>
      <c r="N2394" s="5"/>
      <c r="O2394">
        <v>451.65</v>
      </c>
      <c r="P2394">
        <v>242</v>
      </c>
      <c r="Q2394" s="2">
        <v>109299.3</v>
      </c>
      <c r="R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 s="1">
        <v>42382</v>
      </c>
      <c r="AC2394" t="s">
        <v>53</v>
      </c>
      <c r="AD2394" t="s">
        <v>53</v>
      </c>
      <c r="AK2394">
        <v>0</v>
      </c>
      <c r="AU2394" s="6">
        <v>42034</v>
      </c>
      <c r="AV2394" s="6">
        <v>42034</v>
      </c>
      <c r="AW2394" t="s">
        <v>54</v>
      </c>
      <c r="AX2394" t="str">
        <f t="shared" si="196"/>
        <v>FOR</v>
      </c>
      <c r="AY2394" t="s">
        <v>55</v>
      </c>
    </row>
    <row r="2395" spans="1:51" hidden="1">
      <c r="A2395">
        <v>100700</v>
      </c>
      <c r="B2395" t="s">
        <v>231</v>
      </c>
      <c r="C2395" t="str">
        <f t="shared" si="198"/>
        <v>00766740625</v>
      </c>
      <c r="D2395" t="str">
        <f t="shared" si="199"/>
        <v>STFGPP58D22A783F</v>
      </c>
      <c r="E2395" t="s">
        <v>52</v>
      </c>
      <c r="F2395">
        <v>2014</v>
      </c>
      <c r="G2395">
        <v>102</v>
      </c>
      <c r="H2395" s="1">
        <v>41703</v>
      </c>
      <c r="I2395" s="1">
        <v>41705</v>
      </c>
      <c r="J2395" s="1">
        <v>41705</v>
      </c>
      <c r="K2395" s="1">
        <v>41795</v>
      </c>
      <c r="N2395" s="5"/>
      <c r="O2395">
        <v>36.6</v>
      </c>
      <c r="P2395">
        <v>239</v>
      </c>
      <c r="Q2395" s="2">
        <v>8747.4</v>
      </c>
      <c r="R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 s="1">
        <v>42382</v>
      </c>
      <c r="AC2395" t="s">
        <v>53</v>
      </c>
      <c r="AD2395" t="s">
        <v>53</v>
      </c>
      <c r="AK2395">
        <v>0</v>
      </c>
      <c r="AU2395" s="6">
        <v>42034</v>
      </c>
      <c r="AV2395" s="6">
        <v>42034</v>
      </c>
      <c r="AW2395" t="s">
        <v>54</v>
      </c>
      <c r="AX2395" t="str">
        <f t="shared" si="196"/>
        <v>FOR</v>
      </c>
      <c r="AY2395" t="s">
        <v>55</v>
      </c>
    </row>
    <row r="2396" spans="1:51" hidden="1">
      <c r="A2396">
        <v>100700</v>
      </c>
      <c r="B2396" t="s">
        <v>231</v>
      </c>
      <c r="C2396" t="str">
        <f t="shared" si="198"/>
        <v>00766740625</v>
      </c>
      <c r="D2396" t="str">
        <f t="shared" si="199"/>
        <v>STFGPP58D22A783F</v>
      </c>
      <c r="E2396" t="s">
        <v>52</v>
      </c>
      <c r="F2396">
        <v>2014</v>
      </c>
      <c r="G2396">
        <v>103</v>
      </c>
      <c r="H2396" s="1">
        <v>41703</v>
      </c>
      <c r="I2396" s="1">
        <v>41715</v>
      </c>
      <c r="J2396" s="1">
        <v>41715</v>
      </c>
      <c r="K2396" s="1">
        <v>41805</v>
      </c>
      <c r="N2396" s="5"/>
      <c r="O2396">
        <v>67.099999999999994</v>
      </c>
      <c r="P2396">
        <v>229</v>
      </c>
      <c r="Q2396" s="2">
        <v>15365.9</v>
      </c>
      <c r="R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 s="1">
        <v>42382</v>
      </c>
      <c r="AC2396" t="s">
        <v>53</v>
      </c>
      <c r="AD2396" t="s">
        <v>53</v>
      </c>
      <c r="AK2396">
        <v>0</v>
      </c>
      <c r="AU2396" s="6">
        <v>42034</v>
      </c>
      <c r="AV2396" s="6">
        <v>42034</v>
      </c>
      <c r="AW2396" t="s">
        <v>54</v>
      </c>
      <c r="AX2396" t="str">
        <f t="shared" si="196"/>
        <v>FOR</v>
      </c>
      <c r="AY2396" t="s">
        <v>55</v>
      </c>
    </row>
    <row r="2397" spans="1:51" hidden="1">
      <c r="A2397">
        <v>100700</v>
      </c>
      <c r="B2397" t="s">
        <v>231</v>
      </c>
      <c r="C2397" t="str">
        <f t="shared" si="198"/>
        <v>00766740625</v>
      </c>
      <c r="D2397" t="str">
        <f t="shared" si="199"/>
        <v>STFGPP58D22A783F</v>
      </c>
      <c r="E2397" t="s">
        <v>52</v>
      </c>
      <c r="F2397">
        <v>2014</v>
      </c>
      <c r="G2397">
        <v>112</v>
      </c>
      <c r="H2397" s="1">
        <v>41709</v>
      </c>
      <c r="I2397" s="1">
        <v>41711</v>
      </c>
      <c r="J2397" s="1">
        <v>41711</v>
      </c>
      <c r="K2397" s="1">
        <v>41801</v>
      </c>
      <c r="N2397" s="5"/>
      <c r="O2397">
        <v>65.88</v>
      </c>
      <c r="P2397">
        <v>261</v>
      </c>
      <c r="Q2397" s="2">
        <v>17194.68</v>
      </c>
      <c r="R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 s="1">
        <v>42382</v>
      </c>
      <c r="AC2397" t="s">
        <v>53</v>
      </c>
      <c r="AD2397" t="s">
        <v>53</v>
      </c>
      <c r="AK2397">
        <v>0</v>
      </c>
      <c r="AU2397" s="6">
        <v>42062</v>
      </c>
      <c r="AV2397" s="6">
        <v>42062</v>
      </c>
      <c r="AW2397" t="s">
        <v>54</v>
      </c>
      <c r="AX2397" t="str">
        <f t="shared" si="196"/>
        <v>FOR</v>
      </c>
      <c r="AY2397" t="s">
        <v>55</v>
      </c>
    </row>
    <row r="2398" spans="1:51" hidden="1">
      <c r="A2398">
        <v>100700</v>
      </c>
      <c r="B2398" t="s">
        <v>231</v>
      </c>
      <c r="C2398" t="str">
        <f t="shared" si="198"/>
        <v>00766740625</v>
      </c>
      <c r="D2398" t="str">
        <f t="shared" si="199"/>
        <v>STFGPP58D22A783F</v>
      </c>
      <c r="E2398" t="s">
        <v>52</v>
      </c>
      <c r="F2398">
        <v>2014</v>
      </c>
      <c r="G2398">
        <v>113</v>
      </c>
      <c r="H2398" s="1">
        <v>41709</v>
      </c>
      <c r="I2398" s="1">
        <v>41711</v>
      </c>
      <c r="J2398" s="1">
        <v>41711</v>
      </c>
      <c r="K2398" s="1">
        <v>41801</v>
      </c>
      <c r="N2398" s="5"/>
      <c r="O2398">
        <v>396.86</v>
      </c>
      <c r="P2398">
        <v>261</v>
      </c>
      <c r="Q2398" s="2">
        <v>103580.46</v>
      </c>
      <c r="R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 s="1">
        <v>42382</v>
      </c>
      <c r="AC2398" t="s">
        <v>53</v>
      </c>
      <c r="AD2398" t="s">
        <v>53</v>
      </c>
      <c r="AK2398">
        <v>0</v>
      </c>
      <c r="AU2398" s="6">
        <v>42062</v>
      </c>
      <c r="AV2398" s="6">
        <v>42062</v>
      </c>
      <c r="AW2398" t="s">
        <v>54</v>
      </c>
      <c r="AX2398" t="str">
        <f t="shared" si="196"/>
        <v>FOR</v>
      </c>
      <c r="AY2398" t="s">
        <v>55</v>
      </c>
    </row>
    <row r="2399" spans="1:51" hidden="1">
      <c r="A2399">
        <v>100700</v>
      </c>
      <c r="B2399" t="s">
        <v>231</v>
      </c>
      <c r="C2399" t="str">
        <f t="shared" si="198"/>
        <v>00766740625</v>
      </c>
      <c r="D2399" t="str">
        <f t="shared" si="199"/>
        <v>STFGPP58D22A783F</v>
      </c>
      <c r="E2399" t="s">
        <v>52</v>
      </c>
      <c r="F2399">
        <v>2014</v>
      </c>
      <c r="G2399">
        <v>127</v>
      </c>
      <c r="H2399" s="1">
        <v>41719</v>
      </c>
      <c r="I2399" s="1">
        <v>41722</v>
      </c>
      <c r="J2399" s="1">
        <v>41722</v>
      </c>
      <c r="K2399" s="1">
        <v>41812</v>
      </c>
      <c r="N2399" s="5"/>
      <c r="O2399">
        <v>116.48</v>
      </c>
      <c r="P2399">
        <v>250</v>
      </c>
      <c r="Q2399" s="2">
        <v>29120</v>
      </c>
      <c r="R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 s="1">
        <v>42382</v>
      </c>
      <c r="AC2399" t="s">
        <v>53</v>
      </c>
      <c r="AD2399" t="s">
        <v>53</v>
      </c>
      <c r="AK2399">
        <v>0</v>
      </c>
      <c r="AU2399" s="6">
        <v>42062</v>
      </c>
      <c r="AV2399" s="6">
        <v>42062</v>
      </c>
      <c r="AW2399" t="s">
        <v>54</v>
      </c>
      <c r="AX2399" t="str">
        <f t="shared" si="196"/>
        <v>FOR</v>
      </c>
      <c r="AY2399" t="s">
        <v>55</v>
      </c>
    </row>
    <row r="2400" spans="1:51" hidden="1">
      <c r="A2400">
        <v>100700</v>
      </c>
      <c r="B2400" t="s">
        <v>231</v>
      </c>
      <c r="C2400" t="str">
        <f t="shared" si="198"/>
        <v>00766740625</v>
      </c>
      <c r="D2400" t="str">
        <f t="shared" si="199"/>
        <v>STFGPP58D22A783F</v>
      </c>
      <c r="E2400" t="s">
        <v>52</v>
      </c>
      <c r="F2400">
        <v>2014</v>
      </c>
      <c r="G2400">
        <v>128</v>
      </c>
      <c r="H2400" s="1">
        <v>41719</v>
      </c>
      <c r="I2400" s="1">
        <v>41722</v>
      </c>
      <c r="J2400" s="1">
        <v>41722</v>
      </c>
      <c r="K2400" s="1">
        <v>41812</v>
      </c>
      <c r="N2400" s="5"/>
      <c r="O2400">
        <v>52.7</v>
      </c>
      <c r="P2400">
        <v>250</v>
      </c>
      <c r="Q2400" s="2">
        <v>13175</v>
      </c>
      <c r="R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 s="1">
        <v>42382</v>
      </c>
      <c r="AC2400" t="s">
        <v>53</v>
      </c>
      <c r="AD2400" t="s">
        <v>53</v>
      </c>
      <c r="AK2400">
        <v>0</v>
      </c>
      <c r="AU2400" s="6">
        <v>42062</v>
      </c>
      <c r="AV2400" s="6">
        <v>42062</v>
      </c>
      <c r="AW2400" t="s">
        <v>54</v>
      </c>
      <c r="AX2400" t="str">
        <f t="shared" si="196"/>
        <v>FOR</v>
      </c>
      <c r="AY2400" t="s">
        <v>55</v>
      </c>
    </row>
    <row r="2401" spans="1:51" hidden="1">
      <c r="A2401">
        <v>100700</v>
      </c>
      <c r="B2401" t="s">
        <v>231</v>
      </c>
      <c r="C2401" t="str">
        <f t="shared" si="198"/>
        <v>00766740625</v>
      </c>
      <c r="D2401" t="str">
        <f t="shared" si="199"/>
        <v>STFGPP58D22A783F</v>
      </c>
      <c r="E2401" t="s">
        <v>52</v>
      </c>
      <c r="F2401">
        <v>2014</v>
      </c>
      <c r="G2401">
        <v>142</v>
      </c>
      <c r="H2401" s="1">
        <v>41729</v>
      </c>
      <c r="I2401" s="1">
        <v>41731</v>
      </c>
      <c r="J2401" s="1">
        <v>41731</v>
      </c>
      <c r="K2401" s="1">
        <v>41821</v>
      </c>
      <c r="N2401" s="5"/>
      <c r="O2401">
        <v>461.26</v>
      </c>
      <c r="P2401">
        <v>241</v>
      </c>
      <c r="Q2401" s="2">
        <v>111163.66</v>
      </c>
      <c r="R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 s="1">
        <v>42382</v>
      </c>
      <c r="AC2401" t="s">
        <v>53</v>
      </c>
      <c r="AD2401" t="s">
        <v>53</v>
      </c>
      <c r="AK2401">
        <v>0</v>
      </c>
      <c r="AU2401" s="6">
        <v>42062</v>
      </c>
      <c r="AV2401" s="6">
        <v>42062</v>
      </c>
      <c r="AW2401" t="s">
        <v>54</v>
      </c>
      <c r="AX2401" t="str">
        <f t="shared" si="196"/>
        <v>FOR</v>
      </c>
      <c r="AY2401" t="s">
        <v>55</v>
      </c>
    </row>
    <row r="2402" spans="1:51" hidden="1">
      <c r="A2402">
        <v>100700</v>
      </c>
      <c r="B2402" t="s">
        <v>231</v>
      </c>
      <c r="C2402" t="str">
        <f t="shared" si="198"/>
        <v>00766740625</v>
      </c>
      <c r="D2402" t="str">
        <f t="shared" si="199"/>
        <v>STFGPP58D22A783F</v>
      </c>
      <c r="E2402" t="s">
        <v>52</v>
      </c>
      <c r="F2402">
        <v>2014</v>
      </c>
      <c r="G2402">
        <v>143</v>
      </c>
      <c r="H2402" s="1">
        <v>41730</v>
      </c>
      <c r="I2402" s="1">
        <v>41731</v>
      </c>
      <c r="J2402" s="1">
        <v>41731</v>
      </c>
      <c r="K2402" s="1">
        <v>41821</v>
      </c>
      <c r="N2402" s="5"/>
      <c r="O2402">
        <v>48.05</v>
      </c>
      <c r="P2402">
        <v>281</v>
      </c>
      <c r="Q2402" s="2">
        <v>13502.05</v>
      </c>
      <c r="R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 s="1">
        <v>42382</v>
      </c>
      <c r="AC2402" t="s">
        <v>53</v>
      </c>
      <c r="AD2402" t="s">
        <v>53</v>
      </c>
      <c r="AK2402">
        <v>0</v>
      </c>
      <c r="AU2402" s="6">
        <v>42102</v>
      </c>
      <c r="AV2402" s="6">
        <v>42102</v>
      </c>
      <c r="AW2402" t="s">
        <v>54</v>
      </c>
      <c r="AX2402" t="str">
        <f t="shared" si="196"/>
        <v>FOR</v>
      </c>
      <c r="AY2402" t="s">
        <v>55</v>
      </c>
    </row>
    <row r="2403" spans="1:51" hidden="1">
      <c r="A2403">
        <v>100700</v>
      </c>
      <c r="B2403" t="s">
        <v>231</v>
      </c>
      <c r="C2403" t="str">
        <f t="shared" si="198"/>
        <v>00766740625</v>
      </c>
      <c r="D2403" t="str">
        <f t="shared" si="199"/>
        <v>STFGPP58D22A783F</v>
      </c>
      <c r="E2403" t="s">
        <v>52</v>
      </c>
      <c r="F2403">
        <v>2014</v>
      </c>
      <c r="G2403">
        <v>144</v>
      </c>
      <c r="H2403" s="1">
        <v>41730</v>
      </c>
      <c r="I2403" s="1">
        <v>41731</v>
      </c>
      <c r="J2403" s="1">
        <v>41731</v>
      </c>
      <c r="K2403" s="1">
        <v>41821</v>
      </c>
      <c r="N2403" s="5"/>
      <c r="O2403">
        <v>304.60000000000002</v>
      </c>
      <c r="P2403">
        <v>281</v>
      </c>
      <c r="Q2403" s="2">
        <v>85592.6</v>
      </c>
      <c r="R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 s="1">
        <v>42382</v>
      </c>
      <c r="AC2403" t="s">
        <v>53</v>
      </c>
      <c r="AD2403" t="s">
        <v>53</v>
      </c>
      <c r="AK2403">
        <v>0</v>
      </c>
      <c r="AU2403" s="6">
        <v>42102</v>
      </c>
      <c r="AV2403" s="6">
        <v>42102</v>
      </c>
      <c r="AW2403" t="s">
        <v>54</v>
      </c>
      <c r="AX2403" t="str">
        <f t="shared" si="196"/>
        <v>FOR</v>
      </c>
      <c r="AY2403" t="s">
        <v>55</v>
      </c>
    </row>
    <row r="2404" spans="1:51" hidden="1">
      <c r="A2404">
        <v>100700</v>
      </c>
      <c r="B2404" t="s">
        <v>231</v>
      </c>
      <c r="C2404" t="str">
        <f t="shared" si="198"/>
        <v>00766740625</v>
      </c>
      <c r="D2404" t="str">
        <f t="shared" si="199"/>
        <v>STFGPP58D22A783F</v>
      </c>
      <c r="E2404" t="s">
        <v>52</v>
      </c>
      <c r="F2404">
        <v>2014</v>
      </c>
      <c r="G2404">
        <v>162</v>
      </c>
      <c r="H2404" s="1">
        <v>41743</v>
      </c>
      <c r="I2404" s="1">
        <v>41743</v>
      </c>
      <c r="J2404" s="1">
        <v>41743</v>
      </c>
      <c r="K2404" s="1">
        <v>41833</v>
      </c>
      <c r="N2404" s="5"/>
      <c r="O2404">
        <v>694.51</v>
      </c>
      <c r="P2404">
        <v>269</v>
      </c>
      <c r="Q2404" s="2">
        <v>186823.19</v>
      </c>
      <c r="R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 s="1">
        <v>42382</v>
      </c>
      <c r="AC2404" t="s">
        <v>53</v>
      </c>
      <c r="AD2404" t="s">
        <v>53</v>
      </c>
      <c r="AK2404">
        <v>0</v>
      </c>
      <c r="AU2404" s="6">
        <v>42102</v>
      </c>
      <c r="AV2404" s="6">
        <v>42102</v>
      </c>
      <c r="AW2404" t="s">
        <v>54</v>
      </c>
      <c r="AX2404" t="str">
        <f t="shared" si="196"/>
        <v>FOR</v>
      </c>
      <c r="AY2404" t="s">
        <v>55</v>
      </c>
    </row>
    <row r="2405" spans="1:51" hidden="1">
      <c r="A2405">
        <v>100700</v>
      </c>
      <c r="B2405" t="s">
        <v>231</v>
      </c>
      <c r="C2405" t="str">
        <f t="shared" si="198"/>
        <v>00766740625</v>
      </c>
      <c r="D2405" t="str">
        <f t="shared" si="199"/>
        <v>STFGPP58D22A783F</v>
      </c>
      <c r="E2405" t="s">
        <v>52</v>
      </c>
      <c r="F2405">
        <v>2014</v>
      </c>
      <c r="G2405">
        <v>163</v>
      </c>
      <c r="H2405" s="1">
        <v>41743</v>
      </c>
      <c r="I2405" s="1">
        <v>41744</v>
      </c>
      <c r="J2405" s="1">
        <v>41744</v>
      </c>
      <c r="K2405" s="1">
        <v>41834</v>
      </c>
      <c r="N2405" s="5"/>
      <c r="O2405">
        <v>36.299999999999997</v>
      </c>
      <c r="P2405">
        <v>268</v>
      </c>
      <c r="Q2405" s="2">
        <v>9728.4</v>
      </c>
      <c r="R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 s="1">
        <v>42382</v>
      </c>
      <c r="AC2405" t="s">
        <v>53</v>
      </c>
      <c r="AD2405" t="s">
        <v>53</v>
      </c>
      <c r="AK2405">
        <v>0</v>
      </c>
      <c r="AU2405" s="6">
        <v>42102</v>
      </c>
      <c r="AV2405" s="6">
        <v>42102</v>
      </c>
      <c r="AW2405" t="s">
        <v>54</v>
      </c>
      <c r="AX2405" t="str">
        <f t="shared" si="196"/>
        <v>FOR</v>
      </c>
      <c r="AY2405" t="s">
        <v>55</v>
      </c>
    </row>
    <row r="2406" spans="1:51" hidden="1">
      <c r="A2406">
        <v>100700</v>
      </c>
      <c r="B2406" t="s">
        <v>231</v>
      </c>
      <c r="C2406" t="str">
        <f t="shared" si="198"/>
        <v>00766740625</v>
      </c>
      <c r="D2406" t="str">
        <f t="shared" si="199"/>
        <v>STFGPP58D22A783F</v>
      </c>
      <c r="E2406" t="s">
        <v>52</v>
      </c>
      <c r="F2406">
        <v>2014</v>
      </c>
      <c r="G2406">
        <v>183</v>
      </c>
      <c r="H2406" s="1">
        <v>41759</v>
      </c>
      <c r="I2406" s="1">
        <v>41765</v>
      </c>
      <c r="J2406" s="1">
        <v>41765</v>
      </c>
      <c r="K2406" s="1">
        <v>41855</v>
      </c>
      <c r="N2406" s="5"/>
      <c r="O2406">
        <v>672.67</v>
      </c>
      <c r="P2406">
        <v>247</v>
      </c>
      <c r="Q2406" s="2">
        <v>166149.49</v>
      </c>
      <c r="R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 s="1">
        <v>42382</v>
      </c>
      <c r="AC2406" t="s">
        <v>53</v>
      </c>
      <c r="AD2406" t="s">
        <v>53</v>
      </c>
      <c r="AK2406">
        <v>0</v>
      </c>
      <c r="AU2406" s="6">
        <v>42102</v>
      </c>
      <c r="AV2406" s="6">
        <v>42102</v>
      </c>
      <c r="AW2406" t="s">
        <v>54</v>
      </c>
      <c r="AX2406" t="str">
        <f t="shared" si="196"/>
        <v>FOR</v>
      </c>
      <c r="AY2406" t="s">
        <v>55</v>
      </c>
    </row>
    <row r="2407" spans="1:51" hidden="1">
      <c r="A2407">
        <v>100700</v>
      </c>
      <c r="B2407" t="s">
        <v>231</v>
      </c>
      <c r="C2407" t="str">
        <f t="shared" si="198"/>
        <v>00766740625</v>
      </c>
      <c r="D2407" t="str">
        <f t="shared" si="199"/>
        <v>STFGPP58D22A783F</v>
      </c>
      <c r="E2407" t="s">
        <v>52</v>
      </c>
      <c r="F2407">
        <v>2014</v>
      </c>
      <c r="G2407">
        <v>184</v>
      </c>
      <c r="H2407" s="1">
        <v>41759</v>
      </c>
      <c r="I2407" s="1">
        <v>41765</v>
      </c>
      <c r="J2407" s="1">
        <v>41765</v>
      </c>
      <c r="K2407" s="1">
        <v>41855</v>
      </c>
      <c r="N2407" s="5"/>
      <c r="O2407">
        <v>87.84</v>
      </c>
      <c r="P2407">
        <v>247</v>
      </c>
      <c r="Q2407" s="2">
        <v>21696.48</v>
      </c>
      <c r="R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 s="1">
        <v>42382</v>
      </c>
      <c r="AC2407" t="s">
        <v>53</v>
      </c>
      <c r="AD2407" t="s">
        <v>53</v>
      </c>
      <c r="AK2407">
        <v>0</v>
      </c>
      <c r="AU2407" s="6">
        <v>42102</v>
      </c>
      <c r="AV2407" s="6">
        <v>42102</v>
      </c>
      <c r="AW2407" t="s">
        <v>54</v>
      </c>
      <c r="AX2407" t="str">
        <f t="shared" si="196"/>
        <v>FOR</v>
      </c>
      <c r="AY2407" t="s">
        <v>55</v>
      </c>
    </row>
    <row r="2408" spans="1:51" hidden="1">
      <c r="A2408">
        <v>100700</v>
      </c>
      <c r="B2408" t="s">
        <v>231</v>
      </c>
      <c r="C2408" t="str">
        <f t="shared" si="198"/>
        <v>00766740625</v>
      </c>
      <c r="D2408" t="str">
        <f t="shared" si="199"/>
        <v>STFGPP58D22A783F</v>
      </c>
      <c r="E2408" t="s">
        <v>52</v>
      </c>
      <c r="F2408">
        <v>2014</v>
      </c>
      <c r="G2408">
        <v>185</v>
      </c>
      <c r="H2408" s="1">
        <v>41759</v>
      </c>
      <c r="I2408" s="1">
        <v>41765</v>
      </c>
      <c r="J2408" s="1">
        <v>41765</v>
      </c>
      <c r="K2408" s="1">
        <v>41855</v>
      </c>
      <c r="N2408" s="5"/>
      <c r="O2408">
        <v>60.39</v>
      </c>
      <c r="P2408">
        <v>247</v>
      </c>
      <c r="Q2408" s="2">
        <v>14916.33</v>
      </c>
      <c r="R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 s="1">
        <v>42382</v>
      </c>
      <c r="AC2408" t="s">
        <v>53</v>
      </c>
      <c r="AD2408" t="s">
        <v>53</v>
      </c>
      <c r="AK2408">
        <v>0</v>
      </c>
      <c r="AU2408" s="6">
        <v>42102</v>
      </c>
      <c r="AV2408" s="6">
        <v>42102</v>
      </c>
      <c r="AW2408" t="s">
        <v>54</v>
      </c>
      <c r="AX2408" t="str">
        <f t="shared" si="196"/>
        <v>FOR</v>
      </c>
      <c r="AY2408" t="s">
        <v>55</v>
      </c>
    </row>
    <row r="2409" spans="1:51" hidden="1">
      <c r="A2409">
        <v>100700</v>
      </c>
      <c r="B2409" t="s">
        <v>231</v>
      </c>
      <c r="C2409" t="str">
        <f t="shared" si="198"/>
        <v>00766740625</v>
      </c>
      <c r="D2409" t="str">
        <f t="shared" si="199"/>
        <v>STFGPP58D22A783F</v>
      </c>
      <c r="E2409" t="s">
        <v>52</v>
      </c>
      <c r="F2409">
        <v>2014</v>
      </c>
      <c r="G2409">
        <v>186</v>
      </c>
      <c r="H2409" s="1">
        <v>41759</v>
      </c>
      <c r="I2409" s="1">
        <v>41765</v>
      </c>
      <c r="J2409" s="1">
        <v>41765</v>
      </c>
      <c r="K2409" s="1">
        <v>41855</v>
      </c>
      <c r="N2409" s="5"/>
      <c r="O2409">
        <v>93.18</v>
      </c>
      <c r="P2409">
        <v>247</v>
      </c>
      <c r="Q2409" s="2">
        <v>23015.46</v>
      </c>
      <c r="R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 s="1">
        <v>42382</v>
      </c>
      <c r="AC2409" t="s">
        <v>53</v>
      </c>
      <c r="AD2409" t="s">
        <v>53</v>
      </c>
      <c r="AK2409">
        <v>0</v>
      </c>
      <c r="AU2409" s="6">
        <v>42102</v>
      </c>
      <c r="AV2409" s="6">
        <v>42102</v>
      </c>
      <c r="AW2409" t="s">
        <v>54</v>
      </c>
      <c r="AX2409" t="str">
        <f t="shared" si="196"/>
        <v>FOR</v>
      </c>
      <c r="AY2409" t="s">
        <v>55</v>
      </c>
    </row>
    <row r="2410" spans="1:51" hidden="1">
      <c r="A2410">
        <v>100700</v>
      </c>
      <c r="B2410" t="s">
        <v>231</v>
      </c>
      <c r="C2410" t="str">
        <f t="shared" si="198"/>
        <v>00766740625</v>
      </c>
      <c r="D2410" t="str">
        <f t="shared" si="199"/>
        <v>STFGPP58D22A783F</v>
      </c>
      <c r="E2410" t="s">
        <v>52</v>
      </c>
      <c r="F2410">
        <v>2014</v>
      </c>
      <c r="G2410">
        <v>187</v>
      </c>
      <c r="H2410" s="1">
        <v>41759</v>
      </c>
      <c r="I2410" s="1">
        <v>41765</v>
      </c>
      <c r="J2410" s="1">
        <v>41765</v>
      </c>
      <c r="K2410" s="1">
        <v>41855</v>
      </c>
      <c r="N2410" s="5"/>
      <c r="O2410">
        <v>440.29</v>
      </c>
      <c r="P2410">
        <v>247</v>
      </c>
      <c r="Q2410" s="2">
        <v>108751.63</v>
      </c>
      <c r="R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 s="1">
        <v>42382</v>
      </c>
      <c r="AC2410" t="s">
        <v>53</v>
      </c>
      <c r="AD2410" t="s">
        <v>53</v>
      </c>
      <c r="AK2410">
        <v>0</v>
      </c>
      <c r="AU2410" s="6">
        <v>42102</v>
      </c>
      <c r="AV2410" s="6">
        <v>42102</v>
      </c>
      <c r="AW2410" t="s">
        <v>54</v>
      </c>
      <c r="AX2410" t="str">
        <f t="shared" si="196"/>
        <v>FOR</v>
      </c>
      <c r="AY2410" t="s">
        <v>55</v>
      </c>
    </row>
    <row r="2411" spans="1:51" hidden="1">
      <c r="A2411">
        <v>100700</v>
      </c>
      <c r="B2411" t="s">
        <v>231</v>
      </c>
      <c r="C2411" t="str">
        <f t="shared" si="198"/>
        <v>00766740625</v>
      </c>
      <c r="D2411" t="str">
        <f t="shared" si="199"/>
        <v>STFGPP58D22A783F</v>
      </c>
      <c r="E2411" t="s">
        <v>52</v>
      </c>
      <c r="F2411">
        <v>2014</v>
      </c>
      <c r="G2411">
        <v>188</v>
      </c>
      <c r="H2411" s="1">
        <v>41759</v>
      </c>
      <c r="I2411" s="1">
        <v>41765</v>
      </c>
      <c r="J2411" s="1">
        <v>41765</v>
      </c>
      <c r="K2411" s="1">
        <v>41855</v>
      </c>
      <c r="N2411" s="5"/>
      <c r="O2411">
        <v>198.43</v>
      </c>
      <c r="P2411">
        <v>247</v>
      </c>
      <c r="Q2411" s="2">
        <v>49012.21</v>
      </c>
      <c r="R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 s="1">
        <v>42382</v>
      </c>
      <c r="AC2411" t="s">
        <v>53</v>
      </c>
      <c r="AD2411" t="s">
        <v>53</v>
      </c>
      <c r="AK2411">
        <v>0</v>
      </c>
      <c r="AU2411" s="6">
        <v>42102</v>
      </c>
      <c r="AV2411" s="6">
        <v>42102</v>
      </c>
      <c r="AW2411" t="s">
        <v>54</v>
      </c>
      <c r="AX2411" t="str">
        <f t="shared" si="196"/>
        <v>FOR</v>
      </c>
      <c r="AY2411" t="s">
        <v>55</v>
      </c>
    </row>
    <row r="2412" spans="1:51" hidden="1">
      <c r="A2412">
        <v>100700</v>
      </c>
      <c r="B2412" t="s">
        <v>231</v>
      </c>
      <c r="C2412" t="str">
        <f t="shared" si="198"/>
        <v>00766740625</v>
      </c>
      <c r="D2412" t="str">
        <f t="shared" si="199"/>
        <v>STFGPP58D22A783F</v>
      </c>
      <c r="E2412" t="s">
        <v>52</v>
      </c>
      <c r="F2412">
        <v>2014</v>
      </c>
      <c r="G2412">
        <v>210</v>
      </c>
      <c r="H2412" s="1">
        <v>41775</v>
      </c>
      <c r="I2412" s="1">
        <v>41775</v>
      </c>
      <c r="J2412" s="1">
        <v>41775</v>
      </c>
      <c r="K2412" s="1">
        <v>41865</v>
      </c>
      <c r="N2412" s="5"/>
      <c r="O2412">
        <v>288.29000000000002</v>
      </c>
      <c r="P2412">
        <v>265</v>
      </c>
      <c r="Q2412" s="2">
        <v>76396.850000000006</v>
      </c>
      <c r="R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 s="1">
        <v>42382</v>
      </c>
      <c r="AC2412" t="s">
        <v>53</v>
      </c>
      <c r="AD2412" t="s">
        <v>53</v>
      </c>
      <c r="AK2412">
        <v>0</v>
      </c>
      <c r="AU2412" s="6">
        <v>42130</v>
      </c>
      <c r="AV2412" s="6">
        <v>42130</v>
      </c>
      <c r="AW2412" t="s">
        <v>54</v>
      </c>
      <c r="AX2412" t="str">
        <f t="shared" si="196"/>
        <v>FOR</v>
      </c>
      <c r="AY2412" t="s">
        <v>55</v>
      </c>
    </row>
    <row r="2413" spans="1:51" hidden="1">
      <c r="A2413">
        <v>100700</v>
      </c>
      <c r="B2413" t="s">
        <v>231</v>
      </c>
      <c r="C2413" t="str">
        <f t="shared" si="198"/>
        <v>00766740625</v>
      </c>
      <c r="D2413" t="str">
        <f t="shared" si="199"/>
        <v>STFGPP58D22A783F</v>
      </c>
      <c r="E2413" t="s">
        <v>52</v>
      </c>
      <c r="F2413">
        <v>2014</v>
      </c>
      <c r="G2413">
        <v>211</v>
      </c>
      <c r="H2413" s="1">
        <v>41775</v>
      </c>
      <c r="I2413" s="1">
        <v>41775</v>
      </c>
      <c r="J2413" s="1">
        <v>41775</v>
      </c>
      <c r="K2413" s="1">
        <v>41865</v>
      </c>
      <c r="N2413" s="5"/>
      <c r="O2413">
        <v>23.3</v>
      </c>
      <c r="P2413">
        <v>265</v>
      </c>
      <c r="Q2413" s="2">
        <v>6174.5</v>
      </c>
      <c r="R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 s="1">
        <v>42382</v>
      </c>
      <c r="AC2413" t="s">
        <v>53</v>
      </c>
      <c r="AD2413" t="s">
        <v>53</v>
      </c>
      <c r="AK2413">
        <v>0</v>
      </c>
      <c r="AU2413" s="6">
        <v>42130</v>
      </c>
      <c r="AV2413" s="6">
        <v>42130</v>
      </c>
      <c r="AW2413" t="s">
        <v>54</v>
      </c>
      <c r="AX2413" t="str">
        <f t="shared" si="196"/>
        <v>FOR</v>
      </c>
      <c r="AY2413" t="s">
        <v>55</v>
      </c>
    </row>
    <row r="2414" spans="1:51" hidden="1">
      <c r="A2414">
        <v>100700</v>
      </c>
      <c r="B2414" t="s">
        <v>231</v>
      </c>
      <c r="C2414" t="str">
        <f t="shared" ref="C2414:C2445" si="200">"00766740625"</f>
        <v>00766740625</v>
      </c>
      <c r="D2414" t="str">
        <f t="shared" ref="D2414:D2445" si="201">"STFGPP58D22A783F"</f>
        <v>STFGPP58D22A783F</v>
      </c>
      <c r="E2414" t="s">
        <v>52</v>
      </c>
      <c r="F2414">
        <v>2014</v>
      </c>
      <c r="G2414">
        <v>212</v>
      </c>
      <c r="H2414" s="1">
        <v>41775</v>
      </c>
      <c r="I2414" s="1">
        <v>41775</v>
      </c>
      <c r="J2414" s="1">
        <v>41775</v>
      </c>
      <c r="K2414" s="1">
        <v>41865</v>
      </c>
      <c r="N2414" s="5"/>
      <c r="O2414">
        <v>51.48</v>
      </c>
      <c r="P2414">
        <v>265</v>
      </c>
      <c r="Q2414" s="2">
        <v>13642.2</v>
      </c>
      <c r="R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 s="1">
        <v>42382</v>
      </c>
      <c r="AC2414" t="s">
        <v>53</v>
      </c>
      <c r="AD2414" t="s">
        <v>53</v>
      </c>
      <c r="AK2414">
        <v>0</v>
      </c>
      <c r="AU2414" s="6">
        <v>42130</v>
      </c>
      <c r="AV2414" s="6">
        <v>42130</v>
      </c>
      <c r="AW2414" t="s">
        <v>54</v>
      </c>
      <c r="AX2414" t="str">
        <f t="shared" si="196"/>
        <v>FOR</v>
      </c>
      <c r="AY2414" t="s">
        <v>55</v>
      </c>
    </row>
    <row r="2415" spans="1:51" hidden="1">
      <c r="A2415">
        <v>100700</v>
      </c>
      <c r="B2415" t="s">
        <v>231</v>
      </c>
      <c r="C2415" t="str">
        <f t="shared" si="200"/>
        <v>00766740625</v>
      </c>
      <c r="D2415" t="str">
        <f t="shared" si="201"/>
        <v>STFGPP58D22A783F</v>
      </c>
      <c r="E2415" t="s">
        <v>52</v>
      </c>
      <c r="F2415">
        <v>2014</v>
      </c>
      <c r="G2415">
        <v>213</v>
      </c>
      <c r="H2415" s="1">
        <v>41775</v>
      </c>
      <c r="I2415" s="1">
        <v>41775</v>
      </c>
      <c r="J2415" s="1">
        <v>41775</v>
      </c>
      <c r="K2415" s="1">
        <v>41865</v>
      </c>
      <c r="N2415" s="5"/>
      <c r="O2415">
        <v>8.7799999999999994</v>
      </c>
      <c r="P2415">
        <v>265</v>
      </c>
      <c r="Q2415" s="2">
        <v>2326.6999999999998</v>
      </c>
      <c r="R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 s="1">
        <v>42382</v>
      </c>
      <c r="AC2415" t="s">
        <v>53</v>
      </c>
      <c r="AD2415" t="s">
        <v>53</v>
      </c>
      <c r="AK2415">
        <v>0</v>
      </c>
      <c r="AU2415" s="6">
        <v>42130</v>
      </c>
      <c r="AV2415" s="6">
        <v>42130</v>
      </c>
      <c r="AW2415" t="s">
        <v>54</v>
      </c>
      <c r="AX2415" t="str">
        <f t="shared" si="196"/>
        <v>FOR</v>
      </c>
      <c r="AY2415" t="s">
        <v>55</v>
      </c>
    </row>
    <row r="2416" spans="1:51" hidden="1">
      <c r="A2416">
        <v>100700</v>
      </c>
      <c r="B2416" t="s">
        <v>231</v>
      </c>
      <c r="C2416" t="str">
        <f t="shared" si="200"/>
        <v>00766740625</v>
      </c>
      <c r="D2416" t="str">
        <f t="shared" si="201"/>
        <v>STFGPP58D22A783F</v>
      </c>
      <c r="E2416" t="s">
        <v>52</v>
      </c>
      <c r="F2416">
        <v>2014</v>
      </c>
      <c r="G2416">
        <v>223</v>
      </c>
      <c r="H2416" s="1">
        <v>41782</v>
      </c>
      <c r="I2416" s="1">
        <v>41788</v>
      </c>
      <c r="J2416" s="1">
        <v>41788</v>
      </c>
      <c r="K2416" s="1">
        <v>41878</v>
      </c>
      <c r="N2416" s="5"/>
      <c r="O2416">
        <v>36.6</v>
      </c>
      <c r="P2416">
        <v>224</v>
      </c>
      <c r="Q2416" s="2">
        <v>8198.4</v>
      </c>
      <c r="R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 s="1">
        <v>42382</v>
      </c>
      <c r="AC2416" t="s">
        <v>53</v>
      </c>
      <c r="AD2416" t="s">
        <v>53</v>
      </c>
      <c r="AK2416">
        <v>0</v>
      </c>
      <c r="AU2416" s="6">
        <v>42102</v>
      </c>
      <c r="AV2416" s="6">
        <v>42102</v>
      </c>
      <c r="AW2416" t="s">
        <v>54</v>
      </c>
      <c r="AX2416" t="str">
        <f t="shared" si="196"/>
        <v>FOR</v>
      </c>
      <c r="AY2416" t="s">
        <v>55</v>
      </c>
    </row>
    <row r="2417" spans="1:51" hidden="1">
      <c r="A2417">
        <v>100700</v>
      </c>
      <c r="B2417" t="s">
        <v>231</v>
      </c>
      <c r="C2417" t="str">
        <f t="shared" si="200"/>
        <v>00766740625</v>
      </c>
      <c r="D2417" t="str">
        <f t="shared" si="201"/>
        <v>STFGPP58D22A783F</v>
      </c>
      <c r="E2417" t="s">
        <v>52</v>
      </c>
      <c r="F2417">
        <v>2014</v>
      </c>
      <c r="G2417">
        <v>224</v>
      </c>
      <c r="H2417" s="1">
        <v>41782</v>
      </c>
      <c r="I2417" s="1">
        <v>41788</v>
      </c>
      <c r="J2417" s="1">
        <v>41788</v>
      </c>
      <c r="K2417" s="1">
        <v>41878</v>
      </c>
      <c r="N2417" s="5"/>
      <c r="O2417">
        <v>158.6</v>
      </c>
      <c r="P2417">
        <v>224</v>
      </c>
      <c r="Q2417" s="2">
        <v>35526.400000000001</v>
      </c>
      <c r="R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 s="1">
        <v>42382</v>
      </c>
      <c r="AC2417" t="s">
        <v>53</v>
      </c>
      <c r="AD2417" t="s">
        <v>53</v>
      </c>
      <c r="AK2417">
        <v>0</v>
      </c>
      <c r="AU2417" s="6">
        <v>42102</v>
      </c>
      <c r="AV2417" s="6">
        <v>42102</v>
      </c>
      <c r="AW2417" t="s">
        <v>54</v>
      </c>
      <c r="AX2417" t="str">
        <f t="shared" si="196"/>
        <v>FOR</v>
      </c>
      <c r="AY2417" t="s">
        <v>55</v>
      </c>
    </row>
    <row r="2418" spans="1:51" hidden="1">
      <c r="A2418">
        <v>100700</v>
      </c>
      <c r="B2418" t="s">
        <v>231</v>
      </c>
      <c r="C2418" t="str">
        <f t="shared" si="200"/>
        <v>00766740625</v>
      </c>
      <c r="D2418" t="str">
        <f t="shared" si="201"/>
        <v>STFGPP58D22A783F</v>
      </c>
      <c r="E2418" t="s">
        <v>52</v>
      </c>
      <c r="F2418">
        <v>2014</v>
      </c>
      <c r="G2418">
        <v>237</v>
      </c>
      <c r="H2418" s="1">
        <v>41789</v>
      </c>
      <c r="I2418" s="1">
        <v>41793</v>
      </c>
      <c r="J2418" s="1">
        <v>41793</v>
      </c>
      <c r="K2418" s="1">
        <v>41883</v>
      </c>
      <c r="N2418" s="5"/>
      <c r="O2418">
        <v>65.88</v>
      </c>
      <c r="P2418">
        <v>247</v>
      </c>
      <c r="Q2418" s="2">
        <v>16272.36</v>
      </c>
      <c r="R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 s="1">
        <v>42382</v>
      </c>
      <c r="AC2418" t="s">
        <v>53</v>
      </c>
      <c r="AD2418" t="s">
        <v>53</v>
      </c>
      <c r="AK2418">
        <v>0</v>
      </c>
      <c r="AU2418" s="6">
        <v>42130</v>
      </c>
      <c r="AV2418" s="6">
        <v>42130</v>
      </c>
      <c r="AW2418" t="s">
        <v>54</v>
      </c>
      <c r="AX2418" t="str">
        <f t="shared" si="196"/>
        <v>FOR</v>
      </c>
      <c r="AY2418" t="s">
        <v>55</v>
      </c>
    </row>
    <row r="2419" spans="1:51" hidden="1">
      <c r="A2419">
        <v>100700</v>
      </c>
      <c r="B2419" t="s">
        <v>231</v>
      </c>
      <c r="C2419" t="str">
        <f t="shared" si="200"/>
        <v>00766740625</v>
      </c>
      <c r="D2419" t="str">
        <f t="shared" si="201"/>
        <v>STFGPP58D22A783F</v>
      </c>
      <c r="E2419" t="s">
        <v>52</v>
      </c>
      <c r="F2419">
        <v>2014</v>
      </c>
      <c r="G2419">
        <v>238</v>
      </c>
      <c r="H2419" s="1">
        <v>41789</v>
      </c>
      <c r="I2419" s="1">
        <v>41793</v>
      </c>
      <c r="J2419" s="1">
        <v>41793</v>
      </c>
      <c r="K2419" s="1">
        <v>41883</v>
      </c>
      <c r="N2419" s="5"/>
      <c r="O2419">
        <v>116.48</v>
      </c>
      <c r="P2419">
        <v>247</v>
      </c>
      <c r="Q2419" s="2">
        <v>28770.560000000001</v>
      </c>
      <c r="R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 s="1">
        <v>42382</v>
      </c>
      <c r="AC2419" t="s">
        <v>53</v>
      </c>
      <c r="AD2419" t="s">
        <v>53</v>
      </c>
      <c r="AK2419">
        <v>0</v>
      </c>
      <c r="AU2419" s="6">
        <v>42130</v>
      </c>
      <c r="AV2419" s="6">
        <v>42130</v>
      </c>
      <c r="AW2419" t="s">
        <v>54</v>
      </c>
      <c r="AX2419" t="str">
        <f t="shared" si="196"/>
        <v>FOR</v>
      </c>
      <c r="AY2419" t="s">
        <v>55</v>
      </c>
    </row>
    <row r="2420" spans="1:51" hidden="1">
      <c r="A2420">
        <v>100700</v>
      </c>
      <c r="B2420" t="s">
        <v>231</v>
      </c>
      <c r="C2420" t="str">
        <f t="shared" si="200"/>
        <v>00766740625</v>
      </c>
      <c r="D2420" t="str">
        <f t="shared" si="201"/>
        <v>STFGPP58D22A783F</v>
      </c>
      <c r="E2420" t="s">
        <v>52</v>
      </c>
      <c r="F2420">
        <v>2014</v>
      </c>
      <c r="G2420">
        <v>239</v>
      </c>
      <c r="H2420" s="1">
        <v>41789</v>
      </c>
      <c r="I2420" s="1">
        <v>41793</v>
      </c>
      <c r="J2420" s="1">
        <v>41793</v>
      </c>
      <c r="K2420" s="1">
        <v>41883</v>
      </c>
      <c r="N2420" s="5"/>
      <c r="O2420">
        <v>345.95</v>
      </c>
      <c r="P2420">
        <v>247</v>
      </c>
      <c r="Q2420" s="2">
        <v>85449.65</v>
      </c>
      <c r="R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 s="1">
        <v>42382</v>
      </c>
      <c r="AC2420" t="s">
        <v>53</v>
      </c>
      <c r="AD2420" t="s">
        <v>53</v>
      </c>
      <c r="AK2420">
        <v>0</v>
      </c>
      <c r="AU2420" s="6">
        <v>42130</v>
      </c>
      <c r="AV2420" s="6">
        <v>42130</v>
      </c>
      <c r="AW2420" t="s">
        <v>54</v>
      </c>
      <c r="AX2420" t="str">
        <f t="shared" si="196"/>
        <v>FOR</v>
      </c>
      <c r="AY2420" t="s">
        <v>55</v>
      </c>
    </row>
    <row r="2421" spans="1:51" hidden="1">
      <c r="A2421">
        <v>100700</v>
      </c>
      <c r="B2421" t="s">
        <v>231</v>
      </c>
      <c r="C2421" t="str">
        <f t="shared" si="200"/>
        <v>00766740625</v>
      </c>
      <c r="D2421" t="str">
        <f t="shared" si="201"/>
        <v>STFGPP58D22A783F</v>
      </c>
      <c r="E2421" t="s">
        <v>52</v>
      </c>
      <c r="F2421">
        <v>2014</v>
      </c>
      <c r="G2421">
        <v>247</v>
      </c>
      <c r="H2421" s="1">
        <v>41793</v>
      </c>
      <c r="I2421" s="1">
        <v>41796</v>
      </c>
      <c r="J2421" s="1">
        <v>41796</v>
      </c>
      <c r="K2421" s="1">
        <v>41886</v>
      </c>
      <c r="N2421" s="5"/>
      <c r="O2421">
        <v>440.88</v>
      </c>
      <c r="P2421">
        <v>273</v>
      </c>
      <c r="Q2421" s="2">
        <v>120360.24</v>
      </c>
      <c r="R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 s="1">
        <v>42382</v>
      </c>
      <c r="AC2421" t="s">
        <v>53</v>
      </c>
      <c r="AD2421" t="s">
        <v>53</v>
      </c>
      <c r="AK2421">
        <v>0</v>
      </c>
      <c r="AU2421" s="6">
        <v>42159</v>
      </c>
      <c r="AV2421" s="6">
        <v>42159</v>
      </c>
      <c r="AW2421" t="s">
        <v>54</v>
      </c>
      <c r="AX2421" t="str">
        <f t="shared" si="196"/>
        <v>FOR</v>
      </c>
      <c r="AY2421" t="s">
        <v>55</v>
      </c>
    </row>
    <row r="2422" spans="1:51" hidden="1">
      <c r="A2422">
        <v>100700</v>
      </c>
      <c r="B2422" t="s">
        <v>231</v>
      </c>
      <c r="C2422" t="str">
        <f t="shared" si="200"/>
        <v>00766740625</v>
      </c>
      <c r="D2422" t="str">
        <f t="shared" si="201"/>
        <v>STFGPP58D22A783F</v>
      </c>
      <c r="E2422" t="s">
        <v>52</v>
      </c>
      <c r="F2422">
        <v>2014</v>
      </c>
      <c r="G2422">
        <v>248</v>
      </c>
      <c r="H2422" s="1">
        <v>41793</v>
      </c>
      <c r="I2422" s="1">
        <v>41796</v>
      </c>
      <c r="J2422" s="1">
        <v>41796</v>
      </c>
      <c r="K2422" s="1">
        <v>41886</v>
      </c>
      <c r="N2422" s="5"/>
      <c r="O2422">
        <v>198.43</v>
      </c>
      <c r="P2422">
        <v>273</v>
      </c>
      <c r="Q2422" s="2">
        <v>54171.39</v>
      </c>
      <c r="R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 s="1">
        <v>42382</v>
      </c>
      <c r="AC2422" t="s">
        <v>53</v>
      </c>
      <c r="AD2422" t="s">
        <v>53</v>
      </c>
      <c r="AK2422">
        <v>0</v>
      </c>
      <c r="AU2422" s="6">
        <v>42159</v>
      </c>
      <c r="AV2422" s="6">
        <v>42159</v>
      </c>
      <c r="AW2422" t="s">
        <v>54</v>
      </c>
      <c r="AX2422" t="str">
        <f t="shared" si="196"/>
        <v>FOR</v>
      </c>
      <c r="AY2422" t="s">
        <v>55</v>
      </c>
    </row>
    <row r="2423" spans="1:51" hidden="1">
      <c r="A2423">
        <v>100700</v>
      </c>
      <c r="B2423" t="s">
        <v>231</v>
      </c>
      <c r="C2423" t="str">
        <f t="shared" si="200"/>
        <v>00766740625</v>
      </c>
      <c r="D2423" t="str">
        <f t="shared" si="201"/>
        <v>STFGPP58D22A783F</v>
      </c>
      <c r="E2423" t="s">
        <v>52</v>
      </c>
      <c r="F2423">
        <v>2014</v>
      </c>
      <c r="G2423">
        <v>281</v>
      </c>
      <c r="H2423" s="1">
        <v>41814</v>
      </c>
      <c r="I2423" s="1">
        <v>41816</v>
      </c>
      <c r="J2423" s="1">
        <v>41816</v>
      </c>
      <c r="K2423" s="1">
        <v>41906</v>
      </c>
      <c r="N2423" s="5"/>
      <c r="O2423">
        <v>158.6</v>
      </c>
      <c r="P2423">
        <v>225</v>
      </c>
      <c r="Q2423" s="2">
        <v>35685</v>
      </c>
      <c r="R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 s="1">
        <v>42382</v>
      </c>
      <c r="AC2423" t="s">
        <v>53</v>
      </c>
      <c r="AD2423" t="s">
        <v>53</v>
      </c>
      <c r="AK2423">
        <v>0</v>
      </c>
      <c r="AU2423" s="6">
        <v>42131</v>
      </c>
      <c r="AV2423" s="6">
        <v>42131</v>
      </c>
      <c r="AW2423" t="s">
        <v>54</v>
      </c>
      <c r="AX2423" t="str">
        <f t="shared" si="196"/>
        <v>FOR</v>
      </c>
      <c r="AY2423" t="s">
        <v>55</v>
      </c>
    </row>
    <row r="2424" spans="1:51" hidden="1">
      <c r="A2424">
        <v>100700</v>
      </c>
      <c r="B2424" t="s">
        <v>231</v>
      </c>
      <c r="C2424" t="str">
        <f t="shared" si="200"/>
        <v>00766740625</v>
      </c>
      <c r="D2424" t="str">
        <f t="shared" si="201"/>
        <v>STFGPP58D22A783F</v>
      </c>
      <c r="E2424" t="s">
        <v>52</v>
      </c>
      <c r="F2424">
        <v>2014</v>
      </c>
      <c r="G2424">
        <v>292</v>
      </c>
      <c r="H2424" s="1">
        <v>41817</v>
      </c>
      <c r="I2424" s="1">
        <v>41817</v>
      </c>
      <c r="J2424" s="1">
        <v>41817</v>
      </c>
      <c r="K2424" s="1">
        <v>41907</v>
      </c>
      <c r="N2424" s="5"/>
      <c r="O2424">
        <v>36.6</v>
      </c>
      <c r="P2424">
        <v>224</v>
      </c>
      <c r="Q2424" s="2">
        <v>8198.4</v>
      </c>
      <c r="R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 s="1">
        <v>42382</v>
      </c>
      <c r="AC2424" t="s">
        <v>53</v>
      </c>
      <c r="AD2424" t="s">
        <v>53</v>
      </c>
      <c r="AK2424">
        <v>0</v>
      </c>
      <c r="AU2424" s="6">
        <v>42131</v>
      </c>
      <c r="AV2424" s="6">
        <v>42131</v>
      </c>
      <c r="AW2424" t="s">
        <v>54</v>
      </c>
      <c r="AX2424" t="str">
        <f t="shared" si="196"/>
        <v>FOR</v>
      </c>
      <c r="AY2424" t="s">
        <v>55</v>
      </c>
    </row>
    <row r="2425" spans="1:51" hidden="1">
      <c r="A2425">
        <v>100700</v>
      </c>
      <c r="B2425" t="s">
        <v>231</v>
      </c>
      <c r="C2425" t="str">
        <f t="shared" si="200"/>
        <v>00766740625</v>
      </c>
      <c r="D2425" t="str">
        <f t="shared" si="201"/>
        <v>STFGPP58D22A783F</v>
      </c>
      <c r="E2425" t="s">
        <v>52</v>
      </c>
      <c r="F2425">
        <v>2014</v>
      </c>
      <c r="G2425">
        <v>293</v>
      </c>
      <c r="H2425" s="1">
        <v>41820</v>
      </c>
      <c r="I2425" s="1">
        <v>41821</v>
      </c>
      <c r="J2425" s="1">
        <v>41821</v>
      </c>
      <c r="K2425" s="1">
        <v>41911</v>
      </c>
      <c r="N2425" s="5"/>
      <c r="O2425">
        <v>490.09</v>
      </c>
      <c r="P2425">
        <v>248</v>
      </c>
      <c r="Q2425" s="2">
        <v>121542.32</v>
      </c>
      <c r="R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 s="1">
        <v>42382</v>
      </c>
      <c r="AC2425" t="s">
        <v>53</v>
      </c>
      <c r="AD2425" t="s">
        <v>53</v>
      </c>
      <c r="AK2425">
        <v>0</v>
      </c>
      <c r="AU2425" s="6">
        <v>42159</v>
      </c>
      <c r="AV2425" s="6">
        <v>42159</v>
      </c>
      <c r="AW2425" t="s">
        <v>54</v>
      </c>
      <c r="AX2425" t="str">
        <f t="shared" si="196"/>
        <v>FOR</v>
      </c>
      <c r="AY2425" t="s">
        <v>55</v>
      </c>
    </row>
    <row r="2426" spans="1:51" hidden="1">
      <c r="A2426">
        <v>100700</v>
      </c>
      <c r="B2426" t="s">
        <v>231</v>
      </c>
      <c r="C2426" t="str">
        <f t="shared" si="200"/>
        <v>00766740625</v>
      </c>
      <c r="D2426" t="str">
        <f t="shared" si="201"/>
        <v>STFGPP58D22A783F</v>
      </c>
      <c r="E2426" t="s">
        <v>52</v>
      </c>
      <c r="F2426">
        <v>2014</v>
      </c>
      <c r="G2426">
        <v>296</v>
      </c>
      <c r="H2426" s="1">
        <v>41820</v>
      </c>
      <c r="I2426" s="1">
        <v>41821</v>
      </c>
      <c r="J2426" s="1">
        <v>41821</v>
      </c>
      <c r="K2426" s="1">
        <v>41911</v>
      </c>
      <c r="N2426" s="5"/>
      <c r="O2426">
        <v>297.64999999999998</v>
      </c>
      <c r="P2426">
        <v>248</v>
      </c>
      <c r="Q2426" s="2">
        <v>73817.2</v>
      </c>
      <c r="R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 s="1">
        <v>42382</v>
      </c>
      <c r="AC2426" t="s">
        <v>53</v>
      </c>
      <c r="AD2426" t="s">
        <v>53</v>
      </c>
      <c r="AK2426">
        <v>0</v>
      </c>
      <c r="AU2426" s="6">
        <v>42159</v>
      </c>
      <c r="AV2426" s="6">
        <v>42159</v>
      </c>
      <c r="AW2426" t="s">
        <v>54</v>
      </c>
      <c r="AX2426" t="str">
        <f t="shared" si="196"/>
        <v>FOR</v>
      </c>
      <c r="AY2426" t="s">
        <v>55</v>
      </c>
    </row>
    <row r="2427" spans="1:51" hidden="1">
      <c r="A2427">
        <v>100700</v>
      </c>
      <c r="B2427" t="s">
        <v>231</v>
      </c>
      <c r="C2427" t="str">
        <f t="shared" si="200"/>
        <v>00766740625</v>
      </c>
      <c r="D2427" t="str">
        <f t="shared" si="201"/>
        <v>STFGPP58D22A783F</v>
      </c>
      <c r="E2427" t="s">
        <v>52</v>
      </c>
      <c r="F2427">
        <v>2014</v>
      </c>
      <c r="G2427">
        <v>298</v>
      </c>
      <c r="H2427" s="1">
        <v>41820</v>
      </c>
      <c r="I2427" s="1">
        <v>41821</v>
      </c>
      <c r="J2427" s="1">
        <v>41821</v>
      </c>
      <c r="K2427" s="1">
        <v>41911</v>
      </c>
      <c r="N2427" s="5"/>
      <c r="O2427">
        <v>229.42</v>
      </c>
      <c r="P2427">
        <v>248</v>
      </c>
      <c r="Q2427" s="2">
        <v>56896.160000000003</v>
      </c>
      <c r="R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 s="1">
        <v>42382</v>
      </c>
      <c r="AC2427" t="s">
        <v>53</v>
      </c>
      <c r="AD2427" t="s">
        <v>53</v>
      </c>
      <c r="AK2427">
        <v>0</v>
      </c>
      <c r="AU2427" s="6">
        <v>42159</v>
      </c>
      <c r="AV2427" s="6">
        <v>42159</v>
      </c>
      <c r="AW2427" t="s">
        <v>54</v>
      </c>
      <c r="AX2427" t="str">
        <f t="shared" si="196"/>
        <v>FOR</v>
      </c>
      <c r="AY2427" t="s">
        <v>55</v>
      </c>
    </row>
    <row r="2428" spans="1:51" hidden="1">
      <c r="A2428">
        <v>100700</v>
      </c>
      <c r="B2428" t="s">
        <v>231</v>
      </c>
      <c r="C2428" t="str">
        <f t="shared" si="200"/>
        <v>00766740625</v>
      </c>
      <c r="D2428" t="str">
        <f t="shared" si="201"/>
        <v>STFGPP58D22A783F</v>
      </c>
      <c r="E2428" t="s">
        <v>52</v>
      </c>
      <c r="F2428">
        <v>2014</v>
      </c>
      <c r="G2428">
        <v>300</v>
      </c>
      <c r="H2428" s="1">
        <v>41820</v>
      </c>
      <c r="I2428" s="1">
        <v>41821</v>
      </c>
      <c r="J2428" s="1">
        <v>41821</v>
      </c>
      <c r="K2428" s="1">
        <v>41911</v>
      </c>
      <c r="N2428" s="5"/>
      <c r="O2428">
        <v>33.78</v>
      </c>
      <c r="P2428">
        <v>248</v>
      </c>
      <c r="Q2428" s="2">
        <v>8377.44</v>
      </c>
      <c r="R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 s="1">
        <v>42382</v>
      </c>
      <c r="AC2428" t="s">
        <v>53</v>
      </c>
      <c r="AD2428" t="s">
        <v>53</v>
      </c>
      <c r="AK2428">
        <v>0</v>
      </c>
      <c r="AU2428" s="6">
        <v>42159</v>
      </c>
      <c r="AV2428" s="6">
        <v>42159</v>
      </c>
      <c r="AW2428" t="s">
        <v>54</v>
      </c>
      <c r="AX2428" t="str">
        <f t="shared" si="196"/>
        <v>FOR</v>
      </c>
      <c r="AY2428" t="s">
        <v>55</v>
      </c>
    </row>
    <row r="2429" spans="1:51" hidden="1">
      <c r="A2429">
        <v>100700</v>
      </c>
      <c r="B2429" t="s">
        <v>231</v>
      </c>
      <c r="C2429" t="str">
        <f t="shared" si="200"/>
        <v>00766740625</v>
      </c>
      <c r="D2429" t="str">
        <f t="shared" si="201"/>
        <v>STFGPP58D22A783F</v>
      </c>
      <c r="E2429" t="s">
        <v>52</v>
      </c>
      <c r="F2429">
        <v>2014</v>
      </c>
      <c r="G2429">
        <v>308</v>
      </c>
      <c r="H2429" s="1">
        <v>41830</v>
      </c>
      <c r="I2429" s="1">
        <v>41830</v>
      </c>
      <c r="J2429" s="1">
        <v>41830</v>
      </c>
      <c r="K2429" s="1">
        <v>41920</v>
      </c>
      <c r="N2429" s="5"/>
      <c r="O2429">
        <v>124.92</v>
      </c>
      <c r="P2429">
        <v>239</v>
      </c>
      <c r="Q2429" s="2">
        <v>29855.88</v>
      </c>
      <c r="R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 s="1">
        <v>42382</v>
      </c>
      <c r="AC2429" t="s">
        <v>53</v>
      </c>
      <c r="AD2429" t="s">
        <v>53</v>
      </c>
      <c r="AK2429">
        <v>0</v>
      </c>
      <c r="AU2429" s="6">
        <v>42159</v>
      </c>
      <c r="AV2429" s="6">
        <v>42159</v>
      </c>
      <c r="AW2429" t="s">
        <v>54</v>
      </c>
      <c r="AX2429" t="str">
        <f t="shared" si="196"/>
        <v>FOR</v>
      </c>
      <c r="AY2429" t="s">
        <v>55</v>
      </c>
    </row>
    <row r="2430" spans="1:51" hidden="1">
      <c r="A2430">
        <v>100700</v>
      </c>
      <c r="B2430" t="s">
        <v>231</v>
      </c>
      <c r="C2430" t="str">
        <f t="shared" si="200"/>
        <v>00766740625</v>
      </c>
      <c r="D2430" t="str">
        <f t="shared" si="201"/>
        <v>STFGPP58D22A783F</v>
      </c>
      <c r="E2430" t="s">
        <v>52</v>
      </c>
      <c r="F2430">
        <v>2014</v>
      </c>
      <c r="G2430">
        <v>320</v>
      </c>
      <c r="H2430" s="1">
        <v>41837</v>
      </c>
      <c r="I2430" s="1">
        <v>41842</v>
      </c>
      <c r="J2430" s="1">
        <v>41842</v>
      </c>
      <c r="K2430" s="1">
        <v>41932</v>
      </c>
      <c r="N2430" s="5"/>
      <c r="O2430">
        <v>116.48</v>
      </c>
      <c r="P2430">
        <v>227</v>
      </c>
      <c r="Q2430" s="2">
        <v>26440.959999999999</v>
      </c>
      <c r="R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 s="1">
        <v>42382</v>
      </c>
      <c r="AC2430" t="s">
        <v>53</v>
      </c>
      <c r="AD2430" t="s">
        <v>53</v>
      </c>
      <c r="AK2430">
        <v>0</v>
      </c>
      <c r="AU2430" s="6">
        <v>42159</v>
      </c>
      <c r="AV2430" s="6">
        <v>42159</v>
      </c>
      <c r="AW2430" t="s">
        <v>54</v>
      </c>
      <c r="AX2430" t="str">
        <f t="shared" si="196"/>
        <v>FOR</v>
      </c>
      <c r="AY2430" t="s">
        <v>55</v>
      </c>
    </row>
    <row r="2431" spans="1:51" hidden="1">
      <c r="A2431">
        <v>100700</v>
      </c>
      <c r="B2431" t="s">
        <v>231</v>
      </c>
      <c r="C2431" t="str">
        <f t="shared" si="200"/>
        <v>00766740625</v>
      </c>
      <c r="D2431" t="str">
        <f t="shared" si="201"/>
        <v>STFGPP58D22A783F</v>
      </c>
      <c r="E2431" t="s">
        <v>52</v>
      </c>
      <c r="F2431">
        <v>2014</v>
      </c>
      <c r="G2431">
        <v>336</v>
      </c>
      <c r="H2431" s="1">
        <v>41851</v>
      </c>
      <c r="I2431" s="1">
        <v>41852</v>
      </c>
      <c r="J2431" s="1">
        <v>41852</v>
      </c>
      <c r="K2431" s="1">
        <v>41942</v>
      </c>
      <c r="N2431" s="5"/>
      <c r="O2431">
        <v>396.86</v>
      </c>
      <c r="P2431">
        <v>217</v>
      </c>
      <c r="Q2431" s="2">
        <v>86118.62</v>
      </c>
      <c r="R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 s="1">
        <v>42382</v>
      </c>
      <c r="AC2431" t="s">
        <v>53</v>
      </c>
      <c r="AD2431" t="s">
        <v>53</v>
      </c>
      <c r="AK2431">
        <v>0</v>
      </c>
      <c r="AU2431" s="6">
        <v>42159</v>
      </c>
      <c r="AV2431" s="6">
        <v>42159</v>
      </c>
      <c r="AW2431" t="s">
        <v>54</v>
      </c>
      <c r="AX2431" t="str">
        <f t="shared" si="196"/>
        <v>FOR</v>
      </c>
      <c r="AY2431" t="s">
        <v>55</v>
      </c>
    </row>
    <row r="2432" spans="1:51" hidden="1">
      <c r="A2432">
        <v>100700</v>
      </c>
      <c r="B2432" t="s">
        <v>231</v>
      </c>
      <c r="C2432" t="str">
        <f t="shared" si="200"/>
        <v>00766740625</v>
      </c>
      <c r="D2432" t="str">
        <f t="shared" si="201"/>
        <v>STFGPP58D22A783F</v>
      </c>
      <c r="E2432" t="s">
        <v>52</v>
      </c>
      <c r="F2432">
        <v>2014</v>
      </c>
      <c r="G2432">
        <v>337</v>
      </c>
      <c r="H2432" s="1">
        <v>41851</v>
      </c>
      <c r="I2432" s="1">
        <v>41852</v>
      </c>
      <c r="J2432" s="1">
        <v>41852</v>
      </c>
      <c r="K2432" s="1">
        <v>41942</v>
      </c>
      <c r="N2432" s="5"/>
      <c r="O2432">
        <v>120.78</v>
      </c>
      <c r="P2432">
        <v>217</v>
      </c>
      <c r="Q2432" s="2">
        <v>26209.26</v>
      </c>
      <c r="R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 s="1">
        <v>42382</v>
      </c>
      <c r="AC2432" t="s">
        <v>53</v>
      </c>
      <c r="AD2432" t="s">
        <v>53</v>
      </c>
      <c r="AK2432">
        <v>0</v>
      </c>
      <c r="AU2432" s="6">
        <v>42159</v>
      </c>
      <c r="AV2432" s="6">
        <v>42159</v>
      </c>
      <c r="AW2432" t="s">
        <v>54</v>
      </c>
      <c r="AX2432" t="str">
        <f t="shared" si="196"/>
        <v>FOR</v>
      </c>
      <c r="AY2432" t="s">
        <v>55</v>
      </c>
    </row>
    <row r="2433" spans="1:51" hidden="1">
      <c r="A2433">
        <v>100700</v>
      </c>
      <c r="B2433" t="s">
        <v>231</v>
      </c>
      <c r="C2433" t="str">
        <f t="shared" si="200"/>
        <v>00766740625</v>
      </c>
      <c r="D2433" t="str">
        <f t="shared" si="201"/>
        <v>STFGPP58D22A783F</v>
      </c>
      <c r="E2433" t="s">
        <v>52</v>
      </c>
      <c r="F2433">
        <v>2014</v>
      </c>
      <c r="G2433">
        <v>338</v>
      </c>
      <c r="H2433" s="1">
        <v>41851</v>
      </c>
      <c r="I2433" s="1">
        <v>41852</v>
      </c>
      <c r="J2433" s="1">
        <v>41852</v>
      </c>
      <c r="K2433" s="1">
        <v>41942</v>
      </c>
      <c r="N2433" s="5"/>
      <c r="O2433">
        <v>36.6</v>
      </c>
      <c r="P2433">
        <v>217</v>
      </c>
      <c r="Q2433" s="2">
        <v>7942.2</v>
      </c>
      <c r="R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 s="1">
        <v>42382</v>
      </c>
      <c r="AC2433" t="s">
        <v>53</v>
      </c>
      <c r="AD2433" t="s">
        <v>53</v>
      </c>
      <c r="AK2433">
        <v>0</v>
      </c>
      <c r="AU2433" s="6">
        <v>42159</v>
      </c>
      <c r="AV2433" s="6">
        <v>42159</v>
      </c>
      <c r="AW2433" t="s">
        <v>54</v>
      </c>
      <c r="AX2433" t="str">
        <f t="shared" si="196"/>
        <v>FOR</v>
      </c>
      <c r="AY2433" t="s">
        <v>55</v>
      </c>
    </row>
    <row r="2434" spans="1:51" hidden="1">
      <c r="A2434">
        <v>100700</v>
      </c>
      <c r="B2434" t="s">
        <v>231</v>
      </c>
      <c r="C2434" t="str">
        <f t="shared" si="200"/>
        <v>00766740625</v>
      </c>
      <c r="D2434" t="str">
        <f t="shared" si="201"/>
        <v>STFGPP58D22A783F</v>
      </c>
      <c r="E2434" t="s">
        <v>52</v>
      </c>
      <c r="F2434">
        <v>2014</v>
      </c>
      <c r="G2434">
        <v>339</v>
      </c>
      <c r="H2434" s="1">
        <v>41851</v>
      </c>
      <c r="I2434" s="1">
        <v>41852</v>
      </c>
      <c r="J2434" s="1">
        <v>41852</v>
      </c>
      <c r="K2434" s="1">
        <v>41942</v>
      </c>
      <c r="N2434" s="5"/>
      <c r="O2434">
        <v>615.01</v>
      </c>
      <c r="P2434">
        <v>217</v>
      </c>
      <c r="Q2434" s="2">
        <v>133457.17000000001</v>
      </c>
      <c r="R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 s="1">
        <v>42382</v>
      </c>
      <c r="AC2434" t="s">
        <v>53</v>
      </c>
      <c r="AD2434" t="s">
        <v>53</v>
      </c>
      <c r="AK2434">
        <v>0</v>
      </c>
      <c r="AU2434" s="6">
        <v>42159</v>
      </c>
      <c r="AV2434" s="6">
        <v>42159</v>
      </c>
      <c r="AW2434" t="s">
        <v>54</v>
      </c>
      <c r="AX2434" t="str">
        <f t="shared" si="196"/>
        <v>FOR</v>
      </c>
      <c r="AY2434" t="s">
        <v>55</v>
      </c>
    </row>
    <row r="2435" spans="1:51" hidden="1">
      <c r="A2435">
        <v>100700</v>
      </c>
      <c r="B2435" t="s">
        <v>231</v>
      </c>
      <c r="C2435" t="str">
        <f t="shared" si="200"/>
        <v>00766740625</v>
      </c>
      <c r="D2435" t="str">
        <f t="shared" si="201"/>
        <v>STFGPP58D22A783F</v>
      </c>
      <c r="E2435" t="s">
        <v>52</v>
      </c>
      <c r="F2435">
        <v>2014</v>
      </c>
      <c r="G2435">
        <v>340</v>
      </c>
      <c r="H2435" s="1">
        <v>41851</v>
      </c>
      <c r="I2435" s="1">
        <v>41852</v>
      </c>
      <c r="J2435" s="1">
        <v>41852</v>
      </c>
      <c r="K2435" s="1">
        <v>41942</v>
      </c>
      <c r="N2435" s="5"/>
      <c r="O2435">
        <v>525.20000000000005</v>
      </c>
      <c r="P2435">
        <v>217</v>
      </c>
      <c r="Q2435" s="2">
        <v>113968.4</v>
      </c>
      <c r="R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 s="1">
        <v>42382</v>
      </c>
      <c r="AC2435" t="s">
        <v>53</v>
      </c>
      <c r="AD2435" t="s">
        <v>53</v>
      </c>
      <c r="AK2435">
        <v>0</v>
      </c>
      <c r="AU2435" s="6">
        <v>42159</v>
      </c>
      <c r="AV2435" s="6">
        <v>42159</v>
      </c>
      <c r="AW2435" t="s">
        <v>54</v>
      </c>
      <c r="AX2435" t="str">
        <f t="shared" ref="AX2435:AX2498" si="202">"FOR"</f>
        <v>FOR</v>
      </c>
      <c r="AY2435" t="s">
        <v>55</v>
      </c>
    </row>
    <row r="2436" spans="1:51" hidden="1">
      <c r="A2436">
        <v>100700</v>
      </c>
      <c r="B2436" t="s">
        <v>231</v>
      </c>
      <c r="C2436" t="str">
        <f t="shared" si="200"/>
        <v>00766740625</v>
      </c>
      <c r="D2436" t="str">
        <f t="shared" si="201"/>
        <v>STFGPP58D22A783F</v>
      </c>
      <c r="E2436" t="s">
        <v>52</v>
      </c>
      <c r="F2436">
        <v>2014</v>
      </c>
      <c r="G2436">
        <v>372</v>
      </c>
      <c r="H2436" s="1">
        <v>41876</v>
      </c>
      <c r="I2436" s="1">
        <v>41878</v>
      </c>
      <c r="J2436" s="1">
        <v>41878</v>
      </c>
      <c r="K2436" s="1">
        <v>41968</v>
      </c>
      <c r="N2436" s="5"/>
      <c r="O2436">
        <v>116.48</v>
      </c>
      <c r="P2436">
        <v>216</v>
      </c>
      <c r="Q2436" s="2">
        <v>25159.68</v>
      </c>
      <c r="R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 s="1">
        <v>42382</v>
      </c>
      <c r="AC2436" t="s">
        <v>53</v>
      </c>
      <c r="AD2436" t="s">
        <v>53</v>
      </c>
      <c r="AK2436">
        <v>0</v>
      </c>
      <c r="AU2436" s="6">
        <v>42184</v>
      </c>
      <c r="AV2436" s="6">
        <v>42184</v>
      </c>
      <c r="AW2436" t="s">
        <v>54</v>
      </c>
      <c r="AX2436" t="str">
        <f t="shared" si="202"/>
        <v>FOR</v>
      </c>
      <c r="AY2436" t="s">
        <v>55</v>
      </c>
    </row>
    <row r="2437" spans="1:51" hidden="1">
      <c r="A2437">
        <v>100700</v>
      </c>
      <c r="B2437" t="s">
        <v>231</v>
      </c>
      <c r="C2437" t="str">
        <f t="shared" si="200"/>
        <v>00766740625</v>
      </c>
      <c r="D2437" t="str">
        <f t="shared" si="201"/>
        <v>STFGPP58D22A783F</v>
      </c>
      <c r="E2437" t="s">
        <v>52</v>
      </c>
      <c r="F2437">
        <v>2014</v>
      </c>
      <c r="G2437">
        <v>373</v>
      </c>
      <c r="H2437" s="1">
        <v>41876</v>
      </c>
      <c r="I2437" s="1">
        <v>41878</v>
      </c>
      <c r="J2437" s="1">
        <v>41878</v>
      </c>
      <c r="K2437" s="1">
        <v>41968</v>
      </c>
      <c r="N2437" s="5"/>
      <c r="O2437">
        <v>352.35</v>
      </c>
      <c r="P2437">
        <v>216</v>
      </c>
      <c r="Q2437" s="2">
        <v>76107.600000000006</v>
      </c>
      <c r="R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 s="1">
        <v>42382</v>
      </c>
      <c r="AC2437" t="s">
        <v>53</v>
      </c>
      <c r="AD2437" t="s">
        <v>53</v>
      </c>
      <c r="AK2437">
        <v>0</v>
      </c>
      <c r="AU2437" s="6">
        <v>42184</v>
      </c>
      <c r="AV2437" s="6">
        <v>42184</v>
      </c>
      <c r="AW2437" t="s">
        <v>54</v>
      </c>
      <c r="AX2437" t="str">
        <f t="shared" si="202"/>
        <v>FOR</v>
      </c>
      <c r="AY2437" t="s">
        <v>55</v>
      </c>
    </row>
    <row r="2438" spans="1:51" hidden="1">
      <c r="A2438">
        <v>100700</v>
      </c>
      <c r="B2438" t="s">
        <v>231</v>
      </c>
      <c r="C2438" t="str">
        <f t="shared" si="200"/>
        <v>00766740625</v>
      </c>
      <c r="D2438" t="str">
        <f t="shared" si="201"/>
        <v>STFGPP58D22A783F</v>
      </c>
      <c r="E2438" t="s">
        <v>52</v>
      </c>
      <c r="F2438">
        <v>2014</v>
      </c>
      <c r="G2438">
        <v>378</v>
      </c>
      <c r="H2438" s="1">
        <v>41877</v>
      </c>
      <c r="I2438" s="1">
        <v>41883</v>
      </c>
      <c r="J2438" s="1">
        <v>41883</v>
      </c>
      <c r="K2438" s="1">
        <v>41973</v>
      </c>
      <c r="N2438" s="5"/>
      <c r="O2438">
        <v>317.2</v>
      </c>
      <c r="P2438">
        <v>211</v>
      </c>
      <c r="Q2438" s="2">
        <v>66929.2</v>
      </c>
      <c r="R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 s="1">
        <v>42382</v>
      </c>
      <c r="AC2438" t="s">
        <v>53</v>
      </c>
      <c r="AD2438" t="s">
        <v>53</v>
      </c>
      <c r="AK2438">
        <v>0</v>
      </c>
      <c r="AU2438" s="6">
        <v>42184</v>
      </c>
      <c r="AV2438" s="6">
        <v>42184</v>
      </c>
      <c r="AW2438" t="s">
        <v>54</v>
      </c>
      <c r="AX2438" t="str">
        <f t="shared" si="202"/>
        <v>FOR</v>
      </c>
      <c r="AY2438" t="s">
        <v>55</v>
      </c>
    </row>
    <row r="2439" spans="1:51" hidden="1">
      <c r="A2439">
        <v>100700</v>
      </c>
      <c r="B2439" t="s">
        <v>231</v>
      </c>
      <c r="C2439" t="str">
        <f t="shared" si="200"/>
        <v>00766740625</v>
      </c>
      <c r="D2439" t="str">
        <f t="shared" si="201"/>
        <v>STFGPP58D22A783F</v>
      </c>
      <c r="E2439" t="s">
        <v>52</v>
      </c>
      <c r="F2439">
        <v>2014</v>
      </c>
      <c r="G2439">
        <v>390</v>
      </c>
      <c r="H2439" s="1">
        <v>41880</v>
      </c>
      <c r="I2439" s="1">
        <v>41886</v>
      </c>
      <c r="J2439" s="1">
        <v>41886</v>
      </c>
      <c r="K2439" s="1">
        <v>41976</v>
      </c>
      <c r="N2439" s="5"/>
      <c r="O2439">
        <v>345.95</v>
      </c>
      <c r="P2439">
        <v>208</v>
      </c>
      <c r="Q2439" s="2">
        <v>71957.600000000006</v>
      </c>
      <c r="R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 s="1">
        <v>42382</v>
      </c>
      <c r="AC2439" t="s">
        <v>53</v>
      </c>
      <c r="AD2439" t="s">
        <v>53</v>
      </c>
      <c r="AK2439">
        <v>0</v>
      </c>
      <c r="AU2439" s="6">
        <v>42184</v>
      </c>
      <c r="AV2439" s="6">
        <v>42184</v>
      </c>
      <c r="AW2439" t="s">
        <v>54</v>
      </c>
      <c r="AX2439" t="str">
        <f t="shared" si="202"/>
        <v>FOR</v>
      </c>
      <c r="AY2439" t="s">
        <v>55</v>
      </c>
    </row>
    <row r="2440" spans="1:51" hidden="1">
      <c r="A2440">
        <v>100700</v>
      </c>
      <c r="B2440" t="s">
        <v>231</v>
      </c>
      <c r="C2440" t="str">
        <f t="shared" si="200"/>
        <v>00766740625</v>
      </c>
      <c r="D2440" t="str">
        <f t="shared" si="201"/>
        <v>STFGPP58D22A783F</v>
      </c>
      <c r="E2440" t="s">
        <v>52</v>
      </c>
      <c r="F2440">
        <v>2014</v>
      </c>
      <c r="G2440">
        <v>391</v>
      </c>
      <c r="H2440" s="1">
        <v>41880</v>
      </c>
      <c r="I2440" s="1">
        <v>41886</v>
      </c>
      <c r="J2440" s="1">
        <v>41886</v>
      </c>
      <c r="K2440" s="1">
        <v>41976</v>
      </c>
      <c r="N2440" s="5"/>
      <c r="O2440">
        <v>96.1</v>
      </c>
      <c r="P2440">
        <v>208</v>
      </c>
      <c r="Q2440" s="2">
        <v>19988.8</v>
      </c>
      <c r="R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 s="1">
        <v>42382</v>
      </c>
      <c r="AC2440" t="s">
        <v>53</v>
      </c>
      <c r="AD2440" t="s">
        <v>53</v>
      </c>
      <c r="AK2440">
        <v>0</v>
      </c>
      <c r="AU2440" s="6">
        <v>42184</v>
      </c>
      <c r="AV2440" s="6">
        <v>42184</v>
      </c>
      <c r="AW2440" t="s">
        <v>54</v>
      </c>
      <c r="AX2440" t="str">
        <f t="shared" si="202"/>
        <v>FOR</v>
      </c>
      <c r="AY2440" t="s">
        <v>55</v>
      </c>
    </row>
    <row r="2441" spans="1:51" hidden="1">
      <c r="A2441">
        <v>100700</v>
      </c>
      <c r="B2441" t="s">
        <v>231</v>
      </c>
      <c r="C2441" t="str">
        <f t="shared" si="200"/>
        <v>00766740625</v>
      </c>
      <c r="D2441" t="str">
        <f t="shared" si="201"/>
        <v>STFGPP58D22A783F</v>
      </c>
      <c r="E2441" t="s">
        <v>52</v>
      </c>
      <c r="F2441">
        <v>2014</v>
      </c>
      <c r="G2441">
        <v>392</v>
      </c>
      <c r="H2441" s="1">
        <v>41880</v>
      </c>
      <c r="I2441" s="1">
        <v>41886</v>
      </c>
      <c r="J2441" s="1">
        <v>41886</v>
      </c>
      <c r="K2441" s="1">
        <v>41976</v>
      </c>
      <c r="N2441" s="5"/>
      <c r="O2441">
        <v>394.16</v>
      </c>
      <c r="P2441">
        <v>208</v>
      </c>
      <c r="Q2441" s="2">
        <v>81985.279999999999</v>
      </c>
      <c r="R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 s="1">
        <v>42382</v>
      </c>
      <c r="AC2441" t="s">
        <v>53</v>
      </c>
      <c r="AD2441" t="s">
        <v>53</v>
      </c>
      <c r="AK2441">
        <v>0</v>
      </c>
      <c r="AU2441" s="6">
        <v>42184</v>
      </c>
      <c r="AV2441" s="6">
        <v>42184</v>
      </c>
      <c r="AW2441" t="s">
        <v>54</v>
      </c>
      <c r="AX2441" t="str">
        <f t="shared" si="202"/>
        <v>FOR</v>
      </c>
      <c r="AY2441" t="s">
        <v>55</v>
      </c>
    </row>
    <row r="2442" spans="1:51" hidden="1">
      <c r="A2442">
        <v>100700</v>
      </c>
      <c r="B2442" t="s">
        <v>231</v>
      </c>
      <c r="C2442" t="str">
        <f t="shared" si="200"/>
        <v>00766740625</v>
      </c>
      <c r="D2442" t="str">
        <f t="shared" si="201"/>
        <v>STFGPP58D22A783F</v>
      </c>
      <c r="E2442" t="s">
        <v>52</v>
      </c>
      <c r="F2442">
        <v>2014</v>
      </c>
      <c r="G2442">
        <v>393</v>
      </c>
      <c r="H2442" s="1">
        <v>41880</v>
      </c>
      <c r="I2442" s="1">
        <v>41886</v>
      </c>
      <c r="J2442" s="1">
        <v>41886</v>
      </c>
      <c r="K2442" s="1">
        <v>41976</v>
      </c>
      <c r="N2442" s="5"/>
      <c r="O2442">
        <v>297.64999999999998</v>
      </c>
      <c r="P2442">
        <v>208</v>
      </c>
      <c r="Q2442" s="2">
        <v>61911.199999999997</v>
      </c>
      <c r="R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 s="1">
        <v>42382</v>
      </c>
      <c r="AC2442" t="s">
        <v>53</v>
      </c>
      <c r="AD2442" t="s">
        <v>53</v>
      </c>
      <c r="AK2442">
        <v>0</v>
      </c>
      <c r="AU2442" s="6">
        <v>42184</v>
      </c>
      <c r="AV2442" s="6">
        <v>42184</v>
      </c>
      <c r="AW2442" t="s">
        <v>54</v>
      </c>
      <c r="AX2442" t="str">
        <f t="shared" si="202"/>
        <v>FOR</v>
      </c>
      <c r="AY2442" t="s">
        <v>55</v>
      </c>
    </row>
    <row r="2443" spans="1:51" hidden="1">
      <c r="A2443">
        <v>100700</v>
      </c>
      <c r="B2443" t="s">
        <v>231</v>
      </c>
      <c r="C2443" t="str">
        <f t="shared" si="200"/>
        <v>00766740625</v>
      </c>
      <c r="D2443" t="str">
        <f t="shared" si="201"/>
        <v>STFGPP58D22A783F</v>
      </c>
      <c r="E2443" t="s">
        <v>52</v>
      </c>
      <c r="F2443">
        <v>2014</v>
      </c>
      <c r="G2443">
        <v>407</v>
      </c>
      <c r="H2443" s="1">
        <v>41900</v>
      </c>
      <c r="I2443" s="1">
        <v>41901</v>
      </c>
      <c r="J2443" s="1">
        <v>41901</v>
      </c>
      <c r="K2443" s="1">
        <v>41991</v>
      </c>
      <c r="N2443" s="5"/>
      <c r="O2443">
        <v>36.6</v>
      </c>
      <c r="P2443">
        <v>258</v>
      </c>
      <c r="Q2443" s="2">
        <v>9442.7999999999993</v>
      </c>
      <c r="R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 s="1">
        <v>42382</v>
      </c>
      <c r="AC2443" t="s">
        <v>53</v>
      </c>
      <c r="AD2443" t="s">
        <v>53</v>
      </c>
      <c r="AK2443">
        <v>0</v>
      </c>
      <c r="AU2443" s="6">
        <v>42249</v>
      </c>
      <c r="AV2443" s="6">
        <v>42249</v>
      </c>
      <c r="AW2443" t="s">
        <v>54</v>
      </c>
      <c r="AX2443" t="str">
        <f t="shared" si="202"/>
        <v>FOR</v>
      </c>
      <c r="AY2443" t="s">
        <v>55</v>
      </c>
    </row>
    <row r="2444" spans="1:51" hidden="1">
      <c r="A2444">
        <v>100700</v>
      </c>
      <c r="B2444" t="s">
        <v>231</v>
      </c>
      <c r="C2444" t="str">
        <f t="shared" si="200"/>
        <v>00766740625</v>
      </c>
      <c r="D2444" t="str">
        <f t="shared" si="201"/>
        <v>STFGPP58D22A783F</v>
      </c>
      <c r="E2444" t="s">
        <v>52</v>
      </c>
      <c r="F2444">
        <v>2014</v>
      </c>
      <c r="G2444">
        <v>424</v>
      </c>
      <c r="H2444" s="1">
        <v>41911</v>
      </c>
      <c r="I2444" s="1">
        <v>41920</v>
      </c>
      <c r="J2444" s="1">
        <v>41920</v>
      </c>
      <c r="K2444" s="1">
        <v>42010</v>
      </c>
      <c r="N2444" s="5"/>
      <c r="O2444">
        <v>116.48</v>
      </c>
      <c r="P2444">
        <v>239</v>
      </c>
      <c r="Q2444" s="2">
        <v>27838.720000000001</v>
      </c>
      <c r="R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 s="1">
        <v>42382</v>
      </c>
      <c r="AC2444" t="s">
        <v>53</v>
      </c>
      <c r="AD2444" t="s">
        <v>53</v>
      </c>
      <c r="AK2444">
        <v>0</v>
      </c>
      <c r="AU2444" s="6">
        <v>42249</v>
      </c>
      <c r="AV2444" s="6">
        <v>42249</v>
      </c>
      <c r="AW2444" t="s">
        <v>54</v>
      </c>
      <c r="AX2444" t="str">
        <f t="shared" si="202"/>
        <v>FOR</v>
      </c>
      <c r="AY2444" t="s">
        <v>55</v>
      </c>
    </row>
    <row r="2445" spans="1:51" hidden="1">
      <c r="A2445">
        <v>100700</v>
      </c>
      <c r="B2445" t="s">
        <v>231</v>
      </c>
      <c r="C2445" t="str">
        <f t="shared" si="200"/>
        <v>00766740625</v>
      </c>
      <c r="D2445" t="str">
        <f t="shared" si="201"/>
        <v>STFGPP58D22A783F</v>
      </c>
      <c r="E2445" t="s">
        <v>52</v>
      </c>
      <c r="F2445">
        <v>2014</v>
      </c>
      <c r="G2445">
        <v>425</v>
      </c>
      <c r="H2445" s="1">
        <v>41912</v>
      </c>
      <c r="I2445" s="1">
        <v>41920</v>
      </c>
      <c r="J2445" s="1">
        <v>41920</v>
      </c>
      <c r="K2445" s="1">
        <v>42010</v>
      </c>
      <c r="N2445" s="5"/>
      <c r="O2445">
        <v>422.82</v>
      </c>
      <c r="P2445">
        <v>239</v>
      </c>
      <c r="Q2445" s="2">
        <v>101053.98</v>
      </c>
      <c r="R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 s="1">
        <v>42382</v>
      </c>
      <c r="AC2445" t="s">
        <v>53</v>
      </c>
      <c r="AD2445" t="s">
        <v>53</v>
      </c>
      <c r="AK2445">
        <v>0</v>
      </c>
      <c r="AU2445" s="6">
        <v>42249</v>
      </c>
      <c r="AV2445" s="6">
        <v>42249</v>
      </c>
      <c r="AW2445" t="s">
        <v>54</v>
      </c>
      <c r="AX2445" t="str">
        <f t="shared" si="202"/>
        <v>FOR</v>
      </c>
      <c r="AY2445" t="s">
        <v>55</v>
      </c>
    </row>
    <row r="2446" spans="1:51" hidden="1">
      <c r="A2446">
        <v>100700</v>
      </c>
      <c r="B2446" t="s">
        <v>231</v>
      </c>
      <c r="C2446" t="str">
        <f t="shared" ref="C2446:C2478" si="203">"00766740625"</f>
        <v>00766740625</v>
      </c>
      <c r="D2446" t="str">
        <f t="shared" ref="D2446:D2478" si="204">"STFGPP58D22A783F"</f>
        <v>STFGPP58D22A783F</v>
      </c>
      <c r="E2446" t="s">
        <v>52</v>
      </c>
      <c r="F2446">
        <v>2014</v>
      </c>
      <c r="G2446">
        <v>426</v>
      </c>
      <c r="H2446" s="1">
        <v>41912</v>
      </c>
      <c r="I2446" s="1">
        <v>41920</v>
      </c>
      <c r="J2446" s="1">
        <v>41920</v>
      </c>
      <c r="K2446" s="1">
        <v>42010</v>
      </c>
      <c r="N2446" s="5"/>
      <c r="O2446">
        <v>43.92</v>
      </c>
      <c r="P2446">
        <v>239</v>
      </c>
      <c r="Q2446" s="2">
        <v>10496.88</v>
      </c>
      <c r="R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 s="1">
        <v>42382</v>
      </c>
      <c r="AC2446" t="s">
        <v>53</v>
      </c>
      <c r="AD2446" t="s">
        <v>53</v>
      </c>
      <c r="AK2446">
        <v>0</v>
      </c>
      <c r="AU2446" s="6">
        <v>42249</v>
      </c>
      <c r="AV2446" s="6">
        <v>42249</v>
      </c>
      <c r="AW2446" t="s">
        <v>54</v>
      </c>
      <c r="AX2446" t="str">
        <f t="shared" si="202"/>
        <v>FOR</v>
      </c>
      <c r="AY2446" t="s">
        <v>55</v>
      </c>
    </row>
    <row r="2447" spans="1:51" hidden="1">
      <c r="A2447">
        <v>100700</v>
      </c>
      <c r="B2447" t="s">
        <v>231</v>
      </c>
      <c r="C2447" t="str">
        <f t="shared" si="203"/>
        <v>00766740625</v>
      </c>
      <c r="D2447" t="str">
        <f t="shared" si="204"/>
        <v>STFGPP58D22A783F</v>
      </c>
      <c r="E2447" t="s">
        <v>52</v>
      </c>
      <c r="F2447">
        <v>2014</v>
      </c>
      <c r="G2447">
        <v>427</v>
      </c>
      <c r="H2447" s="1">
        <v>41912</v>
      </c>
      <c r="I2447" s="1">
        <v>41920</v>
      </c>
      <c r="J2447" s="1">
        <v>41920</v>
      </c>
      <c r="K2447" s="1">
        <v>42010</v>
      </c>
      <c r="N2447" s="5"/>
      <c r="O2447">
        <v>348.48</v>
      </c>
      <c r="P2447">
        <v>239</v>
      </c>
      <c r="Q2447" s="2">
        <v>83286.720000000001</v>
      </c>
      <c r="R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 s="1">
        <v>42382</v>
      </c>
      <c r="AC2447" t="s">
        <v>53</v>
      </c>
      <c r="AD2447" t="s">
        <v>53</v>
      </c>
      <c r="AK2447">
        <v>0</v>
      </c>
      <c r="AU2447" s="6">
        <v>42249</v>
      </c>
      <c r="AV2447" s="6">
        <v>42249</v>
      </c>
      <c r="AW2447" t="s">
        <v>54</v>
      </c>
      <c r="AX2447" t="str">
        <f t="shared" si="202"/>
        <v>FOR</v>
      </c>
      <c r="AY2447" t="s">
        <v>55</v>
      </c>
    </row>
    <row r="2448" spans="1:51" hidden="1">
      <c r="A2448">
        <v>100700</v>
      </c>
      <c r="B2448" t="s">
        <v>231</v>
      </c>
      <c r="C2448" t="str">
        <f t="shared" si="203"/>
        <v>00766740625</v>
      </c>
      <c r="D2448" t="str">
        <f t="shared" si="204"/>
        <v>STFGPP58D22A783F</v>
      </c>
      <c r="E2448" t="s">
        <v>52</v>
      </c>
      <c r="F2448">
        <v>2014</v>
      </c>
      <c r="G2448">
        <v>428</v>
      </c>
      <c r="H2448" s="1">
        <v>41912</v>
      </c>
      <c r="I2448" s="1">
        <v>41920</v>
      </c>
      <c r="J2448" s="1">
        <v>41920</v>
      </c>
      <c r="K2448" s="1">
        <v>42010</v>
      </c>
      <c r="N2448" s="5"/>
      <c r="O2448">
        <v>198.43</v>
      </c>
      <c r="P2448">
        <v>239</v>
      </c>
      <c r="Q2448" s="2">
        <v>47424.77</v>
      </c>
      <c r="R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 s="1">
        <v>42382</v>
      </c>
      <c r="AC2448" t="s">
        <v>53</v>
      </c>
      <c r="AD2448" t="s">
        <v>53</v>
      </c>
      <c r="AK2448">
        <v>0</v>
      </c>
      <c r="AU2448" s="6">
        <v>42249</v>
      </c>
      <c r="AV2448" s="6">
        <v>42249</v>
      </c>
      <c r="AW2448" t="s">
        <v>54</v>
      </c>
      <c r="AX2448" t="str">
        <f t="shared" si="202"/>
        <v>FOR</v>
      </c>
      <c r="AY2448" t="s">
        <v>55</v>
      </c>
    </row>
    <row r="2449" spans="1:51">
      <c r="A2449">
        <v>100700</v>
      </c>
      <c r="B2449" t="s">
        <v>231</v>
      </c>
      <c r="C2449" t="str">
        <f t="shared" si="203"/>
        <v>00766740625</v>
      </c>
      <c r="D2449" t="str">
        <f t="shared" si="204"/>
        <v>STFGPP58D22A783F</v>
      </c>
      <c r="E2449" t="s">
        <v>52</v>
      </c>
      <c r="F2449">
        <v>2014</v>
      </c>
      <c r="G2449">
        <v>446</v>
      </c>
      <c r="H2449" s="1">
        <v>41922</v>
      </c>
      <c r="I2449" s="1">
        <v>41932</v>
      </c>
      <c r="J2449" s="1">
        <v>41932</v>
      </c>
      <c r="K2449" s="1">
        <v>41992</v>
      </c>
      <c r="L2449" s="7">
        <v>317.2</v>
      </c>
      <c r="M2449" s="5">
        <v>291</v>
      </c>
      <c r="N2449" s="7">
        <v>92305.2</v>
      </c>
      <c r="O2449">
        <v>317.2</v>
      </c>
      <c r="P2449">
        <v>291</v>
      </c>
      <c r="Q2449" s="2">
        <v>92305.2</v>
      </c>
      <c r="R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 s="1">
        <v>42382</v>
      </c>
      <c r="AC2449" t="s">
        <v>53</v>
      </c>
      <c r="AD2449" t="s">
        <v>53</v>
      </c>
      <c r="AK2449">
        <v>0</v>
      </c>
      <c r="AU2449" s="6">
        <v>42283</v>
      </c>
      <c r="AV2449" s="6">
        <v>42283</v>
      </c>
      <c r="AW2449" t="s">
        <v>54</v>
      </c>
      <c r="AX2449" t="str">
        <f t="shared" si="202"/>
        <v>FOR</v>
      </c>
      <c r="AY2449" t="s">
        <v>55</v>
      </c>
    </row>
    <row r="2450" spans="1:51">
      <c r="A2450">
        <v>100700</v>
      </c>
      <c r="B2450" t="s">
        <v>231</v>
      </c>
      <c r="C2450" t="str">
        <f t="shared" si="203"/>
        <v>00766740625</v>
      </c>
      <c r="D2450" t="str">
        <f t="shared" si="204"/>
        <v>STFGPP58D22A783F</v>
      </c>
      <c r="E2450" t="s">
        <v>52</v>
      </c>
      <c r="F2450">
        <v>2014</v>
      </c>
      <c r="G2450">
        <v>453</v>
      </c>
      <c r="H2450" s="1">
        <v>41925</v>
      </c>
      <c r="I2450" s="1">
        <v>41928</v>
      </c>
      <c r="J2450" s="1">
        <v>41928</v>
      </c>
      <c r="K2450" s="1">
        <v>41988</v>
      </c>
      <c r="L2450" s="7">
        <v>36.6</v>
      </c>
      <c r="M2450" s="5">
        <v>295</v>
      </c>
      <c r="N2450" s="7">
        <v>10797</v>
      </c>
      <c r="O2450">
        <v>36.6</v>
      </c>
      <c r="P2450">
        <v>295</v>
      </c>
      <c r="Q2450" s="2">
        <v>10797</v>
      </c>
      <c r="R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 s="1">
        <v>42382</v>
      </c>
      <c r="AC2450" t="s">
        <v>53</v>
      </c>
      <c r="AD2450" t="s">
        <v>53</v>
      </c>
      <c r="AK2450">
        <v>0</v>
      </c>
      <c r="AU2450" s="6">
        <v>42283</v>
      </c>
      <c r="AV2450" s="6">
        <v>42283</v>
      </c>
      <c r="AW2450" t="s">
        <v>54</v>
      </c>
      <c r="AX2450" t="str">
        <f t="shared" si="202"/>
        <v>FOR</v>
      </c>
      <c r="AY2450" t="s">
        <v>55</v>
      </c>
    </row>
    <row r="2451" spans="1:51">
      <c r="A2451">
        <v>100700</v>
      </c>
      <c r="B2451" t="s">
        <v>231</v>
      </c>
      <c r="C2451" t="str">
        <f t="shared" si="203"/>
        <v>00766740625</v>
      </c>
      <c r="D2451" t="str">
        <f t="shared" si="204"/>
        <v>STFGPP58D22A783F</v>
      </c>
      <c r="E2451" t="s">
        <v>52</v>
      </c>
      <c r="F2451">
        <v>2014</v>
      </c>
      <c r="G2451">
        <v>463</v>
      </c>
      <c r="H2451" s="1">
        <v>41932</v>
      </c>
      <c r="I2451" s="1">
        <v>41932</v>
      </c>
      <c r="J2451" s="1">
        <v>41932</v>
      </c>
      <c r="K2451" s="1">
        <v>41992</v>
      </c>
      <c r="L2451" s="7">
        <v>442.04</v>
      </c>
      <c r="M2451" s="5">
        <v>291</v>
      </c>
      <c r="N2451" s="7">
        <v>128633.64</v>
      </c>
      <c r="O2451">
        <v>442.04</v>
      </c>
      <c r="P2451">
        <v>291</v>
      </c>
      <c r="Q2451" s="2">
        <v>128633.64</v>
      </c>
      <c r="R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 s="1">
        <v>42382</v>
      </c>
      <c r="AC2451" t="s">
        <v>53</v>
      </c>
      <c r="AD2451" t="s">
        <v>53</v>
      </c>
      <c r="AK2451">
        <v>0</v>
      </c>
      <c r="AU2451" s="6">
        <v>42283</v>
      </c>
      <c r="AV2451" s="6">
        <v>42283</v>
      </c>
      <c r="AW2451" t="s">
        <v>54</v>
      </c>
      <c r="AX2451" t="str">
        <f t="shared" si="202"/>
        <v>FOR</v>
      </c>
      <c r="AY2451" t="s">
        <v>55</v>
      </c>
    </row>
    <row r="2452" spans="1:51">
      <c r="A2452">
        <v>100700</v>
      </c>
      <c r="B2452" t="s">
        <v>231</v>
      </c>
      <c r="C2452" t="str">
        <f t="shared" si="203"/>
        <v>00766740625</v>
      </c>
      <c r="D2452" t="str">
        <f t="shared" si="204"/>
        <v>STFGPP58D22A783F</v>
      </c>
      <c r="E2452" t="s">
        <v>52</v>
      </c>
      <c r="F2452">
        <v>2014</v>
      </c>
      <c r="G2452">
        <v>464</v>
      </c>
      <c r="H2452" s="1">
        <v>41932</v>
      </c>
      <c r="I2452" s="1">
        <v>41932</v>
      </c>
      <c r="J2452" s="1">
        <v>41932</v>
      </c>
      <c r="K2452" s="1">
        <v>41992</v>
      </c>
      <c r="L2452" s="7">
        <v>65.88</v>
      </c>
      <c r="M2452" s="5">
        <v>291</v>
      </c>
      <c r="N2452" s="7">
        <v>19171.080000000002</v>
      </c>
      <c r="O2452">
        <v>65.88</v>
      </c>
      <c r="P2452">
        <v>291</v>
      </c>
      <c r="Q2452" s="2">
        <v>19171.080000000002</v>
      </c>
      <c r="R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 s="1">
        <v>42382</v>
      </c>
      <c r="AC2452" t="s">
        <v>53</v>
      </c>
      <c r="AD2452" t="s">
        <v>53</v>
      </c>
      <c r="AK2452">
        <v>0</v>
      </c>
      <c r="AU2452" s="6">
        <v>42283</v>
      </c>
      <c r="AV2452" s="6">
        <v>42283</v>
      </c>
      <c r="AW2452" t="s">
        <v>54</v>
      </c>
      <c r="AX2452" t="str">
        <f t="shared" si="202"/>
        <v>FOR</v>
      </c>
      <c r="AY2452" t="s">
        <v>55</v>
      </c>
    </row>
    <row r="2453" spans="1:51">
      <c r="A2453">
        <v>100700</v>
      </c>
      <c r="B2453" t="s">
        <v>231</v>
      </c>
      <c r="C2453" t="str">
        <f t="shared" si="203"/>
        <v>00766740625</v>
      </c>
      <c r="D2453" t="str">
        <f t="shared" si="204"/>
        <v>STFGPP58D22A783F</v>
      </c>
      <c r="E2453" t="s">
        <v>52</v>
      </c>
      <c r="F2453">
        <v>2014</v>
      </c>
      <c r="G2453">
        <v>482</v>
      </c>
      <c r="H2453" s="1">
        <v>41942</v>
      </c>
      <c r="I2453" s="1">
        <v>41946</v>
      </c>
      <c r="J2453" s="1">
        <v>41946</v>
      </c>
      <c r="K2453" s="1">
        <v>42006</v>
      </c>
      <c r="L2453" s="7">
        <v>396.86</v>
      </c>
      <c r="M2453" s="5">
        <v>277</v>
      </c>
      <c r="N2453" s="7">
        <v>109930.22</v>
      </c>
      <c r="O2453">
        <v>396.86</v>
      </c>
      <c r="P2453">
        <v>277</v>
      </c>
      <c r="Q2453" s="2">
        <v>109930.22</v>
      </c>
      <c r="R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 s="1">
        <v>42382</v>
      </c>
      <c r="AC2453" t="s">
        <v>53</v>
      </c>
      <c r="AD2453" t="s">
        <v>53</v>
      </c>
      <c r="AK2453">
        <v>0</v>
      </c>
      <c r="AU2453" s="6">
        <v>42283</v>
      </c>
      <c r="AV2453" s="6">
        <v>42283</v>
      </c>
      <c r="AW2453" t="s">
        <v>54</v>
      </c>
      <c r="AX2453" t="str">
        <f t="shared" si="202"/>
        <v>FOR</v>
      </c>
      <c r="AY2453" t="s">
        <v>55</v>
      </c>
    </row>
    <row r="2454" spans="1:51">
      <c r="A2454">
        <v>100700</v>
      </c>
      <c r="B2454" t="s">
        <v>231</v>
      </c>
      <c r="C2454" t="str">
        <f t="shared" si="203"/>
        <v>00766740625</v>
      </c>
      <c r="D2454" t="str">
        <f t="shared" si="204"/>
        <v>STFGPP58D22A783F</v>
      </c>
      <c r="E2454" t="s">
        <v>52</v>
      </c>
      <c r="F2454">
        <v>2014</v>
      </c>
      <c r="G2454">
        <v>483</v>
      </c>
      <c r="H2454" s="1">
        <v>41942</v>
      </c>
      <c r="I2454" s="1">
        <v>41946</v>
      </c>
      <c r="J2454" s="1">
        <v>41946</v>
      </c>
      <c r="K2454" s="1">
        <v>42006</v>
      </c>
      <c r="L2454" s="7">
        <v>454.98</v>
      </c>
      <c r="M2454" s="5">
        <v>277</v>
      </c>
      <c r="N2454" s="7">
        <v>126029.46</v>
      </c>
      <c r="O2454">
        <v>454.98</v>
      </c>
      <c r="P2454">
        <v>277</v>
      </c>
      <c r="Q2454" s="2">
        <v>126029.46</v>
      </c>
      <c r="R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 s="1">
        <v>42382</v>
      </c>
      <c r="AC2454" t="s">
        <v>53</v>
      </c>
      <c r="AD2454" t="s">
        <v>53</v>
      </c>
      <c r="AK2454">
        <v>0</v>
      </c>
      <c r="AU2454" s="6">
        <v>42283</v>
      </c>
      <c r="AV2454" s="6">
        <v>42283</v>
      </c>
      <c r="AW2454" t="s">
        <v>54</v>
      </c>
      <c r="AX2454" t="str">
        <f t="shared" si="202"/>
        <v>FOR</v>
      </c>
      <c r="AY2454" t="s">
        <v>55</v>
      </c>
    </row>
    <row r="2455" spans="1:51">
      <c r="A2455">
        <v>100700</v>
      </c>
      <c r="B2455" t="s">
        <v>231</v>
      </c>
      <c r="C2455" t="str">
        <f t="shared" si="203"/>
        <v>00766740625</v>
      </c>
      <c r="D2455" t="str">
        <f t="shared" si="204"/>
        <v>STFGPP58D22A783F</v>
      </c>
      <c r="E2455" t="s">
        <v>52</v>
      </c>
      <c r="F2455">
        <v>2014</v>
      </c>
      <c r="G2455">
        <v>484</v>
      </c>
      <c r="H2455" s="1">
        <v>41943</v>
      </c>
      <c r="I2455" s="1">
        <v>41948</v>
      </c>
      <c r="J2455" s="1">
        <v>41948</v>
      </c>
      <c r="K2455" s="1">
        <v>42008</v>
      </c>
      <c r="L2455" s="7">
        <v>116.48</v>
      </c>
      <c r="M2455" s="5">
        <v>275</v>
      </c>
      <c r="N2455" s="7">
        <v>32032</v>
      </c>
      <c r="O2455">
        <v>116.48</v>
      </c>
      <c r="P2455">
        <v>275</v>
      </c>
      <c r="Q2455" s="2">
        <v>32032</v>
      </c>
      <c r="R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 s="1">
        <v>42382</v>
      </c>
      <c r="AC2455" t="s">
        <v>53</v>
      </c>
      <c r="AD2455" t="s">
        <v>53</v>
      </c>
      <c r="AK2455">
        <v>0</v>
      </c>
      <c r="AU2455" s="6">
        <v>42283</v>
      </c>
      <c r="AV2455" s="6">
        <v>42283</v>
      </c>
      <c r="AW2455" t="s">
        <v>54</v>
      </c>
      <c r="AX2455" t="str">
        <f t="shared" si="202"/>
        <v>FOR</v>
      </c>
      <c r="AY2455" t="s">
        <v>55</v>
      </c>
    </row>
    <row r="2456" spans="1:51">
      <c r="A2456">
        <v>100700</v>
      </c>
      <c r="B2456" t="s">
        <v>231</v>
      </c>
      <c r="C2456" t="str">
        <f t="shared" si="203"/>
        <v>00766740625</v>
      </c>
      <c r="D2456" t="str">
        <f t="shared" si="204"/>
        <v>STFGPP58D22A783F</v>
      </c>
      <c r="E2456" t="s">
        <v>52</v>
      </c>
      <c r="F2456">
        <v>2014</v>
      </c>
      <c r="G2456">
        <v>485</v>
      </c>
      <c r="H2456" s="1">
        <v>41943</v>
      </c>
      <c r="I2456" s="1">
        <v>41948</v>
      </c>
      <c r="J2456" s="1">
        <v>41948</v>
      </c>
      <c r="K2456" s="1">
        <v>42008</v>
      </c>
      <c r="L2456" s="7">
        <v>230.63</v>
      </c>
      <c r="M2456" s="5">
        <v>275</v>
      </c>
      <c r="N2456" s="7">
        <v>63423.25</v>
      </c>
      <c r="O2456">
        <v>230.63</v>
      </c>
      <c r="P2456">
        <v>275</v>
      </c>
      <c r="Q2456" s="2">
        <v>63423.25</v>
      </c>
      <c r="R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 s="1">
        <v>42382</v>
      </c>
      <c r="AC2456" t="s">
        <v>53</v>
      </c>
      <c r="AD2456" t="s">
        <v>53</v>
      </c>
      <c r="AK2456">
        <v>0</v>
      </c>
      <c r="AU2456" s="6">
        <v>42283</v>
      </c>
      <c r="AV2456" s="6">
        <v>42283</v>
      </c>
      <c r="AW2456" t="s">
        <v>54</v>
      </c>
      <c r="AX2456" t="str">
        <f t="shared" si="202"/>
        <v>FOR</v>
      </c>
      <c r="AY2456" t="s">
        <v>55</v>
      </c>
    </row>
    <row r="2457" spans="1:51">
      <c r="A2457">
        <v>100700</v>
      </c>
      <c r="B2457" t="s">
        <v>231</v>
      </c>
      <c r="C2457" t="str">
        <f t="shared" si="203"/>
        <v>00766740625</v>
      </c>
      <c r="D2457" t="str">
        <f t="shared" si="204"/>
        <v>STFGPP58D22A783F</v>
      </c>
      <c r="E2457" t="s">
        <v>52</v>
      </c>
      <c r="F2457">
        <v>2014</v>
      </c>
      <c r="G2457">
        <v>486</v>
      </c>
      <c r="H2457" s="1">
        <v>41943</v>
      </c>
      <c r="I2457" s="1">
        <v>41948</v>
      </c>
      <c r="J2457" s="1">
        <v>41948</v>
      </c>
      <c r="K2457" s="1">
        <v>42008</v>
      </c>
      <c r="L2457" s="7">
        <v>30.89</v>
      </c>
      <c r="M2457" s="5">
        <v>275</v>
      </c>
      <c r="N2457" s="7">
        <v>8494.75</v>
      </c>
      <c r="O2457">
        <v>30.89</v>
      </c>
      <c r="P2457">
        <v>275</v>
      </c>
      <c r="Q2457" s="2">
        <v>8494.75</v>
      </c>
      <c r="R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 s="1">
        <v>42382</v>
      </c>
      <c r="AC2457" t="s">
        <v>53</v>
      </c>
      <c r="AD2457" t="s">
        <v>53</v>
      </c>
      <c r="AK2457">
        <v>0</v>
      </c>
      <c r="AU2457" s="6">
        <v>42283</v>
      </c>
      <c r="AV2457" s="6">
        <v>42283</v>
      </c>
      <c r="AW2457" t="s">
        <v>54</v>
      </c>
      <c r="AX2457" t="str">
        <f t="shared" si="202"/>
        <v>FOR</v>
      </c>
      <c r="AY2457" t="s">
        <v>55</v>
      </c>
    </row>
    <row r="2458" spans="1:51">
      <c r="A2458">
        <v>100700</v>
      </c>
      <c r="B2458" t="s">
        <v>231</v>
      </c>
      <c r="C2458" t="str">
        <f t="shared" si="203"/>
        <v>00766740625</v>
      </c>
      <c r="D2458" t="str">
        <f t="shared" si="204"/>
        <v>STFGPP58D22A783F</v>
      </c>
      <c r="E2458" t="s">
        <v>52</v>
      </c>
      <c r="F2458">
        <v>2014</v>
      </c>
      <c r="G2458">
        <v>521</v>
      </c>
      <c r="H2458" s="1">
        <v>41964</v>
      </c>
      <c r="I2458" s="1">
        <v>41967</v>
      </c>
      <c r="J2458" s="1">
        <v>41967</v>
      </c>
      <c r="K2458" s="1">
        <v>42027</v>
      </c>
      <c r="L2458" s="7">
        <v>20.59</v>
      </c>
      <c r="M2458" s="5">
        <v>278</v>
      </c>
      <c r="N2458" s="7">
        <v>5724.02</v>
      </c>
      <c r="O2458">
        <v>20.59</v>
      </c>
      <c r="P2458">
        <v>278</v>
      </c>
      <c r="Q2458" s="2">
        <v>5724.02</v>
      </c>
      <c r="R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 s="1">
        <v>42382</v>
      </c>
      <c r="AC2458" t="s">
        <v>53</v>
      </c>
      <c r="AD2458" t="s">
        <v>53</v>
      </c>
      <c r="AK2458">
        <v>0</v>
      </c>
      <c r="AU2458" s="6">
        <v>42305</v>
      </c>
      <c r="AV2458" s="6">
        <v>42305</v>
      </c>
      <c r="AW2458" t="s">
        <v>54</v>
      </c>
      <c r="AX2458" t="str">
        <f t="shared" si="202"/>
        <v>FOR</v>
      </c>
      <c r="AY2458" t="s">
        <v>55</v>
      </c>
    </row>
    <row r="2459" spans="1:51">
      <c r="A2459">
        <v>100700</v>
      </c>
      <c r="B2459" t="s">
        <v>231</v>
      </c>
      <c r="C2459" t="str">
        <f t="shared" si="203"/>
        <v>00766740625</v>
      </c>
      <c r="D2459" t="str">
        <f t="shared" si="204"/>
        <v>STFGPP58D22A783F</v>
      </c>
      <c r="E2459" t="s">
        <v>52</v>
      </c>
      <c r="F2459">
        <v>2014</v>
      </c>
      <c r="G2459">
        <v>522</v>
      </c>
      <c r="H2459" s="1">
        <v>41964</v>
      </c>
      <c r="I2459" s="1">
        <v>41967</v>
      </c>
      <c r="J2459" s="1">
        <v>41967</v>
      </c>
      <c r="K2459" s="1">
        <v>42027</v>
      </c>
      <c r="L2459" s="7">
        <v>42.9</v>
      </c>
      <c r="M2459" s="5">
        <v>278</v>
      </c>
      <c r="N2459" s="7">
        <v>11926.2</v>
      </c>
      <c r="O2459">
        <v>42.9</v>
      </c>
      <c r="P2459">
        <v>278</v>
      </c>
      <c r="Q2459" s="2">
        <v>11926.2</v>
      </c>
      <c r="R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 s="1">
        <v>42382</v>
      </c>
      <c r="AC2459" t="s">
        <v>53</v>
      </c>
      <c r="AD2459" t="s">
        <v>53</v>
      </c>
      <c r="AK2459">
        <v>0</v>
      </c>
      <c r="AU2459" s="6">
        <v>42305</v>
      </c>
      <c r="AV2459" s="6">
        <v>42305</v>
      </c>
      <c r="AW2459" t="s">
        <v>54</v>
      </c>
      <c r="AX2459" t="str">
        <f t="shared" si="202"/>
        <v>FOR</v>
      </c>
      <c r="AY2459" t="s">
        <v>55</v>
      </c>
    </row>
    <row r="2460" spans="1:51">
      <c r="A2460">
        <v>100700</v>
      </c>
      <c r="B2460" t="s">
        <v>231</v>
      </c>
      <c r="C2460" t="str">
        <f t="shared" si="203"/>
        <v>00766740625</v>
      </c>
      <c r="D2460" t="str">
        <f t="shared" si="204"/>
        <v>STFGPP58D22A783F</v>
      </c>
      <c r="E2460" t="s">
        <v>52</v>
      </c>
      <c r="F2460">
        <v>2014</v>
      </c>
      <c r="G2460">
        <v>529</v>
      </c>
      <c r="H2460" s="1">
        <v>41971</v>
      </c>
      <c r="I2460" s="1">
        <v>41976</v>
      </c>
      <c r="J2460" s="1">
        <v>41976</v>
      </c>
      <c r="K2460" s="1">
        <v>42036</v>
      </c>
      <c r="L2460" s="7">
        <v>74.66</v>
      </c>
      <c r="M2460" s="5">
        <v>269</v>
      </c>
      <c r="N2460" s="7">
        <v>20083.54</v>
      </c>
      <c r="O2460">
        <v>74.66</v>
      </c>
      <c r="P2460">
        <v>269</v>
      </c>
      <c r="Q2460" s="2">
        <v>20083.54</v>
      </c>
      <c r="R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 s="1">
        <v>42382</v>
      </c>
      <c r="AC2460" t="s">
        <v>53</v>
      </c>
      <c r="AD2460" t="s">
        <v>53</v>
      </c>
      <c r="AK2460">
        <v>0</v>
      </c>
      <c r="AU2460" s="6">
        <v>42305</v>
      </c>
      <c r="AV2460" s="6">
        <v>42305</v>
      </c>
      <c r="AW2460" t="s">
        <v>54</v>
      </c>
      <c r="AX2460" t="str">
        <f t="shared" si="202"/>
        <v>FOR</v>
      </c>
      <c r="AY2460" t="s">
        <v>55</v>
      </c>
    </row>
    <row r="2461" spans="1:51">
      <c r="A2461">
        <v>100700</v>
      </c>
      <c r="B2461" t="s">
        <v>231</v>
      </c>
      <c r="C2461" t="str">
        <f t="shared" si="203"/>
        <v>00766740625</v>
      </c>
      <c r="D2461" t="str">
        <f t="shared" si="204"/>
        <v>STFGPP58D22A783F</v>
      </c>
      <c r="E2461" t="s">
        <v>52</v>
      </c>
      <c r="F2461">
        <v>2014</v>
      </c>
      <c r="G2461">
        <v>530</v>
      </c>
      <c r="H2461" s="1">
        <v>41971</v>
      </c>
      <c r="I2461" s="1">
        <v>41976</v>
      </c>
      <c r="J2461" s="1">
        <v>41976</v>
      </c>
      <c r="K2461" s="1">
        <v>42036</v>
      </c>
      <c r="L2461" s="7">
        <v>93.18</v>
      </c>
      <c r="M2461" s="5">
        <v>269</v>
      </c>
      <c r="N2461" s="7">
        <v>25065.42</v>
      </c>
      <c r="O2461">
        <v>93.18</v>
      </c>
      <c r="P2461">
        <v>269</v>
      </c>
      <c r="Q2461" s="2">
        <v>25065.42</v>
      </c>
      <c r="R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 s="1">
        <v>42382</v>
      </c>
      <c r="AC2461" t="s">
        <v>53</v>
      </c>
      <c r="AD2461" t="s">
        <v>53</v>
      </c>
      <c r="AK2461">
        <v>0</v>
      </c>
      <c r="AU2461" s="6">
        <v>42305</v>
      </c>
      <c r="AV2461" s="6">
        <v>42305</v>
      </c>
      <c r="AW2461" t="s">
        <v>54</v>
      </c>
      <c r="AX2461" t="str">
        <f t="shared" si="202"/>
        <v>FOR</v>
      </c>
      <c r="AY2461" t="s">
        <v>55</v>
      </c>
    </row>
    <row r="2462" spans="1:51">
      <c r="A2462">
        <v>100700</v>
      </c>
      <c r="B2462" t="s">
        <v>231</v>
      </c>
      <c r="C2462" t="str">
        <f t="shared" si="203"/>
        <v>00766740625</v>
      </c>
      <c r="D2462" t="str">
        <f t="shared" si="204"/>
        <v>STFGPP58D22A783F</v>
      </c>
      <c r="E2462" t="s">
        <v>52</v>
      </c>
      <c r="F2462">
        <v>2014</v>
      </c>
      <c r="G2462">
        <v>533</v>
      </c>
      <c r="H2462" s="1">
        <v>41971</v>
      </c>
      <c r="I2462" s="1">
        <v>41976</v>
      </c>
      <c r="J2462" s="1">
        <v>41976</v>
      </c>
      <c r="K2462" s="1">
        <v>42036</v>
      </c>
      <c r="L2462" s="7">
        <v>508.27</v>
      </c>
      <c r="M2462" s="5">
        <v>269</v>
      </c>
      <c r="N2462" s="7">
        <v>136724.63</v>
      </c>
      <c r="O2462">
        <v>508.27</v>
      </c>
      <c r="P2462">
        <v>269</v>
      </c>
      <c r="Q2462" s="2">
        <v>136724.63</v>
      </c>
      <c r="R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 s="1">
        <v>42382</v>
      </c>
      <c r="AC2462" t="s">
        <v>53</v>
      </c>
      <c r="AD2462" t="s">
        <v>53</v>
      </c>
      <c r="AK2462">
        <v>0</v>
      </c>
      <c r="AU2462" s="6">
        <v>42305</v>
      </c>
      <c r="AV2462" s="6">
        <v>42305</v>
      </c>
      <c r="AW2462" t="s">
        <v>54</v>
      </c>
      <c r="AX2462" t="str">
        <f t="shared" si="202"/>
        <v>FOR</v>
      </c>
      <c r="AY2462" t="s">
        <v>55</v>
      </c>
    </row>
    <row r="2463" spans="1:51">
      <c r="A2463">
        <v>100700</v>
      </c>
      <c r="B2463" t="s">
        <v>231</v>
      </c>
      <c r="C2463" t="str">
        <f t="shared" si="203"/>
        <v>00766740625</v>
      </c>
      <c r="D2463" t="str">
        <f t="shared" si="204"/>
        <v>STFGPP58D22A783F</v>
      </c>
      <c r="E2463" t="s">
        <v>52</v>
      </c>
      <c r="F2463">
        <v>2014</v>
      </c>
      <c r="G2463">
        <v>534</v>
      </c>
      <c r="H2463" s="1">
        <v>41971</v>
      </c>
      <c r="I2463" s="1">
        <v>41976</v>
      </c>
      <c r="J2463" s="1">
        <v>41976</v>
      </c>
      <c r="K2463" s="1">
        <v>42036</v>
      </c>
      <c r="L2463" s="7">
        <v>297.64999999999998</v>
      </c>
      <c r="M2463" s="5">
        <v>269</v>
      </c>
      <c r="N2463" s="7">
        <v>80067.850000000006</v>
      </c>
      <c r="O2463">
        <v>297.64999999999998</v>
      </c>
      <c r="P2463">
        <v>269</v>
      </c>
      <c r="Q2463" s="2">
        <v>80067.850000000006</v>
      </c>
      <c r="R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 s="1">
        <v>42382</v>
      </c>
      <c r="AC2463" t="s">
        <v>53</v>
      </c>
      <c r="AD2463" t="s">
        <v>53</v>
      </c>
      <c r="AK2463">
        <v>0</v>
      </c>
      <c r="AU2463" s="6">
        <v>42305</v>
      </c>
      <c r="AV2463" s="6">
        <v>42305</v>
      </c>
      <c r="AW2463" t="s">
        <v>54</v>
      </c>
      <c r="AX2463" t="str">
        <f t="shared" si="202"/>
        <v>FOR</v>
      </c>
      <c r="AY2463" t="s">
        <v>55</v>
      </c>
    </row>
    <row r="2464" spans="1:51">
      <c r="A2464">
        <v>100700</v>
      </c>
      <c r="B2464" t="s">
        <v>231</v>
      </c>
      <c r="C2464" t="str">
        <f t="shared" si="203"/>
        <v>00766740625</v>
      </c>
      <c r="D2464" t="str">
        <f t="shared" si="204"/>
        <v>STFGPP58D22A783F</v>
      </c>
      <c r="E2464" t="s">
        <v>52</v>
      </c>
      <c r="F2464">
        <v>2014</v>
      </c>
      <c r="G2464">
        <v>535</v>
      </c>
      <c r="H2464" s="1">
        <v>41971</v>
      </c>
      <c r="I2464" s="1">
        <v>41976</v>
      </c>
      <c r="J2464" s="1">
        <v>41976</v>
      </c>
      <c r="K2464" s="1">
        <v>42036</v>
      </c>
      <c r="L2464" s="7">
        <v>557.36</v>
      </c>
      <c r="M2464" s="5">
        <v>269</v>
      </c>
      <c r="N2464" s="7">
        <v>149929.84</v>
      </c>
      <c r="O2464">
        <v>557.36</v>
      </c>
      <c r="P2464">
        <v>269</v>
      </c>
      <c r="Q2464" s="2">
        <v>149929.84</v>
      </c>
      <c r="R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 s="1">
        <v>42382</v>
      </c>
      <c r="AC2464" t="s">
        <v>53</v>
      </c>
      <c r="AD2464" t="s">
        <v>53</v>
      </c>
      <c r="AK2464">
        <v>0</v>
      </c>
      <c r="AU2464" s="6">
        <v>42305</v>
      </c>
      <c r="AV2464" s="6">
        <v>42305</v>
      </c>
      <c r="AW2464" t="s">
        <v>54</v>
      </c>
      <c r="AX2464" t="str">
        <f t="shared" si="202"/>
        <v>FOR</v>
      </c>
      <c r="AY2464" t="s">
        <v>55</v>
      </c>
    </row>
    <row r="2465" spans="1:51">
      <c r="A2465">
        <v>100700</v>
      </c>
      <c r="B2465" t="s">
        <v>231</v>
      </c>
      <c r="C2465" t="str">
        <f t="shared" si="203"/>
        <v>00766740625</v>
      </c>
      <c r="D2465" t="str">
        <f t="shared" si="204"/>
        <v>STFGPP58D22A783F</v>
      </c>
      <c r="E2465" t="s">
        <v>52</v>
      </c>
      <c r="F2465">
        <v>2014</v>
      </c>
      <c r="G2465">
        <v>560</v>
      </c>
      <c r="H2465" s="1">
        <v>41985</v>
      </c>
      <c r="I2465" s="1">
        <v>41988</v>
      </c>
      <c r="J2465" s="1">
        <v>41988</v>
      </c>
      <c r="K2465" s="1">
        <v>42048</v>
      </c>
      <c r="L2465" s="7">
        <v>172.97</v>
      </c>
      <c r="M2465" s="5">
        <v>257</v>
      </c>
      <c r="N2465" s="7">
        <v>44453.29</v>
      </c>
      <c r="O2465">
        <v>172.97</v>
      </c>
      <c r="P2465">
        <v>257</v>
      </c>
      <c r="Q2465" s="2">
        <v>44453.29</v>
      </c>
      <c r="R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 s="1">
        <v>42382</v>
      </c>
      <c r="AC2465" t="s">
        <v>53</v>
      </c>
      <c r="AD2465" t="s">
        <v>53</v>
      </c>
      <c r="AK2465">
        <v>0</v>
      </c>
      <c r="AU2465" s="6">
        <v>42305</v>
      </c>
      <c r="AV2465" s="6">
        <v>42305</v>
      </c>
      <c r="AW2465" t="s">
        <v>54</v>
      </c>
      <c r="AX2465" t="str">
        <f t="shared" si="202"/>
        <v>FOR</v>
      </c>
      <c r="AY2465" t="s">
        <v>55</v>
      </c>
    </row>
    <row r="2466" spans="1:51">
      <c r="A2466">
        <v>100700</v>
      </c>
      <c r="B2466" t="s">
        <v>231</v>
      </c>
      <c r="C2466" t="str">
        <f t="shared" si="203"/>
        <v>00766740625</v>
      </c>
      <c r="D2466" t="str">
        <f t="shared" si="204"/>
        <v>STFGPP58D22A783F</v>
      </c>
      <c r="E2466" t="s">
        <v>52</v>
      </c>
      <c r="F2466">
        <v>2014</v>
      </c>
      <c r="G2466">
        <v>561</v>
      </c>
      <c r="H2466" s="1">
        <v>41985</v>
      </c>
      <c r="I2466" s="1">
        <v>41988</v>
      </c>
      <c r="J2466" s="1">
        <v>41988</v>
      </c>
      <c r="K2466" s="1">
        <v>42048</v>
      </c>
      <c r="L2466" s="7">
        <v>23.3</v>
      </c>
      <c r="M2466" s="5">
        <v>257</v>
      </c>
      <c r="N2466" s="7">
        <v>5988.1</v>
      </c>
      <c r="O2466">
        <v>23.3</v>
      </c>
      <c r="P2466">
        <v>257</v>
      </c>
      <c r="Q2466" s="2">
        <v>5988.1</v>
      </c>
      <c r="R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 s="1">
        <v>42382</v>
      </c>
      <c r="AC2466" t="s">
        <v>53</v>
      </c>
      <c r="AD2466" t="s">
        <v>53</v>
      </c>
      <c r="AK2466">
        <v>0</v>
      </c>
      <c r="AU2466" s="6">
        <v>42305</v>
      </c>
      <c r="AV2466" s="6">
        <v>42305</v>
      </c>
      <c r="AW2466" t="s">
        <v>54</v>
      </c>
      <c r="AX2466" t="str">
        <f t="shared" si="202"/>
        <v>FOR</v>
      </c>
      <c r="AY2466" t="s">
        <v>55</v>
      </c>
    </row>
    <row r="2467" spans="1:51">
      <c r="A2467">
        <v>100700</v>
      </c>
      <c r="B2467" t="s">
        <v>231</v>
      </c>
      <c r="C2467" t="str">
        <f t="shared" si="203"/>
        <v>00766740625</v>
      </c>
      <c r="D2467" t="str">
        <f t="shared" si="204"/>
        <v>STFGPP58D22A783F</v>
      </c>
      <c r="E2467" t="s">
        <v>52</v>
      </c>
      <c r="F2467">
        <v>2014</v>
      </c>
      <c r="G2467">
        <v>568</v>
      </c>
      <c r="H2467" s="1">
        <v>41990</v>
      </c>
      <c r="I2467" s="1">
        <v>41995</v>
      </c>
      <c r="J2467" s="1">
        <v>41995</v>
      </c>
      <c r="K2467" s="1">
        <v>42055</v>
      </c>
      <c r="L2467" s="7">
        <v>36.6</v>
      </c>
      <c r="M2467" s="5">
        <v>250</v>
      </c>
      <c r="N2467" s="7">
        <v>9150</v>
      </c>
      <c r="O2467">
        <v>36.6</v>
      </c>
      <c r="P2467">
        <v>250</v>
      </c>
      <c r="Q2467" s="2">
        <v>9150</v>
      </c>
      <c r="R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 s="1">
        <v>42382</v>
      </c>
      <c r="AC2467" t="s">
        <v>53</v>
      </c>
      <c r="AD2467" t="s">
        <v>53</v>
      </c>
      <c r="AK2467">
        <v>0</v>
      </c>
      <c r="AU2467" s="6">
        <v>42305</v>
      </c>
      <c r="AV2467" s="6">
        <v>42305</v>
      </c>
      <c r="AW2467" t="s">
        <v>54</v>
      </c>
      <c r="AX2467" t="str">
        <f t="shared" si="202"/>
        <v>FOR</v>
      </c>
      <c r="AY2467" t="s">
        <v>55</v>
      </c>
    </row>
    <row r="2468" spans="1:51">
      <c r="A2468">
        <v>100700</v>
      </c>
      <c r="B2468" t="s">
        <v>231</v>
      </c>
      <c r="C2468" t="str">
        <f t="shared" si="203"/>
        <v>00766740625</v>
      </c>
      <c r="D2468" t="str">
        <f t="shared" si="204"/>
        <v>STFGPP58D22A783F</v>
      </c>
      <c r="E2468" t="s">
        <v>52</v>
      </c>
      <c r="F2468">
        <v>2014</v>
      </c>
      <c r="G2468">
        <v>585</v>
      </c>
      <c r="H2468" s="1">
        <v>41997</v>
      </c>
      <c r="I2468" s="1">
        <v>42002</v>
      </c>
      <c r="J2468" s="1">
        <v>42002</v>
      </c>
      <c r="K2468" s="1">
        <v>42062</v>
      </c>
      <c r="L2468" s="7">
        <v>61</v>
      </c>
      <c r="M2468" s="5">
        <v>243</v>
      </c>
      <c r="N2468" s="7">
        <v>14823</v>
      </c>
      <c r="O2468">
        <v>61</v>
      </c>
      <c r="P2468">
        <v>243</v>
      </c>
      <c r="Q2468" s="2">
        <v>14823</v>
      </c>
      <c r="R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 s="1">
        <v>42382</v>
      </c>
      <c r="AC2468" t="s">
        <v>53</v>
      </c>
      <c r="AD2468" t="s">
        <v>53</v>
      </c>
      <c r="AK2468">
        <v>0</v>
      </c>
      <c r="AU2468" s="6">
        <v>42305</v>
      </c>
      <c r="AV2468" s="6">
        <v>42305</v>
      </c>
      <c r="AW2468" t="s">
        <v>54</v>
      </c>
      <c r="AX2468" t="str">
        <f t="shared" si="202"/>
        <v>FOR</v>
      </c>
      <c r="AY2468" t="s">
        <v>55</v>
      </c>
    </row>
    <row r="2469" spans="1:51">
      <c r="A2469">
        <v>100700</v>
      </c>
      <c r="B2469" t="s">
        <v>231</v>
      </c>
      <c r="C2469" t="str">
        <f t="shared" si="203"/>
        <v>00766740625</v>
      </c>
      <c r="D2469" t="str">
        <f t="shared" si="204"/>
        <v>STFGPP58D22A783F</v>
      </c>
      <c r="E2469" t="s">
        <v>52</v>
      </c>
      <c r="F2469">
        <v>2014</v>
      </c>
      <c r="G2469">
        <v>588</v>
      </c>
      <c r="H2469" s="1">
        <v>42000</v>
      </c>
      <c r="I2469" s="1">
        <v>42002</v>
      </c>
      <c r="J2469" s="1">
        <v>42002</v>
      </c>
      <c r="K2469" s="1">
        <v>42062</v>
      </c>
      <c r="L2469" s="7">
        <v>43.92</v>
      </c>
      <c r="M2469" s="5">
        <v>243</v>
      </c>
      <c r="N2469" s="7">
        <v>10672.56</v>
      </c>
      <c r="O2469">
        <v>43.92</v>
      </c>
      <c r="P2469">
        <v>243</v>
      </c>
      <c r="Q2469" s="2">
        <v>10672.56</v>
      </c>
      <c r="R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 s="1">
        <v>42382</v>
      </c>
      <c r="AC2469" t="s">
        <v>53</v>
      </c>
      <c r="AD2469" t="s">
        <v>53</v>
      </c>
      <c r="AK2469">
        <v>0</v>
      </c>
      <c r="AU2469" s="6">
        <v>42305</v>
      </c>
      <c r="AV2469" s="6">
        <v>42305</v>
      </c>
      <c r="AW2469" t="s">
        <v>54</v>
      </c>
      <c r="AX2469" t="str">
        <f t="shared" si="202"/>
        <v>FOR</v>
      </c>
      <c r="AY2469" t="s">
        <v>55</v>
      </c>
    </row>
    <row r="2470" spans="1:51">
      <c r="A2470">
        <v>100700</v>
      </c>
      <c r="B2470" t="s">
        <v>231</v>
      </c>
      <c r="C2470" t="str">
        <f t="shared" si="203"/>
        <v>00766740625</v>
      </c>
      <c r="D2470" t="str">
        <f t="shared" si="204"/>
        <v>STFGPP58D22A783F</v>
      </c>
      <c r="E2470" t="s">
        <v>52</v>
      </c>
      <c r="F2470">
        <v>2014</v>
      </c>
      <c r="G2470">
        <v>589</v>
      </c>
      <c r="H2470" s="1">
        <v>42000</v>
      </c>
      <c r="I2470" s="1">
        <v>42002</v>
      </c>
      <c r="J2470" s="1">
        <v>42002</v>
      </c>
      <c r="K2470" s="1">
        <v>42062</v>
      </c>
      <c r="L2470" s="7">
        <v>32.94</v>
      </c>
      <c r="M2470" s="5">
        <v>243</v>
      </c>
      <c r="N2470" s="7">
        <v>8004.42</v>
      </c>
      <c r="O2470">
        <v>32.94</v>
      </c>
      <c r="P2470">
        <v>243</v>
      </c>
      <c r="Q2470" s="2">
        <v>8004.42</v>
      </c>
      <c r="R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 s="1">
        <v>42382</v>
      </c>
      <c r="AC2470" t="s">
        <v>53</v>
      </c>
      <c r="AD2470" t="s">
        <v>53</v>
      </c>
      <c r="AK2470">
        <v>0</v>
      </c>
      <c r="AU2470" s="6">
        <v>42305</v>
      </c>
      <c r="AV2470" s="6">
        <v>42305</v>
      </c>
      <c r="AW2470" t="s">
        <v>54</v>
      </c>
      <c r="AX2470" t="str">
        <f t="shared" si="202"/>
        <v>FOR</v>
      </c>
      <c r="AY2470" t="s">
        <v>55</v>
      </c>
    </row>
    <row r="2471" spans="1:51">
      <c r="A2471">
        <v>100700</v>
      </c>
      <c r="B2471" t="s">
        <v>231</v>
      </c>
      <c r="C2471" t="str">
        <f t="shared" si="203"/>
        <v>00766740625</v>
      </c>
      <c r="D2471" t="str">
        <f t="shared" si="204"/>
        <v>STFGPP58D22A783F</v>
      </c>
      <c r="E2471" t="s">
        <v>52</v>
      </c>
      <c r="F2471">
        <v>2014</v>
      </c>
      <c r="G2471">
        <v>599</v>
      </c>
      <c r="H2471" s="1">
        <v>42003</v>
      </c>
      <c r="I2471" s="1">
        <v>42004</v>
      </c>
      <c r="J2471" s="1">
        <v>42004</v>
      </c>
      <c r="K2471" s="1">
        <v>42064</v>
      </c>
      <c r="L2471" s="7">
        <v>355.56</v>
      </c>
      <c r="M2471" s="5">
        <v>241</v>
      </c>
      <c r="N2471" s="7">
        <v>85689.96</v>
      </c>
      <c r="O2471">
        <v>355.56</v>
      </c>
      <c r="P2471">
        <v>241</v>
      </c>
      <c r="Q2471" s="2">
        <v>85689.96</v>
      </c>
      <c r="R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 s="1">
        <v>42382</v>
      </c>
      <c r="AC2471" t="s">
        <v>53</v>
      </c>
      <c r="AD2471" t="s">
        <v>53</v>
      </c>
      <c r="AK2471">
        <v>0</v>
      </c>
      <c r="AU2471" s="6">
        <v>42305</v>
      </c>
      <c r="AV2471" s="6">
        <v>42305</v>
      </c>
      <c r="AW2471" t="s">
        <v>54</v>
      </c>
      <c r="AX2471" t="str">
        <f t="shared" si="202"/>
        <v>FOR</v>
      </c>
      <c r="AY2471" t="s">
        <v>55</v>
      </c>
    </row>
    <row r="2472" spans="1:51">
      <c r="A2472">
        <v>100700</v>
      </c>
      <c r="B2472" t="s">
        <v>231</v>
      </c>
      <c r="C2472" t="str">
        <f t="shared" si="203"/>
        <v>00766740625</v>
      </c>
      <c r="D2472" t="str">
        <f t="shared" si="204"/>
        <v>STFGPP58D22A783F</v>
      </c>
      <c r="E2472" t="s">
        <v>52</v>
      </c>
      <c r="F2472">
        <v>2014</v>
      </c>
      <c r="G2472">
        <v>600</v>
      </c>
      <c r="H2472" s="1">
        <v>42003</v>
      </c>
      <c r="I2472" s="1">
        <v>42004</v>
      </c>
      <c r="J2472" s="1">
        <v>42004</v>
      </c>
      <c r="K2472" s="1">
        <v>42064</v>
      </c>
      <c r="L2472" s="7">
        <v>116.48</v>
      </c>
      <c r="M2472" s="5">
        <v>241</v>
      </c>
      <c r="N2472" s="7">
        <v>28071.68</v>
      </c>
      <c r="O2472">
        <v>116.48</v>
      </c>
      <c r="P2472">
        <v>241</v>
      </c>
      <c r="Q2472" s="2">
        <v>28071.68</v>
      </c>
      <c r="R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 s="1">
        <v>42382</v>
      </c>
      <c r="AC2472" t="s">
        <v>53</v>
      </c>
      <c r="AD2472" t="s">
        <v>53</v>
      </c>
      <c r="AK2472">
        <v>0</v>
      </c>
      <c r="AU2472" s="6">
        <v>42305</v>
      </c>
      <c r="AV2472" s="6">
        <v>42305</v>
      </c>
      <c r="AW2472" t="s">
        <v>54</v>
      </c>
      <c r="AX2472" t="str">
        <f t="shared" si="202"/>
        <v>FOR</v>
      </c>
      <c r="AY2472" t="s">
        <v>55</v>
      </c>
    </row>
    <row r="2473" spans="1:51">
      <c r="A2473">
        <v>100700</v>
      </c>
      <c r="B2473" t="s">
        <v>231</v>
      </c>
      <c r="C2473" t="str">
        <f t="shared" si="203"/>
        <v>00766740625</v>
      </c>
      <c r="D2473" t="str">
        <f t="shared" si="204"/>
        <v>STFGPP58D22A783F</v>
      </c>
      <c r="E2473" t="s">
        <v>52</v>
      </c>
      <c r="F2473">
        <v>2014</v>
      </c>
      <c r="G2473">
        <v>601</v>
      </c>
      <c r="H2473" s="1">
        <v>42003</v>
      </c>
      <c r="I2473" s="1">
        <v>42004</v>
      </c>
      <c r="J2473" s="1">
        <v>42004</v>
      </c>
      <c r="K2473" s="1">
        <v>42064</v>
      </c>
      <c r="L2473" s="7">
        <v>297.64999999999998</v>
      </c>
      <c r="M2473" s="5">
        <v>241</v>
      </c>
      <c r="N2473" s="7">
        <v>71733.649999999994</v>
      </c>
      <c r="O2473">
        <v>297.64999999999998</v>
      </c>
      <c r="P2473">
        <v>241</v>
      </c>
      <c r="Q2473" s="2">
        <v>71733.649999999994</v>
      </c>
      <c r="R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 s="1">
        <v>42382</v>
      </c>
      <c r="AC2473" t="s">
        <v>53</v>
      </c>
      <c r="AD2473" t="s">
        <v>53</v>
      </c>
      <c r="AK2473">
        <v>0</v>
      </c>
      <c r="AU2473" s="6">
        <v>42305</v>
      </c>
      <c r="AV2473" s="6">
        <v>42305</v>
      </c>
      <c r="AW2473" t="s">
        <v>54</v>
      </c>
      <c r="AX2473" t="str">
        <f t="shared" si="202"/>
        <v>FOR</v>
      </c>
      <c r="AY2473" t="s">
        <v>55</v>
      </c>
    </row>
    <row r="2474" spans="1:51">
      <c r="A2474">
        <v>100700</v>
      </c>
      <c r="B2474" t="s">
        <v>231</v>
      </c>
      <c r="C2474" t="str">
        <f t="shared" si="203"/>
        <v>00766740625</v>
      </c>
      <c r="D2474" t="str">
        <f t="shared" si="204"/>
        <v>STFGPP58D22A783F</v>
      </c>
      <c r="E2474" t="s">
        <v>52</v>
      </c>
      <c r="F2474">
        <v>2014</v>
      </c>
      <c r="G2474">
        <v>602</v>
      </c>
      <c r="H2474" s="1">
        <v>42003</v>
      </c>
      <c r="I2474" s="1">
        <v>42004</v>
      </c>
      <c r="J2474" s="1">
        <v>42004</v>
      </c>
      <c r="K2474" s="1">
        <v>42064</v>
      </c>
      <c r="L2474" s="7">
        <v>358.3</v>
      </c>
      <c r="M2474" s="5">
        <v>241</v>
      </c>
      <c r="N2474" s="7">
        <v>86350.3</v>
      </c>
      <c r="O2474">
        <v>358.3</v>
      </c>
      <c r="P2474">
        <v>241</v>
      </c>
      <c r="Q2474" s="2">
        <v>86350.3</v>
      </c>
      <c r="R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 s="1">
        <v>42382</v>
      </c>
      <c r="AC2474" t="s">
        <v>53</v>
      </c>
      <c r="AD2474" t="s">
        <v>53</v>
      </c>
      <c r="AK2474">
        <v>0</v>
      </c>
      <c r="AU2474" s="6">
        <v>42305</v>
      </c>
      <c r="AV2474" s="6">
        <v>42305</v>
      </c>
      <c r="AW2474" t="s">
        <v>54</v>
      </c>
      <c r="AX2474" t="str">
        <f t="shared" si="202"/>
        <v>FOR</v>
      </c>
      <c r="AY2474" t="s">
        <v>55</v>
      </c>
    </row>
    <row r="2475" spans="1:51">
      <c r="A2475">
        <v>100700</v>
      </c>
      <c r="B2475" t="s">
        <v>231</v>
      </c>
      <c r="C2475" t="str">
        <f t="shared" si="203"/>
        <v>00766740625</v>
      </c>
      <c r="D2475" t="str">
        <f t="shared" si="204"/>
        <v>STFGPP58D22A783F</v>
      </c>
      <c r="E2475" t="s">
        <v>52</v>
      </c>
      <c r="F2475">
        <v>2014</v>
      </c>
      <c r="G2475">
        <v>604</v>
      </c>
      <c r="H2475" s="1">
        <v>42003</v>
      </c>
      <c r="I2475" s="1">
        <v>42004</v>
      </c>
      <c r="J2475" s="1">
        <v>42004</v>
      </c>
      <c r="K2475" s="1">
        <v>42064</v>
      </c>
      <c r="L2475" s="7">
        <v>30.89</v>
      </c>
      <c r="M2475" s="5">
        <v>241</v>
      </c>
      <c r="N2475" s="7">
        <v>7444.49</v>
      </c>
      <c r="O2475">
        <v>30.89</v>
      </c>
      <c r="P2475">
        <v>241</v>
      </c>
      <c r="Q2475" s="2">
        <v>7444.49</v>
      </c>
      <c r="R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 s="1">
        <v>42382</v>
      </c>
      <c r="AC2475" t="s">
        <v>53</v>
      </c>
      <c r="AD2475" t="s">
        <v>53</v>
      </c>
      <c r="AK2475">
        <v>0</v>
      </c>
      <c r="AU2475" s="6">
        <v>42305</v>
      </c>
      <c r="AV2475" s="6">
        <v>42305</v>
      </c>
      <c r="AW2475" t="s">
        <v>54</v>
      </c>
      <c r="AX2475" t="str">
        <f t="shared" si="202"/>
        <v>FOR</v>
      </c>
      <c r="AY2475" t="s">
        <v>55</v>
      </c>
    </row>
    <row r="2476" spans="1:51">
      <c r="A2476">
        <v>100700</v>
      </c>
      <c r="B2476" t="s">
        <v>231</v>
      </c>
      <c r="C2476" t="str">
        <f t="shared" si="203"/>
        <v>00766740625</v>
      </c>
      <c r="D2476" t="str">
        <f t="shared" si="204"/>
        <v>STFGPP58D22A783F</v>
      </c>
      <c r="E2476" t="s">
        <v>52</v>
      </c>
      <c r="F2476">
        <v>2015</v>
      </c>
      <c r="G2476">
        <v>44</v>
      </c>
      <c r="H2476" s="1">
        <v>42051</v>
      </c>
      <c r="I2476" s="1">
        <v>42052</v>
      </c>
      <c r="J2476" s="1">
        <v>42052</v>
      </c>
      <c r="K2476" s="1">
        <v>42112</v>
      </c>
      <c r="L2476" s="7">
        <v>310</v>
      </c>
      <c r="M2476" s="5">
        <v>244</v>
      </c>
      <c r="N2476" s="7">
        <v>75640</v>
      </c>
      <c r="O2476">
        <v>310</v>
      </c>
      <c r="P2476">
        <v>244</v>
      </c>
      <c r="Q2476" s="2">
        <v>75640</v>
      </c>
      <c r="R2476">
        <v>68.2</v>
      </c>
      <c r="V2476">
        <v>0</v>
      </c>
      <c r="W2476">
        <v>0</v>
      </c>
      <c r="X2476">
        <v>0</v>
      </c>
      <c r="Y2476">
        <v>378.2</v>
      </c>
      <c r="Z2476">
        <v>378.2</v>
      </c>
      <c r="AA2476">
        <v>378.2</v>
      </c>
      <c r="AB2476" s="1">
        <v>42382</v>
      </c>
      <c r="AC2476" t="s">
        <v>53</v>
      </c>
      <c r="AD2476" t="s">
        <v>53</v>
      </c>
      <c r="AK2476">
        <v>68.2</v>
      </c>
      <c r="AU2476" s="6">
        <v>42356</v>
      </c>
      <c r="AV2476" s="6">
        <v>42356</v>
      </c>
      <c r="AW2476" t="s">
        <v>54</v>
      </c>
      <c r="AX2476" t="str">
        <f t="shared" si="202"/>
        <v>FOR</v>
      </c>
      <c r="AY2476" t="s">
        <v>55</v>
      </c>
    </row>
    <row r="2477" spans="1:51">
      <c r="A2477">
        <v>100700</v>
      </c>
      <c r="B2477" t="s">
        <v>231</v>
      </c>
      <c r="C2477" t="str">
        <f t="shared" si="203"/>
        <v>00766740625</v>
      </c>
      <c r="D2477" t="str">
        <f t="shared" si="204"/>
        <v>STFGPP58D22A783F</v>
      </c>
      <c r="E2477" t="s">
        <v>52</v>
      </c>
      <c r="F2477">
        <v>2015</v>
      </c>
      <c r="G2477">
        <v>55</v>
      </c>
      <c r="H2477" s="1">
        <v>42058</v>
      </c>
      <c r="I2477" s="1">
        <v>42059</v>
      </c>
      <c r="J2477" s="1">
        <v>42059</v>
      </c>
      <c r="K2477" s="1">
        <v>42119</v>
      </c>
      <c r="L2477" s="7">
        <v>30</v>
      </c>
      <c r="M2477" s="5">
        <v>237</v>
      </c>
      <c r="N2477" s="7">
        <v>7110</v>
      </c>
      <c r="O2477">
        <v>30</v>
      </c>
      <c r="P2477">
        <v>237</v>
      </c>
      <c r="Q2477" s="2">
        <v>7110</v>
      </c>
      <c r="R2477">
        <v>6.6</v>
      </c>
      <c r="V2477">
        <v>0</v>
      </c>
      <c r="W2477">
        <v>0</v>
      </c>
      <c r="X2477">
        <v>0</v>
      </c>
      <c r="Y2477">
        <v>36.6</v>
      </c>
      <c r="Z2477">
        <v>36.6</v>
      </c>
      <c r="AA2477">
        <v>36.6</v>
      </c>
      <c r="AB2477" s="1">
        <v>42382</v>
      </c>
      <c r="AC2477" t="s">
        <v>53</v>
      </c>
      <c r="AD2477" t="s">
        <v>53</v>
      </c>
      <c r="AK2477">
        <v>6.6</v>
      </c>
      <c r="AU2477" s="6">
        <v>42356</v>
      </c>
      <c r="AV2477" s="6">
        <v>42356</v>
      </c>
      <c r="AW2477" t="s">
        <v>54</v>
      </c>
      <c r="AX2477" t="str">
        <f t="shared" si="202"/>
        <v>FOR</v>
      </c>
      <c r="AY2477" t="s">
        <v>55</v>
      </c>
    </row>
    <row r="2478" spans="1:51" hidden="1">
      <c r="A2478">
        <v>100700</v>
      </c>
      <c r="B2478" t="s">
        <v>231</v>
      </c>
      <c r="C2478" t="str">
        <f t="shared" si="203"/>
        <v>00766740625</v>
      </c>
      <c r="D2478" t="str">
        <f t="shared" si="204"/>
        <v>STFGPP58D22A783F</v>
      </c>
      <c r="E2478" t="s">
        <v>52</v>
      </c>
      <c r="F2478">
        <v>2015</v>
      </c>
      <c r="G2478" t="s">
        <v>232</v>
      </c>
      <c r="H2478" s="1">
        <v>42024</v>
      </c>
      <c r="I2478" s="1">
        <v>42025</v>
      </c>
      <c r="J2478" s="1">
        <v>42025</v>
      </c>
      <c r="K2478" s="1">
        <v>42085</v>
      </c>
      <c r="N2478" s="5"/>
      <c r="O2478">
        <v>30</v>
      </c>
      <c r="P2478">
        <v>38</v>
      </c>
      <c r="Q2478" s="2">
        <v>1140</v>
      </c>
      <c r="R2478">
        <v>6.6</v>
      </c>
      <c r="V2478">
        <v>0</v>
      </c>
      <c r="W2478">
        <v>0</v>
      </c>
      <c r="X2478">
        <v>0</v>
      </c>
      <c r="Y2478">
        <v>36.6</v>
      </c>
      <c r="Z2478">
        <v>36.6</v>
      </c>
      <c r="AA2478">
        <v>36.6</v>
      </c>
      <c r="AB2478" s="1">
        <v>42382</v>
      </c>
      <c r="AC2478" t="s">
        <v>53</v>
      </c>
      <c r="AD2478" t="s">
        <v>53</v>
      </c>
      <c r="AK2478">
        <v>6.6</v>
      </c>
      <c r="AU2478" s="6">
        <v>42123</v>
      </c>
      <c r="AV2478" s="6">
        <v>42123</v>
      </c>
      <c r="AW2478" t="s">
        <v>54</v>
      </c>
      <c r="AX2478" t="str">
        <f t="shared" si="202"/>
        <v>FOR</v>
      </c>
      <c r="AY2478" t="s">
        <v>55</v>
      </c>
    </row>
    <row r="2479" spans="1:51">
      <c r="A2479">
        <v>100703</v>
      </c>
      <c r="B2479" t="s">
        <v>233</v>
      </c>
      <c r="C2479" t="str">
        <f>"05501420961"</f>
        <v>05501420961</v>
      </c>
      <c r="D2479" t="str">
        <f>"05501420961"</f>
        <v>05501420961</v>
      </c>
      <c r="E2479" t="s">
        <v>52</v>
      </c>
      <c r="F2479">
        <v>2014</v>
      </c>
      <c r="G2479">
        <v>8118519</v>
      </c>
      <c r="H2479" s="1">
        <v>41990</v>
      </c>
      <c r="I2479" s="1">
        <v>42004</v>
      </c>
      <c r="J2479" s="1">
        <v>42004</v>
      </c>
      <c r="K2479" s="1">
        <v>42064</v>
      </c>
      <c r="L2479" s="7">
        <v>3915.34</v>
      </c>
      <c r="M2479" s="5">
        <v>276</v>
      </c>
      <c r="N2479" s="7">
        <v>1080633.8400000001</v>
      </c>
      <c r="O2479" s="2">
        <v>3915.34</v>
      </c>
      <c r="P2479">
        <v>276</v>
      </c>
      <c r="Q2479" s="2">
        <v>1080633.8400000001</v>
      </c>
      <c r="R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 s="1">
        <v>42382</v>
      </c>
      <c r="AC2479" t="s">
        <v>53</v>
      </c>
      <c r="AD2479" t="s">
        <v>53</v>
      </c>
      <c r="AK2479">
        <v>0</v>
      </c>
      <c r="AU2479" s="6">
        <v>42340</v>
      </c>
      <c r="AV2479" s="6">
        <v>42340</v>
      </c>
      <c r="AW2479" t="s">
        <v>54</v>
      </c>
      <c r="AX2479" t="str">
        <f t="shared" si="202"/>
        <v>FOR</v>
      </c>
      <c r="AY2479" t="s">
        <v>55</v>
      </c>
    </row>
    <row r="2480" spans="1:51">
      <c r="A2480">
        <v>100703</v>
      </c>
      <c r="B2480" t="s">
        <v>233</v>
      </c>
      <c r="C2480" t="str">
        <f>"05501420961"</f>
        <v>05501420961</v>
      </c>
      <c r="D2480" t="str">
        <f>"05501420961"</f>
        <v>05501420961</v>
      </c>
      <c r="E2480" t="s">
        <v>52</v>
      </c>
      <c r="F2480">
        <v>2015</v>
      </c>
      <c r="G2480">
        <v>1508100880</v>
      </c>
      <c r="H2480" s="1">
        <v>42026</v>
      </c>
      <c r="I2480" s="1">
        <v>42039</v>
      </c>
      <c r="J2480" s="1">
        <v>42039</v>
      </c>
      <c r="K2480" s="1">
        <v>42099</v>
      </c>
      <c r="L2480" s="7">
        <v>8952.2999999999993</v>
      </c>
      <c r="M2480" s="5">
        <v>256</v>
      </c>
      <c r="N2480" s="7">
        <v>2291788.7999999998</v>
      </c>
      <c r="O2480" s="2">
        <v>8952.2999999999993</v>
      </c>
      <c r="P2480">
        <v>256</v>
      </c>
      <c r="Q2480" s="2">
        <v>2291788.7999999998</v>
      </c>
      <c r="R2480">
        <v>895.23</v>
      </c>
      <c r="V2480">
        <v>0</v>
      </c>
      <c r="W2480">
        <v>0</v>
      </c>
      <c r="X2480">
        <v>0</v>
      </c>
      <c r="Y2480" s="2">
        <v>9847.5300000000007</v>
      </c>
      <c r="Z2480" s="2">
        <v>9847.5300000000007</v>
      </c>
      <c r="AA2480" s="2">
        <v>9847.5300000000007</v>
      </c>
      <c r="AB2480" s="1">
        <v>42382</v>
      </c>
      <c r="AC2480" t="s">
        <v>53</v>
      </c>
      <c r="AD2480" t="s">
        <v>53</v>
      </c>
      <c r="AK2480">
        <v>895.23</v>
      </c>
      <c r="AU2480" s="6">
        <v>42355</v>
      </c>
      <c r="AV2480" s="6">
        <v>42355</v>
      </c>
      <c r="AW2480" t="s">
        <v>54</v>
      </c>
      <c r="AX2480" t="str">
        <f t="shared" si="202"/>
        <v>FOR</v>
      </c>
      <c r="AY2480" t="s">
        <v>55</v>
      </c>
    </row>
    <row r="2481" spans="1:51" hidden="1">
      <c r="A2481">
        <v>100706</v>
      </c>
      <c r="B2481" t="s">
        <v>234</v>
      </c>
      <c r="C2481" t="str">
        <f>"01779530466"</f>
        <v>01779530466</v>
      </c>
      <c r="D2481" t="str">
        <f>"01779530466"</f>
        <v>01779530466</v>
      </c>
      <c r="E2481" t="s">
        <v>52</v>
      </c>
      <c r="F2481">
        <v>2014</v>
      </c>
      <c r="G2481">
        <v>43007774</v>
      </c>
      <c r="H2481" s="1">
        <v>41956</v>
      </c>
      <c r="I2481" s="1">
        <v>41974</v>
      </c>
      <c r="J2481" s="1">
        <v>41974</v>
      </c>
      <c r="K2481" s="1">
        <v>42034</v>
      </c>
      <c r="N2481" s="5"/>
      <c r="O2481">
        <v>731.5</v>
      </c>
      <c r="P2481">
        <v>214</v>
      </c>
      <c r="Q2481" s="2">
        <v>156541</v>
      </c>
      <c r="R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 s="1">
        <v>42382</v>
      </c>
      <c r="AC2481" t="s">
        <v>53</v>
      </c>
      <c r="AD2481" t="s">
        <v>53</v>
      </c>
      <c r="AK2481">
        <v>0</v>
      </c>
      <c r="AU2481" s="6">
        <v>42248</v>
      </c>
      <c r="AV2481" s="6">
        <v>42248</v>
      </c>
      <c r="AW2481" t="s">
        <v>54</v>
      </c>
      <c r="AX2481" t="str">
        <f t="shared" si="202"/>
        <v>FOR</v>
      </c>
      <c r="AY2481" t="s">
        <v>55</v>
      </c>
    </row>
    <row r="2482" spans="1:51" hidden="1">
      <c r="A2482">
        <v>100707</v>
      </c>
      <c r="B2482" t="s">
        <v>235</v>
      </c>
      <c r="C2482" t="str">
        <f t="shared" ref="C2482:D2502" si="205">"04553030638"</f>
        <v>04553030638</v>
      </c>
      <c r="D2482" t="str">
        <f t="shared" si="205"/>
        <v>04553030638</v>
      </c>
      <c r="E2482" t="s">
        <v>52</v>
      </c>
      <c r="F2482">
        <v>2014</v>
      </c>
      <c r="G2482">
        <v>65</v>
      </c>
      <c r="H2482" s="1">
        <v>41698</v>
      </c>
      <c r="I2482" s="1">
        <v>41837</v>
      </c>
      <c r="J2482" s="1">
        <v>41837</v>
      </c>
      <c r="K2482" s="1">
        <v>41927</v>
      </c>
      <c r="N2482" s="5"/>
      <c r="O2482" s="2">
        <v>6022.16</v>
      </c>
      <c r="P2482">
        <v>91</v>
      </c>
      <c r="Q2482" s="2">
        <v>548016.56000000006</v>
      </c>
      <c r="R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 s="1">
        <v>42382</v>
      </c>
      <c r="AC2482" t="s">
        <v>53</v>
      </c>
      <c r="AD2482" t="s">
        <v>53</v>
      </c>
      <c r="AK2482">
        <v>0</v>
      </c>
      <c r="AU2482" s="6">
        <v>42018</v>
      </c>
      <c r="AV2482" s="6">
        <v>42018</v>
      </c>
      <c r="AW2482" t="s">
        <v>54</v>
      </c>
      <c r="AX2482" t="str">
        <f t="shared" si="202"/>
        <v>FOR</v>
      </c>
      <c r="AY2482" t="s">
        <v>55</v>
      </c>
    </row>
    <row r="2483" spans="1:51" hidden="1">
      <c r="A2483">
        <v>100707</v>
      </c>
      <c r="B2483" t="s">
        <v>235</v>
      </c>
      <c r="C2483" t="str">
        <f t="shared" si="205"/>
        <v>04553030638</v>
      </c>
      <c r="D2483" t="str">
        <f t="shared" si="205"/>
        <v>04553030638</v>
      </c>
      <c r="E2483" t="s">
        <v>52</v>
      </c>
      <c r="F2483">
        <v>2014</v>
      </c>
      <c r="G2483">
        <v>70</v>
      </c>
      <c r="H2483" s="1">
        <v>41725</v>
      </c>
      <c r="I2483" s="1">
        <v>41736</v>
      </c>
      <c r="J2483" s="1">
        <v>41736</v>
      </c>
      <c r="K2483" s="1">
        <v>41826</v>
      </c>
      <c r="N2483" s="5"/>
      <c r="O2483">
        <v>585.6</v>
      </c>
      <c r="P2483">
        <v>332</v>
      </c>
      <c r="Q2483" s="2">
        <v>194419.20000000001</v>
      </c>
      <c r="R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 s="1">
        <v>42382</v>
      </c>
      <c r="AC2483" t="s">
        <v>53</v>
      </c>
      <c r="AD2483" t="s">
        <v>53</v>
      </c>
      <c r="AK2483">
        <v>0</v>
      </c>
      <c r="AU2483" s="6">
        <v>42158</v>
      </c>
      <c r="AV2483" s="6">
        <v>42158</v>
      </c>
      <c r="AW2483" t="s">
        <v>54</v>
      </c>
      <c r="AX2483" t="str">
        <f t="shared" si="202"/>
        <v>FOR</v>
      </c>
      <c r="AY2483" t="s">
        <v>55</v>
      </c>
    </row>
    <row r="2484" spans="1:51" hidden="1">
      <c r="A2484">
        <v>100707</v>
      </c>
      <c r="B2484" t="s">
        <v>235</v>
      </c>
      <c r="C2484" t="str">
        <f t="shared" si="205"/>
        <v>04553030638</v>
      </c>
      <c r="D2484" t="str">
        <f t="shared" si="205"/>
        <v>04553030638</v>
      </c>
      <c r="E2484" t="s">
        <v>52</v>
      </c>
      <c r="F2484">
        <v>2014</v>
      </c>
      <c r="G2484">
        <v>71</v>
      </c>
      <c r="H2484" s="1">
        <v>41725</v>
      </c>
      <c r="I2484" s="1">
        <v>41736</v>
      </c>
      <c r="J2484" s="1">
        <v>41736</v>
      </c>
      <c r="K2484" s="1">
        <v>41826</v>
      </c>
      <c r="N2484" s="5"/>
      <c r="O2484" s="2">
        <v>1687.26</v>
      </c>
      <c r="P2484">
        <v>332</v>
      </c>
      <c r="Q2484" s="2">
        <v>560170.31999999995</v>
      </c>
      <c r="R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 s="1">
        <v>42382</v>
      </c>
      <c r="AC2484" t="s">
        <v>53</v>
      </c>
      <c r="AD2484" t="s">
        <v>53</v>
      </c>
      <c r="AK2484">
        <v>0</v>
      </c>
      <c r="AU2484" s="6">
        <v>42158</v>
      </c>
      <c r="AV2484" s="6">
        <v>42158</v>
      </c>
      <c r="AW2484" t="s">
        <v>54</v>
      </c>
      <c r="AX2484" t="str">
        <f t="shared" si="202"/>
        <v>FOR</v>
      </c>
      <c r="AY2484" t="s">
        <v>55</v>
      </c>
    </row>
    <row r="2485" spans="1:51" hidden="1">
      <c r="A2485">
        <v>100707</v>
      </c>
      <c r="B2485" t="s">
        <v>235</v>
      </c>
      <c r="C2485" t="str">
        <f t="shared" si="205"/>
        <v>04553030638</v>
      </c>
      <c r="D2485" t="str">
        <f t="shared" si="205"/>
        <v>04553030638</v>
      </c>
      <c r="E2485" t="s">
        <v>52</v>
      </c>
      <c r="F2485">
        <v>2014</v>
      </c>
      <c r="G2485">
        <v>72</v>
      </c>
      <c r="H2485" s="1">
        <v>41725</v>
      </c>
      <c r="I2485" s="1">
        <v>41736</v>
      </c>
      <c r="J2485" s="1">
        <v>41736</v>
      </c>
      <c r="K2485" s="1">
        <v>41826</v>
      </c>
      <c r="N2485" s="5"/>
      <c r="O2485" s="2">
        <v>6107.93</v>
      </c>
      <c r="P2485">
        <v>332</v>
      </c>
      <c r="Q2485" s="2">
        <v>2027832.76</v>
      </c>
      <c r="R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 s="1">
        <v>42382</v>
      </c>
      <c r="AC2485" t="s">
        <v>53</v>
      </c>
      <c r="AD2485" t="s">
        <v>53</v>
      </c>
      <c r="AK2485">
        <v>0</v>
      </c>
      <c r="AU2485" s="6">
        <v>42158</v>
      </c>
      <c r="AV2485" s="6">
        <v>42158</v>
      </c>
      <c r="AW2485" t="s">
        <v>54</v>
      </c>
      <c r="AX2485" t="str">
        <f t="shared" si="202"/>
        <v>FOR</v>
      </c>
      <c r="AY2485" t="s">
        <v>55</v>
      </c>
    </row>
    <row r="2486" spans="1:51" hidden="1">
      <c r="A2486">
        <v>100707</v>
      </c>
      <c r="B2486" t="s">
        <v>235</v>
      </c>
      <c r="C2486" t="str">
        <f t="shared" si="205"/>
        <v>04553030638</v>
      </c>
      <c r="D2486" t="str">
        <f t="shared" si="205"/>
        <v>04553030638</v>
      </c>
      <c r="E2486" t="s">
        <v>52</v>
      </c>
      <c r="F2486">
        <v>2014</v>
      </c>
      <c r="G2486">
        <v>97</v>
      </c>
      <c r="H2486" s="1">
        <v>41729</v>
      </c>
      <c r="I2486" s="1">
        <v>41736</v>
      </c>
      <c r="J2486" s="1">
        <v>41736</v>
      </c>
      <c r="K2486" s="1">
        <v>41826</v>
      </c>
      <c r="N2486" s="5"/>
      <c r="O2486" s="2">
        <v>15860</v>
      </c>
      <c r="P2486">
        <v>332</v>
      </c>
      <c r="Q2486" s="2">
        <v>5265520</v>
      </c>
      <c r="R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 s="1">
        <v>42382</v>
      </c>
      <c r="AC2486" t="s">
        <v>53</v>
      </c>
      <c r="AD2486" t="s">
        <v>53</v>
      </c>
      <c r="AK2486">
        <v>0</v>
      </c>
      <c r="AU2486" s="6">
        <v>42158</v>
      </c>
      <c r="AV2486" s="6">
        <v>42158</v>
      </c>
      <c r="AW2486" t="s">
        <v>54</v>
      </c>
      <c r="AX2486" t="str">
        <f t="shared" si="202"/>
        <v>FOR</v>
      </c>
      <c r="AY2486" t="s">
        <v>55</v>
      </c>
    </row>
    <row r="2487" spans="1:51" hidden="1">
      <c r="A2487">
        <v>100707</v>
      </c>
      <c r="B2487" t="s">
        <v>235</v>
      </c>
      <c r="C2487" t="str">
        <f t="shared" si="205"/>
        <v>04553030638</v>
      </c>
      <c r="D2487" t="str">
        <f t="shared" si="205"/>
        <v>04553030638</v>
      </c>
      <c r="E2487" t="s">
        <v>52</v>
      </c>
      <c r="F2487">
        <v>2014</v>
      </c>
      <c r="G2487">
        <v>145</v>
      </c>
      <c r="H2487" s="1">
        <v>41785</v>
      </c>
      <c r="I2487" s="1">
        <v>41837</v>
      </c>
      <c r="J2487" s="1">
        <v>41837</v>
      </c>
      <c r="K2487" s="1">
        <v>41927</v>
      </c>
      <c r="N2487" s="5"/>
      <c r="O2487" s="2">
        <v>2591.2800000000002</v>
      </c>
      <c r="P2487">
        <v>231</v>
      </c>
      <c r="Q2487" s="2">
        <v>598585.68000000005</v>
      </c>
      <c r="R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 s="1">
        <v>42382</v>
      </c>
      <c r="AC2487" t="s">
        <v>53</v>
      </c>
      <c r="AD2487" t="s">
        <v>53</v>
      </c>
      <c r="AK2487">
        <v>0</v>
      </c>
      <c r="AU2487" s="6">
        <v>42158</v>
      </c>
      <c r="AV2487" s="6">
        <v>42158</v>
      </c>
      <c r="AW2487" t="s">
        <v>54</v>
      </c>
      <c r="AX2487" t="str">
        <f t="shared" si="202"/>
        <v>FOR</v>
      </c>
      <c r="AY2487" t="s">
        <v>55</v>
      </c>
    </row>
    <row r="2488" spans="1:51" hidden="1">
      <c r="A2488">
        <v>100707</v>
      </c>
      <c r="B2488" t="s">
        <v>235</v>
      </c>
      <c r="C2488" t="str">
        <f t="shared" si="205"/>
        <v>04553030638</v>
      </c>
      <c r="D2488" t="str">
        <f t="shared" si="205"/>
        <v>04553030638</v>
      </c>
      <c r="E2488" t="s">
        <v>52</v>
      </c>
      <c r="F2488">
        <v>2014</v>
      </c>
      <c r="G2488">
        <v>190</v>
      </c>
      <c r="H2488" s="1">
        <v>41820</v>
      </c>
      <c r="I2488" s="1">
        <v>41912</v>
      </c>
      <c r="J2488" s="1">
        <v>41912</v>
      </c>
      <c r="K2488" s="1">
        <v>42001</v>
      </c>
      <c r="N2488" s="5"/>
      <c r="O2488" s="2">
        <v>15860</v>
      </c>
      <c r="P2488">
        <v>157</v>
      </c>
      <c r="Q2488" s="2">
        <v>2490020</v>
      </c>
      <c r="R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 s="1">
        <v>42382</v>
      </c>
      <c r="AC2488" t="s">
        <v>53</v>
      </c>
      <c r="AD2488" t="s">
        <v>53</v>
      </c>
      <c r="AK2488">
        <v>0</v>
      </c>
      <c r="AU2488" s="6">
        <v>42158</v>
      </c>
      <c r="AV2488" s="6">
        <v>42158</v>
      </c>
      <c r="AW2488" t="s">
        <v>54</v>
      </c>
      <c r="AX2488" t="str">
        <f t="shared" si="202"/>
        <v>FOR</v>
      </c>
      <c r="AY2488" t="s">
        <v>55</v>
      </c>
    </row>
    <row r="2489" spans="1:51" hidden="1">
      <c r="A2489">
        <v>100707</v>
      </c>
      <c r="B2489" t="s">
        <v>235</v>
      </c>
      <c r="C2489" t="str">
        <f t="shared" si="205"/>
        <v>04553030638</v>
      </c>
      <c r="D2489" t="str">
        <f t="shared" si="205"/>
        <v>04553030638</v>
      </c>
      <c r="E2489" t="s">
        <v>52</v>
      </c>
      <c r="F2489">
        <v>2014</v>
      </c>
      <c r="G2489">
        <v>200</v>
      </c>
      <c r="H2489" s="1">
        <v>41820</v>
      </c>
      <c r="I2489" s="1">
        <v>41891</v>
      </c>
      <c r="J2489" s="1">
        <v>41891</v>
      </c>
      <c r="K2489" s="1">
        <v>41981</v>
      </c>
      <c r="N2489" s="5"/>
      <c r="O2489" s="2">
        <v>1837.32</v>
      </c>
      <c r="P2489">
        <v>177</v>
      </c>
      <c r="Q2489" s="2">
        <v>325205.64</v>
      </c>
      <c r="R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 s="1">
        <v>42382</v>
      </c>
      <c r="AC2489" t="s">
        <v>53</v>
      </c>
      <c r="AD2489" t="s">
        <v>53</v>
      </c>
      <c r="AK2489">
        <v>0</v>
      </c>
      <c r="AU2489" s="6">
        <v>42158</v>
      </c>
      <c r="AV2489" s="6">
        <v>42158</v>
      </c>
      <c r="AW2489" t="s">
        <v>54</v>
      </c>
      <c r="AX2489" t="str">
        <f t="shared" si="202"/>
        <v>FOR</v>
      </c>
      <c r="AY2489" t="s">
        <v>55</v>
      </c>
    </row>
    <row r="2490" spans="1:51" hidden="1">
      <c r="A2490">
        <v>100707</v>
      </c>
      <c r="B2490" t="s">
        <v>235</v>
      </c>
      <c r="C2490" t="str">
        <f t="shared" si="205"/>
        <v>04553030638</v>
      </c>
      <c r="D2490" t="str">
        <f t="shared" si="205"/>
        <v>04553030638</v>
      </c>
      <c r="E2490" t="s">
        <v>52</v>
      </c>
      <c r="F2490">
        <v>2014</v>
      </c>
      <c r="G2490">
        <v>214</v>
      </c>
      <c r="H2490" s="1">
        <v>41850</v>
      </c>
      <c r="I2490" s="1">
        <v>41872</v>
      </c>
      <c r="J2490" s="1">
        <v>41872</v>
      </c>
      <c r="K2490" s="1">
        <v>41962</v>
      </c>
      <c r="N2490" s="5"/>
      <c r="O2490" s="2">
        <v>3629.5</v>
      </c>
      <c r="P2490">
        <v>196</v>
      </c>
      <c r="Q2490" s="2">
        <v>711382</v>
      </c>
      <c r="R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 s="1">
        <v>42382</v>
      </c>
      <c r="AC2490" t="s">
        <v>53</v>
      </c>
      <c r="AD2490" t="s">
        <v>53</v>
      </c>
      <c r="AK2490">
        <v>0</v>
      </c>
      <c r="AU2490" s="6">
        <v>42158</v>
      </c>
      <c r="AV2490" s="6">
        <v>42158</v>
      </c>
      <c r="AW2490" t="s">
        <v>54</v>
      </c>
      <c r="AX2490" t="str">
        <f t="shared" si="202"/>
        <v>FOR</v>
      </c>
      <c r="AY2490" t="s">
        <v>55</v>
      </c>
    </row>
    <row r="2491" spans="1:51" hidden="1">
      <c r="A2491">
        <v>100707</v>
      </c>
      <c r="B2491" t="s">
        <v>235</v>
      </c>
      <c r="C2491" t="str">
        <f t="shared" si="205"/>
        <v>04553030638</v>
      </c>
      <c r="D2491" t="str">
        <f t="shared" si="205"/>
        <v>04553030638</v>
      </c>
      <c r="E2491" t="s">
        <v>52</v>
      </c>
      <c r="F2491">
        <v>2014</v>
      </c>
      <c r="G2491">
        <v>264</v>
      </c>
      <c r="H2491" s="1">
        <v>41900</v>
      </c>
      <c r="I2491" s="1">
        <v>41912</v>
      </c>
      <c r="J2491" s="1">
        <v>41912</v>
      </c>
      <c r="K2491" s="1">
        <v>42001</v>
      </c>
      <c r="N2491" s="5"/>
      <c r="O2491" s="2">
        <v>1605.52</v>
      </c>
      <c r="P2491">
        <v>249</v>
      </c>
      <c r="Q2491" s="2">
        <v>399774.48</v>
      </c>
      <c r="R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 s="1">
        <v>42382</v>
      </c>
      <c r="AC2491" t="s">
        <v>53</v>
      </c>
      <c r="AD2491" t="s">
        <v>53</v>
      </c>
      <c r="AK2491">
        <v>0</v>
      </c>
      <c r="AU2491" s="6">
        <v>42250</v>
      </c>
      <c r="AV2491" s="6">
        <v>42250</v>
      </c>
      <c r="AW2491" t="s">
        <v>54</v>
      </c>
      <c r="AX2491" t="str">
        <f t="shared" si="202"/>
        <v>FOR</v>
      </c>
      <c r="AY2491" t="s">
        <v>55</v>
      </c>
    </row>
    <row r="2492" spans="1:51" hidden="1">
      <c r="A2492">
        <v>100707</v>
      </c>
      <c r="B2492" t="s">
        <v>235</v>
      </c>
      <c r="C2492" t="str">
        <f t="shared" si="205"/>
        <v>04553030638</v>
      </c>
      <c r="D2492" t="str">
        <f t="shared" si="205"/>
        <v>04553030638</v>
      </c>
      <c r="E2492" t="s">
        <v>52</v>
      </c>
      <c r="F2492">
        <v>2014</v>
      </c>
      <c r="G2492">
        <v>265</v>
      </c>
      <c r="H2492" s="1">
        <v>41900</v>
      </c>
      <c r="I2492" s="1">
        <v>41912</v>
      </c>
      <c r="J2492" s="1">
        <v>41912</v>
      </c>
      <c r="K2492" s="1">
        <v>42001</v>
      </c>
      <c r="N2492" s="5"/>
      <c r="O2492" s="2">
        <v>1082.1400000000001</v>
      </c>
      <c r="P2492">
        <v>249</v>
      </c>
      <c r="Q2492" s="2">
        <v>269452.86</v>
      </c>
      <c r="R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 s="1">
        <v>42382</v>
      </c>
      <c r="AC2492" t="s">
        <v>53</v>
      </c>
      <c r="AD2492" t="s">
        <v>53</v>
      </c>
      <c r="AK2492">
        <v>0</v>
      </c>
      <c r="AU2492" s="6">
        <v>42250</v>
      </c>
      <c r="AV2492" s="6">
        <v>42250</v>
      </c>
      <c r="AW2492" t="s">
        <v>54</v>
      </c>
      <c r="AX2492" t="str">
        <f t="shared" si="202"/>
        <v>FOR</v>
      </c>
      <c r="AY2492" t="s">
        <v>55</v>
      </c>
    </row>
    <row r="2493" spans="1:51" hidden="1">
      <c r="A2493">
        <v>100707</v>
      </c>
      <c r="B2493" t="s">
        <v>235</v>
      </c>
      <c r="C2493" t="str">
        <f t="shared" si="205"/>
        <v>04553030638</v>
      </c>
      <c r="D2493" t="str">
        <f t="shared" si="205"/>
        <v>04553030638</v>
      </c>
      <c r="E2493" t="s">
        <v>52</v>
      </c>
      <c r="F2493">
        <v>2014</v>
      </c>
      <c r="G2493">
        <v>270</v>
      </c>
      <c r="H2493" s="1">
        <v>41912</v>
      </c>
      <c r="I2493" s="1">
        <v>41957</v>
      </c>
      <c r="J2493" s="1">
        <v>41957</v>
      </c>
      <c r="K2493" s="1">
        <v>42017</v>
      </c>
      <c r="N2493" s="5"/>
      <c r="O2493" s="2">
        <v>2610.8000000000002</v>
      </c>
      <c r="P2493">
        <v>233</v>
      </c>
      <c r="Q2493" s="2">
        <v>608316.4</v>
      </c>
      <c r="R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 s="1">
        <v>42382</v>
      </c>
      <c r="AC2493" t="s">
        <v>53</v>
      </c>
      <c r="AD2493" t="s">
        <v>53</v>
      </c>
      <c r="AK2493">
        <v>0</v>
      </c>
      <c r="AU2493" s="6">
        <v>42250</v>
      </c>
      <c r="AV2493" s="6">
        <v>42250</v>
      </c>
      <c r="AW2493" t="s">
        <v>54</v>
      </c>
      <c r="AX2493" t="str">
        <f t="shared" si="202"/>
        <v>FOR</v>
      </c>
      <c r="AY2493" t="s">
        <v>55</v>
      </c>
    </row>
    <row r="2494" spans="1:51" hidden="1">
      <c r="A2494">
        <v>100707</v>
      </c>
      <c r="B2494" t="s">
        <v>235</v>
      </c>
      <c r="C2494" t="str">
        <f t="shared" si="205"/>
        <v>04553030638</v>
      </c>
      <c r="D2494" t="str">
        <f t="shared" si="205"/>
        <v>04553030638</v>
      </c>
      <c r="E2494" t="s">
        <v>52</v>
      </c>
      <c r="F2494">
        <v>2014</v>
      </c>
      <c r="G2494">
        <v>271</v>
      </c>
      <c r="H2494" s="1">
        <v>41912</v>
      </c>
      <c r="I2494" s="1">
        <v>41957</v>
      </c>
      <c r="J2494" s="1">
        <v>41957</v>
      </c>
      <c r="K2494" s="1">
        <v>42017</v>
      </c>
      <c r="N2494" s="5"/>
      <c r="O2494">
        <v>494.1</v>
      </c>
      <c r="P2494">
        <v>233</v>
      </c>
      <c r="Q2494" s="2">
        <v>115125.3</v>
      </c>
      <c r="R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 s="1">
        <v>42382</v>
      </c>
      <c r="AC2494" t="s">
        <v>53</v>
      </c>
      <c r="AD2494" t="s">
        <v>53</v>
      </c>
      <c r="AK2494">
        <v>0</v>
      </c>
      <c r="AU2494" s="6">
        <v>42250</v>
      </c>
      <c r="AV2494" s="6">
        <v>42250</v>
      </c>
      <c r="AW2494" t="s">
        <v>54</v>
      </c>
      <c r="AX2494" t="str">
        <f t="shared" si="202"/>
        <v>FOR</v>
      </c>
      <c r="AY2494" t="s">
        <v>55</v>
      </c>
    </row>
    <row r="2495" spans="1:51" hidden="1">
      <c r="A2495">
        <v>100707</v>
      </c>
      <c r="B2495" t="s">
        <v>235</v>
      </c>
      <c r="C2495" t="str">
        <f t="shared" si="205"/>
        <v>04553030638</v>
      </c>
      <c r="D2495" t="str">
        <f t="shared" si="205"/>
        <v>04553030638</v>
      </c>
      <c r="E2495" t="s">
        <v>52</v>
      </c>
      <c r="F2495">
        <v>2014</v>
      </c>
      <c r="G2495">
        <v>294</v>
      </c>
      <c r="H2495" s="1">
        <v>41912</v>
      </c>
      <c r="I2495" s="1">
        <v>41957</v>
      </c>
      <c r="J2495" s="1">
        <v>41957</v>
      </c>
      <c r="K2495" s="1">
        <v>42017</v>
      </c>
      <c r="N2495" s="5"/>
      <c r="O2495" s="2">
        <v>15860</v>
      </c>
      <c r="P2495">
        <v>233</v>
      </c>
      <c r="Q2495" s="2">
        <v>3695380</v>
      </c>
      <c r="R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 s="1">
        <v>42382</v>
      </c>
      <c r="AC2495" t="s">
        <v>53</v>
      </c>
      <c r="AD2495" t="s">
        <v>53</v>
      </c>
      <c r="AK2495">
        <v>0</v>
      </c>
      <c r="AU2495" s="6">
        <v>42250</v>
      </c>
      <c r="AV2495" s="6">
        <v>42250</v>
      </c>
      <c r="AW2495" t="s">
        <v>54</v>
      </c>
      <c r="AX2495" t="str">
        <f t="shared" si="202"/>
        <v>FOR</v>
      </c>
      <c r="AY2495" t="s">
        <v>55</v>
      </c>
    </row>
    <row r="2496" spans="1:51" hidden="1">
      <c r="A2496">
        <v>100707</v>
      </c>
      <c r="B2496" t="s">
        <v>235</v>
      </c>
      <c r="C2496" t="str">
        <f t="shared" si="205"/>
        <v>04553030638</v>
      </c>
      <c r="D2496" t="str">
        <f t="shared" si="205"/>
        <v>04553030638</v>
      </c>
      <c r="E2496" t="s">
        <v>52</v>
      </c>
      <c r="F2496">
        <v>2014</v>
      </c>
      <c r="G2496">
        <v>319</v>
      </c>
      <c r="H2496" s="1">
        <v>41941</v>
      </c>
      <c r="I2496" s="1">
        <v>41955</v>
      </c>
      <c r="J2496" s="1">
        <v>41955</v>
      </c>
      <c r="K2496" s="1">
        <v>42015</v>
      </c>
      <c r="N2496" s="5"/>
      <c r="O2496" s="2">
        <v>2053.2600000000002</v>
      </c>
      <c r="P2496">
        <v>262</v>
      </c>
      <c r="Q2496" s="2">
        <v>537954.12</v>
      </c>
      <c r="R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 s="1">
        <v>42382</v>
      </c>
      <c r="AC2496" t="s">
        <v>53</v>
      </c>
      <c r="AD2496" t="s">
        <v>53</v>
      </c>
      <c r="AK2496">
        <v>0</v>
      </c>
      <c r="AU2496" s="6">
        <v>42277</v>
      </c>
      <c r="AV2496" s="6">
        <v>42277</v>
      </c>
      <c r="AW2496" t="s">
        <v>54</v>
      </c>
      <c r="AX2496" t="str">
        <f t="shared" si="202"/>
        <v>FOR</v>
      </c>
      <c r="AY2496" t="s">
        <v>55</v>
      </c>
    </row>
    <row r="2497" spans="1:51" hidden="1">
      <c r="A2497">
        <v>100707</v>
      </c>
      <c r="B2497" t="s">
        <v>235</v>
      </c>
      <c r="C2497" t="str">
        <f t="shared" si="205"/>
        <v>04553030638</v>
      </c>
      <c r="D2497" t="str">
        <f t="shared" si="205"/>
        <v>04553030638</v>
      </c>
      <c r="E2497" t="s">
        <v>52</v>
      </c>
      <c r="F2497">
        <v>2014</v>
      </c>
      <c r="G2497">
        <v>320</v>
      </c>
      <c r="H2497" s="1">
        <v>41941</v>
      </c>
      <c r="I2497" s="1">
        <v>41955</v>
      </c>
      <c r="J2497" s="1">
        <v>41955</v>
      </c>
      <c r="K2497" s="1">
        <v>42015</v>
      </c>
      <c r="N2497" s="5"/>
      <c r="O2497">
        <v>314.76</v>
      </c>
      <c r="P2497">
        <v>262</v>
      </c>
      <c r="Q2497" s="2">
        <v>82467.12</v>
      </c>
      <c r="R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 s="1">
        <v>42382</v>
      </c>
      <c r="AC2497" t="s">
        <v>53</v>
      </c>
      <c r="AD2497" t="s">
        <v>53</v>
      </c>
      <c r="AK2497">
        <v>0</v>
      </c>
      <c r="AU2497" s="6">
        <v>42277</v>
      </c>
      <c r="AV2497" s="6">
        <v>42277</v>
      </c>
      <c r="AW2497" t="s">
        <v>54</v>
      </c>
      <c r="AX2497" t="str">
        <f t="shared" si="202"/>
        <v>FOR</v>
      </c>
      <c r="AY2497" t="s">
        <v>55</v>
      </c>
    </row>
    <row r="2498" spans="1:51">
      <c r="A2498">
        <v>100707</v>
      </c>
      <c r="B2498" t="s">
        <v>235</v>
      </c>
      <c r="C2498" t="str">
        <f t="shared" si="205"/>
        <v>04553030638</v>
      </c>
      <c r="D2498" t="str">
        <f t="shared" si="205"/>
        <v>04553030638</v>
      </c>
      <c r="E2498" t="s">
        <v>52</v>
      </c>
      <c r="F2498">
        <v>2014</v>
      </c>
      <c r="G2498">
        <v>382</v>
      </c>
      <c r="H2498" s="1">
        <v>41996</v>
      </c>
      <c r="I2498" s="1">
        <v>42002</v>
      </c>
      <c r="J2498" s="1">
        <v>42002</v>
      </c>
      <c r="K2498" s="1">
        <v>42062</v>
      </c>
      <c r="L2498" s="7">
        <v>1952</v>
      </c>
      <c r="M2498" s="5">
        <v>243</v>
      </c>
      <c r="N2498" s="7">
        <v>474336</v>
      </c>
      <c r="O2498" s="2">
        <v>1952</v>
      </c>
      <c r="P2498">
        <v>243</v>
      </c>
      <c r="Q2498" s="2">
        <v>474336</v>
      </c>
      <c r="R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 s="1">
        <v>42382</v>
      </c>
      <c r="AC2498" t="s">
        <v>53</v>
      </c>
      <c r="AD2498" t="s">
        <v>53</v>
      </c>
      <c r="AK2498">
        <v>0</v>
      </c>
      <c r="AU2498" s="6">
        <v>42305</v>
      </c>
      <c r="AV2498" s="6">
        <v>42305</v>
      </c>
      <c r="AW2498" t="s">
        <v>54</v>
      </c>
      <c r="AX2498" t="str">
        <f t="shared" si="202"/>
        <v>FOR</v>
      </c>
      <c r="AY2498" t="s">
        <v>55</v>
      </c>
    </row>
    <row r="2499" spans="1:51">
      <c r="A2499">
        <v>100707</v>
      </c>
      <c r="B2499" t="s">
        <v>235</v>
      </c>
      <c r="C2499" t="str">
        <f t="shared" si="205"/>
        <v>04553030638</v>
      </c>
      <c r="D2499" t="str">
        <f t="shared" si="205"/>
        <v>04553030638</v>
      </c>
      <c r="E2499" t="s">
        <v>52</v>
      </c>
      <c r="F2499">
        <v>2014</v>
      </c>
      <c r="G2499">
        <v>383</v>
      </c>
      <c r="H2499" s="1">
        <v>41996</v>
      </c>
      <c r="I2499" s="1">
        <v>42002</v>
      </c>
      <c r="J2499" s="1">
        <v>42002</v>
      </c>
      <c r="K2499" s="1">
        <v>42062</v>
      </c>
      <c r="L2499" s="7">
        <v>664.9</v>
      </c>
      <c r="M2499" s="5">
        <v>243</v>
      </c>
      <c r="N2499" s="7">
        <v>161570.70000000001</v>
      </c>
      <c r="O2499">
        <v>664.9</v>
      </c>
      <c r="P2499">
        <v>243</v>
      </c>
      <c r="Q2499" s="2">
        <v>161570.70000000001</v>
      </c>
      <c r="R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 s="1">
        <v>42382</v>
      </c>
      <c r="AC2499" t="s">
        <v>53</v>
      </c>
      <c r="AD2499" t="s">
        <v>53</v>
      </c>
      <c r="AK2499">
        <v>0</v>
      </c>
      <c r="AU2499" s="6">
        <v>42305</v>
      </c>
      <c r="AV2499" s="6">
        <v>42305</v>
      </c>
      <c r="AW2499" t="s">
        <v>54</v>
      </c>
      <c r="AX2499" t="str">
        <f t="shared" ref="AX2499:AX2562" si="206">"FOR"</f>
        <v>FOR</v>
      </c>
      <c r="AY2499" t="s">
        <v>55</v>
      </c>
    </row>
    <row r="2500" spans="1:51">
      <c r="A2500">
        <v>100707</v>
      </c>
      <c r="B2500" t="s">
        <v>235</v>
      </c>
      <c r="C2500" t="str">
        <f t="shared" si="205"/>
        <v>04553030638</v>
      </c>
      <c r="D2500" t="str">
        <f t="shared" si="205"/>
        <v>04553030638</v>
      </c>
      <c r="E2500" t="s">
        <v>52</v>
      </c>
      <c r="F2500">
        <v>2014</v>
      </c>
      <c r="G2500">
        <v>403</v>
      </c>
      <c r="H2500" s="1">
        <v>42004</v>
      </c>
      <c r="I2500" s="1">
        <v>42004</v>
      </c>
      <c r="J2500" s="1">
        <v>42004</v>
      </c>
      <c r="K2500" s="1">
        <v>42064</v>
      </c>
      <c r="L2500" s="7">
        <v>15860</v>
      </c>
      <c r="M2500" s="5">
        <v>241</v>
      </c>
      <c r="N2500" s="7">
        <v>3822260</v>
      </c>
      <c r="O2500" s="2">
        <v>15860</v>
      </c>
      <c r="P2500">
        <v>241</v>
      </c>
      <c r="Q2500" s="2">
        <v>3822260</v>
      </c>
      <c r="R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 s="1">
        <v>42382</v>
      </c>
      <c r="AC2500" t="s">
        <v>53</v>
      </c>
      <c r="AD2500" t="s">
        <v>53</v>
      </c>
      <c r="AK2500">
        <v>0</v>
      </c>
      <c r="AU2500" s="6">
        <v>42305</v>
      </c>
      <c r="AV2500" s="6">
        <v>42305</v>
      </c>
      <c r="AW2500" t="s">
        <v>54</v>
      </c>
      <c r="AX2500" t="str">
        <f t="shared" si="206"/>
        <v>FOR</v>
      </c>
      <c r="AY2500" t="s">
        <v>55</v>
      </c>
    </row>
    <row r="2501" spans="1:51">
      <c r="A2501">
        <v>100707</v>
      </c>
      <c r="B2501" t="s">
        <v>235</v>
      </c>
      <c r="C2501" t="str">
        <f t="shared" si="205"/>
        <v>04553030638</v>
      </c>
      <c r="D2501" t="str">
        <f t="shared" si="205"/>
        <v>04553030638</v>
      </c>
      <c r="E2501" t="s">
        <v>52</v>
      </c>
      <c r="F2501">
        <v>2015</v>
      </c>
      <c r="G2501">
        <v>18</v>
      </c>
      <c r="H2501" s="1">
        <v>42035</v>
      </c>
      <c r="I2501" s="1">
        <v>42055</v>
      </c>
      <c r="J2501" s="1">
        <v>42055</v>
      </c>
      <c r="K2501" s="1">
        <v>42115</v>
      </c>
      <c r="L2501" s="7">
        <v>565</v>
      </c>
      <c r="M2501" s="5">
        <v>225</v>
      </c>
      <c r="N2501" s="7">
        <v>127125</v>
      </c>
      <c r="O2501">
        <v>565</v>
      </c>
      <c r="P2501">
        <v>225</v>
      </c>
      <c r="Q2501" s="2">
        <v>127125</v>
      </c>
      <c r="R2501">
        <v>124.3</v>
      </c>
      <c r="V2501">
        <v>0</v>
      </c>
      <c r="W2501">
        <v>0</v>
      </c>
      <c r="X2501">
        <v>0</v>
      </c>
      <c r="Y2501">
        <v>689.3</v>
      </c>
      <c r="Z2501">
        <v>689.3</v>
      </c>
      <c r="AA2501">
        <v>689.3</v>
      </c>
      <c r="AB2501" s="1">
        <v>42382</v>
      </c>
      <c r="AC2501" t="s">
        <v>53</v>
      </c>
      <c r="AD2501" t="s">
        <v>53</v>
      </c>
      <c r="AK2501">
        <v>124.3</v>
      </c>
      <c r="AU2501" s="6">
        <v>42340</v>
      </c>
      <c r="AV2501" s="6">
        <v>42340</v>
      </c>
      <c r="AW2501" t="s">
        <v>54</v>
      </c>
      <c r="AX2501" t="str">
        <f t="shared" si="206"/>
        <v>FOR</v>
      </c>
      <c r="AY2501" t="s">
        <v>55</v>
      </c>
    </row>
    <row r="2502" spans="1:51">
      <c r="A2502">
        <v>100707</v>
      </c>
      <c r="B2502" t="s">
        <v>235</v>
      </c>
      <c r="C2502" t="str">
        <f t="shared" si="205"/>
        <v>04553030638</v>
      </c>
      <c r="D2502" t="str">
        <f t="shared" si="205"/>
        <v>04553030638</v>
      </c>
      <c r="E2502" t="s">
        <v>52</v>
      </c>
      <c r="F2502">
        <v>2015</v>
      </c>
      <c r="G2502">
        <v>19</v>
      </c>
      <c r="H2502" s="1">
        <v>42035</v>
      </c>
      <c r="I2502" s="1">
        <v>42055</v>
      </c>
      <c r="J2502" s="1">
        <v>42055</v>
      </c>
      <c r="K2502" s="1">
        <v>42115</v>
      </c>
      <c r="L2502" s="7">
        <v>1210</v>
      </c>
      <c r="M2502" s="5">
        <v>225</v>
      </c>
      <c r="N2502" s="7">
        <v>272250</v>
      </c>
      <c r="O2502" s="2">
        <v>1210</v>
      </c>
      <c r="P2502">
        <v>225</v>
      </c>
      <c r="Q2502" s="2">
        <v>272250</v>
      </c>
      <c r="R2502">
        <v>266.2</v>
      </c>
      <c r="V2502">
        <v>0</v>
      </c>
      <c r="W2502">
        <v>0</v>
      </c>
      <c r="X2502">
        <v>0</v>
      </c>
      <c r="Y2502" s="2">
        <v>1476.2</v>
      </c>
      <c r="Z2502" s="2">
        <v>1476.2</v>
      </c>
      <c r="AA2502" s="2">
        <v>1476.2</v>
      </c>
      <c r="AB2502" s="1">
        <v>42382</v>
      </c>
      <c r="AC2502" t="s">
        <v>53</v>
      </c>
      <c r="AD2502" t="s">
        <v>53</v>
      </c>
      <c r="AK2502">
        <v>266.2</v>
      </c>
      <c r="AU2502" s="6">
        <v>42340</v>
      </c>
      <c r="AV2502" s="6">
        <v>42340</v>
      </c>
      <c r="AW2502" t="s">
        <v>54</v>
      </c>
      <c r="AX2502" t="str">
        <f t="shared" si="206"/>
        <v>FOR</v>
      </c>
      <c r="AY2502" t="s">
        <v>55</v>
      </c>
    </row>
    <row r="2503" spans="1:51" hidden="1">
      <c r="A2503">
        <v>100714</v>
      </c>
      <c r="B2503" t="s">
        <v>236</v>
      </c>
      <c r="C2503" t="str">
        <f t="shared" ref="C2503:D2506" si="207">"05653560960"</f>
        <v>05653560960</v>
      </c>
      <c r="D2503" t="str">
        <f t="shared" si="207"/>
        <v>05653560960</v>
      </c>
      <c r="E2503" t="s">
        <v>52</v>
      </c>
      <c r="F2503">
        <v>2014</v>
      </c>
      <c r="G2503">
        <v>11344466</v>
      </c>
      <c r="H2503" s="1">
        <v>41778</v>
      </c>
      <c r="I2503" s="1">
        <v>41782</v>
      </c>
      <c r="J2503" s="1">
        <v>41782</v>
      </c>
      <c r="K2503" s="1">
        <v>41872</v>
      </c>
      <c r="N2503" s="5"/>
      <c r="O2503" s="2">
        <v>4574.3900000000003</v>
      </c>
      <c r="P2503">
        <v>224</v>
      </c>
      <c r="Q2503" s="2">
        <v>1024663.36</v>
      </c>
      <c r="R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 s="1">
        <v>42382</v>
      </c>
      <c r="AC2503" t="s">
        <v>53</v>
      </c>
      <c r="AD2503" t="s">
        <v>53</v>
      </c>
      <c r="AK2503">
        <v>0</v>
      </c>
      <c r="AU2503" s="6">
        <v>42096</v>
      </c>
      <c r="AV2503" s="6">
        <v>42096</v>
      </c>
      <c r="AW2503" t="s">
        <v>54</v>
      </c>
      <c r="AX2503" t="str">
        <f t="shared" si="206"/>
        <v>FOR</v>
      </c>
      <c r="AY2503" t="s">
        <v>55</v>
      </c>
    </row>
    <row r="2504" spans="1:51" hidden="1">
      <c r="A2504">
        <v>100714</v>
      </c>
      <c r="B2504" t="s">
        <v>236</v>
      </c>
      <c r="C2504" t="str">
        <f t="shared" si="207"/>
        <v>05653560960</v>
      </c>
      <c r="D2504" t="str">
        <f t="shared" si="207"/>
        <v>05653560960</v>
      </c>
      <c r="E2504" t="s">
        <v>52</v>
      </c>
      <c r="F2504">
        <v>2014</v>
      </c>
      <c r="G2504">
        <v>11344536</v>
      </c>
      <c r="H2504" s="1">
        <v>41779</v>
      </c>
      <c r="I2504" s="1">
        <v>41782</v>
      </c>
      <c r="J2504" s="1">
        <v>41782</v>
      </c>
      <c r="K2504" s="1">
        <v>41872</v>
      </c>
      <c r="N2504" s="5"/>
      <c r="O2504" s="2">
        <v>4547.55</v>
      </c>
      <c r="P2504">
        <v>224</v>
      </c>
      <c r="Q2504" s="2">
        <v>1018651.2</v>
      </c>
      <c r="R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 s="1">
        <v>42382</v>
      </c>
      <c r="AC2504" t="s">
        <v>53</v>
      </c>
      <c r="AD2504" t="s">
        <v>53</v>
      </c>
      <c r="AK2504">
        <v>0</v>
      </c>
      <c r="AU2504" s="6">
        <v>42096</v>
      </c>
      <c r="AV2504" s="6">
        <v>42096</v>
      </c>
      <c r="AW2504" t="s">
        <v>54</v>
      </c>
      <c r="AX2504" t="str">
        <f t="shared" si="206"/>
        <v>FOR</v>
      </c>
      <c r="AY2504" t="s">
        <v>55</v>
      </c>
    </row>
    <row r="2505" spans="1:51" hidden="1">
      <c r="A2505">
        <v>100714</v>
      </c>
      <c r="B2505" t="s">
        <v>236</v>
      </c>
      <c r="C2505" t="str">
        <f t="shared" si="207"/>
        <v>05653560960</v>
      </c>
      <c r="D2505" t="str">
        <f t="shared" si="207"/>
        <v>05653560960</v>
      </c>
      <c r="E2505" t="s">
        <v>52</v>
      </c>
      <c r="F2505">
        <v>2014</v>
      </c>
      <c r="G2505">
        <v>11345266</v>
      </c>
      <c r="H2505" s="1">
        <v>41799</v>
      </c>
      <c r="I2505" s="1">
        <v>41806</v>
      </c>
      <c r="J2505" s="1">
        <v>41806</v>
      </c>
      <c r="K2505" s="1">
        <v>41896</v>
      </c>
      <c r="N2505" s="5"/>
      <c r="O2505" s="2">
        <v>4574.3900000000003</v>
      </c>
      <c r="P2505">
        <v>234</v>
      </c>
      <c r="Q2505" s="2">
        <v>1070407.26</v>
      </c>
      <c r="R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 s="1">
        <v>42382</v>
      </c>
      <c r="AC2505" t="s">
        <v>53</v>
      </c>
      <c r="AD2505" t="s">
        <v>53</v>
      </c>
      <c r="AK2505">
        <v>0</v>
      </c>
      <c r="AU2505" s="6">
        <v>42130</v>
      </c>
      <c r="AV2505" s="6">
        <v>42130</v>
      </c>
      <c r="AW2505" t="s">
        <v>54</v>
      </c>
      <c r="AX2505" t="str">
        <f t="shared" si="206"/>
        <v>FOR</v>
      </c>
      <c r="AY2505" t="s">
        <v>55</v>
      </c>
    </row>
    <row r="2506" spans="1:51">
      <c r="A2506">
        <v>100714</v>
      </c>
      <c r="B2506" t="s">
        <v>236</v>
      </c>
      <c r="C2506" t="str">
        <f t="shared" si="207"/>
        <v>05653560960</v>
      </c>
      <c r="D2506" t="str">
        <f t="shared" si="207"/>
        <v>05653560960</v>
      </c>
      <c r="E2506" t="s">
        <v>52</v>
      </c>
      <c r="F2506">
        <v>2014</v>
      </c>
      <c r="G2506">
        <v>11351287</v>
      </c>
      <c r="H2506" s="1">
        <v>41985</v>
      </c>
      <c r="I2506" s="1">
        <v>41995</v>
      </c>
      <c r="J2506" s="1">
        <v>41995</v>
      </c>
      <c r="K2506" s="1">
        <v>42055</v>
      </c>
      <c r="L2506" s="7">
        <v>4574.3900000000003</v>
      </c>
      <c r="M2506" s="5">
        <v>245</v>
      </c>
      <c r="N2506" s="7">
        <v>1120725.55</v>
      </c>
      <c r="O2506" s="2">
        <v>4574.3900000000003</v>
      </c>
      <c r="P2506">
        <v>245</v>
      </c>
      <c r="Q2506" s="2">
        <v>1120725.55</v>
      </c>
      <c r="R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 s="1">
        <v>42382</v>
      </c>
      <c r="AC2506" t="s">
        <v>53</v>
      </c>
      <c r="AD2506" t="s">
        <v>53</v>
      </c>
      <c r="AK2506">
        <v>0</v>
      </c>
      <c r="AU2506" s="6">
        <v>42300</v>
      </c>
      <c r="AV2506" s="6">
        <v>42300</v>
      </c>
      <c r="AW2506" t="s">
        <v>54</v>
      </c>
      <c r="AX2506" t="str">
        <f t="shared" si="206"/>
        <v>FOR</v>
      </c>
      <c r="AY2506" t="s">
        <v>55</v>
      </c>
    </row>
    <row r="2507" spans="1:51" hidden="1">
      <c r="A2507">
        <v>100741</v>
      </c>
      <c r="B2507" t="s">
        <v>237</v>
      </c>
      <c r="C2507" t="str">
        <f t="shared" ref="C2507:D2519" si="208">"04676440631"</f>
        <v>04676440631</v>
      </c>
      <c r="D2507" t="str">
        <f t="shared" si="208"/>
        <v>04676440631</v>
      </c>
      <c r="E2507" t="s">
        <v>52</v>
      </c>
      <c r="F2507">
        <v>2014</v>
      </c>
      <c r="G2507">
        <v>26</v>
      </c>
      <c r="H2507" s="1">
        <v>41744</v>
      </c>
      <c r="I2507" s="1">
        <v>41768</v>
      </c>
      <c r="J2507" s="1">
        <v>41768</v>
      </c>
      <c r="K2507" s="1">
        <v>41858</v>
      </c>
      <c r="N2507" s="5"/>
      <c r="O2507" s="2">
        <v>23180</v>
      </c>
      <c r="P2507">
        <v>214</v>
      </c>
      <c r="Q2507" s="2">
        <v>4960520</v>
      </c>
      <c r="R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 s="1">
        <v>42382</v>
      </c>
      <c r="AC2507" t="s">
        <v>53</v>
      </c>
      <c r="AD2507" t="s">
        <v>53</v>
      </c>
      <c r="AK2507">
        <v>0</v>
      </c>
      <c r="AU2507" s="6">
        <v>42072</v>
      </c>
      <c r="AV2507" s="6">
        <v>42072</v>
      </c>
      <c r="AW2507" t="s">
        <v>54</v>
      </c>
      <c r="AX2507" t="str">
        <f t="shared" si="206"/>
        <v>FOR</v>
      </c>
      <c r="AY2507" t="s">
        <v>55</v>
      </c>
    </row>
    <row r="2508" spans="1:51" hidden="1">
      <c r="A2508">
        <v>100741</v>
      </c>
      <c r="B2508" t="s">
        <v>237</v>
      </c>
      <c r="C2508" t="str">
        <f t="shared" si="208"/>
        <v>04676440631</v>
      </c>
      <c r="D2508" t="str">
        <f t="shared" si="208"/>
        <v>04676440631</v>
      </c>
      <c r="E2508" t="s">
        <v>52</v>
      </c>
      <c r="F2508">
        <v>2014</v>
      </c>
      <c r="G2508">
        <v>27</v>
      </c>
      <c r="H2508" s="1">
        <v>41744</v>
      </c>
      <c r="I2508" s="1">
        <v>41764</v>
      </c>
      <c r="J2508" s="1">
        <v>41764</v>
      </c>
      <c r="K2508" s="1">
        <v>41854</v>
      </c>
      <c r="N2508" s="5"/>
      <c r="O2508" s="2">
        <v>8540</v>
      </c>
      <c r="P2508">
        <v>218</v>
      </c>
      <c r="Q2508" s="2">
        <v>1861720</v>
      </c>
      <c r="R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 s="1">
        <v>42382</v>
      </c>
      <c r="AC2508" t="s">
        <v>53</v>
      </c>
      <c r="AD2508" t="s">
        <v>53</v>
      </c>
      <c r="AK2508">
        <v>0</v>
      </c>
      <c r="AU2508" s="6">
        <v>42072</v>
      </c>
      <c r="AV2508" s="6">
        <v>42072</v>
      </c>
      <c r="AW2508" t="s">
        <v>54</v>
      </c>
      <c r="AX2508" t="str">
        <f t="shared" si="206"/>
        <v>FOR</v>
      </c>
      <c r="AY2508" t="s">
        <v>55</v>
      </c>
    </row>
    <row r="2509" spans="1:51" hidden="1">
      <c r="A2509">
        <v>100741</v>
      </c>
      <c r="B2509" t="s">
        <v>237</v>
      </c>
      <c r="C2509" t="str">
        <f t="shared" si="208"/>
        <v>04676440631</v>
      </c>
      <c r="D2509" t="str">
        <f t="shared" si="208"/>
        <v>04676440631</v>
      </c>
      <c r="E2509" t="s">
        <v>52</v>
      </c>
      <c r="F2509">
        <v>2014</v>
      </c>
      <c r="G2509">
        <v>28</v>
      </c>
      <c r="H2509" s="1">
        <v>41744</v>
      </c>
      <c r="I2509" s="1">
        <v>41768</v>
      </c>
      <c r="J2509" s="1">
        <v>41768</v>
      </c>
      <c r="K2509" s="1">
        <v>41858</v>
      </c>
      <c r="N2509" s="5"/>
      <c r="O2509" s="2">
        <v>14640</v>
      </c>
      <c r="P2509">
        <v>214</v>
      </c>
      <c r="Q2509" s="2">
        <v>3132960</v>
      </c>
      <c r="R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 s="1">
        <v>42382</v>
      </c>
      <c r="AC2509" t="s">
        <v>53</v>
      </c>
      <c r="AD2509" t="s">
        <v>53</v>
      </c>
      <c r="AK2509">
        <v>0</v>
      </c>
      <c r="AU2509" s="6">
        <v>42072</v>
      </c>
      <c r="AV2509" s="6">
        <v>42072</v>
      </c>
      <c r="AW2509" t="s">
        <v>54</v>
      </c>
      <c r="AX2509" t="str">
        <f t="shared" si="206"/>
        <v>FOR</v>
      </c>
      <c r="AY2509" t="s">
        <v>55</v>
      </c>
    </row>
    <row r="2510" spans="1:51" hidden="1">
      <c r="A2510">
        <v>100741</v>
      </c>
      <c r="B2510" t="s">
        <v>237</v>
      </c>
      <c r="C2510" t="str">
        <f t="shared" si="208"/>
        <v>04676440631</v>
      </c>
      <c r="D2510" t="str">
        <f t="shared" si="208"/>
        <v>04676440631</v>
      </c>
      <c r="E2510" t="s">
        <v>52</v>
      </c>
      <c r="F2510">
        <v>2014</v>
      </c>
      <c r="G2510">
        <v>35</v>
      </c>
      <c r="H2510" s="1">
        <v>41759</v>
      </c>
      <c r="I2510" s="1">
        <v>41782</v>
      </c>
      <c r="J2510" s="1">
        <v>41782</v>
      </c>
      <c r="K2510" s="1">
        <v>41872</v>
      </c>
      <c r="N2510" s="5"/>
      <c r="O2510" s="2">
        <v>41480</v>
      </c>
      <c r="P2510">
        <v>200</v>
      </c>
      <c r="Q2510" s="2">
        <v>8296000</v>
      </c>
      <c r="R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 s="1">
        <v>42382</v>
      </c>
      <c r="AC2510" t="s">
        <v>53</v>
      </c>
      <c r="AD2510" t="s">
        <v>53</v>
      </c>
      <c r="AK2510">
        <v>0</v>
      </c>
      <c r="AU2510" s="6">
        <v>42072</v>
      </c>
      <c r="AV2510" s="6">
        <v>42072</v>
      </c>
      <c r="AW2510" t="s">
        <v>54</v>
      </c>
      <c r="AX2510" t="str">
        <f t="shared" si="206"/>
        <v>FOR</v>
      </c>
      <c r="AY2510" t="s">
        <v>55</v>
      </c>
    </row>
    <row r="2511" spans="1:51" hidden="1">
      <c r="A2511">
        <v>100741</v>
      </c>
      <c r="B2511" t="s">
        <v>237</v>
      </c>
      <c r="C2511" t="str">
        <f t="shared" si="208"/>
        <v>04676440631</v>
      </c>
      <c r="D2511" t="str">
        <f t="shared" si="208"/>
        <v>04676440631</v>
      </c>
      <c r="E2511" t="s">
        <v>52</v>
      </c>
      <c r="F2511">
        <v>2014</v>
      </c>
      <c r="G2511">
        <v>49</v>
      </c>
      <c r="H2511" s="1">
        <v>41797</v>
      </c>
      <c r="I2511" s="1">
        <v>41814</v>
      </c>
      <c r="J2511" s="1">
        <v>41814</v>
      </c>
      <c r="K2511" s="1">
        <v>41904</v>
      </c>
      <c r="N2511" s="5"/>
      <c r="O2511" s="2">
        <v>4270</v>
      </c>
      <c r="P2511">
        <v>260</v>
      </c>
      <c r="Q2511" s="2">
        <v>1110200</v>
      </c>
      <c r="R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 s="1">
        <v>42382</v>
      </c>
      <c r="AC2511" t="s">
        <v>53</v>
      </c>
      <c r="AD2511" t="s">
        <v>53</v>
      </c>
      <c r="AK2511">
        <v>0</v>
      </c>
      <c r="AU2511" s="6">
        <v>42164</v>
      </c>
      <c r="AV2511" s="6">
        <v>42164</v>
      </c>
      <c r="AW2511" t="s">
        <v>54</v>
      </c>
      <c r="AX2511" t="str">
        <f t="shared" si="206"/>
        <v>FOR</v>
      </c>
      <c r="AY2511" t="s">
        <v>55</v>
      </c>
    </row>
    <row r="2512" spans="1:51" hidden="1">
      <c r="A2512">
        <v>100741</v>
      </c>
      <c r="B2512" t="s">
        <v>237</v>
      </c>
      <c r="C2512" t="str">
        <f t="shared" si="208"/>
        <v>04676440631</v>
      </c>
      <c r="D2512" t="str">
        <f t="shared" si="208"/>
        <v>04676440631</v>
      </c>
      <c r="E2512" t="s">
        <v>52</v>
      </c>
      <c r="F2512">
        <v>2014</v>
      </c>
      <c r="G2512">
        <v>62</v>
      </c>
      <c r="H2512" s="1">
        <v>41823</v>
      </c>
      <c r="I2512" s="1">
        <v>41984</v>
      </c>
      <c r="J2512" s="1">
        <v>41984</v>
      </c>
      <c r="K2512" s="1">
        <v>42044</v>
      </c>
      <c r="N2512" s="5"/>
      <c r="O2512" s="2">
        <v>91500</v>
      </c>
      <c r="P2512">
        <v>120</v>
      </c>
      <c r="Q2512" s="2">
        <v>10980000</v>
      </c>
      <c r="R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 s="1">
        <v>42382</v>
      </c>
      <c r="AC2512" t="s">
        <v>53</v>
      </c>
      <c r="AD2512" t="s">
        <v>53</v>
      </c>
      <c r="AK2512">
        <v>0</v>
      </c>
      <c r="AU2512" s="6">
        <v>42164</v>
      </c>
      <c r="AV2512" s="6">
        <v>42164</v>
      </c>
      <c r="AW2512" t="s">
        <v>54</v>
      </c>
      <c r="AX2512" t="str">
        <f t="shared" si="206"/>
        <v>FOR</v>
      </c>
      <c r="AY2512" t="s">
        <v>55</v>
      </c>
    </row>
    <row r="2513" spans="1:51" hidden="1">
      <c r="A2513">
        <v>100741</v>
      </c>
      <c r="B2513" t="s">
        <v>237</v>
      </c>
      <c r="C2513" t="str">
        <f t="shared" si="208"/>
        <v>04676440631</v>
      </c>
      <c r="D2513" t="str">
        <f t="shared" si="208"/>
        <v>04676440631</v>
      </c>
      <c r="E2513" t="s">
        <v>52</v>
      </c>
      <c r="F2513">
        <v>2014</v>
      </c>
      <c r="G2513">
        <v>82</v>
      </c>
      <c r="H2513" s="1">
        <v>41855</v>
      </c>
      <c r="I2513" s="1">
        <v>41872</v>
      </c>
      <c r="J2513" s="1">
        <v>41872</v>
      </c>
      <c r="K2513" s="1">
        <v>41962</v>
      </c>
      <c r="N2513" s="5"/>
      <c r="O2513" s="2">
        <v>4270</v>
      </c>
      <c r="P2513">
        <v>287</v>
      </c>
      <c r="Q2513" s="2">
        <v>1225490</v>
      </c>
      <c r="R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 s="1">
        <v>42382</v>
      </c>
      <c r="AC2513" t="s">
        <v>53</v>
      </c>
      <c r="AD2513" t="s">
        <v>53</v>
      </c>
      <c r="AK2513">
        <v>0</v>
      </c>
      <c r="AU2513" s="6">
        <v>42249</v>
      </c>
      <c r="AV2513" s="6">
        <v>42249</v>
      </c>
      <c r="AW2513" t="s">
        <v>54</v>
      </c>
      <c r="AX2513" t="str">
        <f t="shared" si="206"/>
        <v>FOR</v>
      </c>
      <c r="AY2513" t="s">
        <v>55</v>
      </c>
    </row>
    <row r="2514" spans="1:51" hidden="1">
      <c r="A2514">
        <v>100741</v>
      </c>
      <c r="B2514" t="s">
        <v>237</v>
      </c>
      <c r="C2514" t="str">
        <f t="shared" si="208"/>
        <v>04676440631</v>
      </c>
      <c r="D2514" t="str">
        <f t="shared" si="208"/>
        <v>04676440631</v>
      </c>
      <c r="E2514" t="s">
        <v>52</v>
      </c>
      <c r="F2514">
        <v>2014</v>
      </c>
      <c r="G2514">
        <v>91</v>
      </c>
      <c r="H2514" s="1">
        <v>41880</v>
      </c>
      <c r="I2514" s="1">
        <v>41901</v>
      </c>
      <c r="J2514" s="1">
        <v>41901</v>
      </c>
      <c r="K2514" s="1">
        <v>41991</v>
      </c>
      <c r="N2514" s="5"/>
      <c r="O2514" s="2">
        <v>2135</v>
      </c>
      <c r="P2514">
        <v>258</v>
      </c>
      <c r="Q2514" s="2">
        <v>550830</v>
      </c>
      <c r="R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 s="1">
        <v>42382</v>
      </c>
      <c r="AC2514" t="s">
        <v>53</v>
      </c>
      <c r="AD2514" t="s">
        <v>53</v>
      </c>
      <c r="AK2514">
        <v>0</v>
      </c>
      <c r="AU2514" s="6">
        <v>42249</v>
      </c>
      <c r="AV2514" s="6">
        <v>42249</v>
      </c>
      <c r="AW2514" t="s">
        <v>54</v>
      </c>
      <c r="AX2514" t="str">
        <f t="shared" si="206"/>
        <v>FOR</v>
      </c>
      <c r="AY2514" t="s">
        <v>55</v>
      </c>
    </row>
    <row r="2515" spans="1:51" hidden="1">
      <c r="A2515">
        <v>100741</v>
      </c>
      <c r="B2515" t="s">
        <v>237</v>
      </c>
      <c r="C2515" t="str">
        <f t="shared" si="208"/>
        <v>04676440631</v>
      </c>
      <c r="D2515" t="str">
        <f t="shared" si="208"/>
        <v>04676440631</v>
      </c>
      <c r="E2515" t="s">
        <v>52</v>
      </c>
      <c r="F2515">
        <v>2014</v>
      </c>
      <c r="G2515">
        <v>104</v>
      </c>
      <c r="H2515" s="1">
        <v>41912</v>
      </c>
      <c r="I2515" s="1">
        <v>41932</v>
      </c>
      <c r="J2515" s="1">
        <v>41932</v>
      </c>
      <c r="K2515" s="1">
        <v>41992</v>
      </c>
      <c r="N2515" s="5"/>
      <c r="O2515" s="2">
        <v>2135</v>
      </c>
      <c r="P2515">
        <v>257</v>
      </c>
      <c r="Q2515" s="2">
        <v>548695</v>
      </c>
      <c r="R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 s="1">
        <v>42382</v>
      </c>
      <c r="AC2515" t="s">
        <v>53</v>
      </c>
      <c r="AD2515" t="s">
        <v>53</v>
      </c>
      <c r="AK2515">
        <v>0</v>
      </c>
      <c r="AU2515" s="6">
        <v>42249</v>
      </c>
      <c r="AV2515" s="6">
        <v>42249</v>
      </c>
      <c r="AW2515" t="s">
        <v>54</v>
      </c>
      <c r="AX2515" t="str">
        <f t="shared" si="206"/>
        <v>FOR</v>
      </c>
      <c r="AY2515" t="s">
        <v>55</v>
      </c>
    </row>
    <row r="2516" spans="1:51">
      <c r="A2516">
        <v>100741</v>
      </c>
      <c r="B2516" t="s">
        <v>237</v>
      </c>
      <c r="C2516" t="str">
        <f t="shared" si="208"/>
        <v>04676440631</v>
      </c>
      <c r="D2516" t="str">
        <f t="shared" si="208"/>
        <v>04676440631</v>
      </c>
      <c r="E2516" t="s">
        <v>52</v>
      </c>
      <c r="F2516">
        <v>2014</v>
      </c>
      <c r="G2516">
        <v>113</v>
      </c>
      <c r="H2516" s="1">
        <v>41946</v>
      </c>
      <c r="I2516" s="1">
        <v>41975</v>
      </c>
      <c r="J2516" s="1">
        <v>41975</v>
      </c>
      <c r="K2516" s="1">
        <v>42035</v>
      </c>
      <c r="L2516" s="7">
        <v>70577</v>
      </c>
      <c r="M2516" s="5">
        <v>243</v>
      </c>
      <c r="N2516" s="7">
        <v>17150211</v>
      </c>
      <c r="O2516" s="2">
        <v>70577</v>
      </c>
      <c r="P2516">
        <v>243</v>
      </c>
      <c r="Q2516" s="2">
        <v>17150211</v>
      </c>
      <c r="R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 s="1">
        <v>42382</v>
      </c>
      <c r="AC2516" t="s">
        <v>53</v>
      </c>
      <c r="AD2516" t="s">
        <v>53</v>
      </c>
      <c r="AK2516">
        <v>0</v>
      </c>
      <c r="AU2516" s="6">
        <v>42278</v>
      </c>
      <c r="AV2516" s="6">
        <v>42278</v>
      </c>
      <c r="AW2516" t="s">
        <v>54</v>
      </c>
      <c r="AX2516" t="str">
        <f t="shared" si="206"/>
        <v>FOR</v>
      </c>
      <c r="AY2516" t="s">
        <v>55</v>
      </c>
    </row>
    <row r="2517" spans="1:51">
      <c r="A2517">
        <v>100741</v>
      </c>
      <c r="B2517" t="s">
        <v>237</v>
      </c>
      <c r="C2517" t="str">
        <f t="shared" si="208"/>
        <v>04676440631</v>
      </c>
      <c r="D2517" t="str">
        <f t="shared" si="208"/>
        <v>04676440631</v>
      </c>
      <c r="E2517" t="s">
        <v>52</v>
      </c>
      <c r="F2517">
        <v>2014</v>
      </c>
      <c r="G2517">
        <v>123</v>
      </c>
      <c r="H2517" s="1">
        <v>41955</v>
      </c>
      <c r="I2517" s="1">
        <v>41962</v>
      </c>
      <c r="J2517" s="1">
        <v>41962</v>
      </c>
      <c r="K2517" s="1">
        <v>42022</v>
      </c>
      <c r="L2517" s="7">
        <v>2135</v>
      </c>
      <c r="M2517" s="5">
        <v>256</v>
      </c>
      <c r="N2517" s="7">
        <v>546560</v>
      </c>
      <c r="O2517" s="2">
        <v>2135</v>
      </c>
      <c r="P2517">
        <v>256</v>
      </c>
      <c r="Q2517" s="2">
        <v>546560</v>
      </c>
      <c r="R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 s="1">
        <v>42382</v>
      </c>
      <c r="AC2517" t="s">
        <v>53</v>
      </c>
      <c r="AD2517" t="s">
        <v>53</v>
      </c>
      <c r="AK2517">
        <v>0</v>
      </c>
      <c r="AU2517" s="6">
        <v>42278</v>
      </c>
      <c r="AV2517" s="6">
        <v>42278</v>
      </c>
      <c r="AW2517" t="s">
        <v>54</v>
      </c>
      <c r="AX2517" t="str">
        <f t="shared" si="206"/>
        <v>FOR</v>
      </c>
      <c r="AY2517" t="s">
        <v>55</v>
      </c>
    </row>
    <row r="2518" spans="1:51">
      <c r="A2518">
        <v>100741</v>
      </c>
      <c r="B2518" t="s">
        <v>237</v>
      </c>
      <c r="C2518" t="str">
        <f t="shared" si="208"/>
        <v>04676440631</v>
      </c>
      <c r="D2518" t="str">
        <f t="shared" si="208"/>
        <v>04676440631</v>
      </c>
      <c r="E2518" t="s">
        <v>52</v>
      </c>
      <c r="F2518">
        <v>2014</v>
      </c>
      <c r="G2518">
        <v>129</v>
      </c>
      <c r="H2518" s="1">
        <v>41971</v>
      </c>
      <c r="I2518" s="1">
        <v>42004</v>
      </c>
      <c r="J2518" s="1">
        <v>42004</v>
      </c>
      <c r="K2518" s="1">
        <v>42064</v>
      </c>
      <c r="L2518" s="7">
        <v>2135</v>
      </c>
      <c r="M2518" s="5">
        <v>214</v>
      </c>
      <c r="N2518" s="7">
        <v>456890</v>
      </c>
      <c r="O2518" s="2">
        <v>2135</v>
      </c>
      <c r="P2518">
        <v>214</v>
      </c>
      <c r="Q2518" s="2">
        <v>456890</v>
      </c>
      <c r="R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 s="1">
        <v>42382</v>
      </c>
      <c r="AC2518" t="s">
        <v>53</v>
      </c>
      <c r="AD2518" t="s">
        <v>53</v>
      </c>
      <c r="AK2518">
        <v>0</v>
      </c>
      <c r="AU2518" s="6">
        <v>42278</v>
      </c>
      <c r="AV2518" s="6">
        <v>42278</v>
      </c>
      <c r="AW2518" t="s">
        <v>54</v>
      </c>
      <c r="AX2518" t="str">
        <f t="shared" si="206"/>
        <v>FOR</v>
      </c>
      <c r="AY2518" t="s">
        <v>55</v>
      </c>
    </row>
    <row r="2519" spans="1:51">
      <c r="A2519">
        <v>100741</v>
      </c>
      <c r="B2519" t="s">
        <v>237</v>
      </c>
      <c r="C2519" t="str">
        <f t="shared" si="208"/>
        <v>04676440631</v>
      </c>
      <c r="D2519" t="str">
        <f t="shared" si="208"/>
        <v>04676440631</v>
      </c>
      <c r="E2519" t="s">
        <v>52</v>
      </c>
      <c r="F2519">
        <v>2014</v>
      </c>
      <c r="G2519">
        <v>135</v>
      </c>
      <c r="H2519" s="1">
        <v>42004</v>
      </c>
      <c r="I2519" s="1">
        <v>42088</v>
      </c>
      <c r="J2519" s="1">
        <v>42088</v>
      </c>
      <c r="K2519" s="1">
        <v>42148</v>
      </c>
      <c r="L2519" s="7">
        <v>2135</v>
      </c>
      <c r="M2519" s="5">
        <v>152</v>
      </c>
      <c r="N2519" s="7">
        <v>324520</v>
      </c>
      <c r="O2519" s="2">
        <v>2135</v>
      </c>
      <c r="P2519">
        <v>152</v>
      </c>
      <c r="Q2519" s="2">
        <v>324520</v>
      </c>
      <c r="R2519">
        <v>0</v>
      </c>
      <c r="V2519">
        <v>0</v>
      </c>
      <c r="W2519">
        <v>0</v>
      </c>
      <c r="X2519">
        <v>0</v>
      </c>
      <c r="Y2519">
        <v>0</v>
      </c>
      <c r="Z2519" s="2">
        <v>2135</v>
      </c>
      <c r="AA2519">
        <v>0</v>
      </c>
      <c r="AB2519" s="1">
        <v>42382</v>
      </c>
      <c r="AC2519" t="s">
        <v>53</v>
      </c>
      <c r="AD2519" t="s">
        <v>53</v>
      </c>
      <c r="AK2519">
        <v>0</v>
      </c>
      <c r="AU2519" s="6">
        <v>42300</v>
      </c>
      <c r="AV2519" s="6">
        <v>42300</v>
      </c>
      <c r="AW2519" t="s">
        <v>54</v>
      </c>
      <c r="AX2519" t="str">
        <f t="shared" si="206"/>
        <v>FOR</v>
      </c>
      <c r="AY2519" t="s">
        <v>55</v>
      </c>
    </row>
    <row r="2520" spans="1:51" hidden="1">
      <c r="A2520">
        <v>100752</v>
      </c>
      <c r="B2520" t="s">
        <v>238</v>
      </c>
      <c r="C2520" t="str">
        <f>"02767640135"</f>
        <v>02767640135</v>
      </c>
      <c r="D2520" t="str">
        <f>"02767640135"</f>
        <v>02767640135</v>
      </c>
      <c r="E2520" t="s">
        <v>52</v>
      </c>
      <c r="F2520">
        <v>2014</v>
      </c>
      <c r="G2520">
        <v>141366</v>
      </c>
      <c r="H2520" s="1">
        <v>41821</v>
      </c>
      <c r="I2520" s="1">
        <v>41845</v>
      </c>
      <c r="J2520" s="1">
        <v>41845</v>
      </c>
      <c r="K2520" s="1">
        <v>41935</v>
      </c>
      <c r="N2520" s="5"/>
      <c r="O2520">
        <v>84.99</v>
      </c>
      <c r="P2520">
        <v>223</v>
      </c>
      <c r="Q2520" s="2">
        <v>18952.77</v>
      </c>
      <c r="R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 s="1">
        <v>42382</v>
      </c>
      <c r="AC2520" t="s">
        <v>53</v>
      </c>
      <c r="AD2520" t="s">
        <v>53</v>
      </c>
      <c r="AK2520">
        <v>0</v>
      </c>
      <c r="AU2520" s="6">
        <v>42158</v>
      </c>
      <c r="AV2520" s="6">
        <v>42158</v>
      </c>
      <c r="AW2520" t="s">
        <v>54</v>
      </c>
      <c r="AX2520" t="str">
        <f t="shared" si="206"/>
        <v>FOR</v>
      </c>
      <c r="AY2520" t="s">
        <v>55</v>
      </c>
    </row>
    <row r="2521" spans="1:51">
      <c r="A2521">
        <v>100752</v>
      </c>
      <c r="B2521" t="s">
        <v>238</v>
      </c>
      <c r="C2521" t="str">
        <f>"02767640135"</f>
        <v>02767640135</v>
      </c>
      <c r="D2521" t="str">
        <f>"02767640135"</f>
        <v>02767640135</v>
      </c>
      <c r="E2521" t="s">
        <v>52</v>
      </c>
      <c r="F2521">
        <v>2015</v>
      </c>
      <c r="G2521" s="3">
        <v>155212</v>
      </c>
      <c r="H2521" s="1">
        <v>42158</v>
      </c>
      <c r="I2521" s="1">
        <v>42193</v>
      </c>
      <c r="J2521" s="1">
        <v>42191</v>
      </c>
      <c r="K2521" s="1">
        <v>42251</v>
      </c>
      <c r="L2521" s="7">
        <v>9</v>
      </c>
      <c r="M2521" s="5">
        <v>33</v>
      </c>
      <c r="N2521" s="7">
        <v>297</v>
      </c>
      <c r="O2521">
        <v>9</v>
      </c>
      <c r="P2521">
        <v>33</v>
      </c>
      <c r="Q2521">
        <v>297</v>
      </c>
      <c r="R2521">
        <v>1.98</v>
      </c>
      <c r="V2521">
        <v>0</v>
      </c>
      <c r="W2521">
        <v>0</v>
      </c>
      <c r="X2521">
        <v>0</v>
      </c>
      <c r="Y2521">
        <v>10.98</v>
      </c>
      <c r="Z2521">
        <v>10.98</v>
      </c>
      <c r="AA2521">
        <v>10.98</v>
      </c>
      <c r="AB2521" s="1">
        <v>42382</v>
      </c>
      <c r="AC2521" t="s">
        <v>53</v>
      </c>
      <c r="AD2521" t="s">
        <v>53</v>
      </c>
      <c r="AH2521">
        <v>1.98</v>
      </c>
      <c r="AK2521">
        <v>0</v>
      </c>
      <c r="AU2521" s="6">
        <v>42284</v>
      </c>
      <c r="AV2521" s="6">
        <v>42284</v>
      </c>
      <c r="AW2521" t="s">
        <v>54</v>
      </c>
      <c r="AX2521" t="str">
        <f t="shared" si="206"/>
        <v>FOR</v>
      </c>
      <c r="AY2521" t="s">
        <v>55</v>
      </c>
    </row>
    <row r="2522" spans="1:51" hidden="1">
      <c r="A2522">
        <v>100755</v>
      </c>
      <c r="B2522" t="s">
        <v>239</v>
      </c>
      <c r="C2522" t="str">
        <f>"03859880969"</f>
        <v>03859880969</v>
      </c>
      <c r="D2522" t="str">
        <f>"03859880969"</f>
        <v>03859880969</v>
      </c>
      <c r="E2522" t="s">
        <v>52</v>
      </c>
      <c r="F2522">
        <v>2014</v>
      </c>
      <c r="G2522">
        <v>143503</v>
      </c>
      <c r="H2522" s="1">
        <v>41873</v>
      </c>
      <c r="I2522" s="1">
        <v>41883</v>
      </c>
      <c r="J2522" s="1">
        <v>41883</v>
      </c>
      <c r="K2522" s="1">
        <v>41973</v>
      </c>
      <c r="N2522" s="5"/>
      <c r="O2522" s="2">
        <v>2573.27</v>
      </c>
      <c r="P2522">
        <v>276</v>
      </c>
      <c r="Q2522" s="2">
        <v>710222.52</v>
      </c>
      <c r="R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 s="1">
        <v>42382</v>
      </c>
      <c r="AC2522" t="s">
        <v>53</v>
      </c>
      <c r="AD2522" t="s">
        <v>53</v>
      </c>
      <c r="AK2522">
        <v>0</v>
      </c>
      <c r="AU2522" s="6">
        <v>42249</v>
      </c>
      <c r="AV2522" s="6">
        <v>42249</v>
      </c>
      <c r="AW2522" t="s">
        <v>54</v>
      </c>
      <c r="AX2522" t="str">
        <f t="shared" si="206"/>
        <v>FOR</v>
      </c>
      <c r="AY2522" t="s">
        <v>55</v>
      </c>
    </row>
    <row r="2523" spans="1:51" hidden="1">
      <c r="A2523">
        <v>100774</v>
      </c>
      <c r="B2523" t="s">
        <v>240</v>
      </c>
      <c r="C2523" t="str">
        <f t="shared" ref="C2523:D2529" si="209">"04526141215"</f>
        <v>04526141215</v>
      </c>
      <c r="D2523" t="str">
        <f t="shared" si="209"/>
        <v>04526141215</v>
      </c>
      <c r="E2523" t="s">
        <v>52</v>
      </c>
      <c r="F2523">
        <v>2014</v>
      </c>
      <c r="G2523">
        <v>71</v>
      </c>
      <c r="H2523" s="1">
        <v>41697</v>
      </c>
      <c r="I2523" s="1">
        <v>41701</v>
      </c>
      <c r="J2523" s="1">
        <v>41701</v>
      </c>
      <c r="K2523" s="1">
        <v>41791</v>
      </c>
      <c r="N2523" s="5"/>
      <c r="O2523" s="2">
        <v>5302.42</v>
      </c>
      <c r="P2523">
        <v>246</v>
      </c>
      <c r="Q2523" s="2">
        <v>1304395.32</v>
      </c>
      <c r="R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 s="1">
        <v>42382</v>
      </c>
      <c r="AC2523" t="s">
        <v>53</v>
      </c>
      <c r="AD2523" t="s">
        <v>53</v>
      </c>
      <c r="AK2523">
        <v>0</v>
      </c>
      <c r="AU2523" s="6">
        <v>42037</v>
      </c>
      <c r="AV2523" s="6">
        <v>42037</v>
      </c>
      <c r="AW2523" t="s">
        <v>54</v>
      </c>
      <c r="AX2523" t="str">
        <f t="shared" si="206"/>
        <v>FOR</v>
      </c>
      <c r="AY2523" t="s">
        <v>55</v>
      </c>
    </row>
    <row r="2524" spans="1:51" hidden="1">
      <c r="A2524">
        <v>100774</v>
      </c>
      <c r="B2524" t="s">
        <v>240</v>
      </c>
      <c r="C2524" t="str">
        <f t="shared" si="209"/>
        <v>04526141215</v>
      </c>
      <c r="D2524" t="str">
        <f t="shared" si="209"/>
        <v>04526141215</v>
      </c>
      <c r="E2524" t="s">
        <v>52</v>
      </c>
      <c r="F2524">
        <v>2014</v>
      </c>
      <c r="G2524">
        <v>141</v>
      </c>
      <c r="H2524" s="1">
        <v>41752</v>
      </c>
      <c r="I2524" s="1">
        <v>41796</v>
      </c>
      <c r="J2524" s="1">
        <v>41796</v>
      </c>
      <c r="K2524" s="1">
        <v>41886</v>
      </c>
      <c r="N2524" s="5"/>
      <c r="O2524">
        <v>976</v>
      </c>
      <c r="P2524">
        <v>216</v>
      </c>
      <c r="Q2524" s="2">
        <v>210816</v>
      </c>
      <c r="R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 s="1">
        <v>42382</v>
      </c>
      <c r="AC2524" t="s">
        <v>53</v>
      </c>
      <c r="AD2524" t="s">
        <v>53</v>
      </c>
      <c r="AK2524">
        <v>0</v>
      </c>
      <c r="AU2524" s="6">
        <v>42102</v>
      </c>
      <c r="AV2524" s="6">
        <v>42102</v>
      </c>
      <c r="AW2524" t="s">
        <v>54</v>
      </c>
      <c r="AX2524" t="str">
        <f t="shared" si="206"/>
        <v>FOR</v>
      </c>
      <c r="AY2524" t="s">
        <v>55</v>
      </c>
    </row>
    <row r="2525" spans="1:51" hidden="1">
      <c r="A2525">
        <v>100774</v>
      </c>
      <c r="B2525" t="s">
        <v>240</v>
      </c>
      <c r="C2525" t="str">
        <f t="shared" si="209"/>
        <v>04526141215</v>
      </c>
      <c r="D2525" t="str">
        <f t="shared" si="209"/>
        <v>04526141215</v>
      </c>
      <c r="E2525" t="s">
        <v>52</v>
      </c>
      <c r="F2525">
        <v>2014</v>
      </c>
      <c r="G2525">
        <v>152</v>
      </c>
      <c r="H2525" s="1">
        <v>41768</v>
      </c>
      <c r="I2525" s="1">
        <v>41779</v>
      </c>
      <c r="J2525" s="1">
        <v>41779</v>
      </c>
      <c r="K2525" s="1">
        <v>41869</v>
      </c>
      <c r="N2525" s="5"/>
      <c r="O2525" s="2">
        <v>4160</v>
      </c>
      <c r="P2525">
        <v>380</v>
      </c>
      <c r="Q2525" s="2">
        <v>1580800</v>
      </c>
      <c r="R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 s="1">
        <v>42382</v>
      </c>
      <c r="AC2525" t="s">
        <v>53</v>
      </c>
      <c r="AD2525" t="s">
        <v>53</v>
      </c>
      <c r="AK2525">
        <v>0</v>
      </c>
      <c r="AU2525" s="6">
        <v>42249</v>
      </c>
      <c r="AV2525" s="6">
        <v>42249</v>
      </c>
      <c r="AW2525" t="s">
        <v>54</v>
      </c>
      <c r="AX2525" t="str">
        <f t="shared" si="206"/>
        <v>FOR</v>
      </c>
      <c r="AY2525" t="s">
        <v>55</v>
      </c>
    </row>
    <row r="2526" spans="1:51" hidden="1">
      <c r="A2526">
        <v>100774</v>
      </c>
      <c r="B2526" t="s">
        <v>240</v>
      </c>
      <c r="C2526" t="str">
        <f t="shared" si="209"/>
        <v>04526141215</v>
      </c>
      <c r="D2526" t="str">
        <f t="shared" si="209"/>
        <v>04526141215</v>
      </c>
      <c r="E2526" t="s">
        <v>52</v>
      </c>
      <c r="F2526">
        <v>2014</v>
      </c>
      <c r="G2526">
        <v>257</v>
      </c>
      <c r="H2526" s="1">
        <v>41843</v>
      </c>
      <c r="I2526" s="1">
        <v>41844</v>
      </c>
      <c r="J2526" s="1">
        <v>41844</v>
      </c>
      <c r="K2526" s="1">
        <v>41934</v>
      </c>
      <c r="N2526" s="5"/>
      <c r="O2526">
        <v>976</v>
      </c>
      <c r="P2526">
        <v>315</v>
      </c>
      <c r="Q2526" s="2">
        <v>307440</v>
      </c>
      <c r="R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 s="1">
        <v>42382</v>
      </c>
      <c r="AC2526" t="s">
        <v>53</v>
      </c>
      <c r="AD2526" t="s">
        <v>53</v>
      </c>
      <c r="AK2526">
        <v>0</v>
      </c>
      <c r="AU2526" s="6">
        <v>42249</v>
      </c>
      <c r="AV2526" s="6">
        <v>42249</v>
      </c>
      <c r="AW2526" t="s">
        <v>54</v>
      </c>
      <c r="AX2526" t="str">
        <f t="shared" si="206"/>
        <v>FOR</v>
      </c>
      <c r="AY2526" t="s">
        <v>55</v>
      </c>
    </row>
    <row r="2527" spans="1:51" hidden="1">
      <c r="A2527">
        <v>100774</v>
      </c>
      <c r="B2527" t="s">
        <v>240</v>
      </c>
      <c r="C2527" t="str">
        <f t="shared" si="209"/>
        <v>04526141215</v>
      </c>
      <c r="D2527" t="str">
        <f t="shared" si="209"/>
        <v>04526141215</v>
      </c>
      <c r="E2527" t="s">
        <v>52</v>
      </c>
      <c r="F2527">
        <v>2014</v>
      </c>
      <c r="G2527">
        <v>276</v>
      </c>
      <c r="H2527" s="1">
        <v>41857</v>
      </c>
      <c r="I2527" s="1">
        <v>41873</v>
      </c>
      <c r="J2527" s="1">
        <v>41873</v>
      </c>
      <c r="K2527" s="1">
        <v>41963</v>
      </c>
      <c r="N2527" s="5"/>
      <c r="O2527">
        <v>492.72</v>
      </c>
      <c r="P2527">
        <v>286</v>
      </c>
      <c r="Q2527" s="2">
        <v>140917.92000000001</v>
      </c>
      <c r="R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 s="1">
        <v>42382</v>
      </c>
      <c r="AC2527" t="s">
        <v>53</v>
      </c>
      <c r="AD2527" t="s">
        <v>53</v>
      </c>
      <c r="AK2527">
        <v>0</v>
      </c>
      <c r="AU2527" s="6">
        <v>42249</v>
      </c>
      <c r="AV2527" s="6">
        <v>42249</v>
      </c>
      <c r="AW2527" t="s">
        <v>54</v>
      </c>
      <c r="AX2527" t="str">
        <f t="shared" si="206"/>
        <v>FOR</v>
      </c>
      <c r="AY2527" t="s">
        <v>55</v>
      </c>
    </row>
    <row r="2528" spans="1:51" hidden="1">
      <c r="A2528">
        <v>100774</v>
      </c>
      <c r="B2528" t="s">
        <v>240</v>
      </c>
      <c r="C2528" t="str">
        <f t="shared" si="209"/>
        <v>04526141215</v>
      </c>
      <c r="D2528" t="str">
        <f t="shared" si="209"/>
        <v>04526141215</v>
      </c>
      <c r="E2528" t="s">
        <v>52</v>
      </c>
      <c r="F2528">
        <v>2014</v>
      </c>
      <c r="G2528">
        <v>321</v>
      </c>
      <c r="H2528" s="1">
        <v>41911</v>
      </c>
      <c r="I2528" s="1">
        <v>41915</v>
      </c>
      <c r="J2528" s="1">
        <v>41915</v>
      </c>
      <c r="K2528" s="1">
        <v>42005</v>
      </c>
      <c r="N2528" s="5"/>
      <c r="O2528">
        <v>976</v>
      </c>
      <c r="P2528">
        <v>244</v>
      </c>
      <c r="Q2528" s="2">
        <v>238144</v>
      </c>
      <c r="R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 s="1">
        <v>42382</v>
      </c>
      <c r="AC2528" t="s">
        <v>53</v>
      </c>
      <c r="AD2528" t="s">
        <v>53</v>
      </c>
      <c r="AK2528">
        <v>0</v>
      </c>
      <c r="AU2528" s="6">
        <v>42249</v>
      </c>
      <c r="AV2528" s="6">
        <v>42249</v>
      </c>
      <c r="AW2528" t="s">
        <v>54</v>
      </c>
      <c r="AX2528" t="str">
        <f t="shared" si="206"/>
        <v>FOR</v>
      </c>
      <c r="AY2528" t="s">
        <v>55</v>
      </c>
    </row>
    <row r="2529" spans="1:51">
      <c r="A2529">
        <v>100774</v>
      </c>
      <c r="B2529" t="s">
        <v>240</v>
      </c>
      <c r="C2529" t="str">
        <f t="shared" si="209"/>
        <v>04526141215</v>
      </c>
      <c r="D2529" t="str">
        <f t="shared" si="209"/>
        <v>04526141215</v>
      </c>
      <c r="E2529" t="s">
        <v>52</v>
      </c>
      <c r="F2529">
        <v>2014</v>
      </c>
      <c r="G2529">
        <v>394</v>
      </c>
      <c r="H2529" s="1">
        <v>41968</v>
      </c>
      <c r="I2529" s="1">
        <v>41971</v>
      </c>
      <c r="J2529" s="1">
        <v>41971</v>
      </c>
      <c r="K2529" s="1">
        <v>42031</v>
      </c>
      <c r="L2529" s="7">
        <v>1464</v>
      </c>
      <c r="M2529" s="5">
        <v>274</v>
      </c>
      <c r="N2529" s="7">
        <v>401136</v>
      </c>
      <c r="O2529" s="2">
        <v>1464</v>
      </c>
      <c r="P2529">
        <v>274</v>
      </c>
      <c r="Q2529" s="2">
        <v>401136</v>
      </c>
      <c r="R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 s="1">
        <v>42382</v>
      </c>
      <c r="AC2529" t="s">
        <v>53</v>
      </c>
      <c r="AD2529" t="s">
        <v>53</v>
      </c>
      <c r="AK2529">
        <v>0</v>
      </c>
      <c r="AU2529" s="6">
        <v>42305</v>
      </c>
      <c r="AV2529" s="6">
        <v>42305</v>
      </c>
      <c r="AW2529" t="s">
        <v>54</v>
      </c>
      <c r="AX2529" t="str">
        <f t="shared" si="206"/>
        <v>FOR</v>
      </c>
      <c r="AY2529" t="s">
        <v>55</v>
      </c>
    </row>
    <row r="2530" spans="1:51" hidden="1">
      <c r="A2530">
        <v>100787</v>
      </c>
      <c r="B2530" t="s">
        <v>241</v>
      </c>
      <c r="C2530" t="str">
        <f t="shared" ref="C2530:C2572" si="210">"00157320623"</f>
        <v>00157320623</v>
      </c>
      <c r="D2530" t="str">
        <f t="shared" ref="D2530:D2572" si="211">"CRDPIA44R47A783H"</f>
        <v>CRDPIA44R47A783H</v>
      </c>
      <c r="E2530" t="s">
        <v>52</v>
      </c>
      <c r="F2530">
        <v>2014</v>
      </c>
      <c r="G2530" t="s">
        <v>242</v>
      </c>
      <c r="H2530" s="1">
        <v>41901</v>
      </c>
      <c r="I2530" s="1">
        <v>41927</v>
      </c>
      <c r="J2530" s="1">
        <v>41927</v>
      </c>
      <c r="K2530" s="1">
        <v>41987</v>
      </c>
      <c r="N2530" s="5"/>
      <c r="O2530">
        <v>300</v>
      </c>
      <c r="P2530">
        <v>53</v>
      </c>
      <c r="Q2530" s="2">
        <v>15900</v>
      </c>
      <c r="R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 s="1">
        <v>42382</v>
      </c>
      <c r="AC2530" t="s">
        <v>53</v>
      </c>
      <c r="AD2530" t="s">
        <v>53</v>
      </c>
      <c r="AK2530">
        <v>0</v>
      </c>
      <c r="AU2530" s="6">
        <v>42040</v>
      </c>
      <c r="AV2530" s="6">
        <v>42040</v>
      </c>
      <c r="AW2530" t="s">
        <v>54</v>
      </c>
      <c r="AX2530" t="str">
        <f t="shared" si="206"/>
        <v>FOR</v>
      </c>
      <c r="AY2530" t="s">
        <v>55</v>
      </c>
    </row>
    <row r="2531" spans="1:51" hidden="1">
      <c r="A2531">
        <v>100787</v>
      </c>
      <c r="B2531" t="s">
        <v>241</v>
      </c>
      <c r="C2531" t="str">
        <f t="shared" si="210"/>
        <v>00157320623</v>
      </c>
      <c r="D2531" t="str">
        <f t="shared" si="211"/>
        <v>CRDPIA44R47A783H</v>
      </c>
      <c r="E2531" t="s">
        <v>52</v>
      </c>
      <c r="F2531">
        <v>2014</v>
      </c>
      <c r="G2531" t="s">
        <v>243</v>
      </c>
      <c r="H2531" s="1">
        <v>41901</v>
      </c>
      <c r="I2531" s="1">
        <v>41927</v>
      </c>
      <c r="J2531" s="1">
        <v>41927</v>
      </c>
      <c r="K2531" s="1">
        <v>41987</v>
      </c>
      <c r="N2531" s="5"/>
      <c r="O2531">
        <v>105.01</v>
      </c>
      <c r="P2531">
        <v>53</v>
      </c>
      <c r="Q2531" s="2">
        <v>5565.53</v>
      </c>
      <c r="R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 s="1">
        <v>42382</v>
      </c>
      <c r="AC2531" t="s">
        <v>53</v>
      </c>
      <c r="AD2531" t="s">
        <v>53</v>
      </c>
      <c r="AK2531">
        <v>0</v>
      </c>
      <c r="AU2531" s="6">
        <v>42040</v>
      </c>
      <c r="AV2531" s="6">
        <v>42040</v>
      </c>
      <c r="AW2531" t="s">
        <v>54</v>
      </c>
      <c r="AX2531" t="str">
        <f t="shared" si="206"/>
        <v>FOR</v>
      </c>
      <c r="AY2531" t="s">
        <v>55</v>
      </c>
    </row>
    <row r="2532" spans="1:51" hidden="1">
      <c r="A2532">
        <v>100787</v>
      </c>
      <c r="B2532" t="s">
        <v>241</v>
      </c>
      <c r="C2532" t="str">
        <f t="shared" si="210"/>
        <v>00157320623</v>
      </c>
      <c r="D2532" t="str">
        <f t="shared" si="211"/>
        <v>CRDPIA44R47A783H</v>
      </c>
      <c r="E2532" t="s">
        <v>52</v>
      </c>
      <c r="F2532">
        <v>2014</v>
      </c>
      <c r="G2532" t="s">
        <v>244</v>
      </c>
      <c r="H2532" s="1">
        <v>41902</v>
      </c>
      <c r="I2532" s="1">
        <v>41927</v>
      </c>
      <c r="J2532" s="1">
        <v>41927</v>
      </c>
      <c r="K2532" s="1">
        <v>41987</v>
      </c>
      <c r="N2532" s="5"/>
      <c r="O2532">
        <v>990.01</v>
      </c>
      <c r="P2532">
        <v>53</v>
      </c>
      <c r="Q2532" s="2">
        <v>52470.53</v>
      </c>
      <c r="R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 s="1">
        <v>42382</v>
      </c>
      <c r="AC2532" t="s">
        <v>53</v>
      </c>
      <c r="AD2532" t="s">
        <v>53</v>
      </c>
      <c r="AK2532">
        <v>0</v>
      </c>
      <c r="AU2532" s="6">
        <v>42040</v>
      </c>
      <c r="AV2532" s="6">
        <v>42040</v>
      </c>
      <c r="AW2532" t="s">
        <v>54</v>
      </c>
      <c r="AX2532" t="str">
        <f t="shared" si="206"/>
        <v>FOR</v>
      </c>
      <c r="AY2532" t="s">
        <v>55</v>
      </c>
    </row>
    <row r="2533" spans="1:51" hidden="1">
      <c r="A2533">
        <v>100787</v>
      </c>
      <c r="B2533" t="s">
        <v>241</v>
      </c>
      <c r="C2533" t="str">
        <f t="shared" si="210"/>
        <v>00157320623</v>
      </c>
      <c r="D2533" t="str">
        <f t="shared" si="211"/>
        <v>CRDPIA44R47A783H</v>
      </c>
      <c r="E2533" t="s">
        <v>52</v>
      </c>
      <c r="F2533">
        <v>2014</v>
      </c>
      <c r="G2533" t="s">
        <v>245</v>
      </c>
      <c r="H2533" s="1">
        <v>41902</v>
      </c>
      <c r="I2533" s="1">
        <v>41927</v>
      </c>
      <c r="J2533" s="1">
        <v>41927</v>
      </c>
      <c r="K2533" s="1">
        <v>41987</v>
      </c>
      <c r="N2533" s="5"/>
      <c r="O2533">
        <v>180</v>
      </c>
      <c r="P2533">
        <v>53</v>
      </c>
      <c r="Q2533" s="2">
        <v>9540</v>
      </c>
      <c r="R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 s="1">
        <v>42382</v>
      </c>
      <c r="AC2533" t="s">
        <v>53</v>
      </c>
      <c r="AD2533" t="s">
        <v>53</v>
      </c>
      <c r="AK2533">
        <v>0</v>
      </c>
      <c r="AU2533" s="6">
        <v>42040</v>
      </c>
      <c r="AV2533" s="6">
        <v>42040</v>
      </c>
      <c r="AW2533" t="s">
        <v>54</v>
      </c>
      <c r="AX2533" t="str">
        <f t="shared" si="206"/>
        <v>FOR</v>
      </c>
      <c r="AY2533" t="s">
        <v>55</v>
      </c>
    </row>
    <row r="2534" spans="1:51" hidden="1">
      <c r="A2534">
        <v>100787</v>
      </c>
      <c r="B2534" t="s">
        <v>241</v>
      </c>
      <c r="C2534" t="str">
        <f t="shared" si="210"/>
        <v>00157320623</v>
      </c>
      <c r="D2534" t="str">
        <f t="shared" si="211"/>
        <v>CRDPIA44R47A783H</v>
      </c>
      <c r="E2534" t="s">
        <v>52</v>
      </c>
      <c r="F2534">
        <v>2014</v>
      </c>
      <c r="G2534" t="s">
        <v>246</v>
      </c>
      <c r="H2534" s="1">
        <v>41902</v>
      </c>
      <c r="I2534" s="1">
        <v>41927</v>
      </c>
      <c r="J2534" s="1">
        <v>41927</v>
      </c>
      <c r="K2534" s="1">
        <v>41987</v>
      </c>
      <c r="N2534" s="5"/>
      <c r="O2534">
        <v>25.6</v>
      </c>
      <c r="P2534">
        <v>53</v>
      </c>
      <c r="Q2534" s="2">
        <v>1356.8</v>
      </c>
      <c r="R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 s="1">
        <v>42382</v>
      </c>
      <c r="AC2534" t="s">
        <v>53</v>
      </c>
      <c r="AD2534" t="s">
        <v>53</v>
      </c>
      <c r="AK2534">
        <v>0</v>
      </c>
      <c r="AU2534" s="6">
        <v>42040</v>
      </c>
      <c r="AV2534" s="6">
        <v>42040</v>
      </c>
      <c r="AW2534" t="s">
        <v>54</v>
      </c>
      <c r="AX2534" t="str">
        <f t="shared" si="206"/>
        <v>FOR</v>
      </c>
      <c r="AY2534" t="s">
        <v>55</v>
      </c>
    </row>
    <row r="2535" spans="1:51" hidden="1">
      <c r="A2535">
        <v>100787</v>
      </c>
      <c r="B2535" t="s">
        <v>241</v>
      </c>
      <c r="C2535" t="str">
        <f t="shared" si="210"/>
        <v>00157320623</v>
      </c>
      <c r="D2535" t="str">
        <f t="shared" si="211"/>
        <v>CRDPIA44R47A783H</v>
      </c>
      <c r="E2535" t="s">
        <v>52</v>
      </c>
      <c r="F2535">
        <v>2014</v>
      </c>
      <c r="G2535" t="s">
        <v>247</v>
      </c>
      <c r="H2535" s="1">
        <v>41934</v>
      </c>
      <c r="I2535" s="1">
        <v>41936</v>
      </c>
      <c r="J2535" s="1">
        <v>41936</v>
      </c>
      <c r="K2535" s="1">
        <v>41996</v>
      </c>
      <c r="N2535" s="5"/>
      <c r="O2535">
        <v>72</v>
      </c>
      <c r="P2535">
        <v>44</v>
      </c>
      <c r="Q2535" s="2">
        <v>3168</v>
      </c>
      <c r="R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 s="1">
        <v>42382</v>
      </c>
      <c r="AC2535" t="s">
        <v>53</v>
      </c>
      <c r="AD2535" t="s">
        <v>53</v>
      </c>
      <c r="AK2535">
        <v>0</v>
      </c>
      <c r="AU2535" s="6">
        <v>42040</v>
      </c>
      <c r="AV2535" s="6">
        <v>42040</v>
      </c>
      <c r="AW2535" t="s">
        <v>54</v>
      </c>
      <c r="AX2535" t="str">
        <f t="shared" si="206"/>
        <v>FOR</v>
      </c>
      <c r="AY2535" t="s">
        <v>55</v>
      </c>
    </row>
    <row r="2536" spans="1:51" hidden="1">
      <c r="A2536">
        <v>100787</v>
      </c>
      <c r="B2536" t="s">
        <v>241</v>
      </c>
      <c r="C2536" t="str">
        <f t="shared" si="210"/>
        <v>00157320623</v>
      </c>
      <c r="D2536" t="str">
        <f t="shared" si="211"/>
        <v>CRDPIA44R47A783H</v>
      </c>
      <c r="E2536" t="s">
        <v>52</v>
      </c>
      <c r="F2536">
        <v>2014</v>
      </c>
      <c r="G2536" t="s">
        <v>248</v>
      </c>
      <c r="H2536" s="1">
        <v>41936</v>
      </c>
      <c r="I2536" s="1">
        <v>41949</v>
      </c>
      <c r="J2536" s="1">
        <v>41949</v>
      </c>
      <c r="K2536" s="1">
        <v>42009</v>
      </c>
      <c r="N2536" s="5"/>
      <c r="O2536">
        <v>275</v>
      </c>
      <c r="P2536">
        <v>31</v>
      </c>
      <c r="Q2536" s="2">
        <v>8525</v>
      </c>
      <c r="R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 s="1">
        <v>42382</v>
      </c>
      <c r="AC2536" t="s">
        <v>53</v>
      </c>
      <c r="AD2536" t="s">
        <v>53</v>
      </c>
      <c r="AK2536">
        <v>0</v>
      </c>
      <c r="AU2536" s="6">
        <v>42040</v>
      </c>
      <c r="AV2536" s="6">
        <v>42040</v>
      </c>
      <c r="AW2536" t="s">
        <v>54</v>
      </c>
      <c r="AX2536" t="str">
        <f t="shared" si="206"/>
        <v>FOR</v>
      </c>
      <c r="AY2536" t="s">
        <v>55</v>
      </c>
    </row>
    <row r="2537" spans="1:51" hidden="1">
      <c r="A2537">
        <v>100787</v>
      </c>
      <c r="B2537" t="s">
        <v>241</v>
      </c>
      <c r="C2537" t="str">
        <f t="shared" si="210"/>
        <v>00157320623</v>
      </c>
      <c r="D2537" t="str">
        <f t="shared" si="211"/>
        <v>CRDPIA44R47A783H</v>
      </c>
      <c r="E2537" t="s">
        <v>52</v>
      </c>
      <c r="F2537">
        <v>2014</v>
      </c>
      <c r="G2537" t="s">
        <v>249</v>
      </c>
      <c r="H2537" s="1">
        <v>41936</v>
      </c>
      <c r="I2537" s="1">
        <v>41949</v>
      </c>
      <c r="J2537" s="1">
        <v>41949</v>
      </c>
      <c r="K2537" s="1">
        <v>42009</v>
      </c>
      <c r="N2537" s="5"/>
      <c r="O2537">
        <v>850</v>
      </c>
      <c r="P2537">
        <v>31</v>
      </c>
      <c r="Q2537" s="2">
        <v>26350</v>
      </c>
      <c r="R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 s="1">
        <v>42382</v>
      </c>
      <c r="AC2537" t="s">
        <v>53</v>
      </c>
      <c r="AD2537" t="s">
        <v>53</v>
      </c>
      <c r="AK2537">
        <v>0</v>
      </c>
      <c r="AU2537" s="6">
        <v>42040</v>
      </c>
      <c r="AV2537" s="6">
        <v>42040</v>
      </c>
      <c r="AW2537" t="s">
        <v>54</v>
      </c>
      <c r="AX2537" t="str">
        <f t="shared" si="206"/>
        <v>FOR</v>
      </c>
      <c r="AY2537" t="s">
        <v>55</v>
      </c>
    </row>
    <row r="2538" spans="1:51" hidden="1">
      <c r="A2538">
        <v>100787</v>
      </c>
      <c r="B2538" t="s">
        <v>241</v>
      </c>
      <c r="C2538" t="str">
        <f t="shared" si="210"/>
        <v>00157320623</v>
      </c>
      <c r="D2538" t="str">
        <f t="shared" si="211"/>
        <v>CRDPIA44R47A783H</v>
      </c>
      <c r="E2538" t="s">
        <v>52</v>
      </c>
      <c r="F2538">
        <v>2014</v>
      </c>
      <c r="G2538" t="s">
        <v>250</v>
      </c>
      <c r="H2538" s="1">
        <v>41950</v>
      </c>
      <c r="I2538" s="1">
        <v>41953</v>
      </c>
      <c r="J2538" s="1">
        <v>41953</v>
      </c>
      <c r="K2538" s="1">
        <v>42013</v>
      </c>
      <c r="N2538" s="5"/>
      <c r="O2538">
        <v>106.5</v>
      </c>
      <c r="P2538">
        <v>27</v>
      </c>
      <c r="Q2538" s="2">
        <v>2875.5</v>
      </c>
      <c r="R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 s="1">
        <v>42382</v>
      </c>
      <c r="AC2538" t="s">
        <v>53</v>
      </c>
      <c r="AD2538" t="s">
        <v>53</v>
      </c>
      <c r="AK2538">
        <v>0</v>
      </c>
      <c r="AU2538" s="6">
        <v>42040</v>
      </c>
      <c r="AV2538" s="6">
        <v>42040</v>
      </c>
      <c r="AW2538" t="s">
        <v>54</v>
      </c>
      <c r="AX2538" t="str">
        <f t="shared" si="206"/>
        <v>FOR</v>
      </c>
      <c r="AY2538" t="s">
        <v>55</v>
      </c>
    </row>
    <row r="2539" spans="1:51" hidden="1">
      <c r="A2539">
        <v>100787</v>
      </c>
      <c r="B2539" t="s">
        <v>241</v>
      </c>
      <c r="C2539" t="str">
        <f t="shared" si="210"/>
        <v>00157320623</v>
      </c>
      <c r="D2539" t="str">
        <f t="shared" si="211"/>
        <v>CRDPIA44R47A783H</v>
      </c>
      <c r="E2539" t="s">
        <v>52</v>
      </c>
      <c r="F2539">
        <v>2014</v>
      </c>
      <c r="G2539" t="s">
        <v>251</v>
      </c>
      <c r="H2539" s="1">
        <v>41960</v>
      </c>
      <c r="I2539" s="1">
        <v>41974</v>
      </c>
      <c r="J2539" s="1">
        <v>41974</v>
      </c>
      <c r="K2539" s="1">
        <v>42034</v>
      </c>
      <c r="N2539" s="5"/>
      <c r="O2539">
        <v>15.01</v>
      </c>
      <c r="P2539">
        <v>6</v>
      </c>
      <c r="Q2539">
        <v>90.06</v>
      </c>
      <c r="R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 s="1">
        <v>42382</v>
      </c>
      <c r="AC2539" t="s">
        <v>53</v>
      </c>
      <c r="AD2539" t="s">
        <v>53</v>
      </c>
      <c r="AK2539">
        <v>0</v>
      </c>
      <c r="AU2539" s="6">
        <v>42040</v>
      </c>
      <c r="AV2539" s="6">
        <v>42040</v>
      </c>
      <c r="AW2539" t="s">
        <v>54</v>
      </c>
      <c r="AX2539" t="str">
        <f t="shared" si="206"/>
        <v>FOR</v>
      </c>
      <c r="AY2539" t="s">
        <v>55</v>
      </c>
    </row>
    <row r="2540" spans="1:51" hidden="1">
      <c r="A2540">
        <v>100787</v>
      </c>
      <c r="B2540" t="s">
        <v>241</v>
      </c>
      <c r="C2540" t="str">
        <f t="shared" si="210"/>
        <v>00157320623</v>
      </c>
      <c r="D2540" t="str">
        <f t="shared" si="211"/>
        <v>CRDPIA44R47A783H</v>
      </c>
      <c r="E2540" t="s">
        <v>52</v>
      </c>
      <c r="F2540">
        <v>2014</v>
      </c>
      <c r="G2540" t="s">
        <v>252</v>
      </c>
      <c r="H2540" s="1">
        <v>41960</v>
      </c>
      <c r="I2540" s="1">
        <v>41974</v>
      </c>
      <c r="J2540" s="1">
        <v>41974</v>
      </c>
      <c r="K2540" s="1">
        <v>42034</v>
      </c>
      <c r="N2540" s="5"/>
      <c r="O2540">
        <v>98.7</v>
      </c>
      <c r="P2540">
        <v>6</v>
      </c>
      <c r="Q2540">
        <v>592.20000000000005</v>
      </c>
      <c r="R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 s="1">
        <v>42382</v>
      </c>
      <c r="AC2540" t="s">
        <v>53</v>
      </c>
      <c r="AD2540" t="s">
        <v>53</v>
      </c>
      <c r="AK2540">
        <v>0</v>
      </c>
      <c r="AU2540" s="6">
        <v>42040</v>
      </c>
      <c r="AV2540" s="6">
        <v>42040</v>
      </c>
      <c r="AW2540" t="s">
        <v>54</v>
      </c>
      <c r="AX2540" t="str">
        <f t="shared" si="206"/>
        <v>FOR</v>
      </c>
      <c r="AY2540" t="s">
        <v>55</v>
      </c>
    </row>
    <row r="2541" spans="1:51" hidden="1">
      <c r="A2541">
        <v>100787</v>
      </c>
      <c r="B2541" t="s">
        <v>241</v>
      </c>
      <c r="C2541" t="str">
        <f t="shared" si="210"/>
        <v>00157320623</v>
      </c>
      <c r="D2541" t="str">
        <f t="shared" si="211"/>
        <v>CRDPIA44R47A783H</v>
      </c>
      <c r="E2541" t="s">
        <v>52</v>
      </c>
      <c r="F2541">
        <v>2014</v>
      </c>
      <c r="G2541" t="s">
        <v>253</v>
      </c>
      <c r="H2541" s="1">
        <v>41960</v>
      </c>
      <c r="I2541" s="1">
        <v>41974</v>
      </c>
      <c r="J2541" s="1">
        <v>41974</v>
      </c>
      <c r="K2541" s="1">
        <v>42034</v>
      </c>
      <c r="N2541" s="5"/>
      <c r="O2541">
        <v>79.010000000000005</v>
      </c>
      <c r="P2541">
        <v>6</v>
      </c>
      <c r="Q2541">
        <v>474.06</v>
      </c>
      <c r="R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 s="1">
        <v>42382</v>
      </c>
      <c r="AC2541" t="s">
        <v>53</v>
      </c>
      <c r="AD2541" t="s">
        <v>53</v>
      </c>
      <c r="AK2541">
        <v>0</v>
      </c>
      <c r="AU2541" s="6">
        <v>42040</v>
      </c>
      <c r="AV2541" s="6">
        <v>42040</v>
      </c>
      <c r="AW2541" t="s">
        <v>54</v>
      </c>
      <c r="AX2541" t="str">
        <f t="shared" si="206"/>
        <v>FOR</v>
      </c>
      <c r="AY2541" t="s">
        <v>55</v>
      </c>
    </row>
    <row r="2542" spans="1:51" hidden="1">
      <c r="A2542">
        <v>100787</v>
      </c>
      <c r="B2542" t="s">
        <v>241</v>
      </c>
      <c r="C2542" t="str">
        <f t="shared" si="210"/>
        <v>00157320623</v>
      </c>
      <c r="D2542" t="str">
        <f t="shared" si="211"/>
        <v>CRDPIA44R47A783H</v>
      </c>
      <c r="E2542" t="s">
        <v>52</v>
      </c>
      <c r="F2542">
        <v>2014</v>
      </c>
      <c r="G2542" t="s">
        <v>254</v>
      </c>
      <c r="H2542" s="1">
        <v>41972</v>
      </c>
      <c r="I2542" s="1">
        <v>41983</v>
      </c>
      <c r="J2542" s="1">
        <v>41983</v>
      </c>
      <c r="K2542" s="1">
        <v>42043</v>
      </c>
      <c r="N2542" s="5"/>
      <c r="O2542">
        <v>400</v>
      </c>
      <c r="P2542">
        <v>-3</v>
      </c>
      <c r="Q2542" s="2">
        <v>-1200</v>
      </c>
      <c r="R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 s="1">
        <v>42382</v>
      </c>
      <c r="AC2542" t="s">
        <v>53</v>
      </c>
      <c r="AD2542" t="s">
        <v>53</v>
      </c>
      <c r="AK2542">
        <v>0</v>
      </c>
      <c r="AU2542" s="6">
        <v>42040</v>
      </c>
      <c r="AV2542" s="6">
        <v>42040</v>
      </c>
      <c r="AW2542" t="s">
        <v>54</v>
      </c>
      <c r="AX2542" t="str">
        <f t="shared" si="206"/>
        <v>FOR</v>
      </c>
      <c r="AY2542" t="s">
        <v>55</v>
      </c>
    </row>
    <row r="2543" spans="1:51" hidden="1">
      <c r="A2543">
        <v>100787</v>
      </c>
      <c r="B2543" t="s">
        <v>241</v>
      </c>
      <c r="C2543" t="str">
        <f t="shared" si="210"/>
        <v>00157320623</v>
      </c>
      <c r="D2543" t="str">
        <f t="shared" si="211"/>
        <v>CRDPIA44R47A783H</v>
      </c>
      <c r="E2543" t="s">
        <v>52</v>
      </c>
      <c r="F2543">
        <v>2014</v>
      </c>
      <c r="G2543" t="s">
        <v>255</v>
      </c>
      <c r="H2543" s="1">
        <v>41986</v>
      </c>
      <c r="I2543" s="1">
        <v>41991</v>
      </c>
      <c r="J2543" s="1">
        <v>41991</v>
      </c>
      <c r="K2543" s="1">
        <v>42051</v>
      </c>
      <c r="N2543" s="5"/>
      <c r="O2543">
        <v>768</v>
      </c>
      <c r="P2543">
        <v>-11</v>
      </c>
      <c r="Q2543" s="2">
        <v>-8448</v>
      </c>
      <c r="R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 s="1">
        <v>42382</v>
      </c>
      <c r="AC2543" t="s">
        <v>53</v>
      </c>
      <c r="AD2543" t="s">
        <v>53</v>
      </c>
      <c r="AK2543">
        <v>0</v>
      </c>
      <c r="AU2543" s="6">
        <v>42040</v>
      </c>
      <c r="AV2543" s="6">
        <v>42040</v>
      </c>
      <c r="AW2543" t="s">
        <v>54</v>
      </c>
      <c r="AX2543" t="str">
        <f t="shared" si="206"/>
        <v>FOR</v>
      </c>
      <c r="AY2543" t="s">
        <v>55</v>
      </c>
    </row>
    <row r="2544" spans="1:51" hidden="1">
      <c r="A2544">
        <v>100787</v>
      </c>
      <c r="B2544" t="s">
        <v>241</v>
      </c>
      <c r="C2544" t="str">
        <f t="shared" si="210"/>
        <v>00157320623</v>
      </c>
      <c r="D2544" t="str">
        <f t="shared" si="211"/>
        <v>CRDPIA44R47A783H</v>
      </c>
      <c r="E2544" t="s">
        <v>52</v>
      </c>
      <c r="F2544">
        <v>2014</v>
      </c>
      <c r="G2544" t="s">
        <v>256</v>
      </c>
      <c r="H2544" s="1">
        <v>41988</v>
      </c>
      <c r="I2544" s="1">
        <v>41991</v>
      </c>
      <c r="J2544" s="1">
        <v>41991</v>
      </c>
      <c r="K2544" s="1">
        <v>42051</v>
      </c>
      <c r="N2544" s="5"/>
      <c r="O2544">
        <v>500</v>
      </c>
      <c r="P2544">
        <v>-11</v>
      </c>
      <c r="Q2544" s="2">
        <v>-5500</v>
      </c>
      <c r="R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 s="1">
        <v>42382</v>
      </c>
      <c r="AC2544" t="s">
        <v>53</v>
      </c>
      <c r="AD2544" t="s">
        <v>53</v>
      </c>
      <c r="AK2544">
        <v>0</v>
      </c>
      <c r="AU2544" s="6">
        <v>42040</v>
      </c>
      <c r="AV2544" s="6">
        <v>42040</v>
      </c>
      <c r="AW2544" t="s">
        <v>54</v>
      </c>
      <c r="AX2544" t="str">
        <f t="shared" si="206"/>
        <v>FOR</v>
      </c>
      <c r="AY2544" t="s">
        <v>55</v>
      </c>
    </row>
    <row r="2545" spans="1:51" hidden="1">
      <c r="A2545">
        <v>100787</v>
      </c>
      <c r="B2545" t="s">
        <v>241</v>
      </c>
      <c r="C2545" t="str">
        <f t="shared" si="210"/>
        <v>00157320623</v>
      </c>
      <c r="D2545" t="str">
        <f t="shared" si="211"/>
        <v>CRDPIA44R47A783H</v>
      </c>
      <c r="E2545" t="s">
        <v>52</v>
      </c>
      <c r="F2545">
        <v>2014</v>
      </c>
      <c r="G2545" t="s">
        <v>257</v>
      </c>
      <c r="H2545" s="1">
        <v>41988</v>
      </c>
      <c r="I2545" s="1">
        <v>41991</v>
      </c>
      <c r="J2545" s="1">
        <v>41991</v>
      </c>
      <c r="K2545" s="1">
        <v>42051</v>
      </c>
      <c r="N2545" s="5"/>
      <c r="O2545">
        <v>54.2</v>
      </c>
      <c r="P2545">
        <v>-11</v>
      </c>
      <c r="Q2545">
        <v>-596.20000000000005</v>
      </c>
      <c r="R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 s="1">
        <v>42382</v>
      </c>
      <c r="AC2545" t="s">
        <v>53</v>
      </c>
      <c r="AD2545" t="s">
        <v>53</v>
      </c>
      <c r="AK2545">
        <v>0</v>
      </c>
      <c r="AU2545" s="6">
        <v>42040</v>
      </c>
      <c r="AV2545" s="6">
        <v>42040</v>
      </c>
      <c r="AW2545" t="s">
        <v>54</v>
      </c>
      <c r="AX2545" t="str">
        <f t="shared" si="206"/>
        <v>FOR</v>
      </c>
      <c r="AY2545" t="s">
        <v>55</v>
      </c>
    </row>
    <row r="2546" spans="1:51" hidden="1">
      <c r="A2546">
        <v>100787</v>
      </c>
      <c r="B2546" t="s">
        <v>241</v>
      </c>
      <c r="C2546" t="str">
        <f t="shared" si="210"/>
        <v>00157320623</v>
      </c>
      <c r="D2546" t="str">
        <f t="shared" si="211"/>
        <v>CRDPIA44R47A783H</v>
      </c>
      <c r="E2546" t="s">
        <v>52</v>
      </c>
      <c r="F2546">
        <v>2014</v>
      </c>
      <c r="G2546" t="s">
        <v>258</v>
      </c>
      <c r="H2546" s="1">
        <v>41991</v>
      </c>
      <c r="I2546" s="1">
        <v>41991</v>
      </c>
      <c r="J2546" s="1">
        <v>41991</v>
      </c>
      <c r="K2546" s="1">
        <v>42051</v>
      </c>
      <c r="N2546" s="5"/>
      <c r="O2546">
        <v>163.57</v>
      </c>
      <c r="P2546">
        <v>-11</v>
      </c>
      <c r="Q2546" s="2">
        <v>-1799.27</v>
      </c>
      <c r="R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 s="1">
        <v>42382</v>
      </c>
      <c r="AC2546" t="s">
        <v>53</v>
      </c>
      <c r="AD2546" t="s">
        <v>53</v>
      </c>
      <c r="AK2546">
        <v>0</v>
      </c>
      <c r="AU2546" s="6">
        <v>42040</v>
      </c>
      <c r="AV2546" s="6">
        <v>42040</v>
      </c>
      <c r="AW2546" t="s">
        <v>54</v>
      </c>
      <c r="AX2546" t="str">
        <f t="shared" si="206"/>
        <v>FOR</v>
      </c>
      <c r="AY2546" t="s">
        <v>55</v>
      </c>
    </row>
    <row r="2547" spans="1:51" hidden="1">
      <c r="A2547">
        <v>100787</v>
      </c>
      <c r="B2547" t="s">
        <v>241</v>
      </c>
      <c r="C2547" t="str">
        <f t="shared" si="210"/>
        <v>00157320623</v>
      </c>
      <c r="D2547" t="str">
        <f t="shared" si="211"/>
        <v>CRDPIA44R47A783H</v>
      </c>
      <c r="E2547" t="s">
        <v>52</v>
      </c>
      <c r="F2547">
        <v>2014</v>
      </c>
      <c r="G2547" t="s">
        <v>259</v>
      </c>
      <c r="H2547" s="1">
        <v>41991</v>
      </c>
      <c r="I2547" s="1">
        <v>41991</v>
      </c>
      <c r="J2547" s="1">
        <v>41991</v>
      </c>
      <c r="K2547" s="1">
        <v>42051</v>
      </c>
      <c r="N2547" s="5"/>
      <c r="O2547">
        <v>368.61</v>
      </c>
      <c r="P2547">
        <v>-11</v>
      </c>
      <c r="Q2547" s="2">
        <v>-4054.71</v>
      </c>
      <c r="R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 s="1">
        <v>42382</v>
      </c>
      <c r="AC2547" t="s">
        <v>53</v>
      </c>
      <c r="AD2547" t="s">
        <v>53</v>
      </c>
      <c r="AK2547">
        <v>0</v>
      </c>
      <c r="AU2547" s="6">
        <v>42040</v>
      </c>
      <c r="AV2547" s="6">
        <v>42040</v>
      </c>
      <c r="AW2547" t="s">
        <v>54</v>
      </c>
      <c r="AX2547" t="str">
        <f t="shared" si="206"/>
        <v>FOR</v>
      </c>
      <c r="AY2547" t="s">
        <v>55</v>
      </c>
    </row>
    <row r="2548" spans="1:51" hidden="1">
      <c r="A2548">
        <v>100787</v>
      </c>
      <c r="B2548" t="s">
        <v>241</v>
      </c>
      <c r="C2548" t="str">
        <f t="shared" si="210"/>
        <v>00157320623</v>
      </c>
      <c r="D2548" t="str">
        <f t="shared" si="211"/>
        <v>CRDPIA44R47A783H</v>
      </c>
      <c r="E2548" t="s">
        <v>52</v>
      </c>
      <c r="F2548">
        <v>2014</v>
      </c>
      <c r="G2548" t="s">
        <v>260</v>
      </c>
      <c r="H2548" s="1">
        <v>41992</v>
      </c>
      <c r="I2548" s="1">
        <v>41995</v>
      </c>
      <c r="J2548" s="1">
        <v>41995</v>
      </c>
      <c r="K2548" s="1">
        <v>42055</v>
      </c>
      <c r="N2548" s="5"/>
      <c r="O2548">
        <v>315</v>
      </c>
      <c r="P2548">
        <v>-15</v>
      </c>
      <c r="Q2548" s="2">
        <v>-4725</v>
      </c>
      <c r="R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 s="1">
        <v>42382</v>
      </c>
      <c r="AC2548" t="s">
        <v>53</v>
      </c>
      <c r="AD2548" t="s">
        <v>53</v>
      </c>
      <c r="AK2548">
        <v>0</v>
      </c>
      <c r="AU2548" s="6">
        <v>42040</v>
      </c>
      <c r="AV2548" s="6">
        <v>42040</v>
      </c>
      <c r="AW2548" t="s">
        <v>54</v>
      </c>
      <c r="AX2548" t="str">
        <f t="shared" si="206"/>
        <v>FOR</v>
      </c>
      <c r="AY2548" t="s">
        <v>55</v>
      </c>
    </row>
    <row r="2549" spans="1:51" hidden="1">
      <c r="A2549">
        <v>100787</v>
      </c>
      <c r="B2549" t="s">
        <v>241</v>
      </c>
      <c r="C2549" t="str">
        <f t="shared" si="210"/>
        <v>00157320623</v>
      </c>
      <c r="D2549" t="str">
        <f t="shared" si="211"/>
        <v>CRDPIA44R47A783H</v>
      </c>
      <c r="E2549" t="s">
        <v>52</v>
      </c>
      <c r="F2549">
        <v>2014</v>
      </c>
      <c r="G2549" t="s">
        <v>261</v>
      </c>
      <c r="H2549" s="1">
        <v>41992</v>
      </c>
      <c r="I2549" s="1">
        <v>41995</v>
      </c>
      <c r="J2549" s="1">
        <v>41995</v>
      </c>
      <c r="K2549" s="1">
        <v>42055</v>
      </c>
      <c r="N2549" s="5"/>
      <c r="O2549">
        <v>280</v>
      </c>
      <c r="P2549">
        <v>-15</v>
      </c>
      <c r="Q2549" s="2">
        <v>-4200</v>
      </c>
      <c r="R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 s="1">
        <v>42382</v>
      </c>
      <c r="AC2549" t="s">
        <v>53</v>
      </c>
      <c r="AD2549" t="s">
        <v>53</v>
      </c>
      <c r="AK2549">
        <v>0</v>
      </c>
      <c r="AU2549" s="6">
        <v>42040</v>
      </c>
      <c r="AV2549" s="6">
        <v>42040</v>
      </c>
      <c r="AW2549" t="s">
        <v>54</v>
      </c>
      <c r="AX2549" t="str">
        <f t="shared" si="206"/>
        <v>FOR</v>
      </c>
      <c r="AY2549" t="s">
        <v>55</v>
      </c>
    </row>
    <row r="2550" spans="1:51" hidden="1">
      <c r="A2550">
        <v>100787</v>
      </c>
      <c r="B2550" t="s">
        <v>241</v>
      </c>
      <c r="C2550" t="str">
        <f t="shared" si="210"/>
        <v>00157320623</v>
      </c>
      <c r="D2550" t="str">
        <f t="shared" si="211"/>
        <v>CRDPIA44R47A783H</v>
      </c>
      <c r="E2550" t="s">
        <v>52</v>
      </c>
      <c r="F2550">
        <v>2014</v>
      </c>
      <c r="G2550" t="s">
        <v>262</v>
      </c>
      <c r="H2550" s="1">
        <v>41995</v>
      </c>
      <c r="I2550" s="1">
        <v>41996</v>
      </c>
      <c r="J2550" s="1">
        <v>41996</v>
      </c>
      <c r="K2550" s="1">
        <v>42056</v>
      </c>
      <c r="N2550" s="5"/>
      <c r="O2550">
        <v>225</v>
      </c>
      <c r="P2550">
        <v>-16</v>
      </c>
      <c r="Q2550" s="2">
        <v>-3600</v>
      </c>
      <c r="R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 s="1">
        <v>42382</v>
      </c>
      <c r="AC2550" t="s">
        <v>53</v>
      </c>
      <c r="AD2550" t="s">
        <v>53</v>
      </c>
      <c r="AK2550">
        <v>0</v>
      </c>
      <c r="AU2550" s="6">
        <v>42040</v>
      </c>
      <c r="AV2550" s="6">
        <v>42040</v>
      </c>
      <c r="AW2550" t="s">
        <v>54</v>
      </c>
      <c r="AX2550" t="str">
        <f t="shared" si="206"/>
        <v>FOR</v>
      </c>
      <c r="AY2550" t="s">
        <v>55</v>
      </c>
    </row>
    <row r="2551" spans="1:51" hidden="1">
      <c r="A2551">
        <v>100787</v>
      </c>
      <c r="B2551" t="s">
        <v>241</v>
      </c>
      <c r="C2551" t="str">
        <f t="shared" si="210"/>
        <v>00157320623</v>
      </c>
      <c r="D2551" t="str">
        <f t="shared" si="211"/>
        <v>CRDPIA44R47A783H</v>
      </c>
      <c r="E2551" t="s">
        <v>52</v>
      </c>
      <c r="F2551">
        <v>2014</v>
      </c>
      <c r="G2551" t="s">
        <v>263</v>
      </c>
      <c r="H2551" s="1">
        <v>41996</v>
      </c>
      <c r="I2551" s="1">
        <v>42002</v>
      </c>
      <c r="J2551" s="1">
        <v>42002</v>
      </c>
      <c r="K2551" s="1">
        <v>42062</v>
      </c>
      <c r="N2551" s="5"/>
      <c r="O2551">
        <v>684.01</v>
      </c>
      <c r="P2551">
        <v>61</v>
      </c>
      <c r="Q2551" s="2">
        <v>41724.61</v>
      </c>
      <c r="R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 s="1">
        <v>42382</v>
      </c>
      <c r="AC2551" t="s">
        <v>53</v>
      </c>
      <c r="AD2551" t="s">
        <v>53</v>
      </c>
      <c r="AK2551">
        <v>0</v>
      </c>
      <c r="AU2551" s="6">
        <v>42123</v>
      </c>
      <c r="AV2551" s="6">
        <v>42123</v>
      </c>
      <c r="AW2551" t="s">
        <v>54</v>
      </c>
      <c r="AX2551" t="str">
        <f t="shared" si="206"/>
        <v>FOR</v>
      </c>
      <c r="AY2551" t="s">
        <v>55</v>
      </c>
    </row>
    <row r="2552" spans="1:51" hidden="1">
      <c r="A2552">
        <v>100787</v>
      </c>
      <c r="B2552" t="s">
        <v>241</v>
      </c>
      <c r="C2552" t="str">
        <f t="shared" si="210"/>
        <v>00157320623</v>
      </c>
      <c r="D2552" t="str">
        <f t="shared" si="211"/>
        <v>CRDPIA44R47A783H</v>
      </c>
      <c r="E2552" t="s">
        <v>52</v>
      </c>
      <c r="F2552">
        <v>2015</v>
      </c>
      <c r="G2552" t="s">
        <v>264</v>
      </c>
      <c r="H2552" s="1">
        <v>42021</v>
      </c>
      <c r="I2552" s="1">
        <v>42055</v>
      </c>
      <c r="J2552" s="1">
        <v>42055</v>
      </c>
      <c r="K2552" s="1">
        <v>42115</v>
      </c>
      <c r="N2552" s="5"/>
      <c r="O2552">
        <v>232.38</v>
      </c>
      <c r="P2552">
        <v>8</v>
      </c>
      <c r="Q2552" s="2">
        <v>1859.04</v>
      </c>
      <c r="R2552">
        <v>51.12</v>
      </c>
      <c r="V2552">
        <v>0</v>
      </c>
      <c r="W2552">
        <v>0</v>
      </c>
      <c r="X2552">
        <v>0</v>
      </c>
      <c r="Y2552">
        <v>283.5</v>
      </c>
      <c r="Z2552">
        <v>283.5</v>
      </c>
      <c r="AA2552">
        <v>283.5</v>
      </c>
      <c r="AB2552" s="1">
        <v>42382</v>
      </c>
      <c r="AC2552" t="s">
        <v>53</v>
      </c>
      <c r="AD2552" t="s">
        <v>53</v>
      </c>
      <c r="AK2552">
        <v>51.12</v>
      </c>
      <c r="AU2552" s="6">
        <v>42123</v>
      </c>
      <c r="AV2552" s="6">
        <v>42123</v>
      </c>
      <c r="AW2552" t="s">
        <v>54</v>
      </c>
      <c r="AX2552" t="str">
        <f t="shared" si="206"/>
        <v>FOR</v>
      </c>
      <c r="AY2552" t="s">
        <v>55</v>
      </c>
    </row>
    <row r="2553" spans="1:51" hidden="1">
      <c r="A2553">
        <v>100787</v>
      </c>
      <c r="B2553" t="s">
        <v>241</v>
      </c>
      <c r="C2553" t="str">
        <f t="shared" si="210"/>
        <v>00157320623</v>
      </c>
      <c r="D2553" t="str">
        <f t="shared" si="211"/>
        <v>CRDPIA44R47A783H</v>
      </c>
      <c r="E2553" t="s">
        <v>52</v>
      </c>
      <c r="F2553">
        <v>2015</v>
      </c>
      <c r="G2553" t="s">
        <v>265</v>
      </c>
      <c r="H2553" s="1">
        <v>42021</v>
      </c>
      <c r="I2553" s="1">
        <v>42055</v>
      </c>
      <c r="J2553" s="1">
        <v>42055</v>
      </c>
      <c r="K2553" s="1">
        <v>42115</v>
      </c>
      <c r="N2553" s="5"/>
      <c r="O2553">
        <v>450.82</v>
      </c>
      <c r="P2553">
        <v>8</v>
      </c>
      <c r="Q2553" s="2">
        <v>3606.56</v>
      </c>
      <c r="R2553">
        <v>99.18</v>
      </c>
      <c r="V2553">
        <v>0</v>
      </c>
      <c r="W2553">
        <v>0</v>
      </c>
      <c r="X2553">
        <v>0</v>
      </c>
      <c r="Y2553">
        <v>550</v>
      </c>
      <c r="Z2553">
        <v>550</v>
      </c>
      <c r="AA2553">
        <v>550</v>
      </c>
      <c r="AB2553" s="1">
        <v>42382</v>
      </c>
      <c r="AC2553" t="s">
        <v>53</v>
      </c>
      <c r="AD2553" t="s">
        <v>53</v>
      </c>
      <c r="AK2553">
        <v>99.18</v>
      </c>
      <c r="AU2553" s="6">
        <v>42123</v>
      </c>
      <c r="AV2553" s="6">
        <v>42123</v>
      </c>
      <c r="AW2553" t="s">
        <v>54</v>
      </c>
      <c r="AX2553" t="str">
        <f t="shared" si="206"/>
        <v>FOR</v>
      </c>
      <c r="AY2553" t="s">
        <v>55</v>
      </c>
    </row>
    <row r="2554" spans="1:51" hidden="1">
      <c r="A2554">
        <v>100787</v>
      </c>
      <c r="B2554" t="s">
        <v>241</v>
      </c>
      <c r="C2554" t="str">
        <f t="shared" si="210"/>
        <v>00157320623</v>
      </c>
      <c r="D2554" t="str">
        <f t="shared" si="211"/>
        <v>CRDPIA44R47A783H</v>
      </c>
      <c r="E2554" t="s">
        <v>52</v>
      </c>
      <c r="F2554">
        <v>2015</v>
      </c>
      <c r="G2554" t="s">
        <v>266</v>
      </c>
      <c r="H2554" s="1">
        <v>42023</v>
      </c>
      <c r="I2554" s="1">
        <v>42055</v>
      </c>
      <c r="J2554" s="1">
        <v>42055</v>
      </c>
      <c r="K2554" s="1">
        <v>42115</v>
      </c>
      <c r="N2554" s="5"/>
      <c r="O2554">
        <v>442.62</v>
      </c>
      <c r="P2554">
        <v>8</v>
      </c>
      <c r="Q2554" s="2">
        <v>3540.96</v>
      </c>
      <c r="R2554">
        <v>97.38</v>
      </c>
      <c r="V2554">
        <v>0</v>
      </c>
      <c r="W2554">
        <v>0</v>
      </c>
      <c r="X2554">
        <v>0</v>
      </c>
      <c r="Y2554">
        <v>540</v>
      </c>
      <c r="Z2554">
        <v>540</v>
      </c>
      <c r="AA2554">
        <v>540</v>
      </c>
      <c r="AB2554" s="1">
        <v>42382</v>
      </c>
      <c r="AC2554" t="s">
        <v>53</v>
      </c>
      <c r="AD2554" t="s">
        <v>53</v>
      </c>
      <c r="AK2554">
        <v>97.38</v>
      </c>
      <c r="AU2554" s="6">
        <v>42123</v>
      </c>
      <c r="AV2554" s="6">
        <v>42123</v>
      </c>
      <c r="AW2554" t="s">
        <v>54</v>
      </c>
      <c r="AX2554" t="str">
        <f t="shared" si="206"/>
        <v>FOR</v>
      </c>
      <c r="AY2554" t="s">
        <v>55</v>
      </c>
    </row>
    <row r="2555" spans="1:51" hidden="1">
      <c r="A2555">
        <v>100787</v>
      </c>
      <c r="B2555" t="s">
        <v>241</v>
      </c>
      <c r="C2555" t="str">
        <f t="shared" si="210"/>
        <v>00157320623</v>
      </c>
      <c r="D2555" t="str">
        <f t="shared" si="211"/>
        <v>CRDPIA44R47A783H</v>
      </c>
      <c r="E2555" t="s">
        <v>52</v>
      </c>
      <c r="F2555">
        <v>2015</v>
      </c>
      <c r="G2555" t="s">
        <v>267</v>
      </c>
      <c r="H2555" s="1">
        <v>42023</v>
      </c>
      <c r="I2555" s="1">
        <v>42055</v>
      </c>
      <c r="J2555" s="1">
        <v>42055</v>
      </c>
      <c r="K2555" s="1">
        <v>42115</v>
      </c>
      <c r="N2555" s="5"/>
      <c r="O2555">
        <v>136.01</v>
      </c>
      <c r="P2555">
        <v>8</v>
      </c>
      <c r="Q2555" s="2">
        <v>1088.08</v>
      </c>
      <c r="R2555">
        <v>29.92</v>
      </c>
      <c r="V2555">
        <v>0</v>
      </c>
      <c r="W2555">
        <v>0</v>
      </c>
      <c r="X2555">
        <v>0</v>
      </c>
      <c r="Y2555">
        <v>165.93</v>
      </c>
      <c r="Z2555">
        <v>165.93</v>
      </c>
      <c r="AA2555">
        <v>165.93</v>
      </c>
      <c r="AB2555" s="1">
        <v>42382</v>
      </c>
      <c r="AC2555" t="s">
        <v>53</v>
      </c>
      <c r="AD2555" t="s">
        <v>53</v>
      </c>
      <c r="AK2555">
        <v>29.92</v>
      </c>
      <c r="AU2555" s="6">
        <v>42123</v>
      </c>
      <c r="AV2555" s="6">
        <v>42123</v>
      </c>
      <c r="AW2555" t="s">
        <v>54</v>
      </c>
      <c r="AX2555" t="str">
        <f t="shared" si="206"/>
        <v>FOR</v>
      </c>
      <c r="AY2555" t="s">
        <v>55</v>
      </c>
    </row>
    <row r="2556" spans="1:51" hidden="1">
      <c r="A2556">
        <v>100787</v>
      </c>
      <c r="B2556" t="s">
        <v>241</v>
      </c>
      <c r="C2556" t="str">
        <f t="shared" si="210"/>
        <v>00157320623</v>
      </c>
      <c r="D2556" t="str">
        <f t="shared" si="211"/>
        <v>CRDPIA44R47A783H</v>
      </c>
      <c r="E2556" t="s">
        <v>52</v>
      </c>
      <c r="F2556">
        <v>2015</v>
      </c>
      <c r="G2556" t="s">
        <v>268</v>
      </c>
      <c r="H2556" s="1">
        <v>42063</v>
      </c>
      <c r="I2556" s="1">
        <v>42086</v>
      </c>
      <c r="J2556" s="1">
        <v>42086</v>
      </c>
      <c r="K2556" s="1">
        <v>42146</v>
      </c>
      <c r="N2556" s="5"/>
      <c r="O2556">
        <v>49.18</v>
      </c>
      <c r="P2556">
        <v>-23</v>
      </c>
      <c r="Q2556" s="2">
        <v>-1131.1400000000001</v>
      </c>
      <c r="R2556">
        <v>10.82</v>
      </c>
      <c r="V2556">
        <v>0</v>
      </c>
      <c r="W2556">
        <v>0</v>
      </c>
      <c r="X2556">
        <v>0</v>
      </c>
      <c r="Y2556">
        <v>60</v>
      </c>
      <c r="Z2556">
        <v>60</v>
      </c>
      <c r="AA2556">
        <v>60</v>
      </c>
      <c r="AB2556" s="1">
        <v>42382</v>
      </c>
      <c r="AC2556" t="s">
        <v>53</v>
      </c>
      <c r="AD2556" t="s">
        <v>53</v>
      </c>
      <c r="AK2556">
        <v>10.82</v>
      </c>
      <c r="AU2556" s="6">
        <v>42123</v>
      </c>
      <c r="AV2556" s="6">
        <v>42123</v>
      </c>
      <c r="AW2556" t="s">
        <v>54</v>
      </c>
      <c r="AX2556" t="str">
        <f t="shared" si="206"/>
        <v>FOR</v>
      </c>
      <c r="AY2556" t="s">
        <v>55</v>
      </c>
    </row>
    <row r="2557" spans="1:51" hidden="1">
      <c r="A2557">
        <v>100787</v>
      </c>
      <c r="B2557" t="s">
        <v>241</v>
      </c>
      <c r="C2557" t="str">
        <f t="shared" si="210"/>
        <v>00157320623</v>
      </c>
      <c r="D2557" t="str">
        <f t="shared" si="211"/>
        <v>CRDPIA44R47A783H</v>
      </c>
      <c r="E2557" t="s">
        <v>52</v>
      </c>
      <c r="F2557">
        <v>2015</v>
      </c>
      <c r="G2557" t="s">
        <v>269</v>
      </c>
      <c r="H2557" s="1">
        <v>42063</v>
      </c>
      <c r="I2557" s="1">
        <v>42086</v>
      </c>
      <c r="J2557" s="1">
        <v>42086</v>
      </c>
      <c r="K2557" s="1">
        <v>42146</v>
      </c>
      <c r="N2557" s="5"/>
      <c r="O2557">
        <v>251.23</v>
      </c>
      <c r="P2557">
        <v>-23</v>
      </c>
      <c r="Q2557" s="2">
        <v>-5778.29</v>
      </c>
      <c r="R2557">
        <v>55.27</v>
      </c>
      <c r="V2557">
        <v>0</v>
      </c>
      <c r="W2557">
        <v>0</v>
      </c>
      <c r="X2557">
        <v>0</v>
      </c>
      <c r="Y2557">
        <v>306.5</v>
      </c>
      <c r="Z2557">
        <v>306.5</v>
      </c>
      <c r="AA2557">
        <v>306.5</v>
      </c>
      <c r="AB2557" s="1">
        <v>42382</v>
      </c>
      <c r="AC2557" t="s">
        <v>53</v>
      </c>
      <c r="AD2557" t="s">
        <v>53</v>
      </c>
      <c r="AK2557">
        <v>55.27</v>
      </c>
      <c r="AU2557" s="6">
        <v>42123</v>
      </c>
      <c r="AV2557" s="6">
        <v>42123</v>
      </c>
      <c r="AW2557" t="s">
        <v>54</v>
      </c>
      <c r="AX2557" t="str">
        <f t="shared" si="206"/>
        <v>FOR</v>
      </c>
      <c r="AY2557" t="s">
        <v>55</v>
      </c>
    </row>
    <row r="2558" spans="1:51" hidden="1">
      <c r="A2558">
        <v>100787</v>
      </c>
      <c r="B2558" t="s">
        <v>241</v>
      </c>
      <c r="C2558" t="str">
        <f t="shared" si="210"/>
        <v>00157320623</v>
      </c>
      <c r="D2558" t="str">
        <f t="shared" si="211"/>
        <v>CRDPIA44R47A783H</v>
      </c>
      <c r="E2558" t="s">
        <v>52</v>
      </c>
      <c r="F2558">
        <v>2015</v>
      </c>
      <c r="G2558" t="s">
        <v>270</v>
      </c>
      <c r="H2558" s="1">
        <v>42077</v>
      </c>
      <c r="I2558" s="1">
        <v>42086</v>
      </c>
      <c r="J2558" s="1">
        <v>42086</v>
      </c>
      <c r="K2558" s="1">
        <v>42146</v>
      </c>
      <c r="N2558" s="5"/>
      <c r="O2558">
        <v>9.84</v>
      </c>
      <c r="P2558">
        <v>-23</v>
      </c>
      <c r="Q2558">
        <v>-226.32</v>
      </c>
      <c r="R2558">
        <v>2.16</v>
      </c>
      <c r="V2558">
        <v>0</v>
      </c>
      <c r="W2558">
        <v>0</v>
      </c>
      <c r="X2558">
        <v>0</v>
      </c>
      <c r="Y2558">
        <v>12</v>
      </c>
      <c r="Z2558">
        <v>12</v>
      </c>
      <c r="AA2558">
        <v>12</v>
      </c>
      <c r="AB2558" s="1">
        <v>42382</v>
      </c>
      <c r="AC2558" t="s">
        <v>53</v>
      </c>
      <c r="AD2558" t="s">
        <v>53</v>
      </c>
      <c r="AK2558">
        <v>2.16</v>
      </c>
      <c r="AU2558" s="6">
        <v>42123</v>
      </c>
      <c r="AV2558" s="6">
        <v>42123</v>
      </c>
      <c r="AW2558" t="s">
        <v>54</v>
      </c>
      <c r="AX2558" t="str">
        <f t="shared" si="206"/>
        <v>FOR</v>
      </c>
      <c r="AY2558" t="s">
        <v>55</v>
      </c>
    </row>
    <row r="2559" spans="1:51" hidden="1">
      <c r="A2559">
        <v>100787</v>
      </c>
      <c r="B2559" t="s">
        <v>241</v>
      </c>
      <c r="C2559" t="str">
        <f t="shared" si="210"/>
        <v>00157320623</v>
      </c>
      <c r="D2559" t="str">
        <f t="shared" si="211"/>
        <v>CRDPIA44R47A783H</v>
      </c>
      <c r="E2559" t="s">
        <v>52</v>
      </c>
      <c r="F2559">
        <v>2015</v>
      </c>
      <c r="G2559" t="s">
        <v>271</v>
      </c>
      <c r="H2559" s="1">
        <v>42093</v>
      </c>
      <c r="I2559" s="1">
        <v>42095</v>
      </c>
      <c r="J2559" s="1">
        <v>42095</v>
      </c>
      <c r="K2559" s="1">
        <v>42155</v>
      </c>
      <c r="N2559" s="5"/>
      <c r="O2559">
        <v>107.04</v>
      </c>
      <c r="P2559">
        <v>-32</v>
      </c>
      <c r="Q2559" s="2">
        <v>-3425.28</v>
      </c>
      <c r="R2559">
        <v>10.7</v>
      </c>
      <c r="V2559">
        <v>0</v>
      </c>
      <c r="W2559">
        <v>0</v>
      </c>
      <c r="X2559">
        <v>0</v>
      </c>
      <c r="Y2559">
        <v>117.74</v>
      </c>
      <c r="Z2559">
        <v>117.74</v>
      </c>
      <c r="AA2559">
        <v>117.74</v>
      </c>
      <c r="AB2559" s="1">
        <v>42382</v>
      </c>
      <c r="AC2559" t="s">
        <v>53</v>
      </c>
      <c r="AD2559" t="s">
        <v>53</v>
      </c>
      <c r="AK2559">
        <v>10.7</v>
      </c>
      <c r="AU2559" s="6">
        <v>42123</v>
      </c>
      <c r="AV2559" s="6">
        <v>42123</v>
      </c>
      <c r="AW2559" t="s">
        <v>54</v>
      </c>
      <c r="AX2559" t="str">
        <f t="shared" si="206"/>
        <v>FOR</v>
      </c>
      <c r="AY2559" t="s">
        <v>55</v>
      </c>
    </row>
    <row r="2560" spans="1:51" hidden="1">
      <c r="A2560">
        <v>100787</v>
      </c>
      <c r="B2560" t="s">
        <v>241</v>
      </c>
      <c r="C2560" t="str">
        <f t="shared" si="210"/>
        <v>00157320623</v>
      </c>
      <c r="D2560" t="str">
        <f t="shared" si="211"/>
        <v>CRDPIA44R47A783H</v>
      </c>
      <c r="E2560" t="s">
        <v>52</v>
      </c>
      <c r="F2560">
        <v>2015</v>
      </c>
      <c r="G2560" t="s">
        <v>272</v>
      </c>
      <c r="H2560" s="1">
        <v>42093</v>
      </c>
      <c r="I2560" s="1">
        <v>42095</v>
      </c>
      <c r="J2560" s="1">
        <v>42095</v>
      </c>
      <c r="K2560" s="1">
        <v>42155</v>
      </c>
      <c r="N2560" s="5"/>
      <c r="O2560">
        <v>25.82</v>
      </c>
      <c r="P2560">
        <v>-32</v>
      </c>
      <c r="Q2560">
        <v>-826.24</v>
      </c>
      <c r="R2560">
        <v>5.68</v>
      </c>
      <c r="V2560">
        <v>0</v>
      </c>
      <c r="W2560">
        <v>0</v>
      </c>
      <c r="X2560">
        <v>0</v>
      </c>
      <c r="Y2560">
        <v>31.5</v>
      </c>
      <c r="Z2560">
        <v>31.5</v>
      </c>
      <c r="AA2560">
        <v>31.5</v>
      </c>
      <c r="AB2560" s="1">
        <v>42382</v>
      </c>
      <c r="AC2560" t="s">
        <v>53</v>
      </c>
      <c r="AD2560" t="s">
        <v>53</v>
      </c>
      <c r="AK2560">
        <v>5.68</v>
      </c>
      <c r="AU2560" s="6">
        <v>42123</v>
      </c>
      <c r="AV2560" s="6">
        <v>42123</v>
      </c>
      <c r="AW2560" t="s">
        <v>54</v>
      </c>
      <c r="AX2560" t="str">
        <f t="shared" si="206"/>
        <v>FOR</v>
      </c>
      <c r="AY2560" t="s">
        <v>55</v>
      </c>
    </row>
    <row r="2561" spans="1:51" hidden="1">
      <c r="A2561">
        <v>100787</v>
      </c>
      <c r="B2561" t="s">
        <v>241</v>
      </c>
      <c r="C2561" t="str">
        <f t="shared" si="210"/>
        <v>00157320623</v>
      </c>
      <c r="D2561" t="str">
        <f t="shared" si="211"/>
        <v>CRDPIA44R47A783H</v>
      </c>
      <c r="E2561" t="s">
        <v>52</v>
      </c>
      <c r="F2561">
        <v>2015</v>
      </c>
      <c r="G2561" t="s">
        <v>273</v>
      </c>
      <c r="H2561" s="1">
        <v>42093</v>
      </c>
      <c r="I2561" s="1">
        <v>42095</v>
      </c>
      <c r="J2561" s="1">
        <v>42095</v>
      </c>
      <c r="K2561" s="1">
        <v>42155</v>
      </c>
      <c r="N2561" s="5"/>
      <c r="O2561">
        <v>8.73</v>
      </c>
      <c r="P2561">
        <v>-32</v>
      </c>
      <c r="Q2561">
        <v>-279.36</v>
      </c>
      <c r="R2561">
        <v>0.87</v>
      </c>
      <c r="V2561">
        <v>0</v>
      </c>
      <c r="W2561">
        <v>0</v>
      </c>
      <c r="X2561">
        <v>0</v>
      </c>
      <c r="Y2561">
        <v>9.6</v>
      </c>
      <c r="Z2561">
        <v>9.6</v>
      </c>
      <c r="AA2561">
        <v>9.6</v>
      </c>
      <c r="AB2561" s="1">
        <v>42382</v>
      </c>
      <c r="AC2561" t="s">
        <v>53</v>
      </c>
      <c r="AD2561" t="s">
        <v>53</v>
      </c>
      <c r="AK2561">
        <v>0.87</v>
      </c>
      <c r="AU2561" s="6">
        <v>42123</v>
      </c>
      <c r="AV2561" s="6">
        <v>42123</v>
      </c>
      <c r="AW2561" t="s">
        <v>54</v>
      </c>
      <c r="AX2561" t="str">
        <f t="shared" si="206"/>
        <v>FOR</v>
      </c>
      <c r="AY2561" t="s">
        <v>55</v>
      </c>
    </row>
    <row r="2562" spans="1:51" hidden="1">
      <c r="A2562">
        <v>100787</v>
      </c>
      <c r="B2562" t="s">
        <v>241</v>
      </c>
      <c r="C2562" t="str">
        <f t="shared" si="210"/>
        <v>00157320623</v>
      </c>
      <c r="D2562" t="str">
        <f t="shared" si="211"/>
        <v>CRDPIA44R47A783H</v>
      </c>
      <c r="E2562" t="s">
        <v>52</v>
      </c>
      <c r="F2562">
        <v>2015</v>
      </c>
      <c r="G2562" t="s">
        <v>274</v>
      </c>
      <c r="H2562" s="1">
        <v>42093</v>
      </c>
      <c r="I2562" s="1">
        <v>42095</v>
      </c>
      <c r="J2562" s="1">
        <v>42095</v>
      </c>
      <c r="K2562" s="1">
        <v>42155</v>
      </c>
      <c r="N2562" s="5"/>
      <c r="O2562">
        <v>98.37</v>
      </c>
      <c r="P2562">
        <v>-32</v>
      </c>
      <c r="Q2562" s="2">
        <v>-3147.84</v>
      </c>
      <c r="R2562">
        <v>21.64</v>
      </c>
      <c r="V2562">
        <v>0</v>
      </c>
      <c r="W2562">
        <v>0</v>
      </c>
      <c r="X2562">
        <v>0</v>
      </c>
      <c r="Y2562">
        <v>120.01</v>
      </c>
      <c r="Z2562">
        <v>120.01</v>
      </c>
      <c r="AA2562">
        <v>120.01</v>
      </c>
      <c r="AB2562" s="1">
        <v>42382</v>
      </c>
      <c r="AC2562" t="s">
        <v>53</v>
      </c>
      <c r="AD2562" t="s">
        <v>53</v>
      </c>
      <c r="AK2562">
        <v>21.64</v>
      </c>
      <c r="AU2562" s="6">
        <v>42123</v>
      </c>
      <c r="AV2562" s="6">
        <v>42123</v>
      </c>
      <c r="AW2562" t="s">
        <v>54</v>
      </c>
      <c r="AX2562" t="str">
        <f t="shared" si="206"/>
        <v>FOR</v>
      </c>
      <c r="AY2562" t="s">
        <v>55</v>
      </c>
    </row>
    <row r="2563" spans="1:51" hidden="1">
      <c r="A2563">
        <v>100787</v>
      </c>
      <c r="B2563" t="s">
        <v>241</v>
      </c>
      <c r="C2563" t="str">
        <f t="shared" si="210"/>
        <v>00157320623</v>
      </c>
      <c r="D2563" t="str">
        <f t="shared" si="211"/>
        <v>CRDPIA44R47A783H</v>
      </c>
      <c r="E2563" t="s">
        <v>52</v>
      </c>
      <c r="F2563">
        <v>2015</v>
      </c>
      <c r="G2563" t="s">
        <v>275</v>
      </c>
      <c r="H2563" s="1">
        <v>42122</v>
      </c>
      <c r="I2563" s="1">
        <v>42129</v>
      </c>
      <c r="J2563" s="1">
        <v>42128</v>
      </c>
      <c r="K2563" s="1">
        <v>42188</v>
      </c>
      <c r="N2563" s="5"/>
      <c r="O2563">
        <v>450.82</v>
      </c>
      <c r="P2563">
        <v>-4</v>
      </c>
      <c r="Q2563" s="2">
        <v>-1803.28</v>
      </c>
      <c r="R2563">
        <v>99.18</v>
      </c>
      <c r="V2563">
        <v>0</v>
      </c>
      <c r="W2563">
        <v>0</v>
      </c>
      <c r="X2563">
        <v>0</v>
      </c>
      <c r="Y2563">
        <v>550</v>
      </c>
      <c r="Z2563">
        <v>550</v>
      </c>
      <c r="AA2563">
        <v>550</v>
      </c>
      <c r="AB2563" s="1">
        <v>42382</v>
      </c>
      <c r="AC2563" t="s">
        <v>53</v>
      </c>
      <c r="AD2563" t="s">
        <v>53</v>
      </c>
      <c r="AJ2563">
        <v>99.18</v>
      </c>
      <c r="AK2563">
        <v>0</v>
      </c>
      <c r="AU2563" s="6">
        <v>42184</v>
      </c>
      <c r="AV2563" s="6">
        <v>42184</v>
      </c>
      <c r="AW2563" t="s">
        <v>54</v>
      </c>
      <c r="AX2563" t="str">
        <f t="shared" ref="AX2563:AX2626" si="212">"FOR"</f>
        <v>FOR</v>
      </c>
      <c r="AY2563" t="s">
        <v>55</v>
      </c>
    </row>
    <row r="2564" spans="1:51" hidden="1">
      <c r="A2564">
        <v>100787</v>
      </c>
      <c r="B2564" t="s">
        <v>241</v>
      </c>
      <c r="C2564" t="str">
        <f t="shared" si="210"/>
        <v>00157320623</v>
      </c>
      <c r="D2564" t="str">
        <f t="shared" si="211"/>
        <v>CRDPIA44R47A783H</v>
      </c>
      <c r="E2564" t="s">
        <v>52</v>
      </c>
      <c r="F2564">
        <v>2015</v>
      </c>
      <c r="G2564" t="s">
        <v>276</v>
      </c>
      <c r="H2564" s="1">
        <v>42147</v>
      </c>
      <c r="I2564" s="1">
        <v>42163</v>
      </c>
      <c r="J2564" s="1">
        <v>42149</v>
      </c>
      <c r="K2564" s="1">
        <v>42209</v>
      </c>
      <c r="N2564" s="5"/>
      <c r="O2564">
        <v>137.71</v>
      </c>
      <c r="P2564">
        <v>-25</v>
      </c>
      <c r="Q2564" s="2">
        <v>-3442.75</v>
      </c>
      <c r="R2564">
        <v>30.3</v>
      </c>
      <c r="V2564">
        <v>0</v>
      </c>
      <c r="W2564">
        <v>0</v>
      </c>
      <c r="X2564">
        <v>0</v>
      </c>
      <c r="Y2564">
        <v>168.01</v>
      </c>
      <c r="Z2564">
        <v>168.01</v>
      </c>
      <c r="AA2564">
        <v>168.01</v>
      </c>
      <c r="AB2564" s="1">
        <v>42382</v>
      </c>
      <c r="AC2564" t="s">
        <v>53</v>
      </c>
      <c r="AD2564" t="s">
        <v>53</v>
      </c>
      <c r="AJ2564">
        <v>30.3</v>
      </c>
      <c r="AK2564">
        <v>0</v>
      </c>
      <c r="AU2564" s="6">
        <v>42184</v>
      </c>
      <c r="AV2564" s="6">
        <v>42184</v>
      </c>
      <c r="AW2564" t="s">
        <v>54</v>
      </c>
      <c r="AX2564" t="str">
        <f t="shared" si="212"/>
        <v>FOR</v>
      </c>
      <c r="AY2564" t="s">
        <v>55</v>
      </c>
    </row>
    <row r="2565" spans="1:51" hidden="1">
      <c r="A2565">
        <v>100787</v>
      </c>
      <c r="B2565" t="s">
        <v>241</v>
      </c>
      <c r="C2565" t="str">
        <f t="shared" si="210"/>
        <v>00157320623</v>
      </c>
      <c r="D2565" t="str">
        <f t="shared" si="211"/>
        <v>CRDPIA44R47A783H</v>
      </c>
      <c r="E2565" t="s">
        <v>52</v>
      </c>
      <c r="F2565">
        <v>2015</v>
      </c>
      <c r="G2565" t="s">
        <v>277</v>
      </c>
      <c r="H2565" s="1">
        <v>42147</v>
      </c>
      <c r="I2565" s="1">
        <v>42163</v>
      </c>
      <c r="J2565" s="1">
        <v>42149</v>
      </c>
      <c r="K2565" s="1">
        <v>42209</v>
      </c>
      <c r="N2565" s="5"/>
      <c r="O2565">
        <v>286.89</v>
      </c>
      <c r="P2565">
        <v>-25</v>
      </c>
      <c r="Q2565" s="2">
        <v>-7172.25</v>
      </c>
      <c r="R2565">
        <v>63.12</v>
      </c>
      <c r="V2565">
        <v>0</v>
      </c>
      <c r="W2565">
        <v>0</v>
      </c>
      <c r="X2565">
        <v>0</v>
      </c>
      <c r="Y2565">
        <v>350.01</v>
      </c>
      <c r="Z2565">
        <v>350.01</v>
      </c>
      <c r="AA2565">
        <v>350.01</v>
      </c>
      <c r="AB2565" s="1">
        <v>42382</v>
      </c>
      <c r="AC2565" t="s">
        <v>53</v>
      </c>
      <c r="AD2565" t="s">
        <v>53</v>
      </c>
      <c r="AJ2565">
        <v>63.12</v>
      </c>
      <c r="AK2565">
        <v>0</v>
      </c>
      <c r="AU2565" s="6">
        <v>42184</v>
      </c>
      <c r="AV2565" s="6">
        <v>42184</v>
      </c>
      <c r="AW2565" t="s">
        <v>54</v>
      </c>
      <c r="AX2565" t="str">
        <f t="shared" si="212"/>
        <v>FOR</v>
      </c>
      <c r="AY2565" t="s">
        <v>55</v>
      </c>
    </row>
    <row r="2566" spans="1:51" hidden="1">
      <c r="A2566">
        <v>100787</v>
      </c>
      <c r="B2566" t="s">
        <v>241</v>
      </c>
      <c r="C2566" t="str">
        <f t="shared" si="210"/>
        <v>00157320623</v>
      </c>
      <c r="D2566" t="str">
        <f t="shared" si="211"/>
        <v>CRDPIA44R47A783H</v>
      </c>
      <c r="E2566" t="s">
        <v>52</v>
      </c>
      <c r="F2566">
        <v>2015</v>
      </c>
      <c r="G2566" t="s">
        <v>278</v>
      </c>
      <c r="H2566" s="1">
        <v>42168</v>
      </c>
      <c r="I2566" s="1">
        <v>42171</v>
      </c>
      <c r="J2566" s="1">
        <v>42170</v>
      </c>
      <c r="K2566" s="1">
        <v>42230</v>
      </c>
      <c r="N2566" s="5"/>
      <c r="O2566">
        <v>13.94</v>
      </c>
      <c r="P2566">
        <v>-46</v>
      </c>
      <c r="Q2566">
        <v>-641.24</v>
      </c>
      <c r="R2566">
        <v>3.07</v>
      </c>
      <c r="V2566">
        <v>0</v>
      </c>
      <c r="W2566">
        <v>0</v>
      </c>
      <c r="X2566">
        <v>0</v>
      </c>
      <c r="Y2566">
        <v>17.010000000000002</v>
      </c>
      <c r="Z2566">
        <v>17.010000000000002</v>
      </c>
      <c r="AA2566">
        <v>17.010000000000002</v>
      </c>
      <c r="AB2566" s="1">
        <v>42382</v>
      </c>
      <c r="AC2566" t="s">
        <v>53</v>
      </c>
      <c r="AD2566" t="s">
        <v>53</v>
      </c>
      <c r="AI2566">
        <v>3.07</v>
      </c>
      <c r="AK2566">
        <v>0</v>
      </c>
      <c r="AU2566" s="6">
        <v>42184</v>
      </c>
      <c r="AV2566" s="6">
        <v>42184</v>
      </c>
      <c r="AW2566" t="s">
        <v>54</v>
      </c>
      <c r="AX2566" t="str">
        <f t="shared" si="212"/>
        <v>FOR</v>
      </c>
      <c r="AY2566" t="s">
        <v>55</v>
      </c>
    </row>
    <row r="2567" spans="1:51">
      <c r="A2567">
        <v>100787</v>
      </c>
      <c r="B2567" t="s">
        <v>241</v>
      </c>
      <c r="C2567" t="str">
        <f t="shared" si="210"/>
        <v>00157320623</v>
      </c>
      <c r="D2567" t="str">
        <f t="shared" si="211"/>
        <v>CRDPIA44R47A783H</v>
      </c>
      <c r="E2567" t="s">
        <v>52</v>
      </c>
      <c r="F2567">
        <v>2015</v>
      </c>
      <c r="G2567" t="s">
        <v>279</v>
      </c>
      <c r="H2567" s="1">
        <v>42180</v>
      </c>
      <c r="I2567" s="1">
        <v>42186</v>
      </c>
      <c r="J2567" s="1">
        <v>42181</v>
      </c>
      <c r="K2567" s="1">
        <v>42241</v>
      </c>
      <c r="L2567" s="7">
        <v>77.87</v>
      </c>
      <c r="M2567" s="5">
        <v>43</v>
      </c>
      <c r="N2567" s="7">
        <v>3348.41</v>
      </c>
      <c r="O2567">
        <v>77.87</v>
      </c>
      <c r="P2567">
        <v>43</v>
      </c>
      <c r="Q2567" s="2">
        <v>3348.41</v>
      </c>
      <c r="R2567">
        <v>17.13</v>
      </c>
      <c r="V2567">
        <v>0</v>
      </c>
      <c r="W2567">
        <v>0</v>
      </c>
      <c r="X2567">
        <v>0</v>
      </c>
      <c r="Y2567">
        <v>95</v>
      </c>
      <c r="Z2567">
        <v>95</v>
      </c>
      <c r="AA2567">
        <v>95</v>
      </c>
      <c r="AB2567" s="1">
        <v>42382</v>
      </c>
      <c r="AC2567" t="s">
        <v>53</v>
      </c>
      <c r="AD2567" t="s">
        <v>53</v>
      </c>
      <c r="AI2567">
        <v>17.13</v>
      </c>
      <c r="AK2567">
        <v>0</v>
      </c>
      <c r="AU2567" s="6">
        <v>42284</v>
      </c>
      <c r="AV2567" s="6">
        <v>42284</v>
      </c>
      <c r="AW2567" t="s">
        <v>54</v>
      </c>
      <c r="AX2567" t="str">
        <f t="shared" si="212"/>
        <v>FOR</v>
      </c>
      <c r="AY2567" t="s">
        <v>55</v>
      </c>
    </row>
    <row r="2568" spans="1:51">
      <c r="A2568">
        <v>100787</v>
      </c>
      <c r="B2568" t="s">
        <v>241</v>
      </c>
      <c r="C2568" t="str">
        <f t="shared" si="210"/>
        <v>00157320623</v>
      </c>
      <c r="D2568" t="str">
        <f t="shared" si="211"/>
        <v>CRDPIA44R47A783H</v>
      </c>
      <c r="E2568" t="s">
        <v>52</v>
      </c>
      <c r="F2568">
        <v>2015</v>
      </c>
      <c r="G2568" t="s">
        <v>280</v>
      </c>
      <c r="H2568" s="1">
        <v>42213</v>
      </c>
      <c r="I2568" s="1">
        <v>42248</v>
      </c>
      <c r="J2568" s="1">
        <v>42244</v>
      </c>
      <c r="K2568" s="1">
        <v>42304</v>
      </c>
      <c r="L2568" s="7">
        <v>304.06</v>
      </c>
      <c r="M2568" s="5">
        <v>-20</v>
      </c>
      <c r="N2568" s="7">
        <v>-6081.2</v>
      </c>
      <c r="O2568">
        <v>304.06</v>
      </c>
      <c r="P2568">
        <v>-20</v>
      </c>
      <c r="Q2568" s="2">
        <v>-6081.2</v>
      </c>
      <c r="R2568">
        <v>66.89</v>
      </c>
      <c r="V2568">
        <v>0</v>
      </c>
      <c r="W2568">
        <v>0</v>
      </c>
      <c r="X2568">
        <v>0</v>
      </c>
      <c r="Y2568">
        <v>370.95</v>
      </c>
      <c r="Z2568">
        <v>370.95</v>
      </c>
      <c r="AA2568">
        <v>370.95</v>
      </c>
      <c r="AB2568" s="1">
        <v>42382</v>
      </c>
      <c r="AC2568" t="s">
        <v>53</v>
      </c>
      <c r="AD2568" t="s">
        <v>53</v>
      </c>
      <c r="AG2568">
        <v>66.89</v>
      </c>
      <c r="AK2568">
        <v>0</v>
      </c>
      <c r="AU2568" s="6">
        <v>42284</v>
      </c>
      <c r="AV2568" s="6">
        <v>42284</v>
      </c>
      <c r="AW2568" t="s">
        <v>54</v>
      </c>
      <c r="AX2568" t="str">
        <f t="shared" si="212"/>
        <v>FOR</v>
      </c>
      <c r="AY2568" t="s">
        <v>55</v>
      </c>
    </row>
    <row r="2569" spans="1:51">
      <c r="A2569">
        <v>100787</v>
      </c>
      <c r="B2569" t="s">
        <v>241</v>
      </c>
      <c r="C2569" t="str">
        <f t="shared" si="210"/>
        <v>00157320623</v>
      </c>
      <c r="D2569" t="str">
        <f t="shared" si="211"/>
        <v>CRDPIA44R47A783H</v>
      </c>
      <c r="E2569" t="s">
        <v>52</v>
      </c>
      <c r="F2569">
        <v>2015</v>
      </c>
      <c r="G2569" t="s">
        <v>281</v>
      </c>
      <c r="H2569" s="1">
        <v>42213</v>
      </c>
      <c r="I2569" s="1">
        <v>42248</v>
      </c>
      <c r="J2569" s="1">
        <v>42244</v>
      </c>
      <c r="K2569" s="1">
        <v>42304</v>
      </c>
      <c r="L2569" s="7">
        <v>286.61</v>
      </c>
      <c r="M2569" s="5">
        <v>-20</v>
      </c>
      <c r="N2569" s="7">
        <v>-5732.2</v>
      </c>
      <c r="O2569">
        <v>286.61</v>
      </c>
      <c r="P2569">
        <v>-20</v>
      </c>
      <c r="Q2569" s="2">
        <v>-5732.2</v>
      </c>
      <c r="R2569">
        <v>63.05</v>
      </c>
      <c r="V2569">
        <v>0</v>
      </c>
      <c r="W2569">
        <v>0</v>
      </c>
      <c r="X2569">
        <v>0</v>
      </c>
      <c r="Y2569">
        <v>349.66</v>
      </c>
      <c r="Z2569">
        <v>349.66</v>
      </c>
      <c r="AA2569">
        <v>349.66</v>
      </c>
      <c r="AB2569" s="1">
        <v>42382</v>
      </c>
      <c r="AC2569" t="s">
        <v>53</v>
      </c>
      <c r="AD2569" t="s">
        <v>53</v>
      </c>
      <c r="AG2569">
        <v>63.05</v>
      </c>
      <c r="AK2569">
        <v>0</v>
      </c>
      <c r="AU2569" s="6">
        <v>42284</v>
      </c>
      <c r="AV2569" s="6">
        <v>42284</v>
      </c>
      <c r="AW2569" t="s">
        <v>54</v>
      </c>
      <c r="AX2569" t="str">
        <f t="shared" si="212"/>
        <v>FOR</v>
      </c>
      <c r="AY2569" t="s">
        <v>55</v>
      </c>
    </row>
    <row r="2570" spans="1:51">
      <c r="A2570">
        <v>100787</v>
      </c>
      <c r="B2570" t="s">
        <v>241</v>
      </c>
      <c r="C2570" t="str">
        <f t="shared" si="210"/>
        <v>00157320623</v>
      </c>
      <c r="D2570" t="str">
        <f t="shared" si="211"/>
        <v>CRDPIA44R47A783H</v>
      </c>
      <c r="E2570" t="s">
        <v>52</v>
      </c>
      <c r="F2570">
        <v>2015</v>
      </c>
      <c r="G2570" t="s">
        <v>282</v>
      </c>
      <c r="H2570" s="1">
        <v>42247</v>
      </c>
      <c r="I2570" s="1">
        <v>42248</v>
      </c>
      <c r="J2570" s="1">
        <v>42247</v>
      </c>
      <c r="K2570" s="1">
        <v>42307</v>
      </c>
      <c r="L2570" s="7">
        <v>128.53</v>
      </c>
      <c r="M2570" s="5">
        <v>-23</v>
      </c>
      <c r="N2570" s="7">
        <v>-2956.19</v>
      </c>
      <c r="O2570">
        <v>128.53</v>
      </c>
      <c r="P2570">
        <v>-23</v>
      </c>
      <c r="Q2570" s="2">
        <v>-2956.19</v>
      </c>
      <c r="R2570">
        <v>28.28</v>
      </c>
      <c r="V2570">
        <v>0</v>
      </c>
      <c r="W2570">
        <v>0</v>
      </c>
      <c r="X2570">
        <v>0</v>
      </c>
      <c r="Y2570">
        <v>156.81</v>
      </c>
      <c r="Z2570">
        <v>156.81</v>
      </c>
      <c r="AA2570">
        <v>156.81</v>
      </c>
      <c r="AB2570" s="1">
        <v>42382</v>
      </c>
      <c r="AC2570" t="s">
        <v>53</v>
      </c>
      <c r="AD2570" t="s">
        <v>53</v>
      </c>
      <c r="AG2570">
        <v>28.28</v>
      </c>
      <c r="AK2570">
        <v>0</v>
      </c>
      <c r="AU2570" s="6">
        <v>42284</v>
      </c>
      <c r="AV2570" s="6">
        <v>42284</v>
      </c>
      <c r="AW2570" t="s">
        <v>54</v>
      </c>
      <c r="AX2570" t="str">
        <f t="shared" si="212"/>
        <v>FOR</v>
      </c>
      <c r="AY2570" t="s">
        <v>55</v>
      </c>
    </row>
    <row r="2571" spans="1:51">
      <c r="A2571">
        <v>100787</v>
      </c>
      <c r="B2571" t="s">
        <v>241</v>
      </c>
      <c r="C2571" t="str">
        <f t="shared" si="210"/>
        <v>00157320623</v>
      </c>
      <c r="D2571" t="str">
        <f t="shared" si="211"/>
        <v>CRDPIA44R47A783H</v>
      </c>
      <c r="E2571" t="s">
        <v>52</v>
      </c>
      <c r="F2571">
        <v>2015</v>
      </c>
      <c r="G2571" t="s">
        <v>283</v>
      </c>
      <c r="H2571" s="1">
        <v>42247</v>
      </c>
      <c r="I2571" s="1">
        <v>42248</v>
      </c>
      <c r="J2571" s="1">
        <v>42247</v>
      </c>
      <c r="K2571" s="1">
        <v>42307</v>
      </c>
      <c r="L2571" s="7">
        <v>263.45999999999998</v>
      </c>
      <c r="M2571" s="5">
        <v>-23</v>
      </c>
      <c r="N2571" s="7">
        <v>-6059.58</v>
      </c>
      <c r="O2571">
        <v>263.45999999999998</v>
      </c>
      <c r="P2571">
        <v>-23</v>
      </c>
      <c r="Q2571" s="2">
        <v>-6059.58</v>
      </c>
      <c r="R2571">
        <v>10.54</v>
      </c>
      <c r="V2571">
        <v>0</v>
      </c>
      <c r="W2571">
        <v>0</v>
      </c>
      <c r="X2571">
        <v>0</v>
      </c>
      <c r="Y2571">
        <v>274</v>
      </c>
      <c r="Z2571">
        <v>274</v>
      </c>
      <c r="AA2571">
        <v>274</v>
      </c>
      <c r="AB2571" s="1">
        <v>42382</v>
      </c>
      <c r="AC2571" t="s">
        <v>53</v>
      </c>
      <c r="AD2571" t="s">
        <v>53</v>
      </c>
      <c r="AG2571">
        <v>10.54</v>
      </c>
      <c r="AK2571">
        <v>0</v>
      </c>
      <c r="AU2571" s="6">
        <v>42284</v>
      </c>
      <c r="AV2571" s="6">
        <v>42284</v>
      </c>
      <c r="AW2571" t="s">
        <v>54</v>
      </c>
      <c r="AX2571" t="str">
        <f t="shared" si="212"/>
        <v>FOR</v>
      </c>
      <c r="AY2571" t="s">
        <v>55</v>
      </c>
    </row>
    <row r="2572" spans="1:51">
      <c r="A2572">
        <v>100787</v>
      </c>
      <c r="B2572" t="s">
        <v>241</v>
      </c>
      <c r="C2572" t="str">
        <f t="shared" si="210"/>
        <v>00157320623</v>
      </c>
      <c r="D2572" t="str">
        <f t="shared" si="211"/>
        <v>CRDPIA44R47A783H</v>
      </c>
      <c r="E2572" t="s">
        <v>52</v>
      </c>
      <c r="F2572">
        <v>2015</v>
      </c>
      <c r="G2572" t="s">
        <v>284</v>
      </c>
      <c r="H2572" s="1">
        <v>42247</v>
      </c>
      <c r="I2572" s="1">
        <v>42248</v>
      </c>
      <c r="J2572" s="1">
        <v>42247</v>
      </c>
      <c r="K2572" s="1">
        <v>42307</v>
      </c>
      <c r="L2572" s="7">
        <v>88.53</v>
      </c>
      <c r="M2572" s="5">
        <v>-23</v>
      </c>
      <c r="N2572" s="7">
        <v>-2036.19</v>
      </c>
      <c r="O2572">
        <v>88.53</v>
      </c>
      <c r="P2572">
        <v>-23</v>
      </c>
      <c r="Q2572" s="2">
        <v>-2036.19</v>
      </c>
      <c r="R2572">
        <v>19.48</v>
      </c>
      <c r="V2572">
        <v>0</v>
      </c>
      <c r="W2572">
        <v>0</v>
      </c>
      <c r="X2572">
        <v>0</v>
      </c>
      <c r="Y2572">
        <v>108.01</v>
      </c>
      <c r="Z2572">
        <v>108.01</v>
      </c>
      <c r="AA2572">
        <v>108.01</v>
      </c>
      <c r="AB2572" s="1">
        <v>42382</v>
      </c>
      <c r="AC2572" t="s">
        <v>53</v>
      </c>
      <c r="AD2572" t="s">
        <v>53</v>
      </c>
      <c r="AG2572">
        <v>19.48</v>
      </c>
      <c r="AK2572">
        <v>0</v>
      </c>
      <c r="AU2572" s="6">
        <v>42284</v>
      </c>
      <c r="AV2572" s="6">
        <v>42284</v>
      </c>
      <c r="AW2572" t="s">
        <v>54</v>
      </c>
      <c r="AX2572" t="str">
        <f t="shared" si="212"/>
        <v>FOR</v>
      </c>
      <c r="AY2572" t="s">
        <v>55</v>
      </c>
    </row>
    <row r="2573" spans="1:51" hidden="1">
      <c r="A2573">
        <v>100788</v>
      </c>
      <c r="B2573" t="s">
        <v>285</v>
      </c>
      <c r="C2573" t="str">
        <f t="shared" ref="C2573:D2584" si="213">"02368591208"</f>
        <v>02368591208</v>
      </c>
      <c r="D2573" t="str">
        <f t="shared" si="213"/>
        <v>02368591208</v>
      </c>
      <c r="E2573" t="s">
        <v>52</v>
      </c>
      <c r="F2573">
        <v>2014</v>
      </c>
      <c r="G2573">
        <v>1982547</v>
      </c>
      <c r="H2573" s="1">
        <v>41647</v>
      </c>
      <c r="I2573" s="1">
        <v>41670</v>
      </c>
      <c r="J2573" s="1">
        <v>41670</v>
      </c>
      <c r="K2573" s="1">
        <v>41760</v>
      </c>
      <c r="N2573" s="5"/>
      <c r="O2573">
        <v>752.5</v>
      </c>
      <c r="P2573">
        <v>279</v>
      </c>
      <c r="Q2573" s="2">
        <v>209947.5</v>
      </c>
      <c r="R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 s="1">
        <v>42382</v>
      </c>
      <c r="AC2573" t="s">
        <v>53</v>
      </c>
      <c r="AD2573" t="s">
        <v>53</v>
      </c>
      <c r="AK2573">
        <v>0</v>
      </c>
      <c r="AU2573" s="6">
        <v>42039</v>
      </c>
      <c r="AV2573" s="6">
        <v>42039</v>
      </c>
      <c r="AW2573" t="s">
        <v>54</v>
      </c>
      <c r="AX2573" t="str">
        <f t="shared" si="212"/>
        <v>FOR</v>
      </c>
      <c r="AY2573" t="s">
        <v>55</v>
      </c>
    </row>
    <row r="2574" spans="1:51" hidden="1">
      <c r="A2574">
        <v>100788</v>
      </c>
      <c r="B2574" t="s">
        <v>285</v>
      </c>
      <c r="C2574" t="str">
        <f t="shared" si="213"/>
        <v>02368591208</v>
      </c>
      <c r="D2574" t="str">
        <f t="shared" si="213"/>
        <v>02368591208</v>
      </c>
      <c r="E2574" t="s">
        <v>52</v>
      </c>
      <c r="F2574">
        <v>2014</v>
      </c>
      <c r="G2574">
        <v>1983769</v>
      </c>
      <c r="H2574" s="1">
        <v>41649</v>
      </c>
      <c r="I2574" s="1">
        <v>41670</v>
      </c>
      <c r="J2574" s="1">
        <v>41670</v>
      </c>
      <c r="K2574" s="1">
        <v>41760</v>
      </c>
      <c r="N2574" s="5"/>
      <c r="O2574" s="2">
        <v>2652.4</v>
      </c>
      <c r="P2574">
        <v>279</v>
      </c>
      <c r="Q2574" s="2">
        <v>740019.6</v>
      </c>
      <c r="R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 s="1">
        <v>42382</v>
      </c>
      <c r="AC2574" t="s">
        <v>53</v>
      </c>
      <c r="AD2574" t="s">
        <v>53</v>
      </c>
      <c r="AK2574">
        <v>0</v>
      </c>
      <c r="AU2574" s="6">
        <v>42039</v>
      </c>
      <c r="AV2574" s="6">
        <v>42039</v>
      </c>
      <c r="AW2574" t="s">
        <v>54</v>
      </c>
      <c r="AX2574" t="str">
        <f t="shared" si="212"/>
        <v>FOR</v>
      </c>
      <c r="AY2574" t="s">
        <v>55</v>
      </c>
    </row>
    <row r="2575" spans="1:51" hidden="1">
      <c r="A2575">
        <v>100788</v>
      </c>
      <c r="B2575" t="s">
        <v>285</v>
      </c>
      <c r="C2575" t="str">
        <f t="shared" si="213"/>
        <v>02368591208</v>
      </c>
      <c r="D2575" t="str">
        <f t="shared" si="213"/>
        <v>02368591208</v>
      </c>
      <c r="E2575" t="s">
        <v>52</v>
      </c>
      <c r="F2575">
        <v>2014</v>
      </c>
      <c r="G2575">
        <v>1983770</v>
      </c>
      <c r="H2575" s="1">
        <v>41649</v>
      </c>
      <c r="I2575" s="1">
        <v>41670</v>
      </c>
      <c r="J2575" s="1">
        <v>41670</v>
      </c>
      <c r="K2575" s="1">
        <v>41760</v>
      </c>
      <c r="N2575" s="5"/>
      <c r="O2575" s="2">
        <v>41386.120000000003</v>
      </c>
      <c r="P2575">
        <v>279</v>
      </c>
      <c r="Q2575" s="2">
        <v>11546727.48</v>
      </c>
      <c r="R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 s="1">
        <v>42382</v>
      </c>
      <c r="AC2575" t="s">
        <v>53</v>
      </c>
      <c r="AD2575" t="s">
        <v>53</v>
      </c>
      <c r="AK2575">
        <v>0</v>
      </c>
      <c r="AU2575" s="6">
        <v>42039</v>
      </c>
      <c r="AV2575" s="6">
        <v>42039</v>
      </c>
      <c r="AW2575" t="s">
        <v>54</v>
      </c>
      <c r="AX2575" t="str">
        <f t="shared" si="212"/>
        <v>FOR</v>
      </c>
      <c r="AY2575" t="s">
        <v>55</v>
      </c>
    </row>
    <row r="2576" spans="1:51" hidden="1">
      <c r="A2576">
        <v>100788</v>
      </c>
      <c r="B2576" t="s">
        <v>285</v>
      </c>
      <c r="C2576" t="str">
        <f t="shared" si="213"/>
        <v>02368591208</v>
      </c>
      <c r="D2576" t="str">
        <f t="shared" si="213"/>
        <v>02368591208</v>
      </c>
      <c r="E2576" t="s">
        <v>52</v>
      </c>
      <c r="F2576">
        <v>2014</v>
      </c>
      <c r="G2576">
        <v>2030801</v>
      </c>
      <c r="H2576" s="1">
        <v>41736</v>
      </c>
      <c r="I2576" s="1">
        <v>41771</v>
      </c>
      <c r="J2576" s="1">
        <v>41771</v>
      </c>
      <c r="K2576" s="1">
        <v>41861</v>
      </c>
      <c r="N2576" s="5"/>
      <c r="O2576" s="2">
        <v>3533.73</v>
      </c>
      <c r="P2576">
        <v>302</v>
      </c>
      <c r="Q2576" s="2">
        <v>1067186.46</v>
      </c>
      <c r="R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 s="1">
        <v>42382</v>
      </c>
      <c r="AC2576" t="s">
        <v>53</v>
      </c>
      <c r="AD2576" t="s">
        <v>53</v>
      </c>
      <c r="AK2576">
        <v>0</v>
      </c>
      <c r="AU2576" s="6">
        <v>42163</v>
      </c>
      <c r="AV2576" s="6">
        <v>42163</v>
      </c>
      <c r="AW2576" t="s">
        <v>54</v>
      </c>
      <c r="AX2576" t="str">
        <f t="shared" si="212"/>
        <v>FOR</v>
      </c>
      <c r="AY2576" t="s">
        <v>55</v>
      </c>
    </row>
    <row r="2577" spans="1:51" hidden="1">
      <c r="A2577">
        <v>100788</v>
      </c>
      <c r="B2577" t="s">
        <v>285</v>
      </c>
      <c r="C2577" t="str">
        <f t="shared" si="213"/>
        <v>02368591208</v>
      </c>
      <c r="D2577" t="str">
        <f t="shared" si="213"/>
        <v>02368591208</v>
      </c>
      <c r="E2577" t="s">
        <v>52</v>
      </c>
      <c r="F2577">
        <v>2014</v>
      </c>
      <c r="G2577">
        <v>2032770</v>
      </c>
      <c r="H2577" s="1">
        <v>41739</v>
      </c>
      <c r="I2577" s="1">
        <v>41771</v>
      </c>
      <c r="J2577" s="1">
        <v>41771</v>
      </c>
      <c r="K2577" s="1">
        <v>41861</v>
      </c>
      <c r="N2577" s="5"/>
      <c r="O2577" s="2">
        <v>5316.15</v>
      </c>
      <c r="P2577">
        <v>302</v>
      </c>
      <c r="Q2577" s="2">
        <v>1605477.3</v>
      </c>
      <c r="R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 s="1">
        <v>42382</v>
      </c>
      <c r="AC2577" t="s">
        <v>53</v>
      </c>
      <c r="AD2577" t="s">
        <v>53</v>
      </c>
      <c r="AK2577">
        <v>0</v>
      </c>
      <c r="AU2577" s="6">
        <v>42163</v>
      </c>
      <c r="AV2577" s="6">
        <v>42163</v>
      </c>
      <c r="AW2577" t="s">
        <v>54</v>
      </c>
      <c r="AX2577" t="str">
        <f t="shared" si="212"/>
        <v>FOR</v>
      </c>
      <c r="AY2577" t="s">
        <v>55</v>
      </c>
    </row>
    <row r="2578" spans="1:51" hidden="1">
      <c r="A2578">
        <v>100788</v>
      </c>
      <c r="B2578" t="s">
        <v>285</v>
      </c>
      <c r="C2578" t="str">
        <f t="shared" si="213"/>
        <v>02368591208</v>
      </c>
      <c r="D2578" t="str">
        <f t="shared" si="213"/>
        <v>02368591208</v>
      </c>
      <c r="E2578" t="s">
        <v>52</v>
      </c>
      <c r="F2578">
        <v>2014</v>
      </c>
      <c r="G2578">
        <v>2040560</v>
      </c>
      <c r="H2578" s="1">
        <v>41759</v>
      </c>
      <c r="I2578" s="1">
        <v>41778</v>
      </c>
      <c r="J2578" s="1">
        <v>41778</v>
      </c>
      <c r="K2578" s="1">
        <v>41868</v>
      </c>
      <c r="N2578" s="5"/>
      <c r="O2578" s="2">
        <v>4142.21</v>
      </c>
      <c r="P2578">
        <v>295</v>
      </c>
      <c r="Q2578" s="2">
        <v>1221951.95</v>
      </c>
      <c r="R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 s="1">
        <v>42382</v>
      </c>
      <c r="AC2578" t="s">
        <v>53</v>
      </c>
      <c r="AD2578" t="s">
        <v>53</v>
      </c>
      <c r="AK2578">
        <v>0</v>
      </c>
      <c r="AU2578" s="6">
        <v>42163</v>
      </c>
      <c r="AV2578" s="6">
        <v>42163</v>
      </c>
      <c r="AW2578" t="s">
        <v>54</v>
      </c>
      <c r="AX2578" t="str">
        <f t="shared" si="212"/>
        <v>FOR</v>
      </c>
      <c r="AY2578" t="s">
        <v>55</v>
      </c>
    </row>
    <row r="2579" spans="1:51" hidden="1">
      <c r="A2579">
        <v>100788</v>
      </c>
      <c r="B2579" t="s">
        <v>285</v>
      </c>
      <c r="C2579" t="str">
        <f t="shared" si="213"/>
        <v>02368591208</v>
      </c>
      <c r="D2579" t="str">
        <f t="shared" si="213"/>
        <v>02368591208</v>
      </c>
      <c r="E2579" t="s">
        <v>52</v>
      </c>
      <c r="F2579">
        <v>2014</v>
      </c>
      <c r="G2579">
        <v>2049087</v>
      </c>
      <c r="H2579" s="1">
        <v>41778</v>
      </c>
      <c r="I2579" s="1">
        <v>41815</v>
      </c>
      <c r="J2579" s="1">
        <v>41815</v>
      </c>
      <c r="K2579" s="1">
        <v>41905</v>
      </c>
      <c r="N2579" s="5"/>
      <c r="O2579" s="2">
        <v>17603.689999999999</v>
      </c>
      <c r="P2579">
        <v>258</v>
      </c>
      <c r="Q2579" s="2">
        <v>4541752.0199999996</v>
      </c>
      <c r="R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 s="1">
        <v>42382</v>
      </c>
      <c r="AC2579" t="s">
        <v>53</v>
      </c>
      <c r="AD2579" t="s">
        <v>53</v>
      </c>
      <c r="AK2579">
        <v>0</v>
      </c>
      <c r="AU2579" s="6">
        <v>42163</v>
      </c>
      <c r="AV2579" s="6">
        <v>42163</v>
      </c>
      <c r="AW2579" t="s">
        <v>54</v>
      </c>
      <c r="AX2579" t="str">
        <f t="shared" si="212"/>
        <v>FOR</v>
      </c>
      <c r="AY2579" t="s">
        <v>55</v>
      </c>
    </row>
    <row r="2580" spans="1:51" hidden="1">
      <c r="A2580">
        <v>100788</v>
      </c>
      <c r="B2580" t="s">
        <v>285</v>
      </c>
      <c r="C2580" t="str">
        <f t="shared" si="213"/>
        <v>02368591208</v>
      </c>
      <c r="D2580" t="str">
        <f t="shared" si="213"/>
        <v>02368591208</v>
      </c>
      <c r="E2580" t="s">
        <v>52</v>
      </c>
      <c r="F2580">
        <v>2014</v>
      </c>
      <c r="G2580">
        <v>2078650</v>
      </c>
      <c r="H2580" s="1">
        <v>41841</v>
      </c>
      <c r="I2580" s="1">
        <v>41876</v>
      </c>
      <c r="J2580" s="1">
        <v>41876</v>
      </c>
      <c r="K2580" s="1">
        <v>41966</v>
      </c>
      <c r="N2580" s="5"/>
      <c r="O2580" s="2">
        <v>9337.39</v>
      </c>
      <c r="P2580">
        <v>220</v>
      </c>
      <c r="Q2580" s="2">
        <v>2054225.8</v>
      </c>
      <c r="R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 s="1">
        <v>42382</v>
      </c>
      <c r="AC2580" t="s">
        <v>53</v>
      </c>
      <c r="AD2580" t="s">
        <v>53</v>
      </c>
      <c r="AK2580">
        <v>0</v>
      </c>
      <c r="AU2580" s="6">
        <v>42186</v>
      </c>
      <c r="AV2580" s="6">
        <v>42186</v>
      </c>
      <c r="AW2580" t="s">
        <v>54</v>
      </c>
      <c r="AX2580" t="str">
        <f t="shared" si="212"/>
        <v>FOR</v>
      </c>
      <c r="AY2580" t="s">
        <v>55</v>
      </c>
    </row>
    <row r="2581" spans="1:51" hidden="1">
      <c r="A2581">
        <v>100788</v>
      </c>
      <c r="B2581" t="s">
        <v>285</v>
      </c>
      <c r="C2581" t="str">
        <f t="shared" si="213"/>
        <v>02368591208</v>
      </c>
      <c r="D2581" t="str">
        <f t="shared" si="213"/>
        <v>02368591208</v>
      </c>
      <c r="E2581" t="s">
        <v>52</v>
      </c>
      <c r="F2581">
        <v>2014</v>
      </c>
      <c r="G2581">
        <v>2081629</v>
      </c>
      <c r="H2581" s="1">
        <v>41848</v>
      </c>
      <c r="I2581" s="1">
        <v>41879</v>
      </c>
      <c r="J2581" s="1">
        <v>41879</v>
      </c>
      <c r="K2581" s="1">
        <v>41969</v>
      </c>
      <c r="N2581" s="5"/>
      <c r="O2581" s="2">
        <v>4142.21</v>
      </c>
      <c r="P2581">
        <v>217</v>
      </c>
      <c r="Q2581" s="2">
        <v>898859.57</v>
      </c>
      <c r="R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 s="1">
        <v>42382</v>
      </c>
      <c r="AC2581" t="s">
        <v>53</v>
      </c>
      <c r="AD2581" t="s">
        <v>53</v>
      </c>
      <c r="AK2581">
        <v>0</v>
      </c>
      <c r="AU2581" s="6">
        <v>42186</v>
      </c>
      <c r="AV2581" s="6">
        <v>42186</v>
      </c>
      <c r="AW2581" t="s">
        <v>54</v>
      </c>
      <c r="AX2581" t="str">
        <f t="shared" si="212"/>
        <v>FOR</v>
      </c>
      <c r="AY2581" t="s">
        <v>55</v>
      </c>
    </row>
    <row r="2582" spans="1:51">
      <c r="A2582">
        <v>100788</v>
      </c>
      <c r="B2582" t="s">
        <v>285</v>
      </c>
      <c r="C2582" t="str">
        <f t="shared" si="213"/>
        <v>02368591208</v>
      </c>
      <c r="D2582" t="str">
        <f t="shared" si="213"/>
        <v>02368591208</v>
      </c>
      <c r="E2582" t="s">
        <v>52</v>
      </c>
      <c r="F2582">
        <v>2014</v>
      </c>
      <c r="G2582">
        <v>2108706</v>
      </c>
      <c r="H2582" s="1">
        <v>41914</v>
      </c>
      <c r="I2582" s="1">
        <v>41939</v>
      </c>
      <c r="J2582" s="1">
        <v>41939</v>
      </c>
      <c r="K2582" s="1">
        <v>41999</v>
      </c>
      <c r="L2582" s="7">
        <v>12219.52</v>
      </c>
      <c r="M2582" s="5">
        <v>279</v>
      </c>
      <c r="N2582" s="7">
        <v>3409246.08</v>
      </c>
      <c r="O2582" s="2">
        <v>12219.52</v>
      </c>
      <c r="P2582">
        <v>279</v>
      </c>
      <c r="Q2582" s="2">
        <v>3409246.08</v>
      </c>
      <c r="R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 s="1">
        <v>42382</v>
      </c>
      <c r="AC2582" t="s">
        <v>53</v>
      </c>
      <c r="AD2582" t="s">
        <v>53</v>
      </c>
      <c r="AK2582">
        <v>0</v>
      </c>
      <c r="AU2582" s="6">
        <v>42278</v>
      </c>
      <c r="AV2582" s="6">
        <v>42278</v>
      </c>
      <c r="AW2582" t="s">
        <v>54</v>
      </c>
      <c r="AX2582" t="str">
        <f t="shared" si="212"/>
        <v>FOR</v>
      </c>
      <c r="AY2582" t="s">
        <v>55</v>
      </c>
    </row>
    <row r="2583" spans="1:51">
      <c r="A2583">
        <v>100788</v>
      </c>
      <c r="B2583" t="s">
        <v>285</v>
      </c>
      <c r="C2583" t="str">
        <f t="shared" si="213"/>
        <v>02368591208</v>
      </c>
      <c r="D2583" t="str">
        <f t="shared" si="213"/>
        <v>02368591208</v>
      </c>
      <c r="E2583" t="s">
        <v>52</v>
      </c>
      <c r="F2583">
        <v>2014</v>
      </c>
      <c r="G2583">
        <v>2128827</v>
      </c>
      <c r="H2583" s="1">
        <v>41957</v>
      </c>
      <c r="I2583" s="1">
        <v>41984</v>
      </c>
      <c r="J2583" s="1">
        <v>41984</v>
      </c>
      <c r="K2583" s="1">
        <v>42044</v>
      </c>
      <c r="L2583" s="7">
        <v>3054.27</v>
      </c>
      <c r="M2583" s="5">
        <v>234</v>
      </c>
      <c r="N2583" s="7">
        <v>714699.18</v>
      </c>
      <c r="O2583" s="2">
        <v>3054.27</v>
      </c>
      <c r="P2583">
        <v>234</v>
      </c>
      <c r="Q2583" s="2">
        <v>714699.18</v>
      </c>
      <c r="R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 s="1">
        <v>42382</v>
      </c>
      <c r="AC2583" t="s">
        <v>53</v>
      </c>
      <c r="AD2583" t="s">
        <v>53</v>
      </c>
      <c r="AK2583">
        <v>0</v>
      </c>
      <c r="AU2583" s="6">
        <v>42278</v>
      </c>
      <c r="AV2583" s="6">
        <v>42278</v>
      </c>
      <c r="AW2583" t="s">
        <v>54</v>
      </c>
      <c r="AX2583" t="str">
        <f t="shared" si="212"/>
        <v>FOR</v>
      </c>
      <c r="AY2583" t="s">
        <v>55</v>
      </c>
    </row>
    <row r="2584" spans="1:51">
      <c r="A2584">
        <v>100788</v>
      </c>
      <c r="B2584" t="s">
        <v>285</v>
      </c>
      <c r="C2584" t="str">
        <f t="shared" si="213"/>
        <v>02368591208</v>
      </c>
      <c r="D2584" t="str">
        <f t="shared" si="213"/>
        <v>02368591208</v>
      </c>
      <c r="E2584" t="s">
        <v>52</v>
      </c>
      <c r="F2584">
        <v>2014</v>
      </c>
      <c r="G2584">
        <v>2133803</v>
      </c>
      <c r="H2584" s="1">
        <v>41969</v>
      </c>
      <c r="I2584" s="1">
        <v>41995</v>
      </c>
      <c r="J2584" s="1">
        <v>41995</v>
      </c>
      <c r="K2584" s="1">
        <v>42055</v>
      </c>
      <c r="L2584" s="7">
        <v>7546.01</v>
      </c>
      <c r="M2584" s="5">
        <v>223</v>
      </c>
      <c r="N2584" s="7">
        <v>1682760.23</v>
      </c>
      <c r="O2584" s="2">
        <v>7546.01</v>
      </c>
      <c r="P2584">
        <v>223</v>
      </c>
      <c r="Q2584" s="2">
        <v>1682760.23</v>
      </c>
      <c r="R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 s="1">
        <v>42382</v>
      </c>
      <c r="AC2584" t="s">
        <v>53</v>
      </c>
      <c r="AD2584" t="s">
        <v>53</v>
      </c>
      <c r="AK2584">
        <v>0</v>
      </c>
      <c r="AU2584" s="6">
        <v>42278</v>
      </c>
      <c r="AV2584" s="6">
        <v>42278</v>
      </c>
      <c r="AW2584" t="s">
        <v>54</v>
      </c>
      <c r="AX2584" t="str">
        <f t="shared" si="212"/>
        <v>FOR</v>
      </c>
      <c r="AY2584" t="s">
        <v>55</v>
      </c>
    </row>
    <row r="2585" spans="1:51" hidden="1">
      <c r="A2585">
        <v>100792</v>
      </c>
      <c r="B2585" t="s">
        <v>286</v>
      </c>
      <c r="C2585" t="str">
        <f t="shared" ref="C2585:D2601" si="214">"02144720790"</f>
        <v>02144720790</v>
      </c>
      <c r="D2585" t="str">
        <f t="shared" si="214"/>
        <v>02144720790</v>
      </c>
      <c r="E2585" t="s">
        <v>52</v>
      </c>
      <c r="F2585">
        <v>2014</v>
      </c>
      <c r="G2585">
        <v>257</v>
      </c>
      <c r="H2585" s="1">
        <v>41718</v>
      </c>
      <c r="I2585" s="1">
        <v>41739</v>
      </c>
      <c r="J2585" s="1">
        <v>41739</v>
      </c>
      <c r="K2585" s="1">
        <v>41829</v>
      </c>
      <c r="N2585" s="5"/>
      <c r="O2585">
        <v>341.6</v>
      </c>
      <c r="P2585">
        <v>330</v>
      </c>
      <c r="Q2585" s="2">
        <v>112728</v>
      </c>
      <c r="R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 s="1">
        <v>42382</v>
      </c>
      <c r="AC2585" t="s">
        <v>53</v>
      </c>
      <c r="AD2585" t="s">
        <v>53</v>
      </c>
      <c r="AK2585">
        <v>0</v>
      </c>
      <c r="AU2585" s="6">
        <v>42159</v>
      </c>
      <c r="AV2585" s="6">
        <v>42159</v>
      </c>
      <c r="AW2585" t="s">
        <v>54</v>
      </c>
      <c r="AX2585" t="str">
        <f t="shared" si="212"/>
        <v>FOR</v>
      </c>
      <c r="AY2585" t="s">
        <v>55</v>
      </c>
    </row>
    <row r="2586" spans="1:51" hidden="1">
      <c r="A2586">
        <v>100792</v>
      </c>
      <c r="B2586" t="s">
        <v>286</v>
      </c>
      <c r="C2586" t="str">
        <f t="shared" si="214"/>
        <v>02144720790</v>
      </c>
      <c r="D2586" t="str">
        <f t="shared" si="214"/>
        <v>02144720790</v>
      </c>
      <c r="E2586" t="s">
        <v>52</v>
      </c>
      <c r="F2586">
        <v>2014</v>
      </c>
      <c r="G2586">
        <v>258</v>
      </c>
      <c r="H2586" s="1">
        <v>41718</v>
      </c>
      <c r="I2586" s="1">
        <v>41739</v>
      </c>
      <c r="J2586" s="1">
        <v>41739</v>
      </c>
      <c r="K2586" s="1">
        <v>41829</v>
      </c>
      <c r="N2586" s="5"/>
      <c r="O2586">
        <v>29.46</v>
      </c>
      <c r="P2586">
        <v>330</v>
      </c>
      <c r="Q2586" s="2">
        <v>9721.7999999999993</v>
      </c>
      <c r="R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 s="1">
        <v>42382</v>
      </c>
      <c r="AC2586" t="s">
        <v>53</v>
      </c>
      <c r="AD2586" t="s">
        <v>53</v>
      </c>
      <c r="AK2586">
        <v>0</v>
      </c>
      <c r="AU2586" s="6">
        <v>42159</v>
      </c>
      <c r="AV2586" s="6">
        <v>42159</v>
      </c>
      <c r="AW2586" t="s">
        <v>54</v>
      </c>
      <c r="AX2586" t="str">
        <f t="shared" si="212"/>
        <v>FOR</v>
      </c>
      <c r="AY2586" t="s">
        <v>55</v>
      </c>
    </row>
    <row r="2587" spans="1:51" hidden="1">
      <c r="A2587">
        <v>100792</v>
      </c>
      <c r="B2587" t="s">
        <v>286</v>
      </c>
      <c r="C2587" t="str">
        <f t="shared" si="214"/>
        <v>02144720790</v>
      </c>
      <c r="D2587" t="str">
        <f t="shared" si="214"/>
        <v>02144720790</v>
      </c>
      <c r="E2587" t="s">
        <v>52</v>
      </c>
      <c r="F2587">
        <v>2014</v>
      </c>
      <c r="G2587">
        <v>461</v>
      </c>
      <c r="H2587" s="1">
        <v>41747</v>
      </c>
      <c r="I2587" s="1">
        <v>41757</v>
      </c>
      <c r="J2587" s="1">
        <v>41757</v>
      </c>
      <c r="K2587" s="1">
        <v>41847</v>
      </c>
      <c r="N2587" s="5"/>
      <c r="O2587">
        <v>134.69</v>
      </c>
      <c r="P2587">
        <v>312</v>
      </c>
      <c r="Q2587" s="2">
        <v>42023.28</v>
      </c>
      <c r="R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 s="1">
        <v>42382</v>
      </c>
      <c r="AC2587" t="s">
        <v>53</v>
      </c>
      <c r="AD2587" t="s">
        <v>53</v>
      </c>
      <c r="AK2587">
        <v>0</v>
      </c>
      <c r="AU2587" s="6">
        <v>42159</v>
      </c>
      <c r="AV2587" s="6">
        <v>42159</v>
      </c>
      <c r="AW2587" t="s">
        <v>54</v>
      </c>
      <c r="AX2587" t="str">
        <f t="shared" si="212"/>
        <v>FOR</v>
      </c>
      <c r="AY2587" t="s">
        <v>55</v>
      </c>
    </row>
    <row r="2588" spans="1:51" hidden="1">
      <c r="A2588">
        <v>100792</v>
      </c>
      <c r="B2588" t="s">
        <v>286</v>
      </c>
      <c r="C2588" t="str">
        <f t="shared" si="214"/>
        <v>02144720790</v>
      </c>
      <c r="D2588" t="str">
        <f t="shared" si="214"/>
        <v>02144720790</v>
      </c>
      <c r="E2588" t="s">
        <v>52</v>
      </c>
      <c r="F2588">
        <v>2014</v>
      </c>
      <c r="G2588">
        <v>462</v>
      </c>
      <c r="H2588" s="1">
        <v>41747</v>
      </c>
      <c r="I2588" s="1">
        <v>41757</v>
      </c>
      <c r="J2588" s="1">
        <v>41757</v>
      </c>
      <c r="K2588" s="1">
        <v>41847</v>
      </c>
      <c r="N2588" s="5"/>
      <c r="O2588">
        <v>90.57</v>
      </c>
      <c r="P2588">
        <v>312</v>
      </c>
      <c r="Q2588" s="2">
        <v>28257.84</v>
      </c>
      <c r="R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 s="1">
        <v>42382</v>
      </c>
      <c r="AC2588" t="s">
        <v>53</v>
      </c>
      <c r="AD2588" t="s">
        <v>53</v>
      </c>
      <c r="AK2588">
        <v>0</v>
      </c>
      <c r="AU2588" s="6">
        <v>42159</v>
      </c>
      <c r="AV2588" s="6">
        <v>42159</v>
      </c>
      <c r="AW2588" t="s">
        <v>54</v>
      </c>
      <c r="AX2588" t="str">
        <f t="shared" si="212"/>
        <v>FOR</v>
      </c>
      <c r="AY2588" t="s">
        <v>55</v>
      </c>
    </row>
    <row r="2589" spans="1:51" hidden="1">
      <c r="A2589">
        <v>100792</v>
      </c>
      <c r="B2589" t="s">
        <v>286</v>
      </c>
      <c r="C2589" t="str">
        <f t="shared" si="214"/>
        <v>02144720790</v>
      </c>
      <c r="D2589" t="str">
        <f t="shared" si="214"/>
        <v>02144720790</v>
      </c>
      <c r="E2589" t="s">
        <v>52</v>
      </c>
      <c r="F2589">
        <v>2014</v>
      </c>
      <c r="G2589">
        <v>463</v>
      </c>
      <c r="H2589" s="1">
        <v>41747</v>
      </c>
      <c r="I2589" s="1">
        <v>41757</v>
      </c>
      <c r="J2589" s="1">
        <v>41757</v>
      </c>
      <c r="K2589" s="1">
        <v>41847</v>
      </c>
      <c r="N2589" s="5"/>
      <c r="O2589">
        <v>134.69</v>
      </c>
      <c r="P2589">
        <v>312</v>
      </c>
      <c r="Q2589" s="2">
        <v>42023.28</v>
      </c>
      <c r="R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 s="1">
        <v>42382</v>
      </c>
      <c r="AC2589" t="s">
        <v>53</v>
      </c>
      <c r="AD2589" t="s">
        <v>53</v>
      </c>
      <c r="AK2589">
        <v>0</v>
      </c>
      <c r="AU2589" s="6">
        <v>42159</v>
      </c>
      <c r="AV2589" s="6">
        <v>42159</v>
      </c>
      <c r="AW2589" t="s">
        <v>54</v>
      </c>
      <c r="AX2589" t="str">
        <f t="shared" si="212"/>
        <v>FOR</v>
      </c>
      <c r="AY2589" t="s">
        <v>55</v>
      </c>
    </row>
    <row r="2590" spans="1:51" hidden="1">
      <c r="A2590">
        <v>100792</v>
      </c>
      <c r="B2590" t="s">
        <v>286</v>
      </c>
      <c r="C2590" t="str">
        <f t="shared" si="214"/>
        <v>02144720790</v>
      </c>
      <c r="D2590" t="str">
        <f t="shared" si="214"/>
        <v>02144720790</v>
      </c>
      <c r="E2590" t="s">
        <v>52</v>
      </c>
      <c r="F2590">
        <v>2014</v>
      </c>
      <c r="G2590">
        <v>607</v>
      </c>
      <c r="H2590" s="1">
        <v>41779</v>
      </c>
      <c r="I2590" s="1">
        <v>41795</v>
      </c>
      <c r="J2590" s="1">
        <v>41795</v>
      </c>
      <c r="K2590" s="1">
        <v>41885</v>
      </c>
      <c r="N2590" s="5"/>
      <c r="O2590">
        <v>122</v>
      </c>
      <c r="P2590">
        <v>274</v>
      </c>
      <c r="Q2590" s="2">
        <v>33428</v>
      </c>
      <c r="R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 s="1">
        <v>42382</v>
      </c>
      <c r="AC2590" t="s">
        <v>53</v>
      </c>
      <c r="AD2590" t="s">
        <v>53</v>
      </c>
      <c r="AK2590">
        <v>0</v>
      </c>
      <c r="AU2590" s="6">
        <v>42159</v>
      </c>
      <c r="AV2590" s="6">
        <v>42159</v>
      </c>
      <c r="AW2590" t="s">
        <v>54</v>
      </c>
      <c r="AX2590" t="str">
        <f t="shared" si="212"/>
        <v>FOR</v>
      </c>
      <c r="AY2590" t="s">
        <v>55</v>
      </c>
    </row>
    <row r="2591" spans="1:51" hidden="1">
      <c r="A2591">
        <v>100792</v>
      </c>
      <c r="B2591" t="s">
        <v>286</v>
      </c>
      <c r="C2591" t="str">
        <f t="shared" si="214"/>
        <v>02144720790</v>
      </c>
      <c r="D2591" t="str">
        <f t="shared" si="214"/>
        <v>02144720790</v>
      </c>
      <c r="E2591" t="s">
        <v>52</v>
      </c>
      <c r="F2591">
        <v>2014</v>
      </c>
      <c r="G2591">
        <v>608</v>
      </c>
      <c r="H2591" s="1">
        <v>41779</v>
      </c>
      <c r="I2591" s="1">
        <v>41795</v>
      </c>
      <c r="J2591" s="1">
        <v>41795</v>
      </c>
      <c r="K2591" s="1">
        <v>41885</v>
      </c>
      <c r="N2591" s="5"/>
      <c r="O2591">
        <v>549</v>
      </c>
      <c r="P2591">
        <v>274</v>
      </c>
      <c r="Q2591" s="2">
        <v>150426</v>
      </c>
      <c r="R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 s="1">
        <v>42382</v>
      </c>
      <c r="AC2591" t="s">
        <v>53</v>
      </c>
      <c r="AD2591" t="s">
        <v>53</v>
      </c>
      <c r="AK2591">
        <v>0</v>
      </c>
      <c r="AU2591" s="6">
        <v>42159</v>
      </c>
      <c r="AV2591" s="6">
        <v>42159</v>
      </c>
      <c r="AW2591" t="s">
        <v>54</v>
      </c>
      <c r="AX2591" t="str">
        <f t="shared" si="212"/>
        <v>FOR</v>
      </c>
      <c r="AY2591" t="s">
        <v>55</v>
      </c>
    </row>
    <row r="2592" spans="1:51" hidden="1">
      <c r="A2592">
        <v>100792</v>
      </c>
      <c r="B2592" t="s">
        <v>286</v>
      </c>
      <c r="C2592" t="str">
        <f t="shared" si="214"/>
        <v>02144720790</v>
      </c>
      <c r="D2592" t="str">
        <f t="shared" si="214"/>
        <v>02144720790</v>
      </c>
      <c r="E2592" t="s">
        <v>52</v>
      </c>
      <c r="F2592">
        <v>2014</v>
      </c>
      <c r="G2592">
        <v>778</v>
      </c>
      <c r="H2592" s="1">
        <v>41810</v>
      </c>
      <c r="I2592" s="1">
        <v>41834</v>
      </c>
      <c r="J2592" s="1">
        <v>41834</v>
      </c>
      <c r="K2592" s="1">
        <v>41924</v>
      </c>
      <c r="N2592" s="5"/>
      <c r="O2592">
        <v>811.3</v>
      </c>
      <c r="P2592">
        <v>235</v>
      </c>
      <c r="Q2592" s="2">
        <v>190655.5</v>
      </c>
      <c r="R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 s="1">
        <v>42382</v>
      </c>
      <c r="AC2592" t="s">
        <v>53</v>
      </c>
      <c r="AD2592" t="s">
        <v>53</v>
      </c>
      <c r="AK2592">
        <v>0</v>
      </c>
      <c r="AU2592" s="6">
        <v>42159</v>
      </c>
      <c r="AV2592" s="6">
        <v>42159</v>
      </c>
      <c r="AW2592" t="s">
        <v>54</v>
      </c>
      <c r="AX2592" t="str">
        <f t="shared" si="212"/>
        <v>FOR</v>
      </c>
      <c r="AY2592" t="s">
        <v>55</v>
      </c>
    </row>
    <row r="2593" spans="1:51">
      <c r="A2593">
        <v>100792</v>
      </c>
      <c r="B2593" t="s">
        <v>286</v>
      </c>
      <c r="C2593" t="str">
        <f t="shared" si="214"/>
        <v>02144720790</v>
      </c>
      <c r="D2593" t="str">
        <f t="shared" si="214"/>
        <v>02144720790</v>
      </c>
      <c r="E2593" t="s">
        <v>52</v>
      </c>
      <c r="F2593">
        <v>2014</v>
      </c>
      <c r="G2593">
        <v>1198</v>
      </c>
      <c r="H2593" s="1">
        <v>41970</v>
      </c>
      <c r="I2593" s="1">
        <v>41976</v>
      </c>
      <c r="J2593" s="1">
        <v>41976</v>
      </c>
      <c r="K2593" s="1">
        <v>42036</v>
      </c>
      <c r="L2593" s="7">
        <v>549</v>
      </c>
      <c r="M2593" s="5">
        <v>246</v>
      </c>
      <c r="N2593" s="7">
        <v>135054</v>
      </c>
      <c r="O2593">
        <v>549</v>
      </c>
      <c r="P2593">
        <v>246</v>
      </c>
      <c r="Q2593" s="2">
        <v>135054</v>
      </c>
      <c r="R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 s="1">
        <v>42382</v>
      </c>
      <c r="AC2593" t="s">
        <v>53</v>
      </c>
      <c r="AD2593" t="s">
        <v>53</v>
      </c>
      <c r="AK2593">
        <v>0</v>
      </c>
      <c r="AU2593" s="6">
        <v>42282</v>
      </c>
      <c r="AV2593" s="6">
        <v>42282</v>
      </c>
      <c r="AW2593" t="s">
        <v>54</v>
      </c>
      <c r="AX2593" t="str">
        <f t="shared" si="212"/>
        <v>FOR</v>
      </c>
      <c r="AY2593" t="s">
        <v>55</v>
      </c>
    </row>
    <row r="2594" spans="1:51">
      <c r="A2594">
        <v>100792</v>
      </c>
      <c r="B2594" t="s">
        <v>286</v>
      </c>
      <c r="C2594" t="str">
        <f t="shared" si="214"/>
        <v>02144720790</v>
      </c>
      <c r="D2594" t="str">
        <f t="shared" si="214"/>
        <v>02144720790</v>
      </c>
      <c r="E2594" t="s">
        <v>52</v>
      </c>
      <c r="F2594">
        <v>2014</v>
      </c>
      <c r="G2594">
        <v>1199</v>
      </c>
      <c r="H2594" s="1">
        <v>41970</v>
      </c>
      <c r="I2594" s="1">
        <v>41976</v>
      </c>
      <c r="J2594" s="1">
        <v>41976</v>
      </c>
      <c r="K2594" s="1">
        <v>42036</v>
      </c>
      <c r="L2594" s="7">
        <v>23.57</v>
      </c>
      <c r="M2594" s="5">
        <v>246</v>
      </c>
      <c r="N2594" s="7">
        <v>5798.22</v>
      </c>
      <c r="O2594">
        <v>23.57</v>
      </c>
      <c r="P2594">
        <v>246</v>
      </c>
      <c r="Q2594" s="2">
        <v>5798.22</v>
      </c>
      <c r="R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 s="1">
        <v>42382</v>
      </c>
      <c r="AC2594" t="s">
        <v>53</v>
      </c>
      <c r="AD2594" t="s">
        <v>53</v>
      </c>
      <c r="AK2594">
        <v>0</v>
      </c>
      <c r="AU2594" s="6">
        <v>42282</v>
      </c>
      <c r="AV2594" s="6">
        <v>42282</v>
      </c>
      <c r="AW2594" t="s">
        <v>54</v>
      </c>
      <c r="AX2594" t="str">
        <f t="shared" si="212"/>
        <v>FOR</v>
      </c>
      <c r="AY2594" t="s">
        <v>55</v>
      </c>
    </row>
    <row r="2595" spans="1:51">
      <c r="A2595">
        <v>100792</v>
      </c>
      <c r="B2595" t="s">
        <v>286</v>
      </c>
      <c r="C2595" t="str">
        <f t="shared" si="214"/>
        <v>02144720790</v>
      </c>
      <c r="D2595" t="str">
        <f t="shared" si="214"/>
        <v>02144720790</v>
      </c>
      <c r="E2595" t="s">
        <v>52</v>
      </c>
      <c r="F2595">
        <v>2014</v>
      </c>
      <c r="G2595">
        <v>1200</v>
      </c>
      <c r="H2595" s="1">
        <v>41970</v>
      </c>
      <c r="I2595" s="1">
        <v>41976</v>
      </c>
      <c r="J2595" s="1">
        <v>41976</v>
      </c>
      <c r="K2595" s="1">
        <v>42036</v>
      </c>
      <c r="L2595" s="7">
        <v>14.64</v>
      </c>
      <c r="M2595" s="5">
        <v>246</v>
      </c>
      <c r="N2595" s="7">
        <v>3601.44</v>
      </c>
      <c r="O2595">
        <v>14.64</v>
      </c>
      <c r="P2595">
        <v>246</v>
      </c>
      <c r="Q2595" s="2">
        <v>3601.44</v>
      </c>
      <c r="R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 s="1">
        <v>42382</v>
      </c>
      <c r="AC2595" t="s">
        <v>53</v>
      </c>
      <c r="AD2595" t="s">
        <v>53</v>
      </c>
      <c r="AK2595">
        <v>0</v>
      </c>
      <c r="AU2595" s="6">
        <v>42282</v>
      </c>
      <c r="AV2595" s="6">
        <v>42282</v>
      </c>
      <c r="AW2595" t="s">
        <v>54</v>
      </c>
      <c r="AX2595" t="str">
        <f t="shared" si="212"/>
        <v>FOR</v>
      </c>
      <c r="AY2595" t="s">
        <v>55</v>
      </c>
    </row>
    <row r="2596" spans="1:51">
      <c r="A2596">
        <v>100792</v>
      </c>
      <c r="B2596" t="s">
        <v>286</v>
      </c>
      <c r="C2596" t="str">
        <f t="shared" si="214"/>
        <v>02144720790</v>
      </c>
      <c r="D2596" t="str">
        <f t="shared" si="214"/>
        <v>02144720790</v>
      </c>
      <c r="E2596" t="s">
        <v>52</v>
      </c>
      <c r="F2596">
        <v>2014</v>
      </c>
      <c r="G2596">
        <v>1201</v>
      </c>
      <c r="H2596" s="1">
        <v>41970</v>
      </c>
      <c r="I2596" s="1">
        <v>41976</v>
      </c>
      <c r="J2596" s="1">
        <v>41976</v>
      </c>
      <c r="K2596" s="1">
        <v>42036</v>
      </c>
      <c r="L2596" s="7">
        <v>170.8</v>
      </c>
      <c r="M2596" s="5">
        <v>246</v>
      </c>
      <c r="N2596" s="7">
        <v>42016.800000000003</v>
      </c>
      <c r="O2596">
        <v>170.8</v>
      </c>
      <c r="P2596">
        <v>246</v>
      </c>
      <c r="Q2596" s="2">
        <v>42016.800000000003</v>
      </c>
      <c r="R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 s="1">
        <v>42382</v>
      </c>
      <c r="AC2596" t="s">
        <v>53</v>
      </c>
      <c r="AD2596" t="s">
        <v>53</v>
      </c>
      <c r="AK2596">
        <v>0</v>
      </c>
      <c r="AU2596" s="6">
        <v>42282</v>
      </c>
      <c r="AV2596" s="6">
        <v>42282</v>
      </c>
      <c r="AW2596" t="s">
        <v>54</v>
      </c>
      <c r="AX2596" t="str">
        <f t="shared" si="212"/>
        <v>FOR</v>
      </c>
      <c r="AY2596" t="s">
        <v>55</v>
      </c>
    </row>
    <row r="2597" spans="1:51">
      <c r="A2597">
        <v>100792</v>
      </c>
      <c r="B2597" t="s">
        <v>286</v>
      </c>
      <c r="C2597" t="str">
        <f t="shared" si="214"/>
        <v>02144720790</v>
      </c>
      <c r="D2597" t="str">
        <f t="shared" si="214"/>
        <v>02144720790</v>
      </c>
      <c r="E2597" t="s">
        <v>52</v>
      </c>
      <c r="F2597">
        <v>2015</v>
      </c>
      <c r="G2597" t="s">
        <v>287</v>
      </c>
      <c r="H2597" s="1">
        <v>42052</v>
      </c>
      <c r="I2597" s="1">
        <v>42069</v>
      </c>
      <c r="J2597" s="1">
        <v>42069</v>
      </c>
      <c r="K2597" s="1">
        <v>42129</v>
      </c>
      <c r="L2597" s="7">
        <v>900</v>
      </c>
      <c r="M2597" s="5">
        <v>224</v>
      </c>
      <c r="N2597" s="7">
        <v>201600</v>
      </c>
      <c r="O2597">
        <v>900</v>
      </c>
      <c r="P2597">
        <v>224</v>
      </c>
      <c r="Q2597" s="2">
        <v>201600</v>
      </c>
      <c r="R2597">
        <v>198</v>
      </c>
      <c r="V2597">
        <v>0</v>
      </c>
      <c r="W2597">
        <v>0</v>
      </c>
      <c r="X2597">
        <v>0</v>
      </c>
      <c r="Y2597" s="2">
        <v>1098</v>
      </c>
      <c r="Z2597" s="2">
        <v>1098</v>
      </c>
      <c r="AA2597" s="2">
        <v>1098</v>
      </c>
      <c r="AB2597" s="1">
        <v>42382</v>
      </c>
      <c r="AC2597" t="s">
        <v>53</v>
      </c>
      <c r="AD2597" t="s">
        <v>53</v>
      </c>
      <c r="AK2597">
        <v>198</v>
      </c>
      <c r="AU2597" s="6">
        <v>42353</v>
      </c>
      <c r="AV2597" s="6">
        <v>42353</v>
      </c>
      <c r="AW2597" t="s">
        <v>54</v>
      </c>
      <c r="AX2597" t="str">
        <f t="shared" si="212"/>
        <v>FOR</v>
      </c>
      <c r="AY2597" t="s">
        <v>55</v>
      </c>
    </row>
    <row r="2598" spans="1:51">
      <c r="A2598">
        <v>100792</v>
      </c>
      <c r="B2598" t="s">
        <v>286</v>
      </c>
      <c r="C2598" t="str">
        <f t="shared" si="214"/>
        <v>02144720790</v>
      </c>
      <c r="D2598" t="str">
        <f t="shared" si="214"/>
        <v>02144720790</v>
      </c>
      <c r="E2598" t="s">
        <v>52</v>
      </c>
      <c r="F2598">
        <v>2015</v>
      </c>
      <c r="G2598" t="s">
        <v>288</v>
      </c>
      <c r="H2598" s="1">
        <v>42052</v>
      </c>
      <c r="I2598" s="1">
        <v>42069</v>
      </c>
      <c r="J2598" s="1">
        <v>42069</v>
      </c>
      <c r="K2598" s="1">
        <v>42129</v>
      </c>
      <c r="L2598" s="7">
        <v>110.4</v>
      </c>
      <c r="M2598" s="5">
        <v>224</v>
      </c>
      <c r="N2598" s="7">
        <v>24729.599999999999</v>
      </c>
      <c r="O2598">
        <v>110.4</v>
      </c>
      <c r="P2598">
        <v>224</v>
      </c>
      <c r="Q2598" s="2">
        <v>24729.599999999999</v>
      </c>
      <c r="R2598">
        <v>24.29</v>
      </c>
      <c r="V2598">
        <v>0</v>
      </c>
      <c r="W2598">
        <v>0</v>
      </c>
      <c r="X2598">
        <v>0</v>
      </c>
      <c r="Y2598">
        <v>134.69</v>
      </c>
      <c r="Z2598">
        <v>134.69</v>
      </c>
      <c r="AA2598">
        <v>134.69</v>
      </c>
      <c r="AB2598" s="1">
        <v>42382</v>
      </c>
      <c r="AC2598" t="s">
        <v>53</v>
      </c>
      <c r="AD2598" t="s">
        <v>53</v>
      </c>
      <c r="AK2598">
        <v>24.29</v>
      </c>
      <c r="AU2598" s="6">
        <v>42353</v>
      </c>
      <c r="AV2598" s="6">
        <v>42353</v>
      </c>
      <c r="AW2598" t="s">
        <v>54</v>
      </c>
      <c r="AX2598" t="str">
        <f t="shared" si="212"/>
        <v>FOR</v>
      </c>
      <c r="AY2598" t="s">
        <v>55</v>
      </c>
    </row>
    <row r="2599" spans="1:51">
      <c r="A2599">
        <v>100792</v>
      </c>
      <c r="B2599" t="s">
        <v>286</v>
      </c>
      <c r="C2599" t="str">
        <f t="shared" si="214"/>
        <v>02144720790</v>
      </c>
      <c r="D2599" t="str">
        <f t="shared" si="214"/>
        <v>02144720790</v>
      </c>
      <c r="E2599" t="s">
        <v>52</v>
      </c>
      <c r="F2599">
        <v>2015</v>
      </c>
      <c r="G2599" t="s">
        <v>289</v>
      </c>
      <c r="H2599" s="1">
        <v>42052</v>
      </c>
      <c r="I2599" s="1">
        <v>42069</v>
      </c>
      <c r="J2599" s="1">
        <v>42069</v>
      </c>
      <c r="K2599" s="1">
        <v>42129</v>
      </c>
      <c r="L2599" s="7">
        <v>185.6</v>
      </c>
      <c r="M2599" s="5">
        <v>224</v>
      </c>
      <c r="N2599" s="7">
        <v>41574.400000000001</v>
      </c>
      <c r="O2599">
        <v>185.6</v>
      </c>
      <c r="P2599">
        <v>224</v>
      </c>
      <c r="Q2599" s="2">
        <v>41574.400000000001</v>
      </c>
      <c r="R2599">
        <v>40.83</v>
      </c>
      <c r="V2599">
        <v>0</v>
      </c>
      <c r="W2599">
        <v>0</v>
      </c>
      <c r="X2599">
        <v>0</v>
      </c>
      <c r="Y2599">
        <v>226.43</v>
      </c>
      <c r="Z2599">
        <v>226.43</v>
      </c>
      <c r="AA2599">
        <v>226.43</v>
      </c>
      <c r="AB2599" s="1">
        <v>42382</v>
      </c>
      <c r="AC2599" t="s">
        <v>53</v>
      </c>
      <c r="AD2599" t="s">
        <v>53</v>
      </c>
      <c r="AK2599">
        <v>40.83</v>
      </c>
      <c r="AU2599" s="6">
        <v>42353</v>
      </c>
      <c r="AV2599" s="6">
        <v>42353</v>
      </c>
      <c r="AW2599" t="s">
        <v>54</v>
      </c>
      <c r="AX2599" t="str">
        <f t="shared" si="212"/>
        <v>FOR</v>
      </c>
      <c r="AY2599" t="s">
        <v>55</v>
      </c>
    </row>
    <row r="2600" spans="1:51">
      <c r="A2600">
        <v>100792</v>
      </c>
      <c r="B2600" t="s">
        <v>286</v>
      </c>
      <c r="C2600" t="str">
        <f t="shared" si="214"/>
        <v>02144720790</v>
      </c>
      <c r="D2600" t="str">
        <f t="shared" si="214"/>
        <v>02144720790</v>
      </c>
      <c r="E2600" t="s">
        <v>52</v>
      </c>
      <c r="F2600">
        <v>2015</v>
      </c>
      <c r="G2600" t="s">
        <v>290</v>
      </c>
      <c r="H2600" s="1">
        <v>42052</v>
      </c>
      <c r="I2600" s="1">
        <v>42069</v>
      </c>
      <c r="J2600" s="1">
        <v>42069</v>
      </c>
      <c r="K2600" s="1">
        <v>42129</v>
      </c>
      <c r="L2600" s="7">
        <v>665</v>
      </c>
      <c r="M2600" s="5">
        <v>224</v>
      </c>
      <c r="N2600" s="7">
        <v>148960</v>
      </c>
      <c r="O2600">
        <v>665</v>
      </c>
      <c r="P2600">
        <v>224</v>
      </c>
      <c r="Q2600" s="2">
        <v>148960</v>
      </c>
      <c r="R2600">
        <v>146.30000000000001</v>
      </c>
      <c r="V2600">
        <v>0</v>
      </c>
      <c r="W2600">
        <v>0</v>
      </c>
      <c r="X2600">
        <v>0</v>
      </c>
      <c r="Y2600">
        <v>811.3</v>
      </c>
      <c r="Z2600">
        <v>811.3</v>
      </c>
      <c r="AA2600">
        <v>811.3</v>
      </c>
      <c r="AB2600" s="1">
        <v>42382</v>
      </c>
      <c r="AC2600" t="s">
        <v>53</v>
      </c>
      <c r="AD2600" t="s">
        <v>53</v>
      </c>
      <c r="AK2600">
        <v>146.30000000000001</v>
      </c>
      <c r="AU2600" s="6">
        <v>42353</v>
      </c>
      <c r="AV2600" s="6">
        <v>42353</v>
      </c>
      <c r="AW2600" t="s">
        <v>54</v>
      </c>
      <c r="AX2600" t="str">
        <f t="shared" si="212"/>
        <v>FOR</v>
      </c>
      <c r="AY2600" t="s">
        <v>55</v>
      </c>
    </row>
    <row r="2601" spans="1:51">
      <c r="A2601">
        <v>100792</v>
      </c>
      <c r="B2601" t="s">
        <v>286</v>
      </c>
      <c r="C2601" t="str">
        <f t="shared" si="214"/>
        <v>02144720790</v>
      </c>
      <c r="D2601" t="str">
        <f t="shared" si="214"/>
        <v>02144720790</v>
      </c>
      <c r="E2601" t="s">
        <v>52</v>
      </c>
      <c r="F2601">
        <v>2015</v>
      </c>
      <c r="G2601" t="s">
        <v>291</v>
      </c>
      <c r="H2601" s="1">
        <v>42079</v>
      </c>
      <c r="I2601" s="1">
        <v>42089</v>
      </c>
      <c r="J2601" s="1">
        <v>42089</v>
      </c>
      <c r="K2601" s="1">
        <v>42149</v>
      </c>
      <c r="L2601" s="7">
        <v>110.4</v>
      </c>
      <c r="M2601" s="5">
        <v>204</v>
      </c>
      <c r="N2601" s="7">
        <v>22521.599999999999</v>
      </c>
      <c r="O2601">
        <v>110.4</v>
      </c>
      <c r="P2601">
        <v>204</v>
      </c>
      <c r="Q2601" s="2">
        <v>22521.599999999999</v>
      </c>
      <c r="R2601">
        <v>24.29</v>
      </c>
      <c r="V2601">
        <v>0</v>
      </c>
      <c r="W2601">
        <v>0</v>
      </c>
      <c r="X2601">
        <v>0</v>
      </c>
      <c r="Y2601">
        <v>134.69</v>
      </c>
      <c r="Z2601">
        <v>134.69</v>
      </c>
      <c r="AA2601">
        <v>134.69</v>
      </c>
      <c r="AB2601" s="1">
        <v>42382</v>
      </c>
      <c r="AC2601" t="s">
        <v>53</v>
      </c>
      <c r="AD2601" t="s">
        <v>53</v>
      </c>
      <c r="AK2601">
        <v>24.29</v>
      </c>
      <c r="AU2601" s="6">
        <v>42353</v>
      </c>
      <c r="AV2601" s="6">
        <v>42353</v>
      </c>
      <c r="AW2601" t="s">
        <v>54</v>
      </c>
      <c r="AX2601" t="str">
        <f t="shared" si="212"/>
        <v>FOR</v>
      </c>
      <c r="AY2601" t="s">
        <v>55</v>
      </c>
    </row>
    <row r="2602" spans="1:51" hidden="1">
      <c r="A2602">
        <v>100798</v>
      </c>
      <c r="B2602" t="s">
        <v>292</v>
      </c>
      <c r="C2602" t="str">
        <f t="shared" ref="C2602:C2612" si="215">"00907371009"</f>
        <v>00907371009</v>
      </c>
      <c r="D2602" t="str">
        <f t="shared" ref="D2602:D2612" si="216">"00492340583"</f>
        <v>00492340583</v>
      </c>
      <c r="E2602" t="s">
        <v>52</v>
      </c>
      <c r="F2602">
        <v>2014</v>
      </c>
      <c r="G2602">
        <v>14013612</v>
      </c>
      <c r="H2602" s="1">
        <v>41684</v>
      </c>
      <c r="I2602" s="1">
        <v>41711</v>
      </c>
      <c r="J2602" s="1">
        <v>41711</v>
      </c>
      <c r="K2602" s="1">
        <v>41801</v>
      </c>
      <c r="N2602" s="5"/>
      <c r="O2602" s="2">
        <v>1976</v>
      </c>
      <c r="P2602">
        <v>236</v>
      </c>
      <c r="Q2602" s="2">
        <v>466336</v>
      </c>
      <c r="R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 s="1">
        <v>42382</v>
      </c>
      <c r="AC2602" t="s">
        <v>53</v>
      </c>
      <c r="AD2602" t="s">
        <v>53</v>
      </c>
      <c r="AK2602">
        <v>0</v>
      </c>
      <c r="AU2602" s="6">
        <v>42037</v>
      </c>
      <c r="AV2602" s="6">
        <v>42037</v>
      </c>
      <c r="AW2602" t="s">
        <v>54</v>
      </c>
      <c r="AX2602" t="str">
        <f t="shared" si="212"/>
        <v>FOR</v>
      </c>
      <c r="AY2602" t="s">
        <v>55</v>
      </c>
    </row>
    <row r="2603" spans="1:51" hidden="1">
      <c r="A2603">
        <v>100798</v>
      </c>
      <c r="B2603" t="s">
        <v>292</v>
      </c>
      <c r="C2603" t="str">
        <f t="shared" si="215"/>
        <v>00907371009</v>
      </c>
      <c r="D2603" t="str">
        <f t="shared" si="216"/>
        <v>00492340583</v>
      </c>
      <c r="E2603" t="s">
        <v>52</v>
      </c>
      <c r="F2603">
        <v>2014</v>
      </c>
      <c r="G2603">
        <v>14016850</v>
      </c>
      <c r="H2603" s="1">
        <v>41697</v>
      </c>
      <c r="I2603" s="1">
        <v>41730</v>
      </c>
      <c r="J2603" s="1">
        <v>41730</v>
      </c>
      <c r="K2603" s="1">
        <v>41820</v>
      </c>
      <c r="N2603" s="5"/>
      <c r="O2603">
        <v>393.79</v>
      </c>
      <c r="P2603">
        <v>217</v>
      </c>
      <c r="Q2603" s="2">
        <v>85452.43</v>
      </c>
      <c r="R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 s="1">
        <v>42382</v>
      </c>
      <c r="AC2603" t="s">
        <v>53</v>
      </c>
      <c r="AD2603" t="s">
        <v>53</v>
      </c>
      <c r="AK2603">
        <v>0</v>
      </c>
      <c r="AU2603" s="6">
        <v>42037</v>
      </c>
      <c r="AV2603" s="6">
        <v>42037</v>
      </c>
      <c r="AW2603" t="s">
        <v>54</v>
      </c>
      <c r="AX2603" t="str">
        <f t="shared" si="212"/>
        <v>FOR</v>
      </c>
      <c r="AY2603" t="s">
        <v>55</v>
      </c>
    </row>
    <row r="2604" spans="1:51" hidden="1">
      <c r="A2604">
        <v>100798</v>
      </c>
      <c r="B2604" t="s">
        <v>292</v>
      </c>
      <c r="C2604" t="str">
        <f t="shared" si="215"/>
        <v>00907371009</v>
      </c>
      <c r="D2604" t="str">
        <f t="shared" si="216"/>
        <v>00492340583</v>
      </c>
      <c r="E2604" t="s">
        <v>52</v>
      </c>
      <c r="F2604">
        <v>2014</v>
      </c>
      <c r="G2604">
        <v>14020250</v>
      </c>
      <c r="H2604" s="1">
        <v>41705</v>
      </c>
      <c r="I2604" s="1">
        <v>41730</v>
      </c>
      <c r="J2604" s="1">
        <v>41730</v>
      </c>
      <c r="K2604" s="1">
        <v>41820</v>
      </c>
      <c r="N2604" s="5"/>
      <c r="O2604" s="2">
        <v>1056</v>
      </c>
      <c r="P2604">
        <v>252</v>
      </c>
      <c r="Q2604" s="2">
        <v>266112</v>
      </c>
      <c r="R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 s="1">
        <v>42382</v>
      </c>
      <c r="AC2604" t="s">
        <v>53</v>
      </c>
      <c r="AD2604" t="s">
        <v>53</v>
      </c>
      <c r="AK2604">
        <v>0</v>
      </c>
      <c r="AU2604" s="6">
        <v>42072</v>
      </c>
      <c r="AV2604" s="6">
        <v>42072</v>
      </c>
      <c r="AW2604" t="s">
        <v>54</v>
      </c>
      <c r="AX2604" t="str">
        <f t="shared" si="212"/>
        <v>FOR</v>
      </c>
      <c r="AY2604" t="s">
        <v>55</v>
      </c>
    </row>
    <row r="2605" spans="1:51" hidden="1">
      <c r="A2605">
        <v>100798</v>
      </c>
      <c r="B2605" t="s">
        <v>292</v>
      </c>
      <c r="C2605" t="str">
        <f t="shared" si="215"/>
        <v>00907371009</v>
      </c>
      <c r="D2605" t="str">
        <f t="shared" si="216"/>
        <v>00492340583</v>
      </c>
      <c r="E2605" t="s">
        <v>52</v>
      </c>
      <c r="F2605">
        <v>2014</v>
      </c>
      <c r="G2605">
        <v>14028417</v>
      </c>
      <c r="H2605" s="1">
        <v>41732</v>
      </c>
      <c r="I2605" s="1">
        <v>41765</v>
      </c>
      <c r="J2605" s="1">
        <v>41765</v>
      </c>
      <c r="K2605" s="1">
        <v>41855</v>
      </c>
      <c r="N2605" s="5"/>
      <c r="O2605" s="2">
        <v>1056</v>
      </c>
      <c r="P2605">
        <v>247</v>
      </c>
      <c r="Q2605" s="2">
        <v>260832</v>
      </c>
      <c r="R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 s="1">
        <v>42382</v>
      </c>
      <c r="AC2605" t="s">
        <v>53</v>
      </c>
      <c r="AD2605" t="s">
        <v>53</v>
      </c>
      <c r="AK2605">
        <v>0</v>
      </c>
      <c r="AU2605" s="6">
        <v>42102</v>
      </c>
      <c r="AV2605" s="6">
        <v>42102</v>
      </c>
      <c r="AW2605" t="s">
        <v>54</v>
      </c>
      <c r="AX2605" t="str">
        <f t="shared" si="212"/>
        <v>FOR</v>
      </c>
      <c r="AY2605" t="s">
        <v>55</v>
      </c>
    </row>
    <row r="2606" spans="1:51" hidden="1">
      <c r="A2606">
        <v>100798</v>
      </c>
      <c r="B2606" t="s">
        <v>292</v>
      </c>
      <c r="C2606" t="str">
        <f t="shared" si="215"/>
        <v>00907371009</v>
      </c>
      <c r="D2606" t="str">
        <f t="shared" si="216"/>
        <v>00492340583</v>
      </c>
      <c r="E2606" t="s">
        <v>52</v>
      </c>
      <c r="F2606">
        <v>2014</v>
      </c>
      <c r="G2606">
        <v>14044151</v>
      </c>
      <c r="H2606" s="1">
        <v>41785</v>
      </c>
      <c r="I2606" s="1">
        <v>41817</v>
      </c>
      <c r="J2606" s="1">
        <v>41817</v>
      </c>
      <c r="K2606" s="1">
        <v>41907</v>
      </c>
      <c r="N2606" s="5"/>
      <c r="O2606">
        <v>320.56</v>
      </c>
      <c r="P2606">
        <v>224</v>
      </c>
      <c r="Q2606" s="2">
        <v>71805.440000000002</v>
      </c>
      <c r="R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 s="1">
        <v>42382</v>
      </c>
      <c r="AC2606" t="s">
        <v>53</v>
      </c>
      <c r="AD2606" t="s">
        <v>53</v>
      </c>
      <c r="AK2606">
        <v>0</v>
      </c>
      <c r="AU2606" s="6">
        <v>42131</v>
      </c>
      <c r="AV2606" s="6">
        <v>42131</v>
      </c>
      <c r="AW2606" t="s">
        <v>54</v>
      </c>
      <c r="AX2606" t="str">
        <f t="shared" si="212"/>
        <v>FOR</v>
      </c>
      <c r="AY2606" t="s">
        <v>55</v>
      </c>
    </row>
    <row r="2607" spans="1:51" hidden="1">
      <c r="A2607">
        <v>100798</v>
      </c>
      <c r="B2607" t="s">
        <v>292</v>
      </c>
      <c r="C2607" t="str">
        <f t="shared" si="215"/>
        <v>00907371009</v>
      </c>
      <c r="D2607" t="str">
        <f t="shared" si="216"/>
        <v>00492340583</v>
      </c>
      <c r="E2607" t="s">
        <v>52</v>
      </c>
      <c r="F2607">
        <v>2014</v>
      </c>
      <c r="G2607">
        <v>14044630</v>
      </c>
      <c r="H2607" s="1">
        <v>41786</v>
      </c>
      <c r="I2607" s="1">
        <v>41817</v>
      </c>
      <c r="J2607" s="1">
        <v>41817</v>
      </c>
      <c r="K2607" s="1">
        <v>41907</v>
      </c>
      <c r="N2607" s="5"/>
      <c r="O2607">
        <v>27.72</v>
      </c>
      <c r="P2607">
        <v>224</v>
      </c>
      <c r="Q2607" s="2">
        <v>6209.28</v>
      </c>
      <c r="R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 s="1">
        <v>42382</v>
      </c>
      <c r="AC2607" t="s">
        <v>53</v>
      </c>
      <c r="AD2607" t="s">
        <v>53</v>
      </c>
      <c r="AK2607">
        <v>0</v>
      </c>
      <c r="AU2607" s="6">
        <v>42131</v>
      </c>
      <c r="AV2607" s="6">
        <v>42131</v>
      </c>
      <c r="AW2607" t="s">
        <v>54</v>
      </c>
      <c r="AX2607" t="str">
        <f t="shared" si="212"/>
        <v>FOR</v>
      </c>
      <c r="AY2607" t="s">
        <v>55</v>
      </c>
    </row>
    <row r="2608" spans="1:51" hidden="1">
      <c r="A2608">
        <v>100798</v>
      </c>
      <c r="B2608" t="s">
        <v>292</v>
      </c>
      <c r="C2608" t="str">
        <f t="shared" si="215"/>
        <v>00907371009</v>
      </c>
      <c r="D2608" t="str">
        <f t="shared" si="216"/>
        <v>00492340583</v>
      </c>
      <c r="E2608" t="s">
        <v>52</v>
      </c>
      <c r="F2608">
        <v>2014</v>
      </c>
      <c r="G2608">
        <v>14047386</v>
      </c>
      <c r="H2608" s="1">
        <v>41795</v>
      </c>
      <c r="I2608" s="1">
        <v>41817</v>
      </c>
      <c r="J2608" s="1">
        <v>41817</v>
      </c>
      <c r="K2608" s="1">
        <v>41907</v>
      </c>
      <c r="N2608" s="5"/>
      <c r="O2608">
        <v>399.36</v>
      </c>
      <c r="P2608">
        <v>252</v>
      </c>
      <c r="Q2608" s="2">
        <v>100638.72</v>
      </c>
      <c r="R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 s="1">
        <v>42382</v>
      </c>
      <c r="AC2608" t="s">
        <v>53</v>
      </c>
      <c r="AD2608" t="s">
        <v>53</v>
      </c>
      <c r="AK2608">
        <v>0</v>
      </c>
      <c r="AU2608" s="6">
        <v>42159</v>
      </c>
      <c r="AV2608" s="6">
        <v>42159</v>
      </c>
      <c r="AW2608" t="s">
        <v>54</v>
      </c>
      <c r="AX2608" t="str">
        <f t="shared" si="212"/>
        <v>FOR</v>
      </c>
      <c r="AY2608" t="s">
        <v>55</v>
      </c>
    </row>
    <row r="2609" spans="1:51" hidden="1">
      <c r="A2609">
        <v>100798</v>
      </c>
      <c r="B2609" t="s">
        <v>292</v>
      </c>
      <c r="C2609" t="str">
        <f t="shared" si="215"/>
        <v>00907371009</v>
      </c>
      <c r="D2609" t="str">
        <f t="shared" si="216"/>
        <v>00492340583</v>
      </c>
      <c r="E2609" t="s">
        <v>52</v>
      </c>
      <c r="F2609">
        <v>2014</v>
      </c>
      <c r="G2609">
        <v>14049818</v>
      </c>
      <c r="H2609" s="1">
        <v>41802</v>
      </c>
      <c r="I2609" s="1">
        <v>41830</v>
      </c>
      <c r="J2609" s="1">
        <v>41830</v>
      </c>
      <c r="K2609" s="1">
        <v>41920</v>
      </c>
      <c r="N2609" s="5"/>
      <c r="O2609" s="2">
        <v>1056</v>
      </c>
      <c r="P2609">
        <v>239</v>
      </c>
      <c r="Q2609" s="2">
        <v>252384</v>
      </c>
      <c r="R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 s="1">
        <v>42382</v>
      </c>
      <c r="AC2609" t="s">
        <v>53</v>
      </c>
      <c r="AD2609" t="s">
        <v>53</v>
      </c>
      <c r="AK2609">
        <v>0</v>
      </c>
      <c r="AU2609" s="6">
        <v>42159</v>
      </c>
      <c r="AV2609" s="6">
        <v>42159</v>
      </c>
      <c r="AW2609" t="s">
        <v>54</v>
      </c>
      <c r="AX2609" t="str">
        <f t="shared" si="212"/>
        <v>FOR</v>
      </c>
      <c r="AY2609" t="s">
        <v>55</v>
      </c>
    </row>
    <row r="2610" spans="1:51">
      <c r="A2610">
        <v>100798</v>
      </c>
      <c r="B2610" t="s">
        <v>292</v>
      </c>
      <c r="C2610" t="str">
        <f t="shared" si="215"/>
        <v>00907371009</v>
      </c>
      <c r="D2610" t="str">
        <f t="shared" si="216"/>
        <v>00492340583</v>
      </c>
      <c r="E2610" t="s">
        <v>52</v>
      </c>
      <c r="F2610">
        <v>2014</v>
      </c>
      <c r="G2610">
        <v>14095409</v>
      </c>
      <c r="H2610" s="1">
        <v>41948</v>
      </c>
      <c r="I2610" s="1">
        <v>41967</v>
      </c>
      <c r="J2610" s="1">
        <v>41967</v>
      </c>
      <c r="K2610" s="1">
        <v>42027</v>
      </c>
      <c r="L2610" s="7">
        <v>1198.08</v>
      </c>
      <c r="M2610" s="5">
        <v>277</v>
      </c>
      <c r="N2610" s="7">
        <v>331868.15999999997</v>
      </c>
      <c r="O2610" s="2">
        <v>1198.08</v>
      </c>
      <c r="P2610">
        <v>277</v>
      </c>
      <c r="Q2610" s="2">
        <v>331868.15999999997</v>
      </c>
      <c r="R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 s="1">
        <v>42382</v>
      </c>
      <c r="AC2610" t="s">
        <v>53</v>
      </c>
      <c r="AD2610" t="s">
        <v>53</v>
      </c>
      <c r="AK2610">
        <v>0</v>
      </c>
      <c r="AU2610" s="6">
        <v>42304</v>
      </c>
      <c r="AV2610" s="6">
        <v>42304</v>
      </c>
      <c r="AW2610" t="s">
        <v>54</v>
      </c>
      <c r="AX2610" t="str">
        <f t="shared" si="212"/>
        <v>FOR</v>
      </c>
      <c r="AY2610" t="s">
        <v>55</v>
      </c>
    </row>
    <row r="2611" spans="1:51">
      <c r="A2611">
        <v>100798</v>
      </c>
      <c r="B2611" t="s">
        <v>292</v>
      </c>
      <c r="C2611" t="str">
        <f t="shared" si="215"/>
        <v>00907371009</v>
      </c>
      <c r="D2611" t="str">
        <f t="shared" si="216"/>
        <v>00492340583</v>
      </c>
      <c r="E2611" t="s">
        <v>52</v>
      </c>
      <c r="F2611">
        <v>2014</v>
      </c>
      <c r="G2611">
        <v>14101143</v>
      </c>
      <c r="H2611" s="1">
        <v>41967</v>
      </c>
      <c r="I2611" s="1">
        <v>41990</v>
      </c>
      <c r="J2611" s="1">
        <v>41990</v>
      </c>
      <c r="K2611" s="1">
        <v>42050</v>
      </c>
      <c r="L2611" s="7">
        <v>1408</v>
      </c>
      <c r="M2611" s="5">
        <v>254</v>
      </c>
      <c r="N2611" s="7">
        <v>357632</v>
      </c>
      <c r="O2611" s="2">
        <v>1408</v>
      </c>
      <c r="P2611">
        <v>254</v>
      </c>
      <c r="Q2611" s="2">
        <v>357632</v>
      </c>
      <c r="R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 s="1">
        <v>42382</v>
      </c>
      <c r="AC2611" t="s">
        <v>53</v>
      </c>
      <c r="AD2611" t="s">
        <v>53</v>
      </c>
      <c r="AK2611">
        <v>0</v>
      </c>
      <c r="AU2611" s="6">
        <v>42304</v>
      </c>
      <c r="AV2611" s="6">
        <v>42304</v>
      </c>
      <c r="AW2611" t="s">
        <v>54</v>
      </c>
      <c r="AX2611" t="str">
        <f t="shared" si="212"/>
        <v>FOR</v>
      </c>
      <c r="AY2611" t="s">
        <v>55</v>
      </c>
    </row>
    <row r="2612" spans="1:51">
      <c r="A2612">
        <v>100798</v>
      </c>
      <c r="B2612" t="s">
        <v>292</v>
      </c>
      <c r="C2612" t="str">
        <f t="shared" si="215"/>
        <v>00907371009</v>
      </c>
      <c r="D2612" t="str">
        <f t="shared" si="216"/>
        <v>00492340583</v>
      </c>
      <c r="E2612" t="s">
        <v>52</v>
      </c>
      <c r="F2612">
        <v>2014</v>
      </c>
      <c r="G2612">
        <v>14108994</v>
      </c>
      <c r="H2612" s="1">
        <v>41990</v>
      </c>
      <c r="I2612" s="1">
        <v>42024</v>
      </c>
      <c r="J2612" s="1">
        <v>42024</v>
      </c>
      <c r="K2612" s="1">
        <v>42084</v>
      </c>
      <c r="L2612" s="7">
        <v>996.99</v>
      </c>
      <c r="M2612" s="5">
        <v>220</v>
      </c>
      <c r="N2612" s="7">
        <v>219337.8</v>
      </c>
      <c r="O2612">
        <v>996.99</v>
      </c>
      <c r="P2612">
        <v>220</v>
      </c>
      <c r="Q2612" s="2">
        <v>219337.8</v>
      </c>
      <c r="R2612">
        <v>0</v>
      </c>
      <c r="V2612">
        <v>0</v>
      </c>
      <c r="W2612">
        <v>0</v>
      </c>
      <c r="X2612">
        <v>0</v>
      </c>
      <c r="Y2612">
        <v>0</v>
      </c>
      <c r="Z2612">
        <v>996.99</v>
      </c>
      <c r="AA2612">
        <v>0</v>
      </c>
      <c r="AB2612" s="1">
        <v>42382</v>
      </c>
      <c r="AC2612" t="s">
        <v>53</v>
      </c>
      <c r="AD2612" t="s">
        <v>53</v>
      </c>
      <c r="AK2612">
        <v>0</v>
      </c>
      <c r="AU2612" s="6">
        <v>42304</v>
      </c>
      <c r="AV2612" s="6">
        <v>42304</v>
      </c>
      <c r="AW2612" t="s">
        <v>54</v>
      </c>
      <c r="AX2612" t="str">
        <f t="shared" si="212"/>
        <v>FOR</v>
      </c>
      <c r="AY2612" t="s">
        <v>55</v>
      </c>
    </row>
    <row r="2613" spans="1:51">
      <c r="A2613">
        <v>100799</v>
      </c>
      <c r="B2613" t="s">
        <v>293</v>
      </c>
      <c r="C2613" t="str">
        <f t="shared" ref="C2613:D2616" si="217">"05835871210"</f>
        <v>05835871210</v>
      </c>
      <c r="D2613" t="str">
        <f t="shared" si="217"/>
        <v>05835871210</v>
      </c>
      <c r="E2613" t="s">
        <v>52</v>
      </c>
      <c r="F2613">
        <v>2014</v>
      </c>
      <c r="G2613">
        <v>3</v>
      </c>
      <c r="H2613" s="1">
        <v>41820</v>
      </c>
      <c r="I2613" s="1">
        <v>41849</v>
      </c>
      <c r="J2613" s="1">
        <v>41849</v>
      </c>
      <c r="K2613" s="1">
        <v>41939</v>
      </c>
      <c r="L2613" s="7">
        <v>166929.79</v>
      </c>
      <c r="M2613" s="5">
        <v>350</v>
      </c>
      <c r="N2613" s="7">
        <v>58425426.5</v>
      </c>
      <c r="O2613" s="2">
        <v>166929.79</v>
      </c>
      <c r="P2613">
        <v>350</v>
      </c>
      <c r="Q2613" s="2">
        <v>58425426.5</v>
      </c>
      <c r="R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 s="1">
        <v>42382</v>
      </c>
      <c r="AC2613" t="s">
        <v>53</v>
      </c>
      <c r="AD2613" t="s">
        <v>53</v>
      </c>
      <c r="AK2613">
        <v>0</v>
      </c>
      <c r="AU2613" s="6">
        <v>42289</v>
      </c>
      <c r="AV2613" s="6">
        <v>42289</v>
      </c>
      <c r="AW2613" t="s">
        <v>54</v>
      </c>
      <c r="AX2613" t="str">
        <f t="shared" si="212"/>
        <v>FOR</v>
      </c>
      <c r="AY2613" t="s">
        <v>55</v>
      </c>
    </row>
    <row r="2614" spans="1:51">
      <c r="A2614">
        <v>100799</v>
      </c>
      <c r="B2614" t="s">
        <v>293</v>
      </c>
      <c r="C2614" t="str">
        <f t="shared" si="217"/>
        <v>05835871210</v>
      </c>
      <c r="D2614" t="str">
        <f t="shared" si="217"/>
        <v>05835871210</v>
      </c>
      <c r="E2614" t="s">
        <v>52</v>
      </c>
      <c r="F2614">
        <v>2014</v>
      </c>
      <c r="G2614">
        <v>4</v>
      </c>
      <c r="H2614" s="1">
        <v>41859</v>
      </c>
      <c r="I2614" s="1">
        <v>41886</v>
      </c>
      <c r="J2614" s="1">
        <v>41886</v>
      </c>
      <c r="K2614" s="1">
        <v>41976</v>
      </c>
      <c r="L2614" s="7">
        <v>66000</v>
      </c>
      <c r="M2614" s="5">
        <v>313</v>
      </c>
      <c r="N2614" s="7">
        <v>20658000</v>
      </c>
      <c r="O2614" s="2">
        <v>66000</v>
      </c>
      <c r="P2614">
        <v>313</v>
      </c>
      <c r="Q2614" s="2">
        <v>20658000</v>
      </c>
      <c r="R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 s="1">
        <v>42382</v>
      </c>
      <c r="AC2614" t="s">
        <v>53</v>
      </c>
      <c r="AD2614" t="s">
        <v>53</v>
      </c>
      <c r="AK2614">
        <v>0</v>
      </c>
      <c r="AU2614" s="6">
        <v>42289</v>
      </c>
      <c r="AV2614" s="6">
        <v>42289</v>
      </c>
      <c r="AW2614" t="s">
        <v>54</v>
      </c>
      <c r="AX2614" t="str">
        <f t="shared" si="212"/>
        <v>FOR</v>
      </c>
      <c r="AY2614" t="s">
        <v>55</v>
      </c>
    </row>
    <row r="2615" spans="1:51">
      <c r="A2615">
        <v>100799</v>
      </c>
      <c r="B2615" t="s">
        <v>293</v>
      </c>
      <c r="C2615" t="str">
        <f t="shared" si="217"/>
        <v>05835871210</v>
      </c>
      <c r="D2615" t="str">
        <f t="shared" si="217"/>
        <v>05835871210</v>
      </c>
      <c r="E2615" t="s">
        <v>52</v>
      </c>
      <c r="F2615">
        <v>2014</v>
      </c>
      <c r="G2615">
        <v>5</v>
      </c>
      <c r="H2615" s="1">
        <v>41859</v>
      </c>
      <c r="I2615" s="1">
        <v>41886</v>
      </c>
      <c r="J2615" s="1">
        <v>41886</v>
      </c>
      <c r="K2615" s="1">
        <v>41976</v>
      </c>
      <c r="L2615" s="7">
        <v>66384.45</v>
      </c>
      <c r="M2615" s="5">
        <v>313</v>
      </c>
      <c r="N2615" s="7">
        <v>20778332.850000001</v>
      </c>
      <c r="O2615" s="2">
        <v>66384.45</v>
      </c>
      <c r="P2615">
        <v>313</v>
      </c>
      <c r="Q2615" s="2">
        <v>20778332.850000001</v>
      </c>
      <c r="R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 s="1">
        <v>42382</v>
      </c>
      <c r="AC2615" t="s">
        <v>53</v>
      </c>
      <c r="AD2615" t="s">
        <v>53</v>
      </c>
      <c r="AK2615">
        <v>0</v>
      </c>
      <c r="AU2615" s="6">
        <v>42289</v>
      </c>
      <c r="AV2615" s="6">
        <v>42289</v>
      </c>
      <c r="AW2615" t="s">
        <v>54</v>
      </c>
      <c r="AX2615" t="str">
        <f t="shared" si="212"/>
        <v>FOR</v>
      </c>
      <c r="AY2615" t="s">
        <v>55</v>
      </c>
    </row>
    <row r="2616" spans="1:51" hidden="1">
      <c r="A2616">
        <v>100799</v>
      </c>
      <c r="B2616" t="s">
        <v>293</v>
      </c>
      <c r="C2616" t="str">
        <f t="shared" si="217"/>
        <v>05835871210</v>
      </c>
      <c r="D2616" t="str">
        <f t="shared" si="217"/>
        <v>05835871210</v>
      </c>
      <c r="E2616" t="s">
        <v>52</v>
      </c>
      <c r="F2616">
        <v>2014</v>
      </c>
      <c r="G2616">
        <v>8</v>
      </c>
      <c r="H2616" s="1">
        <v>41967</v>
      </c>
      <c r="I2616" s="1">
        <v>41970</v>
      </c>
      <c r="J2616" s="1">
        <v>41970</v>
      </c>
      <c r="K2616" s="1">
        <v>42030</v>
      </c>
      <c r="L2616" s="7">
        <v>350000</v>
      </c>
      <c r="M2616" s="5">
        <v>329</v>
      </c>
      <c r="N2616" s="7">
        <v>115150000</v>
      </c>
      <c r="O2616" s="2">
        <v>550000</v>
      </c>
      <c r="P2616">
        <v>268</v>
      </c>
      <c r="Q2616" s="2">
        <v>147350000</v>
      </c>
      <c r="R2616" s="2">
        <v>148830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 s="1">
        <v>42382</v>
      </c>
      <c r="AC2616" t="s">
        <v>53</v>
      </c>
      <c r="AD2616" t="s">
        <v>53</v>
      </c>
      <c r="AK2616" s="2">
        <v>148830</v>
      </c>
      <c r="AU2616" s="6">
        <v>42191</v>
      </c>
      <c r="AV2616" s="6">
        <v>42359</v>
      </c>
      <c r="AW2616" t="s">
        <v>54</v>
      </c>
      <c r="AX2616" t="str">
        <f t="shared" si="212"/>
        <v>FOR</v>
      </c>
      <c r="AY2616" t="s">
        <v>55</v>
      </c>
    </row>
    <row r="2617" spans="1:51" hidden="1">
      <c r="A2617">
        <v>100807</v>
      </c>
      <c r="B2617" t="s">
        <v>294</v>
      </c>
      <c r="C2617" t="str">
        <f t="shared" ref="C2617:D2619" si="218">"12736110151"</f>
        <v>12736110151</v>
      </c>
      <c r="D2617" t="str">
        <f t="shared" si="218"/>
        <v>12736110151</v>
      </c>
      <c r="E2617" t="s">
        <v>52</v>
      </c>
      <c r="F2617">
        <v>2014</v>
      </c>
      <c r="G2617">
        <v>64002565</v>
      </c>
      <c r="H2617" s="1">
        <v>41992</v>
      </c>
      <c r="I2617" s="1">
        <v>42031</v>
      </c>
      <c r="J2617" s="1">
        <v>42031</v>
      </c>
      <c r="K2617" s="1">
        <v>42091</v>
      </c>
      <c r="N2617" s="5"/>
      <c r="O2617">
        <v>838.2</v>
      </c>
      <c r="P2617">
        <v>164</v>
      </c>
      <c r="Q2617" s="2">
        <v>137464.79999999999</v>
      </c>
      <c r="R2617">
        <v>0</v>
      </c>
      <c r="V2617">
        <v>0</v>
      </c>
      <c r="W2617">
        <v>0</v>
      </c>
      <c r="X2617">
        <v>0</v>
      </c>
      <c r="Y2617">
        <v>0</v>
      </c>
      <c r="Z2617">
        <v>838.2</v>
      </c>
      <c r="AA2617">
        <v>0</v>
      </c>
      <c r="AB2617" s="1">
        <v>42382</v>
      </c>
      <c r="AC2617" t="s">
        <v>53</v>
      </c>
      <c r="AD2617" t="s">
        <v>53</v>
      </c>
      <c r="AK2617">
        <v>0</v>
      </c>
      <c r="AU2617" s="6">
        <v>42255</v>
      </c>
      <c r="AV2617" s="6">
        <v>42255</v>
      </c>
      <c r="AW2617" t="s">
        <v>54</v>
      </c>
      <c r="AX2617" t="str">
        <f t="shared" si="212"/>
        <v>FOR</v>
      </c>
      <c r="AY2617" t="s">
        <v>55</v>
      </c>
    </row>
    <row r="2618" spans="1:51">
      <c r="A2618">
        <v>100807</v>
      </c>
      <c r="B2618" t="s">
        <v>294</v>
      </c>
      <c r="C2618" t="str">
        <f t="shared" si="218"/>
        <v>12736110151</v>
      </c>
      <c r="D2618" t="str">
        <f t="shared" si="218"/>
        <v>12736110151</v>
      </c>
      <c r="E2618" t="s">
        <v>52</v>
      </c>
      <c r="F2618">
        <v>2015</v>
      </c>
      <c r="G2618">
        <v>5564001145</v>
      </c>
      <c r="H2618" s="1">
        <v>42136</v>
      </c>
      <c r="I2618" s="1">
        <v>42174</v>
      </c>
      <c r="J2618" s="1">
        <v>42139</v>
      </c>
      <c r="K2618" s="1">
        <v>42199</v>
      </c>
      <c r="L2618" s="7">
        <v>1200.18</v>
      </c>
      <c r="M2618" s="5">
        <v>140</v>
      </c>
      <c r="N2618" s="7">
        <v>168025.2</v>
      </c>
      <c r="O2618" s="2">
        <v>1200.18</v>
      </c>
      <c r="P2618">
        <v>140</v>
      </c>
      <c r="Q2618" s="2">
        <v>168025.2</v>
      </c>
      <c r="R2618">
        <v>120.02</v>
      </c>
      <c r="V2618">
        <v>0</v>
      </c>
      <c r="W2618">
        <v>0</v>
      </c>
      <c r="X2618">
        <v>0</v>
      </c>
      <c r="Y2618" s="2">
        <v>1320.2</v>
      </c>
      <c r="Z2618" s="2">
        <v>1320.2</v>
      </c>
      <c r="AA2618" s="2">
        <v>1320.2</v>
      </c>
      <c r="AB2618" s="1">
        <v>42382</v>
      </c>
      <c r="AC2618" t="s">
        <v>53</v>
      </c>
      <c r="AD2618" t="s">
        <v>53</v>
      </c>
      <c r="AJ2618">
        <v>120.02</v>
      </c>
      <c r="AK2618">
        <v>0</v>
      </c>
      <c r="AU2618" s="6">
        <v>42339</v>
      </c>
      <c r="AV2618" s="6">
        <v>42339</v>
      </c>
      <c r="AW2618" t="s">
        <v>54</v>
      </c>
      <c r="AX2618" t="str">
        <f t="shared" si="212"/>
        <v>FOR</v>
      </c>
      <c r="AY2618" t="s">
        <v>55</v>
      </c>
    </row>
    <row r="2619" spans="1:51">
      <c r="A2619">
        <v>100807</v>
      </c>
      <c r="B2619" t="s">
        <v>294</v>
      </c>
      <c r="C2619" t="str">
        <f t="shared" si="218"/>
        <v>12736110151</v>
      </c>
      <c r="D2619" t="str">
        <f t="shared" si="218"/>
        <v>12736110151</v>
      </c>
      <c r="E2619" t="s">
        <v>52</v>
      </c>
      <c r="F2619">
        <v>2015</v>
      </c>
      <c r="G2619">
        <v>5564001929</v>
      </c>
      <c r="H2619" s="1">
        <v>42206</v>
      </c>
      <c r="I2619" s="1">
        <v>42209</v>
      </c>
      <c r="J2619" s="1">
        <v>42208</v>
      </c>
      <c r="K2619" s="1">
        <v>42268</v>
      </c>
      <c r="L2619" s="7">
        <v>800.12</v>
      </c>
      <c r="M2619" s="5">
        <v>71</v>
      </c>
      <c r="N2619" s="7">
        <v>56808.52</v>
      </c>
      <c r="O2619">
        <v>800.12</v>
      </c>
      <c r="P2619">
        <v>71</v>
      </c>
      <c r="Q2619" s="2">
        <v>56808.52</v>
      </c>
      <c r="R2619">
        <v>80.010000000000005</v>
      </c>
      <c r="V2619">
        <v>0</v>
      </c>
      <c r="W2619">
        <v>0</v>
      </c>
      <c r="X2619">
        <v>0</v>
      </c>
      <c r="Y2619">
        <v>880.13</v>
      </c>
      <c r="Z2619">
        <v>880.13</v>
      </c>
      <c r="AA2619">
        <v>880.13</v>
      </c>
      <c r="AB2619" s="1">
        <v>42382</v>
      </c>
      <c r="AC2619" t="s">
        <v>53</v>
      </c>
      <c r="AD2619" t="s">
        <v>53</v>
      </c>
      <c r="AH2619">
        <v>80.010000000000005</v>
      </c>
      <c r="AK2619">
        <v>0</v>
      </c>
      <c r="AU2619" s="6">
        <v>42339</v>
      </c>
      <c r="AV2619" s="6">
        <v>42339</v>
      </c>
      <c r="AW2619" t="s">
        <v>54</v>
      </c>
      <c r="AX2619" t="str">
        <f t="shared" si="212"/>
        <v>FOR</v>
      </c>
      <c r="AY2619" t="s">
        <v>55</v>
      </c>
    </row>
    <row r="2620" spans="1:51" hidden="1">
      <c r="A2620">
        <v>100811</v>
      </c>
      <c r="B2620" t="s">
        <v>295</v>
      </c>
      <c r="C2620" t="str">
        <f t="shared" ref="C2620:D2625" si="219">"02583040643"</f>
        <v>02583040643</v>
      </c>
      <c r="D2620" t="str">
        <f t="shared" si="219"/>
        <v>02583040643</v>
      </c>
      <c r="E2620" t="s">
        <v>52</v>
      </c>
      <c r="F2620">
        <v>2013</v>
      </c>
      <c r="G2620">
        <v>84</v>
      </c>
      <c r="H2620" s="1">
        <v>41423</v>
      </c>
      <c r="I2620" s="1">
        <v>41429</v>
      </c>
      <c r="J2620" s="1">
        <v>41429</v>
      </c>
      <c r="K2620" s="1">
        <v>41519</v>
      </c>
      <c r="N2620" s="5"/>
      <c r="O2620">
        <v>106.48</v>
      </c>
      <c r="P2620">
        <v>652</v>
      </c>
      <c r="Q2620" s="2">
        <v>69424.960000000006</v>
      </c>
      <c r="R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 s="1">
        <v>42382</v>
      </c>
      <c r="AC2620" t="s">
        <v>53</v>
      </c>
      <c r="AD2620" t="s">
        <v>53</v>
      </c>
      <c r="AK2620">
        <v>0</v>
      </c>
      <c r="AU2620" s="6">
        <v>42171</v>
      </c>
      <c r="AV2620" s="6">
        <v>42171</v>
      </c>
      <c r="AW2620" t="s">
        <v>54</v>
      </c>
      <c r="AX2620" t="str">
        <f t="shared" si="212"/>
        <v>FOR</v>
      </c>
      <c r="AY2620" t="s">
        <v>55</v>
      </c>
    </row>
    <row r="2621" spans="1:51" hidden="1">
      <c r="A2621">
        <v>100811</v>
      </c>
      <c r="B2621" t="s">
        <v>295</v>
      </c>
      <c r="C2621" t="str">
        <f t="shared" si="219"/>
        <v>02583040643</v>
      </c>
      <c r="D2621" t="str">
        <f t="shared" si="219"/>
        <v>02583040643</v>
      </c>
      <c r="E2621" t="s">
        <v>52</v>
      </c>
      <c r="F2621">
        <v>2013</v>
      </c>
      <c r="G2621">
        <v>111</v>
      </c>
      <c r="H2621" s="1">
        <v>41486</v>
      </c>
      <c r="I2621" s="1">
        <v>41512</v>
      </c>
      <c r="J2621" s="1">
        <v>41512</v>
      </c>
      <c r="K2621" s="1">
        <v>41602</v>
      </c>
      <c r="N2621" s="5"/>
      <c r="O2621">
        <v>159.72</v>
      </c>
      <c r="P2621">
        <v>569</v>
      </c>
      <c r="Q2621" s="2">
        <v>90880.68</v>
      </c>
      <c r="R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 s="1">
        <v>42382</v>
      </c>
      <c r="AC2621" t="s">
        <v>53</v>
      </c>
      <c r="AD2621" t="s">
        <v>53</v>
      </c>
      <c r="AK2621">
        <v>0</v>
      </c>
      <c r="AU2621" s="6">
        <v>42171</v>
      </c>
      <c r="AV2621" s="6">
        <v>42171</v>
      </c>
      <c r="AW2621" t="s">
        <v>54</v>
      </c>
      <c r="AX2621" t="str">
        <f t="shared" si="212"/>
        <v>FOR</v>
      </c>
      <c r="AY2621" t="s">
        <v>55</v>
      </c>
    </row>
    <row r="2622" spans="1:51" hidden="1">
      <c r="A2622">
        <v>100811</v>
      </c>
      <c r="B2622" t="s">
        <v>295</v>
      </c>
      <c r="C2622" t="str">
        <f t="shared" si="219"/>
        <v>02583040643</v>
      </c>
      <c r="D2622" t="str">
        <f t="shared" si="219"/>
        <v>02583040643</v>
      </c>
      <c r="E2622" t="s">
        <v>52</v>
      </c>
      <c r="F2622">
        <v>2013</v>
      </c>
      <c r="G2622">
        <v>140</v>
      </c>
      <c r="H2622" s="1">
        <v>41545</v>
      </c>
      <c r="I2622" s="1">
        <v>41551</v>
      </c>
      <c r="J2622" s="1">
        <v>41551</v>
      </c>
      <c r="K2622" s="1">
        <v>41641</v>
      </c>
      <c r="N2622" s="5"/>
      <c r="O2622">
        <v>592.9</v>
      </c>
      <c r="P2622">
        <v>530</v>
      </c>
      <c r="Q2622" s="2">
        <v>314237</v>
      </c>
      <c r="R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 s="1">
        <v>42382</v>
      </c>
      <c r="AC2622" t="s">
        <v>53</v>
      </c>
      <c r="AD2622" t="s">
        <v>53</v>
      </c>
      <c r="AK2622">
        <v>0</v>
      </c>
      <c r="AU2622" s="6">
        <v>42171</v>
      </c>
      <c r="AV2622" s="6">
        <v>42171</v>
      </c>
      <c r="AW2622" t="s">
        <v>54</v>
      </c>
      <c r="AX2622" t="str">
        <f t="shared" si="212"/>
        <v>FOR</v>
      </c>
      <c r="AY2622" t="s">
        <v>55</v>
      </c>
    </row>
    <row r="2623" spans="1:51" hidden="1">
      <c r="A2623">
        <v>100811</v>
      </c>
      <c r="B2623" t="s">
        <v>295</v>
      </c>
      <c r="C2623" t="str">
        <f t="shared" si="219"/>
        <v>02583040643</v>
      </c>
      <c r="D2623" t="str">
        <f t="shared" si="219"/>
        <v>02583040643</v>
      </c>
      <c r="E2623" t="s">
        <v>52</v>
      </c>
      <c r="F2623">
        <v>2014</v>
      </c>
      <c r="G2623">
        <v>57</v>
      </c>
      <c r="H2623" s="1">
        <v>41936</v>
      </c>
      <c r="I2623" s="1">
        <v>41946</v>
      </c>
      <c r="J2623" s="1">
        <v>41946</v>
      </c>
      <c r="K2623" s="1">
        <v>42006</v>
      </c>
      <c r="N2623" s="5"/>
      <c r="O2623">
        <v>154.33000000000001</v>
      </c>
      <c r="P2623">
        <v>165</v>
      </c>
      <c r="Q2623" s="2">
        <v>25464.45</v>
      </c>
      <c r="R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 s="1">
        <v>42382</v>
      </c>
      <c r="AC2623" t="s">
        <v>53</v>
      </c>
      <c r="AD2623" t="s">
        <v>53</v>
      </c>
      <c r="AK2623">
        <v>0</v>
      </c>
      <c r="AU2623" s="6">
        <v>42171</v>
      </c>
      <c r="AV2623" s="6">
        <v>42171</v>
      </c>
      <c r="AW2623" t="s">
        <v>54</v>
      </c>
      <c r="AX2623" t="str">
        <f t="shared" si="212"/>
        <v>FOR</v>
      </c>
      <c r="AY2623" t="s">
        <v>55</v>
      </c>
    </row>
    <row r="2624" spans="1:51">
      <c r="A2624">
        <v>100811</v>
      </c>
      <c r="B2624" t="s">
        <v>295</v>
      </c>
      <c r="C2624" t="str">
        <f t="shared" si="219"/>
        <v>02583040643</v>
      </c>
      <c r="D2624" t="str">
        <f t="shared" si="219"/>
        <v>02583040643</v>
      </c>
      <c r="E2624" t="s">
        <v>52</v>
      </c>
      <c r="F2624">
        <v>2014</v>
      </c>
      <c r="G2624">
        <v>71</v>
      </c>
      <c r="H2624" s="1">
        <v>41971</v>
      </c>
      <c r="I2624" s="1">
        <v>41978</v>
      </c>
      <c r="J2624" s="1">
        <v>41978</v>
      </c>
      <c r="K2624" s="1">
        <v>42038</v>
      </c>
      <c r="L2624" s="7">
        <v>2392.11</v>
      </c>
      <c r="M2624" s="5">
        <v>245</v>
      </c>
      <c r="N2624" s="7">
        <v>586066.94999999995</v>
      </c>
      <c r="O2624" s="2">
        <v>2392.11</v>
      </c>
      <c r="P2624">
        <v>245</v>
      </c>
      <c r="Q2624" s="2">
        <v>586066.94999999995</v>
      </c>
      <c r="R2624">
        <v>0</v>
      </c>
      <c r="V2624">
        <v>0</v>
      </c>
      <c r="W2624">
        <v>0</v>
      </c>
      <c r="X2624">
        <v>0</v>
      </c>
      <c r="Y2624">
        <v>-347.88</v>
      </c>
      <c r="Z2624">
        <v>-347.88</v>
      </c>
      <c r="AA2624">
        <v>-347.88</v>
      </c>
      <c r="AB2624" s="1">
        <v>42382</v>
      </c>
      <c r="AC2624" t="s">
        <v>53</v>
      </c>
      <c r="AD2624" t="s">
        <v>53</v>
      </c>
      <c r="AK2624">
        <v>0</v>
      </c>
      <c r="AU2624" s="6">
        <v>42283</v>
      </c>
      <c r="AV2624" s="6">
        <v>42283</v>
      </c>
      <c r="AW2624" t="s">
        <v>54</v>
      </c>
      <c r="AX2624" t="str">
        <f t="shared" si="212"/>
        <v>FOR</v>
      </c>
      <c r="AY2624" t="s">
        <v>55</v>
      </c>
    </row>
    <row r="2625" spans="1:51">
      <c r="A2625">
        <v>100811</v>
      </c>
      <c r="B2625" t="s">
        <v>295</v>
      </c>
      <c r="C2625" t="str">
        <f t="shared" si="219"/>
        <v>02583040643</v>
      </c>
      <c r="D2625" t="str">
        <f t="shared" si="219"/>
        <v>02583040643</v>
      </c>
      <c r="E2625" t="s">
        <v>52</v>
      </c>
      <c r="F2625">
        <v>2015</v>
      </c>
      <c r="G2625" t="s">
        <v>296</v>
      </c>
      <c r="H2625" s="1">
        <v>42050</v>
      </c>
      <c r="I2625" s="1">
        <v>42055</v>
      </c>
      <c r="J2625" s="1">
        <v>42055</v>
      </c>
      <c r="K2625" s="1">
        <v>42115</v>
      </c>
      <c r="L2625" s="7">
        <v>253</v>
      </c>
      <c r="M2625" s="5">
        <v>241</v>
      </c>
      <c r="N2625" s="7">
        <v>60973</v>
      </c>
      <c r="O2625">
        <v>253</v>
      </c>
      <c r="P2625">
        <v>241</v>
      </c>
      <c r="Q2625" s="2">
        <v>60973</v>
      </c>
      <c r="R2625">
        <v>55.66</v>
      </c>
      <c r="V2625">
        <v>0</v>
      </c>
      <c r="W2625">
        <v>0</v>
      </c>
      <c r="X2625">
        <v>0</v>
      </c>
      <c r="Y2625">
        <v>308.66000000000003</v>
      </c>
      <c r="Z2625">
        <v>308.66000000000003</v>
      </c>
      <c r="AA2625">
        <v>308.66000000000003</v>
      </c>
      <c r="AB2625" s="1">
        <v>42382</v>
      </c>
      <c r="AC2625" t="s">
        <v>53</v>
      </c>
      <c r="AD2625" t="s">
        <v>53</v>
      </c>
      <c r="AK2625">
        <v>55.66</v>
      </c>
      <c r="AU2625" s="6">
        <v>42356</v>
      </c>
      <c r="AV2625" s="6">
        <v>42356</v>
      </c>
      <c r="AW2625" t="s">
        <v>54</v>
      </c>
      <c r="AX2625" t="str">
        <f t="shared" si="212"/>
        <v>FOR</v>
      </c>
      <c r="AY2625" t="s">
        <v>55</v>
      </c>
    </row>
    <row r="2626" spans="1:51" hidden="1">
      <c r="A2626">
        <v>100821</v>
      </c>
      <c r="B2626" t="s">
        <v>297</v>
      </c>
      <c r="C2626" t="str">
        <f t="shared" ref="C2626:D2630" si="220">"01092610763"</f>
        <v>01092610763</v>
      </c>
      <c r="D2626" t="str">
        <f t="shared" si="220"/>
        <v>01092610763</v>
      </c>
      <c r="E2626" t="s">
        <v>52</v>
      </c>
      <c r="F2626">
        <v>2014</v>
      </c>
      <c r="G2626">
        <v>55</v>
      </c>
      <c r="H2626" s="1">
        <v>41862</v>
      </c>
      <c r="I2626" s="1">
        <v>41876</v>
      </c>
      <c r="J2626" s="1">
        <v>41876</v>
      </c>
      <c r="K2626" s="1">
        <v>41966</v>
      </c>
      <c r="N2626" s="5"/>
      <c r="O2626">
        <v>124.44</v>
      </c>
      <c r="P2626">
        <v>197</v>
      </c>
      <c r="Q2626" s="2">
        <v>24514.68</v>
      </c>
      <c r="R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 s="1">
        <v>42382</v>
      </c>
      <c r="AC2626" t="s">
        <v>53</v>
      </c>
      <c r="AD2626" t="s">
        <v>53</v>
      </c>
      <c r="AK2626">
        <v>0</v>
      </c>
      <c r="AU2626" s="6">
        <v>42163</v>
      </c>
      <c r="AV2626" s="6">
        <v>42163</v>
      </c>
      <c r="AW2626" t="s">
        <v>54</v>
      </c>
      <c r="AX2626" t="str">
        <f t="shared" si="212"/>
        <v>FOR</v>
      </c>
      <c r="AY2626" t="s">
        <v>55</v>
      </c>
    </row>
    <row r="2627" spans="1:51" hidden="1">
      <c r="A2627">
        <v>100821</v>
      </c>
      <c r="B2627" t="s">
        <v>297</v>
      </c>
      <c r="C2627" t="str">
        <f t="shared" si="220"/>
        <v>01092610763</v>
      </c>
      <c r="D2627" t="str">
        <f t="shared" si="220"/>
        <v>01092610763</v>
      </c>
      <c r="E2627" t="s">
        <v>52</v>
      </c>
      <c r="F2627">
        <v>2014</v>
      </c>
      <c r="G2627">
        <v>57</v>
      </c>
      <c r="H2627" s="1">
        <v>41890</v>
      </c>
      <c r="I2627" s="1">
        <v>41892</v>
      </c>
      <c r="J2627" s="1">
        <v>41892</v>
      </c>
      <c r="K2627" s="1">
        <v>41982</v>
      </c>
      <c r="N2627" s="5"/>
      <c r="O2627">
        <v>183</v>
      </c>
      <c r="P2627">
        <v>181</v>
      </c>
      <c r="Q2627" s="2">
        <v>33123</v>
      </c>
      <c r="R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 s="1">
        <v>42382</v>
      </c>
      <c r="AC2627" t="s">
        <v>53</v>
      </c>
      <c r="AD2627" t="s">
        <v>53</v>
      </c>
      <c r="AK2627">
        <v>0</v>
      </c>
      <c r="AU2627" s="6">
        <v>42163</v>
      </c>
      <c r="AV2627" s="6">
        <v>42163</v>
      </c>
      <c r="AW2627" t="s">
        <v>54</v>
      </c>
      <c r="AX2627" t="str">
        <f t="shared" ref="AX2627:AX2690" si="221">"FOR"</f>
        <v>FOR</v>
      </c>
      <c r="AY2627" t="s">
        <v>55</v>
      </c>
    </row>
    <row r="2628" spans="1:51" hidden="1">
      <c r="A2628">
        <v>100821</v>
      </c>
      <c r="B2628" t="s">
        <v>297</v>
      </c>
      <c r="C2628" t="str">
        <f t="shared" si="220"/>
        <v>01092610763</v>
      </c>
      <c r="D2628" t="str">
        <f t="shared" si="220"/>
        <v>01092610763</v>
      </c>
      <c r="E2628" t="s">
        <v>52</v>
      </c>
      <c r="F2628">
        <v>2014</v>
      </c>
      <c r="G2628">
        <v>62</v>
      </c>
      <c r="H2628" s="1">
        <v>41912</v>
      </c>
      <c r="I2628" s="1">
        <v>41915</v>
      </c>
      <c r="J2628" s="1">
        <v>41915</v>
      </c>
      <c r="K2628" s="1">
        <v>42005</v>
      </c>
      <c r="N2628" s="5"/>
      <c r="O2628">
        <v>109.8</v>
      </c>
      <c r="P2628">
        <v>158</v>
      </c>
      <c r="Q2628" s="2">
        <v>17348.400000000001</v>
      </c>
      <c r="R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 s="1">
        <v>42382</v>
      </c>
      <c r="AC2628" t="s">
        <v>53</v>
      </c>
      <c r="AD2628" t="s">
        <v>53</v>
      </c>
      <c r="AK2628">
        <v>0</v>
      </c>
      <c r="AU2628" s="6">
        <v>42163</v>
      </c>
      <c r="AV2628" s="6">
        <v>42163</v>
      </c>
      <c r="AW2628" t="s">
        <v>54</v>
      </c>
      <c r="AX2628" t="str">
        <f t="shared" si="221"/>
        <v>FOR</v>
      </c>
      <c r="AY2628" t="s">
        <v>55</v>
      </c>
    </row>
    <row r="2629" spans="1:51" hidden="1">
      <c r="A2629">
        <v>100821</v>
      </c>
      <c r="B2629" t="s">
        <v>297</v>
      </c>
      <c r="C2629" t="str">
        <f t="shared" si="220"/>
        <v>01092610763</v>
      </c>
      <c r="D2629" t="str">
        <f t="shared" si="220"/>
        <v>01092610763</v>
      </c>
      <c r="E2629" t="s">
        <v>52</v>
      </c>
      <c r="F2629">
        <v>2015</v>
      </c>
      <c r="G2629">
        <v>9</v>
      </c>
      <c r="H2629" s="1">
        <v>42074</v>
      </c>
      <c r="I2629" s="1">
        <v>42089</v>
      </c>
      <c r="J2629" s="1">
        <v>42089</v>
      </c>
      <c r="K2629" s="1">
        <v>42149</v>
      </c>
      <c r="N2629" s="5"/>
      <c r="O2629" s="2">
        <v>1015</v>
      </c>
      <c r="P2629">
        <v>15</v>
      </c>
      <c r="Q2629" s="2">
        <v>15225</v>
      </c>
      <c r="R2629">
        <v>0</v>
      </c>
      <c r="V2629">
        <v>0</v>
      </c>
      <c r="W2629">
        <v>0</v>
      </c>
      <c r="X2629">
        <v>0</v>
      </c>
      <c r="Y2629" s="2">
        <v>1238.3</v>
      </c>
      <c r="Z2629" s="2">
        <v>1238.3</v>
      </c>
      <c r="AA2629" s="2">
        <v>1238.3</v>
      </c>
      <c r="AB2629" s="1">
        <v>42382</v>
      </c>
      <c r="AC2629" t="s">
        <v>53</v>
      </c>
      <c r="AD2629" t="s">
        <v>53</v>
      </c>
      <c r="AK2629">
        <v>0</v>
      </c>
      <c r="AU2629" s="6">
        <v>42164</v>
      </c>
      <c r="AV2629" s="6">
        <v>42164</v>
      </c>
      <c r="AW2629" t="s">
        <v>54</v>
      </c>
      <c r="AX2629" t="str">
        <f t="shared" si="221"/>
        <v>FOR</v>
      </c>
      <c r="AY2629" t="s">
        <v>55</v>
      </c>
    </row>
    <row r="2630" spans="1:51" hidden="1">
      <c r="A2630">
        <v>100821</v>
      </c>
      <c r="B2630" t="s">
        <v>297</v>
      </c>
      <c r="C2630" t="str">
        <f t="shared" si="220"/>
        <v>01092610763</v>
      </c>
      <c r="D2630" t="str">
        <f t="shared" si="220"/>
        <v>01092610763</v>
      </c>
      <c r="E2630" t="s">
        <v>52</v>
      </c>
      <c r="F2630">
        <v>2015</v>
      </c>
      <c r="G2630">
        <v>11</v>
      </c>
      <c r="H2630" s="1">
        <v>42093</v>
      </c>
      <c r="I2630" s="1">
        <v>42117</v>
      </c>
      <c r="J2630" s="1">
        <v>42117</v>
      </c>
      <c r="K2630" s="1">
        <v>42177</v>
      </c>
      <c r="N2630" s="5"/>
      <c r="O2630">
        <v>213</v>
      </c>
      <c r="P2630">
        <v>-14</v>
      </c>
      <c r="Q2630" s="2">
        <v>-2982</v>
      </c>
      <c r="R2630">
        <v>0</v>
      </c>
      <c r="V2630">
        <v>0</v>
      </c>
      <c r="W2630">
        <v>0</v>
      </c>
      <c r="X2630">
        <v>0</v>
      </c>
      <c r="Y2630">
        <v>259.86</v>
      </c>
      <c r="Z2630">
        <v>259.86</v>
      </c>
      <c r="AA2630">
        <v>259.86</v>
      </c>
      <c r="AB2630" s="1">
        <v>42382</v>
      </c>
      <c r="AC2630" t="s">
        <v>53</v>
      </c>
      <c r="AD2630" t="s">
        <v>53</v>
      </c>
      <c r="AK2630">
        <v>0</v>
      </c>
      <c r="AU2630" s="6">
        <v>42163</v>
      </c>
      <c r="AV2630" s="6">
        <v>42163</v>
      </c>
      <c r="AW2630" t="s">
        <v>54</v>
      </c>
      <c r="AX2630" t="str">
        <f t="shared" si="221"/>
        <v>FOR</v>
      </c>
      <c r="AY2630" t="s">
        <v>55</v>
      </c>
    </row>
    <row r="2631" spans="1:51" hidden="1">
      <c r="A2631">
        <v>100824</v>
      </c>
      <c r="B2631" t="s">
        <v>298</v>
      </c>
      <c r="C2631" t="str">
        <f t="shared" ref="C2631:D2650" si="222">"05750470634"</f>
        <v>05750470634</v>
      </c>
      <c r="D2631" t="str">
        <f t="shared" si="222"/>
        <v>05750470634</v>
      </c>
      <c r="E2631" t="s">
        <v>52</v>
      </c>
      <c r="F2631">
        <v>2013</v>
      </c>
      <c r="G2631">
        <v>413</v>
      </c>
      <c r="H2631" s="1">
        <v>41563</v>
      </c>
      <c r="I2631" s="1">
        <v>41606</v>
      </c>
      <c r="J2631" s="1">
        <v>41606</v>
      </c>
      <c r="K2631" s="1">
        <v>41696</v>
      </c>
      <c r="N2631" s="5"/>
      <c r="O2631">
        <v>151.84</v>
      </c>
      <c r="P2631">
        <v>376</v>
      </c>
      <c r="Q2631" s="2">
        <v>57091.839999999997</v>
      </c>
      <c r="R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 s="1">
        <v>42382</v>
      </c>
      <c r="AC2631" t="s">
        <v>53</v>
      </c>
      <c r="AD2631" t="s">
        <v>53</v>
      </c>
      <c r="AK2631">
        <v>0</v>
      </c>
      <c r="AU2631" s="6">
        <v>42072</v>
      </c>
      <c r="AV2631" s="6">
        <v>42072</v>
      </c>
      <c r="AW2631" t="s">
        <v>54</v>
      </c>
      <c r="AX2631" t="str">
        <f t="shared" si="221"/>
        <v>FOR</v>
      </c>
      <c r="AY2631" t="s">
        <v>55</v>
      </c>
    </row>
    <row r="2632" spans="1:51" hidden="1">
      <c r="A2632">
        <v>100824</v>
      </c>
      <c r="B2632" t="s">
        <v>298</v>
      </c>
      <c r="C2632" t="str">
        <f t="shared" si="222"/>
        <v>05750470634</v>
      </c>
      <c r="D2632" t="str">
        <f t="shared" si="222"/>
        <v>05750470634</v>
      </c>
      <c r="E2632" t="s">
        <v>52</v>
      </c>
      <c r="F2632">
        <v>2013</v>
      </c>
      <c r="G2632">
        <v>419</v>
      </c>
      <c r="H2632" s="1">
        <v>41565</v>
      </c>
      <c r="I2632" s="1">
        <v>41606</v>
      </c>
      <c r="J2632" s="1">
        <v>41606</v>
      </c>
      <c r="K2632" s="1">
        <v>41696</v>
      </c>
      <c r="N2632" s="5"/>
      <c r="O2632" s="2">
        <v>5352.36</v>
      </c>
      <c r="P2632">
        <v>376</v>
      </c>
      <c r="Q2632" s="2">
        <v>2012487.36</v>
      </c>
      <c r="R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 s="1">
        <v>42382</v>
      </c>
      <c r="AC2632" t="s">
        <v>53</v>
      </c>
      <c r="AD2632" t="s">
        <v>53</v>
      </c>
      <c r="AK2632">
        <v>0</v>
      </c>
      <c r="AU2632" s="6">
        <v>42072</v>
      </c>
      <c r="AV2632" s="6">
        <v>42072</v>
      </c>
      <c r="AW2632" t="s">
        <v>54</v>
      </c>
      <c r="AX2632" t="str">
        <f t="shared" si="221"/>
        <v>FOR</v>
      </c>
      <c r="AY2632" t="s">
        <v>55</v>
      </c>
    </row>
    <row r="2633" spans="1:51" hidden="1">
      <c r="A2633">
        <v>100824</v>
      </c>
      <c r="B2633" t="s">
        <v>298</v>
      </c>
      <c r="C2633" t="str">
        <f t="shared" si="222"/>
        <v>05750470634</v>
      </c>
      <c r="D2633" t="str">
        <f t="shared" si="222"/>
        <v>05750470634</v>
      </c>
      <c r="E2633" t="s">
        <v>52</v>
      </c>
      <c r="F2633">
        <v>2013</v>
      </c>
      <c r="G2633">
        <v>431</v>
      </c>
      <c r="H2633" s="1">
        <v>41571</v>
      </c>
      <c r="I2633" s="1">
        <v>41606</v>
      </c>
      <c r="J2633" s="1">
        <v>41606</v>
      </c>
      <c r="K2633" s="1">
        <v>41696</v>
      </c>
      <c r="N2633" s="5"/>
      <c r="O2633">
        <v>37.96</v>
      </c>
      <c r="P2633">
        <v>376</v>
      </c>
      <c r="Q2633" s="2">
        <v>14272.96</v>
      </c>
      <c r="R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 s="1">
        <v>42382</v>
      </c>
      <c r="AC2633" t="s">
        <v>53</v>
      </c>
      <c r="AD2633" t="s">
        <v>53</v>
      </c>
      <c r="AK2633">
        <v>0</v>
      </c>
      <c r="AU2633" s="6">
        <v>42072</v>
      </c>
      <c r="AV2633" s="6">
        <v>42072</v>
      </c>
      <c r="AW2633" t="s">
        <v>54</v>
      </c>
      <c r="AX2633" t="str">
        <f t="shared" si="221"/>
        <v>FOR</v>
      </c>
      <c r="AY2633" t="s">
        <v>55</v>
      </c>
    </row>
    <row r="2634" spans="1:51" hidden="1">
      <c r="A2634">
        <v>100824</v>
      </c>
      <c r="B2634" t="s">
        <v>298</v>
      </c>
      <c r="C2634" t="str">
        <f t="shared" si="222"/>
        <v>05750470634</v>
      </c>
      <c r="D2634" t="str">
        <f t="shared" si="222"/>
        <v>05750470634</v>
      </c>
      <c r="E2634" t="s">
        <v>52</v>
      </c>
      <c r="F2634">
        <v>2014</v>
      </c>
      <c r="G2634">
        <v>33</v>
      </c>
      <c r="H2634" s="1">
        <v>41670</v>
      </c>
      <c r="I2634" s="1">
        <v>41691</v>
      </c>
      <c r="J2634" s="1">
        <v>41691</v>
      </c>
      <c r="K2634" s="1">
        <v>41781</v>
      </c>
      <c r="N2634" s="5"/>
      <c r="O2634">
        <v>332.8</v>
      </c>
      <c r="P2634">
        <v>237</v>
      </c>
      <c r="Q2634" s="2">
        <v>78873.600000000006</v>
      </c>
      <c r="R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 s="1">
        <v>42382</v>
      </c>
      <c r="AC2634" t="s">
        <v>53</v>
      </c>
      <c r="AD2634" t="s">
        <v>53</v>
      </c>
      <c r="AK2634">
        <v>0</v>
      </c>
      <c r="AU2634" s="6">
        <v>42018</v>
      </c>
      <c r="AV2634" s="6">
        <v>42018</v>
      </c>
      <c r="AW2634" t="s">
        <v>54</v>
      </c>
      <c r="AX2634" t="str">
        <f t="shared" si="221"/>
        <v>FOR</v>
      </c>
      <c r="AY2634" t="s">
        <v>55</v>
      </c>
    </row>
    <row r="2635" spans="1:51" hidden="1">
      <c r="A2635">
        <v>100824</v>
      </c>
      <c r="B2635" t="s">
        <v>298</v>
      </c>
      <c r="C2635" t="str">
        <f t="shared" si="222"/>
        <v>05750470634</v>
      </c>
      <c r="D2635" t="str">
        <f t="shared" si="222"/>
        <v>05750470634</v>
      </c>
      <c r="E2635" t="s">
        <v>52</v>
      </c>
      <c r="F2635">
        <v>2014</v>
      </c>
      <c r="G2635">
        <v>38</v>
      </c>
      <c r="H2635" s="1">
        <v>41680</v>
      </c>
      <c r="I2635" s="1">
        <v>41736</v>
      </c>
      <c r="J2635" s="1">
        <v>41736</v>
      </c>
      <c r="K2635" s="1">
        <v>41826</v>
      </c>
      <c r="N2635" s="5"/>
      <c r="O2635" s="2">
        <v>17797</v>
      </c>
      <c r="P2635">
        <v>192</v>
      </c>
      <c r="Q2635" s="2">
        <v>3417024</v>
      </c>
      <c r="R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 s="1">
        <v>42382</v>
      </c>
      <c r="AC2635" t="s">
        <v>53</v>
      </c>
      <c r="AD2635" t="s">
        <v>53</v>
      </c>
      <c r="AK2635">
        <v>0</v>
      </c>
      <c r="AU2635" s="6">
        <v>42018</v>
      </c>
      <c r="AV2635" s="6">
        <v>42018</v>
      </c>
      <c r="AW2635" t="s">
        <v>54</v>
      </c>
      <c r="AX2635" t="str">
        <f t="shared" si="221"/>
        <v>FOR</v>
      </c>
      <c r="AY2635" t="s">
        <v>55</v>
      </c>
    </row>
    <row r="2636" spans="1:51" hidden="1">
      <c r="A2636">
        <v>100824</v>
      </c>
      <c r="B2636" t="s">
        <v>298</v>
      </c>
      <c r="C2636" t="str">
        <f t="shared" si="222"/>
        <v>05750470634</v>
      </c>
      <c r="D2636" t="str">
        <f t="shared" si="222"/>
        <v>05750470634</v>
      </c>
      <c r="E2636" t="s">
        <v>52</v>
      </c>
      <c r="F2636">
        <v>2014</v>
      </c>
      <c r="G2636">
        <v>62</v>
      </c>
      <c r="H2636" s="1">
        <v>41698</v>
      </c>
      <c r="I2636" s="1">
        <v>41736</v>
      </c>
      <c r="J2636" s="1">
        <v>41736</v>
      </c>
      <c r="K2636" s="1">
        <v>41826</v>
      </c>
      <c r="N2636" s="5"/>
      <c r="O2636">
        <v>166.4</v>
      </c>
      <c r="P2636">
        <v>192</v>
      </c>
      <c r="Q2636" s="2">
        <v>31948.799999999999</v>
      </c>
      <c r="R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 s="1">
        <v>42382</v>
      </c>
      <c r="AC2636" t="s">
        <v>53</v>
      </c>
      <c r="AD2636" t="s">
        <v>53</v>
      </c>
      <c r="AK2636">
        <v>0</v>
      </c>
      <c r="AU2636" s="6">
        <v>42018</v>
      </c>
      <c r="AV2636" s="6">
        <v>42018</v>
      </c>
      <c r="AW2636" t="s">
        <v>54</v>
      </c>
      <c r="AX2636" t="str">
        <f t="shared" si="221"/>
        <v>FOR</v>
      </c>
      <c r="AY2636" t="s">
        <v>55</v>
      </c>
    </row>
    <row r="2637" spans="1:51" hidden="1">
      <c r="A2637">
        <v>100824</v>
      </c>
      <c r="B2637" t="s">
        <v>298</v>
      </c>
      <c r="C2637" t="str">
        <f t="shared" si="222"/>
        <v>05750470634</v>
      </c>
      <c r="D2637" t="str">
        <f t="shared" si="222"/>
        <v>05750470634</v>
      </c>
      <c r="E2637" t="s">
        <v>52</v>
      </c>
      <c r="F2637">
        <v>2014</v>
      </c>
      <c r="G2637">
        <v>69</v>
      </c>
      <c r="H2637" s="1">
        <v>41703</v>
      </c>
      <c r="I2637" s="1">
        <v>41764</v>
      </c>
      <c r="J2637" s="1">
        <v>41764</v>
      </c>
      <c r="K2637" s="1">
        <v>41854</v>
      </c>
      <c r="N2637" s="5"/>
      <c r="O2637">
        <v>316.16000000000003</v>
      </c>
      <c r="P2637">
        <v>170</v>
      </c>
      <c r="Q2637" s="2">
        <v>53747.199999999997</v>
      </c>
      <c r="R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 s="1">
        <v>42382</v>
      </c>
      <c r="AC2637" t="s">
        <v>53</v>
      </c>
      <c r="AD2637" t="s">
        <v>53</v>
      </c>
      <c r="AK2637">
        <v>0</v>
      </c>
      <c r="AU2637" s="6">
        <v>42024</v>
      </c>
      <c r="AV2637" s="6">
        <v>42024</v>
      </c>
      <c r="AW2637" t="s">
        <v>54</v>
      </c>
      <c r="AX2637" t="str">
        <f t="shared" si="221"/>
        <v>FOR</v>
      </c>
      <c r="AY2637" t="s">
        <v>55</v>
      </c>
    </row>
    <row r="2638" spans="1:51" hidden="1">
      <c r="A2638">
        <v>100824</v>
      </c>
      <c r="B2638" t="s">
        <v>298</v>
      </c>
      <c r="C2638" t="str">
        <f t="shared" si="222"/>
        <v>05750470634</v>
      </c>
      <c r="D2638" t="str">
        <f t="shared" si="222"/>
        <v>05750470634</v>
      </c>
      <c r="E2638" t="s">
        <v>52</v>
      </c>
      <c r="F2638">
        <v>2014</v>
      </c>
      <c r="G2638">
        <v>81</v>
      </c>
      <c r="H2638" s="1">
        <v>41712</v>
      </c>
      <c r="I2638" s="1">
        <v>41764</v>
      </c>
      <c r="J2638" s="1">
        <v>41764</v>
      </c>
      <c r="K2638" s="1">
        <v>41854</v>
      </c>
      <c r="N2638" s="5"/>
      <c r="O2638" s="2">
        <v>18962.11</v>
      </c>
      <c r="P2638">
        <v>170</v>
      </c>
      <c r="Q2638" s="2">
        <v>3223558.7</v>
      </c>
      <c r="R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 s="1">
        <v>42382</v>
      </c>
      <c r="AC2638" t="s">
        <v>53</v>
      </c>
      <c r="AD2638" t="s">
        <v>53</v>
      </c>
      <c r="AK2638">
        <v>0</v>
      </c>
      <c r="AU2638" s="6">
        <v>42024</v>
      </c>
      <c r="AV2638" s="6">
        <v>42024</v>
      </c>
      <c r="AW2638" t="s">
        <v>54</v>
      </c>
      <c r="AX2638" t="str">
        <f t="shared" si="221"/>
        <v>FOR</v>
      </c>
      <c r="AY2638" t="s">
        <v>55</v>
      </c>
    </row>
    <row r="2639" spans="1:51" hidden="1">
      <c r="A2639">
        <v>100824</v>
      </c>
      <c r="B2639" t="s">
        <v>298</v>
      </c>
      <c r="C2639" t="str">
        <f t="shared" si="222"/>
        <v>05750470634</v>
      </c>
      <c r="D2639" t="str">
        <f t="shared" si="222"/>
        <v>05750470634</v>
      </c>
      <c r="E2639" t="s">
        <v>52</v>
      </c>
      <c r="F2639">
        <v>2014</v>
      </c>
      <c r="G2639">
        <v>82</v>
      </c>
      <c r="H2639" s="1">
        <v>41712</v>
      </c>
      <c r="I2639" s="1">
        <v>41764</v>
      </c>
      <c r="J2639" s="1">
        <v>41764</v>
      </c>
      <c r="K2639" s="1">
        <v>41854</v>
      </c>
      <c r="N2639" s="5"/>
      <c r="O2639" s="2">
        <v>5921.76</v>
      </c>
      <c r="P2639">
        <v>170</v>
      </c>
      <c r="Q2639" s="2">
        <v>1006699.2</v>
      </c>
      <c r="R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 s="1">
        <v>42382</v>
      </c>
      <c r="AC2639" t="s">
        <v>53</v>
      </c>
      <c r="AD2639" t="s">
        <v>53</v>
      </c>
      <c r="AK2639">
        <v>0</v>
      </c>
      <c r="AU2639" s="6">
        <v>42024</v>
      </c>
      <c r="AV2639" s="6">
        <v>42024</v>
      </c>
      <c r="AW2639" t="s">
        <v>54</v>
      </c>
      <c r="AX2639" t="str">
        <f t="shared" si="221"/>
        <v>FOR</v>
      </c>
      <c r="AY2639" t="s">
        <v>55</v>
      </c>
    </row>
    <row r="2640" spans="1:51" hidden="1">
      <c r="A2640">
        <v>100824</v>
      </c>
      <c r="B2640" t="s">
        <v>298</v>
      </c>
      <c r="C2640" t="str">
        <f t="shared" si="222"/>
        <v>05750470634</v>
      </c>
      <c r="D2640" t="str">
        <f t="shared" si="222"/>
        <v>05750470634</v>
      </c>
      <c r="E2640" t="s">
        <v>52</v>
      </c>
      <c r="F2640">
        <v>2014</v>
      </c>
      <c r="G2640">
        <v>111</v>
      </c>
      <c r="H2640" s="1">
        <v>41729</v>
      </c>
      <c r="I2640" s="1">
        <v>41764</v>
      </c>
      <c r="J2640" s="1">
        <v>41764</v>
      </c>
      <c r="K2640" s="1">
        <v>41854</v>
      </c>
      <c r="N2640" s="5"/>
      <c r="O2640" s="2">
        <v>2140.12</v>
      </c>
      <c r="P2640">
        <v>170</v>
      </c>
      <c r="Q2640" s="2">
        <v>363820.4</v>
      </c>
      <c r="R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 s="1">
        <v>42382</v>
      </c>
      <c r="AC2640" t="s">
        <v>53</v>
      </c>
      <c r="AD2640" t="s">
        <v>53</v>
      </c>
      <c r="AK2640">
        <v>0</v>
      </c>
      <c r="AU2640" s="6">
        <v>42024</v>
      </c>
      <c r="AV2640" s="6">
        <v>42024</v>
      </c>
      <c r="AW2640" t="s">
        <v>54</v>
      </c>
      <c r="AX2640" t="str">
        <f t="shared" si="221"/>
        <v>FOR</v>
      </c>
      <c r="AY2640" t="s">
        <v>55</v>
      </c>
    </row>
    <row r="2641" spans="1:51" hidden="1">
      <c r="A2641">
        <v>100824</v>
      </c>
      <c r="B2641" t="s">
        <v>298</v>
      </c>
      <c r="C2641" t="str">
        <f t="shared" si="222"/>
        <v>05750470634</v>
      </c>
      <c r="D2641" t="str">
        <f t="shared" si="222"/>
        <v>05750470634</v>
      </c>
      <c r="E2641" t="s">
        <v>52</v>
      </c>
      <c r="F2641">
        <v>2014</v>
      </c>
      <c r="G2641">
        <v>112</v>
      </c>
      <c r="H2641" s="1">
        <v>41729</v>
      </c>
      <c r="I2641" s="1">
        <v>41764</v>
      </c>
      <c r="J2641" s="1">
        <v>41764</v>
      </c>
      <c r="K2641" s="1">
        <v>41854</v>
      </c>
      <c r="N2641" s="5"/>
      <c r="O2641" s="2">
        <v>4270</v>
      </c>
      <c r="P2641">
        <v>170</v>
      </c>
      <c r="Q2641" s="2">
        <v>725900</v>
      </c>
      <c r="R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 s="1">
        <v>42382</v>
      </c>
      <c r="AC2641" t="s">
        <v>53</v>
      </c>
      <c r="AD2641" t="s">
        <v>53</v>
      </c>
      <c r="AK2641">
        <v>0</v>
      </c>
      <c r="AU2641" s="6">
        <v>42024</v>
      </c>
      <c r="AV2641" s="6">
        <v>42024</v>
      </c>
      <c r="AW2641" t="s">
        <v>54</v>
      </c>
      <c r="AX2641" t="str">
        <f t="shared" si="221"/>
        <v>FOR</v>
      </c>
      <c r="AY2641" t="s">
        <v>55</v>
      </c>
    </row>
    <row r="2642" spans="1:51" hidden="1">
      <c r="A2642">
        <v>100824</v>
      </c>
      <c r="B2642" t="s">
        <v>298</v>
      </c>
      <c r="C2642" t="str">
        <f t="shared" si="222"/>
        <v>05750470634</v>
      </c>
      <c r="D2642" t="str">
        <f t="shared" si="222"/>
        <v>05750470634</v>
      </c>
      <c r="E2642" t="s">
        <v>52</v>
      </c>
      <c r="F2642">
        <v>2014</v>
      </c>
      <c r="G2642">
        <v>113</v>
      </c>
      <c r="H2642" s="1">
        <v>41729</v>
      </c>
      <c r="I2642" s="1">
        <v>41764</v>
      </c>
      <c r="J2642" s="1">
        <v>41764</v>
      </c>
      <c r="K2642" s="1">
        <v>41854</v>
      </c>
      <c r="N2642" s="5"/>
      <c r="O2642" s="2">
        <v>4551.1899999999996</v>
      </c>
      <c r="P2642">
        <v>170</v>
      </c>
      <c r="Q2642" s="2">
        <v>773702.3</v>
      </c>
      <c r="R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 s="1">
        <v>42382</v>
      </c>
      <c r="AC2642" t="s">
        <v>53</v>
      </c>
      <c r="AD2642" t="s">
        <v>53</v>
      </c>
      <c r="AK2642">
        <v>0</v>
      </c>
      <c r="AU2642" s="6">
        <v>42024</v>
      </c>
      <c r="AV2642" s="6">
        <v>42024</v>
      </c>
      <c r="AW2642" t="s">
        <v>54</v>
      </c>
      <c r="AX2642" t="str">
        <f t="shared" si="221"/>
        <v>FOR</v>
      </c>
      <c r="AY2642" t="s">
        <v>55</v>
      </c>
    </row>
    <row r="2643" spans="1:51" hidden="1">
      <c r="A2643">
        <v>100824</v>
      </c>
      <c r="B2643" t="s">
        <v>298</v>
      </c>
      <c r="C2643" t="str">
        <f t="shared" si="222"/>
        <v>05750470634</v>
      </c>
      <c r="D2643" t="str">
        <f t="shared" si="222"/>
        <v>05750470634</v>
      </c>
      <c r="E2643" t="s">
        <v>52</v>
      </c>
      <c r="F2643">
        <v>2014</v>
      </c>
      <c r="G2643">
        <v>115</v>
      </c>
      <c r="H2643" s="1">
        <v>41736</v>
      </c>
      <c r="I2643" s="1">
        <v>41789</v>
      </c>
      <c r="J2643" s="1">
        <v>41789</v>
      </c>
      <c r="K2643" s="1">
        <v>41879</v>
      </c>
      <c r="N2643" s="5"/>
      <c r="O2643" s="2">
        <v>16954.91</v>
      </c>
      <c r="P2643">
        <v>193</v>
      </c>
      <c r="Q2643" s="2">
        <v>3272297.63</v>
      </c>
      <c r="R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 s="1">
        <v>42382</v>
      </c>
      <c r="AC2643" t="s">
        <v>53</v>
      </c>
      <c r="AD2643" t="s">
        <v>53</v>
      </c>
      <c r="AK2643">
        <v>0</v>
      </c>
      <c r="AU2643" s="6">
        <v>42072</v>
      </c>
      <c r="AV2643" s="6">
        <v>42072</v>
      </c>
      <c r="AW2643" t="s">
        <v>54</v>
      </c>
      <c r="AX2643" t="str">
        <f t="shared" si="221"/>
        <v>FOR</v>
      </c>
      <c r="AY2643" t="s">
        <v>55</v>
      </c>
    </row>
    <row r="2644" spans="1:51" hidden="1">
      <c r="A2644">
        <v>100824</v>
      </c>
      <c r="B2644" t="s">
        <v>298</v>
      </c>
      <c r="C2644" t="str">
        <f t="shared" si="222"/>
        <v>05750470634</v>
      </c>
      <c r="D2644" t="str">
        <f t="shared" si="222"/>
        <v>05750470634</v>
      </c>
      <c r="E2644" t="s">
        <v>52</v>
      </c>
      <c r="F2644">
        <v>2014</v>
      </c>
      <c r="G2644">
        <v>116</v>
      </c>
      <c r="H2644" s="1">
        <v>41736</v>
      </c>
      <c r="I2644" s="1">
        <v>41789</v>
      </c>
      <c r="J2644" s="1">
        <v>41789</v>
      </c>
      <c r="K2644" s="1">
        <v>41879</v>
      </c>
      <c r="N2644" s="5"/>
      <c r="O2644" s="2">
        <v>5845.84</v>
      </c>
      <c r="P2644">
        <v>193</v>
      </c>
      <c r="Q2644" s="2">
        <v>1128247.1200000001</v>
      </c>
      <c r="R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 s="1">
        <v>42382</v>
      </c>
      <c r="AC2644" t="s">
        <v>53</v>
      </c>
      <c r="AD2644" t="s">
        <v>53</v>
      </c>
      <c r="AK2644">
        <v>0</v>
      </c>
      <c r="AU2644" s="6">
        <v>42072</v>
      </c>
      <c r="AV2644" s="6">
        <v>42072</v>
      </c>
      <c r="AW2644" t="s">
        <v>54</v>
      </c>
      <c r="AX2644" t="str">
        <f t="shared" si="221"/>
        <v>FOR</v>
      </c>
      <c r="AY2644" t="s">
        <v>55</v>
      </c>
    </row>
    <row r="2645" spans="1:51" hidden="1">
      <c r="A2645">
        <v>100824</v>
      </c>
      <c r="B2645" t="s">
        <v>298</v>
      </c>
      <c r="C2645" t="str">
        <f t="shared" si="222"/>
        <v>05750470634</v>
      </c>
      <c r="D2645" t="str">
        <f t="shared" si="222"/>
        <v>05750470634</v>
      </c>
      <c r="E2645" t="s">
        <v>52</v>
      </c>
      <c r="F2645">
        <v>2014</v>
      </c>
      <c r="G2645">
        <v>128</v>
      </c>
      <c r="H2645" s="1">
        <v>41745</v>
      </c>
      <c r="I2645" s="1">
        <v>41789</v>
      </c>
      <c r="J2645" s="1">
        <v>41789</v>
      </c>
      <c r="K2645" s="1">
        <v>41879</v>
      </c>
      <c r="N2645" s="5"/>
      <c r="O2645" s="2">
        <v>1517.57</v>
      </c>
      <c r="P2645">
        <v>193</v>
      </c>
      <c r="Q2645" s="2">
        <v>292891.01</v>
      </c>
      <c r="R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 s="1">
        <v>42382</v>
      </c>
      <c r="AC2645" t="s">
        <v>53</v>
      </c>
      <c r="AD2645" t="s">
        <v>53</v>
      </c>
      <c r="AK2645">
        <v>0</v>
      </c>
      <c r="AU2645" s="6">
        <v>42072</v>
      </c>
      <c r="AV2645" s="6">
        <v>42072</v>
      </c>
      <c r="AW2645" t="s">
        <v>54</v>
      </c>
      <c r="AX2645" t="str">
        <f t="shared" si="221"/>
        <v>FOR</v>
      </c>
      <c r="AY2645" t="s">
        <v>55</v>
      </c>
    </row>
    <row r="2646" spans="1:51" hidden="1">
      <c r="A2646">
        <v>100824</v>
      </c>
      <c r="B2646" t="s">
        <v>298</v>
      </c>
      <c r="C2646" t="str">
        <f t="shared" si="222"/>
        <v>05750470634</v>
      </c>
      <c r="D2646" t="str">
        <f t="shared" si="222"/>
        <v>05750470634</v>
      </c>
      <c r="E2646" t="s">
        <v>52</v>
      </c>
      <c r="F2646">
        <v>2014</v>
      </c>
      <c r="G2646">
        <v>146</v>
      </c>
      <c r="H2646" s="1">
        <v>41759</v>
      </c>
      <c r="I2646" s="1">
        <v>41789</v>
      </c>
      <c r="J2646" s="1">
        <v>41789</v>
      </c>
      <c r="K2646" s="1">
        <v>41879</v>
      </c>
      <c r="N2646" s="5"/>
      <c r="O2646">
        <v>332.8</v>
      </c>
      <c r="P2646">
        <v>193</v>
      </c>
      <c r="Q2646" s="2">
        <v>64230.400000000001</v>
      </c>
      <c r="R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 s="1">
        <v>42382</v>
      </c>
      <c r="AC2646" t="s">
        <v>53</v>
      </c>
      <c r="AD2646" t="s">
        <v>53</v>
      </c>
      <c r="AK2646">
        <v>0</v>
      </c>
      <c r="AU2646" s="6">
        <v>42072</v>
      </c>
      <c r="AV2646" s="6">
        <v>42072</v>
      </c>
      <c r="AW2646" t="s">
        <v>54</v>
      </c>
      <c r="AX2646" t="str">
        <f t="shared" si="221"/>
        <v>FOR</v>
      </c>
      <c r="AY2646" t="s">
        <v>55</v>
      </c>
    </row>
    <row r="2647" spans="1:51" hidden="1">
      <c r="A2647">
        <v>100824</v>
      </c>
      <c r="B2647" t="s">
        <v>298</v>
      </c>
      <c r="C2647" t="str">
        <f t="shared" si="222"/>
        <v>05750470634</v>
      </c>
      <c r="D2647" t="str">
        <f t="shared" si="222"/>
        <v>05750470634</v>
      </c>
      <c r="E2647" t="s">
        <v>52</v>
      </c>
      <c r="F2647">
        <v>2014</v>
      </c>
      <c r="G2647">
        <v>148</v>
      </c>
      <c r="H2647" s="1">
        <v>41759</v>
      </c>
      <c r="I2647" s="1">
        <v>41789</v>
      </c>
      <c r="J2647" s="1">
        <v>41789</v>
      </c>
      <c r="K2647" s="1">
        <v>41879</v>
      </c>
      <c r="N2647" s="5"/>
      <c r="O2647" s="2">
        <v>5092.5200000000004</v>
      </c>
      <c r="P2647">
        <v>193</v>
      </c>
      <c r="Q2647" s="2">
        <v>982856.36</v>
      </c>
      <c r="R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 s="1">
        <v>42382</v>
      </c>
      <c r="AC2647" t="s">
        <v>53</v>
      </c>
      <c r="AD2647" t="s">
        <v>53</v>
      </c>
      <c r="AK2647">
        <v>0</v>
      </c>
      <c r="AU2647" s="6">
        <v>42072</v>
      </c>
      <c r="AV2647" s="6">
        <v>42072</v>
      </c>
      <c r="AW2647" t="s">
        <v>54</v>
      </c>
      <c r="AX2647" t="str">
        <f t="shared" si="221"/>
        <v>FOR</v>
      </c>
      <c r="AY2647" t="s">
        <v>55</v>
      </c>
    </row>
    <row r="2648" spans="1:51" hidden="1">
      <c r="A2648">
        <v>100824</v>
      </c>
      <c r="B2648" t="s">
        <v>298</v>
      </c>
      <c r="C2648" t="str">
        <f t="shared" si="222"/>
        <v>05750470634</v>
      </c>
      <c r="D2648" t="str">
        <f t="shared" si="222"/>
        <v>05750470634</v>
      </c>
      <c r="E2648" t="s">
        <v>52</v>
      </c>
      <c r="F2648">
        <v>2014</v>
      </c>
      <c r="G2648">
        <v>149</v>
      </c>
      <c r="H2648" s="1">
        <v>41759</v>
      </c>
      <c r="I2648" s="1">
        <v>41789</v>
      </c>
      <c r="J2648" s="1">
        <v>41789</v>
      </c>
      <c r="K2648" s="1">
        <v>41879</v>
      </c>
      <c r="N2648" s="5"/>
      <c r="O2648" s="2">
        <v>5067.7700000000004</v>
      </c>
      <c r="P2648">
        <v>193</v>
      </c>
      <c r="Q2648" s="2">
        <v>978079.61</v>
      </c>
      <c r="R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 s="1">
        <v>42382</v>
      </c>
      <c r="AC2648" t="s">
        <v>53</v>
      </c>
      <c r="AD2648" t="s">
        <v>53</v>
      </c>
      <c r="AK2648">
        <v>0</v>
      </c>
      <c r="AU2648" s="6">
        <v>42072</v>
      </c>
      <c r="AV2648" s="6">
        <v>42072</v>
      </c>
      <c r="AW2648" t="s">
        <v>54</v>
      </c>
      <c r="AX2648" t="str">
        <f t="shared" si="221"/>
        <v>FOR</v>
      </c>
      <c r="AY2648" t="s">
        <v>55</v>
      </c>
    </row>
    <row r="2649" spans="1:51" hidden="1">
      <c r="A2649">
        <v>100824</v>
      </c>
      <c r="B2649" t="s">
        <v>298</v>
      </c>
      <c r="C2649" t="str">
        <f t="shared" si="222"/>
        <v>05750470634</v>
      </c>
      <c r="D2649" t="str">
        <f t="shared" si="222"/>
        <v>05750470634</v>
      </c>
      <c r="E2649" t="s">
        <v>52</v>
      </c>
      <c r="F2649">
        <v>2014</v>
      </c>
      <c r="G2649">
        <v>161</v>
      </c>
      <c r="H2649" s="1">
        <v>41773</v>
      </c>
      <c r="I2649" s="1">
        <v>41816</v>
      </c>
      <c r="J2649" s="1">
        <v>41816</v>
      </c>
      <c r="K2649" s="1">
        <v>41906</v>
      </c>
      <c r="N2649" s="5"/>
      <c r="O2649" s="2">
        <v>18480.8</v>
      </c>
      <c r="P2649">
        <v>188</v>
      </c>
      <c r="Q2649" s="2">
        <v>3474390.4</v>
      </c>
      <c r="R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 s="1">
        <v>42382</v>
      </c>
      <c r="AC2649" t="s">
        <v>53</v>
      </c>
      <c r="AD2649" t="s">
        <v>53</v>
      </c>
      <c r="AK2649">
        <v>0</v>
      </c>
      <c r="AU2649" s="6">
        <v>42094</v>
      </c>
      <c r="AV2649" s="6">
        <v>42094</v>
      </c>
      <c r="AW2649" t="s">
        <v>54</v>
      </c>
      <c r="AX2649" t="str">
        <f t="shared" si="221"/>
        <v>FOR</v>
      </c>
      <c r="AY2649" t="s">
        <v>55</v>
      </c>
    </row>
    <row r="2650" spans="1:51" hidden="1">
      <c r="A2650">
        <v>100824</v>
      </c>
      <c r="B2650" t="s">
        <v>298</v>
      </c>
      <c r="C2650" t="str">
        <f t="shared" si="222"/>
        <v>05750470634</v>
      </c>
      <c r="D2650" t="str">
        <f t="shared" si="222"/>
        <v>05750470634</v>
      </c>
      <c r="E2650" t="s">
        <v>52</v>
      </c>
      <c r="F2650">
        <v>2014</v>
      </c>
      <c r="G2650">
        <v>162</v>
      </c>
      <c r="H2650" s="1">
        <v>41773</v>
      </c>
      <c r="I2650" s="1">
        <v>41816</v>
      </c>
      <c r="J2650" s="1">
        <v>41816</v>
      </c>
      <c r="K2650" s="1">
        <v>41906</v>
      </c>
      <c r="N2650" s="5"/>
      <c r="O2650" s="2">
        <v>6035.64</v>
      </c>
      <c r="P2650">
        <v>188</v>
      </c>
      <c r="Q2650" s="2">
        <v>1134700.32</v>
      </c>
      <c r="R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 s="1">
        <v>42382</v>
      </c>
      <c r="AC2650" t="s">
        <v>53</v>
      </c>
      <c r="AD2650" t="s">
        <v>53</v>
      </c>
      <c r="AK2650">
        <v>0</v>
      </c>
      <c r="AU2650" s="6">
        <v>42094</v>
      </c>
      <c r="AV2650" s="6">
        <v>42094</v>
      </c>
      <c r="AW2650" t="s">
        <v>54</v>
      </c>
      <c r="AX2650" t="str">
        <f t="shared" si="221"/>
        <v>FOR</v>
      </c>
      <c r="AY2650" t="s">
        <v>55</v>
      </c>
    </row>
    <row r="2651" spans="1:51" hidden="1">
      <c r="A2651">
        <v>100824</v>
      </c>
      <c r="B2651" t="s">
        <v>298</v>
      </c>
      <c r="C2651" t="str">
        <f t="shared" ref="C2651:D2670" si="223">"05750470634"</f>
        <v>05750470634</v>
      </c>
      <c r="D2651" t="str">
        <f t="shared" si="223"/>
        <v>05750470634</v>
      </c>
      <c r="E2651" t="s">
        <v>52</v>
      </c>
      <c r="F2651">
        <v>2014</v>
      </c>
      <c r="G2651">
        <v>172</v>
      </c>
      <c r="H2651" s="1">
        <v>41787</v>
      </c>
      <c r="I2651" s="1">
        <v>41816</v>
      </c>
      <c r="J2651" s="1">
        <v>41816</v>
      </c>
      <c r="K2651" s="1">
        <v>41906</v>
      </c>
      <c r="N2651" s="5"/>
      <c r="O2651">
        <v>665.6</v>
      </c>
      <c r="P2651">
        <v>188</v>
      </c>
      <c r="Q2651" s="2">
        <v>125132.8</v>
      </c>
      <c r="R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 s="1">
        <v>42382</v>
      </c>
      <c r="AC2651" t="s">
        <v>53</v>
      </c>
      <c r="AD2651" t="s">
        <v>53</v>
      </c>
      <c r="AK2651">
        <v>0</v>
      </c>
      <c r="AU2651" s="6">
        <v>42094</v>
      </c>
      <c r="AV2651" s="6">
        <v>42094</v>
      </c>
      <c r="AW2651" t="s">
        <v>54</v>
      </c>
      <c r="AX2651" t="str">
        <f t="shared" si="221"/>
        <v>FOR</v>
      </c>
      <c r="AY2651" t="s">
        <v>55</v>
      </c>
    </row>
    <row r="2652" spans="1:51" hidden="1">
      <c r="A2652">
        <v>100824</v>
      </c>
      <c r="B2652" t="s">
        <v>298</v>
      </c>
      <c r="C2652" t="str">
        <f t="shared" si="223"/>
        <v>05750470634</v>
      </c>
      <c r="D2652" t="str">
        <f t="shared" si="223"/>
        <v>05750470634</v>
      </c>
      <c r="E2652" t="s">
        <v>52</v>
      </c>
      <c r="F2652">
        <v>2014</v>
      </c>
      <c r="G2652">
        <v>185</v>
      </c>
      <c r="H2652" s="1">
        <v>41789</v>
      </c>
      <c r="I2652" s="1">
        <v>41816</v>
      </c>
      <c r="J2652" s="1">
        <v>41816</v>
      </c>
      <c r="K2652" s="1">
        <v>41906</v>
      </c>
      <c r="N2652" s="5"/>
      <c r="O2652" s="2">
        <v>9739.6</v>
      </c>
      <c r="P2652">
        <v>188</v>
      </c>
      <c r="Q2652" s="2">
        <v>1831044.8</v>
      </c>
      <c r="R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 s="1">
        <v>42382</v>
      </c>
      <c r="AC2652" t="s">
        <v>53</v>
      </c>
      <c r="AD2652" t="s">
        <v>53</v>
      </c>
      <c r="AK2652">
        <v>0</v>
      </c>
      <c r="AU2652" s="6">
        <v>42094</v>
      </c>
      <c r="AV2652" s="6">
        <v>42094</v>
      </c>
      <c r="AW2652" t="s">
        <v>54</v>
      </c>
      <c r="AX2652" t="str">
        <f t="shared" si="221"/>
        <v>FOR</v>
      </c>
      <c r="AY2652" t="s">
        <v>55</v>
      </c>
    </row>
    <row r="2653" spans="1:51" hidden="1">
      <c r="A2653">
        <v>100824</v>
      </c>
      <c r="B2653" t="s">
        <v>298</v>
      </c>
      <c r="C2653" t="str">
        <f t="shared" si="223"/>
        <v>05750470634</v>
      </c>
      <c r="D2653" t="str">
        <f t="shared" si="223"/>
        <v>05750470634</v>
      </c>
      <c r="E2653" t="s">
        <v>52</v>
      </c>
      <c r="F2653">
        <v>2014</v>
      </c>
      <c r="G2653">
        <v>186</v>
      </c>
      <c r="H2653" s="1">
        <v>41789</v>
      </c>
      <c r="I2653" s="1">
        <v>41816</v>
      </c>
      <c r="J2653" s="1">
        <v>41816</v>
      </c>
      <c r="K2653" s="1">
        <v>41906</v>
      </c>
      <c r="N2653" s="5"/>
      <c r="O2653" s="2">
        <v>2991.25</v>
      </c>
      <c r="P2653">
        <v>188</v>
      </c>
      <c r="Q2653" s="2">
        <v>562355</v>
      </c>
      <c r="R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 s="1">
        <v>42382</v>
      </c>
      <c r="AC2653" t="s">
        <v>53</v>
      </c>
      <c r="AD2653" t="s">
        <v>53</v>
      </c>
      <c r="AK2653">
        <v>0</v>
      </c>
      <c r="AU2653" s="6">
        <v>42094</v>
      </c>
      <c r="AV2653" s="6">
        <v>42094</v>
      </c>
      <c r="AW2653" t="s">
        <v>54</v>
      </c>
      <c r="AX2653" t="str">
        <f t="shared" si="221"/>
        <v>FOR</v>
      </c>
      <c r="AY2653" t="s">
        <v>55</v>
      </c>
    </row>
    <row r="2654" spans="1:51" hidden="1">
      <c r="A2654">
        <v>100824</v>
      </c>
      <c r="B2654" t="s">
        <v>298</v>
      </c>
      <c r="C2654" t="str">
        <f t="shared" si="223"/>
        <v>05750470634</v>
      </c>
      <c r="D2654" t="str">
        <f t="shared" si="223"/>
        <v>05750470634</v>
      </c>
      <c r="E2654" t="s">
        <v>52</v>
      </c>
      <c r="F2654">
        <v>2014</v>
      </c>
      <c r="G2654">
        <v>194</v>
      </c>
      <c r="H2654" s="1">
        <v>41789</v>
      </c>
      <c r="I2654" s="1">
        <v>41816</v>
      </c>
      <c r="J2654" s="1">
        <v>41816</v>
      </c>
      <c r="K2654" s="1">
        <v>41906</v>
      </c>
      <c r="N2654" s="5"/>
      <c r="O2654" s="2">
        <v>6913.84</v>
      </c>
      <c r="P2654">
        <v>188</v>
      </c>
      <c r="Q2654" s="2">
        <v>1299801.92</v>
      </c>
      <c r="R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 s="1">
        <v>42382</v>
      </c>
      <c r="AC2654" t="s">
        <v>53</v>
      </c>
      <c r="AD2654" t="s">
        <v>53</v>
      </c>
      <c r="AK2654">
        <v>0</v>
      </c>
      <c r="AU2654" s="6">
        <v>42094</v>
      </c>
      <c r="AV2654" s="6">
        <v>42094</v>
      </c>
      <c r="AW2654" t="s">
        <v>54</v>
      </c>
      <c r="AX2654" t="str">
        <f t="shared" si="221"/>
        <v>FOR</v>
      </c>
      <c r="AY2654" t="s">
        <v>55</v>
      </c>
    </row>
    <row r="2655" spans="1:51" hidden="1">
      <c r="A2655">
        <v>100824</v>
      </c>
      <c r="B2655" t="s">
        <v>298</v>
      </c>
      <c r="C2655" t="str">
        <f t="shared" si="223"/>
        <v>05750470634</v>
      </c>
      <c r="D2655" t="str">
        <f t="shared" si="223"/>
        <v>05750470634</v>
      </c>
      <c r="E2655" t="s">
        <v>52</v>
      </c>
      <c r="F2655">
        <v>2014</v>
      </c>
      <c r="G2655">
        <v>201</v>
      </c>
      <c r="H2655" s="1">
        <v>41806</v>
      </c>
      <c r="I2655" s="1">
        <v>41844</v>
      </c>
      <c r="J2655" s="1">
        <v>41844</v>
      </c>
      <c r="K2655" s="1">
        <v>41934</v>
      </c>
      <c r="N2655" s="5"/>
      <c r="O2655" s="2">
        <v>3640</v>
      </c>
      <c r="P2655">
        <v>190</v>
      </c>
      <c r="Q2655" s="2">
        <v>691600</v>
      </c>
      <c r="R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 s="1">
        <v>42382</v>
      </c>
      <c r="AC2655" t="s">
        <v>53</v>
      </c>
      <c r="AD2655" t="s">
        <v>53</v>
      </c>
      <c r="AK2655">
        <v>0</v>
      </c>
      <c r="AU2655" s="6">
        <v>42124</v>
      </c>
      <c r="AV2655" s="6">
        <v>42124</v>
      </c>
      <c r="AW2655" t="s">
        <v>54</v>
      </c>
      <c r="AX2655" t="str">
        <f t="shared" si="221"/>
        <v>FOR</v>
      </c>
      <c r="AY2655" t="s">
        <v>55</v>
      </c>
    </row>
    <row r="2656" spans="1:51" hidden="1">
      <c r="A2656">
        <v>100824</v>
      </c>
      <c r="B2656" t="s">
        <v>298</v>
      </c>
      <c r="C2656" t="str">
        <f t="shared" si="223"/>
        <v>05750470634</v>
      </c>
      <c r="D2656" t="str">
        <f t="shared" si="223"/>
        <v>05750470634</v>
      </c>
      <c r="E2656" t="s">
        <v>52</v>
      </c>
      <c r="F2656">
        <v>2014</v>
      </c>
      <c r="G2656">
        <v>214</v>
      </c>
      <c r="H2656" s="1">
        <v>41815</v>
      </c>
      <c r="I2656" s="1">
        <v>41844</v>
      </c>
      <c r="J2656" s="1">
        <v>41844</v>
      </c>
      <c r="K2656" s="1">
        <v>41934</v>
      </c>
      <c r="N2656" s="5"/>
      <c r="O2656" s="2">
        <v>9844.85</v>
      </c>
      <c r="P2656">
        <v>190</v>
      </c>
      <c r="Q2656" s="2">
        <v>1870521.5</v>
      </c>
      <c r="R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 s="1">
        <v>42382</v>
      </c>
      <c r="AC2656" t="s">
        <v>53</v>
      </c>
      <c r="AD2656" t="s">
        <v>53</v>
      </c>
      <c r="AK2656">
        <v>0</v>
      </c>
      <c r="AU2656" s="6">
        <v>42124</v>
      </c>
      <c r="AV2656" s="6">
        <v>42124</v>
      </c>
      <c r="AW2656" t="s">
        <v>54</v>
      </c>
      <c r="AX2656" t="str">
        <f t="shared" si="221"/>
        <v>FOR</v>
      </c>
      <c r="AY2656" t="s">
        <v>55</v>
      </c>
    </row>
    <row r="2657" spans="1:51" hidden="1">
      <c r="A2657">
        <v>100824</v>
      </c>
      <c r="B2657" t="s">
        <v>298</v>
      </c>
      <c r="C2657" t="str">
        <f t="shared" si="223"/>
        <v>05750470634</v>
      </c>
      <c r="D2657" t="str">
        <f t="shared" si="223"/>
        <v>05750470634</v>
      </c>
      <c r="E2657" t="s">
        <v>52</v>
      </c>
      <c r="F2657">
        <v>2014</v>
      </c>
      <c r="G2657">
        <v>215</v>
      </c>
      <c r="H2657" s="1">
        <v>41815</v>
      </c>
      <c r="I2657" s="1">
        <v>41844</v>
      </c>
      <c r="J2657" s="1">
        <v>41844</v>
      </c>
      <c r="K2657" s="1">
        <v>41934</v>
      </c>
      <c r="N2657" s="5"/>
      <c r="O2657" s="2">
        <v>2983.66</v>
      </c>
      <c r="P2657">
        <v>190</v>
      </c>
      <c r="Q2657" s="2">
        <v>566895.4</v>
      </c>
      <c r="R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 s="1">
        <v>42382</v>
      </c>
      <c r="AC2657" t="s">
        <v>53</v>
      </c>
      <c r="AD2657" t="s">
        <v>53</v>
      </c>
      <c r="AK2657">
        <v>0</v>
      </c>
      <c r="AU2657" s="6">
        <v>42124</v>
      </c>
      <c r="AV2657" s="6">
        <v>42124</v>
      </c>
      <c r="AW2657" t="s">
        <v>54</v>
      </c>
      <c r="AX2657" t="str">
        <f t="shared" si="221"/>
        <v>FOR</v>
      </c>
      <c r="AY2657" t="s">
        <v>55</v>
      </c>
    </row>
    <row r="2658" spans="1:51" hidden="1">
      <c r="A2658">
        <v>100824</v>
      </c>
      <c r="B2658" t="s">
        <v>298</v>
      </c>
      <c r="C2658" t="str">
        <f t="shared" si="223"/>
        <v>05750470634</v>
      </c>
      <c r="D2658" t="str">
        <f t="shared" si="223"/>
        <v>05750470634</v>
      </c>
      <c r="E2658" t="s">
        <v>52</v>
      </c>
      <c r="F2658">
        <v>2014</v>
      </c>
      <c r="G2658">
        <v>227</v>
      </c>
      <c r="H2658" s="1">
        <v>41820</v>
      </c>
      <c r="I2658" s="1">
        <v>41844</v>
      </c>
      <c r="J2658" s="1">
        <v>41844</v>
      </c>
      <c r="K2658" s="1">
        <v>41934</v>
      </c>
      <c r="N2658" s="5"/>
      <c r="O2658" s="2">
        <v>6308.25</v>
      </c>
      <c r="P2658">
        <v>190</v>
      </c>
      <c r="Q2658" s="2">
        <v>1198567.5</v>
      </c>
      <c r="R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 s="1">
        <v>42382</v>
      </c>
      <c r="AC2658" t="s">
        <v>53</v>
      </c>
      <c r="AD2658" t="s">
        <v>53</v>
      </c>
      <c r="AK2658">
        <v>0</v>
      </c>
      <c r="AU2658" s="6">
        <v>42124</v>
      </c>
      <c r="AV2658" s="6">
        <v>42124</v>
      </c>
      <c r="AW2658" t="s">
        <v>54</v>
      </c>
      <c r="AX2658" t="str">
        <f t="shared" si="221"/>
        <v>FOR</v>
      </c>
      <c r="AY2658" t="s">
        <v>55</v>
      </c>
    </row>
    <row r="2659" spans="1:51" hidden="1">
      <c r="A2659">
        <v>100824</v>
      </c>
      <c r="B2659" t="s">
        <v>298</v>
      </c>
      <c r="C2659" t="str">
        <f t="shared" si="223"/>
        <v>05750470634</v>
      </c>
      <c r="D2659" t="str">
        <f t="shared" si="223"/>
        <v>05750470634</v>
      </c>
      <c r="E2659" t="s">
        <v>52</v>
      </c>
      <c r="F2659">
        <v>2014</v>
      </c>
      <c r="G2659">
        <v>244</v>
      </c>
      <c r="H2659" s="1">
        <v>41834</v>
      </c>
      <c r="I2659" s="1">
        <v>41877</v>
      </c>
      <c r="J2659" s="1">
        <v>41877</v>
      </c>
      <c r="K2659" s="1">
        <v>41967</v>
      </c>
      <c r="N2659" s="5"/>
      <c r="O2659" s="2">
        <v>19682.52</v>
      </c>
      <c r="P2659">
        <v>191</v>
      </c>
      <c r="Q2659" s="2">
        <v>3759361.32</v>
      </c>
      <c r="R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 s="1">
        <v>42382</v>
      </c>
      <c r="AC2659" t="s">
        <v>53</v>
      </c>
      <c r="AD2659" t="s">
        <v>53</v>
      </c>
      <c r="AK2659">
        <v>0</v>
      </c>
      <c r="AU2659" s="6">
        <v>42158</v>
      </c>
      <c r="AV2659" s="6">
        <v>42158</v>
      </c>
      <c r="AW2659" t="s">
        <v>54</v>
      </c>
      <c r="AX2659" t="str">
        <f t="shared" si="221"/>
        <v>FOR</v>
      </c>
      <c r="AY2659" t="s">
        <v>55</v>
      </c>
    </row>
    <row r="2660" spans="1:51" hidden="1">
      <c r="A2660">
        <v>100824</v>
      </c>
      <c r="B2660" t="s">
        <v>298</v>
      </c>
      <c r="C2660" t="str">
        <f t="shared" si="223"/>
        <v>05750470634</v>
      </c>
      <c r="D2660" t="str">
        <f t="shared" si="223"/>
        <v>05750470634</v>
      </c>
      <c r="E2660" t="s">
        <v>52</v>
      </c>
      <c r="F2660">
        <v>2014</v>
      </c>
      <c r="G2660">
        <v>245</v>
      </c>
      <c r="H2660" s="1">
        <v>41834</v>
      </c>
      <c r="I2660" s="1">
        <v>41878</v>
      </c>
      <c r="J2660" s="1">
        <v>41878</v>
      </c>
      <c r="K2660" s="1">
        <v>41968</v>
      </c>
      <c r="N2660" s="5"/>
      <c r="O2660" s="2">
        <v>5982.5</v>
      </c>
      <c r="P2660">
        <v>190</v>
      </c>
      <c r="Q2660" s="2">
        <v>1136675</v>
      </c>
      <c r="R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 s="1">
        <v>42382</v>
      </c>
      <c r="AC2660" t="s">
        <v>53</v>
      </c>
      <c r="AD2660" t="s">
        <v>53</v>
      </c>
      <c r="AK2660">
        <v>0</v>
      </c>
      <c r="AU2660" s="6">
        <v>42158</v>
      </c>
      <c r="AV2660" s="6">
        <v>42158</v>
      </c>
      <c r="AW2660" t="s">
        <v>54</v>
      </c>
      <c r="AX2660" t="str">
        <f t="shared" si="221"/>
        <v>FOR</v>
      </c>
      <c r="AY2660" t="s">
        <v>55</v>
      </c>
    </row>
    <row r="2661" spans="1:51" hidden="1">
      <c r="A2661">
        <v>100824</v>
      </c>
      <c r="B2661" t="s">
        <v>298</v>
      </c>
      <c r="C2661" t="str">
        <f t="shared" si="223"/>
        <v>05750470634</v>
      </c>
      <c r="D2661" t="str">
        <f t="shared" si="223"/>
        <v>05750470634</v>
      </c>
      <c r="E2661" t="s">
        <v>52</v>
      </c>
      <c r="F2661">
        <v>2014</v>
      </c>
      <c r="G2661">
        <v>267</v>
      </c>
      <c r="H2661" s="1">
        <v>41851</v>
      </c>
      <c r="I2661" s="1">
        <v>41876</v>
      </c>
      <c r="J2661" s="1">
        <v>41876</v>
      </c>
      <c r="K2661" s="1">
        <v>41966</v>
      </c>
      <c r="N2661" s="5"/>
      <c r="O2661" s="2">
        <v>6767.1</v>
      </c>
      <c r="P2661">
        <v>192</v>
      </c>
      <c r="Q2661" s="2">
        <v>1299283.2</v>
      </c>
      <c r="R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 s="1">
        <v>42382</v>
      </c>
      <c r="AC2661" t="s">
        <v>53</v>
      </c>
      <c r="AD2661" t="s">
        <v>53</v>
      </c>
      <c r="AK2661">
        <v>0</v>
      </c>
      <c r="AU2661" s="6">
        <v>42158</v>
      </c>
      <c r="AV2661" s="6">
        <v>42158</v>
      </c>
      <c r="AW2661" t="s">
        <v>54</v>
      </c>
      <c r="AX2661" t="str">
        <f t="shared" si="221"/>
        <v>FOR</v>
      </c>
      <c r="AY2661" t="s">
        <v>55</v>
      </c>
    </row>
    <row r="2662" spans="1:51" hidden="1">
      <c r="A2662">
        <v>100824</v>
      </c>
      <c r="B2662" t="s">
        <v>298</v>
      </c>
      <c r="C2662" t="str">
        <f t="shared" si="223"/>
        <v>05750470634</v>
      </c>
      <c r="D2662" t="str">
        <f t="shared" si="223"/>
        <v>05750470634</v>
      </c>
      <c r="E2662" t="s">
        <v>52</v>
      </c>
      <c r="F2662">
        <v>2014</v>
      </c>
      <c r="G2662">
        <v>273</v>
      </c>
      <c r="H2662" s="1">
        <v>41851</v>
      </c>
      <c r="I2662" s="1">
        <v>41876</v>
      </c>
      <c r="J2662" s="1">
        <v>41876</v>
      </c>
      <c r="K2662" s="1">
        <v>41966</v>
      </c>
      <c r="N2662" s="5"/>
      <c r="O2662">
        <v>544.12</v>
      </c>
      <c r="P2662">
        <v>192</v>
      </c>
      <c r="Q2662" s="2">
        <v>104471.03999999999</v>
      </c>
      <c r="R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 s="1">
        <v>42382</v>
      </c>
      <c r="AC2662" t="s">
        <v>53</v>
      </c>
      <c r="AD2662" t="s">
        <v>53</v>
      </c>
      <c r="AK2662">
        <v>0</v>
      </c>
      <c r="AU2662" s="6">
        <v>42158</v>
      </c>
      <c r="AV2662" s="6">
        <v>42158</v>
      </c>
      <c r="AW2662" t="s">
        <v>54</v>
      </c>
      <c r="AX2662" t="str">
        <f t="shared" si="221"/>
        <v>FOR</v>
      </c>
      <c r="AY2662" t="s">
        <v>55</v>
      </c>
    </row>
    <row r="2663" spans="1:51" hidden="1">
      <c r="A2663">
        <v>100824</v>
      </c>
      <c r="B2663" t="s">
        <v>298</v>
      </c>
      <c r="C2663" t="str">
        <f t="shared" si="223"/>
        <v>05750470634</v>
      </c>
      <c r="D2663" t="str">
        <f t="shared" si="223"/>
        <v>05750470634</v>
      </c>
      <c r="E2663" t="s">
        <v>52</v>
      </c>
      <c r="F2663">
        <v>2014</v>
      </c>
      <c r="G2663">
        <v>274</v>
      </c>
      <c r="H2663" s="1">
        <v>41851</v>
      </c>
      <c r="I2663" s="1">
        <v>41876</v>
      </c>
      <c r="J2663" s="1">
        <v>41876</v>
      </c>
      <c r="K2663" s="1">
        <v>41966</v>
      </c>
      <c r="N2663" s="5"/>
      <c r="O2663">
        <v>544.12</v>
      </c>
      <c r="P2663">
        <v>192</v>
      </c>
      <c r="Q2663" s="2">
        <v>104471.03999999999</v>
      </c>
      <c r="R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 s="1">
        <v>42382</v>
      </c>
      <c r="AC2663" t="s">
        <v>53</v>
      </c>
      <c r="AD2663" t="s">
        <v>53</v>
      </c>
      <c r="AK2663">
        <v>0</v>
      </c>
      <c r="AU2663" s="6">
        <v>42158</v>
      </c>
      <c r="AV2663" s="6">
        <v>42158</v>
      </c>
      <c r="AW2663" t="s">
        <v>54</v>
      </c>
      <c r="AX2663" t="str">
        <f t="shared" si="221"/>
        <v>FOR</v>
      </c>
      <c r="AY2663" t="s">
        <v>55</v>
      </c>
    </row>
    <row r="2664" spans="1:51" hidden="1">
      <c r="A2664">
        <v>100824</v>
      </c>
      <c r="B2664" t="s">
        <v>298</v>
      </c>
      <c r="C2664" t="str">
        <f t="shared" si="223"/>
        <v>05750470634</v>
      </c>
      <c r="D2664" t="str">
        <f t="shared" si="223"/>
        <v>05750470634</v>
      </c>
      <c r="E2664" t="s">
        <v>52</v>
      </c>
      <c r="F2664">
        <v>2014</v>
      </c>
      <c r="G2664">
        <v>277</v>
      </c>
      <c r="H2664" s="1">
        <v>41859</v>
      </c>
      <c r="I2664" s="1">
        <v>41932</v>
      </c>
      <c r="J2664" s="1">
        <v>41932</v>
      </c>
      <c r="K2664" s="1">
        <v>41992</v>
      </c>
      <c r="N2664" s="5"/>
      <c r="O2664" s="2">
        <v>19620.12</v>
      </c>
      <c r="P2664">
        <v>194</v>
      </c>
      <c r="Q2664" s="2">
        <v>3806303.28</v>
      </c>
      <c r="R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 s="1">
        <v>42382</v>
      </c>
      <c r="AC2664" t="s">
        <v>53</v>
      </c>
      <c r="AD2664" t="s">
        <v>53</v>
      </c>
      <c r="AK2664">
        <v>0</v>
      </c>
      <c r="AU2664" s="6">
        <v>42186</v>
      </c>
      <c r="AV2664" s="6">
        <v>42186</v>
      </c>
      <c r="AW2664" t="s">
        <v>54</v>
      </c>
      <c r="AX2664" t="str">
        <f t="shared" si="221"/>
        <v>FOR</v>
      </c>
      <c r="AY2664" t="s">
        <v>55</v>
      </c>
    </row>
    <row r="2665" spans="1:51" hidden="1">
      <c r="A2665">
        <v>100824</v>
      </c>
      <c r="B2665" t="s">
        <v>298</v>
      </c>
      <c r="C2665" t="str">
        <f t="shared" si="223"/>
        <v>05750470634</v>
      </c>
      <c r="D2665" t="str">
        <f t="shared" si="223"/>
        <v>05750470634</v>
      </c>
      <c r="E2665" t="s">
        <v>52</v>
      </c>
      <c r="F2665">
        <v>2014</v>
      </c>
      <c r="G2665">
        <v>278</v>
      </c>
      <c r="H2665" s="1">
        <v>41859</v>
      </c>
      <c r="I2665" s="1">
        <v>41932</v>
      </c>
      <c r="J2665" s="1">
        <v>41932</v>
      </c>
      <c r="K2665" s="1">
        <v>41992</v>
      </c>
      <c r="N2665" s="5"/>
      <c r="O2665" s="2">
        <v>5944.54</v>
      </c>
      <c r="P2665">
        <v>194</v>
      </c>
      <c r="Q2665" s="2">
        <v>1153240.76</v>
      </c>
      <c r="R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 s="1">
        <v>42382</v>
      </c>
      <c r="AC2665" t="s">
        <v>53</v>
      </c>
      <c r="AD2665" t="s">
        <v>53</v>
      </c>
      <c r="AK2665">
        <v>0</v>
      </c>
      <c r="AU2665" s="6">
        <v>42186</v>
      </c>
      <c r="AV2665" s="6">
        <v>42186</v>
      </c>
      <c r="AW2665" t="s">
        <v>54</v>
      </c>
      <c r="AX2665" t="str">
        <f t="shared" si="221"/>
        <v>FOR</v>
      </c>
      <c r="AY2665" t="s">
        <v>55</v>
      </c>
    </row>
    <row r="2666" spans="1:51" hidden="1">
      <c r="A2666">
        <v>100824</v>
      </c>
      <c r="B2666" t="s">
        <v>298</v>
      </c>
      <c r="C2666" t="str">
        <f t="shared" si="223"/>
        <v>05750470634</v>
      </c>
      <c r="D2666" t="str">
        <f t="shared" si="223"/>
        <v>05750470634</v>
      </c>
      <c r="E2666" t="s">
        <v>52</v>
      </c>
      <c r="F2666">
        <v>2014</v>
      </c>
      <c r="G2666">
        <v>284</v>
      </c>
      <c r="H2666" s="1">
        <v>41881</v>
      </c>
      <c r="I2666" s="1">
        <v>41932</v>
      </c>
      <c r="J2666" s="1">
        <v>41932</v>
      </c>
      <c r="K2666" s="1">
        <v>41992</v>
      </c>
      <c r="N2666" s="5"/>
      <c r="O2666" s="2">
        <v>2674.75</v>
      </c>
      <c r="P2666">
        <v>194</v>
      </c>
      <c r="Q2666" s="2">
        <v>518901.5</v>
      </c>
      <c r="R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 s="1">
        <v>42382</v>
      </c>
      <c r="AC2666" t="s">
        <v>53</v>
      </c>
      <c r="AD2666" t="s">
        <v>53</v>
      </c>
      <c r="AK2666">
        <v>0</v>
      </c>
      <c r="AU2666" s="6">
        <v>42186</v>
      </c>
      <c r="AV2666" s="6">
        <v>42186</v>
      </c>
      <c r="AW2666" t="s">
        <v>54</v>
      </c>
      <c r="AX2666" t="str">
        <f t="shared" si="221"/>
        <v>FOR</v>
      </c>
      <c r="AY2666" t="s">
        <v>55</v>
      </c>
    </row>
    <row r="2667" spans="1:51" hidden="1">
      <c r="A2667">
        <v>100824</v>
      </c>
      <c r="B2667" t="s">
        <v>298</v>
      </c>
      <c r="C2667" t="str">
        <f t="shared" si="223"/>
        <v>05750470634</v>
      </c>
      <c r="D2667" t="str">
        <f t="shared" si="223"/>
        <v>05750470634</v>
      </c>
      <c r="E2667" t="s">
        <v>52</v>
      </c>
      <c r="F2667">
        <v>2014</v>
      </c>
      <c r="G2667">
        <v>288</v>
      </c>
      <c r="H2667" s="1">
        <v>41883</v>
      </c>
      <c r="I2667" s="1">
        <v>41932</v>
      </c>
      <c r="J2667" s="1">
        <v>41932</v>
      </c>
      <c r="K2667" s="1">
        <v>41992</v>
      </c>
      <c r="N2667" s="5"/>
      <c r="O2667" s="2">
        <v>1714.1</v>
      </c>
      <c r="P2667">
        <v>258</v>
      </c>
      <c r="Q2667" s="2">
        <v>442237.8</v>
      </c>
      <c r="R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 s="1">
        <v>42382</v>
      </c>
      <c r="AC2667" t="s">
        <v>53</v>
      </c>
      <c r="AD2667" t="s">
        <v>53</v>
      </c>
      <c r="AK2667">
        <v>0</v>
      </c>
      <c r="AU2667" s="6">
        <v>42250</v>
      </c>
      <c r="AV2667" s="6">
        <v>42250</v>
      </c>
      <c r="AW2667" t="s">
        <v>54</v>
      </c>
      <c r="AX2667" t="str">
        <f t="shared" si="221"/>
        <v>FOR</v>
      </c>
      <c r="AY2667" t="s">
        <v>55</v>
      </c>
    </row>
    <row r="2668" spans="1:51" hidden="1">
      <c r="A2668">
        <v>100824</v>
      </c>
      <c r="B2668" t="s">
        <v>298</v>
      </c>
      <c r="C2668" t="str">
        <f t="shared" si="223"/>
        <v>05750470634</v>
      </c>
      <c r="D2668" t="str">
        <f t="shared" si="223"/>
        <v>05750470634</v>
      </c>
      <c r="E2668" t="s">
        <v>52</v>
      </c>
      <c r="F2668">
        <v>2014</v>
      </c>
      <c r="G2668">
        <v>299</v>
      </c>
      <c r="H2668" s="1">
        <v>41899</v>
      </c>
      <c r="I2668" s="1">
        <v>41932</v>
      </c>
      <c r="J2668" s="1">
        <v>41932</v>
      </c>
      <c r="K2668" s="1">
        <v>41992</v>
      </c>
      <c r="N2668" s="5"/>
      <c r="O2668" s="2">
        <v>4434.5600000000004</v>
      </c>
      <c r="P2668">
        <v>258</v>
      </c>
      <c r="Q2668" s="2">
        <v>1144116.48</v>
      </c>
      <c r="R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 s="1">
        <v>42382</v>
      </c>
      <c r="AC2668" t="s">
        <v>53</v>
      </c>
      <c r="AD2668" t="s">
        <v>53</v>
      </c>
      <c r="AK2668">
        <v>0</v>
      </c>
      <c r="AU2668" s="6">
        <v>42250</v>
      </c>
      <c r="AV2668" s="6">
        <v>42250</v>
      </c>
      <c r="AW2668" t="s">
        <v>54</v>
      </c>
      <c r="AX2668" t="str">
        <f t="shared" si="221"/>
        <v>FOR</v>
      </c>
      <c r="AY2668" t="s">
        <v>55</v>
      </c>
    </row>
    <row r="2669" spans="1:51" hidden="1">
      <c r="A2669">
        <v>100824</v>
      </c>
      <c r="B2669" t="s">
        <v>298</v>
      </c>
      <c r="C2669" t="str">
        <f t="shared" si="223"/>
        <v>05750470634</v>
      </c>
      <c r="D2669" t="str">
        <f t="shared" si="223"/>
        <v>05750470634</v>
      </c>
      <c r="E2669" t="s">
        <v>52</v>
      </c>
      <c r="F2669">
        <v>2014</v>
      </c>
      <c r="G2669">
        <v>300</v>
      </c>
      <c r="H2669" s="1">
        <v>41899</v>
      </c>
      <c r="I2669" s="1">
        <v>41932</v>
      </c>
      <c r="J2669" s="1">
        <v>41932</v>
      </c>
      <c r="K2669" s="1">
        <v>41992</v>
      </c>
      <c r="N2669" s="5"/>
      <c r="O2669" s="2">
        <v>1442.48</v>
      </c>
      <c r="P2669">
        <v>258</v>
      </c>
      <c r="Q2669" s="2">
        <v>372159.84</v>
      </c>
      <c r="R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 s="1">
        <v>42382</v>
      </c>
      <c r="AC2669" t="s">
        <v>53</v>
      </c>
      <c r="AD2669" t="s">
        <v>53</v>
      </c>
      <c r="AK2669">
        <v>0</v>
      </c>
      <c r="AU2669" s="6">
        <v>42250</v>
      </c>
      <c r="AV2669" s="6">
        <v>42250</v>
      </c>
      <c r="AW2669" t="s">
        <v>54</v>
      </c>
      <c r="AX2669" t="str">
        <f t="shared" si="221"/>
        <v>FOR</v>
      </c>
      <c r="AY2669" t="s">
        <v>55</v>
      </c>
    </row>
    <row r="2670" spans="1:51" hidden="1">
      <c r="A2670">
        <v>100824</v>
      </c>
      <c r="B2670" t="s">
        <v>298</v>
      </c>
      <c r="C2670" t="str">
        <f t="shared" si="223"/>
        <v>05750470634</v>
      </c>
      <c r="D2670" t="str">
        <f t="shared" si="223"/>
        <v>05750470634</v>
      </c>
      <c r="E2670" t="s">
        <v>52</v>
      </c>
      <c r="F2670">
        <v>2014</v>
      </c>
      <c r="G2670">
        <v>315</v>
      </c>
      <c r="H2670" s="1">
        <v>41911</v>
      </c>
      <c r="I2670" s="1">
        <v>41932</v>
      </c>
      <c r="J2670" s="1">
        <v>41932</v>
      </c>
      <c r="K2670" s="1">
        <v>41992</v>
      </c>
      <c r="N2670" s="5"/>
      <c r="O2670" s="2">
        <v>17588.48</v>
      </c>
      <c r="P2670">
        <v>258</v>
      </c>
      <c r="Q2670" s="2">
        <v>4537827.84</v>
      </c>
      <c r="R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 s="1">
        <v>42382</v>
      </c>
      <c r="AC2670" t="s">
        <v>53</v>
      </c>
      <c r="AD2670" t="s">
        <v>53</v>
      </c>
      <c r="AK2670">
        <v>0</v>
      </c>
      <c r="AU2670" s="6">
        <v>42250</v>
      </c>
      <c r="AV2670" s="6">
        <v>42250</v>
      </c>
      <c r="AW2670" t="s">
        <v>54</v>
      </c>
      <c r="AX2670" t="str">
        <f t="shared" si="221"/>
        <v>FOR</v>
      </c>
      <c r="AY2670" t="s">
        <v>55</v>
      </c>
    </row>
    <row r="2671" spans="1:51" hidden="1">
      <c r="A2671">
        <v>100824</v>
      </c>
      <c r="B2671" t="s">
        <v>298</v>
      </c>
      <c r="C2671" t="str">
        <f t="shared" ref="C2671:D2686" si="224">"05750470634"</f>
        <v>05750470634</v>
      </c>
      <c r="D2671" t="str">
        <f t="shared" si="224"/>
        <v>05750470634</v>
      </c>
      <c r="E2671" t="s">
        <v>52</v>
      </c>
      <c r="F2671">
        <v>2014</v>
      </c>
      <c r="G2671">
        <v>316</v>
      </c>
      <c r="H2671" s="1">
        <v>41911</v>
      </c>
      <c r="I2671" s="1">
        <v>41932</v>
      </c>
      <c r="J2671" s="1">
        <v>41932</v>
      </c>
      <c r="K2671" s="1">
        <v>41992</v>
      </c>
      <c r="N2671" s="5"/>
      <c r="O2671" s="2">
        <v>5944.54</v>
      </c>
      <c r="P2671">
        <v>258</v>
      </c>
      <c r="Q2671" s="2">
        <v>1533691.32</v>
      </c>
      <c r="R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 s="1">
        <v>42382</v>
      </c>
      <c r="AC2671" t="s">
        <v>53</v>
      </c>
      <c r="AD2671" t="s">
        <v>53</v>
      </c>
      <c r="AK2671">
        <v>0</v>
      </c>
      <c r="AU2671" s="6">
        <v>42250</v>
      </c>
      <c r="AV2671" s="6">
        <v>42250</v>
      </c>
      <c r="AW2671" t="s">
        <v>54</v>
      </c>
      <c r="AX2671" t="str">
        <f t="shared" si="221"/>
        <v>FOR</v>
      </c>
      <c r="AY2671" t="s">
        <v>55</v>
      </c>
    </row>
    <row r="2672" spans="1:51" hidden="1">
      <c r="A2672">
        <v>100824</v>
      </c>
      <c r="B2672" t="s">
        <v>298</v>
      </c>
      <c r="C2672" t="str">
        <f t="shared" si="224"/>
        <v>05750470634</v>
      </c>
      <c r="D2672" t="str">
        <f t="shared" si="224"/>
        <v>05750470634</v>
      </c>
      <c r="E2672" t="s">
        <v>52</v>
      </c>
      <c r="F2672">
        <v>2014</v>
      </c>
      <c r="G2672">
        <v>326</v>
      </c>
      <c r="H2672" s="1">
        <v>41912</v>
      </c>
      <c r="I2672" s="1">
        <v>41932</v>
      </c>
      <c r="J2672" s="1">
        <v>41932</v>
      </c>
      <c r="K2672" s="1">
        <v>41992</v>
      </c>
      <c r="N2672" s="5"/>
      <c r="O2672" s="2">
        <v>5225.58</v>
      </c>
      <c r="P2672">
        <v>258</v>
      </c>
      <c r="Q2672" s="2">
        <v>1348199.64</v>
      </c>
      <c r="R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 s="1">
        <v>42382</v>
      </c>
      <c r="AC2672" t="s">
        <v>53</v>
      </c>
      <c r="AD2672" t="s">
        <v>53</v>
      </c>
      <c r="AK2672">
        <v>0</v>
      </c>
      <c r="AU2672" s="6">
        <v>42250</v>
      </c>
      <c r="AV2672" s="6">
        <v>42250</v>
      </c>
      <c r="AW2672" t="s">
        <v>54</v>
      </c>
      <c r="AX2672" t="str">
        <f t="shared" si="221"/>
        <v>FOR</v>
      </c>
      <c r="AY2672" t="s">
        <v>55</v>
      </c>
    </row>
    <row r="2673" spans="1:51" hidden="1">
      <c r="A2673">
        <v>100824</v>
      </c>
      <c r="B2673" t="s">
        <v>298</v>
      </c>
      <c r="C2673" t="str">
        <f t="shared" si="224"/>
        <v>05750470634</v>
      </c>
      <c r="D2673" t="str">
        <f t="shared" si="224"/>
        <v>05750470634</v>
      </c>
      <c r="E2673" t="s">
        <v>52</v>
      </c>
      <c r="F2673">
        <v>2014</v>
      </c>
      <c r="G2673">
        <v>327</v>
      </c>
      <c r="H2673" s="1">
        <v>41912</v>
      </c>
      <c r="I2673" s="1">
        <v>41932</v>
      </c>
      <c r="J2673" s="1">
        <v>41932</v>
      </c>
      <c r="K2673" s="1">
        <v>41992</v>
      </c>
      <c r="N2673" s="5"/>
      <c r="O2673" s="2">
        <v>4226.08</v>
      </c>
      <c r="P2673">
        <v>258</v>
      </c>
      <c r="Q2673" s="2">
        <v>1090328.6399999999</v>
      </c>
      <c r="R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 s="1">
        <v>42382</v>
      </c>
      <c r="AC2673" t="s">
        <v>53</v>
      </c>
      <c r="AD2673" t="s">
        <v>53</v>
      </c>
      <c r="AK2673">
        <v>0</v>
      </c>
      <c r="AU2673" s="6">
        <v>42250</v>
      </c>
      <c r="AV2673" s="6">
        <v>42250</v>
      </c>
      <c r="AW2673" t="s">
        <v>54</v>
      </c>
      <c r="AX2673" t="str">
        <f t="shared" si="221"/>
        <v>FOR</v>
      </c>
      <c r="AY2673" t="s">
        <v>55</v>
      </c>
    </row>
    <row r="2674" spans="1:51" hidden="1">
      <c r="A2674">
        <v>100824</v>
      </c>
      <c r="B2674" t="s">
        <v>298</v>
      </c>
      <c r="C2674" t="str">
        <f t="shared" si="224"/>
        <v>05750470634</v>
      </c>
      <c r="D2674" t="str">
        <f t="shared" si="224"/>
        <v>05750470634</v>
      </c>
      <c r="E2674" t="s">
        <v>52</v>
      </c>
      <c r="F2674">
        <v>2014</v>
      </c>
      <c r="G2674">
        <v>334</v>
      </c>
      <c r="H2674" s="1">
        <v>41932</v>
      </c>
      <c r="I2674" s="1">
        <v>41967</v>
      </c>
      <c r="J2674" s="1">
        <v>41967</v>
      </c>
      <c r="K2674" s="1">
        <v>42027</v>
      </c>
      <c r="N2674" s="5"/>
      <c r="O2674" s="2">
        <v>17746.560000000001</v>
      </c>
      <c r="P2674">
        <v>250</v>
      </c>
      <c r="Q2674" s="2">
        <v>4436640</v>
      </c>
      <c r="R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 s="1">
        <v>42382</v>
      </c>
      <c r="AC2674" t="s">
        <v>53</v>
      </c>
      <c r="AD2674" t="s">
        <v>53</v>
      </c>
      <c r="AK2674">
        <v>0</v>
      </c>
      <c r="AU2674" s="6">
        <v>42277</v>
      </c>
      <c r="AV2674" s="6">
        <v>42277</v>
      </c>
      <c r="AW2674" t="s">
        <v>54</v>
      </c>
      <c r="AX2674" t="str">
        <f t="shared" si="221"/>
        <v>FOR</v>
      </c>
      <c r="AY2674" t="s">
        <v>55</v>
      </c>
    </row>
    <row r="2675" spans="1:51" hidden="1">
      <c r="A2675">
        <v>100824</v>
      </c>
      <c r="B2675" t="s">
        <v>298</v>
      </c>
      <c r="C2675" t="str">
        <f t="shared" si="224"/>
        <v>05750470634</v>
      </c>
      <c r="D2675" t="str">
        <f t="shared" si="224"/>
        <v>05750470634</v>
      </c>
      <c r="E2675" t="s">
        <v>52</v>
      </c>
      <c r="F2675">
        <v>2014</v>
      </c>
      <c r="G2675">
        <v>335</v>
      </c>
      <c r="H2675" s="1">
        <v>41932</v>
      </c>
      <c r="I2675" s="1">
        <v>41964</v>
      </c>
      <c r="J2675" s="1">
        <v>41964</v>
      </c>
      <c r="K2675" s="1">
        <v>42024</v>
      </c>
      <c r="N2675" s="5"/>
      <c r="O2675" s="2">
        <v>5633.26</v>
      </c>
      <c r="P2675">
        <v>253</v>
      </c>
      <c r="Q2675" s="2">
        <v>1425214.78</v>
      </c>
      <c r="R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 s="1">
        <v>42382</v>
      </c>
      <c r="AC2675" t="s">
        <v>53</v>
      </c>
      <c r="AD2675" t="s">
        <v>53</v>
      </c>
      <c r="AK2675">
        <v>0</v>
      </c>
      <c r="AU2675" s="6">
        <v>42277</v>
      </c>
      <c r="AV2675" s="6">
        <v>42277</v>
      </c>
      <c r="AW2675" t="s">
        <v>54</v>
      </c>
      <c r="AX2675" t="str">
        <f t="shared" si="221"/>
        <v>FOR</v>
      </c>
      <c r="AY2675" t="s">
        <v>55</v>
      </c>
    </row>
    <row r="2676" spans="1:51" hidden="1">
      <c r="A2676">
        <v>100824</v>
      </c>
      <c r="B2676" t="s">
        <v>298</v>
      </c>
      <c r="C2676" t="str">
        <f t="shared" si="224"/>
        <v>05750470634</v>
      </c>
      <c r="D2676" t="str">
        <f t="shared" si="224"/>
        <v>05750470634</v>
      </c>
      <c r="E2676" t="s">
        <v>52</v>
      </c>
      <c r="F2676">
        <v>2014</v>
      </c>
      <c r="G2676">
        <v>357</v>
      </c>
      <c r="H2676" s="1">
        <v>41943</v>
      </c>
      <c r="I2676" s="1">
        <v>41964</v>
      </c>
      <c r="J2676" s="1">
        <v>41964</v>
      </c>
      <c r="K2676" s="1">
        <v>42024</v>
      </c>
      <c r="N2676" s="5"/>
      <c r="O2676" s="2">
        <v>12840.5</v>
      </c>
      <c r="P2676">
        <v>253</v>
      </c>
      <c r="Q2676" s="2">
        <v>3248646.5</v>
      </c>
      <c r="R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 s="1">
        <v>42382</v>
      </c>
      <c r="AC2676" t="s">
        <v>53</v>
      </c>
      <c r="AD2676" t="s">
        <v>53</v>
      </c>
      <c r="AK2676">
        <v>0</v>
      </c>
      <c r="AU2676" s="6">
        <v>42277</v>
      </c>
      <c r="AV2676" s="6">
        <v>42277</v>
      </c>
      <c r="AW2676" t="s">
        <v>54</v>
      </c>
      <c r="AX2676" t="str">
        <f t="shared" si="221"/>
        <v>FOR</v>
      </c>
      <c r="AY2676" t="s">
        <v>55</v>
      </c>
    </row>
    <row r="2677" spans="1:51" hidden="1">
      <c r="A2677">
        <v>100824</v>
      </c>
      <c r="B2677" t="s">
        <v>298</v>
      </c>
      <c r="C2677" t="str">
        <f t="shared" si="224"/>
        <v>05750470634</v>
      </c>
      <c r="D2677" t="str">
        <f t="shared" si="224"/>
        <v>05750470634</v>
      </c>
      <c r="E2677" t="s">
        <v>52</v>
      </c>
      <c r="F2677">
        <v>2014</v>
      </c>
      <c r="G2677">
        <v>358</v>
      </c>
      <c r="H2677" s="1">
        <v>41943</v>
      </c>
      <c r="I2677" s="1">
        <v>41964</v>
      </c>
      <c r="J2677" s="1">
        <v>41964</v>
      </c>
      <c r="K2677" s="1">
        <v>42024</v>
      </c>
      <c r="N2677" s="5"/>
      <c r="O2677" s="2">
        <v>4713.97</v>
      </c>
      <c r="P2677">
        <v>253</v>
      </c>
      <c r="Q2677" s="2">
        <v>1192634.4099999999</v>
      </c>
      <c r="R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 s="1">
        <v>42382</v>
      </c>
      <c r="AC2677" t="s">
        <v>53</v>
      </c>
      <c r="AD2677" t="s">
        <v>53</v>
      </c>
      <c r="AK2677">
        <v>0</v>
      </c>
      <c r="AU2677" s="6">
        <v>42277</v>
      </c>
      <c r="AV2677" s="6">
        <v>42277</v>
      </c>
      <c r="AW2677" t="s">
        <v>54</v>
      </c>
      <c r="AX2677" t="str">
        <f t="shared" si="221"/>
        <v>FOR</v>
      </c>
      <c r="AY2677" t="s">
        <v>55</v>
      </c>
    </row>
    <row r="2678" spans="1:51" hidden="1">
      <c r="A2678">
        <v>100824</v>
      </c>
      <c r="B2678" t="s">
        <v>298</v>
      </c>
      <c r="C2678" t="str">
        <f t="shared" si="224"/>
        <v>05750470634</v>
      </c>
      <c r="D2678" t="str">
        <f t="shared" si="224"/>
        <v>05750470634</v>
      </c>
      <c r="E2678" t="s">
        <v>52</v>
      </c>
      <c r="F2678">
        <v>2014</v>
      </c>
      <c r="G2678">
        <v>359</v>
      </c>
      <c r="H2678" s="1">
        <v>41943</v>
      </c>
      <c r="I2678" s="1">
        <v>41964</v>
      </c>
      <c r="J2678" s="1">
        <v>41964</v>
      </c>
      <c r="K2678" s="1">
        <v>42024</v>
      </c>
      <c r="N2678" s="5"/>
      <c r="O2678" s="2">
        <v>7330.24</v>
      </c>
      <c r="P2678">
        <v>253</v>
      </c>
      <c r="Q2678" s="2">
        <v>1854550.72</v>
      </c>
      <c r="R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 s="1">
        <v>42382</v>
      </c>
      <c r="AC2678" t="s">
        <v>53</v>
      </c>
      <c r="AD2678" t="s">
        <v>53</v>
      </c>
      <c r="AK2678">
        <v>0</v>
      </c>
      <c r="AU2678" s="6">
        <v>42277</v>
      </c>
      <c r="AV2678" s="6">
        <v>42277</v>
      </c>
      <c r="AW2678" t="s">
        <v>54</v>
      </c>
      <c r="AX2678" t="str">
        <f t="shared" si="221"/>
        <v>FOR</v>
      </c>
      <c r="AY2678" t="s">
        <v>55</v>
      </c>
    </row>
    <row r="2679" spans="1:51" hidden="1">
      <c r="A2679">
        <v>100824</v>
      </c>
      <c r="B2679" t="s">
        <v>298</v>
      </c>
      <c r="C2679" t="str">
        <f t="shared" si="224"/>
        <v>05750470634</v>
      </c>
      <c r="D2679" t="str">
        <f t="shared" si="224"/>
        <v>05750470634</v>
      </c>
      <c r="E2679" t="s">
        <v>52</v>
      </c>
      <c r="F2679">
        <v>2014</v>
      </c>
      <c r="G2679">
        <v>370</v>
      </c>
      <c r="H2679" s="1">
        <v>41956</v>
      </c>
      <c r="I2679" s="1">
        <v>42002</v>
      </c>
      <c r="J2679" s="1">
        <v>42002</v>
      </c>
      <c r="K2679" s="1">
        <v>42062</v>
      </c>
      <c r="N2679" s="5"/>
      <c r="O2679" s="2">
        <v>5543.68</v>
      </c>
      <c r="P2679">
        <v>215</v>
      </c>
      <c r="Q2679" s="2">
        <v>1191891.2</v>
      </c>
      <c r="R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 s="1">
        <v>42382</v>
      </c>
      <c r="AC2679" t="s">
        <v>53</v>
      </c>
      <c r="AD2679" t="s">
        <v>53</v>
      </c>
      <c r="AK2679">
        <v>0</v>
      </c>
      <c r="AU2679" s="6">
        <v>42277</v>
      </c>
      <c r="AV2679" s="6">
        <v>42277</v>
      </c>
      <c r="AW2679" t="s">
        <v>54</v>
      </c>
      <c r="AX2679" t="str">
        <f t="shared" si="221"/>
        <v>FOR</v>
      </c>
      <c r="AY2679" t="s">
        <v>55</v>
      </c>
    </row>
    <row r="2680" spans="1:51">
      <c r="A2680">
        <v>100824</v>
      </c>
      <c r="B2680" t="s">
        <v>298</v>
      </c>
      <c r="C2680" t="str">
        <f t="shared" si="224"/>
        <v>05750470634</v>
      </c>
      <c r="D2680" t="str">
        <f t="shared" si="224"/>
        <v>05750470634</v>
      </c>
      <c r="E2680" t="s">
        <v>52</v>
      </c>
      <c r="F2680">
        <v>2014</v>
      </c>
      <c r="G2680">
        <v>371</v>
      </c>
      <c r="H2680" s="1">
        <v>41960</v>
      </c>
      <c r="I2680" s="1">
        <v>42002</v>
      </c>
      <c r="J2680" s="1">
        <v>42002</v>
      </c>
      <c r="K2680" s="1">
        <v>42062</v>
      </c>
      <c r="L2680" s="7">
        <v>29013.919999999998</v>
      </c>
      <c r="M2680" s="5">
        <v>291</v>
      </c>
      <c r="N2680" s="7">
        <v>8443050.7200000007</v>
      </c>
      <c r="O2680" s="2">
        <v>29013.919999999998</v>
      </c>
      <c r="P2680">
        <v>291</v>
      </c>
      <c r="Q2680" s="2">
        <v>8443050.7200000007</v>
      </c>
      <c r="R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 s="1">
        <v>42382</v>
      </c>
      <c r="AC2680" t="s">
        <v>53</v>
      </c>
      <c r="AD2680" t="s">
        <v>53</v>
      </c>
      <c r="AK2680">
        <v>0</v>
      </c>
      <c r="AU2680" s="6">
        <v>42353</v>
      </c>
      <c r="AV2680" s="6">
        <v>42353</v>
      </c>
      <c r="AW2680" t="s">
        <v>54</v>
      </c>
      <c r="AX2680" t="str">
        <f t="shared" si="221"/>
        <v>FOR</v>
      </c>
      <c r="AY2680" t="s">
        <v>55</v>
      </c>
    </row>
    <row r="2681" spans="1:51" hidden="1">
      <c r="A2681">
        <v>100824</v>
      </c>
      <c r="B2681" t="s">
        <v>298</v>
      </c>
      <c r="C2681" t="str">
        <f t="shared" si="224"/>
        <v>05750470634</v>
      </c>
      <c r="D2681" t="str">
        <f t="shared" si="224"/>
        <v>05750470634</v>
      </c>
      <c r="E2681" t="s">
        <v>52</v>
      </c>
      <c r="F2681">
        <v>2014</v>
      </c>
      <c r="G2681">
        <v>373</v>
      </c>
      <c r="H2681" s="1">
        <v>41960</v>
      </c>
      <c r="I2681" s="1">
        <v>42002</v>
      </c>
      <c r="J2681" s="1">
        <v>42002</v>
      </c>
      <c r="K2681" s="1">
        <v>42062</v>
      </c>
      <c r="N2681" s="5"/>
      <c r="O2681" s="2">
        <v>1830</v>
      </c>
      <c r="P2681">
        <v>215</v>
      </c>
      <c r="Q2681" s="2">
        <v>393450</v>
      </c>
      <c r="R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 s="1">
        <v>42382</v>
      </c>
      <c r="AC2681" t="s">
        <v>53</v>
      </c>
      <c r="AD2681" t="s">
        <v>53</v>
      </c>
      <c r="AK2681">
        <v>0</v>
      </c>
      <c r="AU2681" s="6">
        <v>42277</v>
      </c>
      <c r="AV2681" s="6">
        <v>42277</v>
      </c>
      <c r="AW2681" t="s">
        <v>54</v>
      </c>
      <c r="AX2681" t="str">
        <f t="shared" si="221"/>
        <v>FOR</v>
      </c>
      <c r="AY2681" t="s">
        <v>55</v>
      </c>
    </row>
    <row r="2682" spans="1:51" hidden="1">
      <c r="A2682">
        <v>100824</v>
      </c>
      <c r="B2682" t="s">
        <v>298</v>
      </c>
      <c r="C2682" t="str">
        <f t="shared" si="224"/>
        <v>05750470634</v>
      </c>
      <c r="D2682" t="str">
        <f t="shared" si="224"/>
        <v>05750470634</v>
      </c>
      <c r="E2682" t="s">
        <v>52</v>
      </c>
      <c r="F2682">
        <v>2014</v>
      </c>
      <c r="G2682">
        <v>386</v>
      </c>
      <c r="H2682" s="1">
        <v>41971</v>
      </c>
      <c r="I2682" s="1">
        <v>42002</v>
      </c>
      <c r="J2682" s="1">
        <v>42002</v>
      </c>
      <c r="K2682" s="1">
        <v>42062</v>
      </c>
      <c r="N2682" s="5"/>
      <c r="O2682" s="2">
        <v>4280.17</v>
      </c>
      <c r="P2682">
        <v>215</v>
      </c>
      <c r="Q2682" s="2">
        <v>920236.55</v>
      </c>
      <c r="R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 s="1">
        <v>42382</v>
      </c>
      <c r="AC2682" t="s">
        <v>53</v>
      </c>
      <c r="AD2682" t="s">
        <v>53</v>
      </c>
      <c r="AK2682">
        <v>0</v>
      </c>
      <c r="AU2682" s="6">
        <v>42277</v>
      </c>
      <c r="AV2682" s="6">
        <v>42277</v>
      </c>
      <c r="AW2682" t="s">
        <v>54</v>
      </c>
      <c r="AX2682" t="str">
        <f t="shared" si="221"/>
        <v>FOR</v>
      </c>
      <c r="AY2682" t="s">
        <v>55</v>
      </c>
    </row>
    <row r="2683" spans="1:51" hidden="1">
      <c r="A2683">
        <v>100824</v>
      </c>
      <c r="B2683" t="s">
        <v>298</v>
      </c>
      <c r="C2683" t="str">
        <f t="shared" si="224"/>
        <v>05750470634</v>
      </c>
      <c r="D2683" t="str">
        <f t="shared" si="224"/>
        <v>05750470634</v>
      </c>
      <c r="E2683" t="s">
        <v>52</v>
      </c>
      <c r="F2683">
        <v>2014</v>
      </c>
      <c r="G2683">
        <v>387</v>
      </c>
      <c r="H2683" s="1">
        <v>41972</v>
      </c>
      <c r="I2683" s="1">
        <v>42002</v>
      </c>
      <c r="J2683" s="1">
        <v>42002</v>
      </c>
      <c r="K2683" s="1">
        <v>42062</v>
      </c>
      <c r="N2683" s="5"/>
      <c r="O2683" s="2">
        <v>5974.02</v>
      </c>
      <c r="P2683">
        <v>215</v>
      </c>
      <c r="Q2683" s="2">
        <v>1284414.3</v>
      </c>
      <c r="R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 s="1">
        <v>42382</v>
      </c>
      <c r="AC2683" t="s">
        <v>53</v>
      </c>
      <c r="AD2683" t="s">
        <v>53</v>
      </c>
      <c r="AK2683">
        <v>0</v>
      </c>
      <c r="AU2683" s="6">
        <v>42277</v>
      </c>
      <c r="AV2683" s="6">
        <v>42277</v>
      </c>
      <c r="AW2683" t="s">
        <v>54</v>
      </c>
      <c r="AX2683" t="str">
        <f t="shared" si="221"/>
        <v>FOR</v>
      </c>
      <c r="AY2683" t="s">
        <v>55</v>
      </c>
    </row>
    <row r="2684" spans="1:51">
      <c r="A2684">
        <v>100824</v>
      </c>
      <c r="B2684" t="s">
        <v>298</v>
      </c>
      <c r="C2684" t="str">
        <f t="shared" si="224"/>
        <v>05750470634</v>
      </c>
      <c r="D2684" t="str">
        <f t="shared" si="224"/>
        <v>05750470634</v>
      </c>
      <c r="E2684" t="s">
        <v>52</v>
      </c>
      <c r="F2684">
        <v>2014</v>
      </c>
      <c r="G2684">
        <v>413</v>
      </c>
      <c r="H2684" s="1">
        <v>42004</v>
      </c>
      <c r="I2684" s="1">
        <v>42032</v>
      </c>
      <c r="J2684" s="1">
        <v>42032</v>
      </c>
      <c r="K2684" s="1">
        <v>42092</v>
      </c>
      <c r="L2684" s="7">
        <v>3684.06</v>
      </c>
      <c r="M2684" s="5">
        <v>261</v>
      </c>
      <c r="N2684" s="7">
        <v>961539.66</v>
      </c>
      <c r="O2684" s="2">
        <v>3684.06</v>
      </c>
      <c r="P2684">
        <v>261</v>
      </c>
      <c r="Q2684" s="2">
        <v>961539.66</v>
      </c>
      <c r="R2684">
        <v>0</v>
      </c>
      <c r="V2684">
        <v>0</v>
      </c>
      <c r="W2684">
        <v>0</v>
      </c>
      <c r="X2684">
        <v>0</v>
      </c>
      <c r="Y2684">
        <v>0</v>
      </c>
      <c r="Z2684" s="2">
        <v>3684.06</v>
      </c>
      <c r="AA2684">
        <v>0</v>
      </c>
      <c r="AB2684" s="1">
        <v>42382</v>
      </c>
      <c r="AC2684" t="s">
        <v>53</v>
      </c>
      <c r="AD2684" t="s">
        <v>53</v>
      </c>
      <c r="AK2684">
        <v>0</v>
      </c>
      <c r="AU2684" s="6">
        <v>42353</v>
      </c>
      <c r="AV2684" s="6">
        <v>42353</v>
      </c>
      <c r="AW2684" t="s">
        <v>54</v>
      </c>
      <c r="AX2684" t="str">
        <f t="shared" si="221"/>
        <v>FOR</v>
      </c>
      <c r="AY2684" t="s">
        <v>55</v>
      </c>
    </row>
    <row r="2685" spans="1:51">
      <c r="A2685">
        <v>100824</v>
      </c>
      <c r="B2685" t="s">
        <v>298</v>
      </c>
      <c r="C2685" t="str">
        <f t="shared" si="224"/>
        <v>05750470634</v>
      </c>
      <c r="D2685" t="str">
        <f t="shared" si="224"/>
        <v>05750470634</v>
      </c>
      <c r="E2685" t="s">
        <v>52</v>
      </c>
      <c r="F2685">
        <v>2015</v>
      </c>
      <c r="G2685">
        <v>26</v>
      </c>
      <c r="H2685" s="1">
        <v>42035</v>
      </c>
      <c r="I2685" s="1">
        <v>42088</v>
      </c>
      <c r="J2685" s="1">
        <v>42088</v>
      </c>
      <c r="K2685" s="1">
        <v>42148</v>
      </c>
      <c r="L2685" s="7">
        <v>7016.67</v>
      </c>
      <c r="M2685" s="5">
        <v>205</v>
      </c>
      <c r="N2685" s="7">
        <v>1438417.35</v>
      </c>
      <c r="O2685" s="2">
        <v>7016.67</v>
      </c>
      <c r="P2685">
        <v>205</v>
      </c>
      <c r="Q2685" s="2">
        <v>1438417.35</v>
      </c>
      <c r="R2685" s="2">
        <v>1543.67</v>
      </c>
      <c r="V2685">
        <v>0</v>
      </c>
      <c r="W2685">
        <v>0</v>
      </c>
      <c r="X2685">
        <v>0</v>
      </c>
      <c r="Y2685" s="2">
        <v>8560.34</v>
      </c>
      <c r="Z2685" s="2">
        <v>8560.34</v>
      </c>
      <c r="AA2685" s="2">
        <v>8560.34</v>
      </c>
      <c r="AB2685" s="1">
        <v>42382</v>
      </c>
      <c r="AC2685" t="s">
        <v>53</v>
      </c>
      <c r="AD2685" t="s">
        <v>53</v>
      </c>
      <c r="AK2685" s="2">
        <v>1543.67</v>
      </c>
      <c r="AU2685" s="6">
        <v>42353</v>
      </c>
      <c r="AV2685" s="6">
        <v>42353</v>
      </c>
      <c r="AW2685" t="s">
        <v>54</v>
      </c>
      <c r="AX2685" t="str">
        <f t="shared" si="221"/>
        <v>FOR</v>
      </c>
      <c r="AY2685" t="s">
        <v>55</v>
      </c>
    </row>
    <row r="2686" spans="1:51">
      <c r="A2686">
        <v>100824</v>
      </c>
      <c r="B2686" t="s">
        <v>298</v>
      </c>
      <c r="C2686" t="str">
        <f t="shared" si="224"/>
        <v>05750470634</v>
      </c>
      <c r="D2686" t="str">
        <f t="shared" si="224"/>
        <v>05750470634</v>
      </c>
      <c r="E2686" t="s">
        <v>52</v>
      </c>
      <c r="F2686">
        <v>2015</v>
      </c>
      <c r="G2686">
        <v>27</v>
      </c>
      <c r="H2686" s="1">
        <v>42035</v>
      </c>
      <c r="I2686" s="1">
        <v>42264</v>
      </c>
      <c r="J2686" s="1">
        <v>42264</v>
      </c>
      <c r="K2686" s="1">
        <v>42324</v>
      </c>
      <c r="L2686" s="7">
        <v>2414.2800000000002</v>
      </c>
      <c r="M2686" s="5">
        <v>29</v>
      </c>
      <c r="N2686" s="7">
        <v>70014.12</v>
      </c>
      <c r="O2686" s="2">
        <v>2414.2800000000002</v>
      </c>
      <c r="P2686">
        <v>29</v>
      </c>
      <c r="Q2686" s="2">
        <v>70014.12</v>
      </c>
      <c r="R2686">
        <v>531.14</v>
      </c>
      <c r="V2686">
        <v>0</v>
      </c>
      <c r="W2686">
        <v>0</v>
      </c>
      <c r="X2686">
        <v>0</v>
      </c>
      <c r="Y2686" s="2">
        <v>2945.42</v>
      </c>
      <c r="Z2686" s="2">
        <v>2945.42</v>
      </c>
      <c r="AA2686" s="2">
        <v>2945.42</v>
      </c>
      <c r="AB2686" s="1">
        <v>42382</v>
      </c>
      <c r="AC2686" t="s">
        <v>53</v>
      </c>
      <c r="AD2686" t="s">
        <v>53</v>
      </c>
      <c r="AF2686">
        <v>531.14</v>
      </c>
      <c r="AK2686">
        <v>0</v>
      </c>
      <c r="AU2686" s="6">
        <v>42353</v>
      </c>
      <c r="AV2686" s="6">
        <v>42353</v>
      </c>
      <c r="AW2686" t="s">
        <v>54</v>
      </c>
      <c r="AX2686" t="str">
        <f t="shared" si="221"/>
        <v>FOR</v>
      </c>
      <c r="AY2686" t="s">
        <v>55</v>
      </c>
    </row>
    <row r="2687" spans="1:51">
      <c r="A2687">
        <v>100860</v>
      </c>
      <c r="B2687" t="s">
        <v>299</v>
      </c>
      <c r="C2687" t="str">
        <f>"03906850262"</f>
        <v>03906850262</v>
      </c>
      <c r="D2687" t="str">
        <f>"03906850262"</f>
        <v>03906850262</v>
      </c>
      <c r="E2687" t="s">
        <v>52</v>
      </c>
      <c r="F2687">
        <v>2015</v>
      </c>
      <c r="G2687">
        <v>86</v>
      </c>
      <c r="H2687" s="1">
        <v>42062</v>
      </c>
      <c r="I2687" s="1">
        <v>42118</v>
      </c>
      <c r="J2687" s="1">
        <v>42118</v>
      </c>
      <c r="K2687" s="1">
        <v>42178</v>
      </c>
      <c r="L2687" s="7">
        <v>935.56</v>
      </c>
      <c r="M2687" s="5">
        <v>177</v>
      </c>
      <c r="N2687" s="7">
        <v>165594.12</v>
      </c>
      <c r="O2687">
        <v>935.56</v>
      </c>
      <c r="P2687">
        <v>177</v>
      </c>
      <c r="Q2687" s="2">
        <v>165594.12</v>
      </c>
      <c r="R2687">
        <v>205.82</v>
      </c>
      <c r="V2687">
        <v>0</v>
      </c>
      <c r="W2687">
        <v>0</v>
      </c>
      <c r="X2687">
        <v>0</v>
      </c>
      <c r="Y2687" s="2">
        <v>1141.3800000000001</v>
      </c>
      <c r="Z2687" s="2">
        <v>1141.3800000000001</v>
      </c>
      <c r="AA2687" s="2">
        <v>1141.3800000000001</v>
      </c>
      <c r="AB2687" s="1">
        <v>42382</v>
      </c>
      <c r="AC2687" t="s">
        <v>53</v>
      </c>
      <c r="AD2687" t="s">
        <v>53</v>
      </c>
      <c r="AK2687">
        <v>205.82</v>
      </c>
      <c r="AU2687" s="6">
        <v>42355</v>
      </c>
      <c r="AV2687" s="6">
        <v>42355</v>
      </c>
      <c r="AW2687" t="s">
        <v>54</v>
      </c>
      <c r="AX2687" t="str">
        <f t="shared" si="221"/>
        <v>FOR</v>
      </c>
      <c r="AY2687" t="s">
        <v>55</v>
      </c>
    </row>
    <row r="2688" spans="1:51" hidden="1">
      <c r="A2688">
        <v>100866</v>
      </c>
      <c r="B2688" t="s">
        <v>300</v>
      </c>
      <c r="C2688" t="str">
        <f t="shared" ref="C2688:D2693" si="225">"00753720879"</f>
        <v>00753720879</v>
      </c>
      <c r="D2688" t="str">
        <f t="shared" si="225"/>
        <v>00753720879</v>
      </c>
      <c r="E2688" t="s">
        <v>52</v>
      </c>
      <c r="F2688">
        <v>2014</v>
      </c>
      <c r="G2688">
        <v>512</v>
      </c>
      <c r="H2688" s="1">
        <v>41697</v>
      </c>
      <c r="I2688" s="1">
        <v>41703</v>
      </c>
      <c r="J2688" s="1">
        <v>41703</v>
      </c>
      <c r="K2688" s="1">
        <v>41793</v>
      </c>
      <c r="N2688" s="5"/>
      <c r="O2688" s="2">
        <v>3971.71</v>
      </c>
      <c r="P2688">
        <v>456</v>
      </c>
      <c r="Q2688" s="2">
        <v>1811099.76</v>
      </c>
      <c r="R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 s="1">
        <v>42382</v>
      </c>
      <c r="AC2688" t="s">
        <v>53</v>
      </c>
      <c r="AD2688" t="s">
        <v>53</v>
      </c>
      <c r="AK2688">
        <v>0</v>
      </c>
      <c r="AU2688" s="6">
        <v>42249</v>
      </c>
      <c r="AV2688" s="6">
        <v>42249</v>
      </c>
      <c r="AW2688" t="s">
        <v>54</v>
      </c>
      <c r="AX2688" t="str">
        <f t="shared" si="221"/>
        <v>FOR</v>
      </c>
      <c r="AY2688" t="s">
        <v>55</v>
      </c>
    </row>
    <row r="2689" spans="1:51" hidden="1">
      <c r="A2689">
        <v>100866</v>
      </c>
      <c r="B2689" t="s">
        <v>300</v>
      </c>
      <c r="C2689" t="str">
        <f t="shared" si="225"/>
        <v>00753720879</v>
      </c>
      <c r="D2689" t="str">
        <f t="shared" si="225"/>
        <v>00753720879</v>
      </c>
      <c r="E2689" t="s">
        <v>52</v>
      </c>
      <c r="F2689">
        <v>2014</v>
      </c>
      <c r="G2689">
        <v>1103</v>
      </c>
      <c r="H2689" s="1">
        <v>41771</v>
      </c>
      <c r="I2689" s="1">
        <v>41778</v>
      </c>
      <c r="J2689" s="1">
        <v>41778</v>
      </c>
      <c r="K2689" s="1">
        <v>41868</v>
      </c>
      <c r="N2689" s="5"/>
      <c r="O2689">
        <v>516.05999999999995</v>
      </c>
      <c r="P2689">
        <v>381</v>
      </c>
      <c r="Q2689" s="2">
        <v>196618.86</v>
      </c>
      <c r="R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 s="1">
        <v>42382</v>
      </c>
      <c r="AC2689" t="s">
        <v>53</v>
      </c>
      <c r="AD2689" t="s">
        <v>53</v>
      </c>
      <c r="AK2689">
        <v>0</v>
      </c>
      <c r="AU2689" s="6">
        <v>42249</v>
      </c>
      <c r="AV2689" s="6">
        <v>42249</v>
      </c>
      <c r="AW2689" t="s">
        <v>54</v>
      </c>
      <c r="AX2689" t="str">
        <f t="shared" si="221"/>
        <v>FOR</v>
      </c>
      <c r="AY2689" t="s">
        <v>55</v>
      </c>
    </row>
    <row r="2690" spans="1:51" hidden="1">
      <c r="A2690">
        <v>100866</v>
      </c>
      <c r="B2690" t="s">
        <v>300</v>
      </c>
      <c r="C2690" t="str">
        <f t="shared" si="225"/>
        <v>00753720879</v>
      </c>
      <c r="D2690" t="str">
        <f t="shared" si="225"/>
        <v>00753720879</v>
      </c>
      <c r="E2690" t="s">
        <v>52</v>
      </c>
      <c r="F2690">
        <v>2014</v>
      </c>
      <c r="G2690">
        <v>1883</v>
      </c>
      <c r="H2690" s="1">
        <v>41857</v>
      </c>
      <c r="I2690" s="1">
        <v>41877</v>
      </c>
      <c r="J2690" s="1">
        <v>41877</v>
      </c>
      <c r="K2690" s="1">
        <v>41967</v>
      </c>
      <c r="N2690" s="5"/>
      <c r="O2690" s="2">
        <v>3971.71</v>
      </c>
      <c r="P2690">
        <v>282</v>
      </c>
      <c r="Q2690" s="2">
        <v>1120022.22</v>
      </c>
      <c r="R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 s="1">
        <v>42382</v>
      </c>
      <c r="AC2690" t="s">
        <v>53</v>
      </c>
      <c r="AD2690" t="s">
        <v>53</v>
      </c>
      <c r="AK2690">
        <v>0</v>
      </c>
      <c r="AU2690" s="6">
        <v>42249</v>
      </c>
      <c r="AV2690" s="6">
        <v>42249</v>
      </c>
      <c r="AW2690" t="s">
        <v>54</v>
      </c>
      <c r="AX2690" t="str">
        <f t="shared" si="221"/>
        <v>FOR</v>
      </c>
      <c r="AY2690" t="s">
        <v>55</v>
      </c>
    </row>
    <row r="2691" spans="1:51">
      <c r="A2691">
        <v>100866</v>
      </c>
      <c r="B2691" t="s">
        <v>300</v>
      </c>
      <c r="C2691" t="str">
        <f t="shared" si="225"/>
        <v>00753720879</v>
      </c>
      <c r="D2691" t="str">
        <f t="shared" si="225"/>
        <v>00753720879</v>
      </c>
      <c r="E2691" t="s">
        <v>52</v>
      </c>
      <c r="F2691">
        <v>2014</v>
      </c>
      <c r="G2691">
        <v>2444</v>
      </c>
      <c r="H2691" s="1">
        <v>41936</v>
      </c>
      <c r="I2691" s="1">
        <v>41946</v>
      </c>
      <c r="J2691" s="1">
        <v>41946</v>
      </c>
      <c r="K2691" s="1">
        <v>42006</v>
      </c>
      <c r="L2691" s="7">
        <v>516.05999999999995</v>
      </c>
      <c r="M2691" s="5">
        <v>277</v>
      </c>
      <c r="N2691" s="7">
        <v>142948.62</v>
      </c>
      <c r="O2691">
        <v>516.05999999999995</v>
      </c>
      <c r="P2691">
        <v>277</v>
      </c>
      <c r="Q2691" s="2">
        <v>142948.62</v>
      </c>
      <c r="R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 s="1">
        <v>42382</v>
      </c>
      <c r="AC2691" t="s">
        <v>53</v>
      </c>
      <c r="AD2691" t="s">
        <v>53</v>
      </c>
      <c r="AK2691">
        <v>0</v>
      </c>
      <c r="AU2691" s="6">
        <v>42283</v>
      </c>
      <c r="AV2691" s="6">
        <v>42283</v>
      </c>
      <c r="AW2691" t="s">
        <v>54</v>
      </c>
      <c r="AX2691" t="str">
        <f t="shared" ref="AX2691:AX2754" si="226">"FOR"</f>
        <v>FOR</v>
      </c>
      <c r="AY2691" t="s">
        <v>55</v>
      </c>
    </row>
    <row r="2692" spans="1:51">
      <c r="A2692">
        <v>100866</v>
      </c>
      <c r="B2692" t="s">
        <v>300</v>
      </c>
      <c r="C2692" t="str">
        <f t="shared" si="225"/>
        <v>00753720879</v>
      </c>
      <c r="D2692" t="str">
        <f t="shared" si="225"/>
        <v>00753720879</v>
      </c>
      <c r="E2692" t="s">
        <v>52</v>
      </c>
      <c r="F2692">
        <v>2014</v>
      </c>
      <c r="G2692">
        <v>2719</v>
      </c>
      <c r="H2692" s="1">
        <v>41967</v>
      </c>
      <c r="I2692" s="1">
        <v>41971</v>
      </c>
      <c r="J2692" s="1">
        <v>41971</v>
      </c>
      <c r="K2692" s="1">
        <v>42031</v>
      </c>
      <c r="L2692" s="7">
        <v>1914.18</v>
      </c>
      <c r="M2692" s="5">
        <v>252</v>
      </c>
      <c r="N2692" s="7">
        <v>482373.36</v>
      </c>
      <c r="O2692" s="2">
        <v>1914.18</v>
      </c>
      <c r="P2692">
        <v>252</v>
      </c>
      <c r="Q2692" s="2">
        <v>482373.36</v>
      </c>
      <c r="R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 s="1">
        <v>42382</v>
      </c>
      <c r="AC2692" t="s">
        <v>53</v>
      </c>
      <c r="AD2692" t="s">
        <v>53</v>
      </c>
      <c r="AK2692">
        <v>0</v>
      </c>
      <c r="AU2692" s="6">
        <v>42283</v>
      </c>
      <c r="AV2692" s="6">
        <v>42283</v>
      </c>
      <c r="AW2692" t="s">
        <v>54</v>
      </c>
      <c r="AX2692" t="str">
        <f t="shared" si="226"/>
        <v>FOR</v>
      </c>
      <c r="AY2692" t="s">
        <v>55</v>
      </c>
    </row>
    <row r="2693" spans="1:51">
      <c r="A2693">
        <v>100866</v>
      </c>
      <c r="B2693" t="s">
        <v>300</v>
      </c>
      <c r="C2693" t="str">
        <f t="shared" si="225"/>
        <v>00753720879</v>
      </c>
      <c r="D2693" t="str">
        <f t="shared" si="225"/>
        <v>00753720879</v>
      </c>
      <c r="E2693" t="s">
        <v>52</v>
      </c>
      <c r="F2693">
        <v>2014</v>
      </c>
      <c r="G2693">
        <v>2891</v>
      </c>
      <c r="H2693" s="1">
        <v>41989</v>
      </c>
      <c r="I2693" s="1">
        <v>41995</v>
      </c>
      <c r="J2693" s="1">
        <v>41995</v>
      </c>
      <c r="K2693" s="1">
        <v>42055</v>
      </c>
      <c r="L2693" s="7">
        <v>1100.44</v>
      </c>
      <c r="M2693" s="5">
        <v>286</v>
      </c>
      <c r="N2693" s="7">
        <v>314725.84000000003</v>
      </c>
      <c r="O2693" s="2">
        <v>1100.44</v>
      </c>
      <c r="P2693">
        <v>286</v>
      </c>
      <c r="Q2693" s="2">
        <v>314725.84000000003</v>
      </c>
      <c r="R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 s="1">
        <v>42382</v>
      </c>
      <c r="AC2693" t="s">
        <v>53</v>
      </c>
      <c r="AD2693" t="s">
        <v>53</v>
      </c>
      <c r="AK2693">
        <v>0</v>
      </c>
      <c r="AU2693" s="6">
        <v>42341</v>
      </c>
      <c r="AV2693" s="6">
        <v>42341</v>
      </c>
      <c r="AW2693" t="s">
        <v>54</v>
      </c>
      <c r="AX2693" t="str">
        <f t="shared" si="226"/>
        <v>FOR</v>
      </c>
      <c r="AY2693" t="s">
        <v>55</v>
      </c>
    </row>
    <row r="2694" spans="1:51">
      <c r="A2694">
        <v>100879</v>
      </c>
      <c r="B2694" t="s">
        <v>301</v>
      </c>
      <c r="C2694" t="str">
        <f t="shared" ref="C2694:C2725" si="227">"01354901215"</f>
        <v>01354901215</v>
      </c>
      <c r="D2694" t="str">
        <f t="shared" ref="D2694:D2725" si="228">"04720630633"</f>
        <v>04720630633</v>
      </c>
      <c r="E2694" t="s">
        <v>52</v>
      </c>
      <c r="F2694">
        <v>2014</v>
      </c>
      <c r="G2694">
        <v>20</v>
      </c>
      <c r="H2694" s="1">
        <v>41973</v>
      </c>
      <c r="I2694" s="1">
        <v>41995</v>
      </c>
      <c r="J2694" s="1">
        <v>41995</v>
      </c>
      <c r="K2694" s="1">
        <v>42055</v>
      </c>
      <c r="L2694" s="7">
        <v>1123.83</v>
      </c>
      <c r="M2694" s="5">
        <v>304</v>
      </c>
      <c r="N2694" s="7">
        <v>341644.32</v>
      </c>
      <c r="O2694" s="2">
        <v>1123.83</v>
      </c>
      <c r="P2694">
        <v>304</v>
      </c>
      <c r="Q2694" s="2">
        <v>341644.32</v>
      </c>
      <c r="R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 s="1">
        <v>42382</v>
      </c>
      <c r="AC2694" t="s">
        <v>53</v>
      </c>
      <c r="AD2694" t="s">
        <v>53</v>
      </c>
      <c r="AK2694">
        <v>0</v>
      </c>
      <c r="AU2694" s="6">
        <v>42359</v>
      </c>
      <c r="AV2694" s="6">
        <v>42359</v>
      </c>
      <c r="AW2694" t="s">
        <v>54</v>
      </c>
      <c r="AX2694" t="str">
        <f t="shared" si="226"/>
        <v>FOR</v>
      </c>
      <c r="AY2694" t="s">
        <v>55</v>
      </c>
    </row>
    <row r="2695" spans="1:51" hidden="1">
      <c r="A2695">
        <v>100879</v>
      </c>
      <c r="B2695" t="s">
        <v>301</v>
      </c>
      <c r="C2695" t="str">
        <f t="shared" si="227"/>
        <v>01354901215</v>
      </c>
      <c r="D2695" t="str">
        <f t="shared" si="228"/>
        <v>04720630633</v>
      </c>
      <c r="E2695" t="s">
        <v>52</v>
      </c>
      <c r="F2695">
        <v>2014</v>
      </c>
      <c r="G2695">
        <v>6954</v>
      </c>
      <c r="H2695" s="1">
        <v>41752</v>
      </c>
      <c r="I2695" s="1">
        <v>41773</v>
      </c>
      <c r="J2695" s="1">
        <v>41773</v>
      </c>
      <c r="K2695" s="1">
        <v>41863</v>
      </c>
      <c r="N2695" s="5"/>
      <c r="O2695" s="2">
        <v>1307.3499999999999</v>
      </c>
      <c r="P2695">
        <v>233</v>
      </c>
      <c r="Q2695" s="2">
        <v>304612.55</v>
      </c>
      <c r="R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 s="1">
        <v>42382</v>
      </c>
      <c r="AC2695" t="s">
        <v>53</v>
      </c>
      <c r="AD2695" t="s">
        <v>53</v>
      </c>
      <c r="AK2695">
        <v>0</v>
      </c>
      <c r="AU2695" s="6">
        <v>42096</v>
      </c>
      <c r="AV2695" s="6">
        <v>42096</v>
      </c>
      <c r="AW2695" t="s">
        <v>54</v>
      </c>
      <c r="AX2695" t="str">
        <f t="shared" si="226"/>
        <v>FOR</v>
      </c>
      <c r="AY2695" t="s">
        <v>55</v>
      </c>
    </row>
    <row r="2696" spans="1:51" hidden="1">
      <c r="A2696">
        <v>100879</v>
      </c>
      <c r="B2696" t="s">
        <v>301</v>
      </c>
      <c r="C2696" t="str">
        <f t="shared" si="227"/>
        <v>01354901215</v>
      </c>
      <c r="D2696" t="str">
        <f t="shared" si="228"/>
        <v>04720630633</v>
      </c>
      <c r="E2696" t="s">
        <v>52</v>
      </c>
      <c r="F2696">
        <v>2014</v>
      </c>
      <c r="G2696">
        <v>7827</v>
      </c>
      <c r="H2696" s="1">
        <v>41768</v>
      </c>
      <c r="I2696" s="1">
        <v>41808</v>
      </c>
      <c r="J2696" s="1">
        <v>41808</v>
      </c>
      <c r="K2696" s="1">
        <v>41898</v>
      </c>
      <c r="N2696" s="5"/>
      <c r="O2696">
        <v>829.6</v>
      </c>
      <c r="P2696">
        <v>230</v>
      </c>
      <c r="Q2696" s="2">
        <v>190808</v>
      </c>
      <c r="R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 s="1">
        <v>42382</v>
      </c>
      <c r="AC2696" t="s">
        <v>53</v>
      </c>
      <c r="AD2696" t="s">
        <v>53</v>
      </c>
      <c r="AK2696">
        <v>0</v>
      </c>
      <c r="AU2696" s="6">
        <v>42128</v>
      </c>
      <c r="AV2696" s="6">
        <v>42128</v>
      </c>
      <c r="AW2696" t="s">
        <v>54</v>
      </c>
      <c r="AX2696" t="str">
        <f t="shared" si="226"/>
        <v>FOR</v>
      </c>
      <c r="AY2696" t="s">
        <v>55</v>
      </c>
    </row>
    <row r="2697" spans="1:51" hidden="1">
      <c r="A2697">
        <v>100879</v>
      </c>
      <c r="B2697" t="s">
        <v>301</v>
      </c>
      <c r="C2697" t="str">
        <f t="shared" si="227"/>
        <v>01354901215</v>
      </c>
      <c r="D2697" t="str">
        <f t="shared" si="228"/>
        <v>04720630633</v>
      </c>
      <c r="E2697" t="s">
        <v>52</v>
      </c>
      <c r="F2697">
        <v>2014</v>
      </c>
      <c r="G2697">
        <v>9609</v>
      </c>
      <c r="H2697" s="1">
        <v>41796</v>
      </c>
      <c r="I2697" s="1">
        <v>41810</v>
      </c>
      <c r="J2697" s="1">
        <v>41810</v>
      </c>
      <c r="K2697" s="1">
        <v>41900</v>
      </c>
      <c r="N2697" s="5"/>
      <c r="O2697">
        <v>536.79999999999995</v>
      </c>
      <c r="P2697">
        <v>228</v>
      </c>
      <c r="Q2697" s="2">
        <v>122390.39999999999</v>
      </c>
      <c r="R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 s="1">
        <v>42382</v>
      </c>
      <c r="AC2697" t="s">
        <v>53</v>
      </c>
      <c r="AD2697" t="s">
        <v>53</v>
      </c>
      <c r="AK2697">
        <v>0</v>
      </c>
      <c r="AU2697" s="6">
        <v>42128</v>
      </c>
      <c r="AV2697" s="6">
        <v>42128</v>
      </c>
      <c r="AW2697" t="s">
        <v>54</v>
      </c>
      <c r="AX2697" t="str">
        <f t="shared" si="226"/>
        <v>FOR</v>
      </c>
      <c r="AY2697" t="s">
        <v>55</v>
      </c>
    </row>
    <row r="2698" spans="1:51" hidden="1">
      <c r="A2698">
        <v>100879</v>
      </c>
      <c r="B2698" t="s">
        <v>301</v>
      </c>
      <c r="C2698" t="str">
        <f t="shared" si="227"/>
        <v>01354901215</v>
      </c>
      <c r="D2698" t="str">
        <f t="shared" si="228"/>
        <v>04720630633</v>
      </c>
      <c r="E2698" t="s">
        <v>52</v>
      </c>
      <c r="F2698">
        <v>2014</v>
      </c>
      <c r="G2698">
        <v>10371</v>
      </c>
      <c r="H2698" s="1">
        <v>41796</v>
      </c>
      <c r="I2698" s="1">
        <v>41914</v>
      </c>
      <c r="J2698" s="1">
        <v>41914</v>
      </c>
      <c r="K2698" s="1">
        <v>42004</v>
      </c>
      <c r="N2698" s="5"/>
      <c r="O2698">
        <v>724.68</v>
      </c>
      <c r="P2698">
        <v>124</v>
      </c>
      <c r="Q2698" s="2">
        <v>89860.32</v>
      </c>
      <c r="R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 s="1">
        <v>42382</v>
      </c>
      <c r="AC2698" t="s">
        <v>53</v>
      </c>
      <c r="AD2698" t="s">
        <v>53</v>
      </c>
      <c r="AK2698">
        <v>0</v>
      </c>
      <c r="AU2698" s="6">
        <v>42128</v>
      </c>
      <c r="AV2698" s="6">
        <v>42128</v>
      </c>
      <c r="AW2698" t="s">
        <v>54</v>
      </c>
      <c r="AX2698" t="str">
        <f t="shared" si="226"/>
        <v>FOR</v>
      </c>
      <c r="AY2698" t="s">
        <v>55</v>
      </c>
    </row>
    <row r="2699" spans="1:51" hidden="1">
      <c r="A2699">
        <v>100879</v>
      </c>
      <c r="B2699" t="s">
        <v>301</v>
      </c>
      <c r="C2699" t="str">
        <f t="shared" si="227"/>
        <v>01354901215</v>
      </c>
      <c r="D2699" t="str">
        <f t="shared" si="228"/>
        <v>04720630633</v>
      </c>
      <c r="E2699" t="s">
        <v>52</v>
      </c>
      <c r="F2699">
        <v>2014</v>
      </c>
      <c r="G2699">
        <v>10372</v>
      </c>
      <c r="H2699" s="1">
        <v>41810</v>
      </c>
      <c r="I2699" s="1">
        <v>41914</v>
      </c>
      <c r="J2699" s="1">
        <v>41914</v>
      </c>
      <c r="K2699" s="1">
        <v>42004</v>
      </c>
      <c r="N2699" s="5"/>
      <c r="O2699">
        <v>213.5</v>
      </c>
      <c r="P2699">
        <v>124</v>
      </c>
      <c r="Q2699" s="2">
        <v>26474</v>
      </c>
      <c r="R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 s="1">
        <v>42382</v>
      </c>
      <c r="AC2699" t="s">
        <v>53</v>
      </c>
      <c r="AD2699" t="s">
        <v>53</v>
      </c>
      <c r="AK2699">
        <v>0</v>
      </c>
      <c r="AU2699" s="6">
        <v>42128</v>
      </c>
      <c r="AV2699" s="6">
        <v>42128</v>
      </c>
      <c r="AW2699" t="s">
        <v>54</v>
      </c>
      <c r="AX2699" t="str">
        <f t="shared" si="226"/>
        <v>FOR</v>
      </c>
      <c r="AY2699" t="s">
        <v>55</v>
      </c>
    </row>
    <row r="2700" spans="1:51" hidden="1">
      <c r="A2700">
        <v>100879</v>
      </c>
      <c r="B2700" t="s">
        <v>301</v>
      </c>
      <c r="C2700" t="str">
        <f t="shared" si="227"/>
        <v>01354901215</v>
      </c>
      <c r="D2700" t="str">
        <f t="shared" si="228"/>
        <v>04720630633</v>
      </c>
      <c r="E2700" t="s">
        <v>52</v>
      </c>
      <c r="F2700">
        <v>2014</v>
      </c>
      <c r="G2700">
        <v>10373</v>
      </c>
      <c r="H2700" s="1">
        <v>41810</v>
      </c>
      <c r="I2700" s="1">
        <v>41914</v>
      </c>
      <c r="J2700" s="1">
        <v>41914</v>
      </c>
      <c r="K2700" s="1">
        <v>42004</v>
      </c>
      <c r="N2700" s="5"/>
      <c r="O2700" s="2">
        <v>6588</v>
      </c>
      <c r="P2700">
        <v>124</v>
      </c>
      <c r="Q2700" s="2">
        <v>816912</v>
      </c>
      <c r="R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 s="1">
        <v>42382</v>
      </c>
      <c r="AC2700" t="s">
        <v>53</v>
      </c>
      <c r="AD2700" t="s">
        <v>53</v>
      </c>
      <c r="AK2700">
        <v>0</v>
      </c>
      <c r="AU2700" s="6">
        <v>42128</v>
      </c>
      <c r="AV2700" s="6">
        <v>42128</v>
      </c>
      <c r="AW2700" t="s">
        <v>54</v>
      </c>
      <c r="AX2700" t="str">
        <f t="shared" si="226"/>
        <v>FOR</v>
      </c>
      <c r="AY2700" t="s">
        <v>55</v>
      </c>
    </row>
    <row r="2701" spans="1:51" hidden="1">
      <c r="A2701">
        <v>100879</v>
      </c>
      <c r="B2701" t="s">
        <v>301</v>
      </c>
      <c r="C2701" t="str">
        <f t="shared" si="227"/>
        <v>01354901215</v>
      </c>
      <c r="D2701" t="str">
        <f t="shared" si="228"/>
        <v>04720630633</v>
      </c>
      <c r="E2701" t="s">
        <v>52</v>
      </c>
      <c r="F2701">
        <v>2014</v>
      </c>
      <c r="G2701">
        <v>10720</v>
      </c>
      <c r="H2701" s="1">
        <v>41815</v>
      </c>
      <c r="I2701" s="1">
        <v>41914</v>
      </c>
      <c r="J2701" s="1">
        <v>41914</v>
      </c>
      <c r="K2701" s="1">
        <v>42004</v>
      </c>
      <c r="N2701" s="5"/>
      <c r="O2701" s="2">
        <v>2174.04</v>
      </c>
      <c r="P2701">
        <v>124</v>
      </c>
      <c r="Q2701" s="2">
        <v>269580.96000000002</v>
      </c>
      <c r="R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 s="1">
        <v>42382</v>
      </c>
      <c r="AC2701" t="s">
        <v>53</v>
      </c>
      <c r="AD2701" t="s">
        <v>53</v>
      </c>
      <c r="AK2701">
        <v>0</v>
      </c>
      <c r="AU2701" s="6">
        <v>42128</v>
      </c>
      <c r="AV2701" s="6">
        <v>42128</v>
      </c>
      <c r="AW2701" t="s">
        <v>54</v>
      </c>
      <c r="AX2701" t="str">
        <f t="shared" si="226"/>
        <v>FOR</v>
      </c>
      <c r="AY2701" t="s">
        <v>55</v>
      </c>
    </row>
    <row r="2702" spans="1:51" hidden="1">
      <c r="A2702">
        <v>100879</v>
      </c>
      <c r="B2702" t="s">
        <v>301</v>
      </c>
      <c r="C2702" t="str">
        <f t="shared" si="227"/>
        <v>01354901215</v>
      </c>
      <c r="D2702" t="str">
        <f t="shared" si="228"/>
        <v>04720630633</v>
      </c>
      <c r="E2702" t="s">
        <v>52</v>
      </c>
      <c r="F2702">
        <v>2014</v>
      </c>
      <c r="G2702">
        <v>11720</v>
      </c>
      <c r="H2702" s="1">
        <v>41830</v>
      </c>
      <c r="I2702" s="1">
        <v>41914</v>
      </c>
      <c r="J2702" s="1">
        <v>41914</v>
      </c>
      <c r="K2702" s="1">
        <v>42004</v>
      </c>
      <c r="N2702" s="5"/>
      <c r="O2702">
        <v>335.5</v>
      </c>
      <c r="P2702">
        <v>124</v>
      </c>
      <c r="Q2702" s="2">
        <v>41602</v>
      </c>
      <c r="R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 s="1">
        <v>42382</v>
      </c>
      <c r="AC2702" t="s">
        <v>53</v>
      </c>
      <c r="AD2702" t="s">
        <v>53</v>
      </c>
      <c r="AK2702">
        <v>0</v>
      </c>
      <c r="AU2702" s="6">
        <v>42128</v>
      </c>
      <c r="AV2702" s="6">
        <v>42128</v>
      </c>
      <c r="AW2702" t="s">
        <v>54</v>
      </c>
      <c r="AX2702" t="str">
        <f t="shared" si="226"/>
        <v>FOR</v>
      </c>
      <c r="AY2702" t="s">
        <v>55</v>
      </c>
    </row>
    <row r="2703" spans="1:51" hidden="1">
      <c r="A2703">
        <v>100879</v>
      </c>
      <c r="B2703" t="s">
        <v>301</v>
      </c>
      <c r="C2703" t="str">
        <f t="shared" si="227"/>
        <v>01354901215</v>
      </c>
      <c r="D2703" t="str">
        <f t="shared" si="228"/>
        <v>04720630633</v>
      </c>
      <c r="E2703" t="s">
        <v>52</v>
      </c>
      <c r="F2703">
        <v>2014</v>
      </c>
      <c r="G2703">
        <v>11721</v>
      </c>
      <c r="H2703" s="1">
        <v>41830</v>
      </c>
      <c r="I2703" s="1">
        <v>41915</v>
      </c>
      <c r="J2703" s="1">
        <v>41915</v>
      </c>
      <c r="K2703" s="1">
        <v>42005</v>
      </c>
      <c r="N2703" s="5"/>
      <c r="O2703">
        <v>427</v>
      </c>
      <c r="P2703">
        <v>123</v>
      </c>
      <c r="Q2703" s="2">
        <v>52521</v>
      </c>
      <c r="R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 s="1">
        <v>42382</v>
      </c>
      <c r="AC2703" t="s">
        <v>53</v>
      </c>
      <c r="AD2703" t="s">
        <v>53</v>
      </c>
      <c r="AK2703">
        <v>0</v>
      </c>
      <c r="AU2703" s="6">
        <v>42128</v>
      </c>
      <c r="AV2703" s="6">
        <v>42128</v>
      </c>
      <c r="AW2703" t="s">
        <v>54</v>
      </c>
      <c r="AX2703" t="str">
        <f t="shared" si="226"/>
        <v>FOR</v>
      </c>
      <c r="AY2703" t="s">
        <v>55</v>
      </c>
    </row>
    <row r="2704" spans="1:51" hidden="1">
      <c r="A2704">
        <v>100879</v>
      </c>
      <c r="B2704" t="s">
        <v>301</v>
      </c>
      <c r="C2704" t="str">
        <f t="shared" si="227"/>
        <v>01354901215</v>
      </c>
      <c r="D2704" t="str">
        <f t="shared" si="228"/>
        <v>04720630633</v>
      </c>
      <c r="E2704" t="s">
        <v>52</v>
      </c>
      <c r="F2704">
        <v>2014</v>
      </c>
      <c r="G2704">
        <v>12675</v>
      </c>
      <c r="H2704" s="1">
        <v>41844</v>
      </c>
      <c r="I2704" s="1">
        <v>41915</v>
      </c>
      <c r="J2704" s="1">
        <v>41915</v>
      </c>
      <c r="K2704" s="1">
        <v>42005</v>
      </c>
      <c r="N2704" s="5"/>
      <c r="O2704" s="2">
        <v>3135.4</v>
      </c>
      <c r="P2704">
        <v>123</v>
      </c>
      <c r="Q2704" s="2">
        <v>385654.2</v>
      </c>
      <c r="R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 s="1">
        <v>42382</v>
      </c>
      <c r="AC2704" t="s">
        <v>53</v>
      </c>
      <c r="AD2704" t="s">
        <v>53</v>
      </c>
      <c r="AK2704">
        <v>0</v>
      </c>
      <c r="AU2704" s="6">
        <v>42128</v>
      </c>
      <c r="AV2704" s="6">
        <v>42128</v>
      </c>
      <c r="AW2704" t="s">
        <v>54</v>
      </c>
      <c r="AX2704" t="str">
        <f t="shared" si="226"/>
        <v>FOR</v>
      </c>
      <c r="AY2704" t="s">
        <v>55</v>
      </c>
    </row>
    <row r="2705" spans="1:51" hidden="1">
      <c r="A2705">
        <v>100879</v>
      </c>
      <c r="B2705" t="s">
        <v>301</v>
      </c>
      <c r="C2705" t="str">
        <f t="shared" si="227"/>
        <v>01354901215</v>
      </c>
      <c r="D2705" t="str">
        <f t="shared" si="228"/>
        <v>04720630633</v>
      </c>
      <c r="E2705" t="s">
        <v>52</v>
      </c>
      <c r="F2705">
        <v>2014</v>
      </c>
      <c r="G2705">
        <v>12676</v>
      </c>
      <c r="H2705" s="1">
        <v>41844</v>
      </c>
      <c r="I2705" s="1">
        <v>41915</v>
      </c>
      <c r="J2705" s="1">
        <v>41915</v>
      </c>
      <c r="K2705" s="1">
        <v>42005</v>
      </c>
      <c r="N2705" s="5"/>
      <c r="O2705">
        <v>140.30000000000001</v>
      </c>
      <c r="P2705">
        <v>123</v>
      </c>
      <c r="Q2705" s="2">
        <v>17256.900000000001</v>
      </c>
      <c r="R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 s="1">
        <v>42382</v>
      </c>
      <c r="AC2705" t="s">
        <v>53</v>
      </c>
      <c r="AD2705" t="s">
        <v>53</v>
      </c>
      <c r="AK2705">
        <v>0</v>
      </c>
      <c r="AU2705" s="6">
        <v>42128</v>
      </c>
      <c r="AV2705" s="6">
        <v>42128</v>
      </c>
      <c r="AW2705" t="s">
        <v>54</v>
      </c>
      <c r="AX2705" t="str">
        <f t="shared" si="226"/>
        <v>FOR</v>
      </c>
      <c r="AY2705" t="s">
        <v>55</v>
      </c>
    </row>
    <row r="2706" spans="1:51" hidden="1">
      <c r="A2706">
        <v>100879</v>
      </c>
      <c r="B2706" t="s">
        <v>301</v>
      </c>
      <c r="C2706" t="str">
        <f t="shared" si="227"/>
        <v>01354901215</v>
      </c>
      <c r="D2706" t="str">
        <f t="shared" si="228"/>
        <v>04720630633</v>
      </c>
      <c r="E2706" t="s">
        <v>52</v>
      </c>
      <c r="F2706">
        <v>2014</v>
      </c>
      <c r="G2706">
        <v>13225</v>
      </c>
      <c r="H2706" s="1">
        <v>41851</v>
      </c>
      <c r="I2706" s="1">
        <v>41915</v>
      </c>
      <c r="J2706" s="1">
        <v>41915</v>
      </c>
      <c r="K2706" s="1">
        <v>42005</v>
      </c>
      <c r="N2706" s="5"/>
      <c r="O2706">
        <v>483.12</v>
      </c>
      <c r="P2706">
        <v>123</v>
      </c>
      <c r="Q2706" s="2">
        <v>59423.76</v>
      </c>
      <c r="R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 s="1">
        <v>42382</v>
      </c>
      <c r="AC2706" t="s">
        <v>53</v>
      </c>
      <c r="AD2706" t="s">
        <v>53</v>
      </c>
      <c r="AK2706">
        <v>0</v>
      </c>
      <c r="AU2706" s="6">
        <v>42128</v>
      </c>
      <c r="AV2706" s="6">
        <v>42128</v>
      </c>
      <c r="AW2706" t="s">
        <v>54</v>
      </c>
      <c r="AX2706" t="str">
        <f t="shared" si="226"/>
        <v>FOR</v>
      </c>
      <c r="AY2706" t="s">
        <v>55</v>
      </c>
    </row>
    <row r="2707" spans="1:51" hidden="1">
      <c r="A2707">
        <v>100879</v>
      </c>
      <c r="B2707" t="s">
        <v>301</v>
      </c>
      <c r="C2707" t="str">
        <f t="shared" si="227"/>
        <v>01354901215</v>
      </c>
      <c r="D2707" t="str">
        <f t="shared" si="228"/>
        <v>04720630633</v>
      </c>
      <c r="E2707" t="s">
        <v>52</v>
      </c>
      <c r="F2707">
        <v>2014</v>
      </c>
      <c r="G2707">
        <v>13226</v>
      </c>
      <c r="H2707" s="1">
        <v>41851</v>
      </c>
      <c r="I2707" s="1">
        <v>41915</v>
      </c>
      <c r="J2707" s="1">
        <v>41915</v>
      </c>
      <c r="K2707" s="1">
        <v>42005</v>
      </c>
      <c r="N2707" s="5"/>
      <c r="O2707" s="2">
        <v>1964.2</v>
      </c>
      <c r="P2707">
        <v>123</v>
      </c>
      <c r="Q2707" s="2">
        <v>241596.6</v>
      </c>
      <c r="R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 s="1">
        <v>42382</v>
      </c>
      <c r="AC2707" t="s">
        <v>53</v>
      </c>
      <c r="AD2707" t="s">
        <v>53</v>
      </c>
      <c r="AK2707">
        <v>0</v>
      </c>
      <c r="AU2707" s="6">
        <v>42128</v>
      </c>
      <c r="AV2707" s="6">
        <v>42128</v>
      </c>
      <c r="AW2707" t="s">
        <v>54</v>
      </c>
      <c r="AX2707" t="str">
        <f t="shared" si="226"/>
        <v>FOR</v>
      </c>
      <c r="AY2707" t="s">
        <v>55</v>
      </c>
    </row>
    <row r="2708" spans="1:51" hidden="1">
      <c r="A2708">
        <v>100879</v>
      </c>
      <c r="B2708" t="s">
        <v>301</v>
      </c>
      <c r="C2708" t="str">
        <f t="shared" si="227"/>
        <v>01354901215</v>
      </c>
      <c r="D2708" t="str">
        <f t="shared" si="228"/>
        <v>04720630633</v>
      </c>
      <c r="E2708" t="s">
        <v>52</v>
      </c>
      <c r="F2708">
        <v>2014</v>
      </c>
      <c r="G2708">
        <v>13686</v>
      </c>
      <c r="H2708" s="1">
        <v>41858</v>
      </c>
      <c r="I2708" s="1">
        <v>41935</v>
      </c>
      <c r="J2708" s="1">
        <v>41935</v>
      </c>
      <c r="K2708" s="1">
        <v>41995</v>
      </c>
      <c r="N2708" s="5"/>
      <c r="O2708">
        <v>161.04</v>
      </c>
      <c r="P2708">
        <v>133</v>
      </c>
      <c r="Q2708" s="2">
        <v>21418.32</v>
      </c>
      <c r="R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 s="1">
        <v>42382</v>
      </c>
      <c r="AC2708" t="s">
        <v>53</v>
      </c>
      <c r="AD2708" t="s">
        <v>53</v>
      </c>
      <c r="AK2708">
        <v>0</v>
      </c>
      <c r="AU2708" s="6">
        <v>42128</v>
      </c>
      <c r="AV2708" s="6">
        <v>42128</v>
      </c>
      <c r="AW2708" t="s">
        <v>54</v>
      </c>
      <c r="AX2708" t="str">
        <f t="shared" si="226"/>
        <v>FOR</v>
      </c>
      <c r="AY2708" t="s">
        <v>55</v>
      </c>
    </row>
    <row r="2709" spans="1:51" hidden="1">
      <c r="A2709">
        <v>100879</v>
      </c>
      <c r="B2709" t="s">
        <v>301</v>
      </c>
      <c r="C2709" t="str">
        <f t="shared" si="227"/>
        <v>01354901215</v>
      </c>
      <c r="D2709" t="str">
        <f t="shared" si="228"/>
        <v>04720630633</v>
      </c>
      <c r="E2709" t="s">
        <v>52</v>
      </c>
      <c r="F2709">
        <v>2014</v>
      </c>
      <c r="G2709">
        <v>13687</v>
      </c>
      <c r="H2709" s="1">
        <v>41858</v>
      </c>
      <c r="I2709" s="1">
        <v>41935</v>
      </c>
      <c r="J2709" s="1">
        <v>41935</v>
      </c>
      <c r="K2709" s="1">
        <v>41995</v>
      </c>
      <c r="N2709" s="5"/>
      <c r="O2709">
        <v>805.2</v>
      </c>
      <c r="P2709">
        <v>133</v>
      </c>
      <c r="Q2709" s="2">
        <v>107091.6</v>
      </c>
      <c r="R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 s="1">
        <v>42382</v>
      </c>
      <c r="AC2709" t="s">
        <v>53</v>
      </c>
      <c r="AD2709" t="s">
        <v>53</v>
      </c>
      <c r="AK2709">
        <v>0</v>
      </c>
      <c r="AU2709" s="6">
        <v>42128</v>
      </c>
      <c r="AV2709" s="6">
        <v>42128</v>
      </c>
      <c r="AW2709" t="s">
        <v>54</v>
      </c>
      <c r="AX2709" t="str">
        <f t="shared" si="226"/>
        <v>FOR</v>
      </c>
      <c r="AY2709" t="s">
        <v>55</v>
      </c>
    </row>
    <row r="2710" spans="1:51" hidden="1">
      <c r="A2710">
        <v>100879</v>
      </c>
      <c r="B2710" t="s">
        <v>301</v>
      </c>
      <c r="C2710" t="str">
        <f t="shared" si="227"/>
        <v>01354901215</v>
      </c>
      <c r="D2710" t="str">
        <f t="shared" si="228"/>
        <v>04720630633</v>
      </c>
      <c r="E2710" t="s">
        <v>52</v>
      </c>
      <c r="F2710">
        <v>2014</v>
      </c>
      <c r="G2710">
        <v>14325</v>
      </c>
      <c r="H2710" s="1">
        <v>41880</v>
      </c>
      <c r="I2710" s="1">
        <v>41935</v>
      </c>
      <c r="J2710" s="1">
        <v>41935</v>
      </c>
      <c r="K2710" s="1">
        <v>41995</v>
      </c>
      <c r="N2710" s="5"/>
      <c r="O2710">
        <v>47.26</v>
      </c>
      <c r="P2710">
        <v>133</v>
      </c>
      <c r="Q2710" s="2">
        <v>6285.58</v>
      </c>
      <c r="R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 s="1">
        <v>42382</v>
      </c>
      <c r="AC2710" t="s">
        <v>53</v>
      </c>
      <c r="AD2710" t="s">
        <v>53</v>
      </c>
      <c r="AK2710">
        <v>0</v>
      </c>
      <c r="AU2710" s="6">
        <v>42128</v>
      </c>
      <c r="AV2710" s="6">
        <v>42128</v>
      </c>
      <c r="AW2710" t="s">
        <v>54</v>
      </c>
      <c r="AX2710" t="str">
        <f t="shared" si="226"/>
        <v>FOR</v>
      </c>
      <c r="AY2710" t="s">
        <v>55</v>
      </c>
    </row>
    <row r="2711" spans="1:51" hidden="1">
      <c r="A2711">
        <v>100879</v>
      </c>
      <c r="B2711" t="s">
        <v>301</v>
      </c>
      <c r="C2711" t="str">
        <f t="shared" si="227"/>
        <v>01354901215</v>
      </c>
      <c r="D2711" t="str">
        <f t="shared" si="228"/>
        <v>04720630633</v>
      </c>
      <c r="E2711" t="s">
        <v>52</v>
      </c>
      <c r="F2711">
        <v>2014</v>
      </c>
      <c r="G2711">
        <v>14326</v>
      </c>
      <c r="H2711" s="1">
        <v>41880</v>
      </c>
      <c r="I2711" s="1">
        <v>41935</v>
      </c>
      <c r="J2711" s="1">
        <v>41935</v>
      </c>
      <c r="K2711" s="1">
        <v>41995</v>
      </c>
      <c r="N2711" s="5"/>
      <c r="O2711">
        <v>106.75</v>
      </c>
      <c r="P2711">
        <v>133</v>
      </c>
      <c r="Q2711" s="2">
        <v>14197.75</v>
      </c>
      <c r="R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 s="1">
        <v>42382</v>
      </c>
      <c r="AC2711" t="s">
        <v>53</v>
      </c>
      <c r="AD2711" t="s">
        <v>53</v>
      </c>
      <c r="AK2711">
        <v>0</v>
      </c>
      <c r="AU2711" s="6">
        <v>42128</v>
      </c>
      <c r="AV2711" s="6">
        <v>42128</v>
      </c>
      <c r="AW2711" t="s">
        <v>54</v>
      </c>
      <c r="AX2711" t="str">
        <f t="shared" si="226"/>
        <v>FOR</v>
      </c>
      <c r="AY2711" t="s">
        <v>55</v>
      </c>
    </row>
    <row r="2712" spans="1:51" hidden="1">
      <c r="A2712">
        <v>100879</v>
      </c>
      <c r="B2712" t="s">
        <v>301</v>
      </c>
      <c r="C2712" t="str">
        <f t="shared" si="227"/>
        <v>01354901215</v>
      </c>
      <c r="D2712" t="str">
        <f t="shared" si="228"/>
        <v>04720630633</v>
      </c>
      <c r="E2712" t="s">
        <v>52</v>
      </c>
      <c r="F2712">
        <v>2014</v>
      </c>
      <c r="G2712">
        <v>14327</v>
      </c>
      <c r="H2712" s="1">
        <v>41880</v>
      </c>
      <c r="I2712" s="1">
        <v>41935</v>
      </c>
      <c r="J2712" s="1">
        <v>41935</v>
      </c>
      <c r="K2712" s="1">
        <v>41995</v>
      </c>
      <c r="N2712" s="5"/>
      <c r="O2712" s="2">
        <v>1287.0999999999999</v>
      </c>
      <c r="P2712">
        <v>133</v>
      </c>
      <c r="Q2712" s="2">
        <v>171184.3</v>
      </c>
      <c r="R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 s="1">
        <v>42382</v>
      </c>
      <c r="AC2712" t="s">
        <v>53</v>
      </c>
      <c r="AD2712" t="s">
        <v>53</v>
      </c>
      <c r="AK2712">
        <v>0</v>
      </c>
      <c r="AU2712" s="6">
        <v>42128</v>
      </c>
      <c r="AV2712" s="6">
        <v>42128</v>
      </c>
      <c r="AW2712" t="s">
        <v>54</v>
      </c>
      <c r="AX2712" t="str">
        <f t="shared" si="226"/>
        <v>FOR</v>
      </c>
      <c r="AY2712" t="s">
        <v>55</v>
      </c>
    </row>
    <row r="2713" spans="1:51" hidden="1">
      <c r="A2713">
        <v>100879</v>
      </c>
      <c r="B2713" t="s">
        <v>301</v>
      </c>
      <c r="C2713" t="str">
        <f t="shared" si="227"/>
        <v>01354901215</v>
      </c>
      <c r="D2713" t="str">
        <f t="shared" si="228"/>
        <v>04720630633</v>
      </c>
      <c r="E2713" t="s">
        <v>52</v>
      </c>
      <c r="F2713">
        <v>2014</v>
      </c>
      <c r="G2713">
        <v>14589</v>
      </c>
      <c r="H2713" s="1">
        <v>41887</v>
      </c>
      <c r="I2713" s="1">
        <v>41929</v>
      </c>
      <c r="J2713" s="1">
        <v>41929</v>
      </c>
      <c r="K2713" s="1">
        <v>41989</v>
      </c>
      <c r="N2713" s="5"/>
      <c r="O2713">
        <v>15.75</v>
      </c>
      <c r="P2713">
        <v>139</v>
      </c>
      <c r="Q2713" s="2">
        <v>2189.25</v>
      </c>
      <c r="R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 s="1">
        <v>42382</v>
      </c>
      <c r="AC2713" t="s">
        <v>53</v>
      </c>
      <c r="AD2713" t="s">
        <v>53</v>
      </c>
      <c r="AK2713">
        <v>0</v>
      </c>
      <c r="AU2713" s="6">
        <v>42128</v>
      </c>
      <c r="AV2713" s="6">
        <v>42128</v>
      </c>
      <c r="AW2713" t="s">
        <v>54</v>
      </c>
      <c r="AX2713" t="str">
        <f t="shared" si="226"/>
        <v>FOR</v>
      </c>
      <c r="AY2713" t="s">
        <v>55</v>
      </c>
    </row>
    <row r="2714" spans="1:51" hidden="1">
      <c r="A2714">
        <v>100879</v>
      </c>
      <c r="B2714" t="s">
        <v>301</v>
      </c>
      <c r="C2714" t="str">
        <f t="shared" si="227"/>
        <v>01354901215</v>
      </c>
      <c r="D2714" t="str">
        <f t="shared" si="228"/>
        <v>04720630633</v>
      </c>
      <c r="E2714" t="s">
        <v>52</v>
      </c>
      <c r="F2714">
        <v>2014</v>
      </c>
      <c r="G2714">
        <v>14928</v>
      </c>
      <c r="H2714" s="1">
        <v>41894</v>
      </c>
      <c r="I2714" s="1">
        <v>41929</v>
      </c>
      <c r="J2714" s="1">
        <v>41929</v>
      </c>
      <c r="K2714" s="1">
        <v>41989</v>
      </c>
      <c r="N2714" s="5"/>
      <c r="O2714">
        <v>134.19999999999999</v>
      </c>
      <c r="P2714">
        <v>139</v>
      </c>
      <c r="Q2714" s="2">
        <v>18653.8</v>
      </c>
      <c r="R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 s="1">
        <v>42382</v>
      </c>
      <c r="AC2714" t="s">
        <v>53</v>
      </c>
      <c r="AD2714" t="s">
        <v>53</v>
      </c>
      <c r="AK2714">
        <v>0</v>
      </c>
      <c r="AU2714" s="6">
        <v>42128</v>
      </c>
      <c r="AV2714" s="6">
        <v>42128</v>
      </c>
      <c r="AW2714" t="s">
        <v>54</v>
      </c>
      <c r="AX2714" t="str">
        <f t="shared" si="226"/>
        <v>FOR</v>
      </c>
      <c r="AY2714" t="s">
        <v>55</v>
      </c>
    </row>
    <row r="2715" spans="1:51" hidden="1">
      <c r="A2715">
        <v>100879</v>
      </c>
      <c r="B2715" t="s">
        <v>301</v>
      </c>
      <c r="C2715" t="str">
        <f t="shared" si="227"/>
        <v>01354901215</v>
      </c>
      <c r="D2715" t="str">
        <f t="shared" si="228"/>
        <v>04720630633</v>
      </c>
      <c r="E2715" t="s">
        <v>52</v>
      </c>
      <c r="F2715">
        <v>2014</v>
      </c>
      <c r="G2715">
        <v>14929</v>
      </c>
      <c r="H2715" s="1">
        <v>41894</v>
      </c>
      <c r="I2715" s="1">
        <v>41929</v>
      </c>
      <c r="J2715" s="1">
        <v>41929</v>
      </c>
      <c r="K2715" s="1">
        <v>41989</v>
      </c>
      <c r="N2715" s="5"/>
      <c r="O2715">
        <v>542.9</v>
      </c>
      <c r="P2715">
        <v>139</v>
      </c>
      <c r="Q2715" s="2">
        <v>75463.100000000006</v>
      </c>
      <c r="R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 s="1">
        <v>42382</v>
      </c>
      <c r="AC2715" t="s">
        <v>53</v>
      </c>
      <c r="AD2715" t="s">
        <v>53</v>
      </c>
      <c r="AK2715">
        <v>0</v>
      </c>
      <c r="AU2715" s="6">
        <v>42128</v>
      </c>
      <c r="AV2715" s="6">
        <v>42128</v>
      </c>
      <c r="AW2715" t="s">
        <v>54</v>
      </c>
      <c r="AX2715" t="str">
        <f t="shared" si="226"/>
        <v>FOR</v>
      </c>
      <c r="AY2715" t="s">
        <v>55</v>
      </c>
    </row>
    <row r="2716" spans="1:51" hidden="1">
      <c r="A2716">
        <v>100879</v>
      </c>
      <c r="B2716" t="s">
        <v>301</v>
      </c>
      <c r="C2716" t="str">
        <f t="shared" si="227"/>
        <v>01354901215</v>
      </c>
      <c r="D2716" t="str">
        <f t="shared" si="228"/>
        <v>04720630633</v>
      </c>
      <c r="E2716" t="s">
        <v>52</v>
      </c>
      <c r="F2716">
        <v>2014</v>
      </c>
      <c r="G2716">
        <v>14930</v>
      </c>
      <c r="H2716" s="1">
        <v>41894</v>
      </c>
      <c r="I2716" s="1">
        <v>41929</v>
      </c>
      <c r="J2716" s="1">
        <v>41929</v>
      </c>
      <c r="K2716" s="1">
        <v>41989</v>
      </c>
      <c r="N2716" s="5"/>
      <c r="O2716">
        <v>536.79999999999995</v>
      </c>
      <c r="P2716">
        <v>139</v>
      </c>
      <c r="Q2716" s="2">
        <v>74615.199999999997</v>
      </c>
      <c r="R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 s="1">
        <v>42382</v>
      </c>
      <c r="AC2716" t="s">
        <v>53</v>
      </c>
      <c r="AD2716" t="s">
        <v>53</v>
      </c>
      <c r="AK2716">
        <v>0</v>
      </c>
      <c r="AU2716" s="6">
        <v>42128</v>
      </c>
      <c r="AV2716" s="6">
        <v>42128</v>
      </c>
      <c r="AW2716" t="s">
        <v>54</v>
      </c>
      <c r="AX2716" t="str">
        <f t="shared" si="226"/>
        <v>FOR</v>
      </c>
      <c r="AY2716" t="s">
        <v>55</v>
      </c>
    </row>
    <row r="2717" spans="1:51" hidden="1">
      <c r="A2717">
        <v>100879</v>
      </c>
      <c r="B2717" t="s">
        <v>301</v>
      </c>
      <c r="C2717" t="str">
        <f t="shared" si="227"/>
        <v>01354901215</v>
      </c>
      <c r="D2717" t="str">
        <f t="shared" si="228"/>
        <v>04720630633</v>
      </c>
      <c r="E2717" t="s">
        <v>52</v>
      </c>
      <c r="F2717">
        <v>2014</v>
      </c>
      <c r="G2717">
        <v>14931</v>
      </c>
      <c r="H2717" s="1">
        <v>41894</v>
      </c>
      <c r="I2717" s="1">
        <v>41929</v>
      </c>
      <c r="J2717" s="1">
        <v>41929</v>
      </c>
      <c r="K2717" s="1">
        <v>41989</v>
      </c>
      <c r="N2717" s="5"/>
      <c r="O2717">
        <v>724.68</v>
      </c>
      <c r="P2717">
        <v>139</v>
      </c>
      <c r="Q2717" s="2">
        <v>100730.52</v>
      </c>
      <c r="R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 s="1">
        <v>42382</v>
      </c>
      <c r="AC2717" t="s">
        <v>53</v>
      </c>
      <c r="AD2717" t="s">
        <v>53</v>
      </c>
      <c r="AK2717">
        <v>0</v>
      </c>
      <c r="AU2717" s="6">
        <v>42128</v>
      </c>
      <c r="AV2717" s="6">
        <v>42128</v>
      </c>
      <c r="AW2717" t="s">
        <v>54</v>
      </c>
      <c r="AX2717" t="str">
        <f t="shared" si="226"/>
        <v>FOR</v>
      </c>
      <c r="AY2717" t="s">
        <v>55</v>
      </c>
    </row>
    <row r="2718" spans="1:51" hidden="1">
      <c r="A2718">
        <v>100879</v>
      </c>
      <c r="B2718" t="s">
        <v>301</v>
      </c>
      <c r="C2718" t="str">
        <f t="shared" si="227"/>
        <v>01354901215</v>
      </c>
      <c r="D2718" t="str">
        <f t="shared" si="228"/>
        <v>04720630633</v>
      </c>
      <c r="E2718" t="s">
        <v>52</v>
      </c>
      <c r="F2718">
        <v>2014</v>
      </c>
      <c r="G2718">
        <v>14932</v>
      </c>
      <c r="H2718" s="1">
        <v>41894</v>
      </c>
      <c r="I2718" s="1">
        <v>41929</v>
      </c>
      <c r="J2718" s="1">
        <v>41929</v>
      </c>
      <c r="K2718" s="1">
        <v>41989</v>
      </c>
      <c r="N2718" s="5"/>
      <c r="O2718">
        <v>241.56</v>
      </c>
      <c r="P2718">
        <v>139</v>
      </c>
      <c r="Q2718" s="2">
        <v>33576.839999999997</v>
      </c>
      <c r="R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 s="1">
        <v>42382</v>
      </c>
      <c r="AC2718" t="s">
        <v>53</v>
      </c>
      <c r="AD2718" t="s">
        <v>53</v>
      </c>
      <c r="AK2718">
        <v>0</v>
      </c>
      <c r="AU2718" s="6">
        <v>42128</v>
      </c>
      <c r="AV2718" s="6">
        <v>42128</v>
      </c>
      <c r="AW2718" t="s">
        <v>54</v>
      </c>
      <c r="AX2718" t="str">
        <f t="shared" si="226"/>
        <v>FOR</v>
      </c>
      <c r="AY2718" t="s">
        <v>55</v>
      </c>
    </row>
    <row r="2719" spans="1:51" hidden="1">
      <c r="A2719">
        <v>100879</v>
      </c>
      <c r="B2719" t="s">
        <v>301</v>
      </c>
      <c r="C2719" t="str">
        <f t="shared" si="227"/>
        <v>01354901215</v>
      </c>
      <c r="D2719" t="str">
        <f t="shared" si="228"/>
        <v>04720630633</v>
      </c>
      <c r="E2719" t="s">
        <v>52</v>
      </c>
      <c r="F2719">
        <v>2014</v>
      </c>
      <c r="G2719">
        <v>15310</v>
      </c>
      <c r="H2719" s="1">
        <v>41901</v>
      </c>
      <c r="I2719" s="1">
        <v>41941</v>
      </c>
      <c r="J2719" s="1">
        <v>41941</v>
      </c>
      <c r="K2719" s="1">
        <v>42001</v>
      </c>
      <c r="N2719" s="5"/>
      <c r="O2719" s="2">
        <v>1403</v>
      </c>
      <c r="P2719">
        <v>127</v>
      </c>
      <c r="Q2719" s="2">
        <v>178181</v>
      </c>
      <c r="R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 s="1">
        <v>42382</v>
      </c>
      <c r="AC2719" t="s">
        <v>53</v>
      </c>
      <c r="AD2719" t="s">
        <v>53</v>
      </c>
      <c r="AK2719">
        <v>0</v>
      </c>
      <c r="AU2719" s="6">
        <v>42128</v>
      </c>
      <c r="AV2719" s="6">
        <v>42128</v>
      </c>
      <c r="AW2719" t="s">
        <v>54</v>
      </c>
      <c r="AX2719" t="str">
        <f t="shared" si="226"/>
        <v>FOR</v>
      </c>
      <c r="AY2719" t="s">
        <v>55</v>
      </c>
    </row>
    <row r="2720" spans="1:51" hidden="1">
      <c r="A2720">
        <v>100879</v>
      </c>
      <c r="B2720" t="s">
        <v>301</v>
      </c>
      <c r="C2720" t="str">
        <f t="shared" si="227"/>
        <v>01354901215</v>
      </c>
      <c r="D2720" t="str">
        <f t="shared" si="228"/>
        <v>04720630633</v>
      </c>
      <c r="E2720" t="s">
        <v>52</v>
      </c>
      <c r="F2720">
        <v>2014</v>
      </c>
      <c r="G2720">
        <v>15311</v>
      </c>
      <c r="H2720" s="1">
        <v>41901</v>
      </c>
      <c r="I2720" s="1">
        <v>41941</v>
      </c>
      <c r="J2720" s="1">
        <v>41941</v>
      </c>
      <c r="K2720" s="1">
        <v>42001</v>
      </c>
      <c r="N2720" s="5"/>
      <c r="O2720">
        <v>793</v>
      </c>
      <c r="P2720">
        <v>127</v>
      </c>
      <c r="Q2720" s="2">
        <v>100711</v>
      </c>
      <c r="R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 s="1">
        <v>42382</v>
      </c>
      <c r="AC2720" t="s">
        <v>53</v>
      </c>
      <c r="AD2720" t="s">
        <v>53</v>
      </c>
      <c r="AK2720">
        <v>0</v>
      </c>
      <c r="AU2720" s="6">
        <v>42128</v>
      </c>
      <c r="AV2720" s="6">
        <v>42128</v>
      </c>
      <c r="AW2720" t="s">
        <v>54</v>
      </c>
      <c r="AX2720" t="str">
        <f t="shared" si="226"/>
        <v>FOR</v>
      </c>
      <c r="AY2720" t="s">
        <v>55</v>
      </c>
    </row>
    <row r="2721" spans="1:51" hidden="1">
      <c r="A2721">
        <v>100879</v>
      </c>
      <c r="B2721" t="s">
        <v>301</v>
      </c>
      <c r="C2721" t="str">
        <f t="shared" si="227"/>
        <v>01354901215</v>
      </c>
      <c r="D2721" t="str">
        <f t="shared" si="228"/>
        <v>04720630633</v>
      </c>
      <c r="E2721" t="s">
        <v>52</v>
      </c>
      <c r="F2721">
        <v>2014</v>
      </c>
      <c r="G2721">
        <v>15669</v>
      </c>
      <c r="H2721" s="1">
        <v>41908</v>
      </c>
      <c r="I2721" s="1">
        <v>41946</v>
      </c>
      <c r="J2721" s="1">
        <v>41946</v>
      </c>
      <c r="K2721" s="1">
        <v>42006</v>
      </c>
      <c r="N2721" s="5"/>
      <c r="O2721" s="2">
        <v>2657.16</v>
      </c>
      <c r="P2721">
        <v>122</v>
      </c>
      <c r="Q2721" s="2">
        <v>324173.52</v>
      </c>
      <c r="R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 s="1">
        <v>42382</v>
      </c>
      <c r="AC2721" t="s">
        <v>53</v>
      </c>
      <c r="AD2721" t="s">
        <v>53</v>
      </c>
      <c r="AK2721">
        <v>0</v>
      </c>
      <c r="AU2721" s="6">
        <v>42128</v>
      </c>
      <c r="AV2721" s="6">
        <v>42128</v>
      </c>
      <c r="AW2721" t="s">
        <v>54</v>
      </c>
      <c r="AX2721" t="str">
        <f t="shared" si="226"/>
        <v>FOR</v>
      </c>
      <c r="AY2721" t="s">
        <v>55</v>
      </c>
    </row>
    <row r="2722" spans="1:51" hidden="1">
      <c r="A2722">
        <v>100879</v>
      </c>
      <c r="B2722" t="s">
        <v>301</v>
      </c>
      <c r="C2722" t="str">
        <f t="shared" si="227"/>
        <v>01354901215</v>
      </c>
      <c r="D2722" t="str">
        <f t="shared" si="228"/>
        <v>04720630633</v>
      </c>
      <c r="E2722" t="s">
        <v>52</v>
      </c>
      <c r="F2722">
        <v>2014</v>
      </c>
      <c r="G2722">
        <v>15670</v>
      </c>
      <c r="H2722" s="1">
        <v>41908</v>
      </c>
      <c r="I2722" s="1">
        <v>41946</v>
      </c>
      <c r="J2722" s="1">
        <v>41946</v>
      </c>
      <c r="K2722" s="1">
        <v>42006</v>
      </c>
      <c r="N2722" s="5"/>
      <c r="O2722">
        <v>213.5</v>
      </c>
      <c r="P2722">
        <v>122</v>
      </c>
      <c r="Q2722" s="2">
        <v>26047</v>
      </c>
      <c r="R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 s="1">
        <v>42382</v>
      </c>
      <c r="AC2722" t="s">
        <v>53</v>
      </c>
      <c r="AD2722" t="s">
        <v>53</v>
      </c>
      <c r="AK2722">
        <v>0</v>
      </c>
      <c r="AU2722" s="6">
        <v>42128</v>
      </c>
      <c r="AV2722" s="6">
        <v>42128</v>
      </c>
      <c r="AW2722" t="s">
        <v>54</v>
      </c>
      <c r="AX2722" t="str">
        <f t="shared" si="226"/>
        <v>FOR</v>
      </c>
      <c r="AY2722" t="s">
        <v>55</v>
      </c>
    </row>
    <row r="2723" spans="1:51" hidden="1">
      <c r="A2723">
        <v>100879</v>
      </c>
      <c r="B2723" t="s">
        <v>301</v>
      </c>
      <c r="C2723" t="str">
        <f t="shared" si="227"/>
        <v>01354901215</v>
      </c>
      <c r="D2723" t="str">
        <f t="shared" si="228"/>
        <v>04720630633</v>
      </c>
      <c r="E2723" t="s">
        <v>52</v>
      </c>
      <c r="F2723">
        <v>2014</v>
      </c>
      <c r="G2723">
        <v>16741</v>
      </c>
      <c r="H2723" s="1">
        <v>41927</v>
      </c>
      <c r="I2723" s="1">
        <v>41950</v>
      </c>
      <c r="J2723" s="1">
        <v>41950</v>
      </c>
      <c r="K2723" s="1">
        <v>42010</v>
      </c>
      <c r="N2723" s="5"/>
      <c r="O2723">
        <v>678.32</v>
      </c>
      <c r="P2723">
        <v>118</v>
      </c>
      <c r="Q2723" s="2">
        <v>80041.759999999995</v>
      </c>
      <c r="R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 s="1">
        <v>42382</v>
      </c>
      <c r="AC2723" t="s">
        <v>53</v>
      </c>
      <c r="AD2723" t="s">
        <v>53</v>
      </c>
      <c r="AK2723">
        <v>0</v>
      </c>
      <c r="AU2723" s="6">
        <v>42128</v>
      </c>
      <c r="AV2723" s="6">
        <v>42128</v>
      </c>
      <c r="AW2723" t="s">
        <v>54</v>
      </c>
      <c r="AX2723" t="str">
        <f t="shared" si="226"/>
        <v>FOR</v>
      </c>
      <c r="AY2723" t="s">
        <v>55</v>
      </c>
    </row>
    <row r="2724" spans="1:51" hidden="1">
      <c r="A2724">
        <v>100879</v>
      </c>
      <c r="B2724" t="s">
        <v>301</v>
      </c>
      <c r="C2724" t="str">
        <f t="shared" si="227"/>
        <v>01354901215</v>
      </c>
      <c r="D2724" t="str">
        <f t="shared" si="228"/>
        <v>04720630633</v>
      </c>
      <c r="E2724" t="s">
        <v>52</v>
      </c>
      <c r="F2724">
        <v>2014</v>
      </c>
      <c r="G2724">
        <v>16742</v>
      </c>
      <c r="H2724" s="1">
        <v>41927</v>
      </c>
      <c r="I2724" s="1">
        <v>41950</v>
      </c>
      <c r="J2724" s="1">
        <v>41950</v>
      </c>
      <c r="K2724" s="1">
        <v>42010</v>
      </c>
      <c r="N2724" s="5"/>
      <c r="O2724">
        <v>427</v>
      </c>
      <c r="P2724">
        <v>118</v>
      </c>
      <c r="Q2724" s="2">
        <v>50386</v>
      </c>
      <c r="R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 s="1">
        <v>42382</v>
      </c>
      <c r="AC2724" t="s">
        <v>53</v>
      </c>
      <c r="AD2724" t="s">
        <v>53</v>
      </c>
      <c r="AK2724">
        <v>0</v>
      </c>
      <c r="AU2724" s="6">
        <v>42128</v>
      </c>
      <c r="AV2724" s="6">
        <v>42128</v>
      </c>
      <c r="AW2724" t="s">
        <v>54</v>
      </c>
      <c r="AX2724" t="str">
        <f t="shared" si="226"/>
        <v>FOR</v>
      </c>
      <c r="AY2724" t="s">
        <v>55</v>
      </c>
    </row>
    <row r="2725" spans="1:51" hidden="1">
      <c r="A2725">
        <v>100879</v>
      </c>
      <c r="B2725" t="s">
        <v>301</v>
      </c>
      <c r="C2725" t="str">
        <f t="shared" si="227"/>
        <v>01354901215</v>
      </c>
      <c r="D2725" t="str">
        <f t="shared" si="228"/>
        <v>04720630633</v>
      </c>
      <c r="E2725" t="s">
        <v>52</v>
      </c>
      <c r="F2725">
        <v>2014</v>
      </c>
      <c r="G2725">
        <v>17132</v>
      </c>
      <c r="H2725" s="1">
        <v>41934</v>
      </c>
      <c r="I2725" s="1">
        <v>41955</v>
      </c>
      <c r="J2725" s="1">
        <v>41955</v>
      </c>
      <c r="K2725" s="1">
        <v>42015</v>
      </c>
      <c r="N2725" s="5"/>
      <c r="O2725" s="2">
        <v>1222.44</v>
      </c>
      <c r="P2725">
        <v>113</v>
      </c>
      <c r="Q2725" s="2">
        <v>138135.72</v>
      </c>
      <c r="R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 s="1">
        <v>42382</v>
      </c>
      <c r="AC2725" t="s">
        <v>53</v>
      </c>
      <c r="AD2725" t="s">
        <v>53</v>
      </c>
      <c r="AK2725">
        <v>0</v>
      </c>
      <c r="AU2725" s="6">
        <v>42128</v>
      </c>
      <c r="AV2725" s="6">
        <v>42128</v>
      </c>
      <c r="AW2725" t="s">
        <v>54</v>
      </c>
      <c r="AX2725" t="str">
        <f t="shared" si="226"/>
        <v>FOR</v>
      </c>
      <c r="AY2725" t="s">
        <v>55</v>
      </c>
    </row>
    <row r="2726" spans="1:51" hidden="1">
      <c r="A2726">
        <v>100879</v>
      </c>
      <c r="B2726" t="s">
        <v>301</v>
      </c>
      <c r="C2726" t="str">
        <f t="shared" ref="C2726:C2757" si="229">"01354901215"</f>
        <v>01354901215</v>
      </c>
      <c r="D2726" t="str">
        <f t="shared" ref="D2726:D2757" si="230">"04720630633"</f>
        <v>04720630633</v>
      </c>
      <c r="E2726" t="s">
        <v>52</v>
      </c>
      <c r="F2726">
        <v>2014</v>
      </c>
      <c r="G2726">
        <v>17527</v>
      </c>
      <c r="H2726" s="1">
        <v>41940</v>
      </c>
      <c r="I2726" s="1">
        <v>41955</v>
      </c>
      <c r="J2726" s="1">
        <v>41955</v>
      </c>
      <c r="K2726" s="1">
        <v>42015</v>
      </c>
      <c r="N2726" s="5"/>
      <c r="O2726">
        <v>320.76</v>
      </c>
      <c r="P2726">
        <v>113</v>
      </c>
      <c r="Q2726" s="2">
        <v>36245.879999999997</v>
      </c>
      <c r="R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 s="1">
        <v>42382</v>
      </c>
      <c r="AC2726" t="s">
        <v>53</v>
      </c>
      <c r="AD2726" t="s">
        <v>53</v>
      </c>
      <c r="AK2726">
        <v>0</v>
      </c>
      <c r="AU2726" s="6">
        <v>42128</v>
      </c>
      <c r="AV2726" s="6">
        <v>42128</v>
      </c>
      <c r="AW2726" t="s">
        <v>54</v>
      </c>
      <c r="AX2726" t="str">
        <f t="shared" si="226"/>
        <v>FOR</v>
      </c>
      <c r="AY2726" t="s">
        <v>55</v>
      </c>
    </row>
    <row r="2727" spans="1:51" hidden="1">
      <c r="A2727">
        <v>100879</v>
      </c>
      <c r="B2727" t="s">
        <v>301</v>
      </c>
      <c r="C2727" t="str">
        <f t="shared" si="229"/>
        <v>01354901215</v>
      </c>
      <c r="D2727" t="str">
        <f t="shared" si="230"/>
        <v>04720630633</v>
      </c>
      <c r="E2727" t="s">
        <v>52</v>
      </c>
      <c r="F2727">
        <v>2014</v>
      </c>
      <c r="G2727">
        <v>17528</v>
      </c>
      <c r="H2727" s="1">
        <v>41940</v>
      </c>
      <c r="I2727" s="1">
        <v>41955</v>
      </c>
      <c r="J2727" s="1">
        <v>41955</v>
      </c>
      <c r="K2727" s="1">
        <v>42015</v>
      </c>
      <c r="N2727" s="5"/>
      <c r="O2727">
        <v>268.39999999999998</v>
      </c>
      <c r="P2727">
        <v>113</v>
      </c>
      <c r="Q2727" s="2">
        <v>30329.200000000001</v>
      </c>
      <c r="R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 s="1">
        <v>42382</v>
      </c>
      <c r="AC2727" t="s">
        <v>53</v>
      </c>
      <c r="AD2727" t="s">
        <v>53</v>
      </c>
      <c r="AK2727">
        <v>0</v>
      </c>
      <c r="AU2727" s="6">
        <v>42128</v>
      </c>
      <c r="AV2727" s="6">
        <v>42128</v>
      </c>
      <c r="AW2727" t="s">
        <v>54</v>
      </c>
      <c r="AX2727" t="str">
        <f t="shared" si="226"/>
        <v>FOR</v>
      </c>
      <c r="AY2727" t="s">
        <v>55</v>
      </c>
    </row>
    <row r="2728" spans="1:51" hidden="1">
      <c r="A2728">
        <v>100879</v>
      </c>
      <c r="B2728" t="s">
        <v>301</v>
      </c>
      <c r="C2728" t="str">
        <f t="shared" si="229"/>
        <v>01354901215</v>
      </c>
      <c r="D2728" t="str">
        <f t="shared" si="230"/>
        <v>04720630633</v>
      </c>
      <c r="E2728" t="s">
        <v>52</v>
      </c>
      <c r="F2728">
        <v>2014</v>
      </c>
      <c r="G2728">
        <v>17529</v>
      </c>
      <c r="H2728" s="1">
        <v>41940</v>
      </c>
      <c r="I2728" s="1">
        <v>41955</v>
      </c>
      <c r="J2728" s="1">
        <v>41955</v>
      </c>
      <c r="K2728" s="1">
        <v>42015</v>
      </c>
      <c r="N2728" s="5"/>
      <c r="O2728">
        <v>97.6</v>
      </c>
      <c r="P2728">
        <v>113</v>
      </c>
      <c r="Q2728" s="2">
        <v>11028.8</v>
      </c>
      <c r="R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 s="1">
        <v>42382</v>
      </c>
      <c r="AC2728" t="s">
        <v>53</v>
      </c>
      <c r="AD2728" t="s">
        <v>53</v>
      </c>
      <c r="AK2728">
        <v>0</v>
      </c>
      <c r="AU2728" s="6">
        <v>42128</v>
      </c>
      <c r="AV2728" s="6">
        <v>42128</v>
      </c>
      <c r="AW2728" t="s">
        <v>54</v>
      </c>
      <c r="AX2728" t="str">
        <f t="shared" si="226"/>
        <v>FOR</v>
      </c>
      <c r="AY2728" t="s">
        <v>55</v>
      </c>
    </row>
    <row r="2729" spans="1:51" hidden="1">
      <c r="A2729">
        <v>100879</v>
      </c>
      <c r="B2729" t="s">
        <v>301</v>
      </c>
      <c r="C2729" t="str">
        <f t="shared" si="229"/>
        <v>01354901215</v>
      </c>
      <c r="D2729" t="str">
        <f t="shared" si="230"/>
        <v>04720630633</v>
      </c>
      <c r="E2729" t="s">
        <v>52</v>
      </c>
      <c r="F2729">
        <v>2014</v>
      </c>
      <c r="G2729">
        <v>17530</v>
      </c>
      <c r="H2729" s="1">
        <v>41940</v>
      </c>
      <c r="I2729" s="1">
        <v>41955</v>
      </c>
      <c r="J2729" s="1">
        <v>41955</v>
      </c>
      <c r="K2729" s="1">
        <v>42015</v>
      </c>
      <c r="N2729" s="5"/>
      <c r="O2729">
        <v>268.39999999999998</v>
      </c>
      <c r="P2729">
        <v>113</v>
      </c>
      <c r="Q2729" s="2">
        <v>30329.200000000001</v>
      </c>
      <c r="R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 s="1">
        <v>42382</v>
      </c>
      <c r="AC2729" t="s">
        <v>53</v>
      </c>
      <c r="AD2729" t="s">
        <v>53</v>
      </c>
      <c r="AK2729">
        <v>0</v>
      </c>
      <c r="AU2729" s="6">
        <v>42128</v>
      </c>
      <c r="AV2729" s="6">
        <v>42128</v>
      </c>
      <c r="AW2729" t="s">
        <v>54</v>
      </c>
      <c r="AX2729" t="str">
        <f t="shared" si="226"/>
        <v>FOR</v>
      </c>
      <c r="AY2729" t="s">
        <v>55</v>
      </c>
    </row>
    <row r="2730" spans="1:51" hidden="1">
      <c r="A2730">
        <v>100879</v>
      </c>
      <c r="B2730" t="s">
        <v>301</v>
      </c>
      <c r="C2730" t="str">
        <f t="shared" si="229"/>
        <v>01354901215</v>
      </c>
      <c r="D2730" t="str">
        <f t="shared" si="230"/>
        <v>04720630633</v>
      </c>
      <c r="E2730" t="s">
        <v>52</v>
      </c>
      <c r="F2730">
        <v>2014</v>
      </c>
      <c r="G2730">
        <v>18441</v>
      </c>
      <c r="H2730" s="1">
        <v>41956</v>
      </c>
      <c r="I2730" s="1">
        <v>41964</v>
      </c>
      <c r="J2730" s="1">
        <v>41964</v>
      </c>
      <c r="K2730" s="1">
        <v>42024</v>
      </c>
      <c r="N2730" s="5"/>
      <c r="O2730">
        <v>268.39999999999998</v>
      </c>
      <c r="P2730">
        <v>104</v>
      </c>
      <c r="Q2730" s="2">
        <v>27913.599999999999</v>
      </c>
      <c r="R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 s="1">
        <v>42382</v>
      </c>
      <c r="AC2730" t="s">
        <v>53</v>
      </c>
      <c r="AD2730" t="s">
        <v>53</v>
      </c>
      <c r="AK2730">
        <v>0</v>
      </c>
      <c r="AU2730" s="6">
        <v>42128</v>
      </c>
      <c r="AV2730" s="6">
        <v>42128</v>
      </c>
      <c r="AW2730" t="s">
        <v>54</v>
      </c>
      <c r="AX2730" t="str">
        <f t="shared" si="226"/>
        <v>FOR</v>
      </c>
      <c r="AY2730" t="s">
        <v>55</v>
      </c>
    </row>
    <row r="2731" spans="1:51" hidden="1">
      <c r="A2731">
        <v>100879</v>
      </c>
      <c r="B2731" t="s">
        <v>301</v>
      </c>
      <c r="C2731" t="str">
        <f t="shared" si="229"/>
        <v>01354901215</v>
      </c>
      <c r="D2731" t="str">
        <f t="shared" si="230"/>
        <v>04720630633</v>
      </c>
      <c r="E2731" t="s">
        <v>52</v>
      </c>
      <c r="F2731">
        <v>2014</v>
      </c>
      <c r="G2731">
        <v>18442</v>
      </c>
      <c r="H2731" s="1">
        <v>41956</v>
      </c>
      <c r="I2731" s="1">
        <v>41964</v>
      </c>
      <c r="J2731" s="1">
        <v>41964</v>
      </c>
      <c r="K2731" s="1">
        <v>42024</v>
      </c>
      <c r="N2731" s="5"/>
      <c r="O2731">
        <v>213.5</v>
      </c>
      <c r="P2731">
        <v>104</v>
      </c>
      <c r="Q2731" s="2">
        <v>22204</v>
      </c>
      <c r="R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 s="1">
        <v>42382</v>
      </c>
      <c r="AC2731" t="s">
        <v>53</v>
      </c>
      <c r="AD2731" t="s">
        <v>53</v>
      </c>
      <c r="AK2731">
        <v>0</v>
      </c>
      <c r="AU2731" s="6">
        <v>42128</v>
      </c>
      <c r="AV2731" s="6">
        <v>42128</v>
      </c>
      <c r="AW2731" t="s">
        <v>54</v>
      </c>
      <c r="AX2731" t="str">
        <f t="shared" si="226"/>
        <v>FOR</v>
      </c>
      <c r="AY2731" t="s">
        <v>55</v>
      </c>
    </row>
    <row r="2732" spans="1:51" hidden="1">
      <c r="A2732">
        <v>100879</v>
      </c>
      <c r="B2732" t="s">
        <v>301</v>
      </c>
      <c r="C2732" t="str">
        <f t="shared" si="229"/>
        <v>01354901215</v>
      </c>
      <c r="D2732" t="str">
        <f t="shared" si="230"/>
        <v>04720630633</v>
      </c>
      <c r="E2732" t="s">
        <v>52</v>
      </c>
      <c r="F2732">
        <v>2014</v>
      </c>
      <c r="G2732">
        <v>18820</v>
      </c>
      <c r="H2732" s="1">
        <v>41963</v>
      </c>
      <c r="I2732" s="1">
        <v>41971</v>
      </c>
      <c r="J2732" s="1">
        <v>41971</v>
      </c>
      <c r="K2732" s="1">
        <v>42031</v>
      </c>
      <c r="N2732" s="5"/>
      <c r="O2732" s="2">
        <v>1683.6</v>
      </c>
      <c r="P2732">
        <v>97</v>
      </c>
      <c r="Q2732" s="2">
        <v>163309.20000000001</v>
      </c>
      <c r="R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 s="1">
        <v>42382</v>
      </c>
      <c r="AC2732" t="s">
        <v>53</v>
      </c>
      <c r="AD2732" t="s">
        <v>53</v>
      </c>
      <c r="AK2732">
        <v>0</v>
      </c>
      <c r="AU2732" s="6">
        <v>42128</v>
      </c>
      <c r="AV2732" s="6">
        <v>42128</v>
      </c>
      <c r="AW2732" t="s">
        <v>54</v>
      </c>
      <c r="AX2732" t="str">
        <f t="shared" si="226"/>
        <v>FOR</v>
      </c>
      <c r="AY2732" t="s">
        <v>55</v>
      </c>
    </row>
    <row r="2733" spans="1:51" hidden="1">
      <c r="A2733">
        <v>100879</v>
      </c>
      <c r="B2733" t="s">
        <v>301</v>
      </c>
      <c r="C2733" t="str">
        <f t="shared" si="229"/>
        <v>01354901215</v>
      </c>
      <c r="D2733" t="str">
        <f t="shared" si="230"/>
        <v>04720630633</v>
      </c>
      <c r="E2733" t="s">
        <v>52</v>
      </c>
      <c r="F2733">
        <v>2014</v>
      </c>
      <c r="G2733">
        <v>18821</v>
      </c>
      <c r="H2733" s="1">
        <v>41963</v>
      </c>
      <c r="I2733" s="1">
        <v>41971</v>
      </c>
      <c r="J2733" s="1">
        <v>41971</v>
      </c>
      <c r="K2733" s="1">
        <v>42031</v>
      </c>
      <c r="N2733" s="5"/>
      <c r="O2733">
        <v>829.6</v>
      </c>
      <c r="P2733">
        <v>97</v>
      </c>
      <c r="Q2733" s="2">
        <v>80471.199999999997</v>
      </c>
      <c r="R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 s="1">
        <v>42382</v>
      </c>
      <c r="AC2733" t="s">
        <v>53</v>
      </c>
      <c r="AD2733" t="s">
        <v>53</v>
      </c>
      <c r="AK2733">
        <v>0</v>
      </c>
      <c r="AU2733" s="6">
        <v>42128</v>
      </c>
      <c r="AV2733" s="6">
        <v>42128</v>
      </c>
      <c r="AW2733" t="s">
        <v>54</v>
      </c>
      <c r="AX2733" t="str">
        <f t="shared" si="226"/>
        <v>FOR</v>
      </c>
      <c r="AY2733" t="s">
        <v>55</v>
      </c>
    </row>
    <row r="2734" spans="1:51" hidden="1">
      <c r="A2734">
        <v>100879</v>
      </c>
      <c r="B2734" t="s">
        <v>301</v>
      </c>
      <c r="C2734" t="str">
        <f t="shared" si="229"/>
        <v>01354901215</v>
      </c>
      <c r="D2734" t="str">
        <f t="shared" si="230"/>
        <v>04720630633</v>
      </c>
      <c r="E2734" t="s">
        <v>52</v>
      </c>
      <c r="F2734">
        <v>2014</v>
      </c>
      <c r="G2734">
        <v>20924</v>
      </c>
      <c r="H2734" s="1">
        <v>42004</v>
      </c>
      <c r="I2734" s="1">
        <v>42004</v>
      </c>
      <c r="J2734" s="1">
        <v>42004</v>
      </c>
      <c r="K2734" s="1">
        <v>42064</v>
      </c>
      <c r="N2734" s="5"/>
      <c r="O2734" s="2">
        <v>1683.6</v>
      </c>
      <c r="P2734">
        <v>64</v>
      </c>
      <c r="Q2734" s="2">
        <v>107750.39999999999</v>
      </c>
      <c r="R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 s="1">
        <v>42382</v>
      </c>
      <c r="AC2734" t="s">
        <v>53</v>
      </c>
      <c r="AD2734" t="s">
        <v>53</v>
      </c>
      <c r="AK2734">
        <v>0</v>
      </c>
      <c r="AU2734" s="6">
        <v>42128</v>
      </c>
      <c r="AV2734" s="6">
        <v>42128</v>
      </c>
      <c r="AW2734" t="s">
        <v>54</v>
      </c>
      <c r="AX2734" t="str">
        <f t="shared" si="226"/>
        <v>FOR</v>
      </c>
      <c r="AY2734" t="s">
        <v>55</v>
      </c>
    </row>
    <row r="2735" spans="1:51" hidden="1">
      <c r="A2735">
        <v>100879</v>
      </c>
      <c r="B2735" t="s">
        <v>301</v>
      </c>
      <c r="C2735" t="str">
        <f t="shared" si="229"/>
        <v>01354901215</v>
      </c>
      <c r="D2735" t="str">
        <f t="shared" si="230"/>
        <v>04720630633</v>
      </c>
      <c r="E2735" t="s">
        <v>52</v>
      </c>
      <c r="F2735">
        <v>2015</v>
      </c>
      <c r="G2735">
        <v>4219</v>
      </c>
      <c r="H2735" s="1">
        <v>42082</v>
      </c>
      <c r="I2735" s="1">
        <v>42094</v>
      </c>
      <c r="J2735" s="1">
        <v>42094</v>
      </c>
      <c r="K2735" s="1">
        <v>42154</v>
      </c>
      <c r="N2735" s="5"/>
      <c r="O2735">
        <v>787.8</v>
      </c>
      <c r="P2735">
        <v>96</v>
      </c>
      <c r="Q2735" s="2">
        <v>75628.800000000003</v>
      </c>
      <c r="R2735">
        <v>0</v>
      </c>
      <c r="V2735">
        <v>0</v>
      </c>
      <c r="W2735">
        <v>0</v>
      </c>
      <c r="X2735">
        <v>0</v>
      </c>
      <c r="Y2735">
        <v>961.12</v>
      </c>
      <c r="Z2735">
        <v>961.12</v>
      </c>
      <c r="AA2735">
        <v>961.12</v>
      </c>
      <c r="AB2735" s="1">
        <v>42382</v>
      </c>
      <c r="AC2735" t="s">
        <v>53</v>
      </c>
      <c r="AD2735" t="s">
        <v>53</v>
      </c>
      <c r="AK2735">
        <v>0</v>
      </c>
      <c r="AU2735" s="6">
        <v>42250</v>
      </c>
      <c r="AV2735" s="6">
        <v>42250</v>
      </c>
      <c r="AW2735" t="s">
        <v>54</v>
      </c>
      <c r="AX2735" t="str">
        <f t="shared" si="226"/>
        <v>FOR</v>
      </c>
      <c r="AY2735" t="s">
        <v>55</v>
      </c>
    </row>
    <row r="2736" spans="1:51" hidden="1">
      <c r="A2736">
        <v>100879</v>
      </c>
      <c r="B2736" t="s">
        <v>301</v>
      </c>
      <c r="C2736" t="str">
        <f t="shared" si="229"/>
        <v>01354901215</v>
      </c>
      <c r="D2736" t="str">
        <f t="shared" si="230"/>
        <v>04720630633</v>
      </c>
      <c r="E2736" t="s">
        <v>52</v>
      </c>
      <c r="F2736">
        <v>2015</v>
      </c>
      <c r="G2736">
        <v>4220</v>
      </c>
      <c r="H2736" s="1">
        <v>42082</v>
      </c>
      <c r="I2736" s="1">
        <v>42094</v>
      </c>
      <c r="J2736" s="1">
        <v>42094</v>
      </c>
      <c r="K2736" s="1">
        <v>42154</v>
      </c>
      <c r="N2736" s="5"/>
      <c r="O2736">
        <v>550</v>
      </c>
      <c r="P2736">
        <v>96</v>
      </c>
      <c r="Q2736" s="2">
        <v>52800</v>
      </c>
      <c r="R2736">
        <v>0</v>
      </c>
      <c r="V2736">
        <v>0</v>
      </c>
      <c r="W2736">
        <v>0</v>
      </c>
      <c r="X2736">
        <v>0</v>
      </c>
      <c r="Y2736">
        <v>671</v>
      </c>
      <c r="Z2736">
        <v>671</v>
      </c>
      <c r="AA2736">
        <v>671</v>
      </c>
      <c r="AB2736" s="1">
        <v>42382</v>
      </c>
      <c r="AC2736" t="s">
        <v>53</v>
      </c>
      <c r="AD2736" t="s">
        <v>53</v>
      </c>
      <c r="AK2736">
        <v>0</v>
      </c>
      <c r="AU2736" s="6">
        <v>42250</v>
      </c>
      <c r="AV2736" s="6">
        <v>42250</v>
      </c>
      <c r="AW2736" t="s">
        <v>54</v>
      </c>
      <c r="AX2736" t="str">
        <f t="shared" si="226"/>
        <v>FOR</v>
      </c>
      <c r="AY2736" t="s">
        <v>55</v>
      </c>
    </row>
    <row r="2737" spans="1:51">
      <c r="A2737">
        <v>100879</v>
      </c>
      <c r="B2737" t="s">
        <v>301</v>
      </c>
      <c r="C2737" t="str">
        <f t="shared" si="229"/>
        <v>01354901215</v>
      </c>
      <c r="D2737" t="str">
        <f t="shared" si="230"/>
        <v>04720630633</v>
      </c>
      <c r="E2737" t="s">
        <v>52</v>
      </c>
      <c r="F2737">
        <v>2015</v>
      </c>
      <c r="G2737" t="s">
        <v>302</v>
      </c>
      <c r="H2737" s="1">
        <v>42109</v>
      </c>
      <c r="I2737" s="1">
        <v>42115</v>
      </c>
      <c r="J2737" s="1">
        <v>42110</v>
      </c>
      <c r="K2737" s="1">
        <v>42170</v>
      </c>
      <c r="L2737" s="7">
        <v>110</v>
      </c>
      <c r="M2737" s="5">
        <v>130</v>
      </c>
      <c r="N2737" s="7">
        <v>14300</v>
      </c>
      <c r="O2737">
        <v>110</v>
      </c>
      <c r="P2737">
        <v>130</v>
      </c>
      <c r="Q2737" s="2">
        <v>14300</v>
      </c>
      <c r="R2737">
        <v>0</v>
      </c>
      <c r="V2737">
        <v>0</v>
      </c>
      <c r="W2737">
        <v>0</v>
      </c>
      <c r="X2737">
        <v>0</v>
      </c>
      <c r="Y2737">
        <v>134.19999999999999</v>
      </c>
      <c r="Z2737">
        <v>134.19999999999999</v>
      </c>
      <c r="AA2737">
        <v>134.19999999999999</v>
      </c>
      <c r="AB2737" s="1">
        <v>42382</v>
      </c>
      <c r="AC2737" t="s">
        <v>53</v>
      </c>
      <c r="AD2737" t="s">
        <v>53</v>
      </c>
      <c r="AK2737">
        <v>0</v>
      </c>
      <c r="AU2737" s="6">
        <v>42300</v>
      </c>
      <c r="AV2737" s="6">
        <v>42300</v>
      </c>
      <c r="AW2737" t="s">
        <v>54</v>
      </c>
      <c r="AX2737" t="str">
        <f t="shared" si="226"/>
        <v>FOR</v>
      </c>
      <c r="AY2737" t="s">
        <v>55</v>
      </c>
    </row>
    <row r="2738" spans="1:51">
      <c r="A2738">
        <v>100879</v>
      </c>
      <c r="B2738" t="s">
        <v>301</v>
      </c>
      <c r="C2738" t="str">
        <f t="shared" si="229"/>
        <v>01354901215</v>
      </c>
      <c r="D2738" t="str">
        <f t="shared" si="230"/>
        <v>04720630633</v>
      </c>
      <c r="E2738" t="s">
        <v>52</v>
      </c>
      <c r="F2738">
        <v>2015</v>
      </c>
      <c r="G2738" t="s">
        <v>303</v>
      </c>
      <c r="H2738" s="1">
        <v>42109</v>
      </c>
      <c r="I2738" s="1">
        <v>42115</v>
      </c>
      <c r="J2738" s="1">
        <v>42114</v>
      </c>
      <c r="K2738" s="1">
        <v>42174</v>
      </c>
      <c r="L2738" s="7">
        <v>198</v>
      </c>
      <c r="M2738" s="5">
        <v>126</v>
      </c>
      <c r="N2738" s="7">
        <v>24948</v>
      </c>
      <c r="O2738">
        <v>198</v>
      </c>
      <c r="P2738">
        <v>126</v>
      </c>
      <c r="Q2738" s="2">
        <v>24948</v>
      </c>
      <c r="R2738">
        <v>0</v>
      </c>
      <c r="V2738">
        <v>0</v>
      </c>
      <c r="W2738">
        <v>0</v>
      </c>
      <c r="X2738">
        <v>0</v>
      </c>
      <c r="Y2738">
        <v>241.56</v>
      </c>
      <c r="Z2738">
        <v>241.56</v>
      </c>
      <c r="AA2738">
        <v>241.56</v>
      </c>
      <c r="AB2738" s="1">
        <v>42382</v>
      </c>
      <c r="AC2738" t="s">
        <v>53</v>
      </c>
      <c r="AD2738" t="s">
        <v>53</v>
      </c>
      <c r="AK2738">
        <v>0</v>
      </c>
      <c r="AU2738" s="6">
        <v>42300</v>
      </c>
      <c r="AV2738" s="6">
        <v>42300</v>
      </c>
      <c r="AW2738" t="s">
        <v>54</v>
      </c>
      <c r="AX2738" t="str">
        <f t="shared" si="226"/>
        <v>FOR</v>
      </c>
      <c r="AY2738" t="s">
        <v>55</v>
      </c>
    </row>
    <row r="2739" spans="1:51">
      <c r="A2739">
        <v>100879</v>
      </c>
      <c r="B2739" t="s">
        <v>301</v>
      </c>
      <c r="C2739" t="str">
        <f t="shared" si="229"/>
        <v>01354901215</v>
      </c>
      <c r="D2739" t="str">
        <f t="shared" si="230"/>
        <v>04720630633</v>
      </c>
      <c r="E2739" t="s">
        <v>52</v>
      </c>
      <c r="F2739">
        <v>2015</v>
      </c>
      <c r="G2739" t="s">
        <v>304</v>
      </c>
      <c r="H2739" s="1">
        <v>42116</v>
      </c>
      <c r="I2739" s="1">
        <v>42117</v>
      </c>
      <c r="J2739" s="1">
        <v>42116</v>
      </c>
      <c r="K2739" s="1">
        <v>42176</v>
      </c>
      <c r="L2739" s="7">
        <v>990</v>
      </c>
      <c r="M2739" s="5">
        <v>124</v>
      </c>
      <c r="N2739" s="7">
        <v>122760</v>
      </c>
      <c r="O2739">
        <v>990</v>
      </c>
      <c r="P2739">
        <v>124</v>
      </c>
      <c r="Q2739" s="2">
        <v>122760</v>
      </c>
      <c r="R2739">
        <v>0</v>
      </c>
      <c r="V2739">
        <v>0</v>
      </c>
      <c r="W2739">
        <v>0</v>
      </c>
      <c r="X2739">
        <v>0</v>
      </c>
      <c r="Y2739" s="2">
        <v>1207.8</v>
      </c>
      <c r="Z2739" s="2">
        <v>1207.8</v>
      </c>
      <c r="AA2739" s="2">
        <v>1207.8</v>
      </c>
      <c r="AB2739" s="1">
        <v>42382</v>
      </c>
      <c r="AC2739" t="s">
        <v>53</v>
      </c>
      <c r="AD2739" t="s">
        <v>53</v>
      </c>
      <c r="AK2739">
        <v>0</v>
      </c>
      <c r="AU2739" s="6">
        <v>42300</v>
      </c>
      <c r="AV2739" s="6">
        <v>42300</v>
      </c>
      <c r="AW2739" t="s">
        <v>54</v>
      </c>
      <c r="AX2739" t="str">
        <f t="shared" si="226"/>
        <v>FOR</v>
      </c>
      <c r="AY2739" t="s">
        <v>55</v>
      </c>
    </row>
    <row r="2740" spans="1:51">
      <c r="A2740">
        <v>100879</v>
      </c>
      <c r="B2740" t="s">
        <v>301</v>
      </c>
      <c r="C2740" t="str">
        <f t="shared" si="229"/>
        <v>01354901215</v>
      </c>
      <c r="D2740" t="str">
        <f t="shared" si="230"/>
        <v>04720630633</v>
      </c>
      <c r="E2740" t="s">
        <v>52</v>
      </c>
      <c r="F2740">
        <v>2015</v>
      </c>
      <c r="G2740" t="s">
        <v>305</v>
      </c>
      <c r="H2740" s="1">
        <v>42116</v>
      </c>
      <c r="I2740" s="1">
        <v>42117</v>
      </c>
      <c r="J2740" s="1">
        <v>42116</v>
      </c>
      <c r="K2740" s="1">
        <v>42176</v>
      </c>
      <c r="L2740" s="7">
        <v>329</v>
      </c>
      <c r="M2740" s="5">
        <v>124</v>
      </c>
      <c r="N2740" s="7">
        <v>40796</v>
      </c>
      <c r="O2740">
        <v>329</v>
      </c>
      <c r="P2740">
        <v>124</v>
      </c>
      <c r="Q2740" s="2">
        <v>40796</v>
      </c>
      <c r="R2740">
        <v>0</v>
      </c>
      <c r="V2740">
        <v>0</v>
      </c>
      <c r="W2740">
        <v>0</v>
      </c>
      <c r="X2740">
        <v>0</v>
      </c>
      <c r="Y2740">
        <v>401.38</v>
      </c>
      <c r="Z2740">
        <v>401.38</v>
      </c>
      <c r="AA2740">
        <v>401.38</v>
      </c>
      <c r="AB2740" s="1">
        <v>42382</v>
      </c>
      <c r="AC2740" t="s">
        <v>53</v>
      </c>
      <c r="AD2740" t="s">
        <v>53</v>
      </c>
      <c r="AK2740">
        <v>0</v>
      </c>
      <c r="AU2740" s="6">
        <v>42300</v>
      </c>
      <c r="AV2740" s="6">
        <v>42300</v>
      </c>
      <c r="AW2740" t="s">
        <v>54</v>
      </c>
      <c r="AX2740" t="str">
        <f t="shared" si="226"/>
        <v>FOR</v>
      </c>
      <c r="AY2740" t="s">
        <v>55</v>
      </c>
    </row>
    <row r="2741" spans="1:51">
      <c r="A2741">
        <v>100879</v>
      </c>
      <c r="B2741" t="s">
        <v>301</v>
      </c>
      <c r="C2741" t="str">
        <f t="shared" si="229"/>
        <v>01354901215</v>
      </c>
      <c r="D2741" t="str">
        <f t="shared" si="230"/>
        <v>04720630633</v>
      </c>
      <c r="E2741" t="s">
        <v>52</v>
      </c>
      <c r="F2741">
        <v>2015</v>
      </c>
      <c r="G2741" t="s">
        <v>306</v>
      </c>
      <c r="H2741" s="1">
        <v>42116</v>
      </c>
      <c r="I2741" s="1">
        <v>42117</v>
      </c>
      <c r="J2741" s="1">
        <v>42116</v>
      </c>
      <c r="K2741" s="1">
        <v>42176</v>
      </c>
      <c r="L2741" s="7">
        <v>404</v>
      </c>
      <c r="M2741" s="5">
        <v>124</v>
      </c>
      <c r="N2741" s="7">
        <v>50096</v>
      </c>
      <c r="O2741">
        <v>404</v>
      </c>
      <c r="P2741">
        <v>124</v>
      </c>
      <c r="Q2741" s="2">
        <v>50096</v>
      </c>
      <c r="R2741">
        <v>0</v>
      </c>
      <c r="V2741">
        <v>0</v>
      </c>
      <c r="W2741">
        <v>0</v>
      </c>
      <c r="X2741">
        <v>0</v>
      </c>
      <c r="Y2741">
        <v>492.88</v>
      </c>
      <c r="Z2741">
        <v>492.88</v>
      </c>
      <c r="AA2741">
        <v>492.88</v>
      </c>
      <c r="AB2741" s="1">
        <v>42382</v>
      </c>
      <c r="AC2741" t="s">
        <v>53</v>
      </c>
      <c r="AD2741" t="s">
        <v>53</v>
      </c>
      <c r="AK2741">
        <v>0</v>
      </c>
      <c r="AU2741" s="6">
        <v>42300</v>
      </c>
      <c r="AV2741" s="6">
        <v>42300</v>
      </c>
      <c r="AW2741" t="s">
        <v>54</v>
      </c>
      <c r="AX2741" t="str">
        <f t="shared" si="226"/>
        <v>FOR</v>
      </c>
      <c r="AY2741" t="s">
        <v>55</v>
      </c>
    </row>
    <row r="2742" spans="1:51">
      <c r="A2742">
        <v>100879</v>
      </c>
      <c r="B2742" t="s">
        <v>301</v>
      </c>
      <c r="C2742" t="str">
        <f t="shared" si="229"/>
        <v>01354901215</v>
      </c>
      <c r="D2742" t="str">
        <f t="shared" si="230"/>
        <v>04720630633</v>
      </c>
      <c r="E2742" t="s">
        <v>52</v>
      </c>
      <c r="F2742">
        <v>2015</v>
      </c>
      <c r="G2742" t="s">
        <v>307</v>
      </c>
      <c r="H2742" s="1">
        <v>42123</v>
      </c>
      <c r="I2742" s="1">
        <v>42124</v>
      </c>
      <c r="J2742" s="1">
        <v>42123</v>
      </c>
      <c r="K2742" s="1">
        <v>42183</v>
      </c>
      <c r="L2742" s="7">
        <v>770</v>
      </c>
      <c r="M2742" s="5">
        <v>117</v>
      </c>
      <c r="N2742" s="7">
        <v>90090</v>
      </c>
      <c r="O2742">
        <v>770</v>
      </c>
      <c r="P2742">
        <v>117</v>
      </c>
      <c r="Q2742" s="2">
        <v>90090</v>
      </c>
      <c r="R2742">
        <v>0</v>
      </c>
      <c r="V2742">
        <v>0</v>
      </c>
      <c r="W2742">
        <v>0</v>
      </c>
      <c r="X2742">
        <v>0</v>
      </c>
      <c r="Y2742">
        <v>939.4</v>
      </c>
      <c r="Z2742">
        <v>939.4</v>
      </c>
      <c r="AA2742">
        <v>939.4</v>
      </c>
      <c r="AB2742" s="1">
        <v>42382</v>
      </c>
      <c r="AC2742" t="s">
        <v>53</v>
      </c>
      <c r="AD2742" t="s">
        <v>53</v>
      </c>
      <c r="AK2742">
        <v>0</v>
      </c>
      <c r="AU2742" s="6">
        <v>42300</v>
      </c>
      <c r="AV2742" s="6">
        <v>42300</v>
      </c>
      <c r="AW2742" t="s">
        <v>54</v>
      </c>
      <c r="AX2742" t="str">
        <f t="shared" si="226"/>
        <v>FOR</v>
      </c>
      <c r="AY2742" t="s">
        <v>55</v>
      </c>
    </row>
    <row r="2743" spans="1:51">
      <c r="A2743">
        <v>100879</v>
      </c>
      <c r="B2743" t="s">
        <v>301</v>
      </c>
      <c r="C2743" t="str">
        <f t="shared" si="229"/>
        <v>01354901215</v>
      </c>
      <c r="D2743" t="str">
        <f t="shared" si="230"/>
        <v>04720630633</v>
      </c>
      <c r="E2743" t="s">
        <v>52</v>
      </c>
      <c r="F2743">
        <v>2015</v>
      </c>
      <c r="G2743" t="s">
        <v>308</v>
      </c>
      <c r="H2743" s="1">
        <v>42123</v>
      </c>
      <c r="I2743" s="1">
        <v>42124</v>
      </c>
      <c r="J2743" s="1">
        <v>42123</v>
      </c>
      <c r="K2743" s="1">
        <v>42183</v>
      </c>
      <c r="L2743" s="7">
        <v>1188</v>
      </c>
      <c r="M2743" s="5">
        <v>117</v>
      </c>
      <c r="N2743" s="7">
        <v>138996</v>
      </c>
      <c r="O2743" s="2">
        <v>1188</v>
      </c>
      <c r="P2743">
        <v>117</v>
      </c>
      <c r="Q2743" s="2">
        <v>138996</v>
      </c>
      <c r="R2743">
        <v>0</v>
      </c>
      <c r="V2743">
        <v>0</v>
      </c>
      <c r="W2743">
        <v>0</v>
      </c>
      <c r="X2743">
        <v>0</v>
      </c>
      <c r="Y2743" s="2">
        <v>1449.36</v>
      </c>
      <c r="Z2743" s="2">
        <v>1449.36</v>
      </c>
      <c r="AA2743" s="2">
        <v>1449.36</v>
      </c>
      <c r="AB2743" s="1">
        <v>42382</v>
      </c>
      <c r="AC2743" t="s">
        <v>53</v>
      </c>
      <c r="AD2743" t="s">
        <v>53</v>
      </c>
      <c r="AK2743">
        <v>0</v>
      </c>
      <c r="AU2743" s="6">
        <v>42300</v>
      </c>
      <c r="AV2743" s="6">
        <v>42300</v>
      </c>
      <c r="AW2743" t="s">
        <v>54</v>
      </c>
      <c r="AX2743" t="str">
        <f t="shared" si="226"/>
        <v>FOR</v>
      </c>
      <c r="AY2743" t="s">
        <v>55</v>
      </c>
    </row>
    <row r="2744" spans="1:51">
      <c r="A2744">
        <v>100879</v>
      </c>
      <c r="B2744" t="s">
        <v>301</v>
      </c>
      <c r="C2744" t="str">
        <f t="shared" si="229"/>
        <v>01354901215</v>
      </c>
      <c r="D2744" t="str">
        <f t="shared" si="230"/>
        <v>04720630633</v>
      </c>
      <c r="E2744" t="s">
        <v>52</v>
      </c>
      <c r="F2744">
        <v>2015</v>
      </c>
      <c r="G2744" t="s">
        <v>309</v>
      </c>
      <c r="H2744" s="1">
        <v>42123</v>
      </c>
      <c r="I2744" s="1">
        <v>42124</v>
      </c>
      <c r="J2744" s="1">
        <v>42123</v>
      </c>
      <c r="K2744" s="1">
        <v>42183</v>
      </c>
      <c r="L2744" s="7">
        <v>1940</v>
      </c>
      <c r="M2744" s="5">
        <v>117</v>
      </c>
      <c r="N2744" s="7">
        <v>226980</v>
      </c>
      <c r="O2744" s="2">
        <v>1940</v>
      </c>
      <c r="P2744">
        <v>117</v>
      </c>
      <c r="Q2744" s="2">
        <v>226980</v>
      </c>
      <c r="R2744">
        <v>0</v>
      </c>
      <c r="V2744">
        <v>0</v>
      </c>
      <c r="W2744">
        <v>0</v>
      </c>
      <c r="X2744">
        <v>0</v>
      </c>
      <c r="Y2744" s="2">
        <v>2366.8000000000002</v>
      </c>
      <c r="Z2744" s="2">
        <v>2366.8000000000002</v>
      </c>
      <c r="AA2744" s="2">
        <v>2366.8000000000002</v>
      </c>
      <c r="AB2744" s="1">
        <v>42382</v>
      </c>
      <c r="AC2744" t="s">
        <v>53</v>
      </c>
      <c r="AD2744" t="s">
        <v>53</v>
      </c>
      <c r="AK2744">
        <v>0</v>
      </c>
      <c r="AU2744" s="6">
        <v>42300</v>
      </c>
      <c r="AV2744" s="6">
        <v>42300</v>
      </c>
      <c r="AW2744" t="s">
        <v>54</v>
      </c>
      <c r="AX2744" t="str">
        <f t="shared" si="226"/>
        <v>FOR</v>
      </c>
      <c r="AY2744" t="s">
        <v>55</v>
      </c>
    </row>
    <row r="2745" spans="1:51">
      <c r="A2745">
        <v>100879</v>
      </c>
      <c r="B2745" t="s">
        <v>301</v>
      </c>
      <c r="C2745" t="str">
        <f t="shared" si="229"/>
        <v>01354901215</v>
      </c>
      <c r="D2745" t="str">
        <f t="shared" si="230"/>
        <v>04720630633</v>
      </c>
      <c r="E2745" t="s">
        <v>52</v>
      </c>
      <c r="F2745">
        <v>2015</v>
      </c>
      <c r="G2745" t="s">
        <v>310</v>
      </c>
      <c r="H2745" s="1">
        <v>42137</v>
      </c>
      <c r="I2745" s="1">
        <v>42158</v>
      </c>
      <c r="J2745" s="1">
        <v>42138</v>
      </c>
      <c r="K2745" s="1">
        <v>42198</v>
      </c>
      <c r="L2745" s="7">
        <v>110</v>
      </c>
      <c r="M2745" s="5">
        <v>102</v>
      </c>
      <c r="N2745" s="7">
        <v>11220</v>
      </c>
      <c r="O2745">
        <v>110</v>
      </c>
      <c r="P2745">
        <v>102</v>
      </c>
      <c r="Q2745" s="2">
        <v>11220</v>
      </c>
      <c r="R2745">
        <v>0</v>
      </c>
      <c r="V2745">
        <v>0</v>
      </c>
      <c r="W2745">
        <v>0</v>
      </c>
      <c r="X2745">
        <v>0</v>
      </c>
      <c r="Y2745">
        <v>134.19999999999999</v>
      </c>
      <c r="Z2745">
        <v>134.19999999999999</v>
      </c>
      <c r="AA2745">
        <v>134.19999999999999</v>
      </c>
      <c r="AB2745" s="1">
        <v>42382</v>
      </c>
      <c r="AC2745" t="s">
        <v>53</v>
      </c>
      <c r="AD2745" t="s">
        <v>53</v>
      </c>
      <c r="AK2745">
        <v>0</v>
      </c>
      <c r="AU2745" s="6">
        <v>42300</v>
      </c>
      <c r="AV2745" s="6">
        <v>42300</v>
      </c>
      <c r="AW2745" t="s">
        <v>54</v>
      </c>
      <c r="AX2745" t="str">
        <f t="shared" si="226"/>
        <v>FOR</v>
      </c>
      <c r="AY2745" t="s">
        <v>55</v>
      </c>
    </row>
    <row r="2746" spans="1:51" hidden="1">
      <c r="A2746">
        <v>100879</v>
      </c>
      <c r="B2746" t="s">
        <v>301</v>
      </c>
      <c r="C2746" t="str">
        <f t="shared" si="229"/>
        <v>01354901215</v>
      </c>
      <c r="D2746" t="str">
        <f t="shared" si="230"/>
        <v>04720630633</v>
      </c>
      <c r="E2746" t="s">
        <v>52</v>
      </c>
      <c r="F2746">
        <v>2015</v>
      </c>
      <c r="G2746" t="s">
        <v>311</v>
      </c>
      <c r="H2746" s="1">
        <v>42027</v>
      </c>
      <c r="I2746" s="1">
        <v>42039</v>
      </c>
      <c r="J2746" s="1">
        <v>42039</v>
      </c>
      <c r="K2746" s="1">
        <v>42099</v>
      </c>
      <c r="N2746" s="5"/>
      <c r="O2746" s="2">
        <v>2178</v>
      </c>
      <c r="P2746">
        <v>151</v>
      </c>
      <c r="Q2746" s="2">
        <v>328878</v>
      </c>
      <c r="R2746">
        <v>0</v>
      </c>
      <c r="V2746">
        <v>0</v>
      </c>
      <c r="W2746">
        <v>0</v>
      </c>
      <c r="X2746">
        <v>0</v>
      </c>
      <c r="Y2746" s="2">
        <v>2657.16</v>
      </c>
      <c r="Z2746" s="2">
        <v>2657.16</v>
      </c>
      <c r="AA2746" s="2">
        <v>2657.16</v>
      </c>
      <c r="AB2746" s="1">
        <v>42382</v>
      </c>
      <c r="AC2746" t="s">
        <v>53</v>
      </c>
      <c r="AD2746" t="s">
        <v>53</v>
      </c>
      <c r="AK2746">
        <v>0</v>
      </c>
      <c r="AU2746" s="6">
        <v>42250</v>
      </c>
      <c r="AV2746" s="6">
        <v>42250</v>
      </c>
      <c r="AW2746" t="s">
        <v>54</v>
      </c>
      <c r="AX2746" t="str">
        <f t="shared" si="226"/>
        <v>FOR</v>
      </c>
      <c r="AY2746" t="s">
        <v>55</v>
      </c>
    </row>
    <row r="2747" spans="1:51">
      <c r="A2747">
        <v>100879</v>
      </c>
      <c r="B2747" t="s">
        <v>301</v>
      </c>
      <c r="C2747" t="str">
        <f t="shared" si="229"/>
        <v>01354901215</v>
      </c>
      <c r="D2747" t="str">
        <f t="shared" si="230"/>
        <v>04720630633</v>
      </c>
      <c r="E2747" t="s">
        <v>52</v>
      </c>
      <c r="F2747">
        <v>2015</v>
      </c>
      <c r="G2747" t="s">
        <v>312</v>
      </c>
      <c r="H2747" s="1">
        <v>42142</v>
      </c>
      <c r="I2747" s="1">
        <v>42158</v>
      </c>
      <c r="J2747" s="1">
        <v>42142</v>
      </c>
      <c r="K2747" s="1">
        <v>42202</v>
      </c>
      <c r="L2747" s="7">
        <v>828.2</v>
      </c>
      <c r="M2747" s="5">
        <v>98</v>
      </c>
      <c r="N2747" s="7">
        <v>81163.600000000006</v>
      </c>
      <c r="O2747">
        <v>828.2</v>
      </c>
      <c r="P2747">
        <v>98</v>
      </c>
      <c r="Q2747" s="2">
        <v>81163.600000000006</v>
      </c>
      <c r="R2747">
        <v>0</v>
      </c>
      <c r="V2747">
        <v>0</v>
      </c>
      <c r="W2747">
        <v>0</v>
      </c>
      <c r="X2747">
        <v>0</v>
      </c>
      <c r="Y2747" s="2">
        <v>1010.4</v>
      </c>
      <c r="Z2747" s="2">
        <v>1010.4</v>
      </c>
      <c r="AA2747" s="2">
        <v>1010.4</v>
      </c>
      <c r="AB2747" s="1">
        <v>42382</v>
      </c>
      <c r="AC2747" t="s">
        <v>53</v>
      </c>
      <c r="AD2747" t="s">
        <v>53</v>
      </c>
      <c r="AK2747">
        <v>0</v>
      </c>
      <c r="AU2747" s="6">
        <v>42300</v>
      </c>
      <c r="AV2747" s="6">
        <v>42300</v>
      </c>
      <c r="AW2747" t="s">
        <v>54</v>
      </c>
      <c r="AX2747" t="str">
        <f t="shared" si="226"/>
        <v>FOR</v>
      </c>
      <c r="AY2747" t="s">
        <v>55</v>
      </c>
    </row>
    <row r="2748" spans="1:51">
      <c r="A2748">
        <v>100879</v>
      </c>
      <c r="B2748" t="s">
        <v>301</v>
      </c>
      <c r="C2748" t="str">
        <f t="shared" si="229"/>
        <v>01354901215</v>
      </c>
      <c r="D2748" t="str">
        <f t="shared" si="230"/>
        <v>04720630633</v>
      </c>
      <c r="E2748" t="s">
        <v>52</v>
      </c>
      <c r="F2748">
        <v>2015</v>
      </c>
      <c r="G2748" t="s">
        <v>313</v>
      </c>
      <c r="H2748" s="1">
        <v>42146</v>
      </c>
      <c r="I2748" s="1">
        <v>42158</v>
      </c>
      <c r="J2748" s="1">
        <v>42148</v>
      </c>
      <c r="K2748" s="1">
        <v>42208</v>
      </c>
      <c r="L2748" s="7">
        <v>220</v>
      </c>
      <c r="M2748" s="5">
        <v>92</v>
      </c>
      <c r="N2748" s="7">
        <v>20240</v>
      </c>
      <c r="O2748">
        <v>220</v>
      </c>
      <c r="P2748">
        <v>92</v>
      </c>
      <c r="Q2748" s="2">
        <v>20240</v>
      </c>
      <c r="R2748">
        <v>0</v>
      </c>
      <c r="V2748">
        <v>0</v>
      </c>
      <c r="W2748">
        <v>0</v>
      </c>
      <c r="X2748">
        <v>0</v>
      </c>
      <c r="Y2748">
        <v>268.39999999999998</v>
      </c>
      <c r="Z2748">
        <v>268.39999999999998</v>
      </c>
      <c r="AA2748">
        <v>268.39999999999998</v>
      </c>
      <c r="AB2748" s="1">
        <v>42382</v>
      </c>
      <c r="AC2748" t="s">
        <v>53</v>
      </c>
      <c r="AD2748" t="s">
        <v>53</v>
      </c>
      <c r="AK2748">
        <v>0</v>
      </c>
      <c r="AU2748" s="6">
        <v>42300</v>
      </c>
      <c r="AV2748" s="6">
        <v>42300</v>
      </c>
      <c r="AW2748" t="s">
        <v>54</v>
      </c>
      <c r="AX2748" t="str">
        <f t="shared" si="226"/>
        <v>FOR</v>
      </c>
      <c r="AY2748" t="s">
        <v>55</v>
      </c>
    </row>
    <row r="2749" spans="1:51">
      <c r="A2749">
        <v>100879</v>
      </c>
      <c r="B2749" t="s">
        <v>301</v>
      </c>
      <c r="C2749" t="str">
        <f t="shared" si="229"/>
        <v>01354901215</v>
      </c>
      <c r="D2749" t="str">
        <f t="shared" si="230"/>
        <v>04720630633</v>
      </c>
      <c r="E2749" t="s">
        <v>52</v>
      </c>
      <c r="F2749">
        <v>2015</v>
      </c>
      <c r="G2749" t="s">
        <v>314</v>
      </c>
      <c r="H2749" s="1">
        <v>42146</v>
      </c>
      <c r="I2749" s="1">
        <v>42158</v>
      </c>
      <c r="J2749" s="1">
        <v>42148</v>
      </c>
      <c r="K2749" s="1">
        <v>42208</v>
      </c>
      <c r="L2749" s="7">
        <v>1210</v>
      </c>
      <c r="M2749" s="5">
        <v>92</v>
      </c>
      <c r="N2749" s="7">
        <v>111320</v>
      </c>
      <c r="O2749" s="2">
        <v>1210</v>
      </c>
      <c r="P2749">
        <v>92</v>
      </c>
      <c r="Q2749" s="2">
        <v>111320</v>
      </c>
      <c r="R2749">
        <v>0</v>
      </c>
      <c r="V2749">
        <v>0</v>
      </c>
      <c r="W2749">
        <v>0</v>
      </c>
      <c r="X2749">
        <v>0</v>
      </c>
      <c r="Y2749" s="2">
        <v>1476.2</v>
      </c>
      <c r="Z2749" s="2">
        <v>1476.2</v>
      </c>
      <c r="AA2749" s="2">
        <v>1476.2</v>
      </c>
      <c r="AB2749" s="1">
        <v>42382</v>
      </c>
      <c r="AC2749" t="s">
        <v>53</v>
      </c>
      <c r="AD2749" t="s">
        <v>53</v>
      </c>
      <c r="AK2749">
        <v>0</v>
      </c>
      <c r="AU2749" s="6">
        <v>42300</v>
      </c>
      <c r="AV2749" s="6">
        <v>42300</v>
      </c>
      <c r="AW2749" t="s">
        <v>54</v>
      </c>
      <c r="AX2749" t="str">
        <f t="shared" si="226"/>
        <v>FOR</v>
      </c>
      <c r="AY2749" t="s">
        <v>55</v>
      </c>
    </row>
    <row r="2750" spans="1:51">
      <c r="A2750">
        <v>100879</v>
      </c>
      <c r="B2750" t="s">
        <v>301</v>
      </c>
      <c r="C2750" t="str">
        <f t="shared" si="229"/>
        <v>01354901215</v>
      </c>
      <c r="D2750" t="str">
        <f t="shared" si="230"/>
        <v>04720630633</v>
      </c>
      <c r="E2750" t="s">
        <v>52</v>
      </c>
      <c r="F2750">
        <v>2015</v>
      </c>
      <c r="G2750" t="s">
        <v>315</v>
      </c>
      <c r="H2750" s="1">
        <v>42146</v>
      </c>
      <c r="I2750" s="1">
        <v>42160</v>
      </c>
      <c r="J2750" s="1">
        <v>42148</v>
      </c>
      <c r="K2750" s="1">
        <v>42208</v>
      </c>
      <c r="L2750" s="7">
        <v>385</v>
      </c>
      <c r="M2750" s="5">
        <v>92</v>
      </c>
      <c r="N2750" s="7">
        <v>35420</v>
      </c>
      <c r="O2750">
        <v>385</v>
      </c>
      <c r="P2750">
        <v>92</v>
      </c>
      <c r="Q2750" s="2">
        <v>35420</v>
      </c>
      <c r="R2750">
        <v>0</v>
      </c>
      <c r="V2750">
        <v>0</v>
      </c>
      <c r="W2750">
        <v>0</v>
      </c>
      <c r="X2750">
        <v>0</v>
      </c>
      <c r="Y2750">
        <v>469.7</v>
      </c>
      <c r="Z2750">
        <v>469.7</v>
      </c>
      <c r="AA2750">
        <v>469.7</v>
      </c>
      <c r="AB2750" s="1">
        <v>42382</v>
      </c>
      <c r="AC2750" t="s">
        <v>53</v>
      </c>
      <c r="AD2750" t="s">
        <v>53</v>
      </c>
      <c r="AK2750">
        <v>0</v>
      </c>
      <c r="AU2750" s="6">
        <v>42300</v>
      </c>
      <c r="AV2750" s="6">
        <v>42300</v>
      </c>
      <c r="AW2750" t="s">
        <v>54</v>
      </c>
      <c r="AX2750" t="str">
        <f t="shared" si="226"/>
        <v>FOR</v>
      </c>
      <c r="AY2750" t="s">
        <v>55</v>
      </c>
    </row>
    <row r="2751" spans="1:51" hidden="1">
      <c r="A2751">
        <v>100879</v>
      </c>
      <c r="B2751" t="s">
        <v>301</v>
      </c>
      <c r="C2751" t="str">
        <f t="shared" si="229"/>
        <v>01354901215</v>
      </c>
      <c r="D2751" t="str">
        <f t="shared" si="230"/>
        <v>04720630633</v>
      </c>
      <c r="E2751" t="s">
        <v>52</v>
      </c>
      <c r="F2751">
        <v>2015</v>
      </c>
      <c r="G2751" t="s">
        <v>316</v>
      </c>
      <c r="H2751" s="1">
        <v>42034</v>
      </c>
      <c r="I2751" s="1">
        <v>42048</v>
      </c>
      <c r="J2751" s="1">
        <v>42048</v>
      </c>
      <c r="K2751" s="1">
        <v>42108</v>
      </c>
      <c r="N2751" s="5"/>
      <c r="O2751" s="2">
        <v>1890</v>
      </c>
      <c r="P2751">
        <v>142</v>
      </c>
      <c r="Q2751" s="2">
        <v>268380</v>
      </c>
      <c r="R2751">
        <v>0</v>
      </c>
      <c r="V2751">
        <v>0</v>
      </c>
      <c r="W2751">
        <v>0</v>
      </c>
      <c r="X2751">
        <v>0</v>
      </c>
      <c r="Y2751" s="2">
        <v>2305.8000000000002</v>
      </c>
      <c r="Z2751" s="2">
        <v>2305.8000000000002</v>
      </c>
      <c r="AA2751" s="2">
        <v>2305.8000000000002</v>
      </c>
      <c r="AB2751" s="1">
        <v>42382</v>
      </c>
      <c r="AC2751" t="s">
        <v>53</v>
      </c>
      <c r="AD2751" t="s">
        <v>53</v>
      </c>
      <c r="AK2751">
        <v>0</v>
      </c>
      <c r="AU2751" s="6">
        <v>42250</v>
      </c>
      <c r="AV2751" s="6">
        <v>42250</v>
      </c>
      <c r="AW2751" t="s">
        <v>54</v>
      </c>
      <c r="AX2751" t="str">
        <f t="shared" si="226"/>
        <v>FOR</v>
      </c>
      <c r="AY2751" t="s">
        <v>55</v>
      </c>
    </row>
    <row r="2752" spans="1:51" hidden="1">
      <c r="A2752">
        <v>100879</v>
      </c>
      <c r="B2752" t="s">
        <v>301</v>
      </c>
      <c r="C2752" t="str">
        <f t="shared" si="229"/>
        <v>01354901215</v>
      </c>
      <c r="D2752" t="str">
        <f t="shared" si="230"/>
        <v>04720630633</v>
      </c>
      <c r="E2752" t="s">
        <v>52</v>
      </c>
      <c r="F2752">
        <v>2015</v>
      </c>
      <c r="G2752" t="s">
        <v>317</v>
      </c>
      <c r="H2752" s="1">
        <v>42034</v>
      </c>
      <c r="I2752" s="1">
        <v>42048</v>
      </c>
      <c r="J2752" s="1">
        <v>42048</v>
      </c>
      <c r="K2752" s="1">
        <v>42108</v>
      </c>
      <c r="N2752" s="5"/>
      <c r="O2752">
        <v>198</v>
      </c>
      <c r="P2752">
        <v>142</v>
      </c>
      <c r="Q2752" s="2">
        <v>28116</v>
      </c>
      <c r="R2752">
        <v>0</v>
      </c>
      <c r="V2752">
        <v>0</v>
      </c>
      <c r="W2752">
        <v>0</v>
      </c>
      <c r="X2752">
        <v>0</v>
      </c>
      <c r="Y2752">
        <v>241.56</v>
      </c>
      <c r="Z2752">
        <v>241.56</v>
      </c>
      <c r="AA2752">
        <v>241.56</v>
      </c>
      <c r="AB2752" s="1">
        <v>42382</v>
      </c>
      <c r="AC2752" t="s">
        <v>53</v>
      </c>
      <c r="AD2752" t="s">
        <v>53</v>
      </c>
      <c r="AK2752">
        <v>0</v>
      </c>
      <c r="AU2752" s="6">
        <v>42250</v>
      </c>
      <c r="AV2752" s="6">
        <v>42250</v>
      </c>
      <c r="AW2752" t="s">
        <v>54</v>
      </c>
      <c r="AX2752" t="str">
        <f t="shared" si="226"/>
        <v>FOR</v>
      </c>
      <c r="AY2752" t="s">
        <v>55</v>
      </c>
    </row>
    <row r="2753" spans="1:51" hidden="1">
      <c r="A2753">
        <v>100879</v>
      </c>
      <c r="B2753" t="s">
        <v>301</v>
      </c>
      <c r="C2753" t="str">
        <f t="shared" si="229"/>
        <v>01354901215</v>
      </c>
      <c r="D2753" t="str">
        <f t="shared" si="230"/>
        <v>04720630633</v>
      </c>
      <c r="E2753" t="s">
        <v>52</v>
      </c>
      <c r="F2753">
        <v>2015</v>
      </c>
      <c r="G2753" t="s">
        <v>318</v>
      </c>
      <c r="H2753" s="1">
        <v>42041</v>
      </c>
      <c r="I2753" s="1">
        <v>42054</v>
      </c>
      <c r="J2753" s="1">
        <v>42054</v>
      </c>
      <c r="K2753" s="1">
        <v>42114</v>
      </c>
      <c r="N2753" s="5"/>
      <c r="O2753">
        <v>202</v>
      </c>
      <c r="P2753">
        <v>136</v>
      </c>
      <c r="Q2753" s="2">
        <v>27472</v>
      </c>
      <c r="R2753">
        <v>0</v>
      </c>
      <c r="V2753">
        <v>0</v>
      </c>
      <c r="W2753">
        <v>0</v>
      </c>
      <c r="X2753">
        <v>0</v>
      </c>
      <c r="Y2753">
        <v>246.44</v>
      </c>
      <c r="Z2753">
        <v>246.44</v>
      </c>
      <c r="AA2753">
        <v>246.44</v>
      </c>
      <c r="AB2753" s="1">
        <v>42382</v>
      </c>
      <c r="AC2753" t="s">
        <v>53</v>
      </c>
      <c r="AD2753" t="s">
        <v>53</v>
      </c>
      <c r="AK2753">
        <v>0</v>
      </c>
      <c r="AU2753" s="6">
        <v>42250</v>
      </c>
      <c r="AV2753" s="6">
        <v>42250</v>
      </c>
      <c r="AW2753" t="s">
        <v>54</v>
      </c>
      <c r="AX2753" t="str">
        <f t="shared" si="226"/>
        <v>FOR</v>
      </c>
      <c r="AY2753" t="s">
        <v>55</v>
      </c>
    </row>
    <row r="2754" spans="1:51">
      <c r="A2754">
        <v>100879</v>
      </c>
      <c r="B2754" t="s">
        <v>301</v>
      </c>
      <c r="C2754" t="str">
        <f t="shared" si="229"/>
        <v>01354901215</v>
      </c>
      <c r="D2754" t="str">
        <f t="shared" si="230"/>
        <v>04720630633</v>
      </c>
      <c r="E2754" t="s">
        <v>52</v>
      </c>
      <c r="F2754">
        <v>2015</v>
      </c>
      <c r="G2754" t="s">
        <v>319</v>
      </c>
      <c r="H2754" s="1">
        <v>42153</v>
      </c>
      <c r="I2754" s="1">
        <v>42158</v>
      </c>
      <c r="J2754" s="1">
        <v>42153</v>
      </c>
      <c r="K2754" s="1">
        <v>42213</v>
      </c>
      <c r="L2754" s="7">
        <v>6750</v>
      </c>
      <c r="M2754" s="5">
        <v>87</v>
      </c>
      <c r="N2754" s="7">
        <v>587250</v>
      </c>
      <c r="O2754" s="2">
        <v>6750</v>
      </c>
      <c r="P2754">
        <v>87</v>
      </c>
      <c r="Q2754" s="2">
        <v>587250</v>
      </c>
      <c r="R2754">
        <v>0</v>
      </c>
      <c r="V2754">
        <v>0</v>
      </c>
      <c r="W2754">
        <v>0</v>
      </c>
      <c r="X2754">
        <v>0</v>
      </c>
      <c r="Y2754" s="2">
        <v>8235</v>
      </c>
      <c r="Z2754" s="2">
        <v>8235</v>
      </c>
      <c r="AA2754" s="2">
        <v>8235</v>
      </c>
      <c r="AB2754" s="1">
        <v>42382</v>
      </c>
      <c r="AC2754" t="s">
        <v>53</v>
      </c>
      <c r="AD2754" t="s">
        <v>53</v>
      </c>
      <c r="AK2754">
        <v>0</v>
      </c>
      <c r="AU2754" s="6">
        <v>42300</v>
      </c>
      <c r="AV2754" s="6">
        <v>42300</v>
      </c>
      <c r="AW2754" t="s">
        <v>54</v>
      </c>
      <c r="AX2754" t="str">
        <f t="shared" si="226"/>
        <v>FOR</v>
      </c>
      <c r="AY2754" t="s">
        <v>55</v>
      </c>
    </row>
    <row r="2755" spans="1:51">
      <c r="A2755">
        <v>100879</v>
      </c>
      <c r="B2755" t="s">
        <v>301</v>
      </c>
      <c r="C2755" t="str">
        <f t="shared" si="229"/>
        <v>01354901215</v>
      </c>
      <c r="D2755" t="str">
        <f t="shared" si="230"/>
        <v>04720630633</v>
      </c>
      <c r="E2755" t="s">
        <v>52</v>
      </c>
      <c r="F2755">
        <v>2015</v>
      </c>
      <c r="G2755" t="s">
        <v>320</v>
      </c>
      <c r="H2755" s="1">
        <v>42153</v>
      </c>
      <c r="I2755" s="1">
        <v>42158</v>
      </c>
      <c r="J2755" s="1">
        <v>42153</v>
      </c>
      <c r="K2755" s="1">
        <v>42213</v>
      </c>
      <c r="L2755" s="7">
        <v>6750</v>
      </c>
      <c r="M2755" s="5">
        <v>87</v>
      </c>
      <c r="N2755" s="7">
        <v>587250</v>
      </c>
      <c r="O2755" s="2">
        <v>6750</v>
      </c>
      <c r="P2755">
        <v>87</v>
      </c>
      <c r="Q2755" s="2">
        <v>587250</v>
      </c>
      <c r="R2755">
        <v>0</v>
      </c>
      <c r="V2755">
        <v>0</v>
      </c>
      <c r="W2755">
        <v>0</v>
      </c>
      <c r="X2755">
        <v>0</v>
      </c>
      <c r="Y2755" s="2">
        <v>8235</v>
      </c>
      <c r="Z2755" s="2">
        <v>8235</v>
      </c>
      <c r="AA2755" s="2">
        <v>8235</v>
      </c>
      <c r="AB2755" s="1">
        <v>42382</v>
      </c>
      <c r="AC2755" t="s">
        <v>53</v>
      </c>
      <c r="AD2755" t="s">
        <v>53</v>
      </c>
      <c r="AK2755">
        <v>0</v>
      </c>
      <c r="AU2755" s="6">
        <v>42300</v>
      </c>
      <c r="AV2755" s="6">
        <v>42300</v>
      </c>
      <c r="AW2755" t="s">
        <v>54</v>
      </c>
      <c r="AX2755" t="str">
        <f t="shared" ref="AX2755:AX2818" si="231">"FOR"</f>
        <v>FOR</v>
      </c>
      <c r="AY2755" t="s">
        <v>55</v>
      </c>
    </row>
    <row r="2756" spans="1:51">
      <c r="A2756">
        <v>100879</v>
      </c>
      <c r="B2756" t="s">
        <v>301</v>
      </c>
      <c r="C2756" t="str">
        <f t="shared" si="229"/>
        <v>01354901215</v>
      </c>
      <c r="D2756" t="str">
        <f t="shared" si="230"/>
        <v>04720630633</v>
      </c>
      <c r="E2756" t="s">
        <v>52</v>
      </c>
      <c r="F2756">
        <v>2015</v>
      </c>
      <c r="G2756" t="s">
        <v>321</v>
      </c>
      <c r="H2756" s="1">
        <v>42153</v>
      </c>
      <c r="I2756" s="1">
        <v>42158</v>
      </c>
      <c r="J2756" s="1">
        <v>42153</v>
      </c>
      <c r="K2756" s="1">
        <v>42213</v>
      </c>
      <c r="L2756" s="7">
        <v>326.5</v>
      </c>
      <c r="M2756" s="5">
        <v>87</v>
      </c>
      <c r="N2756" s="7">
        <v>28405.5</v>
      </c>
      <c r="O2756">
        <v>326.5</v>
      </c>
      <c r="P2756">
        <v>87</v>
      </c>
      <c r="Q2756" s="2">
        <v>28405.5</v>
      </c>
      <c r="R2756">
        <v>0</v>
      </c>
      <c r="V2756">
        <v>0</v>
      </c>
      <c r="W2756">
        <v>0</v>
      </c>
      <c r="X2756">
        <v>0</v>
      </c>
      <c r="Y2756">
        <v>398.33</v>
      </c>
      <c r="Z2756">
        <v>398.33</v>
      </c>
      <c r="AA2756">
        <v>398.33</v>
      </c>
      <c r="AB2756" s="1">
        <v>42382</v>
      </c>
      <c r="AC2756" t="s">
        <v>53</v>
      </c>
      <c r="AD2756" t="s">
        <v>53</v>
      </c>
      <c r="AK2756">
        <v>0</v>
      </c>
      <c r="AU2756" s="6">
        <v>42300</v>
      </c>
      <c r="AV2756" s="6">
        <v>42300</v>
      </c>
      <c r="AW2756" t="s">
        <v>54</v>
      </c>
      <c r="AX2756" t="str">
        <f t="shared" si="231"/>
        <v>FOR</v>
      </c>
      <c r="AY2756" t="s">
        <v>55</v>
      </c>
    </row>
    <row r="2757" spans="1:51">
      <c r="A2757">
        <v>100879</v>
      </c>
      <c r="B2757" t="s">
        <v>301</v>
      </c>
      <c r="C2757" t="str">
        <f t="shared" si="229"/>
        <v>01354901215</v>
      </c>
      <c r="D2757" t="str">
        <f t="shared" si="230"/>
        <v>04720630633</v>
      </c>
      <c r="E2757" t="s">
        <v>52</v>
      </c>
      <c r="F2757">
        <v>2015</v>
      </c>
      <c r="G2757" t="s">
        <v>322</v>
      </c>
      <c r="H2757" s="1">
        <v>42164</v>
      </c>
      <c r="I2757" s="1">
        <v>42165</v>
      </c>
      <c r="J2757" s="1">
        <v>42164</v>
      </c>
      <c r="K2757" s="1">
        <v>42224</v>
      </c>
      <c r="L2757" s="7">
        <v>236.5</v>
      </c>
      <c r="M2757" s="5">
        <v>76</v>
      </c>
      <c r="N2757" s="7">
        <v>17974</v>
      </c>
      <c r="O2757">
        <v>236.5</v>
      </c>
      <c r="P2757">
        <v>76</v>
      </c>
      <c r="Q2757" s="2">
        <v>17974</v>
      </c>
      <c r="R2757">
        <v>0</v>
      </c>
      <c r="V2757">
        <v>0</v>
      </c>
      <c r="W2757">
        <v>0</v>
      </c>
      <c r="X2757">
        <v>0</v>
      </c>
      <c r="Y2757">
        <v>288.52999999999997</v>
      </c>
      <c r="Z2757">
        <v>288.52999999999997</v>
      </c>
      <c r="AA2757">
        <v>288.52999999999997</v>
      </c>
      <c r="AB2757" s="1">
        <v>42382</v>
      </c>
      <c r="AC2757" t="s">
        <v>53</v>
      </c>
      <c r="AD2757" t="s">
        <v>53</v>
      </c>
      <c r="AK2757">
        <v>0</v>
      </c>
      <c r="AU2757" s="6">
        <v>42300</v>
      </c>
      <c r="AV2757" s="6">
        <v>42300</v>
      </c>
      <c r="AW2757" t="s">
        <v>54</v>
      </c>
      <c r="AX2757" t="str">
        <f t="shared" si="231"/>
        <v>FOR</v>
      </c>
      <c r="AY2757" t="s">
        <v>55</v>
      </c>
    </row>
    <row r="2758" spans="1:51" hidden="1">
      <c r="A2758">
        <v>100879</v>
      </c>
      <c r="B2758" t="s">
        <v>301</v>
      </c>
      <c r="C2758" t="str">
        <f t="shared" ref="C2758:C2790" si="232">"01354901215"</f>
        <v>01354901215</v>
      </c>
      <c r="D2758" t="str">
        <f t="shared" ref="D2758:D2790" si="233">"04720630633"</f>
        <v>04720630633</v>
      </c>
      <c r="E2758" t="s">
        <v>52</v>
      </c>
      <c r="F2758">
        <v>2015</v>
      </c>
      <c r="G2758" t="s">
        <v>323</v>
      </c>
      <c r="H2758" s="1">
        <v>42048</v>
      </c>
      <c r="I2758" s="1">
        <v>42059</v>
      </c>
      <c r="J2758" s="1">
        <v>42059</v>
      </c>
      <c r="K2758" s="1">
        <v>42119</v>
      </c>
      <c r="N2758" s="5"/>
      <c r="O2758">
        <v>110</v>
      </c>
      <c r="P2758">
        <v>131</v>
      </c>
      <c r="Q2758" s="2">
        <v>14410</v>
      </c>
      <c r="R2758">
        <v>0</v>
      </c>
      <c r="V2758">
        <v>0</v>
      </c>
      <c r="W2758">
        <v>0</v>
      </c>
      <c r="X2758">
        <v>0</v>
      </c>
      <c r="Y2758">
        <v>134.19999999999999</v>
      </c>
      <c r="Z2758">
        <v>134.19999999999999</v>
      </c>
      <c r="AA2758">
        <v>134.19999999999999</v>
      </c>
      <c r="AB2758" s="1">
        <v>42382</v>
      </c>
      <c r="AC2758" t="s">
        <v>53</v>
      </c>
      <c r="AD2758" t="s">
        <v>53</v>
      </c>
      <c r="AK2758">
        <v>0</v>
      </c>
      <c r="AU2758" s="6">
        <v>42250</v>
      </c>
      <c r="AV2758" s="6">
        <v>42250</v>
      </c>
      <c r="AW2758" t="s">
        <v>54</v>
      </c>
      <c r="AX2758" t="str">
        <f t="shared" si="231"/>
        <v>FOR</v>
      </c>
      <c r="AY2758" t="s">
        <v>55</v>
      </c>
    </row>
    <row r="2759" spans="1:51" hidden="1">
      <c r="A2759">
        <v>100879</v>
      </c>
      <c r="B2759" t="s">
        <v>301</v>
      </c>
      <c r="C2759" t="str">
        <f t="shared" si="232"/>
        <v>01354901215</v>
      </c>
      <c r="D2759" t="str">
        <f t="shared" si="233"/>
        <v>04720630633</v>
      </c>
      <c r="E2759" t="s">
        <v>52</v>
      </c>
      <c r="F2759">
        <v>2015</v>
      </c>
      <c r="G2759" t="s">
        <v>324</v>
      </c>
      <c r="H2759" s="1">
        <v>42048</v>
      </c>
      <c r="I2759" s="1">
        <v>42059</v>
      </c>
      <c r="J2759" s="1">
        <v>42059</v>
      </c>
      <c r="K2759" s="1">
        <v>42119</v>
      </c>
      <c r="N2759" s="5"/>
      <c r="O2759" s="2">
        <v>1540</v>
      </c>
      <c r="P2759">
        <v>131</v>
      </c>
      <c r="Q2759" s="2">
        <v>201740</v>
      </c>
      <c r="R2759">
        <v>0</v>
      </c>
      <c r="V2759">
        <v>0</v>
      </c>
      <c r="W2759">
        <v>0</v>
      </c>
      <c r="X2759">
        <v>0</v>
      </c>
      <c r="Y2759" s="2">
        <v>1878.8</v>
      </c>
      <c r="Z2759" s="2">
        <v>1878.8</v>
      </c>
      <c r="AA2759" s="2">
        <v>1878.8</v>
      </c>
      <c r="AB2759" s="1">
        <v>42382</v>
      </c>
      <c r="AC2759" t="s">
        <v>53</v>
      </c>
      <c r="AD2759" t="s">
        <v>53</v>
      </c>
      <c r="AK2759">
        <v>0</v>
      </c>
      <c r="AU2759" s="6">
        <v>42250</v>
      </c>
      <c r="AV2759" s="6">
        <v>42250</v>
      </c>
      <c r="AW2759" t="s">
        <v>54</v>
      </c>
      <c r="AX2759" t="str">
        <f t="shared" si="231"/>
        <v>FOR</v>
      </c>
      <c r="AY2759" t="s">
        <v>55</v>
      </c>
    </row>
    <row r="2760" spans="1:51">
      <c r="A2760">
        <v>100879</v>
      </c>
      <c r="B2760" t="s">
        <v>301</v>
      </c>
      <c r="C2760" t="str">
        <f t="shared" si="232"/>
        <v>01354901215</v>
      </c>
      <c r="D2760" t="str">
        <f t="shared" si="233"/>
        <v>04720630633</v>
      </c>
      <c r="E2760" t="s">
        <v>52</v>
      </c>
      <c r="F2760">
        <v>2015</v>
      </c>
      <c r="G2760" t="s">
        <v>325</v>
      </c>
      <c r="H2760" s="1">
        <v>42174</v>
      </c>
      <c r="I2760" s="1">
        <v>42177</v>
      </c>
      <c r="J2760" s="1">
        <v>42174</v>
      </c>
      <c r="K2760" s="1">
        <v>42234</v>
      </c>
      <c r="L2760" s="7">
        <v>895</v>
      </c>
      <c r="M2760" s="5">
        <v>66</v>
      </c>
      <c r="N2760" s="7">
        <v>59070</v>
      </c>
      <c r="O2760">
        <v>895</v>
      </c>
      <c r="P2760">
        <v>66</v>
      </c>
      <c r="Q2760" s="2">
        <v>59070</v>
      </c>
      <c r="R2760">
        <v>0</v>
      </c>
      <c r="V2760">
        <v>0</v>
      </c>
      <c r="W2760">
        <v>0</v>
      </c>
      <c r="X2760">
        <v>0</v>
      </c>
      <c r="Y2760" s="2">
        <v>1091.9000000000001</v>
      </c>
      <c r="Z2760" s="2">
        <v>1091.9000000000001</v>
      </c>
      <c r="AA2760" s="2">
        <v>1091.9000000000001</v>
      </c>
      <c r="AB2760" s="1">
        <v>42382</v>
      </c>
      <c r="AC2760" t="s">
        <v>53</v>
      </c>
      <c r="AD2760" t="s">
        <v>53</v>
      </c>
      <c r="AK2760">
        <v>0</v>
      </c>
      <c r="AU2760" s="6">
        <v>42300</v>
      </c>
      <c r="AV2760" s="6">
        <v>42300</v>
      </c>
      <c r="AW2760" t="s">
        <v>54</v>
      </c>
      <c r="AX2760" t="str">
        <f t="shared" si="231"/>
        <v>FOR</v>
      </c>
      <c r="AY2760" t="s">
        <v>55</v>
      </c>
    </row>
    <row r="2761" spans="1:51">
      <c r="A2761">
        <v>100879</v>
      </c>
      <c r="B2761" t="s">
        <v>301</v>
      </c>
      <c r="C2761" t="str">
        <f t="shared" si="232"/>
        <v>01354901215</v>
      </c>
      <c r="D2761" t="str">
        <f t="shared" si="233"/>
        <v>04720630633</v>
      </c>
      <c r="E2761" t="s">
        <v>52</v>
      </c>
      <c r="F2761">
        <v>2015</v>
      </c>
      <c r="G2761" t="s">
        <v>326</v>
      </c>
      <c r="H2761" s="1">
        <v>42174</v>
      </c>
      <c r="I2761" s="1">
        <v>42177</v>
      </c>
      <c r="J2761" s="1">
        <v>42174</v>
      </c>
      <c r="K2761" s="1">
        <v>42234</v>
      </c>
      <c r="L2761" s="7">
        <v>93.5</v>
      </c>
      <c r="M2761" s="5">
        <v>66</v>
      </c>
      <c r="N2761" s="7">
        <v>6171</v>
      </c>
      <c r="O2761">
        <v>93.5</v>
      </c>
      <c r="P2761">
        <v>66</v>
      </c>
      <c r="Q2761" s="2">
        <v>6171</v>
      </c>
      <c r="R2761">
        <v>0</v>
      </c>
      <c r="V2761">
        <v>0</v>
      </c>
      <c r="W2761">
        <v>0</v>
      </c>
      <c r="X2761">
        <v>0</v>
      </c>
      <c r="Y2761">
        <v>114.07</v>
      </c>
      <c r="Z2761">
        <v>114.07</v>
      </c>
      <c r="AA2761">
        <v>114.07</v>
      </c>
      <c r="AB2761" s="1">
        <v>42382</v>
      </c>
      <c r="AC2761" t="s">
        <v>53</v>
      </c>
      <c r="AD2761" t="s">
        <v>53</v>
      </c>
      <c r="AK2761">
        <v>0</v>
      </c>
      <c r="AU2761" s="6">
        <v>42300</v>
      </c>
      <c r="AV2761" s="6">
        <v>42300</v>
      </c>
      <c r="AW2761" t="s">
        <v>54</v>
      </c>
      <c r="AX2761" t="str">
        <f t="shared" si="231"/>
        <v>FOR</v>
      </c>
      <c r="AY2761" t="s">
        <v>55</v>
      </c>
    </row>
    <row r="2762" spans="1:51" hidden="1">
      <c r="A2762">
        <v>100879</v>
      </c>
      <c r="B2762" t="s">
        <v>301</v>
      </c>
      <c r="C2762" t="str">
        <f t="shared" si="232"/>
        <v>01354901215</v>
      </c>
      <c r="D2762" t="str">
        <f t="shared" si="233"/>
        <v>04720630633</v>
      </c>
      <c r="E2762" t="s">
        <v>52</v>
      </c>
      <c r="F2762">
        <v>2015</v>
      </c>
      <c r="G2762" t="s">
        <v>327</v>
      </c>
      <c r="H2762" s="1">
        <v>42054</v>
      </c>
      <c r="I2762" s="1">
        <v>42067</v>
      </c>
      <c r="J2762" s="1">
        <v>42067</v>
      </c>
      <c r="K2762" s="1">
        <v>42127</v>
      </c>
      <c r="N2762" s="5"/>
      <c r="O2762">
        <v>121</v>
      </c>
      <c r="P2762">
        <v>123</v>
      </c>
      <c r="Q2762" s="2">
        <v>14883</v>
      </c>
      <c r="R2762">
        <v>0</v>
      </c>
      <c r="V2762">
        <v>0</v>
      </c>
      <c r="W2762">
        <v>0</v>
      </c>
      <c r="X2762">
        <v>0</v>
      </c>
      <c r="Y2762">
        <v>147.62</v>
      </c>
      <c r="Z2762">
        <v>147.62</v>
      </c>
      <c r="AA2762">
        <v>147.62</v>
      </c>
      <c r="AB2762" s="1">
        <v>42382</v>
      </c>
      <c r="AC2762" t="s">
        <v>53</v>
      </c>
      <c r="AD2762" t="s">
        <v>53</v>
      </c>
      <c r="AK2762">
        <v>0</v>
      </c>
      <c r="AU2762" s="6">
        <v>42250</v>
      </c>
      <c r="AV2762" s="6">
        <v>42250</v>
      </c>
      <c r="AW2762" t="s">
        <v>54</v>
      </c>
      <c r="AX2762" t="str">
        <f t="shared" si="231"/>
        <v>FOR</v>
      </c>
      <c r="AY2762" t="s">
        <v>55</v>
      </c>
    </row>
    <row r="2763" spans="1:51" hidden="1">
      <c r="A2763">
        <v>100879</v>
      </c>
      <c r="B2763" t="s">
        <v>301</v>
      </c>
      <c r="C2763" t="str">
        <f t="shared" si="232"/>
        <v>01354901215</v>
      </c>
      <c r="D2763" t="str">
        <f t="shared" si="233"/>
        <v>04720630633</v>
      </c>
      <c r="E2763" t="s">
        <v>52</v>
      </c>
      <c r="F2763">
        <v>2015</v>
      </c>
      <c r="G2763" t="s">
        <v>328</v>
      </c>
      <c r="H2763" s="1">
        <v>42059</v>
      </c>
      <c r="I2763" s="1">
        <v>42068</v>
      </c>
      <c r="J2763" s="1">
        <v>42068</v>
      </c>
      <c r="K2763" s="1">
        <v>42128</v>
      </c>
      <c r="N2763" s="5"/>
      <c r="O2763">
        <v>220</v>
      </c>
      <c r="P2763">
        <v>122</v>
      </c>
      <c r="Q2763" s="2">
        <v>26840</v>
      </c>
      <c r="R2763">
        <v>0</v>
      </c>
      <c r="V2763">
        <v>0</v>
      </c>
      <c r="W2763">
        <v>0</v>
      </c>
      <c r="X2763">
        <v>0</v>
      </c>
      <c r="Y2763">
        <v>268.39999999999998</v>
      </c>
      <c r="Z2763">
        <v>268.39999999999998</v>
      </c>
      <c r="AA2763">
        <v>268.39999999999998</v>
      </c>
      <c r="AB2763" s="1">
        <v>42382</v>
      </c>
      <c r="AC2763" t="s">
        <v>53</v>
      </c>
      <c r="AD2763" t="s">
        <v>53</v>
      </c>
      <c r="AK2763">
        <v>0</v>
      </c>
      <c r="AU2763" s="6">
        <v>42250</v>
      </c>
      <c r="AV2763" s="6">
        <v>42250</v>
      </c>
      <c r="AW2763" t="s">
        <v>54</v>
      </c>
      <c r="AX2763" t="str">
        <f t="shared" si="231"/>
        <v>FOR</v>
      </c>
      <c r="AY2763" t="s">
        <v>55</v>
      </c>
    </row>
    <row r="2764" spans="1:51" hidden="1">
      <c r="A2764">
        <v>100879</v>
      </c>
      <c r="B2764" t="s">
        <v>301</v>
      </c>
      <c r="C2764" t="str">
        <f t="shared" si="232"/>
        <v>01354901215</v>
      </c>
      <c r="D2764" t="str">
        <f t="shared" si="233"/>
        <v>04720630633</v>
      </c>
      <c r="E2764" t="s">
        <v>52</v>
      </c>
      <c r="F2764">
        <v>2015</v>
      </c>
      <c r="G2764" t="s">
        <v>329</v>
      </c>
      <c r="H2764" s="1">
        <v>42062</v>
      </c>
      <c r="I2764" s="1">
        <v>42072</v>
      </c>
      <c r="J2764" s="1">
        <v>42072</v>
      </c>
      <c r="K2764" s="1">
        <v>42132</v>
      </c>
      <c r="N2764" s="5"/>
      <c r="O2764">
        <v>680</v>
      </c>
      <c r="P2764">
        <v>118</v>
      </c>
      <c r="Q2764" s="2">
        <v>80240</v>
      </c>
      <c r="R2764">
        <v>0</v>
      </c>
      <c r="V2764">
        <v>0</v>
      </c>
      <c r="W2764">
        <v>0</v>
      </c>
      <c r="X2764">
        <v>0</v>
      </c>
      <c r="Y2764">
        <v>829.6</v>
      </c>
      <c r="Z2764">
        <v>829.6</v>
      </c>
      <c r="AA2764">
        <v>829.6</v>
      </c>
      <c r="AB2764" s="1">
        <v>42382</v>
      </c>
      <c r="AC2764" t="s">
        <v>53</v>
      </c>
      <c r="AD2764" t="s">
        <v>53</v>
      </c>
      <c r="AK2764">
        <v>0</v>
      </c>
      <c r="AU2764" s="6">
        <v>42250</v>
      </c>
      <c r="AV2764" s="6">
        <v>42250</v>
      </c>
      <c r="AW2764" t="s">
        <v>54</v>
      </c>
      <c r="AX2764" t="str">
        <f t="shared" si="231"/>
        <v>FOR</v>
      </c>
      <c r="AY2764" t="s">
        <v>55</v>
      </c>
    </row>
    <row r="2765" spans="1:51">
      <c r="A2765">
        <v>100879</v>
      </c>
      <c r="B2765" t="s">
        <v>301</v>
      </c>
      <c r="C2765" t="str">
        <f t="shared" si="232"/>
        <v>01354901215</v>
      </c>
      <c r="D2765" t="str">
        <f t="shared" si="233"/>
        <v>04720630633</v>
      </c>
      <c r="E2765" t="s">
        <v>52</v>
      </c>
      <c r="F2765">
        <v>2015</v>
      </c>
      <c r="G2765" t="s">
        <v>330</v>
      </c>
      <c r="H2765" s="1">
        <v>42185</v>
      </c>
      <c r="I2765" s="1">
        <v>42191</v>
      </c>
      <c r="J2765" s="1">
        <v>42186</v>
      </c>
      <c r="K2765" s="1">
        <v>42246</v>
      </c>
      <c r="L2765" s="7">
        <v>77</v>
      </c>
      <c r="M2765" s="5">
        <v>54</v>
      </c>
      <c r="N2765" s="7">
        <v>4158</v>
      </c>
      <c r="O2765">
        <v>77</v>
      </c>
      <c r="P2765">
        <v>54</v>
      </c>
      <c r="Q2765" s="2">
        <v>4158</v>
      </c>
      <c r="R2765">
        <v>0</v>
      </c>
      <c r="V2765">
        <v>0</v>
      </c>
      <c r="W2765">
        <v>0</v>
      </c>
      <c r="X2765">
        <v>0</v>
      </c>
      <c r="Y2765">
        <v>93.94</v>
      </c>
      <c r="Z2765">
        <v>93.94</v>
      </c>
      <c r="AA2765">
        <v>93.94</v>
      </c>
      <c r="AB2765" s="1">
        <v>42382</v>
      </c>
      <c r="AC2765" t="s">
        <v>53</v>
      </c>
      <c r="AD2765" t="s">
        <v>53</v>
      </c>
      <c r="AK2765">
        <v>0</v>
      </c>
      <c r="AU2765" s="6">
        <v>42300</v>
      </c>
      <c r="AV2765" s="6">
        <v>42300</v>
      </c>
      <c r="AW2765" t="s">
        <v>54</v>
      </c>
      <c r="AX2765" t="str">
        <f t="shared" si="231"/>
        <v>FOR</v>
      </c>
      <c r="AY2765" t="s">
        <v>55</v>
      </c>
    </row>
    <row r="2766" spans="1:51" hidden="1">
      <c r="A2766">
        <v>100879</v>
      </c>
      <c r="B2766" t="s">
        <v>301</v>
      </c>
      <c r="C2766" t="str">
        <f t="shared" si="232"/>
        <v>01354901215</v>
      </c>
      <c r="D2766" t="str">
        <f t="shared" si="233"/>
        <v>04720630633</v>
      </c>
      <c r="E2766" t="s">
        <v>52</v>
      </c>
      <c r="F2766">
        <v>2015</v>
      </c>
      <c r="G2766" t="s">
        <v>331</v>
      </c>
      <c r="H2766" s="1">
        <v>42069</v>
      </c>
      <c r="I2766" s="1">
        <v>42081</v>
      </c>
      <c r="J2766" s="1">
        <v>42081</v>
      </c>
      <c r="K2766" s="1">
        <v>42141</v>
      </c>
      <c r="N2766" s="5"/>
      <c r="O2766">
        <v>55</v>
      </c>
      <c r="P2766">
        <v>109</v>
      </c>
      <c r="Q2766" s="2">
        <v>5995</v>
      </c>
      <c r="R2766">
        <v>0</v>
      </c>
      <c r="V2766">
        <v>0</v>
      </c>
      <c r="W2766">
        <v>0</v>
      </c>
      <c r="X2766">
        <v>0</v>
      </c>
      <c r="Y2766">
        <v>67.099999999999994</v>
      </c>
      <c r="Z2766">
        <v>67.099999999999994</v>
      </c>
      <c r="AA2766">
        <v>67.099999999999994</v>
      </c>
      <c r="AB2766" s="1">
        <v>42382</v>
      </c>
      <c r="AC2766" t="s">
        <v>53</v>
      </c>
      <c r="AD2766" t="s">
        <v>53</v>
      </c>
      <c r="AK2766">
        <v>0</v>
      </c>
      <c r="AU2766" s="6">
        <v>42250</v>
      </c>
      <c r="AV2766" s="6">
        <v>42250</v>
      </c>
      <c r="AW2766" t="s">
        <v>54</v>
      </c>
      <c r="AX2766" t="str">
        <f t="shared" si="231"/>
        <v>FOR</v>
      </c>
      <c r="AY2766" t="s">
        <v>55</v>
      </c>
    </row>
    <row r="2767" spans="1:51" hidden="1">
      <c r="A2767">
        <v>100879</v>
      </c>
      <c r="B2767" t="s">
        <v>301</v>
      </c>
      <c r="C2767" t="str">
        <f t="shared" si="232"/>
        <v>01354901215</v>
      </c>
      <c r="D2767" t="str">
        <f t="shared" si="233"/>
        <v>04720630633</v>
      </c>
      <c r="E2767" t="s">
        <v>52</v>
      </c>
      <c r="F2767">
        <v>2015</v>
      </c>
      <c r="G2767" t="s">
        <v>332</v>
      </c>
      <c r="H2767" s="1">
        <v>42075</v>
      </c>
      <c r="I2767" s="1">
        <v>42081</v>
      </c>
      <c r="J2767" s="1">
        <v>42081</v>
      </c>
      <c r="K2767" s="1">
        <v>42141</v>
      </c>
      <c r="N2767" s="5"/>
      <c r="O2767">
        <v>350</v>
      </c>
      <c r="P2767">
        <v>109</v>
      </c>
      <c r="Q2767" s="2">
        <v>38150</v>
      </c>
      <c r="R2767">
        <v>0</v>
      </c>
      <c r="V2767">
        <v>0</v>
      </c>
      <c r="W2767">
        <v>0</v>
      </c>
      <c r="X2767">
        <v>0</v>
      </c>
      <c r="Y2767">
        <v>427</v>
      </c>
      <c r="Z2767">
        <v>427</v>
      </c>
      <c r="AA2767">
        <v>427</v>
      </c>
      <c r="AB2767" s="1">
        <v>42382</v>
      </c>
      <c r="AC2767" t="s">
        <v>53</v>
      </c>
      <c r="AD2767" t="s">
        <v>53</v>
      </c>
      <c r="AK2767">
        <v>0</v>
      </c>
      <c r="AU2767" s="6">
        <v>42250</v>
      </c>
      <c r="AV2767" s="6">
        <v>42250</v>
      </c>
      <c r="AW2767" t="s">
        <v>54</v>
      </c>
      <c r="AX2767" t="str">
        <f t="shared" si="231"/>
        <v>FOR</v>
      </c>
      <c r="AY2767" t="s">
        <v>55</v>
      </c>
    </row>
    <row r="2768" spans="1:51" hidden="1">
      <c r="A2768">
        <v>100879</v>
      </c>
      <c r="B2768" t="s">
        <v>301</v>
      </c>
      <c r="C2768" t="str">
        <f t="shared" si="232"/>
        <v>01354901215</v>
      </c>
      <c r="D2768" t="str">
        <f t="shared" si="233"/>
        <v>04720630633</v>
      </c>
      <c r="E2768" t="s">
        <v>52</v>
      </c>
      <c r="F2768">
        <v>2015</v>
      </c>
      <c r="G2768" t="s">
        <v>333</v>
      </c>
      <c r="H2768" s="1">
        <v>42075</v>
      </c>
      <c r="I2768" s="1">
        <v>42081</v>
      </c>
      <c r="J2768" s="1">
        <v>42081</v>
      </c>
      <c r="K2768" s="1">
        <v>42141</v>
      </c>
      <c r="N2768" s="5"/>
      <c r="O2768">
        <v>120</v>
      </c>
      <c r="P2768">
        <v>109</v>
      </c>
      <c r="Q2768" s="2">
        <v>13080</v>
      </c>
      <c r="R2768">
        <v>0</v>
      </c>
      <c r="V2768">
        <v>0</v>
      </c>
      <c r="W2768">
        <v>0</v>
      </c>
      <c r="X2768">
        <v>0</v>
      </c>
      <c r="Y2768">
        <v>146.4</v>
      </c>
      <c r="Z2768">
        <v>146.4</v>
      </c>
      <c r="AA2768">
        <v>146.4</v>
      </c>
      <c r="AB2768" s="1">
        <v>42382</v>
      </c>
      <c r="AC2768" t="s">
        <v>53</v>
      </c>
      <c r="AD2768" t="s">
        <v>53</v>
      </c>
      <c r="AK2768">
        <v>0</v>
      </c>
      <c r="AU2768" s="6">
        <v>42250</v>
      </c>
      <c r="AV2768" s="6">
        <v>42250</v>
      </c>
      <c r="AW2768" t="s">
        <v>54</v>
      </c>
      <c r="AX2768" t="str">
        <f t="shared" si="231"/>
        <v>FOR</v>
      </c>
      <c r="AY2768" t="s">
        <v>55</v>
      </c>
    </row>
    <row r="2769" spans="1:51" hidden="1">
      <c r="A2769">
        <v>100879</v>
      </c>
      <c r="B2769" t="s">
        <v>301</v>
      </c>
      <c r="C2769" t="str">
        <f t="shared" si="232"/>
        <v>01354901215</v>
      </c>
      <c r="D2769" t="str">
        <f t="shared" si="233"/>
        <v>04720630633</v>
      </c>
      <c r="E2769" t="s">
        <v>52</v>
      </c>
      <c r="F2769">
        <v>2015</v>
      </c>
      <c r="G2769" t="s">
        <v>334</v>
      </c>
      <c r="H2769" s="1">
        <v>42075</v>
      </c>
      <c r="I2769" s="1">
        <v>42081</v>
      </c>
      <c r="J2769" s="1">
        <v>42081</v>
      </c>
      <c r="K2769" s="1">
        <v>42141</v>
      </c>
      <c r="N2769" s="5"/>
      <c r="O2769">
        <v>51.65</v>
      </c>
      <c r="P2769">
        <v>109</v>
      </c>
      <c r="Q2769" s="2">
        <v>5629.85</v>
      </c>
      <c r="R2769">
        <v>0</v>
      </c>
      <c r="V2769">
        <v>0</v>
      </c>
      <c r="W2769">
        <v>0</v>
      </c>
      <c r="X2769">
        <v>0</v>
      </c>
      <c r="Y2769">
        <v>63.01</v>
      </c>
      <c r="Z2769">
        <v>63.01</v>
      </c>
      <c r="AA2769">
        <v>63.01</v>
      </c>
      <c r="AB2769" s="1">
        <v>42382</v>
      </c>
      <c r="AC2769" t="s">
        <v>53</v>
      </c>
      <c r="AD2769" t="s">
        <v>53</v>
      </c>
      <c r="AK2769">
        <v>0</v>
      </c>
      <c r="AU2769" s="6">
        <v>42250</v>
      </c>
      <c r="AV2769" s="6">
        <v>42250</v>
      </c>
      <c r="AW2769" t="s">
        <v>54</v>
      </c>
      <c r="AX2769" t="str">
        <f t="shared" si="231"/>
        <v>FOR</v>
      </c>
      <c r="AY2769" t="s">
        <v>55</v>
      </c>
    </row>
    <row r="2770" spans="1:51">
      <c r="A2770">
        <v>100879</v>
      </c>
      <c r="B2770" t="s">
        <v>301</v>
      </c>
      <c r="C2770" t="str">
        <f t="shared" si="232"/>
        <v>01354901215</v>
      </c>
      <c r="D2770" t="str">
        <f t="shared" si="233"/>
        <v>04720630633</v>
      </c>
      <c r="E2770" t="s">
        <v>52</v>
      </c>
      <c r="F2770">
        <v>2015</v>
      </c>
      <c r="G2770" t="s">
        <v>335</v>
      </c>
      <c r="H2770" s="1">
        <v>42198</v>
      </c>
      <c r="I2770" s="1">
        <v>42198</v>
      </c>
      <c r="J2770" s="1">
        <v>42198</v>
      </c>
      <c r="K2770" s="1">
        <v>42258</v>
      </c>
      <c r="L2770" s="7">
        <v>630</v>
      </c>
      <c r="M2770" s="5">
        <v>42</v>
      </c>
      <c r="N2770" s="7">
        <v>26460</v>
      </c>
      <c r="O2770">
        <v>630</v>
      </c>
      <c r="P2770">
        <v>42</v>
      </c>
      <c r="Q2770" s="2">
        <v>26460</v>
      </c>
      <c r="R2770">
        <v>0</v>
      </c>
      <c r="V2770">
        <v>0</v>
      </c>
      <c r="W2770">
        <v>0</v>
      </c>
      <c r="X2770">
        <v>0</v>
      </c>
      <c r="Y2770">
        <v>768.6</v>
      </c>
      <c r="Z2770">
        <v>768.6</v>
      </c>
      <c r="AA2770">
        <v>768.6</v>
      </c>
      <c r="AB2770" s="1">
        <v>42382</v>
      </c>
      <c r="AC2770" t="s">
        <v>53</v>
      </c>
      <c r="AD2770" t="s">
        <v>53</v>
      </c>
      <c r="AK2770">
        <v>0</v>
      </c>
      <c r="AU2770" s="6">
        <v>42300</v>
      </c>
      <c r="AV2770" s="6">
        <v>42300</v>
      </c>
      <c r="AW2770" t="s">
        <v>54</v>
      </c>
      <c r="AX2770" t="str">
        <f t="shared" si="231"/>
        <v>FOR</v>
      </c>
      <c r="AY2770" t="s">
        <v>55</v>
      </c>
    </row>
    <row r="2771" spans="1:51">
      <c r="A2771">
        <v>100879</v>
      </c>
      <c r="B2771" t="s">
        <v>301</v>
      </c>
      <c r="C2771" t="str">
        <f t="shared" si="232"/>
        <v>01354901215</v>
      </c>
      <c r="D2771" t="str">
        <f t="shared" si="233"/>
        <v>04720630633</v>
      </c>
      <c r="E2771" t="s">
        <v>52</v>
      </c>
      <c r="F2771">
        <v>2015</v>
      </c>
      <c r="G2771" t="s">
        <v>336</v>
      </c>
      <c r="H2771" s="1">
        <v>42198</v>
      </c>
      <c r="I2771" s="1">
        <v>42198</v>
      </c>
      <c r="J2771" s="1">
        <v>42198</v>
      </c>
      <c r="K2771" s="1">
        <v>42258</v>
      </c>
      <c r="L2771" s="7">
        <v>440</v>
      </c>
      <c r="M2771" s="5">
        <v>42</v>
      </c>
      <c r="N2771" s="7">
        <v>18480</v>
      </c>
      <c r="O2771">
        <v>440</v>
      </c>
      <c r="P2771">
        <v>42</v>
      </c>
      <c r="Q2771" s="2">
        <v>18480</v>
      </c>
      <c r="R2771">
        <v>0</v>
      </c>
      <c r="V2771">
        <v>0</v>
      </c>
      <c r="W2771">
        <v>0</v>
      </c>
      <c r="X2771">
        <v>0</v>
      </c>
      <c r="Y2771">
        <v>536.79999999999995</v>
      </c>
      <c r="Z2771">
        <v>536.79999999999995</v>
      </c>
      <c r="AA2771">
        <v>536.79999999999995</v>
      </c>
      <c r="AB2771" s="1">
        <v>42382</v>
      </c>
      <c r="AC2771" t="s">
        <v>53</v>
      </c>
      <c r="AD2771" t="s">
        <v>53</v>
      </c>
      <c r="AK2771">
        <v>0</v>
      </c>
      <c r="AU2771" s="6">
        <v>42300</v>
      </c>
      <c r="AV2771" s="6">
        <v>42300</v>
      </c>
      <c r="AW2771" t="s">
        <v>54</v>
      </c>
      <c r="AX2771" t="str">
        <f t="shared" si="231"/>
        <v>FOR</v>
      </c>
      <c r="AY2771" t="s">
        <v>55</v>
      </c>
    </row>
    <row r="2772" spans="1:51">
      <c r="A2772">
        <v>100879</v>
      </c>
      <c r="B2772" t="s">
        <v>301</v>
      </c>
      <c r="C2772" t="str">
        <f t="shared" si="232"/>
        <v>01354901215</v>
      </c>
      <c r="D2772" t="str">
        <f t="shared" si="233"/>
        <v>04720630633</v>
      </c>
      <c r="E2772" t="s">
        <v>52</v>
      </c>
      <c r="F2772">
        <v>2015</v>
      </c>
      <c r="G2772" t="s">
        <v>337</v>
      </c>
      <c r="H2772" s="1">
        <v>42198</v>
      </c>
      <c r="I2772" s="1">
        <v>42198</v>
      </c>
      <c r="J2772" s="1">
        <v>42198</v>
      </c>
      <c r="K2772" s="1">
        <v>42258</v>
      </c>
      <c r="L2772" s="7">
        <v>1380</v>
      </c>
      <c r="M2772" s="5">
        <v>42</v>
      </c>
      <c r="N2772" s="7">
        <v>57960</v>
      </c>
      <c r="O2772" s="2">
        <v>1380</v>
      </c>
      <c r="P2772">
        <v>42</v>
      </c>
      <c r="Q2772" s="2">
        <v>57960</v>
      </c>
      <c r="R2772">
        <v>0</v>
      </c>
      <c r="V2772">
        <v>0</v>
      </c>
      <c r="W2772">
        <v>0</v>
      </c>
      <c r="X2772">
        <v>0</v>
      </c>
      <c r="Y2772" s="2">
        <v>1683.6</v>
      </c>
      <c r="Z2772" s="2">
        <v>1683.6</v>
      </c>
      <c r="AA2772" s="2">
        <v>1683.6</v>
      </c>
      <c r="AB2772" s="1">
        <v>42382</v>
      </c>
      <c r="AC2772" t="s">
        <v>53</v>
      </c>
      <c r="AD2772" t="s">
        <v>53</v>
      </c>
      <c r="AK2772">
        <v>0</v>
      </c>
      <c r="AU2772" s="6">
        <v>42300</v>
      </c>
      <c r="AV2772" s="6">
        <v>42300</v>
      </c>
      <c r="AW2772" t="s">
        <v>54</v>
      </c>
      <c r="AX2772" t="str">
        <f t="shared" si="231"/>
        <v>FOR</v>
      </c>
      <c r="AY2772" t="s">
        <v>55</v>
      </c>
    </row>
    <row r="2773" spans="1:51">
      <c r="A2773">
        <v>100879</v>
      </c>
      <c r="B2773" t="s">
        <v>301</v>
      </c>
      <c r="C2773" t="str">
        <f t="shared" si="232"/>
        <v>01354901215</v>
      </c>
      <c r="D2773" t="str">
        <f t="shared" si="233"/>
        <v>04720630633</v>
      </c>
      <c r="E2773" t="s">
        <v>52</v>
      </c>
      <c r="F2773">
        <v>2015</v>
      </c>
      <c r="G2773" t="s">
        <v>338</v>
      </c>
      <c r="H2773" s="1">
        <v>42198</v>
      </c>
      <c r="I2773" s="1">
        <v>42198</v>
      </c>
      <c r="J2773" s="1">
        <v>42198</v>
      </c>
      <c r="K2773" s="1">
        <v>42258</v>
      </c>
      <c r="L2773" s="7">
        <v>396</v>
      </c>
      <c r="M2773" s="5">
        <v>42</v>
      </c>
      <c r="N2773" s="7">
        <v>16632</v>
      </c>
      <c r="O2773">
        <v>396</v>
      </c>
      <c r="P2773">
        <v>42</v>
      </c>
      <c r="Q2773" s="2">
        <v>16632</v>
      </c>
      <c r="R2773">
        <v>0</v>
      </c>
      <c r="V2773">
        <v>0</v>
      </c>
      <c r="W2773">
        <v>0</v>
      </c>
      <c r="X2773">
        <v>0</v>
      </c>
      <c r="Y2773">
        <v>483.12</v>
      </c>
      <c r="Z2773">
        <v>483.12</v>
      </c>
      <c r="AA2773">
        <v>483.12</v>
      </c>
      <c r="AB2773" s="1">
        <v>42382</v>
      </c>
      <c r="AC2773" t="s">
        <v>53</v>
      </c>
      <c r="AD2773" t="s">
        <v>53</v>
      </c>
      <c r="AK2773">
        <v>0</v>
      </c>
      <c r="AU2773" s="6">
        <v>42300</v>
      </c>
      <c r="AV2773" s="6">
        <v>42300</v>
      </c>
      <c r="AW2773" t="s">
        <v>54</v>
      </c>
      <c r="AX2773" t="str">
        <f t="shared" si="231"/>
        <v>FOR</v>
      </c>
      <c r="AY2773" t="s">
        <v>55</v>
      </c>
    </row>
    <row r="2774" spans="1:51">
      <c r="A2774">
        <v>100879</v>
      </c>
      <c r="B2774" t="s">
        <v>301</v>
      </c>
      <c r="C2774" t="str">
        <f t="shared" si="232"/>
        <v>01354901215</v>
      </c>
      <c r="D2774" t="str">
        <f t="shared" si="233"/>
        <v>04720630633</v>
      </c>
      <c r="E2774" t="s">
        <v>52</v>
      </c>
      <c r="F2774">
        <v>2015</v>
      </c>
      <c r="G2774" t="s">
        <v>339</v>
      </c>
      <c r="H2774" s="1">
        <v>42198</v>
      </c>
      <c r="I2774" s="1">
        <v>42198</v>
      </c>
      <c r="J2774" s="1">
        <v>42198</v>
      </c>
      <c r="K2774" s="1">
        <v>42258</v>
      </c>
      <c r="L2774" s="7">
        <v>262.5</v>
      </c>
      <c r="M2774" s="5">
        <v>42</v>
      </c>
      <c r="N2774" s="7">
        <v>11025</v>
      </c>
      <c r="O2774">
        <v>262.5</v>
      </c>
      <c r="P2774">
        <v>42</v>
      </c>
      <c r="Q2774" s="2">
        <v>11025</v>
      </c>
      <c r="R2774">
        <v>0</v>
      </c>
      <c r="V2774">
        <v>0</v>
      </c>
      <c r="W2774">
        <v>0</v>
      </c>
      <c r="X2774">
        <v>0</v>
      </c>
      <c r="Y2774">
        <v>320.25</v>
      </c>
      <c r="Z2774">
        <v>320.25</v>
      </c>
      <c r="AA2774">
        <v>320.25</v>
      </c>
      <c r="AB2774" s="1">
        <v>42382</v>
      </c>
      <c r="AC2774" t="s">
        <v>53</v>
      </c>
      <c r="AD2774" t="s">
        <v>53</v>
      </c>
      <c r="AK2774">
        <v>0</v>
      </c>
      <c r="AU2774" s="6">
        <v>42300</v>
      </c>
      <c r="AV2774" s="6">
        <v>42300</v>
      </c>
      <c r="AW2774" t="s">
        <v>54</v>
      </c>
      <c r="AX2774" t="str">
        <f t="shared" si="231"/>
        <v>FOR</v>
      </c>
      <c r="AY2774" t="s">
        <v>55</v>
      </c>
    </row>
    <row r="2775" spans="1:51">
      <c r="A2775">
        <v>100879</v>
      </c>
      <c r="B2775" t="s">
        <v>301</v>
      </c>
      <c r="C2775" t="str">
        <f t="shared" si="232"/>
        <v>01354901215</v>
      </c>
      <c r="D2775" t="str">
        <f t="shared" si="233"/>
        <v>04720630633</v>
      </c>
      <c r="E2775" t="s">
        <v>52</v>
      </c>
      <c r="F2775">
        <v>2015</v>
      </c>
      <c r="G2775" t="s">
        <v>340</v>
      </c>
      <c r="H2775" s="1">
        <v>42205</v>
      </c>
      <c r="I2775" s="1">
        <v>42206</v>
      </c>
      <c r="J2775" s="1">
        <v>42205</v>
      </c>
      <c r="K2775" s="1">
        <v>42265</v>
      </c>
      <c r="L2775" s="7">
        <v>630</v>
      </c>
      <c r="M2775" s="5">
        <v>35</v>
      </c>
      <c r="N2775" s="7">
        <v>22050</v>
      </c>
      <c r="O2775">
        <v>630</v>
      </c>
      <c r="P2775">
        <v>35</v>
      </c>
      <c r="Q2775" s="2">
        <v>22050</v>
      </c>
      <c r="R2775">
        <v>0</v>
      </c>
      <c r="V2775">
        <v>0</v>
      </c>
      <c r="W2775">
        <v>0</v>
      </c>
      <c r="X2775">
        <v>0</v>
      </c>
      <c r="Y2775">
        <v>768.6</v>
      </c>
      <c r="Z2775">
        <v>768.6</v>
      </c>
      <c r="AA2775">
        <v>768.6</v>
      </c>
      <c r="AB2775" s="1">
        <v>42382</v>
      </c>
      <c r="AC2775" t="s">
        <v>53</v>
      </c>
      <c r="AD2775" t="s">
        <v>53</v>
      </c>
      <c r="AK2775">
        <v>0</v>
      </c>
      <c r="AU2775" s="6">
        <v>42300</v>
      </c>
      <c r="AV2775" s="6">
        <v>42300</v>
      </c>
      <c r="AW2775" t="s">
        <v>54</v>
      </c>
      <c r="AX2775" t="str">
        <f t="shared" si="231"/>
        <v>FOR</v>
      </c>
      <c r="AY2775" t="s">
        <v>55</v>
      </c>
    </row>
    <row r="2776" spans="1:51">
      <c r="A2776">
        <v>100879</v>
      </c>
      <c r="B2776" t="s">
        <v>301</v>
      </c>
      <c r="C2776" t="str">
        <f t="shared" si="232"/>
        <v>01354901215</v>
      </c>
      <c r="D2776" t="str">
        <f t="shared" si="233"/>
        <v>04720630633</v>
      </c>
      <c r="E2776" t="s">
        <v>52</v>
      </c>
      <c r="F2776">
        <v>2015</v>
      </c>
      <c r="G2776" t="s">
        <v>341</v>
      </c>
      <c r="H2776" s="1">
        <v>42205</v>
      </c>
      <c r="I2776" s="1">
        <v>42206</v>
      </c>
      <c r="J2776" s="1">
        <v>42205</v>
      </c>
      <c r="K2776" s="1">
        <v>42265</v>
      </c>
      <c r="L2776" s="7">
        <v>1782</v>
      </c>
      <c r="M2776" s="5">
        <v>35</v>
      </c>
      <c r="N2776" s="7">
        <v>62370</v>
      </c>
      <c r="O2776" s="2">
        <v>1782</v>
      </c>
      <c r="P2776">
        <v>35</v>
      </c>
      <c r="Q2776" s="2">
        <v>62370</v>
      </c>
      <c r="R2776">
        <v>0</v>
      </c>
      <c r="V2776">
        <v>0</v>
      </c>
      <c r="W2776">
        <v>0</v>
      </c>
      <c r="X2776">
        <v>0</v>
      </c>
      <c r="Y2776" s="2">
        <v>2174.04</v>
      </c>
      <c r="Z2776" s="2">
        <v>2174.04</v>
      </c>
      <c r="AA2776" s="2">
        <v>2174.04</v>
      </c>
      <c r="AB2776" s="1">
        <v>42382</v>
      </c>
      <c r="AC2776" t="s">
        <v>53</v>
      </c>
      <c r="AD2776" t="s">
        <v>53</v>
      </c>
      <c r="AK2776">
        <v>0</v>
      </c>
      <c r="AU2776" s="6">
        <v>42300</v>
      </c>
      <c r="AV2776" s="6">
        <v>42300</v>
      </c>
      <c r="AW2776" t="s">
        <v>54</v>
      </c>
      <c r="AX2776" t="str">
        <f t="shared" si="231"/>
        <v>FOR</v>
      </c>
      <c r="AY2776" t="s">
        <v>55</v>
      </c>
    </row>
    <row r="2777" spans="1:51">
      <c r="A2777">
        <v>100879</v>
      </c>
      <c r="B2777" t="s">
        <v>301</v>
      </c>
      <c r="C2777" t="str">
        <f t="shared" si="232"/>
        <v>01354901215</v>
      </c>
      <c r="D2777" t="str">
        <f t="shared" si="233"/>
        <v>04720630633</v>
      </c>
      <c r="E2777" t="s">
        <v>52</v>
      </c>
      <c r="F2777">
        <v>2015</v>
      </c>
      <c r="G2777" t="s">
        <v>342</v>
      </c>
      <c r="H2777" s="1">
        <v>42212</v>
      </c>
      <c r="I2777" s="1">
        <v>42212</v>
      </c>
      <c r="J2777" s="1">
        <v>42212</v>
      </c>
      <c r="K2777" s="1">
        <v>42272</v>
      </c>
      <c r="L2777" s="7">
        <v>943</v>
      </c>
      <c r="M2777" s="5">
        <v>28</v>
      </c>
      <c r="N2777" s="7">
        <v>26404</v>
      </c>
      <c r="O2777">
        <v>943</v>
      </c>
      <c r="P2777">
        <v>28</v>
      </c>
      <c r="Q2777" s="2">
        <v>26404</v>
      </c>
      <c r="R2777">
        <v>0</v>
      </c>
      <c r="V2777">
        <v>0</v>
      </c>
      <c r="W2777">
        <v>0</v>
      </c>
      <c r="X2777">
        <v>0</v>
      </c>
      <c r="Y2777" s="2">
        <v>1150.46</v>
      </c>
      <c r="Z2777" s="2">
        <v>1150.46</v>
      </c>
      <c r="AA2777" s="2">
        <v>1150.46</v>
      </c>
      <c r="AB2777" s="1">
        <v>42382</v>
      </c>
      <c r="AC2777" t="s">
        <v>53</v>
      </c>
      <c r="AD2777" t="s">
        <v>53</v>
      </c>
      <c r="AK2777">
        <v>0</v>
      </c>
      <c r="AU2777" s="6">
        <v>42300</v>
      </c>
      <c r="AV2777" s="6">
        <v>42300</v>
      </c>
      <c r="AW2777" t="s">
        <v>54</v>
      </c>
      <c r="AX2777" t="str">
        <f t="shared" si="231"/>
        <v>FOR</v>
      </c>
      <c r="AY2777" t="s">
        <v>55</v>
      </c>
    </row>
    <row r="2778" spans="1:51">
      <c r="A2778">
        <v>100879</v>
      </c>
      <c r="B2778" t="s">
        <v>301</v>
      </c>
      <c r="C2778" t="str">
        <f t="shared" si="232"/>
        <v>01354901215</v>
      </c>
      <c r="D2778" t="str">
        <f t="shared" si="233"/>
        <v>04720630633</v>
      </c>
      <c r="E2778" t="s">
        <v>52</v>
      </c>
      <c r="F2778">
        <v>2015</v>
      </c>
      <c r="G2778" t="s">
        <v>343</v>
      </c>
      <c r="H2778" s="1">
        <v>42212</v>
      </c>
      <c r="I2778" s="1">
        <v>42212</v>
      </c>
      <c r="J2778" s="1">
        <v>42212</v>
      </c>
      <c r="K2778" s="1">
        <v>42272</v>
      </c>
      <c r="L2778" s="7">
        <v>630</v>
      </c>
      <c r="M2778" s="5">
        <v>28</v>
      </c>
      <c r="N2778" s="7">
        <v>17640</v>
      </c>
      <c r="O2778">
        <v>630</v>
      </c>
      <c r="P2778">
        <v>28</v>
      </c>
      <c r="Q2778" s="2">
        <v>17640</v>
      </c>
      <c r="R2778">
        <v>0</v>
      </c>
      <c r="V2778">
        <v>0</v>
      </c>
      <c r="W2778">
        <v>0</v>
      </c>
      <c r="X2778">
        <v>0</v>
      </c>
      <c r="Y2778">
        <v>768.6</v>
      </c>
      <c r="Z2778">
        <v>768.6</v>
      </c>
      <c r="AA2778">
        <v>768.6</v>
      </c>
      <c r="AB2778" s="1">
        <v>42382</v>
      </c>
      <c r="AC2778" t="s">
        <v>53</v>
      </c>
      <c r="AD2778" t="s">
        <v>53</v>
      </c>
      <c r="AK2778">
        <v>0</v>
      </c>
      <c r="AU2778" s="6">
        <v>42300</v>
      </c>
      <c r="AV2778" s="6">
        <v>42300</v>
      </c>
      <c r="AW2778" t="s">
        <v>54</v>
      </c>
      <c r="AX2778" t="str">
        <f t="shared" si="231"/>
        <v>FOR</v>
      </c>
      <c r="AY2778" t="s">
        <v>55</v>
      </c>
    </row>
    <row r="2779" spans="1:51">
      <c r="A2779">
        <v>100879</v>
      </c>
      <c r="B2779" t="s">
        <v>301</v>
      </c>
      <c r="C2779" t="str">
        <f t="shared" si="232"/>
        <v>01354901215</v>
      </c>
      <c r="D2779" t="str">
        <f t="shared" si="233"/>
        <v>04720630633</v>
      </c>
      <c r="E2779" t="s">
        <v>52</v>
      </c>
      <c r="F2779">
        <v>2015</v>
      </c>
      <c r="G2779" t="s">
        <v>344</v>
      </c>
      <c r="H2779" s="1">
        <v>42212</v>
      </c>
      <c r="I2779" s="1">
        <v>42212</v>
      </c>
      <c r="J2779" s="1">
        <v>42212</v>
      </c>
      <c r="K2779" s="1">
        <v>42272</v>
      </c>
      <c r="L2779" s="7">
        <v>2760</v>
      </c>
      <c r="M2779" s="5">
        <v>28</v>
      </c>
      <c r="N2779" s="7">
        <v>77280</v>
      </c>
      <c r="O2779" s="2">
        <v>2760</v>
      </c>
      <c r="P2779">
        <v>28</v>
      </c>
      <c r="Q2779" s="2">
        <v>77280</v>
      </c>
      <c r="R2779">
        <v>0</v>
      </c>
      <c r="V2779">
        <v>0</v>
      </c>
      <c r="W2779">
        <v>0</v>
      </c>
      <c r="X2779">
        <v>0</v>
      </c>
      <c r="Y2779" s="2">
        <v>3367.2</v>
      </c>
      <c r="Z2779" s="2">
        <v>3367.2</v>
      </c>
      <c r="AA2779" s="2">
        <v>3367.2</v>
      </c>
      <c r="AB2779" s="1">
        <v>42382</v>
      </c>
      <c r="AC2779" t="s">
        <v>53</v>
      </c>
      <c r="AD2779" t="s">
        <v>53</v>
      </c>
      <c r="AK2779">
        <v>0</v>
      </c>
      <c r="AU2779" s="6">
        <v>42300</v>
      </c>
      <c r="AV2779" s="6">
        <v>42300</v>
      </c>
      <c r="AW2779" t="s">
        <v>54</v>
      </c>
      <c r="AX2779" t="str">
        <f t="shared" si="231"/>
        <v>FOR</v>
      </c>
      <c r="AY2779" t="s">
        <v>55</v>
      </c>
    </row>
    <row r="2780" spans="1:51">
      <c r="A2780">
        <v>100879</v>
      </c>
      <c r="B2780" t="s">
        <v>301</v>
      </c>
      <c r="C2780" t="str">
        <f t="shared" si="232"/>
        <v>01354901215</v>
      </c>
      <c r="D2780" t="str">
        <f t="shared" si="233"/>
        <v>04720630633</v>
      </c>
      <c r="E2780" t="s">
        <v>52</v>
      </c>
      <c r="F2780">
        <v>2015</v>
      </c>
      <c r="G2780" t="s">
        <v>345</v>
      </c>
      <c r="H2780" s="1">
        <v>42212</v>
      </c>
      <c r="I2780" s="1">
        <v>42212</v>
      </c>
      <c r="J2780" s="1">
        <v>42212</v>
      </c>
      <c r="K2780" s="1">
        <v>42272</v>
      </c>
      <c r="L2780" s="7">
        <v>2038.8</v>
      </c>
      <c r="M2780" s="5">
        <v>28</v>
      </c>
      <c r="N2780" s="7">
        <v>57086.400000000001</v>
      </c>
      <c r="O2780" s="2">
        <v>2038.8</v>
      </c>
      <c r="P2780">
        <v>28</v>
      </c>
      <c r="Q2780" s="2">
        <v>57086.400000000001</v>
      </c>
      <c r="R2780">
        <v>0</v>
      </c>
      <c r="V2780">
        <v>0</v>
      </c>
      <c r="W2780">
        <v>0</v>
      </c>
      <c r="X2780">
        <v>0</v>
      </c>
      <c r="Y2780" s="2">
        <v>2487.34</v>
      </c>
      <c r="Z2780" s="2">
        <v>2487.34</v>
      </c>
      <c r="AA2780" s="2">
        <v>2487.34</v>
      </c>
      <c r="AB2780" s="1">
        <v>42382</v>
      </c>
      <c r="AC2780" t="s">
        <v>53</v>
      </c>
      <c r="AD2780" t="s">
        <v>53</v>
      </c>
      <c r="AK2780">
        <v>0</v>
      </c>
      <c r="AU2780" s="6">
        <v>42300</v>
      </c>
      <c r="AV2780" s="6">
        <v>42300</v>
      </c>
      <c r="AW2780" t="s">
        <v>54</v>
      </c>
      <c r="AX2780" t="str">
        <f t="shared" si="231"/>
        <v>FOR</v>
      </c>
      <c r="AY2780" t="s">
        <v>55</v>
      </c>
    </row>
    <row r="2781" spans="1:51" hidden="1">
      <c r="A2781">
        <v>100879</v>
      </c>
      <c r="B2781" t="s">
        <v>301</v>
      </c>
      <c r="C2781" t="str">
        <f t="shared" si="232"/>
        <v>01354901215</v>
      </c>
      <c r="D2781" t="str">
        <f t="shared" si="233"/>
        <v>04720630633</v>
      </c>
      <c r="E2781" t="s">
        <v>52</v>
      </c>
      <c r="F2781">
        <v>2015</v>
      </c>
      <c r="G2781" t="s">
        <v>346</v>
      </c>
      <c r="H2781" s="1">
        <v>42090</v>
      </c>
      <c r="I2781" s="1">
        <v>42110</v>
      </c>
      <c r="J2781" s="1">
        <v>42110</v>
      </c>
      <c r="K2781" s="1">
        <v>42170</v>
      </c>
      <c r="N2781" s="5"/>
      <c r="O2781" s="2">
        <v>1210</v>
      </c>
      <c r="P2781">
        <v>80</v>
      </c>
      <c r="Q2781" s="2">
        <v>96800</v>
      </c>
      <c r="R2781">
        <v>0</v>
      </c>
      <c r="V2781">
        <v>0</v>
      </c>
      <c r="W2781">
        <v>0</v>
      </c>
      <c r="X2781">
        <v>0</v>
      </c>
      <c r="Y2781" s="2">
        <v>1476.2</v>
      </c>
      <c r="Z2781" s="2">
        <v>1476.2</v>
      </c>
      <c r="AA2781" s="2">
        <v>1476.2</v>
      </c>
      <c r="AB2781" s="1">
        <v>42382</v>
      </c>
      <c r="AC2781" t="s">
        <v>53</v>
      </c>
      <c r="AD2781" t="s">
        <v>53</v>
      </c>
      <c r="AK2781">
        <v>0</v>
      </c>
      <c r="AU2781" s="6">
        <v>42250</v>
      </c>
      <c r="AV2781" s="6">
        <v>42250</v>
      </c>
      <c r="AW2781" t="s">
        <v>54</v>
      </c>
      <c r="AX2781" t="str">
        <f t="shared" si="231"/>
        <v>FOR</v>
      </c>
      <c r="AY2781" t="s">
        <v>55</v>
      </c>
    </row>
    <row r="2782" spans="1:51">
      <c r="A2782">
        <v>100879</v>
      </c>
      <c r="B2782" t="s">
        <v>301</v>
      </c>
      <c r="C2782" t="str">
        <f t="shared" si="232"/>
        <v>01354901215</v>
      </c>
      <c r="D2782" t="str">
        <f t="shared" si="233"/>
        <v>04720630633</v>
      </c>
      <c r="E2782" t="s">
        <v>52</v>
      </c>
      <c r="F2782">
        <v>2015</v>
      </c>
      <c r="G2782" t="s">
        <v>347</v>
      </c>
      <c r="H2782" s="1">
        <v>42216</v>
      </c>
      <c r="I2782" s="1">
        <v>42220</v>
      </c>
      <c r="J2782" s="1">
        <v>42219</v>
      </c>
      <c r="K2782" s="1">
        <v>42279</v>
      </c>
      <c r="L2782" s="7">
        <v>680</v>
      </c>
      <c r="M2782" s="5">
        <v>21</v>
      </c>
      <c r="N2782" s="7">
        <v>14280</v>
      </c>
      <c r="O2782">
        <v>680</v>
      </c>
      <c r="P2782">
        <v>21</v>
      </c>
      <c r="Q2782" s="2">
        <v>14280</v>
      </c>
      <c r="R2782">
        <v>0</v>
      </c>
      <c r="V2782">
        <v>0</v>
      </c>
      <c r="W2782">
        <v>0</v>
      </c>
      <c r="X2782">
        <v>0</v>
      </c>
      <c r="Y2782">
        <v>829.6</v>
      </c>
      <c r="Z2782">
        <v>829.6</v>
      </c>
      <c r="AA2782">
        <v>829.6</v>
      </c>
      <c r="AB2782" s="1">
        <v>42382</v>
      </c>
      <c r="AC2782" t="s">
        <v>53</v>
      </c>
      <c r="AD2782" t="s">
        <v>53</v>
      </c>
      <c r="AK2782">
        <v>0</v>
      </c>
      <c r="AU2782" s="6">
        <v>42300</v>
      </c>
      <c r="AV2782" s="6">
        <v>42300</v>
      </c>
      <c r="AW2782" t="s">
        <v>54</v>
      </c>
      <c r="AX2782" t="str">
        <f t="shared" si="231"/>
        <v>FOR</v>
      </c>
      <c r="AY2782" t="s">
        <v>55</v>
      </c>
    </row>
    <row r="2783" spans="1:51">
      <c r="A2783">
        <v>100879</v>
      </c>
      <c r="B2783" t="s">
        <v>301</v>
      </c>
      <c r="C2783" t="str">
        <f t="shared" si="232"/>
        <v>01354901215</v>
      </c>
      <c r="D2783" t="str">
        <f t="shared" si="233"/>
        <v>04720630633</v>
      </c>
      <c r="E2783" t="s">
        <v>52</v>
      </c>
      <c r="F2783">
        <v>2015</v>
      </c>
      <c r="G2783" t="s">
        <v>348</v>
      </c>
      <c r="H2783" s="1">
        <v>42216</v>
      </c>
      <c r="I2783" s="1">
        <v>42220</v>
      </c>
      <c r="J2783" s="1">
        <v>42219</v>
      </c>
      <c r="K2783" s="1">
        <v>42279</v>
      </c>
      <c r="L2783" s="7">
        <v>1790</v>
      </c>
      <c r="M2783" s="5">
        <v>21</v>
      </c>
      <c r="N2783" s="7">
        <v>37590</v>
      </c>
      <c r="O2783" s="2">
        <v>1790</v>
      </c>
      <c r="P2783">
        <v>21</v>
      </c>
      <c r="Q2783" s="2">
        <v>37590</v>
      </c>
      <c r="R2783">
        <v>0</v>
      </c>
      <c r="V2783">
        <v>0</v>
      </c>
      <c r="W2783">
        <v>0</v>
      </c>
      <c r="X2783">
        <v>0</v>
      </c>
      <c r="Y2783" s="2">
        <v>2183.8000000000002</v>
      </c>
      <c r="Z2783" s="2">
        <v>2183.8000000000002</v>
      </c>
      <c r="AA2783" s="2">
        <v>2183.8000000000002</v>
      </c>
      <c r="AB2783" s="1">
        <v>42382</v>
      </c>
      <c r="AC2783" t="s">
        <v>53</v>
      </c>
      <c r="AD2783" t="s">
        <v>53</v>
      </c>
      <c r="AK2783">
        <v>0</v>
      </c>
      <c r="AU2783" s="6">
        <v>42300</v>
      </c>
      <c r="AV2783" s="6">
        <v>42300</v>
      </c>
      <c r="AW2783" t="s">
        <v>54</v>
      </c>
      <c r="AX2783" t="str">
        <f t="shared" si="231"/>
        <v>FOR</v>
      </c>
      <c r="AY2783" t="s">
        <v>55</v>
      </c>
    </row>
    <row r="2784" spans="1:51">
      <c r="A2784">
        <v>100879</v>
      </c>
      <c r="B2784" t="s">
        <v>301</v>
      </c>
      <c r="C2784" t="str">
        <f t="shared" si="232"/>
        <v>01354901215</v>
      </c>
      <c r="D2784" t="str">
        <f t="shared" si="233"/>
        <v>04720630633</v>
      </c>
      <c r="E2784" t="s">
        <v>52</v>
      </c>
      <c r="F2784">
        <v>2015</v>
      </c>
      <c r="G2784" t="s">
        <v>349</v>
      </c>
      <c r="H2784" s="1">
        <v>42216</v>
      </c>
      <c r="I2784" s="1">
        <v>42220</v>
      </c>
      <c r="J2784" s="1">
        <v>42219</v>
      </c>
      <c r="K2784" s="1">
        <v>42279</v>
      </c>
      <c r="L2784" s="7">
        <v>255</v>
      </c>
      <c r="M2784" s="5">
        <v>21</v>
      </c>
      <c r="N2784" s="7">
        <v>5355</v>
      </c>
      <c r="O2784">
        <v>255</v>
      </c>
      <c r="P2784">
        <v>21</v>
      </c>
      <c r="Q2784" s="2">
        <v>5355</v>
      </c>
      <c r="R2784">
        <v>0</v>
      </c>
      <c r="V2784">
        <v>0</v>
      </c>
      <c r="W2784">
        <v>0</v>
      </c>
      <c r="X2784">
        <v>0</v>
      </c>
      <c r="Y2784">
        <v>311.10000000000002</v>
      </c>
      <c r="Z2784">
        <v>311.10000000000002</v>
      </c>
      <c r="AA2784">
        <v>311.10000000000002</v>
      </c>
      <c r="AB2784" s="1">
        <v>42382</v>
      </c>
      <c r="AC2784" t="s">
        <v>53</v>
      </c>
      <c r="AD2784" t="s">
        <v>53</v>
      </c>
      <c r="AK2784">
        <v>0</v>
      </c>
      <c r="AU2784" s="6">
        <v>42300</v>
      </c>
      <c r="AV2784" s="6">
        <v>42300</v>
      </c>
      <c r="AW2784" t="s">
        <v>54</v>
      </c>
      <c r="AX2784" t="str">
        <f t="shared" si="231"/>
        <v>FOR</v>
      </c>
      <c r="AY2784" t="s">
        <v>55</v>
      </c>
    </row>
    <row r="2785" spans="1:51" hidden="1">
      <c r="A2785">
        <v>100879</v>
      </c>
      <c r="B2785" t="s">
        <v>301</v>
      </c>
      <c r="C2785" t="str">
        <f t="shared" si="232"/>
        <v>01354901215</v>
      </c>
      <c r="D2785" t="str">
        <f t="shared" si="233"/>
        <v>04720630633</v>
      </c>
      <c r="E2785" t="s">
        <v>52</v>
      </c>
      <c r="F2785">
        <v>2015</v>
      </c>
      <c r="G2785" t="s">
        <v>350</v>
      </c>
      <c r="H2785" s="1">
        <v>42093</v>
      </c>
      <c r="I2785" s="1">
        <v>42108</v>
      </c>
      <c r="J2785" s="1">
        <v>42108</v>
      </c>
      <c r="K2785" s="1">
        <v>42168</v>
      </c>
      <c r="N2785" s="5"/>
      <c r="O2785" s="2">
        <v>1134</v>
      </c>
      <c r="P2785">
        <v>82</v>
      </c>
      <c r="Q2785" s="2">
        <v>92988</v>
      </c>
      <c r="R2785">
        <v>0</v>
      </c>
      <c r="V2785">
        <v>0</v>
      </c>
      <c r="W2785">
        <v>0</v>
      </c>
      <c r="X2785">
        <v>0</v>
      </c>
      <c r="Y2785" s="2">
        <v>1383.48</v>
      </c>
      <c r="Z2785" s="2">
        <v>1383.48</v>
      </c>
      <c r="AA2785" s="2">
        <v>1383.48</v>
      </c>
      <c r="AB2785" s="1">
        <v>42382</v>
      </c>
      <c r="AC2785" t="s">
        <v>53</v>
      </c>
      <c r="AD2785" t="s">
        <v>53</v>
      </c>
      <c r="AK2785">
        <v>0</v>
      </c>
      <c r="AU2785" s="6">
        <v>42250</v>
      </c>
      <c r="AV2785" s="6">
        <v>42250</v>
      </c>
      <c r="AW2785" t="s">
        <v>54</v>
      </c>
      <c r="AX2785" t="str">
        <f t="shared" si="231"/>
        <v>FOR</v>
      </c>
      <c r="AY2785" t="s">
        <v>55</v>
      </c>
    </row>
    <row r="2786" spans="1:51">
      <c r="A2786">
        <v>100879</v>
      </c>
      <c r="B2786" t="s">
        <v>301</v>
      </c>
      <c r="C2786" t="str">
        <f t="shared" si="232"/>
        <v>01354901215</v>
      </c>
      <c r="D2786" t="str">
        <f t="shared" si="233"/>
        <v>04720630633</v>
      </c>
      <c r="E2786" t="s">
        <v>52</v>
      </c>
      <c r="F2786">
        <v>2015</v>
      </c>
      <c r="G2786" t="s">
        <v>351</v>
      </c>
      <c r="H2786" s="1">
        <v>42223</v>
      </c>
      <c r="I2786" s="1">
        <v>42226</v>
      </c>
      <c r="J2786" s="1">
        <v>42223</v>
      </c>
      <c r="K2786" s="1">
        <v>42283</v>
      </c>
      <c r="L2786" s="7">
        <v>115.5</v>
      </c>
      <c r="M2786" s="5">
        <v>17</v>
      </c>
      <c r="N2786" s="7">
        <v>1963.5</v>
      </c>
      <c r="O2786">
        <v>115.5</v>
      </c>
      <c r="P2786">
        <v>17</v>
      </c>
      <c r="Q2786" s="2">
        <v>1963.5</v>
      </c>
      <c r="R2786">
        <v>0</v>
      </c>
      <c r="V2786">
        <v>0</v>
      </c>
      <c r="W2786">
        <v>0</v>
      </c>
      <c r="X2786">
        <v>0</v>
      </c>
      <c r="Y2786">
        <v>140.91</v>
      </c>
      <c r="Z2786">
        <v>140.91</v>
      </c>
      <c r="AA2786">
        <v>140.91</v>
      </c>
      <c r="AB2786" s="1">
        <v>42382</v>
      </c>
      <c r="AC2786" t="s">
        <v>53</v>
      </c>
      <c r="AD2786" t="s">
        <v>53</v>
      </c>
      <c r="AK2786">
        <v>0</v>
      </c>
      <c r="AU2786" s="6">
        <v>42300</v>
      </c>
      <c r="AV2786" s="6">
        <v>42300</v>
      </c>
      <c r="AW2786" t="s">
        <v>54</v>
      </c>
      <c r="AX2786" t="str">
        <f t="shared" si="231"/>
        <v>FOR</v>
      </c>
      <c r="AY2786" t="s">
        <v>55</v>
      </c>
    </row>
    <row r="2787" spans="1:51">
      <c r="A2787">
        <v>100879</v>
      </c>
      <c r="B2787" t="s">
        <v>301</v>
      </c>
      <c r="C2787" t="str">
        <f t="shared" si="232"/>
        <v>01354901215</v>
      </c>
      <c r="D2787" t="str">
        <f t="shared" si="233"/>
        <v>04720630633</v>
      </c>
      <c r="E2787" t="s">
        <v>52</v>
      </c>
      <c r="F2787">
        <v>2015</v>
      </c>
      <c r="G2787" t="s">
        <v>352</v>
      </c>
      <c r="H2787" s="1">
        <v>42223</v>
      </c>
      <c r="I2787" s="1">
        <v>42226</v>
      </c>
      <c r="J2787" s="1">
        <v>42223</v>
      </c>
      <c r="K2787" s="1">
        <v>42283</v>
      </c>
      <c r="L2787" s="7">
        <v>660</v>
      </c>
      <c r="M2787" s="5">
        <v>17</v>
      </c>
      <c r="N2787" s="7">
        <v>11220</v>
      </c>
      <c r="O2787">
        <v>660</v>
      </c>
      <c r="P2787">
        <v>17</v>
      </c>
      <c r="Q2787" s="2">
        <v>11220</v>
      </c>
      <c r="R2787">
        <v>0</v>
      </c>
      <c r="V2787">
        <v>0</v>
      </c>
      <c r="W2787">
        <v>0</v>
      </c>
      <c r="X2787">
        <v>0</v>
      </c>
      <c r="Y2787">
        <v>805.2</v>
      </c>
      <c r="Z2787">
        <v>805.2</v>
      </c>
      <c r="AA2787">
        <v>805.2</v>
      </c>
      <c r="AB2787" s="1">
        <v>42382</v>
      </c>
      <c r="AC2787" t="s">
        <v>53</v>
      </c>
      <c r="AD2787" t="s">
        <v>53</v>
      </c>
      <c r="AK2787">
        <v>0</v>
      </c>
      <c r="AU2787" s="6">
        <v>42300</v>
      </c>
      <c r="AV2787" s="6">
        <v>42300</v>
      </c>
      <c r="AW2787" t="s">
        <v>54</v>
      </c>
      <c r="AX2787" t="str">
        <f t="shared" si="231"/>
        <v>FOR</v>
      </c>
      <c r="AY2787" t="s">
        <v>55</v>
      </c>
    </row>
    <row r="2788" spans="1:51">
      <c r="A2788">
        <v>100879</v>
      </c>
      <c r="B2788" t="s">
        <v>301</v>
      </c>
      <c r="C2788" t="str">
        <f t="shared" si="232"/>
        <v>01354901215</v>
      </c>
      <c r="D2788" t="str">
        <f t="shared" si="233"/>
        <v>04720630633</v>
      </c>
      <c r="E2788" t="s">
        <v>52</v>
      </c>
      <c r="F2788">
        <v>2015</v>
      </c>
      <c r="G2788" t="s">
        <v>353</v>
      </c>
      <c r="H2788" s="1">
        <v>42247</v>
      </c>
      <c r="I2788" s="1">
        <v>42251</v>
      </c>
      <c r="J2788" s="1">
        <v>42249</v>
      </c>
      <c r="K2788" s="1">
        <v>42309</v>
      </c>
      <c r="L2788" s="7">
        <v>154</v>
      </c>
      <c r="M2788" s="5">
        <v>-9</v>
      </c>
      <c r="N2788" s="7">
        <v>-1386</v>
      </c>
      <c r="O2788">
        <v>154</v>
      </c>
      <c r="P2788">
        <v>-9</v>
      </c>
      <c r="Q2788" s="2">
        <v>-1386</v>
      </c>
      <c r="R2788">
        <v>0</v>
      </c>
      <c r="V2788">
        <v>0</v>
      </c>
      <c r="W2788">
        <v>0</v>
      </c>
      <c r="X2788">
        <v>0</v>
      </c>
      <c r="Y2788">
        <v>187.88</v>
      </c>
      <c r="Z2788">
        <v>187.88</v>
      </c>
      <c r="AA2788">
        <v>187.88</v>
      </c>
      <c r="AB2788" s="1">
        <v>42382</v>
      </c>
      <c r="AC2788" t="s">
        <v>53</v>
      </c>
      <c r="AD2788" t="s">
        <v>53</v>
      </c>
      <c r="AK2788">
        <v>0</v>
      </c>
      <c r="AU2788" s="6">
        <v>42300</v>
      </c>
      <c r="AV2788" s="6">
        <v>42300</v>
      </c>
      <c r="AW2788" t="s">
        <v>54</v>
      </c>
      <c r="AX2788" t="str">
        <f t="shared" si="231"/>
        <v>FOR</v>
      </c>
      <c r="AY2788" t="s">
        <v>55</v>
      </c>
    </row>
    <row r="2789" spans="1:51">
      <c r="A2789">
        <v>100879</v>
      </c>
      <c r="B2789" t="s">
        <v>301</v>
      </c>
      <c r="C2789" t="str">
        <f t="shared" si="232"/>
        <v>01354901215</v>
      </c>
      <c r="D2789" t="str">
        <f t="shared" si="233"/>
        <v>04720630633</v>
      </c>
      <c r="E2789" t="s">
        <v>52</v>
      </c>
      <c r="F2789">
        <v>2015</v>
      </c>
      <c r="G2789" t="s">
        <v>354</v>
      </c>
      <c r="H2789" s="1">
        <v>42255</v>
      </c>
      <c r="I2789" s="1">
        <v>42258</v>
      </c>
      <c r="J2789" s="1">
        <v>42256</v>
      </c>
      <c r="K2789" s="1">
        <v>42316</v>
      </c>
      <c r="L2789" s="7">
        <v>100</v>
      </c>
      <c r="M2789" s="5">
        <v>-16</v>
      </c>
      <c r="N2789" s="7">
        <v>-1600</v>
      </c>
      <c r="O2789">
        <v>100</v>
      </c>
      <c r="P2789">
        <v>-16</v>
      </c>
      <c r="Q2789" s="2">
        <v>-1600</v>
      </c>
      <c r="R2789">
        <v>0</v>
      </c>
      <c r="V2789">
        <v>0</v>
      </c>
      <c r="W2789">
        <v>0</v>
      </c>
      <c r="X2789">
        <v>0</v>
      </c>
      <c r="Y2789">
        <v>122</v>
      </c>
      <c r="Z2789">
        <v>122</v>
      </c>
      <c r="AA2789">
        <v>122</v>
      </c>
      <c r="AB2789" s="1">
        <v>42382</v>
      </c>
      <c r="AC2789" t="s">
        <v>53</v>
      </c>
      <c r="AD2789" t="s">
        <v>53</v>
      </c>
      <c r="AK2789">
        <v>0</v>
      </c>
      <c r="AU2789" s="6">
        <v>42300</v>
      </c>
      <c r="AV2789" s="6">
        <v>42300</v>
      </c>
      <c r="AW2789" t="s">
        <v>54</v>
      </c>
      <c r="AX2789" t="str">
        <f t="shared" si="231"/>
        <v>FOR</v>
      </c>
      <c r="AY2789" t="s">
        <v>55</v>
      </c>
    </row>
    <row r="2790" spans="1:51">
      <c r="A2790">
        <v>100879</v>
      </c>
      <c r="B2790" t="s">
        <v>301</v>
      </c>
      <c r="C2790" t="str">
        <f t="shared" si="232"/>
        <v>01354901215</v>
      </c>
      <c r="D2790" t="str">
        <f t="shared" si="233"/>
        <v>04720630633</v>
      </c>
      <c r="E2790" t="s">
        <v>52</v>
      </c>
      <c r="F2790">
        <v>2015</v>
      </c>
      <c r="G2790" t="s">
        <v>355</v>
      </c>
      <c r="H2790" s="1">
        <v>42277</v>
      </c>
      <c r="I2790" s="1">
        <v>42282</v>
      </c>
      <c r="J2790" s="1">
        <v>42278</v>
      </c>
      <c r="K2790" s="1">
        <v>42338</v>
      </c>
      <c r="L2790" s="7">
        <v>650</v>
      </c>
      <c r="M2790" s="5">
        <v>-38</v>
      </c>
      <c r="N2790" s="7">
        <v>-24700</v>
      </c>
      <c r="O2790">
        <v>650</v>
      </c>
      <c r="P2790">
        <v>-38</v>
      </c>
      <c r="Q2790" s="2">
        <v>-24700</v>
      </c>
      <c r="R2790">
        <v>0</v>
      </c>
      <c r="V2790">
        <v>0</v>
      </c>
      <c r="W2790">
        <v>793</v>
      </c>
      <c r="X2790">
        <v>0</v>
      </c>
      <c r="Y2790">
        <v>793</v>
      </c>
      <c r="Z2790">
        <v>793</v>
      </c>
      <c r="AA2790">
        <v>793</v>
      </c>
      <c r="AB2790" s="1">
        <v>42382</v>
      </c>
      <c r="AC2790" t="s">
        <v>53</v>
      </c>
      <c r="AD2790" t="s">
        <v>53</v>
      </c>
      <c r="AK2790">
        <v>0</v>
      </c>
      <c r="AU2790" s="6">
        <v>42300</v>
      </c>
      <c r="AV2790" s="6">
        <v>42300</v>
      </c>
      <c r="AW2790" t="s">
        <v>54</v>
      </c>
      <c r="AX2790" t="str">
        <f t="shared" si="231"/>
        <v>FOR</v>
      </c>
      <c r="AY2790" t="s">
        <v>55</v>
      </c>
    </row>
    <row r="2791" spans="1:51">
      <c r="A2791">
        <v>100882</v>
      </c>
      <c r="B2791" t="s">
        <v>356</v>
      </c>
      <c r="C2791" t="str">
        <f>"11375240154"</f>
        <v>11375240154</v>
      </c>
      <c r="D2791" t="str">
        <f>""</f>
        <v/>
      </c>
      <c r="E2791" t="s">
        <v>52</v>
      </c>
      <c r="F2791">
        <v>2015</v>
      </c>
      <c r="G2791">
        <v>244</v>
      </c>
      <c r="H2791" s="1">
        <v>42303</v>
      </c>
      <c r="I2791" s="1">
        <v>42303</v>
      </c>
      <c r="J2791" s="1">
        <v>42303</v>
      </c>
      <c r="K2791" s="1">
        <v>42363</v>
      </c>
      <c r="L2791" s="7">
        <v>3002</v>
      </c>
      <c r="M2791" s="5">
        <v>-59</v>
      </c>
      <c r="N2791" s="7">
        <v>-177118</v>
      </c>
      <c r="O2791" s="2">
        <v>3002</v>
      </c>
      <c r="P2791">
        <v>-59</v>
      </c>
      <c r="Q2791" s="2">
        <v>-177118</v>
      </c>
      <c r="R2791">
        <v>0</v>
      </c>
      <c r="V2791" s="2">
        <v>3002</v>
      </c>
      <c r="W2791" s="2">
        <v>3002</v>
      </c>
      <c r="X2791" s="2">
        <v>3002</v>
      </c>
      <c r="Y2791" s="2">
        <v>3002</v>
      </c>
      <c r="Z2791" s="2">
        <v>3002</v>
      </c>
      <c r="AA2791" s="2">
        <v>3002</v>
      </c>
      <c r="AB2791" s="1">
        <v>42382</v>
      </c>
      <c r="AC2791" t="s">
        <v>53</v>
      </c>
      <c r="AD2791" t="s">
        <v>53</v>
      </c>
      <c r="AK2791">
        <v>0</v>
      </c>
      <c r="AU2791" s="6">
        <v>42304</v>
      </c>
      <c r="AV2791" s="6">
        <v>42304</v>
      </c>
      <c r="AW2791" t="s">
        <v>54</v>
      </c>
      <c r="AX2791" t="str">
        <f t="shared" si="231"/>
        <v>FOR</v>
      </c>
      <c r="AY2791" t="s">
        <v>55</v>
      </c>
    </row>
    <row r="2792" spans="1:51" hidden="1">
      <c r="A2792">
        <v>100890</v>
      </c>
      <c r="B2792" t="s">
        <v>357</v>
      </c>
      <c r="C2792" t="str">
        <f>"09962670155"</f>
        <v>09962670155</v>
      </c>
      <c r="D2792" t="str">
        <f>"09962670155"</f>
        <v>09962670155</v>
      </c>
      <c r="E2792" t="s">
        <v>52</v>
      </c>
      <c r="F2792">
        <v>2014</v>
      </c>
      <c r="G2792">
        <v>52</v>
      </c>
      <c r="H2792" s="1">
        <v>41835</v>
      </c>
      <c r="I2792" s="1">
        <v>41841</v>
      </c>
      <c r="J2792" s="1">
        <v>41841</v>
      </c>
      <c r="K2792" s="1">
        <v>41931</v>
      </c>
      <c r="N2792" s="5"/>
      <c r="O2792" s="2">
        <v>1342</v>
      </c>
      <c r="P2792">
        <v>228</v>
      </c>
      <c r="Q2792" s="2">
        <v>305976</v>
      </c>
      <c r="R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 s="1">
        <v>42382</v>
      </c>
      <c r="AC2792" t="s">
        <v>53</v>
      </c>
      <c r="AD2792" t="s">
        <v>53</v>
      </c>
      <c r="AK2792">
        <v>0</v>
      </c>
      <c r="AU2792" s="6">
        <v>42159</v>
      </c>
      <c r="AV2792" s="6">
        <v>42159</v>
      </c>
      <c r="AW2792" t="s">
        <v>54</v>
      </c>
      <c r="AX2792" t="str">
        <f t="shared" si="231"/>
        <v>FOR</v>
      </c>
      <c r="AY2792" t="s">
        <v>55</v>
      </c>
    </row>
    <row r="2793" spans="1:51" hidden="1">
      <c r="A2793">
        <v>100890</v>
      </c>
      <c r="B2793" t="s">
        <v>357</v>
      </c>
      <c r="C2793" t="str">
        <f>"09962670155"</f>
        <v>09962670155</v>
      </c>
      <c r="D2793" t="str">
        <f>"09962670155"</f>
        <v>09962670155</v>
      </c>
      <c r="E2793" t="s">
        <v>52</v>
      </c>
      <c r="F2793">
        <v>2014</v>
      </c>
      <c r="G2793">
        <v>53</v>
      </c>
      <c r="H2793" s="1">
        <v>41835</v>
      </c>
      <c r="I2793" s="1">
        <v>41841</v>
      </c>
      <c r="J2793" s="1">
        <v>41841</v>
      </c>
      <c r="K2793" s="1">
        <v>41931</v>
      </c>
      <c r="N2793" s="5"/>
      <c r="O2793">
        <v>854</v>
      </c>
      <c r="P2793">
        <v>228</v>
      </c>
      <c r="Q2793" s="2">
        <v>194712</v>
      </c>
      <c r="R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 s="1">
        <v>42382</v>
      </c>
      <c r="AC2793" t="s">
        <v>53</v>
      </c>
      <c r="AD2793" t="s">
        <v>53</v>
      </c>
      <c r="AK2793">
        <v>0</v>
      </c>
      <c r="AU2793" s="6">
        <v>42159</v>
      </c>
      <c r="AV2793" s="6">
        <v>42159</v>
      </c>
      <c r="AW2793" t="s">
        <v>54</v>
      </c>
      <c r="AX2793" t="str">
        <f t="shared" si="231"/>
        <v>FOR</v>
      </c>
      <c r="AY2793" t="s">
        <v>55</v>
      </c>
    </row>
    <row r="2794" spans="1:51" hidden="1">
      <c r="A2794">
        <v>100891</v>
      </c>
      <c r="B2794" t="s">
        <v>358</v>
      </c>
      <c r="C2794" t="str">
        <f>"00267490621"</f>
        <v>00267490621</v>
      </c>
      <c r="D2794" t="str">
        <f>"00267490621"</f>
        <v>00267490621</v>
      </c>
      <c r="E2794" t="s">
        <v>52</v>
      </c>
      <c r="F2794">
        <v>2014</v>
      </c>
      <c r="G2794">
        <v>8</v>
      </c>
      <c r="H2794" s="1">
        <v>41731</v>
      </c>
      <c r="I2794" s="1">
        <v>42185</v>
      </c>
      <c r="J2794" s="1">
        <v>42185</v>
      </c>
      <c r="K2794" s="1">
        <v>42245</v>
      </c>
      <c r="N2794" s="5"/>
      <c r="O2794" s="2">
        <v>88279.38</v>
      </c>
      <c r="P2794">
        <v>-57</v>
      </c>
      <c r="Q2794" s="2">
        <v>-5031924.66</v>
      </c>
      <c r="R2794">
        <v>0</v>
      </c>
      <c r="V2794">
        <v>0</v>
      </c>
      <c r="W2794">
        <v>0</v>
      </c>
      <c r="X2794">
        <v>0</v>
      </c>
      <c r="Y2794">
        <v>0</v>
      </c>
      <c r="Z2794" s="2">
        <v>88279.38</v>
      </c>
      <c r="AA2794">
        <v>0</v>
      </c>
      <c r="AB2794" s="1">
        <v>42382</v>
      </c>
      <c r="AC2794" t="s">
        <v>53</v>
      </c>
      <c r="AD2794" t="s">
        <v>53</v>
      </c>
      <c r="AK2794">
        <v>0</v>
      </c>
      <c r="AU2794" s="6">
        <v>42188</v>
      </c>
      <c r="AV2794" s="6">
        <v>42188</v>
      </c>
      <c r="AW2794" t="s">
        <v>54</v>
      </c>
      <c r="AX2794" t="str">
        <f t="shared" si="231"/>
        <v>FOR</v>
      </c>
      <c r="AY2794" t="s">
        <v>55</v>
      </c>
    </row>
    <row r="2795" spans="1:51" hidden="1">
      <c r="A2795">
        <v>100903</v>
      </c>
      <c r="B2795" t="s">
        <v>359</v>
      </c>
      <c r="C2795" t="str">
        <f t="shared" ref="C2795:D2797" si="234">"10209790152"</f>
        <v>10209790152</v>
      </c>
      <c r="D2795" t="str">
        <f t="shared" si="234"/>
        <v>10209790152</v>
      </c>
      <c r="E2795" t="s">
        <v>52</v>
      </c>
      <c r="F2795">
        <v>2012</v>
      </c>
      <c r="G2795">
        <v>45800269</v>
      </c>
      <c r="H2795" s="1">
        <v>41059</v>
      </c>
      <c r="I2795" s="1">
        <v>41085</v>
      </c>
      <c r="J2795" s="1">
        <v>41085</v>
      </c>
      <c r="K2795" s="1">
        <v>41175</v>
      </c>
      <c r="N2795" s="5"/>
      <c r="O2795" s="2">
        <v>1856.14</v>
      </c>
      <c r="P2795">
        <v>843</v>
      </c>
      <c r="Q2795" s="2">
        <v>1564726.02</v>
      </c>
      <c r="R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 s="1">
        <v>42382</v>
      </c>
      <c r="AC2795" t="s">
        <v>53</v>
      </c>
      <c r="AD2795" t="s">
        <v>53</v>
      </c>
      <c r="AK2795">
        <v>0</v>
      </c>
      <c r="AU2795" s="6">
        <v>42018</v>
      </c>
      <c r="AV2795" s="6">
        <v>42018</v>
      </c>
      <c r="AW2795" t="s">
        <v>54</v>
      </c>
      <c r="AX2795" t="str">
        <f t="shared" si="231"/>
        <v>FOR</v>
      </c>
      <c r="AY2795" t="s">
        <v>55</v>
      </c>
    </row>
    <row r="2796" spans="1:51" hidden="1">
      <c r="A2796">
        <v>100903</v>
      </c>
      <c r="B2796" t="s">
        <v>359</v>
      </c>
      <c r="C2796" t="str">
        <f t="shared" si="234"/>
        <v>10209790152</v>
      </c>
      <c r="D2796" t="str">
        <f t="shared" si="234"/>
        <v>10209790152</v>
      </c>
      <c r="E2796" t="s">
        <v>52</v>
      </c>
      <c r="F2796">
        <v>2012</v>
      </c>
      <c r="G2796">
        <v>45800270</v>
      </c>
      <c r="H2796" s="1">
        <v>41059</v>
      </c>
      <c r="I2796" s="1">
        <v>41085</v>
      </c>
      <c r="J2796" s="1">
        <v>41085</v>
      </c>
      <c r="K2796" s="1">
        <v>41175</v>
      </c>
      <c r="N2796" s="5"/>
      <c r="O2796">
        <v>414.29</v>
      </c>
      <c r="P2796">
        <v>843</v>
      </c>
      <c r="Q2796" s="2">
        <v>349246.47</v>
      </c>
      <c r="R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 s="1">
        <v>42382</v>
      </c>
      <c r="AC2796" t="s">
        <v>53</v>
      </c>
      <c r="AD2796" t="s">
        <v>53</v>
      </c>
      <c r="AK2796">
        <v>0</v>
      </c>
      <c r="AU2796" s="6">
        <v>42018</v>
      </c>
      <c r="AV2796" s="6">
        <v>42018</v>
      </c>
      <c r="AW2796" t="s">
        <v>54</v>
      </c>
      <c r="AX2796" t="str">
        <f t="shared" si="231"/>
        <v>FOR</v>
      </c>
      <c r="AY2796" t="s">
        <v>55</v>
      </c>
    </row>
    <row r="2797" spans="1:51" hidden="1">
      <c r="A2797">
        <v>100903</v>
      </c>
      <c r="B2797" t="s">
        <v>359</v>
      </c>
      <c r="C2797" t="str">
        <f t="shared" si="234"/>
        <v>10209790152</v>
      </c>
      <c r="D2797" t="str">
        <f t="shared" si="234"/>
        <v>10209790152</v>
      </c>
      <c r="E2797" t="s">
        <v>52</v>
      </c>
      <c r="F2797">
        <v>2014</v>
      </c>
      <c r="G2797">
        <v>47041572</v>
      </c>
      <c r="H2797" s="1">
        <v>41757</v>
      </c>
      <c r="I2797" s="1">
        <v>41794</v>
      </c>
      <c r="J2797" s="1">
        <v>41794</v>
      </c>
      <c r="K2797" s="1">
        <v>41884</v>
      </c>
      <c r="N2797" s="5"/>
      <c r="O2797">
        <v>549</v>
      </c>
      <c r="P2797">
        <v>134</v>
      </c>
      <c r="Q2797" s="2">
        <v>73566</v>
      </c>
      <c r="R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 s="1">
        <v>42382</v>
      </c>
      <c r="AC2797" t="s">
        <v>53</v>
      </c>
      <c r="AD2797" t="s">
        <v>53</v>
      </c>
      <c r="AK2797">
        <v>0</v>
      </c>
      <c r="AU2797" s="6">
        <v>42018</v>
      </c>
      <c r="AV2797" s="6">
        <v>42018</v>
      </c>
      <c r="AW2797" t="s">
        <v>54</v>
      </c>
      <c r="AX2797" t="str">
        <f t="shared" si="231"/>
        <v>FOR</v>
      </c>
      <c r="AY2797" t="s">
        <v>55</v>
      </c>
    </row>
    <row r="2798" spans="1:51" hidden="1">
      <c r="A2798">
        <v>100905</v>
      </c>
      <c r="B2798" t="s">
        <v>360</v>
      </c>
      <c r="C2798" t="str">
        <f t="shared" ref="C2798:C2806" si="235">"09279340153"</f>
        <v>09279340153</v>
      </c>
      <c r="D2798" t="str">
        <f t="shared" ref="D2798:D2806" si="236">"06614040159"</f>
        <v>06614040159</v>
      </c>
      <c r="E2798" t="s">
        <v>52</v>
      </c>
      <c r="F2798">
        <v>2014</v>
      </c>
      <c r="G2798">
        <v>100801</v>
      </c>
      <c r="H2798" s="1">
        <v>41681</v>
      </c>
      <c r="I2798" s="1">
        <v>41698</v>
      </c>
      <c r="J2798" s="1">
        <v>41698</v>
      </c>
      <c r="K2798" s="1">
        <v>41788</v>
      </c>
      <c r="N2798" s="5"/>
      <c r="O2798">
        <v>761.28</v>
      </c>
      <c r="P2798">
        <v>249</v>
      </c>
      <c r="Q2798" s="2">
        <v>189558.72</v>
      </c>
      <c r="R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 s="1">
        <v>42382</v>
      </c>
      <c r="AC2798" t="s">
        <v>53</v>
      </c>
      <c r="AD2798" t="s">
        <v>53</v>
      </c>
      <c r="AK2798">
        <v>0</v>
      </c>
      <c r="AU2798" s="6">
        <v>42037</v>
      </c>
      <c r="AV2798" s="6">
        <v>42037</v>
      </c>
      <c r="AW2798" t="s">
        <v>54</v>
      </c>
      <c r="AX2798" t="str">
        <f t="shared" si="231"/>
        <v>FOR</v>
      </c>
      <c r="AY2798" t="s">
        <v>55</v>
      </c>
    </row>
    <row r="2799" spans="1:51" hidden="1">
      <c r="A2799">
        <v>100905</v>
      </c>
      <c r="B2799" t="s">
        <v>360</v>
      </c>
      <c r="C2799" t="str">
        <f t="shared" si="235"/>
        <v>09279340153</v>
      </c>
      <c r="D2799" t="str">
        <f t="shared" si="236"/>
        <v>06614040159</v>
      </c>
      <c r="E2799" t="s">
        <v>52</v>
      </c>
      <c r="F2799">
        <v>2014</v>
      </c>
      <c r="G2799">
        <v>101646</v>
      </c>
      <c r="H2799" s="1">
        <v>41718</v>
      </c>
      <c r="I2799" s="1">
        <v>41746</v>
      </c>
      <c r="J2799" s="1">
        <v>41746</v>
      </c>
      <c r="K2799" s="1">
        <v>41836</v>
      </c>
      <c r="N2799" s="5"/>
      <c r="O2799">
        <v>761.28</v>
      </c>
      <c r="P2799">
        <v>240</v>
      </c>
      <c r="Q2799" s="2">
        <v>182707.20000000001</v>
      </c>
      <c r="R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 s="1">
        <v>42382</v>
      </c>
      <c r="AC2799" t="s">
        <v>53</v>
      </c>
      <c r="AD2799" t="s">
        <v>53</v>
      </c>
      <c r="AK2799">
        <v>0</v>
      </c>
      <c r="AU2799" s="6">
        <v>42076</v>
      </c>
      <c r="AV2799" s="6">
        <v>42076</v>
      </c>
      <c r="AW2799" t="s">
        <v>54</v>
      </c>
      <c r="AX2799" t="str">
        <f t="shared" si="231"/>
        <v>FOR</v>
      </c>
      <c r="AY2799" t="s">
        <v>55</v>
      </c>
    </row>
    <row r="2800" spans="1:51" hidden="1">
      <c r="A2800">
        <v>100905</v>
      </c>
      <c r="B2800" t="s">
        <v>360</v>
      </c>
      <c r="C2800" t="str">
        <f t="shared" si="235"/>
        <v>09279340153</v>
      </c>
      <c r="D2800" t="str">
        <f t="shared" si="236"/>
        <v>06614040159</v>
      </c>
      <c r="E2800" t="s">
        <v>52</v>
      </c>
      <c r="F2800">
        <v>2014</v>
      </c>
      <c r="G2800">
        <v>101912</v>
      </c>
      <c r="H2800" s="1">
        <v>41729</v>
      </c>
      <c r="I2800" s="1">
        <v>41746</v>
      </c>
      <c r="J2800" s="1">
        <v>41746</v>
      </c>
      <c r="K2800" s="1">
        <v>41836</v>
      </c>
      <c r="N2800" s="5"/>
      <c r="O2800" s="2">
        <v>15616</v>
      </c>
      <c r="P2800">
        <v>240</v>
      </c>
      <c r="Q2800" s="2">
        <v>3747840</v>
      </c>
      <c r="R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 s="1">
        <v>42382</v>
      </c>
      <c r="AC2800" t="s">
        <v>53</v>
      </c>
      <c r="AD2800" t="s">
        <v>53</v>
      </c>
      <c r="AK2800">
        <v>0</v>
      </c>
      <c r="AU2800" s="6">
        <v>42076</v>
      </c>
      <c r="AV2800" s="6">
        <v>42076</v>
      </c>
      <c r="AW2800" t="s">
        <v>54</v>
      </c>
      <c r="AX2800" t="str">
        <f t="shared" si="231"/>
        <v>FOR</v>
      </c>
      <c r="AY2800" t="s">
        <v>55</v>
      </c>
    </row>
    <row r="2801" spans="1:51" hidden="1">
      <c r="A2801">
        <v>100905</v>
      </c>
      <c r="B2801" t="s">
        <v>360</v>
      </c>
      <c r="C2801" t="str">
        <f t="shared" si="235"/>
        <v>09279340153</v>
      </c>
      <c r="D2801" t="str">
        <f t="shared" si="236"/>
        <v>06614040159</v>
      </c>
      <c r="E2801" t="s">
        <v>52</v>
      </c>
      <c r="F2801">
        <v>2014</v>
      </c>
      <c r="G2801">
        <v>101913</v>
      </c>
      <c r="H2801" s="1">
        <v>41729</v>
      </c>
      <c r="I2801" s="1">
        <v>41746</v>
      </c>
      <c r="J2801" s="1">
        <v>41746</v>
      </c>
      <c r="K2801" s="1">
        <v>41836</v>
      </c>
      <c r="N2801" s="5"/>
      <c r="O2801">
        <v>603.9</v>
      </c>
      <c r="P2801">
        <v>240</v>
      </c>
      <c r="Q2801" s="2">
        <v>144936</v>
      </c>
      <c r="R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 s="1">
        <v>42382</v>
      </c>
      <c r="AC2801" t="s">
        <v>53</v>
      </c>
      <c r="AD2801" t="s">
        <v>53</v>
      </c>
      <c r="AK2801">
        <v>0</v>
      </c>
      <c r="AU2801" s="6">
        <v>42076</v>
      </c>
      <c r="AV2801" s="6">
        <v>42076</v>
      </c>
      <c r="AW2801" t="s">
        <v>54</v>
      </c>
      <c r="AX2801" t="str">
        <f t="shared" si="231"/>
        <v>FOR</v>
      </c>
      <c r="AY2801" t="s">
        <v>55</v>
      </c>
    </row>
    <row r="2802" spans="1:51" hidden="1">
      <c r="A2802">
        <v>100905</v>
      </c>
      <c r="B2802" t="s">
        <v>360</v>
      </c>
      <c r="C2802" t="str">
        <f t="shared" si="235"/>
        <v>09279340153</v>
      </c>
      <c r="D2802" t="str">
        <f t="shared" si="236"/>
        <v>06614040159</v>
      </c>
      <c r="E2802" t="s">
        <v>52</v>
      </c>
      <c r="F2802">
        <v>2014</v>
      </c>
      <c r="G2802">
        <v>104213</v>
      </c>
      <c r="H2802" s="1">
        <v>41835</v>
      </c>
      <c r="I2802" s="1">
        <v>41876</v>
      </c>
      <c r="J2802" s="1">
        <v>41876</v>
      </c>
      <c r="K2802" s="1">
        <v>41966</v>
      </c>
      <c r="N2802" s="5"/>
      <c r="O2802" s="2">
        <v>7808</v>
      </c>
      <c r="P2802">
        <v>225</v>
      </c>
      <c r="Q2802" s="2">
        <v>1756800</v>
      </c>
      <c r="R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 s="1">
        <v>42382</v>
      </c>
      <c r="AC2802" t="s">
        <v>53</v>
      </c>
      <c r="AD2802" t="s">
        <v>53</v>
      </c>
      <c r="AK2802">
        <v>0</v>
      </c>
      <c r="AU2802" s="6">
        <v>42191</v>
      </c>
      <c r="AV2802" s="6">
        <v>42191</v>
      </c>
      <c r="AW2802" t="s">
        <v>54</v>
      </c>
      <c r="AX2802" t="str">
        <f t="shared" si="231"/>
        <v>FOR</v>
      </c>
      <c r="AY2802" t="s">
        <v>55</v>
      </c>
    </row>
    <row r="2803" spans="1:51" hidden="1">
      <c r="A2803">
        <v>100905</v>
      </c>
      <c r="B2803" t="s">
        <v>360</v>
      </c>
      <c r="C2803" t="str">
        <f t="shared" si="235"/>
        <v>09279340153</v>
      </c>
      <c r="D2803" t="str">
        <f t="shared" si="236"/>
        <v>06614040159</v>
      </c>
      <c r="E2803" t="s">
        <v>52</v>
      </c>
      <c r="F2803">
        <v>2014</v>
      </c>
      <c r="G2803">
        <v>105200</v>
      </c>
      <c r="H2803" s="1">
        <v>41900</v>
      </c>
      <c r="I2803" s="1">
        <v>41920</v>
      </c>
      <c r="J2803" s="1">
        <v>41920</v>
      </c>
      <c r="K2803" s="1">
        <v>42010</v>
      </c>
      <c r="N2803" s="5"/>
      <c r="O2803">
        <v>507.52</v>
      </c>
      <c r="P2803">
        <v>181</v>
      </c>
      <c r="Q2803" s="2">
        <v>91861.119999999995</v>
      </c>
      <c r="R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 s="1">
        <v>42382</v>
      </c>
      <c r="AC2803" t="s">
        <v>53</v>
      </c>
      <c r="AD2803" t="s">
        <v>53</v>
      </c>
      <c r="AK2803">
        <v>0</v>
      </c>
      <c r="AU2803" s="6">
        <v>42191</v>
      </c>
      <c r="AV2803" s="6">
        <v>42191</v>
      </c>
      <c r="AW2803" t="s">
        <v>54</v>
      </c>
      <c r="AX2803" t="str">
        <f t="shared" si="231"/>
        <v>FOR</v>
      </c>
      <c r="AY2803" t="s">
        <v>55</v>
      </c>
    </row>
    <row r="2804" spans="1:51" hidden="1">
      <c r="A2804">
        <v>100905</v>
      </c>
      <c r="B2804" t="s">
        <v>360</v>
      </c>
      <c r="C2804" t="str">
        <f t="shared" si="235"/>
        <v>09279340153</v>
      </c>
      <c r="D2804" t="str">
        <f t="shared" si="236"/>
        <v>06614040159</v>
      </c>
      <c r="E2804" t="s">
        <v>52</v>
      </c>
      <c r="F2804">
        <v>2014</v>
      </c>
      <c r="G2804">
        <v>105799</v>
      </c>
      <c r="H2804" s="1">
        <v>41928</v>
      </c>
      <c r="I2804" s="1">
        <v>41948</v>
      </c>
      <c r="J2804" s="1">
        <v>41948</v>
      </c>
      <c r="K2804" s="1">
        <v>42008</v>
      </c>
      <c r="N2804" s="5"/>
      <c r="O2804">
        <v>507.52</v>
      </c>
      <c r="P2804">
        <v>183</v>
      </c>
      <c r="Q2804" s="2">
        <v>92876.160000000003</v>
      </c>
      <c r="R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 s="1">
        <v>42382</v>
      </c>
      <c r="AC2804" t="s">
        <v>53</v>
      </c>
      <c r="AD2804" t="s">
        <v>53</v>
      </c>
      <c r="AK2804">
        <v>0</v>
      </c>
      <c r="AU2804" s="6">
        <v>42191</v>
      </c>
      <c r="AV2804" s="6">
        <v>42191</v>
      </c>
      <c r="AW2804" t="s">
        <v>54</v>
      </c>
      <c r="AX2804" t="str">
        <f t="shared" si="231"/>
        <v>FOR</v>
      </c>
      <c r="AY2804" t="s">
        <v>55</v>
      </c>
    </row>
    <row r="2805" spans="1:51">
      <c r="A2805">
        <v>100905</v>
      </c>
      <c r="B2805" t="s">
        <v>360</v>
      </c>
      <c r="C2805" t="str">
        <f t="shared" si="235"/>
        <v>09279340153</v>
      </c>
      <c r="D2805" t="str">
        <f t="shared" si="236"/>
        <v>06614040159</v>
      </c>
      <c r="E2805" t="s">
        <v>52</v>
      </c>
      <c r="F2805">
        <v>2015</v>
      </c>
      <c r="G2805">
        <v>100474</v>
      </c>
      <c r="H2805" s="1">
        <v>42030</v>
      </c>
      <c r="I2805" s="1">
        <v>42055</v>
      </c>
      <c r="J2805" s="1">
        <v>42055</v>
      </c>
      <c r="K2805" s="1">
        <v>42115</v>
      </c>
      <c r="L2805" s="7">
        <v>6895</v>
      </c>
      <c r="M2805" s="5">
        <v>240</v>
      </c>
      <c r="N2805" s="7">
        <v>1654800</v>
      </c>
      <c r="O2805" s="2">
        <v>6895</v>
      </c>
      <c r="P2805">
        <v>240</v>
      </c>
      <c r="Q2805" s="2">
        <v>1654800</v>
      </c>
      <c r="R2805" s="2">
        <v>1516.9</v>
      </c>
      <c r="V2805">
        <v>0</v>
      </c>
      <c r="W2805">
        <v>0</v>
      </c>
      <c r="X2805">
        <v>0</v>
      </c>
      <c r="Y2805" s="2">
        <v>8411.9</v>
      </c>
      <c r="Z2805" s="2">
        <v>8411.9</v>
      </c>
      <c r="AA2805" s="2">
        <v>8411.9</v>
      </c>
      <c r="AB2805" s="1">
        <v>42382</v>
      </c>
      <c r="AC2805" t="s">
        <v>53</v>
      </c>
      <c r="AD2805" t="s">
        <v>53</v>
      </c>
      <c r="AK2805" s="2">
        <v>1516.9</v>
      </c>
      <c r="AU2805" s="6">
        <v>42355</v>
      </c>
      <c r="AV2805" s="6">
        <v>42355</v>
      </c>
      <c r="AW2805" t="s">
        <v>54</v>
      </c>
      <c r="AX2805" t="str">
        <f t="shared" si="231"/>
        <v>FOR</v>
      </c>
      <c r="AY2805" t="s">
        <v>55</v>
      </c>
    </row>
    <row r="2806" spans="1:51" hidden="1">
      <c r="A2806">
        <v>100905</v>
      </c>
      <c r="B2806" t="s">
        <v>360</v>
      </c>
      <c r="C2806" t="str">
        <f t="shared" si="235"/>
        <v>09279340153</v>
      </c>
      <c r="D2806" t="str">
        <f t="shared" si="236"/>
        <v>06614040159</v>
      </c>
      <c r="E2806" t="s">
        <v>52</v>
      </c>
      <c r="F2806">
        <v>2015</v>
      </c>
      <c r="G2806" t="s">
        <v>361</v>
      </c>
      <c r="H2806" s="1">
        <v>42062</v>
      </c>
      <c r="I2806" s="1">
        <v>42089</v>
      </c>
      <c r="J2806" s="1">
        <v>42089</v>
      </c>
      <c r="K2806" s="1">
        <v>42149</v>
      </c>
      <c r="N2806" s="5"/>
      <c r="O2806">
        <v>416</v>
      </c>
      <c r="P2806">
        <v>-26</v>
      </c>
      <c r="Q2806" s="2">
        <v>-10816</v>
      </c>
      <c r="R2806">
        <v>91.52</v>
      </c>
      <c r="V2806">
        <v>0</v>
      </c>
      <c r="W2806">
        <v>0</v>
      </c>
      <c r="X2806">
        <v>0</v>
      </c>
      <c r="Y2806">
        <v>507.52</v>
      </c>
      <c r="Z2806">
        <v>507.52</v>
      </c>
      <c r="AA2806">
        <v>507.52</v>
      </c>
      <c r="AB2806" s="1">
        <v>42382</v>
      </c>
      <c r="AC2806" t="s">
        <v>53</v>
      </c>
      <c r="AD2806" t="s">
        <v>53</v>
      </c>
      <c r="AK2806">
        <v>91.52</v>
      </c>
      <c r="AU2806" s="6">
        <v>42123</v>
      </c>
      <c r="AV2806" s="6">
        <v>42123</v>
      </c>
      <c r="AW2806" t="s">
        <v>54</v>
      </c>
      <c r="AX2806" t="str">
        <f t="shared" si="231"/>
        <v>FOR</v>
      </c>
      <c r="AY2806" t="s">
        <v>55</v>
      </c>
    </row>
    <row r="2807" spans="1:51" hidden="1">
      <c r="A2807">
        <v>100906</v>
      </c>
      <c r="B2807" t="s">
        <v>362</v>
      </c>
      <c r="C2807" t="str">
        <f t="shared" ref="C2807:D2826" si="237">"06978161005"</f>
        <v>06978161005</v>
      </c>
      <c r="D2807" t="str">
        <f t="shared" si="237"/>
        <v>06978161005</v>
      </c>
      <c r="E2807" t="s">
        <v>52</v>
      </c>
      <c r="F2807">
        <v>2015</v>
      </c>
      <c r="G2807">
        <v>23</v>
      </c>
      <c r="H2807" s="1">
        <v>42040</v>
      </c>
      <c r="I2807" s="1">
        <v>42040</v>
      </c>
      <c r="J2807" s="1">
        <v>42040</v>
      </c>
      <c r="K2807" s="1">
        <v>42100</v>
      </c>
      <c r="N2807" s="5"/>
      <c r="O2807" s="2">
        <v>5910.66</v>
      </c>
      <c r="P2807">
        <v>-55</v>
      </c>
      <c r="Q2807" s="2">
        <v>-325086.3</v>
      </c>
      <c r="R2807">
        <v>0</v>
      </c>
      <c r="V2807">
        <v>0</v>
      </c>
      <c r="W2807">
        <v>0</v>
      </c>
      <c r="X2807">
        <v>0</v>
      </c>
      <c r="Y2807">
        <v>0</v>
      </c>
      <c r="Z2807" s="2">
        <v>5910.66</v>
      </c>
      <c r="AA2807" s="2">
        <v>5910.66</v>
      </c>
      <c r="AB2807" s="1">
        <v>42382</v>
      </c>
      <c r="AC2807" t="s">
        <v>53</v>
      </c>
      <c r="AD2807" t="s">
        <v>53</v>
      </c>
      <c r="AK2807">
        <v>0</v>
      </c>
      <c r="AU2807" s="6">
        <v>42045</v>
      </c>
      <c r="AV2807" s="6">
        <v>42045</v>
      </c>
      <c r="AW2807" t="s">
        <v>54</v>
      </c>
      <c r="AX2807" t="str">
        <f t="shared" si="231"/>
        <v>FOR</v>
      </c>
      <c r="AY2807" t="s">
        <v>55</v>
      </c>
    </row>
    <row r="2808" spans="1:51" hidden="1">
      <c r="A2808">
        <v>100906</v>
      </c>
      <c r="B2808" t="s">
        <v>362</v>
      </c>
      <c r="C2808" t="str">
        <f t="shared" si="237"/>
        <v>06978161005</v>
      </c>
      <c r="D2808" t="str">
        <f t="shared" si="237"/>
        <v>06978161005</v>
      </c>
      <c r="E2808" t="s">
        <v>52</v>
      </c>
      <c r="F2808">
        <v>2015</v>
      </c>
      <c r="G2808">
        <v>24</v>
      </c>
      <c r="H2808" s="1">
        <v>42040</v>
      </c>
      <c r="I2808" s="1">
        <v>42040</v>
      </c>
      <c r="J2808" s="1">
        <v>42040</v>
      </c>
      <c r="K2808" s="1">
        <v>42100</v>
      </c>
      <c r="N2808" s="5"/>
      <c r="O2808">
        <v>2</v>
      </c>
      <c r="P2808">
        <v>-55</v>
      </c>
      <c r="Q2808">
        <v>-110</v>
      </c>
      <c r="R2808">
        <v>0</v>
      </c>
      <c r="V2808">
        <v>0</v>
      </c>
      <c r="W2808">
        <v>0</v>
      </c>
      <c r="X2808">
        <v>0</v>
      </c>
      <c r="Y2808">
        <v>0</v>
      </c>
      <c r="Z2808">
        <v>2</v>
      </c>
      <c r="AA2808">
        <v>2</v>
      </c>
      <c r="AB2808" s="1">
        <v>42382</v>
      </c>
      <c r="AC2808" t="s">
        <v>53</v>
      </c>
      <c r="AD2808" t="s">
        <v>53</v>
      </c>
      <c r="AK2808">
        <v>0</v>
      </c>
      <c r="AU2808" s="6">
        <v>42045</v>
      </c>
      <c r="AV2808" s="6">
        <v>42045</v>
      </c>
      <c r="AW2808" t="s">
        <v>54</v>
      </c>
      <c r="AX2808" t="str">
        <f t="shared" si="231"/>
        <v>FOR</v>
      </c>
      <c r="AY2808" t="s">
        <v>55</v>
      </c>
    </row>
    <row r="2809" spans="1:51" hidden="1">
      <c r="A2809">
        <v>100906</v>
      </c>
      <c r="B2809" t="s">
        <v>362</v>
      </c>
      <c r="C2809" t="str">
        <f t="shared" si="237"/>
        <v>06978161005</v>
      </c>
      <c r="D2809" t="str">
        <f t="shared" si="237"/>
        <v>06978161005</v>
      </c>
      <c r="E2809" t="s">
        <v>52</v>
      </c>
      <c r="F2809">
        <v>2015</v>
      </c>
      <c r="G2809">
        <v>25</v>
      </c>
      <c r="H2809" s="1">
        <v>42040</v>
      </c>
      <c r="I2809" s="1">
        <v>42040</v>
      </c>
      <c r="J2809" s="1">
        <v>42040</v>
      </c>
      <c r="K2809" s="1">
        <v>42100</v>
      </c>
      <c r="N2809" s="5"/>
      <c r="O2809">
        <v>178</v>
      </c>
      <c r="P2809">
        <v>-55</v>
      </c>
      <c r="Q2809" s="2">
        <v>-9790</v>
      </c>
      <c r="R2809">
        <v>0</v>
      </c>
      <c r="V2809">
        <v>0</v>
      </c>
      <c r="W2809">
        <v>0</v>
      </c>
      <c r="X2809">
        <v>0</v>
      </c>
      <c r="Y2809">
        <v>0</v>
      </c>
      <c r="Z2809">
        <v>178</v>
      </c>
      <c r="AA2809">
        <v>178</v>
      </c>
      <c r="AB2809" s="1">
        <v>42382</v>
      </c>
      <c r="AC2809" t="s">
        <v>53</v>
      </c>
      <c r="AD2809" t="s">
        <v>53</v>
      </c>
      <c r="AK2809">
        <v>0</v>
      </c>
      <c r="AU2809" s="6">
        <v>42045</v>
      </c>
      <c r="AV2809" s="6">
        <v>42045</v>
      </c>
      <c r="AW2809" t="s">
        <v>54</v>
      </c>
      <c r="AX2809" t="str">
        <f t="shared" si="231"/>
        <v>FOR</v>
      </c>
      <c r="AY2809" t="s">
        <v>55</v>
      </c>
    </row>
    <row r="2810" spans="1:51" hidden="1">
      <c r="A2810">
        <v>100906</v>
      </c>
      <c r="B2810" t="s">
        <v>362</v>
      </c>
      <c r="C2810" t="str">
        <f t="shared" si="237"/>
        <v>06978161005</v>
      </c>
      <c r="D2810" t="str">
        <f t="shared" si="237"/>
        <v>06978161005</v>
      </c>
      <c r="E2810" t="s">
        <v>52</v>
      </c>
      <c r="F2810">
        <v>2015</v>
      </c>
      <c r="G2810">
        <v>26</v>
      </c>
      <c r="H2810" s="1">
        <v>42040</v>
      </c>
      <c r="I2810" s="1">
        <v>42040</v>
      </c>
      <c r="J2810" s="1">
        <v>42040</v>
      </c>
      <c r="K2810" s="1">
        <v>42100</v>
      </c>
      <c r="N2810" s="5"/>
      <c r="O2810">
        <v>2</v>
      </c>
      <c r="P2810">
        <v>-55</v>
      </c>
      <c r="Q2810">
        <v>-110</v>
      </c>
      <c r="R2810">
        <v>0</v>
      </c>
      <c r="V2810">
        <v>0</v>
      </c>
      <c r="W2810">
        <v>0</v>
      </c>
      <c r="X2810">
        <v>0</v>
      </c>
      <c r="Y2810">
        <v>0</v>
      </c>
      <c r="Z2810">
        <v>2</v>
      </c>
      <c r="AA2810">
        <v>2</v>
      </c>
      <c r="AB2810" s="1">
        <v>42382</v>
      </c>
      <c r="AC2810" t="s">
        <v>53</v>
      </c>
      <c r="AD2810" t="s">
        <v>53</v>
      </c>
      <c r="AK2810">
        <v>0</v>
      </c>
      <c r="AU2810" s="6">
        <v>42045</v>
      </c>
      <c r="AV2810" s="6">
        <v>42045</v>
      </c>
      <c r="AW2810" t="s">
        <v>54</v>
      </c>
      <c r="AX2810" t="str">
        <f t="shared" si="231"/>
        <v>FOR</v>
      </c>
      <c r="AY2810" t="s">
        <v>55</v>
      </c>
    </row>
    <row r="2811" spans="1:51" hidden="1">
      <c r="A2811">
        <v>100906</v>
      </c>
      <c r="B2811" t="s">
        <v>362</v>
      </c>
      <c r="C2811" t="str">
        <f t="shared" si="237"/>
        <v>06978161005</v>
      </c>
      <c r="D2811" t="str">
        <f t="shared" si="237"/>
        <v>06978161005</v>
      </c>
      <c r="E2811" t="s">
        <v>52</v>
      </c>
      <c r="F2811">
        <v>2015</v>
      </c>
      <c r="G2811">
        <v>27</v>
      </c>
      <c r="H2811" s="1">
        <v>42040</v>
      </c>
      <c r="I2811" s="1">
        <v>42040</v>
      </c>
      <c r="J2811" s="1">
        <v>42040</v>
      </c>
      <c r="K2811" s="1">
        <v>42100</v>
      </c>
      <c r="N2811" s="5"/>
      <c r="O2811" s="2">
        <v>14959.69</v>
      </c>
      <c r="P2811">
        <v>-55</v>
      </c>
      <c r="Q2811" s="2">
        <v>-822782.95</v>
      </c>
      <c r="R2811">
        <v>0</v>
      </c>
      <c r="V2811">
        <v>0</v>
      </c>
      <c r="W2811">
        <v>0</v>
      </c>
      <c r="X2811">
        <v>0</v>
      </c>
      <c r="Y2811" s="2">
        <v>14959.69</v>
      </c>
      <c r="Z2811" s="2">
        <v>14959.69</v>
      </c>
      <c r="AA2811" s="2">
        <v>14959.69</v>
      </c>
      <c r="AB2811" s="1">
        <v>42382</v>
      </c>
      <c r="AC2811" t="s">
        <v>53</v>
      </c>
      <c r="AD2811" t="s">
        <v>53</v>
      </c>
      <c r="AK2811">
        <v>0</v>
      </c>
      <c r="AU2811" s="6">
        <v>42045</v>
      </c>
      <c r="AV2811" s="6">
        <v>42045</v>
      </c>
      <c r="AW2811" t="s">
        <v>54</v>
      </c>
      <c r="AX2811" t="str">
        <f t="shared" si="231"/>
        <v>FOR</v>
      </c>
      <c r="AY2811" t="s">
        <v>55</v>
      </c>
    </row>
    <row r="2812" spans="1:51" hidden="1">
      <c r="A2812">
        <v>100906</v>
      </c>
      <c r="B2812" t="s">
        <v>362</v>
      </c>
      <c r="C2812" t="str">
        <f t="shared" si="237"/>
        <v>06978161005</v>
      </c>
      <c r="D2812" t="str">
        <f t="shared" si="237"/>
        <v>06978161005</v>
      </c>
      <c r="E2812" t="s">
        <v>52</v>
      </c>
      <c r="F2812">
        <v>2015</v>
      </c>
      <c r="G2812">
        <v>28</v>
      </c>
      <c r="H2812" s="1">
        <v>42040</v>
      </c>
      <c r="I2812" s="1">
        <v>42040</v>
      </c>
      <c r="J2812" s="1">
        <v>42040</v>
      </c>
      <c r="K2812" s="1">
        <v>42100</v>
      </c>
      <c r="N2812" s="5"/>
      <c r="O2812">
        <v>350.44</v>
      </c>
      <c r="P2812">
        <v>-55</v>
      </c>
      <c r="Q2812" s="2">
        <v>-19274.2</v>
      </c>
      <c r="R2812">
        <v>0</v>
      </c>
      <c r="V2812">
        <v>0</v>
      </c>
      <c r="W2812">
        <v>0</v>
      </c>
      <c r="X2812">
        <v>0</v>
      </c>
      <c r="Y2812">
        <v>0</v>
      </c>
      <c r="Z2812">
        <v>350.44</v>
      </c>
      <c r="AA2812">
        <v>350.44</v>
      </c>
      <c r="AB2812" s="1">
        <v>42382</v>
      </c>
      <c r="AC2812" t="s">
        <v>53</v>
      </c>
      <c r="AD2812" t="s">
        <v>53</v>
      </c>
      <c r="AK2812">
        <v>0</v>
      </c>
      <c r="AU2812" s="6">
        <v>42045</v>
      </c>
      <c r="AV2812" s="6">
        <v>42045</v>
      </c>
      <c r="AW2812" t="s">
        <v>54</v>
      </c>
      <c r="AX2812" t="str">
        <f t="shared" si="231"/>
        <v>FOR</v>
      </c>
      <c r="AY2812" t="s">
        <v>55</v>
      </c>
    </row>
    <row r="2813" spans="1:51" hidden="1">
      <c r="A2813">
        <v>100906</v>
      </c>
      <c r="B2813" t="s">
        <v>362</v>
      </c>
      <c r="C2813" t="str">
        <f t="shared" si="237"/>
        <v>06978161005</v>
      </c>
      <c r="D2813" t="str">
        <f t="shared" si="237"/>
        <v>06978161005</v>
      </c>
      <c r="E2813" t="s">
        <v>52</v>
      </c>
      <c r="F2813">
        <v>2015</v>
      </c>
      <c r="G2813">
        <v>29</v>
      </c>
      <c r="H2813" s="1">
        <v>42040</v>
      </c>
      <c r="I2813" s="1">
        <v>42040</v>
      </c>
      <c r="J2813" s="1">
        <v>42040</v>
      </c>
      <c r="K2813" s="1">
        <v>42100</v>
      </c>
      <c r="N2813" s="5"/>
      <c r="O2813">
        <v>59.09</v>
      </c>
      <c r="P2813">
        <v>-55</v>
      </c>
      <c r="Q2813" s="2">
        <v>-3249.95</v>
      </c>
      <c r="R2813">
        <v>0</v>
      </c>
      <c r="V2813">
        <v>0</v>
      </c>
      <c r="W2813">
        <v>0</v>
      </c>
      <c r="X2813">
        <v>0</v>
      </c>
      <c r="Y2813">
        <v>0</v>
      </c>
      <c r="Z2813">
        <v>59.09</v>
      </c>
      <c r="AA2813">
        <v>59.09</v>
      </c>
      <c r="AB2813" s="1">
        <v>42382</v>
      </c>
      <c r="AC2813" t="s">
        <v>53</v>
      </c>
      <c r="AD2813" t="s">
        <v>53</v>
      </c>
      <c r="AK2813">
        <v>0</v>
      </c>
      <c r="AU2813" s="6">
        <v>42045</v>
      </c>
      <c r="AV2813" s="6">
        <v>42045</v>
      </c>
      <c r="AW2813" t="s">
        <v>54</v>
      </c>
      <c r="AX2813" t="str">
        <f t="shared" si="231"/>
        <v>FOR</v>
      </c>
      <c r="AY2813" t="s">
        <v>55</v>
      </c>
    </row>
    <row r="2814" spans="1:51" hidden="1">
      <c r="A2814">
        <v>100906</v>
      </c>
      <c r="B2814" t="s">
        <v>362</v>
      </c>
      <c r="C2814" t="str">
        <f t="shared" si="237"/>
        <v>06978161005</v>
      </c>
      <c r="D2814" t="str">
        <f t="shared" si="237"/>
        <v>06978161005</v>
      </c>
      <c r="E2814" t="s">
        <v>52</v>
      </c>
      <c r="F2814">
        <v>2015</v>
      </c>
      <c r="G2814">
        <v>30</v>
      </c>
      <c r="H2814" s="1">
        <v>42040</v>
      </c>
      <c r="I2814" s="1">
        <v>42040</v>
      </c>
      <c r="J2814" s="1">
        <v>42040</v>
      </c>
      <c r="K2814" s="1">
        <v>42100</v>
      </c>
      <c r="N2814" s="5"/>
      <c r="O2814">
        <v>90</v>
      </c>
      <c r="P2814">
        <v>-55</v>
      </c>
      <c r="Q2814" s="2">
        <v>-4950</v>
      </c>
      <c r="R2814">
        <v>0</v>
      </c>
      <c r="V2814">
        <v>0</v>
      </c>
      <c r="W2814">
        <v>0</v>
      </c>
      <c r="X2814">
        <v>0</v>
      </c>
      <c r="Y2814">
        <v>0</v>
      </c>
      <c r="Z2814">
        <v>90</v>
      </c>
      <c r="AA2814">
        <v>90</v>
      </c>
      <c r="AB2814" s="1">
        <v>42382</v>
      </c>
      <c r="AC2814" t="s">
        <v>53</v>
      </c>
      <c r="AD2814" t="s">
        <v>53</v>
      </c>
      <c r="AK2814">
        <v>0</v>
      </c>
      <c r="AU2814" s="6">
        <v>42045</v>
      </c>
      <c r="AV2814" s="6">
        <v>42045</v>
      </c>
      <c r="AW2814" t="s">
        <v>54</v>
      </c>
      <c r="AX2814" t="str">
        <f t="shared" si="231"/>
        <v>FOR</v>
      </c>
      <c r="AY2814" t="s">
        <v>55</v>
      </c>
    </row>
    <row r="2815" spans="1:51" hidden="1">
      <c r="A2815">
        <v>100906</v>
      </c>
      <c r="B2815" t="s">
        <v>362</v>
      </c>
      <c r="C2815" t="str">
        <f t="shared" si="237"/>
        <v>06978161005</v>
      </c>
      <c r="D2815" t="str">
        <f t="shared" si="237"/>
        <v>06978161005</v>
      </c>
      <c r="E2815" t="s">
        <v>52</v>
      </c>
      <c r="F2815">
        <v>2015</v>
      </c>
      <c r="G2815">
        <v>31</v>
      </c>
      <c r="H2815" s="1">
        <v>42040</v>
      </c>
      <c r="I2815" s="1">
        <v>42040</v>
      </c>
      <c r="J2815" s="1">
        <v>42040</v>
      </c>
      <c r="K2815" s="1">
        <v>42100</v>
      </c>
      <c r="N2815" s="5"/>
      <c r="O2815">
        <v>138.03</v>
      </c>
      <c r="P2815">
        <v>-55</v>
      </c>
      <c r="Q2815" s="2">
        <v>-7591.65</v>
      </c>
      <c r="R2815">
        <v>0</v>
      </c>
      <c r="V2815">
        <v>0</v>
      </c>
      <c r="W2815">
        <v>0</v>
      </c>
      <c r="X2815">
        <v>0</v>
      </c>
      <c r="Y2815">
        <v>0</v>
      </c>
      <c r="Z2815">
        <v>138.03</v>
      </c>
      <c r="AA2815">
        <v>138.03</v>
      </c>
      <c r="AB2815" s="1">
        <v>42382</v>
      </c>
      <c r="AC2815" t="s">
        <v>53</v>
      </c>
      <c r="AD2815" t="s">
        <v>53</v>
      </c>
      <c r="AK2815">
        <v>0</v>
      </c>
      <c r="AU2815" s="6">
        <v>42045</v>
      </c>
      <c r="AV2815" s="6">
        <v>42045</v>
      </c>
      <c r="AW2815" t="s">
        <v>54</v>
      </c>
      <c r="AX2815" t="str">
        <f t="shared" si="231"/>
        <v>FOR</v>
      </c>
      <c r="AY2815" t="s">
        <v>55</v>
      </c>
    </row>
    <row r="2816" spans="1:51" hidden="1">
      <c r="A2816">
        <v>100906</v>
      </c>
      <c r="B2816" t="s">
        <v>362</v>
      </c>
      <c r="C2816" t="str">
        <f t="shared" si="237"/>
        <v>06978161005</v>
      </c>
      <c r="D2816" t="str">
        <f t="shared" si="237"/>
        <v>06978161005</v>
      </c>
      <c r="E2816" t="s">
        <v>52</v>
      </c>
      <c r="F2816">
        <v>2015</v>
      </c>
      <c r="G2816">
        <v>32</v>
      </c>
      <c r="H2816" s="1">
        <v>42040</v>
      </c>
      <c r="I2816" s="1">
        <v>42040</v>
      </c>
      <c r="J2816" s="1">
        <v>42040</v>
      </c>
      <c r="K2816" s="1">
        <v>42100</v>
      </c>
      <c r="N2816" s="5"/>
      <c r="O2816">
        <v>137.38</v>
      </c>
      <c r="P2816">
        <v>-55</v>
      </c>
      <c r="Q2816" s="2">
        <v>-7555.9</v>
      </c>
      <c r="R2816">
        <v>0</v>
      </c>
      <c r="V2816">
        <v>0</v>
      </c>
      <c r="W2816">
        <v>0</v>
      </c>
      <c r="X2816">
        <v>0</v>
      </c>
      <c r="Y2816">
        <v>0</v>
      </c>
      <c r="Z2816">
        <v>137.38</v>
      </c>
      <c r="AA2816">
        <v>137.38</v>
      </c>
      <c r="AB2816" s="1">
        <v>42382</v>
      </c>
      <c r="AC2816" t="s">
        <v>53</v>
      </c>
      <c r="AD2816" t="s">
        <v>53</v>
      </c>
      <c r="AK2816">
        <v>0</v>
      </c>
      <c r="AU2816" s="6">
        <v>42045</v>
      </c>
      <c r="AV2816" s="6">
        <v>42045</v>
      </c>
      <c r="AW2816" t="s">
        <v>54</v>
      </c>
      <c r="AX2816" t="str">
        <f t="shared" si="231"/>
        <v>FOR</v>
      </c>
      <c r="AY2816" t="s">
        <v>55</v>
      </c>
    </row>
    <row r="2817" spans="1:51" hidden="1">
      <c r="A2817">
        <v>100906</v>
      </c>
      <c r="B2817" t="s">
        <v>362</v>
      </c>
      <c r="C2817" t="str">
        <f t="shared" si="237"/>
        <v>06978161005</v>
      </c>
      <c r="D2817" t="str">
        <f t="shared" si="237"/>
        <v>06978161005</v>
      </c>
      <c r="E2817" t="s">
        <v>52</v>
      </c>
      <c r="F2817">
        <v>2015</v>
      </c>
      <c r="G2817">
        <v>33</v>
      </c>
      <c r="H2817" s="1">
        <v>42040</v>
      </c>
      <c r="I2817" s="1">
        <v>42040</v>
      </c>
      <c r="J2817" s="1">
        <v>42040</v>
      </c>
      <c r="K2817" s="1">
        <v>42100</v>
      </c>
      <c r="N2817" s="5"/>
      <c r="O2817" s="2">
        <v>14959</v>
      </c>
      <c r="P2817">
        <v>-55</v>
      </c>
      <c r="Q2817" s="2">
        <v>-822745</v>
      </c>
      <c r="R2817">
        <v>0</v>
      </c>
      <c r="V2817">
        <v>0</v>
      </c>
      <c r="W2817">
        <v>0</v>
      </c>
      <c r="X2817">
        <v>0</v>
      </c>
      <c r="Y2817" s="2">
        <v>14959</v>
      </c>
      <c r="Z2817" s="2">
        <v>14959</v>
      </c>
      <c r="AA2817" s="2">
        <v>14959</v>
      </c>
      <c r="AB2817" s="1">
        <v>42382</v>
      </c>
      <c r="AC2817" t="s">
        <v>53</v>
      </c>
      <c r="AD2817" t="s">
        <v>53</v>
      </c>
      <c r="AK2817">
        <v>0</v>
      </c>
      <c r="AU2817" s="6">
        <v>42045</v>
      </c>
      <c r="AV2817" s="6">
        <v>42045</v>
      </c>
      <c r="AW2817" t="s">
        <v>54</v>
      </c>
      <c r="AX2817" t="str">
        <f t="shared" si="231"/>
        <v>FOR</v>
      </c>
      <c r="AY2817" t="s">
        <v>55</v>
      </c>
    </row>
    <row r="2818" spans="1:51" hidden="1">
      <c r="A2818">
        <v>100906</v>
      </c>
      <c r="B2818" t="s">
        <v>362</v>
      </c>
      <c r="C2818" t="str">
        <f t="shared" si="237"/>
        <v>06978161005</v>
      </c>
      <c r="D2818" t="str">
        <f t="shared" si="237"/>
        <v>06978161005</v>
      </c>
      <c r="E2818" t="s">
        <v>52</v>
      </c>
      <c r="F2818">
        <v>2015</v>
      </c>
      <c r="G2818">
        <v>34</v>
      </c>
      <c r="H2818" s="1">
        <v>42045</v>
      </c>
      <c r="I2818" s="1">
        <v>42045</v>
      </c>
      <c r="J2818" s="1">
        <v>42045</v>
      </c>
      <c r="K2818" s="1">
        <v>42105</v>
      </c>
      <c r="N2818" s="5"/>
      <c r="O2818" s="2">
        <v>14959.69</v>
      </c>
      <c r="P2818">
        <v>-60</v>
      </c>
      <c r="Q2818" s="2">
        <v>-897581.4</v>
      </c>
      <c r="R2818">
        <v>0</v>
      </c>
      <c r="V2818">
        <v>0</v>
      </c>
      <c r="W2818">
        <v>0</v>
      </c>
      <c r="X2818">
        <v>0</v>
      </c>
      <c r="Y2818" s="2">
        <v>14959.69</v>
      </c>
      <c r="Z2818" s="2">
        <v>14959.69</v>
      </c>
      <c r="AA2818" s="2">
        <v>14959.69</v>
      </c>
      <c r="AB2818" s="1">
        <v>42382</v>
      </c>
      <c r="AC2818" t="s">
        <v>53</v>
      </c>
      <c r="AD2818" t="s">
        <v>53</v>
      </c>
      <c r="AK2818">
        <v>0</v>
      </c>
      <c r="AU2818" s="6">
        <v>42045</v>
      </c>
      <c r="AV2818" s="6">
        <v>42045</v>
      </c>
      <c r="AW2818" t="s">
        <v>54</v>
      </c>
      <c r="AX2818" t="str">
        <f t="shared" si="231"/>
        <v>FOR</v>
      </c>
      <c r="AY2818" t="s">
        <v>55</v>
      </c>
    </row>
    <row r="2819" spans="1:51" hidden="1">
      <c r="A2819">
        <v>100906</v>
      </c>
      <c r="B2819" t="s">
        <v>362</v>
      </c>
      <c r="C2819" t="str">
        <f t="shared" si="237"/>
        <v>06978161005</v>
      </c>
      <c r="D2819" t="str">
        <f t="shared" si="237"/>
        <v>06978161005</v>
      </c>
      <c r="E2819" t="s">
        <v>52</v>
      </c>
      <c r="F2819">
        <v>2015</v>
      </c>
      <c r="G2819">
        <v>54</v>
      </c>
      <c r="H2819" s="1">
        <v>42080</v>
      </c>
      <c r="I2819" s="1">
        <v>42080</v>
      </c>
      <c r="J2819" s="1">
        <v>42080</v>
      </c>
      <c r="K2819" s="1">
        <v>42140</v>
      </c>
      <c r="N2819" s="5"/>
      <c r="O2819">
        <v>94.91</v>
      </c>
      <c r="P2819">
        <v>-60</v>
      </c>
      <c r="Q2819" s="2">
        <v>-5694.6</v>
      </c>
      <c r="R2819">
        <v>0</v>
      </c>
      <c r="V2819">
        <v>0</v>
      </c>
      <c r="W2819">
        <v>0</v>
      </c>
      <c r="X2819">
        <v>0</v>
      </c>
      <c r="Y2819">
        <v>94.91</v>
      </c>
      <c r="Z2819">
        <v>94.91</v>
      </c>
      <c r="AA2819">
        <v>94.91</v>
      </c>
      <c r="AB2819" s="1">
        <v>42382</v>
      </c>
      <c r="AC2819" t="s">
        <v>53</v>
      </c>
      <c r="AD2819" t="s">
        <v>53</v>
      </c>
      <c r="AK2819">
        <v>0</v>
      </c>
      <c r="AU2819" s="6">
        <v>42080</v>
      </c>
      <c r="AV2819" s="6">
        <v>42080</v>
      </c>
      <c r="AW2819" t="s">
        <v>54</v>
      </c>
      <c r="AX2819" t="str">
        <f t="shared" ref="AX2819:AX2882" si="238">"FOR"</f>
        <v>FOR</v>
      </c>
      <c r="AY2819" t="s">
        <v>55</v>
      </c>
    </row>
    <row r="2820" spans="1:51" hidden="1">
      <c r="A2820">
        <v>100906</v>
      </c>
      <c r="B2820" t="s">
        <v>362</v>
      </c>
      <c r="C2820" t="str">
        <f t="shared" si="237"/>
        <v>06978161005</v>
      </c>
      <c r="D2820" t="str">
        <f t="shared" si="237"/>
        <v>06978161005</v>
      </c>
      <c r="E2820" t="s">
        <v>52</v>
      </c>
      <c r="F2820">
        <v>2015</v>
      </c>
      <c r="G2820">
        <v>55</v>
      </c>
      <c r="H2820" s="1">
        <v>42080</v>
      </c>
      <c r="I2820" s="1">
        <v>42080</v>
      </c>
      <c r="J2820" s="1">
        <v>42080</v>
      </c>
      <c r="K2820" s="1">
        <v>42140</v>
      </c>
      <c r="N2820" s="5"/>
      <c r="O2820">
        <v>375.75</v>
      </c>
      <c r="P2820">
        <v>-60</v>
      </c>
      <c r="Q2820" s="2">
        <v>-22545</v>
      </c>
      <c r="R2820">
        <v>0</v>
      </c>
      <c r="V2820">
        <v>0</v>
      </c>
      <c r="W2820">
        <v>0</v>
      </c>
      <c r="X2820">
        <v>0</v>
      </c>
      <c r="Y2820">
        <v>375.75</v>
      </c>
      <c r="Z2820">
        <v>375.75</v>
      </c>
      <c r="AA2820">
        <v>375.75</v>
      </c>
      <c r="AB2820" s="1">
        <v>42382</v>
      </c>
      <c r="AC2820" t="s">
        <v>53</v>
      </c>
      <c r="AD2820" t="s">
        <v>53</v>
      </c>
      <c r="AK2820">
        <v>0</v>
      </c>
      <c r="AU2820" s="6">
        <v>42080</v>
      </c>
      <c r="AV2820" s="6">
        <v>42080</v>
      </c>
      <c r="AW2820" t="s">
        <v>54</v>
      </c>
      <c r="AX2820" t="str">
        <f t="shared" si="238"/>
        <v>FOR</v>
      </c>
      <c r="AY2820" t="s">
        <v>55</v>
      </c>
    </row>
    <row r="2821" spans="1:51" hidden="1">
      <c r="A2821">
        <v>100906</v>
      </c>
      <c r="B2821" t="s">
        <v>362</v>
      </c>
      <c r="C2821" t="str">
        <f t="shared" si="237"/>
        <v>06978161005</v>
      </c>
      <c r="D2821" t="str">
        <f t="shared" si="237"/>
        <v>06978161005</v>
      </c>
      <c r="E2821" t="s">
        <v>52</v>
      </c>
      <c r="F2821">
        <v>2015</v>
      </c>
      <c r="G2821">
        <v>56</v>
      </c>
      <c r="H2821" s="1">
        <v>42080</v>
      </c>
      <c r="I2821" s="1">
        <v>42080</v>
      </c>
      <c r="J2821" s="1">
        <v>42080</v>
      </c>
      <c r="K2821" s="1">
        <v>42140</v>
      </c>
      <c r="N2821" s="5"/>
      <c r="O2821">
        <v>68.290000000000006</v>
      </c>
      <c r="P2821">
        <v>-60</v>
      </c>
      <c r="Q2821" s="2">
        <v>-4097.3999999999996</v>
      </c>
      <c r="R2821">
        <v>0</v>
      </c>
      <c r="V2821">
        <v>0</v>
      </c>
      <c r="W2821">
        <v>0</v>
      </c>
      <c r="X2821">
        <v>0</v>
      </c>
      <c r="Y2821">
        <v>68.290000000000006</v>
      </c>
      <c r="Z2821">
        <v>68.290000000000006</v>
      </c>
      <c r="AA2821">
        <v>68.290000000000006</v>
      </c>
      <c r="AB2821" s="1">
        <v>42382</v>
      </c>
      <c r="AC2821" t="s">
        <v>53</v>
      </c>
      <c r="AD2821" t="s">
        <v>53</v>
      </c>
      <c r="AK2821">
        <v>0</v>
      </c>
      <c r="AU2821" s="6">
        <v>42080</v>
      </c>
      <c r="AV2821" s="6">
        <v>42080</v>
      </c>
      <c r="AW2821" t="s">
        <v>54</v>
      </c>
      <c r="AX2821" t="str">
        <f t="shared" si="238"/>
        <v>FOR</v>
      </c>
      <c r="AY2821" t="s">
        <v>55</v>
      </c>
    </row>
    <row r="2822" spans="1:51" hidden="1">
      <c r="A2822">
        <v>100906</v>
      </c>
      <c r="B2822" t="s">
        <v>362</v>
      </c>
      <c r="C2822" t="str">
        <f t="shared" si="237"/>
        <v>06978161005</v>
      </c>
      <c r="D2822" t="str">
        <f t="shared" si="237"/>
        <v>06978161005</v>
      </c>
      <c r="E2822" t="s">
        <v>52</v>
      </c>
      <c r="F2822">
        <v>2015</v>
      </c>
      <c r="G2822">
        <v>57</v>
      </c>
      <c r="H2822" s="1">
        <v>42080</v>
      </c>
      <c r="I2822" s="1">
        <v>42080</v>
      </c>
      <c r="J2822" s="1">
        <v>42080</v>
      </c>
      <c r="K2822" s="1">
        <v>42140</v>
      </c>
      <c r="N2822" s="5"/>
      <c r="O2822">
        <v>90</v>
      </c>
      <c r="P2822">
        <v>-60</v>
      </c>
      <c r="Q2822" s="2">
        <v>-5400</v>
      </c>
      <c r="R2822">
        <v>0</v>
      </c>
      <c r="V2822">
        <v>0</v>
      </c>
      <c r="W2822">
        <v>0</v>
      </c>
      <c r="X2822">
        <v>0</v>
      </c>
      <c r="Y2822">
        <v>90</v>
      </c>
      <c r="Z2822">
        <v>90</v>
      </c>
      <c r="AA2822">
        <v>90</v>
      </c>
      <c r="AB2822" s="1">
        <v>42382</v>
      </c>
      <c r="AC2822" t="s">
        <v>53</v>
      </c>
      <c r="AD2822" t="s">
        <v>53</v>
      </c>
      <c r="AK2822">
        <v>0</v>
      </c>
      <c r="AU2822" s="6">
        <v>42080</v>
      </c>
      <c r="AV2822" s="6">
        <v>42080</v>
      </c>
      <c r="AW2822" t="s">
        <v>54</v>
      </c>
      <c r="AX2822" t="str">
        <f t="shared" si="238"/>
        <v>FOR</v>
      </c>
      <c r="AY2822" t="s">
        <v>55</v>
      </c>
    </row>
    <row r="2823" spans="1:51" hidden="1">
      <c r="A2823">
        <v>100906</v>
      </c>
      <c r="B2823" t="s">
        <v>362</v>
      </c>
      <c r="C2823" t="str">
        <f t="shared" si="237"/>
        <v>06978161005</v>
      </c>
      <c r="D2823" t="str">
        <f t="shared" si="237"/>
        <v>06978161005</v>
      </c>
      <c r="E2823" t="s">
        <v>52</v>
      </c>
      <c r="F2823">
        <v>2015</v>
      </c>
      <c r="G2823">
        <v>58</v>
      </c>
      <c r="H2823" s="1">
        <v>42080</v>
      </c>
      <c r="I2823" s="1">
        <v>42080</v>
      </c>
      <c r="J2823" s="1">
        <v>42080</v>
      </c>
      <c r="K2823" s="1">
        <v>42140</v>
      </c>
      <c r="N2823" s="5"/>
      <c r="O2823">
        <v>101.87</v>
      </c>
      <c r="P2823">
        <v>-60</v>
      </c>
      <c r="Q2823" s="2">
        <v>-6112.2</v>
      </c>
      <c r="R2823">
        <v>0</v>
      </c>
      <c r="V2823">
        <v>0</v>
      </c>
      <c r="W2823">
        <v>0</v>
      </c>
      <c r="X2823">
        <v>0</v>
      </c>
      <c r="Y2823">
        <v>101.87</v>
      </c>
      <c r="Z2823">
        <v>101.87</v>
      </c>
      <c r="AA2823">
        <v>101.87</v>
      </c>
      <c r="AB2823" s="1">
        <v>42382</v>
      </c>
      <c r="AC2823" t="s">
        <v>53</v>
      </c>
      <c r="AD2823" t="s">
        <v>53</v>
      </c>
      <c r="AK2823">
        <v>0</v>
      </c>
      <c r="AU2823" s="6">
        <v>42080</v>
      </c>
      <c r="AV2823" s="6">
        <v>42080</v>
      </c>
      <c r="AW2823" t="s">
        <v>54</v>
      </c>
      <c r="AX2823" t="str">
        <f t="shared" si="238"/>
        <v>FOR</v>
      </c>
      <c r="AY2823" t="s">
        <v>55</v>
      </c>
    </row>
    <row r="2824" spans="1:51" hidden="1">
      <c r="A2824">
        <v>100906</v>
      </c>
      <c r="B2824" t="s">
        <v>362</v>
      </c>
      <c r="C2824" t="str">
        <f t="shared" si="237"/>
        <v>06978161005</v>
      </c>
      <c r="D2824" t="str">
        <f t="shared" si="237"/>
        <v>06978161005</v>
      </c>
      <c r="E2824" t="s">
        <v>52</v>
      </c>
      <c r="F2824">
        <v>2015</v>
      </c>
      <c r="G2824">
        <v>59</v>
      </c>
      <c r="H2824" s="1">
        <v>42080</v>
      </c>
      <c r="I2824" s="1">
        <v>42080</v>
      </c>
      <c r="J2824" s="1">
        <v>42080</v>
      </c>
      <c r="K2824" s="1">
        <v>42140</v>
      </c>
      <c r="N2824" s="5"/>
      <c r="O2824" s="2">
        <v>14959</v>
      </c>
      <c r="P2824">
        <v>-60</v>
      </c>
      <c r="Q2824" s="2">
        <v>-897540</v>
      </c>
      <c r="R2824">
        <v>0</v>
      </c>
      <c r="V2824">
        <v>0</v>
      </c>
      <c r="W2824">
        <v>0</v>
      </c>
      <c r="X2824">
        <v>0</v>
      </c>
      <c r="Y2824" s="2">
        <v>14959</v>
      </c>
      <c r="Z2824" s="2">
        <v>14959</v>
      </c>
      <c r="AA2824" s="2">
        <v>14959</v>
      </c>
      <c r="AB2824" s="1">
        <v>42382</v>
      </c>
      <c r="AC2824" t="s">
        <v>53</v>
      </c>
      <c r="AD2824" t="s">
        <v>53</v>
      </c>
      <c r="AK2824">
        <v>0</v>
      </c>
      <c r="AU2824" s="6">
        <v>42080</v>
      </c>
      <c r="AV2824" s="6">
        <v>42080</v>
      </c>
      <c r="AW2824" t="s">
        <v>54</v>
      </c>
      <c r="AX2824" t="str">
        <f t="shared" si="238"/>
        <v>FOR</v>
      </c>
      <c r="AY2824" t="s">
        <v>55</v>
      </c>
    </row>
    <row r="2825" spans="1:51" hidden="1">
      <c r="A2825">
        <v>100906</v>
      </c>
      <c r="B2825" t="s">
        <v>362</v>
      </c>
      <c r="C2825" t="str">
        <f t="shared" si="237"/>
        <v>06978161005</v>
      </c>
      <c r="D2825" t="str">
        <f t="shared" si="237"/>
        <v>06978161005</v>
      </c>
      <c r="E2825" t="s">
        <v>52</v>
      </c>
      <c r="F2825">
        <v>2015</v>
      </c>
      <c r="G2825">
        <v>60</v>
      </c>
      <c r="H2825" s="1">
        <v>42080</v>
      </c>
      <c r="I2825" s="1">
        <v>42080</v>
      </c>
      <c r="J2825" s="1">
        <v>42080</v>
      </c>
      <c r="K2825" s="1">
        <v>42140</v>
      </c>
      <c r="N2825" s="5"/>
      <c r="O2825" s="2">
        <v>14959.69</v>
      </c>
      <c r="P2825">
        <v>-60</v>
      </c>
      <c r="Q2825" s="2">
        <v>-897581.4</v>
      </c>
      <c r="R2825">
        <v>0</v>
      </c>
      <c r="V2825">
        <v>0</v>
      </c>
      <c r="W2825">
        <v>0</v>
      </c>
      <c r="X2825">
        <v>0</v>
      </c>
      <c r="Y2825" s="2">
        <v>14959.69</v>
      </c>
      <c r="Z2825" s="2">
        <v>14959.69</v>
      </c>
      <c r="AA2825" s="2">
        <v>14959.69</v>
      </c>
      <c r="AB2825" s="1">
        <v>42382</v>
      </c>
      <c r="AC2825" t="s">
        <v>53</v>
      </c>
      <c r="AD2825" t="s">
        <v>53</v>
      </c>
      <c r="AK2825">
        <v>0</v>
      </c>
      <c r="AU2825" s="6">
        <v>42080</v>
      </c>
      <c r="AV2825" s="6">
        <v>42080</v>
      </c>
      <c r="AW2825" t="s">
        <v>54</v>
      </c>
      <c r="AX2825" t="str">
        <f t="shared" si="238"/>
        <v>FOR</v>
      </c>
      <c r="AY2825" t="s">
        <v>55</v>
      </c>
    </row>
    <row r="2826" spans="1:51" hidden="1">
      <c r="A2826">
        <v>100906</v>
      </c>
      <c r="B2826" t="s">
        <v>362</v>
      </c>
      <c r="C2826" t="str">
        <f t="shared" si="237"/>
        <v>06978161005</v>
      </c>
      <c r="D2826" t="str">
        <f t="shared" si="237"/>
        <v>06978161005</v>
      </c>
      <c r="E2826" t="s">
        <v>52</v>
      </c>
      <c r="F2826">
        <v>2015</v>
      </c>
      <c r="G2826">
        <v>61</v>
      </c>
      <c r="H2826" s="1">
        <v>42080</v>
      </c>
      <c r="I2826" s="1">
        <v>42080</v>
      </c>
      <c r="J2826" s="1">
        <v>42080</v>
      </c>
      <c r="K2826" s="1">
        <v>42140</v>
      </c>
      <c r="N2826" s="5"/>
      <c r="O2826">
        <v>172.36</v>
      </c>
      <c r="P2826">
        <v>-60</v>
      </c>
      <c r="Q2826" s="2">
        <v>-10341.6</v>
      </c>
      <c r="R2826">
        <v>0</v>
      </c>
      <c r="V2826">
        <v>0</v>
      </c>
      <c r="W2826">
        <v>0</v>
      </c>
      <c r="X2826">
        <v>0</v>
      </c>
      <c r="Y2826">
        <v>172.36</v>
      </c>
      <c r="Z2826">
        <v>172.36</v>
      </c>
      <c r="AA2826">
        <v>172.36</v>
      </c>
      <c r="AB2826" s="1">
        <v>42382</v>
      </c>
      <c r="AC2826" t="s">
        <v>53</v>
      </c>
      <c r="AD2826" t="s">
        <v>53</v>
      </c>
      <c r="AK2826">
        <v>0</v>
      </c>
      <c r="AU2826" s="6">
        <v>42080</v>
      </c>
      <c r="AV2826" s="6">
        <v>42080</v>
      </c>
      <c r="AW2826" t="s">
        <v>54</v>
      </c>
      <c r="AX2826" t="str">
        <f t="shared" si="238"/>
        <v>FOR</v>
      </c>
      <c r="AY2826" t="s">
        <v>55</v>
      </c>
    </row>
    <row r="2827" spans="1:51" hidden="1">
      <c r="A2827">
        <v>100906</v>
      </c>
      <c r="B2827" t="s">
        <v>362</v>
      </c>
      <c r="C2827" t="str">
        <f t="shared" ref="C2827:D2846" si="239">"06978161005"</f>
        <v>06978161005</v>
      </c>
      <c r="D2827" t="str">
        <f t="shared" si="239"/>
        <v>06978161005</v>
      </c>
      <c r="E2827" t="s">
        <v>52</v>
      </c>
      <c r="F2827">
        <v>2015</v>
      </c>
      <c r="G2827">
        <v>62</v>
      </c>
      <c r="H2827" s="1">
        <v>42080</v>
      </c>
      <c r="I2827" s="1">
        <v>42080</v>
      </c>
      <c r="J2827" s="1">
        <v>42080</v>
      </c>
      <c r="K2827" s="1">
        <v>42140</v>
      </c>
      <c r="N2827" s="5"/>
      <c r="O2827">
        <v>126.2</v>
      </c>
      <c r="P2827">
        <v>-60</v>
      </c>
      <c r="Q2827" s="2">
        <v>-7572</v>
      </c>
      <c r="R2827">
        <v>0</v>
      </c>
      <c r="V2827">
        <v>0</v>
      </c>
      <c r="W2827">
        <v>0</v>
      </c>
      <c r="X2827">
        <v>0</v>
      </c>
      <c r="Y2827">
        <v>126.2</v>
      </c>
      <c r="Z2827">
        <v>126.2</v>
      </c>
      <c r="AA2827">
        <v>126.2</v>
      </c>
      <c r="AB2827" s="1">
        <v>42382</v>
      </c>
      <c r="AC2827" t="s">
        <v>53</v>
      </c>
      <c r="AD2827" t="s">
        <v>53</v>
      </c>
      <c r="AK2827">
        <v>0</v>
      </c>
      <c r="AU2827" s="6">
        <v>42080</v>
      </c>
      <c r="AV2827" s="6">
        <v>42080</v>
      </c>
      <c r="AW2827" t="s">
        <v>54</v>
      </c>
      <c r="AX2827" t="str">
        <f t="shared" si="238"/>
        <v>FOR</v>
      </c>
      <c r="AY2827" t="s">
        <v>55</v>
      </c>
    </row>
    <row r="2828" spans="1:51" hidden="1">
      <c r="A2828">
        <v>100906</v>
      </c>
      <c r="B2828" t="s">
        <v>362</v>
      </c>
      <c r="C2828" t="str">
        <f t="shared" si="239"/>
        <v>06978161005</v>
      </c>
      <c r="D2828" t="str">
        <f t="shared" si="239"/>
        <v>06978161005</v>
      </c>
      <c r="E2828" t="s">
        <v>52</v>
      </c>
      <c r="F2828">
        <v>2015</v>
      </c>
      <c r="G2828">
        <v>63</v>
      </c>
      <c r="H2828" s="1">
        <v>42080</v>
      </c>
      <c r="I2828" s="1">
        <v>42080</v>
      </c>
      <c r="J2828" s="1">
        <v>42080</v>
      </c>
      <c r="K2828" s="1">
        <v>42140</v>
      </c>
      <c r="N2828" s="5"/>
      <c r="O2828">
        <v>398.43</v>
      </c>
      <c r="P2828">
        <v>-60</v>
      </c>
      <c r="Q2828" s="2">
        <v>-23905.8</v>
      </c>
      <c r="R2828">
        <v>0</v>
      </c>
      <c r="V2828">
        <v>0</v>
      </c>
      <c r="W2828">
        <v>0</v>
      </c>
      <c r="X2828">
        <v>0</v>
      </c>
      <c r="Y2828">
        <v>398.43</v>
      </c>
      <c r="Z2828">
        <v>398.43</v>
      </c>
      <c r="AA2828">
        <v>398.43</v>
      </c>
      <c r="AB2828" s="1">
        <v>42382</v>
      </c>
      <c r="AC2828" t="s">
        <v>53</v>
      </c>
      <c r="AD2828" t="s">
        <v>53</v>
      </c>
      <c r="AK2828">
        <v>0</v>
      </c>
      <c r="AU2828" s="6">
        <v>42080</v>
      </c>
      <c r="AV2828" s="6">
        <v>42080</v>
      </c>
      <c r="AW2828" t="s">
        <v>54</v>
      </c>
      <c r="AX2828" t="str">
        <f t="shared" si="238"/>
        <v>FOR</v>
      </c>
      <c r="AY2828" t="s">
        <v>55</v>
      </c>
    </row>
    <row r="2829" spans="1:51" hidden="1">
      <c r="A2829">
        <v>100906</v>
      </c>
      <c r="B2829" t="s">
        <v>362</v>
      </c>
      <c r="C2829" t="str">
        <f t="shared" si="239"/>
        <v>06978161005</v>
      </c>
      <c r="D2829" t="str">
        <f t="shared" si="239"/>
        <v>06978161005</v>
      </c>
      <c r="E2829" t="s">
        <v>52</v>
      </c>
      <c r="F2829">
        <v>2015</v>
      </c>
      <c r="G2829">
        <v>64</v>
      </c>
      <c r="H2829" s="1">
        <v>42080</v>
      </c>
      <c r="I2829" s="1">
        <v>42080</v>
      </c>
      <c r="J2829" s="1">
        <v>42080</v>
      </c>
      <c r="K2829" s="1">
        <v>42140</v>
      </c>
      <c r="N2829" s="5"/>
      <c r="O2829">
        <v>97.35</v>
      </c>
      <c r="P2829">
        <v>-60</v>
      </c>
      <c r="Q2829" s="2">
        <v>-5841</v>
      </c>
      <c r="R2829">
        <v>0</v>
      </c>
      <c r="V2829">
        <v>0</v>
      </c>
      <c r="W2829">
        <v>0</v>
      </c>
      <c r="X2829">
        <v>0</v>
      </c>
      <c r="Y2829">
        <v>97.35</v>
      </c>
      <c r="Z2829">
        <v>97.35</v>
      </c>
      <c r="AA2829">
        <v>97.35</v>
      </c>
      <c r="AB2829" s="1">
        <v>42382</v>
      </c>
      <c r="AC2829" t="s">
        <v>53</v>
      </c>
      <c r="AD2829" t="s">
        <v>53</v>
      </c>
      <c r="AK2829">
        <v>0</v>
      </c>
      <c r="AU2829" s="6">
        <v>42080</v>
      </c>
      <c r="AV2829" s="6">
        <v>42080</v>
      </c>
      <c r="AW2829" t="s">
        <v>54</v>
      </c>
      <c r="AX2829" t="str">
        <f t="shared" si="238"/>
        <v>FOR</v>
      </c>
      <c r="AY2829" t="s">
        <v>55</v>
      </c>
    </row>
    <row r="2830" spans="1:51" hidden="1">
      <c r="A2830">
        <v>100906</v>
      </c>
      <c r="B2830" t="s">
        <v>362</v>
      </c>
      <c r="C2830" t="str">
        <f t="shared" si="239"/>
        <v>06978161005</v>
      </c>
      <c r="D2830" t="str">
        <f t="shared" si="239"/>
        <v>06978161005</v>
      </c>
      <c r="E2830" t="s">
        <v>52</v>
      </c>
      <c r="F2830">
        <v>2015</v>
      </c>
      <c r="G2830">
        <v>65</v>
      </c>
      <c r="H2830" s="1">
        <v>42080</v>
      </c>
      <c r="I2830" s="1">
        <v>42080</v>
      </c>
      <c r="J2830" s="1">
        <v>42080</v>
      </c>
      <c r="K2830" s="1">
        <v>42140</v>
      </c>
      <c r="N2830" s="5"/>
      <c r="O2830">
        <v>90</v>
      </c>
      <c r="P2830">
        <v>-60</v>
      </c>
      <c r="Q2830" s="2">
        <v>-5400</v>
      </c>
      <c r="R2830">
        <v>0</v>
      </c>
      <c r="V2830">
        <v>0</v>
      </c>
      <c r="W2830">
        <v>0</v>
      </c>
      <c r="X2830">
        <v>0</v>
      </c>
      <c r="Y2830">
        <v>90</v>
      </c>
      <c r="Z2830">
        <v>90</v>
      </c>
      <c r="AA2830">
        <v>90</v>
      </c>
      <c r="AB2830" s="1">
        <v>42382</v>
      </c>
      <c r="AC2830" t="s">
        <v>53</v>
      </c>
      <c r="AD2830" t="s">
        <v>53</v>
      </c>
      <c r="AK2830">
        <v>0</v>
      </c>
      <c r="AU2830" s="6">
        <v>42080</v>
      </c>
      <c r="AV2830" s="6">
        <v>42080</v>
      </c>
      <c r="AW2830" t="s">
        <v>54</v>
      </c>
      <c r="AX2830" t="str">
        <f t="shared" si="238"/>
        <v>FOR</v>
      </c>
      <c r="AY2830" t="s">
        <v>55</v>
      </c>
    </row>
    <row r="2831" spans="1:51" hidden="1">
      <c r="A2831">
        <v>100906</v>
      </c>
      <c r="B2831" t="s">
        <v>362</v>
      </c>
      <c r="C2831" t="str">
        <f t="shared" si="239"/>
        <v>06978161005</v>
      </c>
      <c r="D2831" t="str">
        <f t="shared" si="239"/>
        <v>06978161005</v>
      </c>
      <c r="E2831" t="s">
        <v>52</v>
      </c>
      <c r="F2831">
        <v>2015</v>
      </c>
      <c r="G2831">
        <v>84</v>
      </c>
      <c r="H2831" s="1">
        <v>42108</v>
      </c>
      <c r="I2831" s="1">
        <v>42108</v>
      </c>
      <c r="J2831" s="1">
        <v>42108</v>
      </c>
      <c r="K2831" s="1">
        <v>42168</v>
      </c>
      <c r="N2831" s="5"/>
      <c r="O2831">
        <v>4.0999999999999996</v>
      </c>
      <c r="P2831">
        <v>-57</v>
      </c>
      <c r="Q2831">
        <v>-233.7</v>
      </c>
      <c r="R2831">
        <v>0</v>
      </c>
      <c r="V2831">
        <v>0</v>
      </c>
      <c r="W2831">
        <v>0</v>
      </c>
      <c r="X2831">
        <v>0</v>
      </c>
      <c r="Y2831">
        <v>4.0999999999999996</v>
      </c>
      <c r="Z2831">
        <v>4.0999999999999996</v>
      </c>
      <c r="AA2831">
        <v>4.0999999999999996</v>
      </c>
      <c r="AB2831" s="1">
        <v>42382</v>
      </c>
      <c r="AC2831" t="s">
        <v>53</v>
      </c>
      <c r="AD2831" t="s">
        <v>53</v>
      </c>
      <c r="AK2831">
        <v>0</v>
      </c>
      <c r="AU2831" s="6">
        <v>42111</v>
      </c>
      <c r="AV2831" s="6">
        <v>42111</v>
      </c>
      <c r="AW2831" t="s">
        <v>54</v>
      </c>
      <c r="AX2831" t="str">
        <f t="shared" si="238"/>
        <v>FOR</v>
      </c>
      <c r="AY2831" t="s">
        <v>55</v>
      </c>
    </row>
    <row r="2832" spans="1:51" hidden="1">
      <c r="A2832">
        <v>100906</v>
      </c>
      <c r="B2832" t="s">
        <v>362</v>
      </c>
      <c r="C2832" t="str">
        <f t="shared" si="239"/>
        <v>06978161005</v>
      </c>
      <c r="D2832" t="str">
        <f t="shared" si="239"/>
        <v>06978161005</v>
      </c>
      <c r="E2832" t="s">
        <v>52</v>
      </c>
      <c r="F2832">
        <v>2015</v>
      </c>
      <c r="G2832">
        <v>85</v>
      </c>
      <c r="H2832" s="1">
        <v>42108</v>
      </c>
      <c r="I2832" s="1">
        <v>42108</v>
      </c>
      <c r="J2832" s="1">
        <v>42108</v>
      </c>
      <c r="K2832" s="1">
        <v>42168</v>
      </c>
      <c r="N2832" s="5"/>
      <c r="O2832">
        <v>206</v>
      </c>
      <c r="P2832">
        <v>-57</v>
      </c>
      <c r="Q2832" s="2">
        <v>-11742</v>
      </c>
      <c r="R2832">
        <v>0</v>
      </c>
      <c r="V2832">
        <v>0</v>
      </c>
      <c r="W2832">
        <v>0</v>
      </c>
      <c r="X2832">
        <v>0</v>
      </c>
      <c r="Y2832">
        <v>206</v>
      </c>
      <c r="Z2832">
        <v>206</v>
      </c>
      <c r="AA2832">
        <v>206</v>
      </c>
      <c r="AB2832" s="1">
        <v>42382</v>
      </c>
      <c r="AC2832" t="s">
        <v>53</v>
      </c>
      <c r="AD2832" t="s">
        <v>53</v>
      </c>
      <c r="AK2832">
        <v>0</v>
      </c>
      <c r="AU2832" s="6">
        <v>42111</v>
      </c>
      <c r="AV2832" s="6">
        <v>42111</v>
      </c>
      <c r="AW2832" t="s">
        <v>54</v>
      </c>
      <c r="AX2832" t="str">
        <f t="shared" si="238"/>
        <v>FOR</v>
      </c>
      <c r="AY2832" t="s">
        <v>55</v>
      </c>
    </row>
    <row r="2833" spans="1:51" hidden="1">
      <c r="A2833">
        <v>100906</v>
      </c>
      <c r="B2833" t="s">
        <v>362</v>
      </c>
      <c r="C2833" t="str">
        <f t="shared" si="239"/>
        <v>06978161005</v>
      </c>
      <c r="D2833" t="str">
        <f t="shared" si="239"/>
        <v>06978161005</v>
      </c>
      <c r="E2833" t="s">
        <v>52</v>
      </c>
      <c r="F2833">
        <v>2015</v>
      </c>
      <c r="G2833">
        <v>86</v>
      </c>
      <c r="H2833" s="1">
        <v>42108</v>
      </c>
      <c r="I2833" s="1">
        <v>42108</v>
      </c>
      <c r="J2833" s="1">
        <v>42108</v>
      </c>
      <c r="K2833" s="1">
        <v>42168</v>
      </c>
      <c r="N2833" s="5"/>
      <c r="O2833">
        <v>2</v>
      </c>
      <c r="P2833">
        <v>-57</v>
      </c>
      <c r="Q2833">
        <v>-114</v>
      </c>
      <c r="R2833">
        <v>0</v>
      </c>
      <c r="V2833">
        <v>0</v>
      </c>
      <c r="W2833">
        <v>0</v>
      </c>
      <c r="X2833">
        <v>0</v>
      </c>
      <c r="Y2833">
        <v>2</v>
      </c>
      <c r="Z2833">
        <v>2</v>
      </c>
      <c r="AA2833">
        <v>2</v>
      </c>
      <c r="AB2833" s="1">
        <v>42382</v>
      </c>
      <c r="AC2833" t="s">
        <v>53</v>
      </c>
      <c r="AD2833" t="s">
        <v>53</v>
      </c>
      <c r="AK2833">
        <v>0</v>
      </c>
      <c r="AU2833" s="6">
        <v>42111</v>
      </c>
      <c r="AV2833" s="6">
        <v>42111</v>
      </c>
      <c r="AW2833" t="s">
        <v>54</v>
      </c>
      <c r="AX2833" t="str">
        <f t="shared" si="238"/>
        <v>FOR</v>
      </c>
      <c r="AY2833" t="s">
        <v>55</v>
      </c>
    </row>
    <row r="2834" spans="1:51" hidden="1">
      <c r="A2834">
        <v>100906</v>
      </c>
      <c r="B2834" t="s">
        <v>362</v>
      </c>
      <c r="C2834" t="str">
        <f t="shared" si="239"/>
        <v>06978161005</v>
      </c>
      <c r="D2834" t="str">
        <f t="shared" si="239"/>
        <v>06978161005</v>
      </c>
      <c r="E2834" t="s">
        <v>52</v>
      </c>
      <c r="F2834">
        <v>2015</v>
      </c>
      <c r="G2834">
        <v>87</v>
      </c>
      <c r="H2834" s="1">
        <v>42108</v>
      </c>
      <c r="I2834" s="1">
        <v>42108</v>
      </c>
      <c r="J2834" s="1">
        <v>42108</v>
      </c>
      <c r="K2834" s="1">
        <v>42168</v>
      </c>
      <c r="N2834" s="5"/>
      <c r="O2834" s="2">
        <v>2996.13</v>
      </c>
      <c r="P2834">
        <v>-57</v>
      </c>
      <c r="Q2834" s="2">
        <v>-170779.41</v>
      </c>
      <c r="R2834">
        <v>0</v>
      </c>
      <c r="V2834">
        <v>0</v>
      </c>
      <c r="W2834">
        <v>0</v>
      </c>
      <c r="X2834">
        <v>0</v>
      </c>
      <c r="Y2834" s="2">
        <v>2996.13</v>
      </c>
      <c r="Z2834" s="2">
        <v>2996.13</v>
      </c>
      <c r="AA2834" s="2">
        <v>2996.13</v>
      </c>
      <c r="AB2834" s="1">
        <v>42382</v>
      </c>
      <c r="AC2834" t="s">
        <v>53</v>
      </c>
      <c r="AD2834" t="s">
        <v>53</v>
      </c>
      <c r="AK2834">
        <v>0</v>
      </c>
      <c r="AU2834" s="6">
        <v>42111</v>
      </c>
      <c r="AV2834" s="6">
        <v>42111</v>
      </c>
      <c r="AW2834" t="s">
        <v>54</v>
      </c>
      <c r="AX2834" t="str">
        <f t="shared" si="238"/>
        <v>FOR</v>
      </c>
      <c r="AY2834" t="s">
        <v>55</v>
      </c>
    </row>
    <row r="2835" spans="1:51" hidden="1">
      <c r="A2835">
        <v>100906</v>
      </c>
      <c r="B2835" t="s">
        <v>362</v>
      </c>
      <c r="C2835" t="str">
        <f t="shared" si="239"/>
        <v>06978161005</v>
      </c>
      <c r="D2835" t="str">
        <f t="shared" si="239"/>
        <v>06978161005</v>
      </c>
      <c r="E2835" t="s">
        <v>52</v>
      </c>
      <c r="F2835">
        <v>2015</v>
      </c>
      <c r="G2835">
        <v>88</v>
      </c>
      <c r="H2835" s="1">
        <v>42108</v>
      </c>
      <c r="I2835" s="1">
        <v>42108</v>
      </c>
      <c r="J2835" s="1">
        <v>42108</v>
      </c>
      <c r="K2835" s="1">
        <v>42168</v>
      </c>
      <c r="N2835" s="5"/>
      <c r="O2835" s="2">
        <v>14959.69</v>
      </c>
      <c r="P2835">
        <v>-57</v>
      </c>
      <c r="Q2835" s="2">
        <v>-852702.33</v>
      </c>
      <c r="R2835">
        <v>0</v>
      </c>
      <c r="V2835">
        <v>0</v>
      </c>
      <c r="W2835">
        <v>0</v>
      </c>
      <c r="X2835">
        <v>0</v>
      </c>
      <c r="Y2835" s="2">
        <v>14959.69</v>
      </c>
      <c r="Z2835" s="2">
        <v>14959.69</v>
      </c>
      <c r="AA2835" s="2">
        <v>14959.69</v>
      </c>
      <c r="AB2835" s="1">
        <v>42382</v>
      </c>
      <c r="AC2835" t="s">
        <v>53</v>
      </c>
      <c r="AD2835" t="s">
        <v>53</v>
      </c>
      <c r="AK2835">
        <v>0</v>
      </c>
      <c r="AU2835" s="6">
        <v>42111</v>
      </c>
      <c r="AV2835" s="6">
        <v>42111</v>
      </c>
      <c r="AW2835" t="s">
        <v>54</v>
      </c>
      <c r="AX2835" t="str">
        <f t="shared" si="238"/>
        <v>FOR</v>
      </c>
      <c r="AY2835" t="s">
        <v>55</v>
      </c>
    </row>
    <row r="2836" spans="1:51" hidden="1">
      <c r="A2836">
        <v>100906</v>
      </c>
      <c r="B2836" t="s">
        <v>362</v>
      </c>
      <c r="C2836" t="str">
        <f t="shared" si="239"/>
        <v>06978161005</v>
      </c>
      <c r="D2836" t="str">
        <f t="shared" si="239"/>
        <v>06978161005</v>
      </c>
      <c r="E2836" t="s">
        <v>52</v>
      </c>
      <c r="F2836">
        <v>2015</v>
      </c>
      <c r="G2836">
        <v>89</v>
      </c>
      <c r="H2836" s="1">
        <v>42108</v>
      </c>
      <c r="I2836" s="1">
        <v>42108</v>
      </c>
      <c r="J2836" s="1">
        <v>42108</v>
      </c>
      <c r="K2836" s="1">
        <v>42168</v>
      </c>
      <c r="N2836" s="5"/>
      <c r="O2836" s="2">
        <v>14959</v>
      </c>
      <c r="P2836">
        <v>-57</v>
      </c>
      <c r="Q2836" s="2">
        <v>-852663</v>
      </c>
      <c r="R2836">
        <v>0</v>
      </c>
      <c r="V2836">
        <v>0</v>
      </c>
      <c r="W2836">
        <v>0</v>
      </c>
      <c r="X2836">
        <v>0</v>
      </c>
      <c r="Y2836" s="2">
        <v>14959</v>
      </c>
      <c r="Z2836" s="2">
        <v>14959</v>
      </c>
      <c r="AA2836" s="2">
        <v>14959</v>
      </c>
      <c r="AB2836" s="1">
        <v>42382</v>
      </c>
      <c r="AC2836" t="s">
        <v>53</v>
      </c>
      <c r="AD2836" t="s">
        <v>53</v>
      </c>
      <c r="AK2836">
        <v>0</v>
      </c>
      <c r="AU2836" s="6">
        <v>42111</v>
      </c>
      <c r="AV2836" s="6">
        <v>42111</v>
      </c>
      <c r="AW2836" t="s">
        <v>54</v>
      </c>
      <c r="AX2836" t="str">
        <f t="shared" si="238"/>
        <v>FOR</v>
      </c>
      <c r="AY2836" t="s">
        <v>55</v>
      </c>
    </row>
    <row r="2837" spans="1:51" hidden="1">
      <c r="A2837">
        <v>100906</v>
      </c>
      <c r="B2837" t="s">
        <v>362</v>
      </c>
      <c r="C2837" t="str">
        <f t="shared" si="239"/>
        <v>06978161005</v>
      </c>
      <c r="D2837" t="str">
        <f t="shared" si="239"/>
        <v>06978161005</v>
      </c>
      <c r="E2837" t="s">
        <v>52</v>
      </c>
      <c r="F2837">
        <v>2015</v>
      </c>
      <c r="G2837">
        <v>106</v>
      </c>
      <c r="H2837" s="1">
        <v>42137</v>
      </c>
      <c r="I2837" s="1">
        <v>42137</v>
      </c>
      <c r="J2837" s="1">
        <v>42137</v>
      </c>
      <c r="K2837" s="1">
        <v>42197</v>
      </c>
      <c r="N2837" s="5"/>
      <c r="O2837">
        <v>612.80999999999995</v>
      </c>
      <c r="P2837">
        <v>-59</v>
      </c>
      <c r="Q2837" s="2">
        <v>-36155.79</v>
      </c>
      <c r="R2837">
        <v>0</v>
      </c>
      <c r="V2837">
        <v>0</v>
      </c>
      <c r="W2837">
        <v>0</v>
      </c>
      <c r="X2837">
        <v>0</v>
      </c>
      <c r="Y2837">
        <v>612.80999999999995</v>
      </c>
      <c r="Z2837">
        <v>612.80999999999995</v>
      </c>
      <c r="AA2837">
        <v>612.80999999999995</v>
      </c>
      <c r="AB2837" s="1">
        <v>42382</v>
      </c>
      <c r="AC2837" t="s">
        <v>53</v>
      </c>
      <c r="AD2837" t="s">
        <v>53</v>
      </c>
      <c r="AK2837">
        <v>0</v>
      </c>
      <c r="AU2837" s="6">
        <v>42138</v>
      </c>
      <c r="AV2837" s="6">
        <v>42138</v>
      </c>
      <c r="AW2837" t="s">
        <v>54</v>
      </c>
      <c r="AX2837" t="str">
        <f t="shared" si="238"/>
        <v>FOR</v>
      </c>
      <c r="AY2837" t="s">
        <v>55</v>
      </c>
    </row>
    <row r="2838" spans="1:51" hidden="1">
      <c r="A2838">
        <v>100906</v>
      </c>
      <c r="B2838" t="s">
        <v>362</v>
      </c>
      <c r="C2838" t="str">
        <f t="shared" si="239"/>
        <v>06978161005</v>
      </c>
      <c r="D2838" t="str">
        <f t="shared" si="239"/>
        <v>06978161005</v>
      </c>
      <c r="E2838" t="s">
        <v>52</v>
      </c>
      <c r="F2838">
        <v>2015</v>
      </c>
      <c r="G2838">
        <v>107</v>
      </c>
      <c r="H2838" s="1">
        <v>42137</v>
      </c>
      <c r="I2838" s="1">
        <v>42137</v>
      </c>
      <c r="J2838" s="1">
        <v>42137</v>
      </c>
      <c r="K2838" s="1">
        <v>42197</v>
      </c>
      <c r="N2838" s="5"/>
      <c r="O2838" s="2">
        <v>14959</v>
      </c>
      <c r="P2838">
        <v>-59</v>
      </c>
      <c r="Q2838" s="2">
        <v>-882581</v>
      </c>
      <c r="R2838">
        <v>0</v>
      </c>
      <c r="V2838">
        <v>0</v>
      </c>
      <c r="W2838">
        <v>0</v>
      </c>
      <c r="X2838">
        <v>0</v>
      </c>
      <c r="Y2838" s="2">
        <v>14959</v>
      </c>
      <c r="Z2838" s="2">
        <v>14959</v>
      </c>
      <c r="AA2838" s="2">
        <v>14959</v>
      </c>
      <c r="AB2838" s="1">
        <v>42382</v>
      </c>
      <c r="AC2838" t="s">
        <v>53</v>
      </c>
      <c r="AD2838" t="s">
        <v>53</v>
      </c>
      <c r="AK2838">
        <v>0</v>
      </c>
      <c r="AU2838" s="6">
        <v>42138</v>
      </c>
      <c r="AV2838" s="6">
        <v>42138</v>
      </c>
      <c r="AW2838" t="s">
        <v>54</v>
      </c>
      <c r="AX2838" t="str">
        <f t="shared" si="238"/>
        <v>FOR</v>
      </c>
      <c r="AY2838" t="s">
        <v>55</v>
      </c>
    </row>
    <row r="2839" spans="1:51" hidden="1">
      <c r="A2839">
        <v>100906</v>
      </c>
      <c r="B2839" t="s">
        <v>362</v>
      </c>
      <c r="C2839" t="str">
        <f t="shared" si="239"/>
        <v>06978161005</v>
      </c>
      <c r="D2839" t="str">
        <f t="shared" si="239"/>
        <v>06978161005</v>
      </c>
      <c r="E2839" t="s">
        <v>52</v>
      </c>
      <c r="F2839">
        <v>2015</v>
      </c>
      <c r="G2839">
        <v>108</v>
      </c>
      <c r="H2839" s="1">
        <v>42137</v>
      </c>
      <c r="I2839" s="1">
        <v>42137</v>
      </c>
      <c r="J2839" s="1">
        <v>42137</v>
      </c>
      <c r="K2839" s="1">
        <v>42197</v>
      </c>
      <c r="N2839" s="5"/>
      <c r="O2839" s="2">
        <v>14959.69</v>
      </c>
      <c r="P2839">
        <v>-59</v>
      </c>
      <c r="Q2839" s="2">
        <v>-882621.71</v>
      </c>
      <c r="R2839">
        <v>0</v>
      </c>
      <c r="V2839">
        <v>0</v>
      </c>
      <c r="W2839">
        <v>0</v>
      </c>
      <c r="X2839">
        <v>0</v>
      </c>
      <c r="Y2839" s="2">
        <v>14959.69</v>
      </c>
      <c r="Z2839" s="2">
        <v>14959.69</v>
      </c>
      <c r="AA2839" s="2">
        <v>14959.69</v>
      </c>
      <c r="AB2839" s="1">
        <v>42382</v>
      </c>
      <c r="AC2839" t="s">
        <v>53</v>
      </c>
      <c r="AD2839" t="s">
        <v>53</v>
      </c>
      <c r="AK2839">
        <v>0</v>
      </c>
      <c r="AU2839" s="6">
        <v>42138</v>
      </c>
      <c r="AV2839" s="6">
        <v>42138</v>
      </c>
      <c r="AW2839" t="s">
        <v>54</v>
      </c>
      <c r="AX2839" t="str">
        <f t="shared" si="238"/>
        <v>FOR</v>
      </c>
      <c r="AY2839" t="s">
        <v>55</v>
      </c>
    </row>
    <row r="2840" spans="1:51" hidden="1">
      <c r="A2840">
        <v>100906</v>
      </c>
      <c r="B2840" t="s">
        <v>362</v>
      </c>
      <c r="C2840" t="str">
        <f t="shared" si="239"/>
        <v>06978161005</v>
      </c>
      <c r="D2840" t="str">
        <f t="shared" si="239"/>
        <v>06978161005</v>
      </c>
      <c r="E2840" t="s">
        <v>52</v>
      </c>
      <c r="F2840">
        <v>2015</v>
      </c>
      <c r="G2840">
        <v>109</v>
      </c>
      <c r="H2840" s="1">
        <v>42137</v>
      </c>
      <c r="I2840" s="1">
        <v>42137</v>
      </c>
      <c r="J2840" s="1">
        <v>42137</v>
      </c>
      <c r="K2840" s="1">
        <v>42197</v>
      </c>
      <c r="N2840" s="5"/>
      <c r="O2840">
        <v>190.19</v>
      </c>
      <c r="P2840">
        <v>-59</v>
      </c>
      <c r="Q2840" s="2">
        <v>-11221.21</v>
      </c>
      <c r="R2840">
        <v>0</v>
      </c>
      <c r="V2840">
        <v>0</v>
      </c>
      <c r="W2840">
        <v>0</v>
      </c>
      <c r="X2840">
        <v>0</v>
      </c>
      <c r="Y2840">
        <v>190.19</v>
      </c>
      <c r="Z2840">
        <v>190.19</v>
      </c>
      <c r="AA2840">
        <v>190.19</v>
      </c>
      <c r="AB2840" s="1">
        <v>42382</v>
      </c>
      <c r="AC2840" t="s">
        <v>53</v>
      </c>
      <c r="AD2840" t="s">
        <v>53</v>
      </c>
      <c r="AK2840">
        <v>0</v>
      </c>
      <c r="AU2840" s="6">
        <v>42138</v>
      </c>
      <c r="AV2840" s="6">
        <v>42138</v>
      </c>
      <c r="AW2840" t="s">
        <v>54</v>
      </c>
      <c r="AX2840" t="str">
        <f t="shared" si="238"/>
        <v>FOR</v>
      </c>
      <c r="AY2840" t="s">
        <v>55</v>
      </c>
    </row>
    <row r="2841" spans="1:51" hidden="1">
      <c r="A2841">
        <v>100906</v>
      </c>
      <c r="B2841" t="s">
        <v>362</v>
      </c>
      <c r="C2841" t="str">
        <f t="shared" si="239"/>
        <v>06978161005</v>
      </c>
      <c r="D2841" t="str">
        <f t="shared" si="239"/>
        <v>06978161005</v>
      </c>
      <c r="E2841" t="s">
        <v>52</v>
      </c>
      <c r="F2841">
        <v>2015</v>
      </c>
      <c r="G2841">
        <v>110</v>
      </c>
      <c r="H2841" s="1">
        <v>42137</v>
      </c>
      <c r="I2841" s="1">
        <v>42137</v>
      </c>
      <c r="J2841" s="1">
        <v>42137</v>
      </c>
      <c r="K2841" s="1">
        <v>42197</v>
      </c>
      <c r="N2841" s="5"/>
      <c r="O2841">
        <v>161.74</v>
      </c>
      <c r="P2841">
        <v>-59</v>
      </c>
      <c r="Q2841" s="2">
        <v>-9542.66</v>
      </c>
      <c r="R2841">
        <v>0</v>
      </c>
      <c r="V2841">
        <v>0</v>
      </c>
      <c r="W2841">
        <v>0</v>
      </c>
      <c r="X2841">
        <v>0</v>
      </c>
      <c r="Y2841">
        <v>161.74</v>
      </c>
      <c r="Z2841">
        <v>161.74</v>
      </c>
      <c r="AA2841">
        <v>161.74</v>
      </c>
      <c r="AB2841" s="1">
        <v>42382</v>
      </c>
      <c r="AC2841" t="s">
        <v>53</v>
      </c>
      <c r="AD2841" t="s">
        <v>53</v>
      </c>
      <c r="AK2841">
        <v>0</v>
      </c>
      <c r="AU2841" s="6">
        <v>42138</v>
      </c>
      <c r="AV2841" s="6">
        <v>42138</v>
      </c>
      <c r="AW2841" t="s">
        <v>54</v>
      </c>
      <c r="AX2841" t="str">
        <f t="shared" si="238"/>
        <v>FOR</v>
      </c>
      <c r="AY2841" t="s">
        <v>55</v>
      </c>
    </row>
    <row r="2842" spans="1:51" hidden="1">
      <c r="A2842">
        <v>100906</v>
      </c>
      <c r="B2842" t="s">
        <v>362</v>
      </c>
      <c r="C2842" t="str">
        <f t="shared" si="239"/>
        <v>06978161005</v>
      </c>
      <c r="D2842" t="str">
        <f t="shared" si="239"/>
        <v>06978161005</v>
      </c>
      <c r="E2842" t="s">
        <v>52</v>
      </c>
      <c r="F2842">
        <v>2015</v>
      </c>
      <c r="G2842">
        <v>111</v>
      </c>
      <c r="H2842" s="1">
        <v>42137</v>
      </c>
      <c r="I2842" s="1">
        <v>42137</v>
      </c>
      <c r="J2842" s="1">
        <v>42137</v>
      </c>
      <c r="K2842" s="1">
        <v>42197</v>
      </c>
      <c r="N2842" s="5"/>
      <c r="O2842">
        <v>90</v>
      </c>
      <c r="P2842">
        <v>-59</v>
      </c>
      <c r="Q2842" s="2">
        <v>-5310</v>
      </c>
      <c r="R2842">
        <v>0</v>
      </c>
      <c r="V2842">
        <v>0</v>
      </c>
      <c r="W2842">
        <v>0</v>
      </c>
      <c r="X2842">
        <v>0</v>
      </c>
      <c r="Y2842">
        <v>90</v>
      </c>
      <c r="Z2842">
        <v>90</v>
      </c>
      <c r="AA2842">
        <v>90</v>
      </c>
      <c r="AB2842" s="1">
        <v>42382</v>
      </c>
      <c r="AC2842" t="s">
        <v>53</v>
      </c>
      <c r="AD2842" t="s">
        <v>53</v>
      </c>
      <c r="AK2842">
        <v>0</v>
      </c>
      <c r="AU2842" s="6">
        <v>42138</v>
      </c>
      <c r="AV2842" s="6">
        <v>42138</v>
      </c>
      <c r="AW2842" t="s">
        <v>54</v>
      </c>
      <c r="AX2842" t="str">
        <f t="shared" si="238"/>
        <v>FOR</v>
      </c>
      <c r="AY2842" t="s">
        <v>55</v>
      </c>
    </row>
    <row r="2843" spans="1:51" hidden="1">
      <c r="A2843">
        <v>100906</v>
      </c>
      <c r="B2843" t="s">
        <v>362</v>
      </c>
      <c r="C2843" t="str">
        <f t="shared" si="239"/>
        <v>06978161005</v>
      </c>
      <c r="D2843" t="str">
        <f t="shared" si="239"/>
        <v>06978161005</v>
      </c>
      <c r="E2843" t="s">
        <v>52</v>
      </c>
      <c r="F2843">
        <v>2015</v>
      </c>
      <c r="G2843">
        <v>112</v>
      </c>
      <c r="H2843" s="1">
        <v>42137</v>
      </c>
      <c r="I2843" s="1">
        <v>42137</v>
      </c>
      <c r="J2843" s="1">
        <v>42137</v>
      </c>
      <c r="K2843" s="1">
        <v>42197</v>
      </c>
      <c r="N2843" s="5"/>
      <c r="O2843">
        <v>90.47</v>
      </c>
      <c r="P2843">
        <v>-59</v>
      </c>
      <c r="Q2843" s="2">
        <v>-5337.73</v>
      </c>
      <c r="R2843">
        <v>0</v>
      </c>
      <c r="V2843">
        <v>0</v>
      </c>
      <c r="W2843">
        <v>0</v>
      </c>
      <c r="X2843">
        <v>0</v>
      </c>
      <c r="Y2843">
        <v>90.47</v>
      </c>
      <c r="Z2843">
        <v>90.47</v>
      </c>
      <c r="AA2843">
        <v>90.47</v>
      </c>
      <c r="AB2843" s="1">
        <v>42382</v>
      </c>
      <c r="AC2843" t="s">
        <v>53</v>
      </c>
      <c r="AD2843" t="s">
        <v>53</v>
      </c>
      <c r="AK2843">
        <v>0</v>
      </c>
      <c r="AU2843" s="6">
        <v>42138</v>
      </c>
      <c r="AV2843" s="6">
        <v>42138</v>
      </c>
      <c r="AW2843" t="s">
        <v>54</v>
      </c>
      <c r="AX2843" t="str">
        <f t="shared" si="238"/>
        <v>FOR</v>
      </c>
      <c r="AY2843" t="s">
        <v>55</v>
      </c>
    </row>
    <row r="2844" spans="1:51" hidden="1">
      <c r="A2844">
        <v>100906</v>
      </c>
      <c r="B2844" t="s">
        <v>362</v>
      </c>
      <c r="C2844" t="str">
        <f t="shared" si="239"/>
        <v>06978161005</v>
      </c>
      <c r="D2844" t="str">
        <f t="shared" si="239"/>
        <v>06978161005</v>
      </c>
      <c r="E2844" t="s">
        <v>52</v>
      </c>
      <c r="F2844">
        <v>2015</v>
      </c>
      <c r="G2844">
        <v>113</v>
      </c>
      <c r="H2844" s="1">
        <v>42137</v>
      </c>
      <c r="I2844" s="1">
        <v>42137</v>
      </c>
      <c r="J2844" s="1">
        <v>42137</v>
      </c>
      <c r="K2844" s="1">
        <v>42197</v>
      </c>
      <c r="N2844" s="5"/>
      <c r="O2844">
        <v>448.69</v>
      </c>
      <c r="P2844">
        <v>-59</v>
      </c>
      <c r="Q2844" s="2">
        <v>-26472.71</v>
      </c>
      <c r="R2844">
        <v>0</v>
      </c>
      <c r="V2844">
        <v>0</v>
      </c>
      <c r="W2844">
        <v>0</v>
      </c>
      <c r="X2844">
        <v>0</v>
      </c>
      <c r="Y2844">
        <v>448.69</v>
      </c>
      <c r="Z2844">
        <v>448.69</v>
      </c>
      <c r="AA2844">
        <v>448.69</v>
      </c>
      <c r="AB2844" s="1">
        <v>42382</v>
      </c>
      <c r="AC2844" t="s">
        <v>53</v>
      </c>
      <c r="AD2844" t="s">
        <v>53</v>
      </c>
      <c r="AK2844">
        <v>0</v>
      </c>
      <c r="AU2844" s="6">
        <v>42138</v>
      </c>
      <c r="AV2844" s="6">
        <v>42138</v>
      </c>
      <c r="AW2844" t="s">
        <v>54</v>
      </c>
      <c r="AX2844" t="str">
        <f t="shared" si="238"/>
        <v>FOR</v>
      </c>
      <c r="AY2844" t="s">
        <v>55</v>
      </c>
    </row>
    <row r="2845" spans="1:51" hidden="1">
      <c r="A2845">
        <v>100906</v>
      </c>
      <c r="B2845" t="s">
        <v>362</v>
      </c>
      <c r="C2845" t="str">
        <f t="shared" si="239"/>
        <v>06978161005</v>
      </c>
      <c r="D2845" t="str">
        <f t="shared" si="239"/>
        <v>06978161005</v>
      </c>
      <c r="E2845" t="s">
        <v>52</v>
      </c>
      <c r="F2845">
        <v>2015</v>
      </c>
      <c r="G2845">
        <v>114</v>
      </c>
      <c r="H2845" s="1">
        <v>42138</v>
      </c>
      <c r="I2845" s="1">
        <v>42138</v>
      </c>
      <c r="J2845" s="1">
        <v>42138</v>
      </c>
      <c r="K2845" s="1">
        <v>42198</v>
      </c>
      <c r="N2845" s="5"/>
      <c r="O2845">
        <v>392.56</v>
      </c>
      <c r="P2845">
        <v>-60</v>
      </c>
      <c r="Q2845" s="2">
        <v>-23553.599999999999</v>
      </c>
      <c r="R2845">
        <v>0</v>
      </c>
      <c r="V2845">
        <v>0</v>
      </c>
      <c r="W2845">
        <v>0</v>
      </c>
      <c r="X2845">
        <v>0</v>
      </c>
      <c r="Y2845">
        <v>392.56</v>
      </c>
      <c r="Z2845">
        <v>392.56</v>
      </c>
      <c r="AA2845">
        <v>392.56</v>
      </c>
      <c r="AB2845" s="1">
        <v>42382</v>
      </c>
      <c r="AC2845" t="s">
        <v>53</v>
      </c>
      <c r="AD2845" t="s">
        <v>53</v>
      </c>
      <c r="AK2845">
        <v>0</v>
      </c>
      <c r="AU2845" s="6">
        <v>42138</v>
      </c>
      <c r="AV2845" s="6">
        <v>42138</v>
      </c>
      <c r="AW2845" t="s">
        <v>54</v>
      </c>
      <c r="AX2845" t="str">
        <f t="shared" si="238"/>
        <v>FOR</v>
      </c>
      <c r="AY2845" t="s">
        <v>55</v>
      </c>
    </row>
    <row r="2846" spans="1:51" hidden="1">
      <c r="A2846">
        <v>100906</v>
      </c>
      <c r="B2846" t="s">
        <v>362</v>
      </c>
      <c r="C2846" t="str">
        <f t="shared" si="239"/>
        <v>06978161005</v>
      </c>
      <c r="D2846" t="str">
        <f t="shared" si="239"/>
        <v>06978161005</v>
      </c>
      <c r="E2846" t="s">
        <v>52</v>
      </c>
      <c r="F2846">
        <v>2015</v>
      </c>
      <c r="G2846">
        <v>115</v>
      </c>
      <c r="H2846" s="1">
        <v>42138</v>
      </c>
      <c r="I2846" s="1">
        <v>42138</v>
      </c>
      <c r="J2846" s="1">
        <v>42138</v>
      </c>
      <c r="K2846" s="1">
        <v>42198</v>
      </c>
      <c r="N2846" s="5"/>
      <c r="O2846">
        <v>169.37</v>
      </c>
      <c r="P2846">
        <v>-60</v>
      </c>
      <c r="Q2846" s="2">
        <v>-10162.200000000001</v>
      </c>
      <c r="R2846">
        <v>0</v>
      </c>
      <c r="V2846">
        <v>0</v>
      </c>
      <c r="W2846">
        <v>0</v>
      </c>
      <c r="X2846">
        <v>0</v>
      </c>
      <c r="Y2846">
        <v>169.37</v>
      </c>
      <c r="Z2846">
        <v>169.37</v>
      </c>
      <c r="AA2846">
        <v>169.37</v>
      </c>
      <c r="AB2846" s="1">
        <v>42382</v>
      </c>
      <c r="AC2846" t="s">
        <v>53</v>
      </c>
      <c r="AD2846" t="s">
        <v>53</v>
      </c>
      <c r="AK2846">
        <v>0</v>
      </c>
      <c r="AU2846" s="6">
        <v>42138</v>
      </c>
      <c r="AV2846" s="6">
        <v>42138</v>
      </c>
      <c r="AW2846" t="s">
        <v>54</v>
      </c>
      <c r="AX2846" t="str">
        <f t="shared" si="238"/>
        <v>FOR</v>
      </c>
      <c r="AY2846" t="s">
        <v>55</v>
      </c>
    </row>
    <row r="2847" spans="1:51" hidden="1">
      <c r="A2847">
        <v>100906</v>
      </c>
      <c r="B2847" t="s">
        <v>362</v>
      </c>
      <c r="C2847" t="str">
        <f t="shared" ref="C2847:D2866" si="240">"06978161005"</f>
        <v>06978161005</v>
      </c>
      <c r="D2847" t="str">
        <f t="shared" si="240"/>
        <v>06978161005</v>
      </c>
      <c r="E2847" t="s">
        <v>52</v>
      </c>
      <c r="F2847">
        <v>2015</v>
      </c>
      <c r="G2847">
        <v>116</v>
      </c>
      <c r="H2847" s="1">
        <v>42138</v>
      </c>
      <c r="I2847" s="1">
        <v>42138</v>
      </c>
      <c r="J2847" s="1">
        <v>42138</v>
      </c>
      <c r="K2847" s="1">
        <v>42198</v>
      </c>
      <c r="N2847" s="5"/>
      <c r="O2847">
        <v>159.53</v>
      </c>
      <c r="P2847">
        <v>-60</v>
      </c>
      <c r="Q2847" s="2">
        <v>-9571.7999999999993</v>
      </c>
      <c r="R2847">
        <v>0</v>
      </c>
      <c r="V2847">
        <v>0</v>
      </c>
      <c r="W2847">
        <v>0</v>
      </c>
      <c r="X2847">
        <v>0</v>
      </c>
      <c r="Y2847">
        <v>159.53</v>
      </c>
      <c r="Z2847">
        <v>159.53</v>
      </c>
      <c r="AA2847">
        <v>159.53</v>
      </c>
      <c r="AB2847" s="1">
        <v>42382</v>
      </c>
      <c r="AC2847" t="s">
        <v>53</v>
      </c>
      <c r="AD2847" t="s">
        <v>53</v>
      </c>
      <c r="AK2847">
        <v>0</v>
      </c>
      <c r="AU2847" s="6">
        <v>42138</v>
      </c>
      <c r="AV2847" s="6">
        <v>42138</v>
      </c>
      <c r="AW2847" t="s">
        <v>54</v>
      </c>
      <c r="AX2847" t="str">
        <f t="shared" si="238"/>
        <v>FOR</v>
      </c>
      <c r="AY2847" t="s">
        <v>55</v>
      </c>
    </row>
    <row r="2848" spans="1:51" hidden="1">
      <c r="A2848">
        <v>100906</v>
      </c>
      <c r="B2848" t="s">
        <v>362</v>
      </c>
      <c r="C2848" t="str">
        <f t="shared" si="240"/>
        <v>06978161005</v>
      </c>
      <c r="D2848" t="str">
        <f t="shared" si="240"/>
        <v>06978161005</v>
      </c>
      <c r="E2848" t="s">
        <v>52</v>
      </c>
      <c r="F2848">
        <v>2015</v>
      </c>
      <c r="G2848">
        <v>117</v>
      </c>
      <c r="H2848" s="1">
        <v>42138</v>
      </c>
      <c r="I2848" s="1">
        <v>42138</v>
      </c>
      <c r="J2848" s="1">
        <v>42138</v>
      </c>
      <c r="K2848" s="1">
        <v>42198</v>
      </c>
      <c r="N2848" s="5"/>
      <c r="O2848">
        <v>79.67</v>
      </c>
      <c r="P2848">
        <v>-60</v>
      </c>
      <c r="Q2848" s="2">
        <v>-4780.2</v>
      </c>
      <c r="R2848">
        <v>0</v>
      </c>
      <c r="V2848">
        <v>0</v>
      </c>
      <c r="W2848">
        <v>0</v>
      </c>
      <c r="X2848">
        <v>0</v>
      </c>
      <c r="Y2848">
        <v>79.67</v>
      </c>
      <c r="Z2848">
        <v>79.67</v>
      </c>
      <c r="AA2848">
        <v>79.67</v>
      </c>
      <c r="AB2848" s="1">
        <v>42382</v>
      </c>
      <c r="AC2848" t="s">
        <v>53</v>
      </c>
      <c r="AD2848" t="s">
        <v>53</v>
      </c>
      <c r="AK2848">
        <v>0</v>
      </c>
      <c r="AU2848" s="6">
        <v>42138</v>
      </c>
      <c r="AV2848" s="6">
        <v>42138</v>
      </c>
      <c r="AW2848" t="s">
        <v>54</v>
      </c>
      <c r="AX2848" t="str">
        <f t="shared" si="238"/>
        <v>FOR</v>
      </c>
      <c r="AY2848" t="s">
        <v>55</v>
      </c>
    </row>
    <row r="2849" spans="1:51" hidden="1">
      <c r="A2849">
        <v>100906</v>
      </c>
      <c r="B2849" t="s">
        <v>362</v>
      </c>
      <c r="C2849" t="str">
        <f t="shared" si="240"/>
        <v>06978161005</v>
      </c>
      <c r="D2849" t="str">
        <f t="shared" si="240"/>
        <v>06978161005</v>
      </c>
      <c r="E2849" t="s">
        <v>52</v>
      </c>
      <c r="F2849">
        <v>2015</v>
      </c>
      <c r="G2849">
        <v>118</v>
      </c>
      <c r="H2849" s="1">
        <v>42138</v>
      </c>
      <c r="I2849" s="1">
        <v>42138</v>
      </c>
      <c r="J2849" s="1">
        <v>42138</v>
      </c>
      <c r="K2849" s="1">
        <v>42198</v>
      </c>
      <c r="N2849" s="5"/>
      <c r="O2849">
        <v>90</v>
      </c>
      <c r="P2849">
        <v>-60</v>
      </c>
      <c r="Q2849" s="2">
        <v>-5400</v>
      </c>
      <c r="R2849">
        <v>0</v>
      </c>
      <c r="V2849">
        <v>0</v>
      </c>
      <c r="W2849">
        <v>0</v>
      </c>
      <c r="X2849">
        <v>0</v>
      </c>
      <c r="Y2849">
        <v>90</v>
      </c>
      <c r="Z2849">
        <v>90</v>
      </c>
      <c r="AA2849">
        <v>90</v>
      </c>
      <c r="AB2849" s="1">
        <v>42382</v>
      </c>
      <c r="AC2849" t="s">
        <v>53</v>
      </c>
      <c r="AD2849" t="s">
        <v>53</v>
      </c>
      <c r="AK2849">
        <v>0</v>
      </c>
      <c r="AU2849" s="6">
        <v>42138</v>
      </c>
      <c r="AV2849" s="6">
        <v>42138</v>
      </c>
      <c r="AW2849" t="s">
        <v>54</v>
      </c>
      <c r="AX2849" t="str">
        <f t="shared" si="238"/>
        <v>FOR</v>
      </c>
      <c r="AY2849" t="s">
        <v>55</v>
      </c>
    </row>
    <row r="2850" spans="1:51" hidden="1">
      <c r="A2850">
        <v>100906</v>
      </c>
      <c r="B2850" t="s">
        <v>362</v>
      </c>
      <c r="C2850" t="str">
        <f t="shared" si="240"/>
        <v>06978161005</v>
      </c>
      <c r="D2850" t="str">
        <f t="shared" si="240"/>
        <v>06978161005</v>
      </c>
      <c r="E2850" t="s">
        <v>52</v>
      </c>
      <c r="F2850">
        <v>2015</v>
      </c>
      <c r="G2850">
        <v>122</v>
      </c>
      <c r="H2850" s="1">
        <v>42142</v>
      </c>
      <c r="I2850" s="1">
        <v>42142</v>
      </c>
      <c r="J2850" s="1">
        <v>42142</v>
      </c>
      <c r="K2850" s="1">
        <v>42202</v>
      </c>
      <c r="N2850" s="5"/>
      <c r="O2850">
        <v>10.63</v>
      </c>
      <c r="P2850">
        <v>-60</v>
      </c>
      <c r="Q2850">
        <v>-637.79999999999995</v>
      </c>
      <c r="R2850">
        <v>0</v>
      </c>
      <c r="V2850">
        <v>0</v>
      </c>
      <c r="W2850">
        <v>0</v>
      </c>
      <c r="X2850">
        <v>0</v>
      </c>
      <c r="Y2850">
        <v>10.63</v>
      </c>
      <c r="Z2850">
        <v>10.63</v>
      </c>
      <c r="AA2850">
        <v>10.63</v>
      </c>
      <c r="AB2850" s="1">
        <v>42382</v>
      </c>
      <c r="AC2850" t="s">
        <v>53</v>
      </c>
      <c r="AD2850" t="s">
        <v>53</v>
      </c>
      <c r="AK2850">
        <v>0</v>
      </c>
      <c r="AU2850" s="6">
        <v>42142</v>
      </c>
      <c r="AV2850" s="6">
        <v>42142</v>
      </c>
      <c r="AW2850" t="s">
        <v>54</v>
      </c>
      <c r="AX2850" t="str">
        <f t="shared" si="238"/>
        <v>FOR</v>
      </c>
      <c r="AY2850" t="s">
        <v>55</v>
      </c>
    </row>
    <row r="2851" spans="1:51" hidden="1">
      <c r="A2851">
        <v>100906</v>
      </c>
      <c r="B2851" t="s">
        <v>362</v>
      </c>
      <c r="C2851" t="str">
        <f t="shared" si="240"/>
        <v>06978161005</v>
      </c>
      <c r="D2851" t="str">
        <f t="shared" si="240"/>
        <v>06978161005</v>
      </c>
      <c r="E2851" t="s">
        <v>52</v>
      </c>
      <c r="F2851">
        <v>2015</v>
      </c>
      <c r="G2851">
        <v>123</v>
      </c>
      <c r="H2851" s="1">
        <v>42142</v>
      </c>
      <c r="I2851" s="1">
        <v>42142</v>
      </c>
      <c r="J2851" s="1">
        <v>42142</v>
      </c>
      <c r="K2851" s="1">
        <v>42202</v>
      </c>
      <c r="N2851" s="5"/>
      <c r="O2851">
        <v>0.91</v>
      </c>
      <c r="P2851">
        <v>-60</v>
      </c>
      <c r="Q2851">
        <v>-54.6</v>
      </c>
      <c r="R2851">
        <v>0</v>
      </c>
      <c r="V2851">
        <v>0</v>
      </c>
      <c r="W2851">
        <v>0</v>
      </c>
      <c r="X2851">
        <v>0</v>
      </c>
      <c r="Y2851">
        <v>0.91</v>
      </c>
      <c r="Z2851">
        <v>0.91</v>
      </c>
      <c r="AA2851">
        <v>0.91</v>
      </c>
      <c r="AB2851" s="1">
        <v>42382</v>
      </c>
      <c r="AC2851" t="s">
        <v>53</v>
      </c>
      <c r="AD2851" t="s">
        <v>53</v>
      </c>
      <c r="AK2851">
        <v>0</v>
      </c>
      <c r="AU2851" s="6">
        <v>42142</v>
      </c>
      <c r="AV2851" s="6">
        <v>42142</v>
      </c>
      <c r="AW2851" t="s">
        <v>54</v>
      </c>
      <c r="AX2851" t="str">
        <f t="shared" si="238"/>
        <v>FOR</v>
      </c>
      <c r="AY2851" t="s">
        <v>55</v>
      </c>
    </row>
    <row r="2852" spans="1:51" hidden="1">
      <c r="A2852">
        <v>100906</v>
      </c>
      <c r="B2852" t="s">
        <v>362</v>
      </c>
      <c r="C2852" t="str">
        <f t="shared" si="240"/>
        <v>06978161005</v>
      </c>
      <c r="D2852" t="str">
        <f t="shared" si="240"/>
        <v>06978161005</v>
      </c>
      <c r="E2852" t="s">
        <v>52</v>
      </c>
      <c r="F2852">
        <v>2015</v>
      </c>
      <c r="G2852">
        <v>138</v>
      </c>
      <c r="H2852" s="1">
        <v>42174</v>
      </c>
      <c r="I2852" s="1">
        <v>42174</v>
      </c>
      <c r="J2852" s="1">
        <v>42174</v>
      </c>
      <c r="K2852" s="1">
        <v>42234</v>
      </c>
      <c r="N2852" s="5"/>
      <c r="O2852">
        <v>90</v>
      </c>
      <c r="P2852">
        <v>-56</v>
      </c>
      <c r="Q2852" s="2">
        <v>-5040</v>
      </c>
      <c r="R2852">
        <v>0</v>
      </c>
      <c r="V2852">
        <v>0</v>
      </c>
      <c r="W2852">
        <v>0</v>
      </c>
      <c r="X2852">
        <v>0</v>
      </c>
      <c r="Y2852">
        <v>90</v>
      </c>
      <c r="Z2852">
        <v>90</v>
      </c>
      <c r="AA2852">
        <v>90</v>
      </c>
      <c r="AB2852" s="1">
        <v>42382</v>
      </c>
      <c r="AC2852" t="s">
        <v>53</v>
      </c>
      <c r="AD2852" t="s">
        <v>53</v>
      </c>
      <c r="AK2852">
        <v>0</v>
      </c>
      <c r="AU2852" s="6">
        <v>42178</v>
      </c>
      <c r="AV2852" s="6">
        <v>42178</v>
      </c>
      <c r="AW2852" t="s">
        <v>54</v>
      </c>
      <c r="AX2852" t="str">
        <f t="shared" si="238"/>
        <v>FOR</v>
      </c>
      <c r="AY2852" t="s">
        <v>55</v>
      </c>
    </row>
    <row r="2853" spans="1:51" hidden="1">
      <c r="A2853">
        <v>100906</v>
      </c>
      <c r="B2853" t="s">
        <v>362</v>
      </c>
      <c r="C2853" t="str">
        <f t="shared" si="240"/>
        <v>06978161005</v>
      </c>
      <c r="D2853" t="str">
        <f t="shared" si="240"/>
        <v>06978161005</v>
      </c>
      <c r="E2853" t="s">
        <v>52</v>
      </c>
      <c r="F2853">
        <v>2015</v>
      </c>
      <c r="G2853">
        <v>139</v>
      </c>
      <c r="H2853" s="1">
        <v>42174</v>
      </c>
      <c r="I2853" s="1">
        <v>42174</v>
      </c>
      <c r="J2853" s="1">
        <v>42174</v>
      </c>
      <c r="K2853" s="1">
        <v>42234</v>
      </c>
      <c r="N2853" s="5"/>
      <c r="O2853">
        <v>101.71</v>
      </c>
      <c r="P2853">
        <v>-56</v>
      </c>
      <c r="Q2853" s="2">
        <v>-5695.76</v>
      </c>
      <c r="R2853">
        <v>0</v>
      </c>
      <c r="V2853">
        <v>0</v>
      </c>
      <c r="W2853">
        <v>0</v>
      </c>
      <c r="X2853">
        <v>0</v>
      </c>
      <c r="Y2853">
        <v>101.71</v>
      </c>
      <c r="Z2853">
        <v>101.71</v>
      </c>
      <c r="AA2853">
        <v>101.71</v>
      </c>
      <c r="AB2853" s="1">
        <v>42382</v>
      </c>
      <c r="AC2853" t="s">
        <v>53</v>
      </c>
      <c r="AD2853" t="s">
        <v>53</v>
      </c>
      <c r="AK2853">
        <v>0</v>
      </c>
      <c r="AU2853" s="6">
        <v>42178</v>
      </c>
      <c r="AV2853" s="6">
        <v>42178</v>
      </c>
      <c r="AW2853" t="s">
        <v>54</v>
      </c>
      <c r="AX2853" t="str">
        <f t="shared" si="238"/>
        <v>FOR</v>
      </c>
      <c r="AY2853" t="s">
        <v>55</v>
      </c>
    </row>
    <row r="2854" spans="1:51" hidden="1">
      <c r="A2854">
        <v>100906</v>
      </c>
      <c r="B2854" t="s">
        <v>362</v>
      </c>
      <c r="C2854" t="str">
        <f t="shared" si="240"/>
        <v>06978161005</v>
      </c>
      <c r="D2854" t="str">
        <f t="shared" si="240"/>
        <v>06978161005</v>
      </c>
      <c r="E2854" t="s">
        <v>52</v>
      </c>
      <c r="F2854">
        <v>2015</v>
      </c>
      <c r="G2854">
        <v>140</v>
      </c>
      <c r="H2854" s="1">
        <v>42174</v>
      </c>
      <c r="I2854" s="1">
        <v>42174</v>
      </c>
      <c r="J2854" s="1">
        <v>42174</v>
      </c>
      <c r="K2854" s="1">
        <v>42234</v>
      </c>
      <c r="N2854" s="5"/>
      <c r="O2854">
        <v>367.46</v>
      </c>
      <c r="P2854">
        <v>-56</v>
      </c>
      <c r="Q2854" s="2">
        <v>-20577.759999999998</v>
      </c>
      <c r="R2854">
        <v>0</v>
      </c>
      <c r="V2854">
        <v>0</v>
      </c>
      <c r="W2854">
        <v>0</v>
      </c>
      <c r="X2854">
        <v>0</v>
      </c>
      <c r="Y2854">
        <v>367.46</v>
      </c>
      <c r="Z2854">
        <v>367.46</v>
      </c>
      <c r="AA2854">
        <v>367.46</v>
      </c>
      <c r="AB2854" s="1">
        <v>42382</v>
      </c>
      <c r="AC2854" t="s">
        <v>53</v>
      </c>
      <c r="AD2854" t="s">
        <v>53</v>
      </c>
      <c r="AK2854">
        <v>0</v>
      </c>
      <c r="AU2854" s="6">
        <v>42178</v>
      </c>
      <c r="AV2854" s="6">
        <v>42178</v>
      </c>
      <c r="AW2854" t="s">
        <v>54</v>
      </c>
      <c r="AX2854" t="str">
        <f t="shared" si="238"/>
        <v>FOR</v>
      </c>
      <c r="AY2854" t="s">
        <v>55</v>
      </c>
    </row>
    <row r="2855" spans="1:51" hidden="1">
      <c r="A2855">
        <v>100906</v>
      </c>
      <c r="B2855" t="s">
        <v>362</v>
      </c>
      <c r="C2855" t="str">
        <f t="shared" si="240"/>
        <v>06978161005</v>
      </c>
      <c r="D2855" t="str">
        <f t="shared" si="240"/>
        <v>06978161005</v>
      </c>
      <c r="E2855" t="s">
        <v>52</v>
      </c>
      <c r="F2855">
        <v>2015</v>
      </c>
      <c r="G2855">
        <v>141</v>
      </c>
      <c r="H2855" s="1">
        <v>42174</v>
      </c>
      <c r="I2855" s="1">
        <v>42174</v>
      </c>
      <c r="J2855" s="1">
        <v>42174</v>
      </c>
      <c r="K2855" s="1">
        <v>42234</v>
      </c>
      <c r="N2855" s="5"/>
      <c r="O2855">
        <v>93.57</v>
      </c>
      <c r="P2855">
        <v>-56</v>
      </c>
      <c r="Q2855" s="2">
        <v>-5239.92</v>
      </c>
      <c r="R2855">
        <v>0</v>
      </c>
      <c r="V2855">
        <v>0</v>
      </c>
      <c r="W2855">
        <v>0</v>
      </c>
      <c r="X2855">
        <v>0</v>
      </c>
      <c r="Y2855">
        <v>93.57</v>
      </c>
      <c r="Z2855">
        <v>93.57</v>
      </c>
      <c r="AA2855">
        <v>93.57</v>
      </c>
      <c r="AB2855" s="1">
        <v>42382</v>
      </c>
      <c r="AC2855" t="s">
        <v>53</v>
      </c>
      <c r="AD2855" t="s">
        <v>53</v>
      </c>
      <c r="AK2855">
        <v>0</v>
      </c>
      <c r="AU2855" s="6">
        <v>42178</v>
      </c>
      <c r="AV2855" s="6">
        <v>42178</v>
      </c>
      <c r="AW2855" t="s">
        <v>54</v>
      </c>
      <c r="AX2855" t="str">
        <f t="shared" si="238"/>
        <v>FOR</v>
      </c>
      <c r="AY2855" t="s">
        <v>55</v>
      </c>
    </row>
    <row r="2856" spans="1:51" hidden="1">
      <c r="A2856">
        <v>100906</v>
      </c>
      <c r="B2856" t="s">
        <v>362</v>
      </c>
      <c r="C2856" t="str">
        <f t="shared" si="240"/>
        <v>06978161005</v>
      </c>
      <c r="D2856" t="str">
        <f t="shared" si="240"/>
        <v>06978161005</v>
      </c>
      <c r="E2856" t="s">
        <v>52</v>
      </c>
      <c r="F2856">
        <v>2015</v>
      </c>
      <c r="G2856">
        <v>142</v>
      </c>
      <c r="H2856" s="1">
        <v>42174</v>
      </c>
      <c r="I2856" s="1">
        <v>42174</v>
      </c>
      <c r="J2856" s="1">
        <v>42174</v>
      </c>
      <c r="K2856" s="1">
        <v>42234</v>
      </c>
      <c r="N2856" s="5"/>
      <c r="O2856">
        <v>107.36</v>
      </c>
      <c r="P2856">
        <v>-56</v>
      </c>
      <c r="Q2856" s="2">
        <v>-6012.16</v>
      </c>
      <c r="R2856">
        <v>0</v>
      </c>
      <c r="V2856">
        <v>0</v>
      </c>
      <c r="W2856">
        <v>0</v>
      </c>
      <c r="X2856">
        <v>0</v>
      </c>
      <c r="Y2856">
        <v>107.36</v>
      </c>
      <c r="Z2856">
        <v>107.36</v>
      </c>
      <c r="AA2856">
        <v>107.36</v>
      </c>
      <c r="AB2856" s="1">
        <v>42382</v>
      </c>
      <c r="AC2856" t="s">
        <v>53</v>
      </c>
      <c r="AD2856" t="s">
        <v>53</v>
      </c>
      <c r="AK2856">
        <v>0</v>
      </c>
      <c r="AU2856" s="6">
        <v>42178</v>
      </c>
      <c r="AV2856" s="6">
        <v>42178</v>
      </c>
      <c r="AW2856" t="s">
        <v>54</v>
      </c>
      <c r="AX2856" t="str">
        <f t="shared" si="238"/>
        <v>FOR</v>
      </c>
      <c r="AY2856" t="s">
        <v>55</v>
      </c>
    </row>
    <row r="2857" spans="1:51" hidden="1">
      <c r="A2857">
        <v>100906</v>
      </c>
      <c r="B2857" t="s">
        <v>362</v>
      </c>
      <c r="C2857" t="str">
        <f t="shared" si="240"/>
        <v>06978161005</v>
      </c>
      <c r="D2857" t="str">
        <f t="shared" si="240"/>
        <v>06978161005</v>
      </c>
      <c r="E2857" t="s">
        <v>52</v>
      </c>
      <c r="F2857">
        <v>2015</v>
      </c>
      <c r="G2857">
        <v>143</v>
      </c>
      <c r="H2857" s="1">
        <v>42174</v>
      </c>
      <c r="I2857" s="1">
        <v>42174</v>
      </c>
      <c r="J2857" s="1">
        <v>42174</v>
      </c>
      <c r="K2857" s="1">
        <v>42234</v>
      </c>
      <c r="N2857" s="5"/>
      <c r="O2857" s="2">
        <v>14959.69</v>
      </c>
      <c r="P2857">
        <v>-56</v>
      </c>
      <c r="Q2857" s="2">
        <v>-837742.64</v>
      </c>
      <c r="R2857">
        <v>0</v>
      </c>
      <c r="V2857">
        <v>0</v>
      </c>
      <c r="W2857">
        <v>0</v>
      </c>
      <c r="X2857">
        <v>0</v>
      </c>
      <c r="Y2857" s="2">
        <v>14959.69</v>
      </c>
      <c r="Z2857" s="2">
        <v>14959.69</v>
      </c>
      <c r="AA2857" s="2">
        <v>14959.69</v>
      </c>
      <c r="AB2857" s="1">
        <v>42382</v>
      </c>
      <c r="AC2857" t="s">
        <v>53</v>
      </c>
      <c r="AD2857" t="s">
        <v>53</v>
      </c>
      <c r="AK2857">
        <v>0</v>
      </c>
      <c r="AU2857" s="6">
        <v>42178</v>
      </c>
      <c r="AV2857" s="6">
        <v>42178</v>
      </c>
      <c r="AW2857" t="s">
        <v>54</v>
      </c>
      <c r="AX2857" t="str">
        <f t="shared" si="238"/>
        <v>FOR</v>
      </c>
      <c r="AY2857" t="s">
        <v>55</v>
      </c>
    </row>
    <row r="2858" spans="1:51" hidden="1">
      <c r="A2858">
        <v>100906</v>
      </c>
      <c r="B2858" t="s">
        <v>362</v>
      </c>
      <c r="C2858" t="str">
        <f t="shared" si="240"/>
        <v>06978161005</v>
      </c>
      <c r="D2858" t="str">
        <f t="shared" si="240"/>
        <v>06978161005</v>
      </c>
      <c r="E2858" t="s">
        <v>52</v>
      </c>
      <c r="F2858">
        <v>2015</v>
      </c>
      <c r="G2858">
        <v>144</v>
      </c>
      <c r="H2858" s="1">
        <v>42174</v>
      </c>
      <c r="I2858" s="1">
        <v>42174</v>
      </c>
      <c r="J2858" s="1">
        <v>42174</v>
      </c>
      <c r="K2858" s="1">
        <v>42234</v>
      </c>
      <c r="N2858" s="5"/>
      <c r="O2858" s="2">
        <v>14959</v>
      </c>
      <c r="P2858">
        <v>-56</v>
      </c>
      <c r="Q2858" s="2">
        <v>-837704</v>
      </c>
      <c r="R2858">
        <v>0</v>
      </c>
      <c r="V2858">
        <v>0</v>
      </c>
      <c r="W2858">
        <v>0</v>
      </c>
      <c r="X2858">
        <v>0</v>
      </c>
      <c r="Y2858" s="2">
        <v>14959</v>
      </c>
      <c r="Z2858" s="2">
        <v>14959</v>
      </c>
      <c r="AA2858" s="2">
        <v>14959</v>
      </c>
      <c r="AB2858" s="1">
        <v>42382</v>
      </c>
      <c r="AC2858" t="s">
        <v>53</v>
      </c>
      <c r="AD2858" t="s">
        <v>53</v>
      </c>
      <c r="AK2858">
        <v>0</v>
      </c>
      <c r="AU2858" s="6">
        <v>42178</v>
      </c>
      <c r="AV2858" s="6">
        <v>42178</v>
      </c>
      <c r="AW2858" t="s">
        <v>54</v>
      </c>
      <c r="AX2858" t="str">
        <f t="shared" si="238"/>
        <v>FOR</v>
      </c>
      <c r="AY2858" t="s">
        <v>55</v>
      </c>
    </row>
    <row r="2859" spans="1:51" hidden="1">
      <c r="A2859">
        <v>100906</v>
      </c>
      <c r="B2859" t="s">
        <v>362</v>
      </c>
      <c r="C2859" t="str">
        <f t="shared" si="240"/>
        <v>06978161005</v>
      </c>
      <c r="D2859" t="str">
        <f t="shared" si="240"/>
        <v>06978161005</v>
      </c>
      <c r="E2859" t="s">
        <v>52</v>
      </c>
      <c r="F2859">
        <v>2015</v>
      </c>
      <c r="G2859">
        <v>169</v>
      </c>
      <c r="H2859" s="1">
        <v>42214</v>
      </c>
      <c r="I2859" s="1">
        <v>42214</v>
      </c>
      <c r="J2859" s="1">
        <v>42214</v>
      </c>
      <c r="K2859" s="1">
        <v>42274</v>
      </c>
      <c r="N2859" s="5"/>
      <c r="O2859" s="2">
        <v>14959.69</v>
      </c>
      <c r="P2859">
        <v>-6</v>
      </c>
      <c r="Q2859" s="2">
        <v>-89758.14</v>
      </c>
      <c r="R2859">
        <v>0</v>
      </c>
      <c r="V2859">
        <v>0</v>
      </c>
      <c r="W2859">
        <v>0</v>
      </c>
      <c r="X2859">
        <v>0</v>
      </c>
      <c r="Y2859" s="2">
        <v>14959.69</v>
      </c>
      <c r="Z2859" s="2">
        <v>14959.69</v>
      </c>
      <c r="AA2859" s="2">
        <v>14959.69</v>
      </c>
      <c r="AB2859" s="1">
        <v>42382</v>
      </c>
      <c r="AC2859" t="s">
        <v>53</v>
      </c>
      <c r="AD2859" t="s">
        <v>53</v>
      </c>
      <c r="AK2859">
        <v>0</v>
      </c>
      <c r="AU2859" s="6">
        <v>42268</v>
      </c>
      <c r="AV2859" s="6">
        <v>42268</v>
      </c>
      <c r="AW2859" t="s">
        <v>54</v>
      </c>
      <c r="AX2859" t="str">
        <f t="shared" si="238"/>
        <v>FOR</v>
      </c>
      <c r="AY2859" t="s">
        <v>55</v>
      </c>
    </row>
    <row r="2860" spans="1:51" hidden="1">
      <c r="A2860">
        <v>100906</v>
      </c>
      <c r="B2860" t="s">
        <v>362</v>
      </c>
      <c r="C2860" t="str">
        <f t="shared" si="240"/>
        <v>06978161005</v>
      </c>
      <c r="D2860" t="str">
        <f t="shared" si="240"/>
        <v>06978161005</v>
      </c>
      <c r="E2860" t="s">
        <v>52</v>
      </c>
      <c r="F2860">
        <v>2015</v>
      </c>
      <c r="G2860">
        <v>170</v>
      </c>
      <c r="H2860" s="1">
        <v>42214</v>
      </c>
      <c r="I2860" s="1">
        <v>42214</v>
      </c>
      <c r="J2860" s="1">
        <v>42214</v>
      </c>
      <c r="K2860" s="1">
        <v>42274</v>
      </c>
      <c r="N2860" s="5"/>
      <c r="O2860" s="2">
        <v>14959</v>
      </c>
      <c r="P2860">
        <v>-6</v>
      </c>
      <c r="Q2860" s="2">
        <v>-89754</v>
      </c>
      <c r="R2860">
        <v>0</v>
      </c>
      <c r="V2860">
        <v>0</v>
      </c>
      <c r="W2860">
        <v>0</v>
      </c>
      <c r="X2860">
        <v>0</v>
      </c>
      <c r="Y2860" s="2">
        <v>14959</v>
      </c>
      <c r="Z2860" s="2">
        <v>14959</v>
      </c>
      <c r="AA2860" s="2">
        <v>14959</v>
      </c>
      <c r="AB2860" s="1">
        <v>42382</v>
      </c>
      <c r="AC2860" t="s">
        <v>53</v>
      </c>
      <c r="AD2860" t="s">
        <v>53</v>
      </c>
      <c r="AK2860">
        <v>0</v>
      </c>
      <c r="AU2860" s="6">
        <v>42268</v>
      </c>
      <c r="AV2860" s="6">
        <v>42268</v>
      </c>
      <c r="AW2860" t="s">
        <v>54</v>
      </c>
      <c r="AX2860" t="str">
        <f t="shared" si="238"/>
        <v>FOR</v>
      </c>
      <c r="AY2860" t="s">
        <v>55</v>
      </c>
    </row>
    <row r="2861" spans="1:51" hidden="1">
      <c r="A2861">
        <v>100906</v>
      </c>
      <c r="B2861" t="s">
        <v>362</v>
      </c>
      <c r="C2861" t="str">
        <f t="shared" si="240"/>
        <v>06978161005</v>
      </c>
      <c r="D2861" t="str">
        <f t="shared" si="240"/>
        <v>06978161005</v>
      </c>
      <c r="E2861" t="s">
        <v>52</v>
      </c>
      <c r="F2861">
        <v>2015</v>
      </c>
      <c r="G2861">
        <v>171</v>
      </c>
      <c r="H2861" s="1">
        <v>42214</v>
      </c>
      <c r="I2861" s="1">
        <v>42214</v>
      </c>
      <c r="J2861" s="1">
        <v>42214</v>
      </c>
      <c r="K2861" s="1">
        <v>42274</v>
      </c>
      <c r="N2861" s="5"/>
      <c r="O2861" s="2">
        <v>14959</v>
      </c>
      <c r="P2861">
        <v>-6</v>
      </c>
      <c r="Q2861" s="2">
        <v>-89754</v>
      </c>
      <c r="R2861">
        <v>0</v>
      </c>
      <c r="V2861">
        <v>0</v>
      </c>
      <c r="W2861">
        <v>0</v>
      </c>
      <c r="X2861">
        <v>0</v>
      </c>
      <c r="Y2861" s="2">
        <v>14959</v>
      </c>
      <c r="Z2861" s="2">
        <v>14959</v>
      </c>
      <c r="AA2861" s="2">
        <v>14959</v>
      </c>
      <c r="AB2861" s="1">
        <v>42382</v>
      </c>
      <c r="AC2861" t="s">
        <v>53</v>
      </c>
      <c r="AD2861" t="s">
        <v>53</v>
      </c>
      <c r="AK2861">
        <v>0</v>
      </c>
      <c r="AU2861" s="6">
        <v>42268</v>
      </c>
      <c r="AV2861" s="6">
        <v>42268</v>
      </c>
      <c r="AW2861" t="s">
        <v>54</v>
      </c>
      <c r="AX2861" t="str">
        <f t="shared" si="238"/>
        <v>FOR</v>
      </c>
      <c r="AY2861" t="s">
        <v>55</v>
      </c>
    </row>
    <row r="2862" spans="1:51" hidden="1">
      <c r="A2862">
        <v>100906</v>
      </c>
      <c r="B2862" t="s">
        <v>362</v>
      </c>
      <c r="C2862" t="str">
        <f t="shared" si="240"/>
        <v>06978161005</v>
      </c>
      <c r="D2862" t="str">
        <f t="shared" si="240"/>
        <v>06978161005</v>
      </c>
      <c r="E2862" t="s">
        <v>52</v>
      </c>
      <c r="F2862">
        <v>2015</v>
      </c>
      <c r="G2862">
        <v>172</v>
      </c>
      <c r="H2862" s="1">
        <v>42214</v>
      </c>
      <c r="I2862" s="1">
        <v>42214</v>
      </c>
      <c r="J2862" s="1">
        <v>42214</v>
      </c>
      <c r="K2862" s="1">
        <v>42274</v>
      </c>
      <c r="N2862" s="5"/>
      <c r="O2862">
        <v>138</v>
      </c>
      <c r="P2862">
        <v>-6</v>
      </c>
      <c r="Q2862">
        <v>-828</v>
      </c>
      <c r="R2862">
        <v>0</v>
      </c>
      <c r="V2862">
        <v>0</v>
      </c>
      <c r="W2862">
        <v>0</v>
      </c>
      <c r="X2862">
        <v>0</v>
      </c>
      <c r="Y2862">
        <v>138</v>
      </c>
      <c r="Z2862">
        <v>138</v>
      </c>
      <c r="AA2862">
        <v>138</v>
      </c>
      <c r="AB2862" s="1">
        <v>42382</v>
      </c>
      <c r="AC2862" t="s">
        <v>53</v>
      </c>
      <c r="AD2862" t="s">
        <v>53</v>
      </c>
      <c r="AK2862">
        <v>0</v>
      </c>
      <c r="AU2862" s="6">
        <v>42268</v>
      </c>
      <c r="AV2862" s="6">
        <v>42268</v>
      </c>
      <c r="AW2862" t="s">
        <v>54</v>
      </c>
      <c r="AX2862" t="str">
        <f t="shared" si="238"/>
        <v>FOR</v>
      </c>
      <c r="AY2862" t="s">
        <v>55</v>
      </c>
    </row>
    <row r="2863" spans="1:51" hidden="1">
      <c r="A2863">
        <v>100906</v>
      </c>
      <c r="B2863" t="s">
        <v>362</v>
      </c>
      <c r="C2863" t="str">
        <f t="shared" si="240"/>
        <v>06978161005</v>
      </c>
      <c r="D2863" t="str">
        <f t="shared" si="240"/>
        <v>06978161005</v>
      </c>
      <c r="E2863" t="s">
        <v>52</v>
      </c>
      <c r="F2863">
        <v>2015</v>
      </c>
      <c r="G2863">
        <v>184</v>
      </c>
      <c r="H2863" s="1">
        <v>42264</v>
      </c>
      <c r="I2863" s="1">
        <v>42264</v>
      </c>
      <c r="J2863" s="1">
        <v>42264</v>
      </c>
      <c r="K2863" s="1">
        <v>42324</v>
      </c>
      <c r="N2863" s="5"/>
      <c r="O2863">
        <v>4.0999999999999996</v>
      </c>
      <c r="P2863">
        <v>-48</v>
      </c>
      <c r="Q2863">
        <v>-196.8</v>
      </c>
      <c r="R2863">
        <v>0</v>
      </c>
      <c r="V2863">
        <v>0</v>
      </c>
      <c r="W2863">
        <v>0</v>
      </c>
      <c r="X2863">
        <v>0</v>
      </c>
      <c r="Y2863">
        <v>4.0999999999999996</v>
      </c>
      <c r="Z2863">
        <v>4.0999999999999996</v>
      </c>
      <c r="AA2863">
        <v>4.0999999999999996</v>
      </c>
      <c r="AB2863" s="1">
        <v>42382</v>
      </c>
      <c r="AC2863" t="s">
        <v>53</v>
      </c>
      <c r="AD2863" t="s">
        <v>53</v>
      </c>
      <c r="AK2863">
        <v>0</v>
      </c>
      <c r="AU2863" s="6">
        <v>42276</v>
      </c>
      <c r="AV2863" s="6">
        <v>42276</v>
      </c>
      <c r="AW2863" t="s">
        <v>54</v>
      </c>
      <c r="AX2863" t="str">
        <f t="shared" si="238"/>
        <v>FOR</v>
      </c>
      <c r="AY2863" t="s">
        <v>55</v>
      </c>
    </row>
    <row r="2864" spans="1:51" hidden="1">
      <c r="A2864">
        <v>100906</v>
      </c>
      <c r="B2864" t="s">
        <v>362</v>
      </c>
      <c r="C2864" t="str">
        <f t="shared" si="240"/>
        <v>06978161005</v>
      </c>
      <c r="D2864" t="str">
        <f t="shared" si="240"/>
        <v>06978161005</v>
      </c>
      <c r="E2864" t="s">
        <v>52</v>
      </c>
      <c r="F2864">
        <v>2015</v>
      </c>
      <c r="G2864">
        <v>185</v>
      </c>
      <c r="H2864" s="1">
        <v>42264</v>
      </c>
      <c r="I2864" s="1">
        <v>42264</v>
      </c>
      <c r="J2864" s="1">
        <v>42264</v>
      </c>
      <c r="K2864" s="1">
        <v>42324</v>
      </c>
      <c r="N2864" s="5"/>
      <c r="O2864">
        <v>4.0999999999999996</v>
      </c>
      <c r="P2864">
        <v>-48</v>
      </c>
      <c r="Q2864">
        <v>-196.8</v>
      </c>
      <c r="R2864">
        <v>0</v>
      </c>
      <c r="V2864">
        <v>0</v>
      </c>
      <c r="W2864">
        <v>0</v>
      </c>
      <c r="X2864">
        <v>0</v>
      </c>
      <c r="Y2864">
        <v>4.0999999999999996</v>
      </c>
      <c r="Z2864">
        <v>4.0999999999999996</v>
      </c>
      <c r="AA2864">
        <v>4.0999999999999996</v>
      </c>
      <c r="AB2864" s="1">
        <v>42382</v>
      </c>
      <c r="AC2864" t="s">
        <v>53</v>
      </c>
      <c r="AD2864" t="s">
        <v>53</v>
      </c>
      <c r="AK2864">
        <v>0</v>
      </c>
      <c r="AU2864" s="6">
        <v>42276</v>
      </c>
      <c r="AV2864" s="6">
        <v>42276</v>
      </c>
      <c r="AW2864" t="s">
        <v>54</v>
      </c>
      <c r="AX2864" t="str">
        <f t="shared" si="238"/>
        <v>FOR</v>
      </c>
      <c r="AY2864" t="s">
        <v>55</v>
      </c>
    </row>
    <row r="2865" spans="1:51" hidden="1">
      <c r="A2865">
        <v>100906</v>
      </c>
      <c r="B2865" t="s">
        <v>362</v>
      </c>
      <c r="C2865" t="str">
        <f t="shared" si="240"/>
        <v>06978161005</v>
      </c>
      <c r="D2865" t="str">
        <f t="shared" si="240"/>
        <v>06978161005</v>
      </c>
      <c r="E2865" t="s">
        <v>52</v>
      </c>
      <c r="F2865">
        <v>2015</v>
      </c>
      <c r="G2865">
        <v>186</v>
      </c>
      <c r="H2865" s="1">
        <v>42264</v>
      </c>
      <c r="I2865" s="1">
        <v>42264</v>
      </c>
      <c r="J2865" s="1">
        <v>42264</v>
      </c>
      <c r="K2865" s="1">
        <v>42324</v>
      </c>
      <c r="N2865" s="5"/>
      <c r="O2865">
        <v>4.0999999999999996</v>
      </c>
      <c r="P2865">
        <v>-48</v>
      </c>
      <c r="Q2865">
        <v>-196.8</v>
      </c>
      <c r="R2865">
        <v>0</v>
      </c>
      <c r="V2865">
        <v>0</v>
      </c>
      <c r="W2865">
        <v>0</v>
      </c>
      <c r="X2865">
        <v>0</v>
      </c>
      <c r="Y2865">
        <v>4.0999999999999996</v>
      </c>
      <c r="Z2865">
        <v>4.0999999999999996</v>
      </c>
      <c r="AA2865">
        <v>4.0999999999999996</v>
      </c>
      <c r="AB2865" s="1">
        <v>42382</v>
      </c>
      <c r="AC2865" t="s">
        <v>53</v>
      </c>
      <c r="AD2865" t="s">
        <v>53</v>
      </c>
      <c r="AK2865">
        <v>0</v>
      </c>
      <c r="AU2865" s="6">
        <v>42276</v>
      </c>
      <c r="AV2865" s="6">
        <v>42276</v>
      </c>
      <c r="AW2865" t="s">
        <v>54</v>
      </c>
      <c r="AX2865" t="str">
        <f t="shared" si="238"/>
        <v>FOR</v>
      </c>
      <c r="AY2865" t="s">
        <v>55</v>
      </c>
    </row>
    <row r="2866" spans="1:51" hidden="1">
      <c r="A2866">
        <v>100906</v>
      </c>
      <c r="B2866" t="s">
        <v>362</v>
      </c>
      <c r="C2866" t="str">
        <f t="shared" si="240"/>
        <v>06978161005</v>
      </c>
      <c r="D2866" t="str">
        <f t="shared" si="240"/>
        <v>06978161005</v>
      </c>
      <c r="E2866" t="s">
        <v>52</v>
      </c>
      <c r="F2866">
        <v>2015</v>
      </c>
      <c r="G2866">
        <v>187</v>
      </c>
      <c r="H2866" s="1">
        <v>42264</v>
      </c>
      <c r="I2866" s="1">
        <v>42264</v>
      </c>
      <c r="J2866" s="1">
        <v>42264</v>
      </c>
      <c r="K2866" s="1">
        <v>42324</v>
      </c>
      <c r="N2866" s="5"/>
      <c r="O2866">
        <v>2</v>
      </c>
      <c r="P2866">
        <v>-56</v>
      </c>
      <c r="Q2866">
        <v>-112</v>
      </c>
      <c r="R2866">
        <v>0</v>
      </c>
      <c r="V2866">
        <v>0</v>
      </c>
      <c r="W2866">
        <v>0</v>
      </c>
      <c r="X2866">
        <v>0</v>
      </c>
      <c r="Y2866">
        <v>2</v>
      </c>
      <c r="Z2866">
        <v>2</v>
      </c>
      <c r="AA2866">
        <v>2</v>
      </c>
      <c r="AB2866" s="1">
        <v>42382</v>
      </c>
      <c r="AC2866" t="s">
        <v>53</v>
      </c>
      <c r="AD2866" t="s">
        <v>53</v>
      </c>
      <c r="AK2866">
        <v>0</v>
      </c>
      <c r="AU2866" s="6">
        <v>42268</v>
      </c>
      <c r="AV2866" s="6">
        <v>42268</v>
      </c>
      <c r="AW2866" t="s">
        <v>54</v>
      </c>
      <c r="AX2866" t="str">
        <f t="shared" si="238"/>
        <v>FOR</v>
      </c>
      <c r="AY2866" t="s">
        <v>55</v>
      </c>
    </row>
    <row r="2867" spans="1:51" hidden="1">
      <c r="A2867">
        <v>100906</v>
      </c>
      <c r="B2867" t="s">
        <v>362</v>
      </c>
      <c r="C2867" t="str">
        <f t="shared" ref="C2867:D2886" si="241">"06978161005"</f>
        <v>06978161005</v>
      </c>
      <c r="D2867" t="str">
        <f t="shared" si="241"/>
        <v>06978161005</v>
      </c>
      <c r="E2867" t="s">
        <v>52</v>
      </c>
      <c r="F2867">
        <v>2015</v>
      </c>
      <c r="G2867">
        <v>188</v>
      </c>
      <c r="H2867" s="1">
        <v>42264</v>
      </c>
      <c r="I2867" s="1">
        <v>42264</v>
      </c>
      <c r="J2867" s="1">
        <v>42264</v>
      </c>
      <c r="K2867" s="1">
        <v>42324</v>
      </c>
      <c r="N2867" s="5"/>
      <c r="O2867">
        <v>0.06</v>
      </c>
      <c r="P2867">
        <v>-56</v>
      </c>
      <c r="Q2867">
        <v>-3.36</v>
      </c>
      <c r="R2867">
        <v>0</v>
      </c>
      <c r="V2867">
        <v>0</v>
      </c>
      <c r="W2867">
        <v>0</v>
      </c>
      <c r="X2867">
        <v>0</v>
      </c>
      <c r="Y2867">
        <v>0.06</v>
      </c>
      <c r="Z2867">
        <v>0.06</v>
      </c>
      <c r="AA2867">
        <v>0.06</v>
      </c>
      <c r="AB2867" s="1">
        <v>42382</v>
      </c>
      <c r="AC2867" t="s">
        <v>53</v>
      </c>
      <c r="AD2867" t="s">
        <v>53</v>
      </c>
      <c r="AK2867">
        <v>0</v>
      </c>
      <c r="AU2867" s="6">
        <v>42268</v>
      </c>
      <c r="AV2867" s="6">
        <v>42268</v>
      </c>
      <c r="AW2867" t="s">
        <v>54</v>
      </c>
      <c r="AX2867" t="str">
        <f t="shared" si="238"/>
        <v>FOR</v>
      </c>
      <c r="AY2867" t="s">
        <v>55</v>
      </c>
    </row>
    <row r="2868" spans="1:51" hidden="1">
      <c r="A2868">
        <v>100906</v>
      </c>
      <c r="B2868" t="s">
        <v>362</v>
      </c>
      <c r="C2868" t="str">
        <f t="shared" si="241"/>
        <v>06978161005</v>
      </c>
      <c r="D2868" t="str">
        <f t="shared" si="241"/>
        <v>06978161005</v>
      </c>
      <c r="E2868" t="s">
        <v>52</v>
      </c>
      <c r="F2868">
        <v>2015</v>
      </c>
      <c r="G2868">
        <v>189</v>
      </c>
      <c r="H2868" s="1">
        <v>42264</v>
      </c>
      <c r="I2868" s="1">
        <v>42264</v>
      </c>
      <c r="J2868" s="1">
        <v>42264</v>
      </c>
      <c r="K2868" s="1">
        <v>42324</v>
      </c>
      <c r="N2868" s="5"/>
      <c r="O2868" s="2">
        <v>2823.88</v>
      </c>
      <c r="P2868">
        <v>-56</v>
      </c>
      <c r="Q2868" s="2">
        <v>-158137.28</v>
      </c>
      <c r="R2868">
        <v>0</v>
      </c>
      <c r="V2868">
        <v>0</v>
      </c>
      <c r="W2868">
        <v>0</v>
      </c>
      <c r="X2868">
        <v>0</v>
      </c>
      <c r="Y2868" s="2">
        <v>2823.88</v>
      </c>
      <c r="Z2868" s="2">
        <v>2823.88</v>
      </c>
      <c r="AA2868" s="2">
        <v>2823.88</v>
      </c>
      <c r="AB2868" s="1">
        <v>42382</v>
      </c>
      <c r="AC2868" t="s">
        <v>53</v>
      </c>
      <c r="AD2868" t="s">
        <v>53</v>
      </c>
      <c r="AK2868">
        <v>0</v>
      </c>
      <c r="AU2868" s="6">
        <v>42268</v>
      </c>
      <c r="AV2868" s="6">
        <v>42268</v>
      </c>
      <c r="AW2868" t="s">
        <v>54</v>
      </c>
      <c r="AX2868" t="str">
        <f t="shared" si="238"/>
        <v>FOR</v>
      </c>
      <c r="AY2868" t="s">
        <v>55</v>
      </c>
    </row>
    <row r="2869" spans="1:51" hidden="1">
      <c r="A2869">
        <v>100906</v>
      </c>
      <c r="B2869" t="s">
        <v>362</v>
      </c>
      <c r="C2869" t="str">
        <f t="shared" si="241"/>
        <v>06978161005</v>
      </c>
      <c r="D2869" t="str">
        <f t="shared" si="241"/>
        <v>06978161005</v>
      </c>
      <c r="E2869" t="s">
        <v>52</v>
      </c>
      <c r="F2869">
        <v>2015</v>
      </c>
      <c r="G2869">
        <v>190</v>
      </c>
      <c r="H2869" s="1">
        <v>42264</v>
      </c>
      <c r="I2869" s="1">
        <v>42264</v>
      </c>
      <c r="J2869" s="1">
        <v>42264</v>
      </c>
      <c r="K2869" s="1">
        <v>42324</v>
      </c>
      <c r="N2869" s="5"/>
      <c r="O2869">
        <v>1.29</v>
      </c>
      <c r="P2869">
        <v>-56</v>
      </c>
      <c r="Q2869">
        <v>-72.239999999999995</v>
      </c>
      <c r="R2869">
        <v>0</v>
      </c>
      <c r="V2869">
        <v>0</v>
      </c>
      <c r="W2869">
        <v>0</v>
      </c>
      <c r="X2869">
        <v>0</v>
      </c>
      <c r="Y2869">
        <v>1.29</v>
      </c>
      <c r="Z2869">
        <v>1.29</v>
      </c>
      <c r="AA2869">
        <v>1.29</v>
      </c>
      <c r="AB2869" s="1">
        <v>42382</v>
      </c>
      <c r="AC2869" t="s">
        <v>53</v>
      </c>
      <c r="AD2869" t="s">
        <v>53</v>
      </c>
      <c r="AK2869">
        <v>0</v>
      </c>
      <c r="AU2869" s="6">
        <v>42268</v>
      </c>
      <c r="AV2869" s="6">
        <v>42268</v>
      </c>
      <c r="AW2869" t="s">
        <v>54</v>
      </c>
      <c r="AX2869" t="str">
        <f t="shared" si="238"/>
        <v>FOR</v>
      </c>
      <c r="AY2869" t="s">
        <v>55</v>
      </c>
    </row>
    <row r="2870" spans="1:51" hidden="1">
      <c r="A2870">
        <v>100906</v>
      </c>
      <c r="B2870" t="s">
        <v>362</v>
      </c>
      <c r="C2870" t="str">
        <f t="shared" si="241"/>
        <v>06978161005</v>
      </c>
      <c r="D2870" t="str">
        <f t="shared" si="241"/>
        <v>06978161005</v>
      </c>
      <c r="E2870" t="s">
        <v>52</v>
      </c>
      <c r="F2870">
        <v>2015</v>
      </c>
      <c r="G2870">
        <v>191</v>
      </c>
      <c r="H2870" s="1">
        <v>42264</v>
      </c>
      <c r="I2870" s="1">
        <v>42264</v>
      </c>
      <c r="J2870" s="1">
        <v>42264</v>
      </c>
      <c r="K2870" s="1">
        <v>42324</v>
      </c>
      <c r="N2870" s="5"/>
      <c r="O2870">
        <v>134.63999999999999</v>
      </c>
      <c r="P2870">
        <v>-56</v>
      </c>
      <c r="Q2870" s="2">
        <v>-7539.84</v>
      </c>
      <c r="R2870">
        <v>0</v>
      </c>
      <c r="V2870">
        <v>0</v>
      </c>
      <c r="W2870">
        <v>0</v>
      </c>
      <c r="X2870">
        <v>0</v>
      </c>
      <c r="Y2870">
        <v>134.63999999999999</v>
      </c>
      <c r="Z2870">
        <v>134.63999999999999</v>
      </c>
      <c r="AA2870">
        <v>134.63999999999999</v>
      </c>
      <c r="AB2870" s="1">
        <v>42382</v>
      </c>
      <c r="AC2870" t="s">
        <v>53</v>
      </c>
      <c r="AD2870" t="s">
        <v>53</v>
      </c>
      <c r="AK2870">
        <v>0</v>
      </c>
      <c r="AU2870" s="6">
        <v>42268</v>
      </c>
      <c r="AV2870" s="6">
        <v>42268</v>
      </c>
      <c r="AW2870" t="s">
        <v>54</v>
      </c>
      <c r="AX2870" t="str">
        <f t="shared" si="238"/>
        <v>FOR</v>
      </c>
      <c r="AY2870" t="s">
        <v>55</v>
      </c>
    </row>
    <row r="2871" spans="1:51" hidden="1">
      <c r="A2871">
        <v>100906</v>
      </c>
      <c r="B2871" t="s">
        <v>362</v>
      </c>
      <c r="C2871" t="str">
        <f t="shared" si="241"/>
        <v>06978161005</v>
      </c>
      <c r="D2871" t="str">
        <f t="shared" si="241"/>
        <v>06978161005</v>
      </c>
      <c r="E2871" t="s">
        <v>52</v>
      </c>
      <c r="F2871">
        <v>2015</v>
      </c>
      <c r="G2871">
        <v>192</v>
      </c>
      <c r="H2871" s="1">
        <v>42264</v>
      </c>
      <c r="I2871" s="1">
        <v>42264</v>
      </c>
      <c r="J2871" s="1">
        <v>42264</v>
      </c>
      <c r="K2871" s="1">
        <v>42324</v>
      </c>
      <c r="N2871" s="5"/>
      <c r="O2871">
        <v>90</v>
      </c>
      <c r="P2871">
        <v>-56</v>
      </c>
      <c r="Q2871" s="2">
        <v>-5040</v>
      </c>
      <c r="R2871">
        <v>0</v>
      </c>
      <c r="V2871">
        <v>0</v>
      </c>
      <c r="W2871">
        <v>0</v>
      </c>
      <c r="X2871">
        <v>0</v>
      </c>
      <c r="Y2871">
        <v>90</v>
      </c>
      <c r="Z2871">
        <v>90</v>
      </c>
      <c r="AA2871">
        <v>90</v>
      </c>
      <c r="AB2871" s="1">
        <v>42382</v>
      </c>
      <c r="AC2871" t="s">
        <v>53</v>
      </c>
      <c r="AD2871" t="s">
        <v>53</v>
      </c>
      <c r="AK2871">
        <v>0</v>
      </c>
      <c r="AU2871" s="6">
        <v>42268</v>
      </c>
      <c r="AV2871" s="6">
        <v>42268</v>
      </c>
      <c r="AW2871" t="s">
        <v>54</v>
      </c>
      <c r="AX2871" t="str">
        <f t="shared" si="238"/>
        <v>FOR</v>
      </c>
      <c r="AY2871" t="s">
        <v>55</v>
      </c>
    </row>
    <row r="2872" spans="1:51" hidden="1">
      <c r="A2872">
        <v>100906</v>
      </c>
      <c r="B2872" t="s">
        <v>362</v>
      </c>
      <c r="C2872" t="str">
        <f t="shared" si="241"/>
        <v>06978161005</v>
      </c>
      <c r="D2872" t="str">
        <f t="shared" si="241"/>
        <v>06978161005</v>
      </c>
      <c r="E2872" t="s">
        <v>52</v>
      </c>
      <c r="F2872">
        <v>2015</v>
      </c>
      <c r="G2872">
        <v>195</v>
      </c>
      <c r="H2872" s="1">
        <v>42265</v>
      </c>
      <c r="I2872" s="1">
        <v>42265</v>
      </c>
      <c r="J2872" s="1">
        <v>42265</v>
      </c>
      <c r="K2872" s="1">
        <v>42325</v>
      </c>
      <c r="N2872" s="5"/>
      <c r="O2872">
        <v>81.72</v>
      </c>
      <c r="P2872">
        <v>-57</v>
      </c>
      <c r="Q2872" s="2">
        <v>-4658.04</v>
      </c>
      <c r="R2872">
        <v>0</v>
      </c>
      <c r="V2872">
        <v>0</v>
      </c>
      <c r="W2872">
        <v>0</v>
      </c>
      <c r="X2872">
        <v>0</v>
      </c>
      <c r="Y2872">
        <v>81.72</v>
      </c>
      <c r="Z2872">
        <v>81.72</v>
      </c>
      <c r="AA2872">
        <v>81.72</v>
      </c>
      <c r="AB2872" s="1">
        <v>42382</v>
      </c>
      <c r="AC2872" t="s">
        <v>53</v>
      </c>
      <c r="AD2872" t="s">
        <v>53</v>
      </c>
      <c r="AK2872">
        <v>0</v>
      </c>
      <c r="AU2872" s="6">
        <v>42268</v>
      </c>
      <c r="AV2872" s="6">
        <v>42268</v>
      </c>
      <c r="AW2872" t="s">
        <v>54</v>
      </c>
      <c r="AX2872" t="str">
        <f t="shared" si="238"/>
        <v>FOR</v>
      </c>
      <c r="AY2872" t="s">
        <v>55</v>
      </c>
    </row>
    <row r="2873" spans="1:51" hidden="1">
      <c r="A2873">
        <v>100906</v>
      </c>
      <c r="B2873" t="s">
        <v>362</v>
      </c>
      <c r="C2873" t="str">
        <f t="shared" si="241"/>
        <v>06978161005</v>
      </c>
      <c r="D2873" t="str">
        <f t="shared" si="241"/>
        <v>06978161005</v>
      </c>
      <c r="E2873" t="s">
        <v>52</v>
      </c>
      <c r="F2873">
        <v>2015</v>
      </c>
      <c r="G2873">
        <v>196</v>
      </c>
      <c r="H2873" s="1">
        <v>42265</v>
      </c>
      <c r="I2873" s="1">
        <v>42265</v>
      </c>
      <c r="J2873" s="1">
        <v>42265</v>
      </c>
      <c r="K2873" s="1">
        <v>42325</v>
      </c>
      <c r="N2873" s="5"/>
      <c r="O2873">
        <v>441.49</v>
      </c>
      <c r="P2873">
        <v>-57</v>
      </c>
      <c r="Q2873" s="2">
        <v>-25164.93</v>
      </c>
      <c r="R2873">
        <v>0</v>
      </c>
      <c r="V2873">
        <v>0</v>
      </c>
      <c r="W2873">
        <v>0</v>
      </c>
      <c r="X2873">
        <v>0</v>
      </c>
      <c r="Y2873">
        <v>441.49</v>
      </c>
      <c r="Z2873">
        <v>441.49</v>
      </c>
      <c r="AA2873">
        <v>441.49</v>
      </c>
      <c r="AB2873" s="1">
        <v>42382</v>
      </c>
      <c r="AC2873" t="s">
        <v>53</v>
      </c>
      <c r="AD2873" t="s">
        <v>53</v>
      </c>
      <c r="AK2873">
        <v>0</v>
      </c>
      <c r="AU2873" s="6">
        <v>42268</v>
      </c>
      <c r="AV2873" s="6">
        <v>42268</v>
      </c>
      <c r="AW2873" t="s">
        <v>54</v>
      </c>
      <c r="AX2873" t="str">
        <f t="shared" si="238"/>
        <v>FOR</v>
      </c>
      <c r="AY2873" t="s">
        <v>55</v>
      </c>
    </row>
    <row r="2874" spans="1:51" hidden="1">
      <c r="A2874">
        <v>100906</v>
      </c>
      <c r="B2874" t="s">
        <v>362</v>
      </c>
      <c r="C2874" t="str">
        <f t="shared" si="241"/>
        <v>06978161005</v>
      </c>
      <c r="D2874" t="str">
        <f t="shared" si="241"/>
        <v>06978161005</v>
      </c>
      <c r="E2874" t="s">
        <v>52</v>
      </c>
      <c r="F2874">
        <v>2015</v>
      </c>
      <c r="G2874">
        <v>197</v>
      </c>
      <c r="H2874" s="1">
        <v>42265</v>
      </c>
      <c r="I2874" s="1">
        <v>42265</v>
      </c>
      <c r="J2874" s="1">
        <v>42265</v>
      </c>
      <c r="K2874" s="1">
        <v>42325</v>
      </c>
      <c r="N2874" s="5"/>
      <c r="O2874">
        <v>126.18</v>
      </c>
      <c r="P2874">
        <v>-57</v>
      </c>
      <c r="Q2874" s="2">
        <v>-7192.26</v>
      </c>
      <c r="R2874">
        <v>0</v>
      </c>
      <c r="V2874">
        <v>0</v>
      </c>
      <c r="W2874">
        <v>0</v>
      </c>
      <c r="X2874">
        <v>0</v>
      </c>
      <c r="Y2874">
        <v>126.18</v>
      </c>
      <c r="Z2874">
        <v>126.18</v>
      </c>
      <c r="AA2874">
        <v>126.18</v>
      </c>
      <c r="AB2874" s="1">
        <v>42382</v>
      </c>
      <c r="AC2874" t="s">
        <v>53</v>
      </c>
      <c r="AD2874" t="s">
        <v>53</v>
      </c>
      <c r="AK2874">
        <v>0</v>
      </c>
      <c r="AU2874" s="6">
        <v>42268</v>
      </c>
      <c r="AV2874" s="6">
        <v>42268</v>
      </c>
      <c r="AW2874" t="s">
        <v>54</v>
      </c>
      <c r="AX2874" t="str">
        <f t="shared" si="238"/>
        <v>FOR</v>
      </c>
      <c r="AY2874" t="s">
        <v>55</v>
      </c>
    </row>
    <row r="2875" spans="1:51" hidden="1">
      <c r="A2875">
        <v>100906</v>
      </c>
      <c r="B2875" t="s">
        <v>362</v>
      </c>
      <c r="C2875" t="str">
        <f t="shared" si="241"/>
        <v>06978161005</v>
      </c>
      <c r="D2875" t="str">
        <f t="shared" si="241"/>
        <v>06978161005</v>
      </c>
      <c r="E2875" t="s">
        <v>52</v>
      </c>
      <c r="F2875">
        <v>2015</v>
      </c>
      <c r="G2875">
        <v>198</v>
      </c>
      <c r="H2875" s="1">
        <v>42265</v>
      </c>
      <c r="I2875" s="1">
        <v>42265</v>
      </c>
      <c r="J2875" s="1">
        <v>42265</v>
      </c>
      <c r="K2875" s="1">
        <v>42325</v>
      </c>
      <c r="N2875" s="5"/>
      <c r="O2875" s="2">
        <v>14959</v>
      </c>
      <c r="P2875">
        <v>-57</v>
      </c>
      <c r="Q2875" s="2">
        <v>-852663</v>
      </c>
      <c r="R2875">
        <v>0</v>
      </c>
      <c r="V2875">
        <v>0</v>
      </c>
      <c r="W2875">
        <v>0</v>
      </c>
      <c r="X2875">
        <v>0</v>
      </c>
      <c r="Y2875" s="2">
        <v>14959</v>
      </c>
      <c r="Z2875" s="2">
        <v>14959</v>
      </c>
      <c r="AA2875" s="2">
        <v>14959</v>
      </c>
      <c r="AB2875" s="1">
        <v>42382</v>
      </c>
      <c r="AC2875" t="s">
        <v>53</v>
      </c>
      <c r="AD2875" t="s">
        <v>53</v>
      </c>
      <c r="AK2875">
        <v>0</v>
      </c>
      <c r="AU2875" s="6">
        <v>42268</v>
      </c>
      <c r="AV2875" s="6">
        <v>42268</v>
      </c>
      <c r="AW2875" t="s">
        <v>54</v>
      </c>
      <c r="AX2875" t="str">
        <f t="shared" si="238"/>
        <v>FOR</v>
      </c>
      <c r="AY2875" t="s">
        <v>55</v>
      </c>
    </row>
    <row r="2876" spans="1:51" hidden="1">
      <c r="A2876">
        <v>100906</v>
      </c>
      <c r="B2876" t="s">
        <v>362</v>
      </c>
      <c r="C2876" t="str">
        <f t="shared" si="241"/>
        <v>06978161005</v>
      </c>
      <c r="D2876" t="str">
        <f t="shared" si="241"/>
        <v>06978161005</v>
      </c>
      <c r="E2876" t="s">
        <v>52</v>
      </c>
      <c r="F2876">
        <v>2015</v>
      </c>
      <c r="G2876">
        <v>199</v>
      </c>
      <c r="H2876" s="1">
        <v>42265</v>
      </c>
      <c r="I2876" s="1">
        <v>42265</v>
      </c>
      <c r="J2876" s="1">
        <v>42265</v>
      </c>
      <c r="K2876" s="1">
        <v>42325</v>
      </c>
      <c r="N2876" s="5"/>
      <c r="O2876" s="2">
        <v>14959.69</v>
      </c>
      <c r="P2876">
        <v>-57</v>
      </c>
      <c r="Q2876" s="2">
        <v>-852702.33</v>
      </c>
      <c r="R2876">
        <v>0</v>
      </c>
      <c r="V2876">
        <v>0</v>
      </c>
      <c r="W2876">
        <v>0</v>
      </c>
      <c r="X2876">
        <v>0</v>
      </c>
      <c r="Y2876" s="2">
        <v>14959.69</v>
      </c>
      <c r="Z2876" s="2">
        <v>14959.69</v>
      </c>
      <c r="AA2876" s="2">
        <v>14959.69</v>
      </c>
      <c r="AB2876" s="1">
        <v>42382</v>
      </c>
      <c r="AC2876" t="s">
        <v>53</v>
      </c>
      <c r="AD2876" t="s">
        <v>53</v>
      </c>
      <c r="AK2876">
        <v>0</v>
      </c>
      <c r="AU2876" s="6">
        <v>42268</v>
      </c>
      <c r="AV2876" s="6">
        <v>42268</v>
      </c>
      <c r="AW2876" t="s">
        <v>54</v>
      </c>
      <c r="AX2876" t="str">
        <f t="shared" si="238"/>
        <v>FOR</v>
      </c>
      <c r="AY2876" t="s">
        <v>55</v>
      </c>
    </row>
    <row r="2877" spans="1:51" hidden="1">
      <c r="A2877">
        <v>100906</v>
      </c>
      <c r="B2877" t="s">
        <v>362</v>
      </c>
      <c r="C2877" t="str">
        <f t="shared" si="241"/>
        <v>06978161005</v>
      </c>
      <c r="D2877" t="str">
        <f t="shared" si="241"/>
        <v>06978161005</v>
      </c>
      <c r="E2877" t="s">
        <v>52</v>
      </c>
      <c r="F2877">
        <v>2015</v>
      </c>
      <c r="G2877">
        <v>200</v>
      </c>
      <c r="H2877" s="1">
        <v>42265</v>
      </c>
      <c r="I2877" s="1">
        <v>42265</v>
      </c>
      <c r="J2877" s="1">
        <v>42265</v>
      </c>
      <c r="K2877" s="1">
        <v>42325</v>
      </c>
      <c r="N2877" s="5"/>
      <c r="O2877">
        <v>352.55</v>
      </c>
      <c r="P2877">
        <v>-57</v>
      </c>
      <c r="Q2877" s="2">
        <v>-20095.349999999999</v>
      </c>
      <c r="R2877">
        <v>0</v>
      </c>
      <c r="V2877">
        <v>0</v>
      </c>
      <c r="W2877">
        <v>0</v>
      </c>
      <c r="X2877">
        <v>0</v>
      </c>
      <c r="Y2877">
        <v>352.55</v>
      </c>
      <c r="Z2877">
        <v>352.55</v>
      </c>
      <c r="AA2877">
        <v>352.55</v>
      </c>
      <c r="AB2877" s="1">
        <v>42382</v>
      </c>
      <c r="AC2877" t="s">
        <v>53</v>
      </c>
      <c r="AD2877" t="s">
        <v>53</v>
      </c>
      <c r="AK2877">
        <v>0</v>
      </c>
      <c r="AU2877" s="6">
        <v>42268</v>
      </c>
      <c r="AV2877" s="6">
        <v>42268</v>
      </c>
      <c r="AW2877" t="s">
        <v>54</v>
      </c>
      <c r="AX2877" t="str">
        <f t="shared" si="238"/>
        <v>FOR</v>
      </c>
      <c r="AY2877" t="s">
        <v>55</v>
      </c>
    </row>
    <row r="2878" spans="1:51" hidden="1">
      <c r="A2878">
        <v>100906</v>
      </c>
      <c r="B2878" t="s">
        <v>362</v>
      </c>
      <c r="C2878" t="str">
        <f t="shared" si="241"/>
        <v>06978161005</v>
      </c>
      <c r="D2878" t="str">
        <f t="shared" si="241"/>
        <v>06978161005</v>
      </c>
      <c r="E2878" t="s">
        <v>52</v>
      </c>
      <c r="F2878">
        <v>2015</v>
      </c>
      <c r="G2878">
        <v>201</v>
      </c>
      <c r="H2878" s="1">
        <v>42265</v>
      </c>
      <c r="I2878" s="1">
        <v>42265</v>
      </c>
      <c r="J2878" s="1">
        <v>42265</v>
      </c>
      <c r="K2878" s="1">
        <v>42325</v>
      </c>
      <c r="N2878" s="5"/>
      <c r="O2878">
        <v>85.1</v>
      </c>
      <c r="P2878">
        <v>-57</v>
      </c>
      <c r="Q2878" s="2">
        <v>-4850.7</v>
      </c>
      <c r="R2878">
        <v>0</v>
      </c>
      <c r="V2878">
        <v>0</v>
      </c>
      <c r="W2878">
        <v>0</v>
      </c>
      <c r="X2878">
        <v>0</v>
      </c>
      <c r="Y2878">
        <v>85.1</v>
      </c>
      <c r="Z2878">
        <v>85.1</v>
      </c>
      <c r="AA2878">
        <v>85.1</v>
      </c>
      <c r="AB2878" s="1">
        <v>42382</v>
      </c>
      <c r="AC2878" t="s">
        <v>53</v>
      </c>
      <c r="AD2878" t="s">
        <v>53</v>
      </c>
      <c r="AK2878">
        <v>0</v>
      </c>
      <c r="AU2878" s="6">
        <v>42268</v>
      </c>
      <c r="AV2878" s="6">
        <v>42268</v>
      </c>
      <c r="AW2878" t="s">
        <v>54</v>
      </c>
      <c r="AX2878" t="str">
        <f t="shared" si="238"/>
        <v>FOR</v>
      </c>
      <c r="AY2878" t="s">
        <v>55</v>
      </c>
    </row>
    <row r="2879" spans="1:51" hidden="1">
      <c r="A2879">
        <v>100906</v>
      </c>
      <c r="B2879" t="s">
        <v>362</v>
      </c>
      <c r="C2879" t="str">
        <f t="shared" si="241"/>
        <v>06978161005</v>
      </c>
      <c r="D2879" t="str">
        <f t="shared" si="241"/>
        <v>06978161005</v>
      </c>
      <c r="E2879" t="s">
        <v>52</v>
      </c>
      <c r="F2879">
        <v>2015</v>
      </c>
      <c r="G2879">
        <v>202</v>
      </c>
      <c r="H2879" s="1">
        <v>42265</v>
      </c>
      <c r="I2879" s="1">
        <v>42265</v>
      </c>
      <c r="J2879" s="1">
        <v>42265</v>
      </c>
      <c r="K2879" s="1">
        <v>42325</v>
      </c>
      <c r="N2879" s="5"/>
      <c r="O2879">
        <v>90</v>
      </c>
      <c r="P2879">
        <v>-57</v>
      </c>
      <c r="Q2879" s="2">
        <v>-5130</v>
      </c>
      <c r="R2879">
        <v>0</v>
      </c>
      <c r="V2879">
        <v>0</v>
      </c>
      <c r="W2879">
        <v>0</v>
      </c>
      <c r="X2879">
        <v>0</v>
      </c>
      <c r="Y2879">
        <v>90</v>
      </c>
      <c r="Z2879">
        <v>90</v>
      </c>
      <c r="AA2879">
        <v>90</v>
      </c>
      <c r="AB2879" s="1">
        <v>42382</v>
      </c>
      <c r="AC2879" t="s">
        <v>53</v>
      </c>
      <c r="AD2879" t="s">
        <v>53</v>
      </c>
      <c r="AK2879">
        <v>0</v>
      </c>
      <c r="AU2879" s="6">
        <v>42268</v>
      </c>
      <c r="AV2879" s="6">
        <v>42268</v>
      </c>
      <c r="AW2879" t="s">
        <v>54</v>
      </c>
      <c r="AX2879" t="str">
        <f t="shared" si="238"/>
        <v>FOR</v>
      </c>
      <c r="AY2879" t="s">
        <v>55</v>
      </c>
    </row>
    <row r="2880" spans="1:51" hidden="1">
      <c r="A2880">
        <v>100906</v>
      </c>
      <c r="B2880" t="s">
        <v>362</v>
      </c>
      <c r="C2880" t="str">
        <f t="shared" si="241"/>
        <v>06978161005</v>
      </c>
      <c r="D2880" t="str">
        <f t="shared" si="241"/>
        <v>06978161005</v>
      </c>
      <c r="E2880" t="s">
        <v>52</v>
      </c>
      <c r="F2880">
        <v>2015</v>
      </c>
      <c r="G2880">
        <v>203</v>
      </c>
      <c r="H2880" s="1">
        <v>42265</v>
      </c>
      <c r="I2880" s="1">
        <v>42265</v>
      </c>
      <c r="J2880" s="1">
        <v>42265</v>
      </c>
      <c r="K2880" s="1">
        <v>42325</v>
      </c>
      <c r="N2880" s="5"/>
      <c r="O2880">
        <v>140.01</v>
      </c>
      <c r="P2880">
        <v>-57</v>
      </c>
      <c r="Q2880" s="2">
        <v>-7980.57</v>
      </c>
      <c r="R2880">
        <v>0</v>
      </c>
      <c r="V2880">
        <v>0</v>
      </c>
      <c r="W2880">
        <v>0</v>
      </c>
      <c r="X2880">
        <v>0</v>
      </c>
      <c r="Y2880">
        <v>140.01</v>
      </c>
      <c r="Z2880">
        <v>140.01</v>
      </c>
      <c r="AA2880">
        <v>140.01</v>
      </c>
      <c r="AB2880" s="1">
        <v>42382</v>
      </c>
      <c r="AC2880" t="s">
        <v>53</v>
      </c>
      <c r="AD2880" t="s">
        <v>53</v>
      </c>
      <c r="AK2880">
        <v>0</v>
      </c>
      <c r="AU2880" s="6">
        <v>42268</v>
      </c>
      <c r="AV2880" s="6">
        <v>42268</v>
      </c>
      <c r="AW2880" t="s">
        <v>54</v>
      </c>
      <c r="AX2880" t="str">
        <f t="shared" si="238"/>
        <v>FOR</v>
      </c>
      <c r="AY2880" t="s">
        <v>55</v>
      </c>
    </row>
    <row r="2881" spans="1:51" hidden="1">
      <c r="A2881">
        <v>100906</v>
      </c>
      <c r="B2881" t="s">
        <v>362</v>
      </c>
      <c r="C2881" t="str">
        <f t="shared" si="241"/>
        <v>06978161005</v>
      </c>
      <c r="D2881" t="str">
        <f t="shared" si="241"/>
        <v>06978161005</v>
      </c>
      <c r="E2881" t="s">
        <v>52</v>
      </c>
      <c r="F2881">
        <v>2015</v>
      </c>
      <c r="G2881">
        <v>204</v>
      </c>
      <c r="H2881" s="1">
        <v>42265</v>
      </c>
      <c r="I2881" s="1">
        <v>42265</v>
      </c>
      <c r="J2881" s="1">
        <v>42265</v>
      </c>
      <c r="K2881" s="1">
        <v>42325</v>
      </c>
      <c r="N2881" s="5"/>
      <c r="O2881">
        <v>149.27000000000001</v>
      </c>
      <c r="P2881">
        <v>-57</v>
      </c>
      <c r="Q2881" s="2">
        <v>-8508.39</v>
      </c>
      <c r="R2881">
        <v>0</v>
      </c>
      <c r="V2881">
        <v>0</v>
      </c>
      <c r="W2881">
        <v>0</v>
      </c>
      <c r="X2881">
        <v>0</v>
      </c>
      <c r="Y2881">
        <v>149.27000000000001</v>
      </c>
      <c r="Z2881">
        <v>149.27000000000001</v>
      </c>
      <c r="AA2881">
        <v>149.27000000000001</v>
      </c>
      <c r="AB2881" s="1">
        <v>42382</v>
      </c>
      <c r="AC2881" t="s">
        <v>53</v>
      </c>
      <c r="AD2881" t="s">
        <v>53</v>
      </c>
      <c r="AK2881">
        <v>0</v>
      </c>
      <c r="AU2881" s="6">
        <v>42268</v>
      </c>
      <c r="AV2881" s="6">
        <v>42268</v>
      </c>
      <c r="AW2881" t="s">
        <v>54</v>
      </c>
      <c r="AX2881" t="str">
        <f t="shared" si="238"/>
        <v>FOR</v>
      </c>
      <c r="AY2881" t="s">
        <v>55</v>
      </c>
    </row>
    <row r="2882" spans="1:51" hidden="1">
      <c r="A2882">
        <v>100906</v>
      </c>
      <c r="B2882" t="s">
        <v>362</v>
      </c>
      <c r="C2882" t="str">
        <f t="shared" si="241"/>
        <v>06978161005</v>
      </c>
      <c r="D2882" t="str">
        <f t="shared" si="241"/>
        <v>06978161005</v>
      </c>
      <c r="E2882" t="s">
        <v>52</v>
      </c>
      <c r="F2882">
        <v>2015</v>
      </c>
      <c r="G2882">
        <v>205</v>
      </c>
      <c r="H2882" s="1">
        <v>42268</v>
      </c>
      <c r="I2882" s="1">
        <v>42268</v>
      </c>
      <c r="J2882" s="1">
        <v>42268</v>
      </c>
      <c r="K2882" s="1">
        <v>42328</v>
      </c>
      <c r="N2882" s="5"/>
      <c r="O2882" s="2">
        <v>14959.69</v>
      </c>
      <c r="P2882">
        <v>-60</v>
      </c>
      <c r="Q2882" s="2">
        <v>-897581.4</v>
      </c>
      <c r="R2882">
        <v>0</v>
      </c>
      <c r="V2882">
        <v>0</v>
      </c>
      <c r="W2882">
        <v>0</v>
      </c>
      <c r="X2882">
        <v>0</v>
      </c>
      <c r="Y2882" s="2">
        <v>14959.69</v>
      </c>
      <c r="Z2882" s="2">
        <v>14959.69</v>
      </c>
      <c r="AA2882" s="2">
        <v>14959.69</v>
      </c>
      <c r="AB2882" s="1">
        <v>42382</v>
      </c>
      <c r="AC2882" t="s">
        <v>53</v>
      </c>
      <c r="AD2882" t="s">
        <v>53</v>
      </c>
      <c r="AK2882">
        <v>0</v>
      </c>
      <c r="AU2882" s="6">
        <v>42268</v>
      </c>
      <c r="AV2882" s="6">
        <v>42268</v>
      </c>
      <c r="AW2882" t="s">
        <v>54</v>
      </c>
      <c r="AX2882" t="str">
        <f t="shared" si="238"/>
        <v>FOR</v>
      </c>
      <c r="AY2882" t="s">
        <v>55</v>
      </c>
    </row>
    <row r="2883" spans="1:51" hidden="1">
      <c r="A2883">
        <v>100906</v>
      </c>
      <c r="B2883" t="s">
        <v>362</v>
      </c>
      <c r="C2883" t="str">
        <f t="shared" si="241"/>
        <v>06978161005</v>
      </c>
      <c r="D2883" t="str">
        <f t="shared" si="241"/>
        <v>06978161005</v>
      </c>
      <c r="E2883" t="s">
        <v>52</v>
      </c>
      <c r="F2883">
        <v>2015</v>
      </c>
      <c r="G2883">
        <v>206</v>
      </c>
      <c r="H2883" s="1">
        <v>42268</v>
      </c>
      <c r="I2883" s="1">
        <v>42268</v>
      </c>
      <c r="J2883" s="1">
        <v>42268</v>
      </c>
      <c r="K2883" s="1">
        <v>42328</v>
      </c>
      <c r="N2883" s="5"/>
      <c r="O2883">
        <v>56.02</v>
      </c>
      <c r="P2883">
        <v>-60</v>
      </c>
      <c r="Q2883" s="2">
        <v>-3361.2</v>
      </c>
      <c r="R2883">
        <v>0</v>
      </c>
      <c r="V2883">
        <v>0</v>
      </c>
      <c r="W2883">
        <v>0</v>
      </c>
      <c r="X2883">
        <v>0</v>
      </c>
      <c r="Y2883">
        <v>56.02</v>
      </c>
      <c r="Z2883">
        <v>56.02</v>
      </c>
      <c r="AA2883">
        <v>56.02</v>
      </c>
      <c r="AB2883" s="1">
        <v>42382</v>
      </c>
      <c r="AC2883" t="s">
        <v>53</v>
      </c>
      <c r="AD2883" t="s">
        <v>53</v>
      </c>
      <c r="AK2883">
        <v>0</v>
      </c>
      <c r="AU2883" s="6">
        <v>42268</v>
      </c>
      <c r="AV2883" s="6">
        <v>42268</v>
      </c>
      <c r="AW2883" t="s">
        <v>54</v>
      </c>
      <c r="AX2883" t="str">
        <f t="shared" ref="AX2883:AX2946" si="242">"FOR"</f>
        <v>FOR</v>
      </c>
      <c r="AY2883" t="s">
        <v>55</v>
      </c>
    </row>
    <row r="2884" spans="1:51" hidden="1">
      <c r="A2884">
        <v>100906</v>
      </c>
      <c r="B2884" t="s">
        <v>362</v>
      </c>
      <c r="C2884" t="str">
        <f t="shared" si="241"/>
        <v>06978161005</v>
      </c>
      <c r="D2884" t="str">
        <f t="shared" si="241"/>
        <v>06978161005</v>
      </c>
      <c r="E2884" t="s">
        <v>52</v>
      </c>
      <c r="F2884">
        <v>2015</v>
      </c>
      <c r="G2884">
        <v>207</v>
      </c>
      <c r="H2884" s="1">
        <v>42268</v>
      </c>
      <c r="I2884" s="1">
        <v>42268</v>
      </c>
      <c r="J2884" s="1">
        <v>42268</v>
      </c>
      <c r="K2884" s="1">
        <v>42328</v>
      </c>
      <c r="N2884" s="5"/>
      <c r="O2884">
        <v>75.709999999999994</v>
      </c>
      <c r="P2884">
        <v>-60</v>
      </c>
      <c r="Q2884" s="2">
        <v>-4542.6000000000004</v>
      </c>
      <c r="R2884">
        <v>0</v>
      </c>
      <c r="V2884">
        <v>0</v>
      </c>
      <c r="W2884">
        <v>0</v>
      </c>
      <c r="X2884">
        <v>0</v>
      </c>
      <c r="Y2884">
        <v>75.709999999999994</v>
      </c>
      <c r="Z2884">
        <v>75.709999999999994</v>
      </c>
      <c r="AA2884">
        <v>75.709999999999994</v>
      </c>
      <c r="AB2884" s="1">
        <v>42382</v>
      </c>
      <c r="AC2884" t="s">
        <v>53</v>
      </c>
      <c r="AD2884" t="s">
        <v>53</v>
      </c>
      <c r="AK2884">
        <v>0</v>
      </c>
      <c r="AU2884" s="6">
        <v>42268</v>
      </c>
      <c r="AV2884" s="6">
        <v>42268</v>
      </c>
      <c r="AW2884" t="s">
        <v>54</v>
      </c>
      <c r="AX2884" t="str">
        <f t="shared" si="242"/>
        <v>FOR</v>
      </c>
      <c r="AY2884" t="s">
        <v>55</v>
      </c>
    </row>
    <row r="2885" spans="1:51" hidden="1">
      <c r="A2885">
        <v>100906</v>
      </c>
      <c r="B2885" t="s">
        <v>362</v>
      </c>
      <c r="C2885" t="str">
        <f t="shared" si="241"/>
        <v>06978161005</v>
      </c>
      <c r="D2885" t="str">
        <f t="shared" si="241"/>
        <v>06978161005</v>
      </c>
      <c r="E2885" t="s">
        <v>52</v>
      </c>
      <c r="F2885">
        <v>2015</v>
      </c>
      <c r="G2885">
        <v>208</v>
      </c>
      <c r="H2885" s="1">
        <v>42268</v>
      </c>
      <c r="I2885" s="1">
        <v>42268</v>
      </c>
      <c r="J2885" s="1">
        <v>42268</v>
      </c>
      <c r="K2885" s="1">
        <v>42328</v>
      </c>
      <c r="N2885" s="5"/>
      <c r="O2885">
        <v>231.94</v>
      </c>
      <c r="P2885">
        <v>-60</v>
      </c>
      <c r="Q2885" s="2">
        <v>-13916.4</v>
      </c>
      <c r="R2885">
        <v>0</v>
      </c>
      <c r="V2885">
        <v>0</v>
      </c>
      <c r="W2885">
        <v>0</v>
      </c>
      <c r="X2885">
        <v>0</v>
      </c>
      <c r="Y2885">
        <v>231.94</v>
      </c>
      <c r="Z2885">
        <v>231.94</v>
      </c>
      <c r="AA2885">
        <v>231.94</v>
      </c>
      <c r="AB2885" s="1">
        <v>42382</v>
      </c>
      <c r="AC2885" t="s">
        <v>53</v>
      </c>
      <c r="AD2885" t="s">
        <v>53</v>
      </c>
      <c r="AK2885">
        <v>0</v>
      </c>
      <c r="AU2885" s="6">
        <v>42268</v>
      </c>
      <c r="AV2885" s="6">
        <v>42268</v>
      </c>
      <c r="AW2885" t="s">
        <v>54</v>
      </c>
      <c r="AX2885" t="str">
        <f t="shared" si="242"/>
        <v>FOR</v>
      </c>
      <c r="AY2885" t="s">
        <v>55</v>
      </c>
    </row>
    <row r="2886" spans="1:51" hidden="1">
      <c r="A2886">
        <v>100906</v>
      </c>
      <c r="B2886" t="s">
        <v>362</v>
      </c>
      <c r="C2886" t="str">
        <f t="shared" si="241"/>
        <v>06978161005</v>
      </c>
      <c r="D2886" t="str">
        <f t="shared" si="241"/>
        <v>06978161005</v>
      </c>
      <c r="E2886" t="s">
        <v>52</v>
      </c>
      <c r="F2886">
        <v>2015</v>
      </c>
      <c r="G2886">
        <v>209</v>
      </c>
      <c r="H2886" s="1">
        <v>42268</v>
      </c>
      <c r="I2886" s="1">
        <v>42268</v>
      </c>
      <c r="J2886" s="1">
        <v>42268</v>
      </c>
      <c r="K2886" s="1">
        <v>42328</v>
      </c>
      <c r="N2886" s="5"/>
      <c r="O2886">
        <v>50.37</v>
      </c>
      <c r="P2886">
        <v>-60</v>
      </c>
      <c r="Q2886" s="2">
        <v>-3022.2</v>
      </c>
      <c r="R2886">
        <v>0</v>
      </c>
      <c r="V2886">
        <v>0</v>
      </c>
      <c r="W2886">
        <v>0</v>
      </c>
      <c r="X2886">
        <v>0</v>
      </c>
      <c r="Y2886">
        <v>50.37</v>
      </c>
      <c r="Z2886">
        <v>50.37</v>
      </c>
      <c r="AA2886">
        <v>50.37</v>
      </c>
      <c r="AB2886" s="1">
        <v>42382</v>
      </c>
      <c r="AC2886" t="s">
        <v>53</v>
      </c>
      <c r="AD2886" t="s">
        <v>53</v>
      </c>
      <c r="AK2886">
        <v>0</v>
      </c>
      <c r="AU2886" s="6">
        <v>42268</v>
      </c>
      <c r="AV2886" s="6">
        <v>42268</v>
      </c>
      <c r="AW2886" t="s">
        <v>54</v>
      </c>
      <c r="AX2886" t="str">
        <f t="shared" si="242"/>
        <v>FOR</v>
      </c>
      <c r="AY2886" t="s">
        <v>55</v>
      </c>
    </row>
    <row r="2887" spans="1:51" hidden="1">
      <c r="A2887">
        <v>100906</v>
      </c>
      <c r="B2887" t="s">
        <v>362</v>
      </c>
      <c r="C2887" t="str">
        <f t="shared" ref="C2887:D2906" si="243">"06978161005"</f>
        <v>06978161005</v>
      </c>
      <c r="D2887" t="str">
        <f t="shared" si="243"/>
        <v>06978161005</v>
      </c>
      <c r="E2887" t="s">
        <v>52</v>
      </c>
      <c r="F2887">
        <v>2015</v>
      </c>
      <c r="G2887">
        <v>210</v>
      </c>
      <c r="H2887" s="1">
        <v>42268</v>
      </c>
      <c r="I2887" s="1">
        <v>42268</v>
      </c>
      <c r="J2887" s="1">
        <v>42268</v>
      </c>
      <c r="K2887" s="1">
        <v>42328</v>
      </c>
      <c r="N2887" s="5"/>
      <c r="O2887">
        <v>90</v>
      </c>
      <c r="P2887">
        <v>-60</v>
      </c>
      <c r="Q2887" s="2">
        <v>-5400</v>
      </c>
      <c r="R2887">
        <v>0</v>
      </c>
      <c r="V2887">
        <v>0</v>
      </c>
      <c r="W2887">
        <v>0</v>
      </c>
      <c r="X2887">
        <v>0</v>
      </c>
      <c r="Y2887">
        <v>90</v>
      </c>
      <c r="Z2887">
        <v>90</v>
      </c>
      <c r="AA2887">
        <v>90</v>
      </c>
      <c r="AB2887" s="1">
        <v>42382</v>
      </c>
      <c r="AC2887" t="s">
        <v>53</v>
      </c>
      <c r="AD2887" t="s">
        <v>53</v>
      </c>
      <c r="AK2887">
        <v>0</v>
      </c>
      <c r="AU2887" s="6">
        <v>42268</v>
      </c>
      <c r="AV2887" s="6">
        <v>42268</v>
      </c>
      <c r="AW2887" t="s">
        <v>54</v>
      </c>
      <c r="AX2887" t="str">
        <f t="shared" si="242"/>
        <v>FOR</v>
      </c>
      <c r="AY2887" t="s">
        <v>55</v>
      </c>
    </row>
    <row r="2888" spans="1:51" hidden="1">
      <c r="A2888">
        <v>100906</v>
      </c>
      <c r="B2888" t="s">
        <v>362</v>
      </c>
      <c r="C2888" t="str">
        <f t="shared" si="243"/>
        <v>06978161005</v>
      </c>
      <c r="D2888" t="str">
        <f t="shared" si="243"/>
        <v>06978161005</v>
      </c>
      <c r="E2888" t="s">
        <v>52</v>
      </c>
      <c r="F2888">
        <v>2015</v>
      </c>
      <c r="G2888">
        <v>237</v>
      </c>
      <c r="H2888" s="1">
        <v>42293</v>
      </c>
      <c r="I2888" s="1">
        <v>42293</v>
      </c>
      <c r="J2888" s="1">
        <v>42293</v>
      </c>
      <c r="K2888" s="1">
        <v>42353</v>
      </c>
      <c r="L2888" s="5">
        <v>90</v>
      </c>
      <c r="M2888" s="5">
        <v>-34</v>
      </c>
      <c r="N2888" s="7">
        <v>-3060</v>
      </c>
      <c r="O2888">
        <v>90</v>
      </c>
      <c r="P2888">
        <v>-34</v>
      </c>
      <c r="Q2888" s="2">
        <v>-3060</v>
      </c>
      <c r="R2888">
        <v>0</v>
      </c>
      <c r="V2888">
        <v>90</v>
      </c>
      <c r="W2888">
        <v>90</v>
      </c>
      <c r="X2888">
        <v>90</v>
      </c>
      <c r="Y2888">
        <v>90</v>
      </c>
      <c r="Z2888">
        <v>90</v>
      </c>
      <c r="AA2888">
        <v>90</v>
      </c>
      <c r="AB2888" s="1">
        <v>42382</v>
      </c>
      <c r="AC2888" t="s">
        <v>53</v>
      </c>
      <c r="AD2888" t="s">
        <v>53</v>
      </c>
      <c r="AK2888">
        <v>0</v>
      </c>
      <c r="AU2888" s="6">
        <v>42319</v>
      </c>
      <c r="AV2888" s="6">
        <v>42319</v>
      </c>
      <c r="AW2888" t="s">
        <v>54</v>
      </c>
      <c r="AX2888" t="str">
        <f t="shared" si="242"/>
        <v>FOR</v>
      </c>
      <c r="AY2888" t="s">
        <v>55</v>
      </c>
    </row>
    <row r="2889" spans="1:51" hidden="1">
      <c r="A2889">
        <v>100906</v>
      </c>
      <c r="B2889" t="s">
        <v>362</v>
      </c>
      <c r="C2889" t="str">
        <f t="shared" si="243"/>
        <v>06978161005</v>
      </c>
      <c r="D2889" t="str">
        <f t="shared" si="243"/>
        <v>06978161005</v>
      </c>
      <c r="E2889" t="s">
        <v>52</v>
      </c>
      <c r="F2889">
        <v>2015</v>
      </c>
      <c r="G2889">
        <v>248</v>
      </c>
      <c r="H2889" s="1">
        <v>42313</v>
      </c>
      <c r="I2889" s="1">
        <v>42313</v>
      </c>
      <c r="J2889" s="1">
        <v>42313</v>
      </c>
      <c r="K2889" s="1">
        <v>42373</v>
      </c>
      <c r="L2889" s="7">
        <v>14959</v>
      </c>
      <c r="M2889" s="5">
        <v>-54</v>
      </c>
      <c r="N2889" s="7">
        <v>-807786</v>
      </c>
      <c r="O2889" s="2">
        <v>14959</v>
      </c>
      <c r="P2889">
        <v>-54</v>
      </c>
      <c r="Q2889" s="2">
        <v>-807786</v>
      </c>
      <c r="R2889">
        <v>0</v>
      </c>
      <c r="V2889" s="2">
        <v>14959</v>
      </c>
      <c r="W2889" s="2">
        <v>14959</v>
      </c>
      <c r="X2889" s="2">
        <v>14959</v>
      </c>
      <c r="Y2889" s="2">
        <v>14959</v>
      </c>
      <c r="Z2889" s="2">
        <v>14959</v>
      </c>
      <c r="AA2889" s="2">
        <v>14959</v>
      </c>
      <c r="AB2889" s="1">
        <v>42382</v>
      </c>
      <c r="AC2889" t="s">
        <v>53</v>
      </c>
      <c r="AD2889" t="s">
        <v>53</v>
      </c>
      <c r="AK2889">
        <v>0</v>
      </c>
      <c r="AU2889" s="6">
        <v>42319</v>
      </c>
      <c r="AV2889" s="6">
        <v>42319</v>
      </c>
      <c r="AW2889" t="s">
        <v>54</v>
      </c>
      <c r="AX2889" t="str">
        <f t="shared" si="242"/>
        <v>FOR</v>
      </c>
      <c r="AY2889" t="s">
        <v>55</v>
      </c>
    </row>
    <row r="2890" spans="1:51" hidden="1">
      <c r="A2890">
        <v>100906</v>
      </c>
      <c r="B2890" t="s">
        <v>362</v>
      </c>
      <c r="C2890" t="str">
        <f t="shared" si="243"/>
        <v>06978161005</v>
      </c>
      <c r="D2890" t="str">
        <f t="shared" si="243"/>
        <v>06978161005</v>
      </c>
      <c r="E2890" t="s">
        <v>52</v>
      </c>
      <c r="F2890">
        <v>2015</v>
      </c>
      <c r="G2890">
        <v>249</v>
      </c>
      <c r="H2890" s="1">
        <v>42314</v>
      </c>
      <c r="I2890" s="1">
        <v>42314</v>
      </c>
      <c r="J2890" s="1">
        <v>42314</v>
      </c>
      <c r="K2890" s="1">
        <v>42427</v>
      </c>
      <c r="L2890" s="5">
        <v>195.25</v>
      </c>
      <c r="M2890" s="5">
        <v>-108</v>
      </c>
      <c r="N2890" s="7">
        <v>-21087</v>
      </c>
      <c r="O2890">
        <v>195.25</v>
      </c>
      <c r="P2890">
        <v>-108</v>
      </c>
      <c r="Q2890" s="2">
        <v>-21087</v>
      </c>
      <c r="R2890">
        <v>0</v>
      </c>
      <c r="V2890">
        <v>195.25</v>
      </c>
      <c r="W2890">
        <v>195.25</v>
      </c>
      <c r="X2890">
        <v>195.25</v>
      </c>
      <c r="Y2890">
        <v>195.25</v>
      </c>
      <c r="Z2890">
        <v>195.25</v>
      </c>
      <c r="AA2890">
        <v>195.25</v>
      </c>
      <c r="AB2890" s="1">
        <v>42382</v>
      </c>
      <c r="AC2890" t="s">
        <v>53</v>
      </c>
      <c r="AD2890" t="s">
        <v>53</v>
      </c>
      <c r="AK2890">
        <v>0</v>
      </c>
      <c r="AU2890" s="6">
        <v>42319</v>
      </c>
      <c r="AV2890" s="6">
        <v>42319</v>
      </c>
      <c r="AW2890" t="s">
        <v>54</v>
      </c>
      <c r="AX2890" t="str">
        <f t="shared" si="242"/>
        <v>FOR</v>
      </c>
      <c r="AY2890" t="s">
        <v>55</v>
      </c>
    </row>
    <row r="2891" spans="1:51" hidden="1">
      <c r="A2891">
        <v>100906</v>
      </c>
      <c r="B2891" t="s">
        <v>362</v>
      </c>
      <c r="C2891" t="str">
        <f t="shared" si="243"/>
        <v>06978161005</v>
      </c>
      <c r="D2891" t="str">
        <f t="shared" si="243"/>
        <v>06978161005</v>
      </c>
      <c r="E2891" t="s">
        <v>52</v>
      </c>
      <c r="F2891">
        <v>2015</v>
      </c>
      <c r="G2891">
        <v>250</v>
      </c>
      <c r="H2891" s="1">
        <v>42314</v>
      </c>
      <c r="I2891" s="1">
        <v>42314</v>
      </c>
      <c r="J2891" s="1">
        <v>42314</v>
      </c>
      <c r="K2891" s="1">
        <v>42427</v>
      </c>
      <c r="L2891" s="5">
        <v>83.26</v>
      </c>
      <c r="M2891" s="5">
        <v>-108</v>
      </c>
      <c r="N2891" s="7">
        <v>-8992.08</v>
      </c>
      <c r="O2891">
        <v>83.26</v>
      </c>
      <c r="P2891">
        <v>-108</v>
      </c>
      <c r="Q2891" s="2">
        <v>-8992.08</v>
      </c>
      <c r="R2891">
        <v>0</v>
      </c>
      <c r="V2891">
        <v>83.26</v>
      </c>
      <c r="W2891">
        <v>83.26</v>
      </c>
      <c r="X2891">
        <v>83.26</v>
      </c>
      <c r="Y2891">
        <v>83.26</v>
      </c>
      <c r="Z2891">
        <v>83.26</v>
      </c>
      <c r="AA2891">
        <v>83.26</v>
      </c>
      <c r="AB2891" s="1">
        <v>42382</v>
      </c>
      <c r="AC2891" t="s">
        <v>53</v>
      </c>
      <c r="AD2891" t="s">
        <v>53</v>
      </c>
      <c r="AK2891">
        <v>0</v>
      </c>
      <c r="AU2891" s="6">
        <v>42319</v>
      </c>
      <c r="AV2891" s="6">
        <v>42319</v>
      </c>
      <c r="AW2891" t="s">
        <v>54</v>
      </c>
      <c r="AX2891" t="str">
        <f t="shared" si="242"/>
        <v>FOR</v>
      </c>
      <c r="AY2891" t="s">
        <v>55</v>
      </c>
    </row>
    <row r="2892" spans="1:51" hidden="1">
      <c r="A2892">
        <v>100906</v>
      </c>
      <c r="B2892" t="s">
        <v>362</v>
      </c>
      <c r="C2892" t="str">
        <f t="shared" si="243"/>
        <v>06978161005</v>
      </c>
      <c r="D2892" t="str">
        <f t="shared" si="243"/>
        <v>06978161005</v>
      </c>
      <c r="E2892" t="s">
        <v>52</v>
      </c>
      <c r="F2892">
        <v>2015</v>
      </c>
      <c r="G2892">
        <v>252</v>
      </c>
      <c r="H2892" s="1">
        <v>42318</v>
      </c>
      <c r="I2892" s="1">
        <v>42318</v>
      </c>
      <c r="J2892" s="1">
        <v>42318</v>
      </c>
      <c r="K2892" s="1">
        <v>42373</v>
      </c>
      <c r="L2892" s="5">
        <v>145.71</v>
      </c>
      <c r="M2892" s="5">
        <v>-54</v>
      </c>
      <c r="N2892" s="7">
        <v>-7868.34</v>
      </c>
      <c r="O2892">
        <v>145.71</v>
      </c>
      <c r="P2892">
        <v>-54</v>
      </c>
      <c r="Q2892" s="2">
        <v>-7868.34</v>
      </c>
      <c r="R2892">
        <v>0</v>
      </c>
      <c r="V2892">
        <v>145.71</v>
      </c>
      <c r="W2892">
        <v>145.71</v>
      </c>
      <c r="X2892">
        <v>145.71</v>
      </c>
      <c r="Y2892">
        <v>145.71</v>
      </c>
      <c r="Z2892">
        <v>145.71</v>
      </c>
      <c r="AA2892">
        <v>145.71</v>
      </c>
      <c r="AB2892" s="1">
        <v>42382</v>
      </c>
      <c r="AC2892" t="s">
        <v>53</v>
      </c>
      <c r="AD2892" t="s">
        <v>53</v>
      </c>
      <c r="AK2892">
        <v>0</v>
      </c>
      <c r="AU2892" s="6">
        <v>42319</v>
      </c>
      <c r="AV2892" s="6">
        <v>42319</v>
      </c>
      <c r="AW2892" t="s">
        <v>54</v>
      </c>
      <c r="AX2892" t="str">
        <f t="shared" si="242"/>
        <v>FOR</v>
      </c>
      <c r="AY2892" t="s">
        <v>55</v>
      </c>
    </row>
    <row r="2893" spans="1:51" hidden="1">
      <c r="A2893">
        <v>100906</v>
      </c>
      <c r="B2893" t="s">
        <v>362</v>
      </c>
      <c r="C2893" t="str">
        <f t="shared" si="243"/>
        <v>06978161005</v>
      </c>
      <c r="D2893" t="str">
        <f t="shared" si="243"/>
        <v>06978161005</v>
      </c>
      <c r="E2893" t="s">
        <v>52</v>
      </c>
      <c r="F2893">
        <v>2015</v>
      </c>
      <c r="G2893">
        <v>253</v>
      </c>
      <c r="H2893" s="1">
        <v>42318</v>
      </c>
      <c r="I2893" s="1">
        <v>42318</v>
      </c>
      <c r="J2893" s="1">
        <v>42318</v>
      </c>
      <c r="K2893" s="1">
        <v>42378</v>
      </c>
      <c r="L2893" s="5">
        <v>489.34</v>
      </c>
      <c r="M2893" s="5">
        <v>-59</v>
      </c>
      <c r="N2893" s="7">
        <v>-28871.06</v>
      </c>
      <c r="O2893">
        <v>489.34</v>
      </c>
      <c r="P2893">
        <v>-59</v>
      </c>
      <c r="Q2893" s="2">
        <v>-28871.06</v>
      </c>
      <c r="R2893">
        <v>0</v>
      </c>
      <c r="V2893">
        <v>489.34</v>
      </c>
      <c r="W2893">
        <v>489.34</v>
      </c>
      <c r="X2893">
        <v>489.34</v>
      </c>
      <c r="Y2893">
        <v>489.34</v>
      </c>
      <c r="Z2893">
        <v>489.34</v>
      </c>
      <c r="AA2893">
        <v>489.34</v>
      </c>
      <c r="AB2893" s="1">
        <v>42382</v>
      </c>
      <c r="AC2893" t="s">
        <v>53</v>
      </c>
      <c r="AD2893" t="s">
        <v>53</v>
      </c>
      <c r="AK2893">
        <v>0</v>
      </c>
      <c r="AU2893" s="6">
        <v>42319</v>
      </c>
      <c r="AV2893" s="6">
        <v>42319</v>
      </c>
      <c r="AW2893" t="s">
        <v>54</v>
      </c>
      <c r="AX2893" t="str">
        <f t="shared" si="242"/>
        <v>FOR</v>
      </c>
      <c r="AY2893" t="s">
        <v>55</v>
      </c>
    </row>
    <row r="2894" spans="1:51" hidden="1">
      <c r="A2894">
        <v>100906</v>
      </c>
      <c r="B2894" t="s">
        <v>362</v>
      </c>
      <c r="C2894" t="str">
        <f t="shared" si="243"/>
        <v>06978161005</v>
      </c>
      <c r="D2894" t="str">
        <f t="shared" si="243"/>
        <v>06978161005</v>
      </c>
      <c r="E2894" t="s">
        <v>52</v>
      </c>
      <c r="F2894">
        <v>2015</v>
      </c>
      <c r="G2894">
        <v>254</v>
      </c>
      <c r="H2894" s="1">
        <v>42318</v>
      </c>
      <c r="I2894" s="1">
        <v>42318</v>
      </c>
      <c r="J2894" s="1">
        <v>42318</v>
      </c>
      <c r="K2894" s="1">
        <v>42378</v>
      </c>
      <c r="L2894" s="5">
        <v>103.17</v>
      </c>
      <c r="M2894" s="5">
        <v>-59</v>
      </c>
      <c r="N2894" s="7">
        <v>-6087.03</v>
      </c>
      <c r="O2894">
        <v>103.17</v>
      </c>
      <c r="P2894">
        <v>-59</v>
      </c>
      <c r="Q2894" s="2">
        <v>-6087.03</v>
      </c>
      <c r="R2894">
        <v>0</v>
      </c>
      <c r="V2894">
        <v>103.17</v>
      </c>
      <c r="W2894">
        <v>103.17</v>
      </c>
      <c r="X2894">
        <v>103.17</v>
      </c>
      <c r="Y2894">
        <v>103.17</v>
      </c>
      <c r="Z2894">
        <v>103.17</v>
      </c>
      <c r="AA2894">
        <v>103.17</v>
      </c>
      <c r="AB2894" s="1">
        <v>42382</v>
      </c>
      <c r="AC2894" t="s">
        <v>53</v>
      </c>
      <c r="AD2894" t="s">
        <v>53</v>
      </c>
      <c r="AK2894">
        <v>0</v>
      </c>
      <c r="AU2894" s="6">
        <v>42319</v>
      </c>
      <c r="AV2894" s="6">
        <v>42319</v>
      </c>
      <c r="AW2894" t="s">
        <v>54</v>
      </c>
      <c r="AX2894" t="str">
        <f t="shared" si="242"/>
        <v>FOR</v>
      </c>
      <c r="AY2894" t="s">
        <v>55</v>
      </c>
    </row>
    <row r="2895" spans="1:51" hidden="1">
      <c r="A2895">
        <v>100906</v>
      </c>
      <c r="B2895" t="s">
        <v>362</v>
      </c>
      <c r="C2895" t="str">
        <f t="shared" si="243"/>
        <v>06978161005</v>
      </c>
      <c r="D2895" t="str">
        <f t="shared" si="243"/>
        <v>06978161005</v>
      </c>
      <c r="E2895" t="s">
        <v>52</v>
      </c>
      <c r="F2895">
        <v>2015</v>
      </c>
      <c r="G2895">
        <v>255</v>
      </c>
      <c r="H2895" s="1">
        <v>42318</v>
      </c>
      <c r="I2895" s="1">
        <v>42318</v>
      </c>
      <c r="J2895" s="1">
        <v>42318</v>
      </c>
      <c r="K2895" s="1">
        <v>42378</v>
      </c>
      <c r="L2895" s="5">
        <v>2</v>
      </c>
      <c r="M2895" s="5">
        <v>-59</v>
      </c>
      <c r="N2895" s="5">
        <v>-118</v>
      </c>
      <c r="O2895">
        <v>2</v>
      </c>
      <c r="P2895">
        <v>-59</v>
      </c>
      <c r="Q2895">
        <v>-118</v>
      </c>
      <c r="R2895">
        <v>0</v>
      </c>
      <c r="V2895">
        <v>2</v>
      </c>
      <c r="W2895">
        <v>2</v>
      </c>
      <c r="X2895">
        <v>2</v>
      </c>
      <c r="Y2895">
        <v>2</v>
      </c>
      <c r="Z2895">
        <v>2</v>
      </c>
      <c r="AA2895">
        <v>2</v>
      </c>
      <c r="AB2895" s="1">
        <v>42382</v>
      </c>
      <c r="AC2895" t="s">
        <v>53</v>
      </c>
      <c r="AD2895" t="s">
        <v>53</v>
      </c>
      <c r="AK2895">
        <v>0</v>
      </c>
      <c r="AU2895" s="6">
        <v>42319</v>
      </c>
      <c r="AV2895" s="6">
        <v>42319</v>
      </c>
      <c r="AW2895" t="s">
        <v>54</v>
      </c>
      <c r="AX2895" t="str">
        <f t="shared" si="242"/>
        <v>FOR</v>
      </c>
      <c r="AY2895" t="s">
        <v>55</v>
      </c>
    </row>
    <row r="2896" spans="1:51" hidden="1">
      <c r="A2896">
        <v>100906</v>
      </c>
      <c r="B2896" t="s">
        <v>362</v>
      </c>
      <c r="C2896" t="str">
        <f t="shared" si="243"/>
        <v>06978161005</v>
      </c>
      <c r="D2896" t="str">
        <f t="shared" si="243"/>
        <v>06978161005</v>
      </c>
      <c r="E2896" t="s">
        <v>52</v>
      </c>
      <c r="F2896">
        <v>2015</v>
      </c>
      <c r="G2896">
        <v>256</v>
      </c>
      <c r="H2896" s="1">
        <v>42318</v>
      </c>
      <c r="I2896" s="1">
        <v>42318</v>
      </c>
      <c r="J2896" s="1">
        <v>42318</v>
      </c>
      <c r="K2896" s="1">
        <v>42378</v>
      </c>
      <c r="L2896" s="7">
        <v>1674.56</v>
      </c>
      <c r="M2896" s="5">
        <v>-59</v>
      </c>
      <c r="N2896" s="7">
        <v>-98799.039999999994</v>
      </c>
      <c r="O2896" s="2">
        <v>1674.56</v>
      </c>
      <c r="P2896">
        <v>-59</v>
      </c>
      <c r="Q2896" s="2">
        <v>-98799.039999999994</v>
      </c>
      <c r="R2896">
        <v>0</v>
      </c>
      <c r="V2896" s="2">
        <v>1674.56</v>
      </c>
      <c r="W2896" s="2">
        <v>1674.56</v>
      </c>
      <c r="X2896" s="2">
        <v>1674.56</v>
      </c>
      <c r="Y2896" s="2">
        <v>1674.56</v>
      </c>
      <c r="Z2896" s="2">
        <v>1674.56</v>
      </c>
      <c r="AA2896" s="2">
        <v>1674.56</v>
      </c>
      <c r="AB2896" s="1">
        <v>42382</v>
      </c>
      <c r="AC2896" t="s">
        <v>53</v>
      </c>
      <c r="AD2896" t="s">
        <v>53</v>
      </c>
      <c r="AK2896">
        <v>0</v>
      </c>
      <c r="AU2896" s="6">
        <v>42319</v>
      </c>
      <c r="AV2896" s="6">
        <v>42319</v>
      </c>
      <c r="AW2896" t="s">
        <v>54</v>
      </c>
      <c r="AX2896" t="str">
        <f t="shared" si="242"/>
        <v>FOR</v>
      </c>
      <c r="AY2896" t="s">
        <v>55</v>
      </c>
    </row>
    <row r="2897" spans="1:51" hidden="1">
      <c r="A2897">
        <v>100906</v>
      </c>
      <c r="B2897" t="s">
        <v>362</v>
      </c>
      <c r="C2897" t="str">
        <f t="shared" si="243"/>
        <v>06978161005</v>
      </c>
      <c r="D2897" t="str">
        <f t="shared" si="243"/>
        <v>06978161005</v>
      </c>
      <c r="E2897" t="s">
        <v>52</v>
      </c>
      <c r="F2897">
        <v>2015</v>
      </c>
      <c r="G2897">
        <v>257</v>
      </c>
      <c r="H2897" s="1">
        <v>42318</v>
      </c>
      <c r="I2897" s="1">
        <v>42318</v>
      </c>
      <c r="J2897" s="1">
        <v>42318</v>
      </c>
      <c r="K2897" s="1">
        <v>42378</v>
      </c>
      <c r="L2897" s="7">
        <v>14959.69</v>
      </c>
      <c r="M2897" s="5">
        <v>-59</v>
      </c>
      <c r="N2897" s="7">
        <v>-882621.71</v>
      </c>
      <c r="O2897" s="2">
        <v>14959.69</v>
      </c>
      <c r="P2897">
        <v>-59</v>
      </c>
      <c r="Q2897" s="2">
        <v>-882621.71</v>
      </c>
      <c r="R2897">
        <v>0</v>
      </c>
      <c r="V2897" s="2">
        <v>14959.69</v>
      </c>
      <c r="W2897" s="2">
        <v>14959.69</v>
      </c>
      <c r="X2897" s="2">
        <v>14959.69</v>
      </c>
      <c r="Y2897" s="2">
        <v>14959.69</v>
      </c>
      <c r="Z2897" s="2">
        <v>14959.69</v>
      </c>
      <c r="AA2897" s="2">
        <v>14959.69</v>
      </c>
      <c r="AB2897" s="1">
        <v>42382</v>
      </c>
      <c r="AC2897" t="s">
        <v>53</v>
      </c>
      <c r="AD2897" t="s">
        <v>53</v>
      </c>
      <c r="AK2897">
        <v>0</v>
      </c>
      <c r="AU2897" s="6">
        <v>42319</v>
      </c>
      <c r="AV2897" s="6">
        <v>42319</v>
      </c>
      <c r="AW2897" t="s">
        <v>54</v>
      </c>
      <c r="AX2897" t="str">
        <f t="shared" si="242"/>
        <v>FOR</v>
      </c>
      <c r="AY2897" t="s">
        <v>55</v>
      </c>
    </row>
    <row r="2898" spans="1:51" hidden="1">
      <c r="A2898">
        <v>100906</v>
      </c>
      <c r="B2898" t="s">
        <v>362</v>
      </c>
      <c r="C2898" t="str">
        <f t="shared" si="243"/>
        <v>06978161005</v>
      </c>
      <c r="D2898" t="str">
        <f t="shared" si="243"/>
        <v>06978161005</v>
      </c>
      <c r="E2898" t="s">
        <v>52</v>
      </c>
      <c r="F2898">
        <v>2015</v>
      </c>
      <c r="G2898">
        <v>258</v>
      </c>
      <c r="H2898" s="1">
        <v>42318</v>
      </c>
      <c r="I2898" s="1">
        <v>42318</v>
      </c>
      <c r="J2898" s="1">
        <v>42318</v>
      </c>
      <c r="K2898" s="1">
        <v>42378</v>
      </c>
      <c r="L2898" s="7">
        <v>6666.66</v>
      </c>
      <c r="M2898" s="5">
        <v>-59</v>
      </c>
      <c r="N2898" s="7">
        <v>-393332.94</v>
      </c>
      <c r="O2898" s="2">
        <v>6666.66</v>
      </c>
      <c r="P2898">
        <v>-59</v>
      </c>
      <c r="Q2898" s="2">
        <v>-393332.94</v>
      </c>
      <c r="R2898">
        <v>0</v>
      </c>
      <c r="V2898" s="2">
        <v>6666.66</v>
      </c>
      <c r="W2898" s="2">
        <v>6666.66</v>
      </c>
      <c r="X2898" s="2">
        <v>6666.66</v>
      </c>
      <c r="Y2898" s="2">
        <v>6666.66</v>
      </c>
      <c r="Z2898" s="2">
        <v>6666.66</v>
      </c>
      <c r="AA2898" s="2">
        <v>6666.66</v>
      </c>
      <c r="AB2898" s="1">
        <v>42382</v>
      </c>
      <c r="AC2898" t="s">
        <v>53</v>
      </c>
      <c r="AD2898" t="s">
        <v>53</v>
      </c>
      <c r="AK2898">
        <v>0</v>
      </c>
      <c r="AU2898" s="6">
        <v>42319</v>
      </c>
      <c r="AV2898" s="6">
        <v>42319</v>
      </c>
      <c r="AW2898" t="s">
        <v>54</v>
      </c>
      <c r="AX2898" t="str">
        <f t="shared" si="242"/>
        <v>FOR</v>
      </c>
      <c r="AY2898" t="s">
        <v>55</v>
      </c>
    </row>
    <row r="2899" spans="1:51" hidden="1">
      <c r="A2899">
        <v>100906</v>
      </c>
      <c r="B2899" t="s">
        <v>362</v>
      </c>
      <c r="C2899" t="str">
        <f t="shared" si="243"/>
        <v>06978161005</v>
      </c>
      <c r="D2899" t="str">
        <f t="shared" si="243"/>
        <v>06978161005</v>
      </c>
      <c r="E2899" t="s">
        <v>52</v>
      </c>
      <c r="F2899">
        <v>2015</v>
      </c>
      <c r="G2899">
        <v>259</v>
      </c>
      <c r="H2899" s="1">
        <v>42318</v>
      </c>
      <c r="I2899" s="1">
        <v>42318</v>
      </c>
      <c r="J2899" s="1">
        <v>42318</v>
      </c>
      <c r="K2899" s="1">
        <v>42378</v>
      </c>
      <c r="L2899" s="7">
        <v>14959</v>
      </c>
      <c r="M2899" s="5">
        <v>-59</v>
      </c>
      <c r="N2899" s="7">
        <v>-882581</v>
      </c>
      <c r="O2899" s="2">
        <v>14959</v>
      </c>
      <c r="P2899">
        <v>-59</v>
      </c>
      <c r="Q2899" s="2">
        <v>-882581</v>
      </c>
      <c r="R2899">
        <v>0</v>
      </c>
      <c r="V2899" s="2">
        <v>14959</v>
      </c>
      <c r="W2899" s="2">
        <v>14959</v>
      </c>
      <c r="X2899" s="2">
        <v>14959</v>
      </c>
      <c r="Y2899" s="2">
        <v>14959</v>
      </c>
      <c r="Z2899" s="2">
        <v>14959</v>
      </c>
      <c r="AA2899" s="2">
        <v>14959</v>
      </c>
      <c r="AB2899" s="1">
        <v>42382</v>
      </c>
      <c r="AC2899" t="s">
        <v>53</v>
      </c>
      <c r="AD2899" t="s">
        <v>53</v>
      </c>
      <c r="AK2899">
        <v>0</v>
      </c>
      <c r="AU2899" s="6">
        <v>42319</v>
      </c>
      <c r="AV2899" s="6">
        <v>42319</v>
      </c>
      <c r="AW2899" t="s">
        <v>54</v>
      </c>
      <c r="AX2899" t="str">
        <f t="shared" si="242"/>
        <v>FOR</v>
      </c>
      <c r="AY2899" t="s">
        <v>55</v>
      </c>
    </row>
    <row r="2900" spans="1:51" hidden="1">
      <c r="A2900">
        <v>100906</v>
      </c>
      <c r="B2900" t="s">
        <v>362</v>
      </c>
      <c r="C2900" t="str">
        <f t="shared" si="243"/>
        <v>06978161005</v>
      </c>
      <c r="D2900" t="str">
        <f t="shared" si="243"/>
        <v>06978161005</v>
      </c>
      <c r="E2900" t="s">
        <v>52</v>
      </c>
      <c r="F2900">
        <v>2015</v>
      </c>
      <c r="G2900">
        <v>263</v>
      </c>
      <c r="H2900" s="1">
        <v>42318</v>
      </c>
      <c r="I2900" s="1">
        <v>42318</v>
      </c>
      <c r="J2900" s="1">
        <v>42318</v>
      </c>
      <c r="K2900" s="1">
        <v>42378</v>
      </c>
      <c r="L2900" s="7">
        <v>14959.69</v>
      </c>
      <c r="M2900" s="5">
        <v>-59</v>
      </c>
      <c r="N2900" s="7">
        <v>-882621.71</v>
      </c>
      <c r="O2900" s="2">
        <v>14959.69</v>
      </c>
      <c r="P2900">
        <v>-59</v>
      </c>
      <c r="Q2900" s="2">
        <v>-882621.71</v>
      </c>
      <c r="R2900">
        <v>0</v>
      </c>
      <c r="V2900" s="2">
        <v>14959.69</v>
      </c>
      <c r="W2900" s="2">
        <v>14959.69</v>
      </c>
      <c r="X2900" s="2">
        <v>14959.69</v>
      </c>
      <c r="Y2900" s="2">
        <v>14959.69</v>
      </c>
      <c r="Z2900" s="2">
        <v>14959.69</v>
      </c>
      <c r="AA2900" s="2">
        <v>14959.69</v>
      </c>
      <c r="AB2900" s="1">
        <v>42382</v>
      </c>
      <c r="AC2900" t="s">
        <v>53</v>
      </c>
      <c r="AD2900" t="s">
        <v>53</v>
      </c>
      <c r="AK2900">
        <v>0</v>
      </c>
      <c r="AU2900" s="6">
        <v>42319</v>
      </c>
      <c r="AV2900" s="6">
        <v>42319</v>
      </c>
      <c r="AW2900" t="s">
        <v>54</v>
      </c>
      <c r="AX2900" t="str">
        <f t="shared" si="242"/>
        <v>FOR</v>
      </c>
      <c r="AY2900" t="s">
        <v>55</v>
      </c>
    </row>
    <row r="2901" spans="1:51" hidden="1">
      <c r="A2901">
        <v>100906</v>
      </c>
      <c r="B2901" t="s">
        <v>362</v>
      </c>
      <c r="C2901" t="str">
        <f t="shared" si="243"/>
        <v>06978161005</v>
      </c>
      <c r="D2901" t="str">
        <f t="shared" si="243"/>
        <v>06978161005</v>
      </c>
      <c r="E2901" t="s">
        <v>52</v>
      </c>
      <c r="F2901">
        <v>2015</v>
      </c>
      <c r="G2901">
        <v>273</v>
      </c>
      <c r="H2901" s="1">
        <v>42335</v>
      </c>
      <c r="I2901" s="1">
        <v>42335</v>
      </c>
      <c r="J2901" s="1">
        <v>42335</v>
      </c>
      <c r="K2901" s="1">
        <v>42395</v>
      </c>
      <c r="L2901" s="5">
        <v>125.32</v>
      </c>
      <c r="M2901" s="5">
        <v>-47</v>
      </c>
      <c r="N2901" s="7">
        <v>-5890.04</v>
      </c>
      <c r="O2901">
        <v>125.32</v>
      </c>
      <c r="P2901">
        <v>-47</v>
      </c>
      <c r="Q2901" s="2">
        <v>-5890.04</v>
      </c>
      <c r="R2901">
        <v>0</v>
      </c>
      <c r="V2901">
        <v>125.32</v>
      </c>
      <c r="W2901">
        <v>125.32</v>
      </c>
      <c r="X2901">
        <v>125.32</v>
      </c>
      <c r="Y2901">
        <v>125.32</v>
      </c>
      <c r="Z2901">
        <v>125.32</v>
      </c>
      <c r="AA2901">
        <v>125.32</v>
      </c>
      <c r="AB2901" s="1">
        <v>42382</v>
      </c>
      <c r="AC2901" t="s">
        <v>53</v>
      </c>
      <c r="AD2901" t="s">
        <v>53</v>
      </c>
      <c r="AK2901">
        <v>0</v>
      </c>
      <c r="AU2901" s="6">
        <v>42348</v>
      </c>
      <c r="AV2901" s="6">
        <v>42348</v>
      </c>
      <c r="AW2901" t="s">
        <v>54</v>
      </c>
      <c r="AX2901" t="str">
        <f t="shared" si="242"/>
        <v>FOR</v>
      </c>
      <c r="AY2901" t="s">
        <v>55</v>
      </c>
    </row>
    <row r="2902" spans="1:51" hidden="1">
      <c r="A2902">
        <v>100906</v>
      </c>
      <c r="B2902" t="s">
        <v>362</v>
      </c>
      <c r="C2902" t="str">
        <f t="shared" si="243"/>
        <v>06978161005</v>
      </c>
      <c r="D2902" t="str">
        <f t="shared" si="243"/>
        <v>06978161005</v>
      </c>
      <c r="E2902" t="s">
        <v>52</v>
      </c>
      <c r="F2902">
        <v>2015</v>
      </c>
      <c r="G2902">
        <v>274</v>
      </c>
      <c r="H2902" s="1">
        <v>42335</v>
      </c>
      <c r="I2902" s="1">
        <v>42335</v>
      </c>
      <c r="J2902" s="1">
        <v>42335</v>
      </c>
      <c r="K2902" s="1">
        <v>42395</v>
      </c>
      <c r="L2902" s="5">
        <v>123.95</v>
      </c>
      <c r="M2902" s="5">
        <v>-47</v>
      </c>
      <c r="N2902" s="7">
        <v>-5825.65</v>
      </c>
      <c r="O2902">
        <v>123.95</v>
      </c>
      <c r="P2902">
        <v>-47</v>
      </c>
      <c r="Q2902" s="2">
        <v>-5825.65</v>
      </c>
      <c r="R2902">
        <v>0</v>
      </c>
      <c r="V2902">
        <v>123.95</v>
      </c>
      <c r="W2902">
        <v>123.95</v>
      </c>
      <c r="X2902">
        <v>123.95</v>
      </c>
      <c r="Y2902">
        <v>123.95</v>
      </c>
      <c r="Z2902">
        <v>123.95</v>
      </c>
      <c r="AA2902">
        <v>123.95</v>
      </c>
      <c r="AB2902" s="1">
        <v>42382</v>
      </c>
      <c r="AC2902" t="s">
        <v>53</v>
      </c>
      <c r="AD2902" t="s">
        <v>53</v>
      </c>
      <c r="AK2902">
        <v>0</v>
      </c>
      <c r="AU2902" s="6">
        <v>42348</v>
      </c>
      <c r="AV2902" s="6">
        <v>42348</v>
      </c>
      <c r="AW2902" t="s">
        <v>54</v>
      </c>
      <c r="AX2902" t="str">
        <f t="shared" si="242"/>
        <v>FOR</v>
      </c>
      <c r="AY2902" t="s">
        <v>55</v>
      </c>
    </row>
    <row r="2903" spans="1:51" hidden="1">
      <c r="A2903">
        <v>100906</v>
      </c>
      <c r="B2903" t="s">
        <v>362</v>
      </c>
      <c r="C2903" t="str">
        <f t="shared" si="243"/>
        <v>06978161005</v>
      </c>
      <c r="D2903" t="str">
        <f t="shared" si="243"/>
        <v>06978161005</v>
      </c>
      <c r="E2903" t="s">
        <v>52</v>
      </c>
      <c r="F2903">
        <v>2015</v>
      </c>
      <c r="G2903">
        <v>275</v>
      </c>
      <c r="H2903" s="1">
        <v>42335</v>
      </c>
      <c r="I2903" s="1">
        <v>42335</v>
      </c>
      <c r="J2903" s="1">
        <v>42335</v>
      </c>
      <c r="K2903" s="1">
        <v>42395</v>
      </c>
      <c r="L2903" s="5">
        <v>86.8</v>
      </c>
      <c r="M2903" s="5">
        <v>-47</v>
      </c>
      <c r="N2903" s="7">
        <v>-4079.6</v>
      </c>
      <c r="O2903">
        <v>86.8</v>
      </c>
      <c r="P2903">
        <v>-47</v>
      </c>
      <c r="Q2903" s="2">
        <v>-4079.6</v>
      </c>
      <c r="R2903">
        <v>0</v>
      </c>
      <c r="V2903">
        <v>86.8</v>
      </c>
      <c r="W2903">
        <v>86.8</v>
      </c>
      <c r="X2903">
        <v>86.8</v>
      </c>
      <c r="Y2903">
        <v>86.8</v>
      </c>
      <c r="Z2903">
        <v>86.8</v>
      </c>
      <c r="AA2903">
        <v>86.8</v>
      </c>
      <c r="AB2903" s="1">
        <v>42382</v>
      </c>
      <c r="AC2903" t="s">
        <v>53</v>
      </c>
      <c r="AD2903" t="s">
        <v>53</v>
      </c>
      <c r="AK2903">
        <v>0</v>
      </c>
      <c r="AU2903" s="6">
        <v>42348</v>
      </c>
      <c r="AV2903" s="6">
        <v>42348</v>
      </c>
      <c r="AW2903" t="s">
        <v>54</v>
      </c>
      <c r="AX2903" t="str">
        <f t="shared" si="242"/>
        <v>FOR</v>
      </c>
      <c r="AY2903" t="s">
        <v>55</v>
      </c>
    </row>
    <row r="2904" spans="1:51" hidden="1">
      <c r="A2904">
        <v>100906</v>
      </c>
      <c r="B2904" t="s">
        <v>362</v>
      </c>
      <c r="C2904" t="str">
        <f t="shared" si="243"/>
        <v>06978161005</v>
      </c>
      <c r="D2904" t="str">
        <f t="shared" si="243"/>
        <v>06978161005</v>
      </c>
      <c r="E2904" t="s">
        <v>52</v>
      </c>
      <c r="F2904">
        <v>2015</v>
      </c>
      <c r="G2904">
        <v>276</v>
      </c>
      <c r="H2904" s="1">
        <v>42335</v>
      </c>
      <c r="I2904" s="1">
        <v>42335</v>
      </c>
      <c r="J2904" s="1">
        <v>42335</v>
      </c>
      <c r="K2904" s="1">
        <v>42395</v>
      </c>
      <c r="L2904" s="5">
        <v>90</v>
      </c>
      <c r="M2904" s="5">
        <v>-47</v>
      </c>
      <c r="N2904" s="7">
        <v>-4230</v>
      </c>
      <c r="O2904">
        <v>90</v>
      </c>
      <c r="P2904">
        <v>-47</v>
      </c>
      <c r="Q2904" s="2">
        <v>-4230</v>
      </c>
      <c r="R2904">
        <v>0</v>
      </c>
      <c r="V2904">
        <v>90</v>
      </c>
      <c r="W2904">
        <v>90</v>
      </c>
      <c r="X2904">
        <v>90</v>
      </c>
      <c r="Y2904">
        <v>90</v>
      </c>
      <c r="Z2904">
        <v>90</v>
      </c>
      <c r="AA2904">
        <v>90</v>
      </c>
      <c r="AB2904" s="1">
        <v>42382</v>
      </c>
      <c r="AC2904" t="s">
        <v>53</v>
      </c>
      <c r="AD2904" t="s">
        <v>53</v>
      </c>
      <c r="AK2904">
        <v>0</v>
      </c>
      <c r="AU2904" s="6">
        <v>42348</v>
      </c>
      <c r="AV2904" s="6">
        <v>42348</v>
      </c>
      <c r="AW2904" t="s">
        <v>54</v>
      </c>
      <c r="AX2904" t="str">
        <f t="shared" si="242"/>
        <v>FOR</v>
      </c>
      <c r="AY2904" t="s">
        <v>55</v>
      </c>
    </row>
    <row r="2905" spans="1:51" hidden="1">
      <c r="A2905">
        <v>100906</v>
      </c>
      <c r="B2905" t="s">
        <v>362</v>
      </c>
      <c r="C2905" t="str">
        <f t="shared" si="243"/>
        <v>06978161005</v>
      </c>
      <c r="D2905" t="str">
        <f t="shared" si="243"/>
        <v>06978161005</v>
      </c>
      <c r="E2905" t="s">
        <v>52</v>
      </c>
      <c r="F2905">
        <v>2015</v>
      </c>
      <c r="G2905">
        <v>277</v>
      </c>
      <c r="H2905" s="1">
        <v>42335</v>
      </c>
      <c r="I2905" s="1">
        <v>42335</v>
      </c>
      <c r="J2905" s="1">
        <v>42335</v>
      </c>
      <c r="K2905" s="1">
        <v>42395</v>
      </c>
      <c r="L2905" s="5">
        <v>408.48</v>
      </c>
      <c r="M2905" s="5">
        <v>-47</v>
      </c>
      <c r="N2905" s="7">
        <v>-19198.560000000001</v>
      </c>
      <c r="O2905">
        <v>408.48</v>
      </c>
      <c r="P2905">
        <v>-47</v>
      </c>
      <c r="Q2905" s="2">
        <v>-19198.560000000001</v>
      </c>
      <c r="R2905">
        <v>0</v>
      </c>
      <c r="V2905">
        <v>408.48</v>
      </c>
      <c r="W2905">
        <v>408.48</v>
      </c>
      <c r="X2905">
        <v>408.48</v>
      </c>
      <c r="Y2905">
        <v>408.48</v>
      </c>
      <c r="Z2905">
        <v>408.48</v>
      </c>
      <c r="AA2905">
        <v>408.48</v>
      </c>
      <c r="AB2905" s="1">
        <v>42382</v>
      </c>
      <c r="AC2905" t="s">
        <v>53</v>
      </c>
      <c r="AD2905" t="s">
        <v>53</v>
      </c>
      <c r="AK2905">
        <v>0</v>
      </c>
      <c r="AU2905" s="6">
        <v>42348</v>
      </c>
      <c r="AV2905" s="6">
        <v>42348</v>
      </c>
      <c r="AW2905" t="s">
        <v>54</v>
      </c>
      <c r="AX2905" t="str">
        <f t="shared" si="242"/>
        <v>FOR</v>
      </c>
      <c r="AY2905" t="s">
        <v>55</v>
      </c>
    </row>
    <row r="2906" spans="1:51" hidden="1">
      <c r="A2906">
        <v>100906</v>
      </c>
      <c r="B2906" t="s">
        <v>362</v>
      </c>
      <c r="C2906" t="str">
        <f t="shared" si="243"/>
        <v>06978161005</v>
      </c>
      <c r="D2906" t="str">
        <f t="shared" si="243"/>
        <v>06978161005</v>
      </c>
      <c r="E2906" t="s">
        <v>52</v>
      </c>
      <c r="F2906">
        <v>2015</v>
      </c>
      <c r="G2906">
        <v>280</v>
      </c>
      <c r="H2906" s="1">
        <v>42335</v>
      </c>
      <c r="I2906" s="1">
        <v>42335</v>
      </c>
      <c r="J2906" s="1">
        <v>42335</v>
      </c>
      <c r="K2906" s="1">
        <v>42395</v>
      </c>
      <c r="L2906" s="7">
        <v>14959</v>
      </c>
      <c r="M2906" s="5">
        <v>-47</v>
      </c>
      <c r="N2906" s="7">
        <v>-703073</v>
      </c>
      <c r="O2906" s="2">
        <v>14959</v>
      </c>
      <c r="P2906">
        <v>-47</v>
      </c>
      <c r="Q2906" s="2">
        <v>-703073</v>
      </c>
      <c r="R2906">
        <v>0</v>
      </c>
      <c r="V2906" s="2">
        <v>14959</v>
      </c>
      <c r="W2906" s="2">
        <v>14959</v>
      </c>
      <c r="X2906" s="2">
        <v>14959</v>
      </c>
      <c r="Y2906" s="2">
        <v>14959</v>
      </c>
      <c r="Z2906" s="2">
        <v>14959</v>
      </c>
      <c r="AA2906" s="2">
        <v>14959</v>
      </c>
      <c r="AB2906" s="1">
        <v>42382</v>
      </c>
      <c r="AC2906" t="s">
        <v>53</v>
      </c>
      <c r="AD2906" t="s">
        <v>53</v>
      </c>
      <c r="AK2906">
        <v>0</v>
      </c>
      <c r="AU2906" s="6">
        <v>42348</v>
      </c>
      <c r="AV2906" s="6">
        <v>42348</v>
      </c>
      <c r="AW2906" t="s">
        <v>54</v>
      </c>
      <c r="AX2906" t="str">
        <f t="shared" si="242"/>
        <v>FOR</v>
      </c>
      <c r="AY2906" t="s">
        <v>55</v>
      </c>
    </row>
    <row r="2907" spans="1:51" hidden="1">
      <c r="A2907">
        <v>100906</v>
      </c>
      <c r="B2907" t="s">
        <v>362</v>
      </c>
      <c r="C2907" t="str">
        <f t="shared" ref="C2907:D2913" si="244">"06978161005"</f>
        <v>06978161005</v>
      </c>
      <c r="D2907" t="str">
        <f t="shared" si="244"/>
        <v>06978161005</v>
      </c>
      <c r="E2907" t="s">
        <v>52</v>
      </c>
      <c r="F2907">
        <v>2015</v>
      </c>
      <c r="G2907">
        <v>283</v>
      </c>
      <c r="H2907" s="1">
        <v>42348</v>
      </c>
      <c r="I2907" s="1">
        <v>42348</v>
      </c>
      <c r="J2907" s="1">
        <v>42348</v>
      </c>
      <c r="K2907" s="1">
        <v>42408</v>
      </c>
      <c r="L2907" s="7">
        <v>14959.69</v>
      </c>
      <c r="M2907" s="5">
        <v>-60</v>
      </c>
      <c r="N2907" s="7">
        <v>-897581.4</v>
      </c>
      <c r="O2907" s="2">
        <v>14959.69</v>
      </c>
      <c r="P2907">
        <v>-60</v>
      </c>
      <c r="Q2907" s="2">
        <v>-897581.4</v>
      </c>
      <c r="R2907">
        <v>0</v>
      </c>
      <c r="V2907" s="2">
        <v>14959.69</v>
      </c>
      <c r="W2907" s="2">
        <v>14959.69</v>
      </c>
      <c r="X2907" s="2">
        <v>14959.69</v>
      </c>
      <c r="Y2907" s="2">
        <v>14959.69</v>
      </c>
      <c r="Z2907" s="2">
        <v>14959.69</v>
      </c>
      <c r="AA2907" s="2">
        <v>14959.69</v>
      </c>
      <c r="AB2907" s="1">
        <v>42382</v>
      </c>
      <c r="AC2907" t="s">
        <v>53</v>
      </c>
      <c r="AD2907" t="s">
        <v>53</v>
      </c>
      <c r="AK2907">
        <v>0</v>
      </c>
      <c r="AU2907" s="6">
        <v>42348</v>
      </c>
      <c r="AV2907" s="6">
        <v>42348</v>
      </c>
      <c r="AW2907" t="s">
        <v>54</v>
      </c>
      <c r="AX2907" t="str">
        <f t="shared" si="242"/>
        <v>FOR</v>
      </c>
      <c r="AY2907" t="s">
        <v>55</v>
      </c>
    </row>
    <row r="2908" spans="1:51" hidden="1">
      <c r="A2908">
        <v>100906</v>
      </c>
      <c r="B2908" t="s">
        <v>362</v>
      </c>
      <c r="C2908" t="str">
        <f t="shared" si="244"/>
        <v>06978161005</v>
      </c>
      <c r="D2908" t="str">
        <f t="shared" si="244"/>
        <v>06978161005</v>
      </c>
      <c r="E2908" t="s">
        <v>52</v>
      </c>
      <c r="F2908">
        <v>2015</v>
      </c>
      <c r="G2908">
        <v>287</v>
      </c>
      <c r="H2908" s="1">
        <v>42352</v>
      </c>
      <c r="I2908" s="1">
        <v>42352</v>
      </c>
      <c r="J2908" s="1">
        <v>42352</v>
      </c>
      <c r="K2908" s="1">
        <v>42412</v>
      </c>
      <c r="L2908" s="5">
        <v>391.16</v>
      </c>
      <c r="M2908" s="5">
        <v>-59</v>
      </c>
      <c r="N2908" s="7">
        <v>-23078.44</v>
      </c>
      <c r="O2908">
        <v>391.16</v>
      </c>
      <c r="P2908">
        <v>-59</v>
      </c>
      <c r="Q2908" s="2">
        <v>-23078.44</v>
      </c>
      <c r="R2908">
        <v>0</v>
      </c>
      <c r="V2908">
        <v>391.16</v>
      </c>
      <c r="W2908">
        <v>391.16</v>
      </c>
      <c r="X2908">
        <v>391.16</v>
      </c>
      <c r="Y2908">
        <v>391.16</v>
      </c>
      <c r="Z2908">
        <v>391.16</v>
      </c>
      <c r="AA2908">
        <v>391.16</v>
      </c>
      <c r="AB2908" s="1">
        <v>42382</v>
      </c>
      <c r="AC2908" t="s">
        <v>53</v>
      </c>
      <c r="AD2908" t="s">
        <v>53</v>
      </c>
      <c r="AK2908">
        <v>0</v>
      </c>
      <c r="AU2908" s="6">
        <v>42353</v>
      </c>
      <c r="AV2908" s="6">
        <v>42353</v>
      </c>
      <c r="AW2908" t="s">
        <v>54</v>
      </c>
      <c r="AX2908" t="str">
        <f t="shared" si="242"/>
        <v>FOR</v>
      </c>
      <c r="AY2908" t="s">
        <v>55</v>
      </c>
    </row>
    <row r="2909" spans="1:51" hidden="1">
      <c r="A2909">
        <v>100906</v>
      </c>
      <c r="B2909" t="s">
        <v>362</v>
      </c>
      <c r="C2909" t="str">
        <f t="shared" si="244"/>
        <v>06978161005</v>
      </c>
      <c r="D2909" t="str">
        <f t="shared" si="244"/>
        <v>06978161005</v>
      </c>
      <c r="E2909" t="s">
        <v>52</v>
      </c>
      <c r="F2909">
        <v>2015</v>
      </c>
      <c r="G2909">
        <v>288</v>
      </c>
      <c r="H2909" s="1">
        <v>42352</v>
      </c>
      <c r="I2909" s="1">
        <v>42352</v>
      </c>
      <c r="J2909" s="1">
        <v>42352</v>
      </c>
      <c r="K2909" s="1">
        <v>42412</v>
      </c>
      <c r="L2909" s="5">
        <v>137.34</v>
      </c>
      <c r="M2909" s="5">
        <v>-59</v>
      </c>
      <c r="N2909" s="7">
        <v>-8103.06</v>
      </c>
      <c r="O2909">
        <v>137.34</v>
      </c>
      <c r="P2909">
        <v>-59</v>
      </c>
      <c r="Q2909" s="2">
        <v>-8103.06</v>
      </c>
      <c r="R2909">
        <v>0</v>
      </c>
      <c r="V2909">
        <v>137.34</v>
      </c>
      <c r="W2909">
        <v>137.34</v>
      </c>
      <c r="X2909">
        <v>137.34</v>
      </c>
      <c r="Y2909">
        <v>137.34</v>
      </c>
      <c r="Z2909">
        <v>137.34</v>
      </c>
      <c r="AA2909">
        <v>137.34</v>
      </c>
      <c r="AB2909" s="1">
        <v>42382</v>
      </c>
      <c r="AC2909" t="s">
        <v>53</v>
      </c>
      <c r="AD2909" t="s">
        <v>53</v>
      </c>
      <c r="AK2909">
        <v>0</v>
      </c>
      <c r="AU2909" s="6">
        <v>42353</v>
      </c>
      <c r="AV2909" s="6">
        <v>42353</v>
      </c>
      <c r="AW2909" t="s">
        <v>54</v>
      </c>
      <c r="AX2909" t="str">
        <f t="shared" si="242"/>
        <v>FOR</v>
      </c>
      <c r="AY2909" t="s">
        <v>55</v>
      </c>
    </row>
    <row r="2910" spans="1:51" hidden="1">
      <c r="A2910">
        <v>100906</v>
      </c>
      <c r="B2910" t="s">
        <v>362</v>
      </c>
      <c r="C2910" t="str">
        <f t="shared" si="244"/>
        <v>06978161005</v>
      </c>
      <c r="D2910" t="str">
        <f t="shared" si="244"/>
        <v>06978161005</v>
      </c>
      <c r="E2910" t="s">
        <v>52</v>
      </c>
      <c r="F2910">
        <v>2015</v>
      </c>
      <c r="G2910">
        <v>289</v>
      </c>
      <c r="H2910" s="1">
        <v>42352</v>
      </c>
      <c r="I2910" s="1">
        <v>42352</v>
      </c>
      <c r="J2910" s="1">
        <v>42352</v>
      </c>
      <c r="K2910" s="1">
        <v>42412</v>
      </c>
      <c r="L2910" s="5">
        <v>162.69</v>
      </c>
      <c r="M2910" s="5">
        <v>-59</v>
      </c>
      <c r="N2910" s="7">
        <v>-9598.7099999999991</v>
      </c>
      <c r="O2910">
        <v>162.69</v>
      </c>
      <c r="P2910">
        <v>-59</v>
      </c>
      <c r="Q2910" s="2">
        <v>-9598.7099999999991</v>
      </c>
      <c r="R2910">
        <v>0</v>
      </c>
      <c r="V2910">
        <v>162.69</v>
      </c>
      <c r="W2910">
        <v>162.69</v>
      </c>
      <c r="X2910">
        <v>162.69</v>
      </c>
      <c r="Y2910">
        <v>162.69</v>
      </c>
      <c r="Z2910">
        <v>162.69</v>
      </c>
      <c r="AA2910">
        <v>162.69</v>
      </c>
      <c r="AB2910" s="1">
        <v>42382</v>
      </c>
      <c r="AC2910" t="s">
        <v>53</v>
      </c>
      <c r="AD2910" t="s">
        <v>53</v>
      </c>
      <c r="AK2910">
        <v>0</v>
      </c>
      <c r="AU2910" s="6">
        <v>42353</v>
      </c>
      <c r="AV2910" s="6">
        <v>42353</v>
      </c>
      <c r="AW2910" t="s">
        <v>54</v>
      </c>
      <c r="AX2910" t="str">
        <f t="shared" si="242"/>
        <v>FOR</v>
      </c>
      <c r="AY2910" t="s">
        <v>55</v>
      </c>
    </row>
    <row r="2911" spans="1:51" hidden="1">
      <c r="A2911">
        <v>100906</v>
      </c>
      <c r="B2911" t="s">
        <v>362</v>
      </c>
      <c r="C2911" t="str">
        <f t="shared" si="244"/>
        <v>06978161005</v>
      </c>
      <c r="D2911" t="str">
        <f t="shared" si="244"/>
        <v>06978161005</v>
      </c>
      <c r="E2911" t="s">
        <v>52</v>
      </c>
      <c r="F2911">
        <v>2015</v>
      </c>
      <c r="G2911">
        <v>290</v>
      </c>
      <c r="H2911" s="1">
        <v>42352</v>
      </c>
      <c r="I2911" s="1">
        <v>42352</v>
      </c>
      <c r="J2911" s="1">
        <v>42352</v>
      </c>
      <c r="K2911" s="1">
        <v>42412</v>
      </c>
      <c r="L2911" s="7">
        <v>14959</v>
      </c>
      <c r="M2911" s="5">
        <v>-51</v>
      </c>
      <c r="N2911" s="7">
        <v>-762909</v>
      </c>
      <c r="O2911" s="2">
        <v>14959</v>
      </c>
      <c r="P2911">
        <v>-51</v>
      </c>
      <c r="Q2911" s="2">
        <v>-762909</v>
      </c>
      <c r="R2911">
        <v>0</v>
      </c>
      <c r="V2911" s="2">
        <v>14959</v>
      </c>
      <c r="W2911" s="2">
        <v>14959</v>
      </c>
      <c r="X2911" s="2">
        <v>14959</v>
      </c>
      <c r="Y2911" s="2">
        <v>14959</v>
      </c>
      <c r="Z2911" s="2">
        <v>14959</v>
      </c>
      <c r="AA2911" s="2">
        <v>14959</v>
      </c>
      <c r="AB2911" s="1">
        <v>42382</v>
      </c>
      <c r="AC2911" t="s">
        <v>53</v>
      </c>
      <c r="AD2911" t="s">
        <v>53</v>
      </c>
      <c r="AK2911">
        <v>0</v>
      </c>
      <c r="AU2911" s="6">
        <v>42361</v>
      </c>
      <c r="AV2911" s="6">
        <v>42361</v>
      </c>
      <c r="AW2911" t="s">
        <v>54</v>
      </c>
      <c r="AX2911" t="str">
        <f t="shared" si="242"/>
        <v>FOR</v>
      </c>
      <c r="AY2911" t="s">
        <v>55</v>
      </c>
    </row>
    <row r="2912" spans="1:51" hidden="1">
      <c r="A2912">
        <v>100906</v>
      </c>
      <c r="B2912" t="s">
        <v>362</v>
      </c>
      <c r="C2912" t="str">
        <f t="shared" si="244"/>
        <v>06978161005</v>
      </c>
      <c r="D2912" t="str">
        <f t="shared" si="244"/>
        <v>06978161005</v>
      </c>
      <c r="E2912" t="s">
        <v>52</v>
      </c>
      <c r="F2912">
        <v>2015</v>
      </c>
      <c r="G2912">
        <v>292</v>
      </c>
      <c r="H2912" s="1">
        <v>42356</v>
      </c>
      <c r="I2912" s="1">
        <v>42356</v>
      </c>
      <c r="J2912" s="1">
        <v>42356</v>
      </c>
      <c r="K2912" s="1">
        <v>42416</v>
      </c>
      <c r="L2912" s="5">
        <v>90</v>
      </c>
      <c r="M2912" s="5">
        <v>-60</v>
      </c>
      <c r="N2912" s="7">
        <v>-5400</v>
      </c>
      <c r="O2912">
        <v>90</v>
      </c>
      <c r="P2912">
        <v>-60</v>
      </c>
      <c r="Q2912" s="2">
        <v>-5400</v>
      </c>
      <c r="R2912">
        <v>0</v>
      </c>
      <c r="V2912">
        <v>90</v>
      </c>
      <c r="W2912">
        <v>90</v>
      </c>
      <c r="X2912">
        <v>90</v>
      </c>
      <c r="Y2912">
        <v>90</v>
      </c>
      <c r="Z2912">
        <v>90</v>
      </c>
      <c r="AA2912">
        <v>90</v>
      </c>
      <c r="AB2912" s="1">
        <v>42382</v>
      </c>
      <c r="AC2912" t="s">
        <v>53</v>
      </c>
      <c r="AD2912" t="s">
        <v>53</v>
      </c>
      <c r="AK2912">
        <v>0</v>
      </c>
      <c r="AU2912" s="6">
        <v>42356</v>
      </c>
      <c r="AV2912" s="6">
        <v>42356</v>
      </c>
      <c r="AW2912" t="s">
        <v>54</v>
      </c>
      <c r="AX2912" t="str">
        <f t="shared" si="242"/>
        <v>FOR</v>
      </c>
      <c r="AY2912" t="s">
        <v>55</v>
      </c>
    </row>
    <row r="2913" spans="1:51" hidden="1">
      <c r="A2913">
        <v>100906</v>
      </c>
      <c r="B2913" t="s">
        <v>362</v>
      </c>
      <c r="C2913" t="str">
        <f t="shared" si="244"/>
        <v>06978161005</v>
      </c>
      <c r="D2913" t="str">
        <f t="shared" si="244"/>
        <v>06978161005</v>
      </c>
      <c r="E2913" t="s">
        <v>52</v>
      </c>
      <c r="F2913">
        <v>2015</v>
      </c>
      <c r="G2913">
        <v>293</v>
      </c>
      <c r="H2913" s="1">
        <v>42356</v>
      </c>
      <c r="I2913" s="1">
        <v>42356</v>
      </c>
      <c r="J2913" s="1">
        <v>42356</v>
      </c>
      <c r="K2913" s="1">
        <v>42416</v>
      </c>
      <c r="L2913" s="5">
        <v>96.58</v>
      </c>
      <c r="M2913" s="5">
        <v>-60</v>
      </c>
      <c r="N2913" s="7">
        <v>-5794.8</v>
      </c>
      <c r="O2913">
        <v>96.58</v>
      </c>
      <c r="P2913">
        <v>-60</v>
      </c>
      <c r="Q2913" s="2">
        <v>-5794.8</v>
      </c>
      <c r="R2913">
        <v>0</v>
      </c>
      <c r="V2913">
        <v>96.58</v>
      </c>
      <c r="W2913">
        <v>96.58</v>
      </c>
      <c r="X2913">
        <v>96.58</v>
      </c>
      <c r="Y2913">
        <v>96.58</v>
      </c>
      <c r="Z2913">
        <v>96.58</v>
      </c>
      <c r="AA2913">
        <v>96.58</v>
      </c>
      <c r="AB2913" s="1">
        <v>42382</v>
      </c>
      <c r="AC2913" t="s">
        <v>53</v>
      </c>
      <c r="AD2913" t="s">
        <v>53</v>
      </c>
      <c r="AK2913">
        <v>0</v>
      </c>
      <c r="AU2913" s="6">
        <v>42356</v>
      </c>
      <c r="AV2913" s="6">
        <v>42356</v>
      </c>
      <c r="AW2913" t="s">
        <v>54</v>
      </c>
      <c r="AX2913" t="str">
        <f t="shared" si="242"/>
        <v>FOR</v>
      </c>
      <c r="AY2913" t="s">
        <v>55</v>
      </c>
    </row>
    <row r="2914" spans="1:51" hidden="1">
      <c r="A2914">
        <v>100916</v>
      </c>
      <c r="B2914" t="s">
        <v>363</v>
      </c>
      <c r="C2914" t="str">
        <f t="shared" ref="C2914:D2941" si="245">"06117251212"</f>
        <v>06117251212</v>
      </c>
      <c r="D2914" t="str">
        <f t="shared" si="245"/>
        <v>06117251212</v>
      </c>
      <c r="E2914" t="s">
        <v>52</v>
      </c>
      <c r="F2914">
        <v>2014</v>
      </c>
      <c r="G2914">
        <v>1</v>
      </c>
      <c r="H2914" s="1">
        <v>41668</v>
      </c>
      <c r="I2914" s="1">
        <v>41684</v>
      </c>
      <c r="J2914" s="1">
        <v>41684</v>
      </c>
      <c r="K2914" s="1">
        <v>41774</v>
      </c>
      <c r="N2914" s="5"/>
      <c r="O2914" s="2">
        <v>36600</v>
      </c>
      <c r="P2914">
        <v>300</v>
      </c>
      <c r="Q2914" s="2">
        <v>10980000</v>
      </c>
      <c r="R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 s="1">
        <v>42382</v>
      </c>
      <c r="AC2914" t="s">
        <v>53</v>
      </c>
      <c r="AD2914" t="s">
        <v>53</v>
      </c>
      <c r="AK2914">
        <v>0</v>
      </c>
      <c r="AU2914" s="6">
        <v>42074</v>
      </c>
      <c r="AV2914" s="6">
        <v>42074</v>
      </c>
      <c r="AW2914" t="s">
        <v>54</v>
      </c>
      <c r="AX2914" t="str">
        <f t="shared" si="242"/>
        <v>FOR</v>
      </c>
      <c r="AY2914" t="s">
        <v>55</v>
      </c>
    </row>
    <row r="2915" spans="1:51" hidden="1">
      <c r="A2915">
        <v>100916</v>
      </c>
      <c r="B2915" t="s">
        <v>363</v>
      </c>
      <c r="C2915" t="str">
        <f t="shared" si="245"/>
        <v>06117251212</v>
      </c>
      <c r="D2915" t="str">
        <f t="shared" si="245"/>
        <v>06117251212</v>
      </c>
      <c r="E2915" t="s">
        <v>52</v>
      </c>
      <c r="F2915">
        <v>2014</v>
      </c>
      <c r="G2915">
        <v>2</v>
      </c>
      <c r="H2915" s="1">
        <v>41668</v>
      </c>
      <c r="I2915" s="1">
        <v>41684</v>
      </c>
      <c r="J2915" s="1">
        <v>41684</v>
      </c>
      <c r="K2915" s="1">
        <v>41774</v>
      </c>
      <c r="N2915" s="5"/>
      <c r="O2915" s="2">
        <v>16085.7</v>
      </c>
      <c r="P2915">
        <v>300</v>
      </c>
      <c r="Q2915" s="2">
        <v>4825710</v>
      </c>
      <c r="R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 s="1">
        <v>42382</v>
      </c>
      <c r="AC2915" t="s">
        <v>53</v>
      </c>
      <c r="AD2915" t="s">
        <v>53</v>
      </c>
      <c r="AK2915">
        <v>0</v>
      </c>
      <c r="AU2915" s="6">
        <v>42074</v>
      </c>
      <c r="AV2915" s="6">
        <v>42074</v>
      </c>
      <c r="AW2915" t="s">
        <v>54</v>
      </c>
      <c r="AX2915" t="str">
        <f t="shared" si="242"/>
        <v>FOR</v>
      </c>
      <c r="AY2915" t="s">
        <v>55</v>
      </c>
    </row>
    <row r="2916" spans="1:51" hidden="1">
      <c r="A2916">
        <v>100916</v>
      </c>
      <c r="B2916" t="s">
        <v>363</v>
      </c>
      <c r="C2916" t="str">
        <f t="shared" si="245"/>
        <v>06117251212</v>
      </c>
      <c r="D2916" t="str">
        <f t="shared" si="245"/>
        <v>06117251212</v>
      </c>
      <c r="E2916" t="s">
        <v>52</v>
      </c>
      <c r="F2916">
        <v>2014</v>
      </c>
      <c r="G2916">
        <v>7</v>
      </c>
      <c r="H2916" s="1">
        <v>41695</v>
      </c>
      <c r="I2916" s="1">
        <v>41722</v>
      </c>
      <c r="J2916" s="1">
        <v>41722</v>
      </c>
      <c r="K2916" s="1">
        <v>41812</v>
      </c>
      <c r="N2916" s="5"/>
      <c r="O2916" s="2">
        <v>36600</v>
      </c>
      <c r="P2916">
        <v>262</v>
      </c>
      <c r="Q2916" s="2">
        <v>9589200</v>
      </c>
      <c r="R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 s="1">
        <v>42382</v>
      </c>
      <c r="AC2916" t="s">
        <v>53</v>
      </c>
      <c r="AD2916" t="s">
        <v>53</v>
      </c>
      <c r="AK2916">
        <v>0</v>
      </c>
      <c r="AU2916" s="6">
        <v>42074</v>
      </c>
      <c r="AV2916" s="6">
        <v>42074</v>
      </c>
      <c r="AW2916" t="s">
        <v>54</v>
      </c>
      <c r="AX2916" t="str">
        <f t="shared" si="242"/>
        <v>FOR</v>
      </c>
      <c r="AY2916" t="s">
        <v>55</v>
      </c>
    </row>
    <row r="2917" spans="1:51" hidden="1">
      <c r="A2917">
        <v>100916</v>
      </c>
      <c r="B2917" t="s">
        <v>363</v>
      </c>
      <c r="C2917" t="str">
        <f t="shared" si="245"/>
        <v>06117251212</v>
      </c>
      <c r="D2917" t="str">
        <f t="shared" si="245"/>
        <v>06117251212</v>
      </c>
      <c r="E2917" t="s">
        <v>52</v>
      </c>
      <c r="F2917">
        <v>2014</v>
      </c>
      <c r="G2917">
        <v>8</v>
      </c>
      <c r="H2917" s="1">
        <v>41695</v>
      </c>
      <c r="I2917" s="1">
        <v>41722</v>
      </c>
      <c r="J2917" s="1">
        <v>41722</v>
      </c>
      <c r="K2917" s="1">
        <v>41812</v>
      </c>
      <c r="N2917" s="5"/>
      <c r="O2917" s="2">
        <v>7644.52</v>
      </c>
      <c r="P2917">
        <v>262</v>
      </c>
      <c r="Q2917" s="2">
        <v>2002864.24</v>
      </c>
      <c r="R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 s="1">
        <v>42382</v>
      </c>
      <c r="AC2917" t="s">
        <v>53</v>
      </c>
      <c r="AD2917" t="s">
        <v>53</v>
      </c>
      <c r="AK2917">
        <v>0</v>
      </c>
      <c r="AU2917" s="6">
        <v>42074</v>
      </c>
      <c r="AV2917" s="6">
        <v>42074</v>
      </c>
      <c r="AW2917" t="s">
        <v>54</v>
      </c>
      <c r="AX2917" t="str">
        <f t="shared" si="242"/>
        <v>FOR</v>
      </c>
      <c r="AY2917" t="s">
        <v>55</v>
      </c>
    </row>
    <row r="2918" spans="1:51" hidden="1">
      <c r="A2918">
        <v>100916</v>
      </c>
      <c r="B2918" t="s">
        <v>363</v>
      </c>
      <c r="C2918" t="str">
        <f t="shared" si="245"/>
        <v>06117251212</v>
      </c>
      <c r="D2918" t="str">
        <f t="shared" si="245"/>
        <v>06117251212</v>
      </c>
      <c r="E2918" t="s">
        <v>52</v>
      </c>
      <c r="F2918">
        <v>2014</v>
      </c>
      <c r="G2918">
        <v>17</v>
      </c>
      <c r="H2918" s="1">
        <v>41711</v>
      </c>
      <c r="I2918" s="1">
        <v>41722</v>
      </c>
      <c r="J2918" s="1">
        <v>41722</v>
      </c>
      <c r="K2918" s="1">
        <v>41812</v>
      </c>
      <c r="N2918" s="5"/>
      <c r="O2918" s="2">
        <v>14896.2</v>
      </c>
      <c r="P2918">
        <v>262</v>
      </c>
      <c r="Q2918" s="2">
        <v>3902804.4</v>
      </c>
      <c r="R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 s="1">
        <v>42382</v>
      </c>
      <c r="AC2918" t="s">
        <v>53</v>
      </c>
      <c r="AD2918" t="s">
        <v>53</v>
      </c>
      <c r="AK2918">
        <v>0</v>
      </c>
      <c r="AU2918" s="6">
        <v>42074</v>
      </c>
      <c r="AV2918" s="6">
        <v>42074</v>
      </c>
      <c r="AW2918" t="s">
        <v>54</v>
      </c>
      <c r="AX2918" t="str">
        <f t="shared" si="242"/>
        <v>FOR</v>
      </c>
      <c r="AY2918" t="s">
        <v>55</v>
      </c>
    </row>
    <row r="2919" spans="1:51" hidden="1">
      <c r="A2919">
        <v>100916</v>
      </c>
      <c r="B2919" t="s">
        <v>363</v>
      </c>
      <c r="C2919" t="str">
        <f t="shared" si="245"/>
        <v>06117251212</v>
      </c>
      <c r="D2919" t="str">
        <f t="shared" si="245"/>
        <v>06117251212</v>
      </c>
      <c r="E2919" t="s">
        <v>52</v>
      </c>
      <c r="F2919">
        <v>2014</v>
      </c>
      <c r="G2919">
        <v>18</v>
      </c>
      <c r="H2919" s="1">
        <v>41711</v>
      </c>
      <c r="I2919" s="1">
        <v>41722</v>
      </c>
      <c r="J2919" s="1">
        <v>41722</v>
      </c>
      <c r="K2919" s="1">
        <v>41812</v>
      </c>
      <c r="N2919" s="5"/>
      <c r="O2919" s="2">
        <v>36600</v>
      </c>
      <c r="P2919">
        <v>262</v>
      </c>
      <c r="Q2919" s="2">
        <v>9589200</v>
      </c>
      <c r="R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 s="1">
        <v>42382</v>
      </c>
      <c r="AC2919" t="s">
        <v>53</v>
      </c>
      <c r="AD2919" t="s">
        <v>53</v>
      </c>
      <c r="AK2919">
        <v>0</v>
      </c>
      <c r="AU2919" s="6">
        <v>42074</v>
      </c>
      <c r="AV2919" s="6">
        <v>42074</v>
      </c>
      <c r="AW2919" t="s">
        <v>54</v>
      </c>
      <c r="AX2919" t="str">
        <f t="shared" si="242"/>
        <v>FOR</v>
      </c>
      <c r="AY2919" t="s">
        <v>55</v>
      </c>
    </row>
    <row r="2920" spans="1:51" hidden="1">
      <c r="A2920">
        <v>100916</v>
      </c>
      <c r="B2920" t="s">
        <v>363</v>
      </c>
      <c r="C2920" t="str">
        <f t="shared" si="245"/>
        <v>06117251212</v>
      </c>
      <c r="D2920" t="str">
        <f t="shared" si="245"/>
        <v>06117251212</v>
      </c>
      <c r="E2920" t="s">
        <v>52</v>
      </c>
      <c r="F2920">
        <v>2014</v>
      </c>
      <c r="G2920">
        <v>20</v>
      </c>
      <c r="H2920" s="1">
        <v>41716</v>
      </c>
      <c r="I2920" s="1">
        <v>41722</v>
      </c>
      <c r="J2920" s="1">
        <v>41722</v>
      </c>
      <c r="K2920" s="1">
        <v>41812</v>
      </c>
      <c r="N2920" s="5"/>
      <c r="O2920" s="2">
        <v>14913.6</v>
      </c>
      <c r="P2920">
        <v>262</v>
      </c>
      <c r="Q2920" s="2">
        <v>3907363.2</v>
      </c>
      <c r="R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 s="1">
        <v>42382</v>
      </c>
      <c r="AC2920" t="s">
        <v>53</v>
      </c>
      <c r="AD2920" t="s">
        <v>53</v>
      </c>
      <c r="AK2920">
        <v>0</v>
      </c>
      <c r="AU2920" s="6">
        <v>42074</v>
      </c>
      <c r="AV2920" s="6">
        <v>42074</v>
      </c>
      <c r="AW2920" t="s">
        <v>54</v>
      </c>
      <c r="AX2920" t="str">
        <f t="shared" si="242"/>
        <v>FOR</v>
      </c>
      <c r="AY2920" t="s">
        <v>55</v>
      </c>
    </row>
    <row r="2921" spans="1:51" hidden="1">
      <c r="A2921">
        <v>100916</v>
      </c>
      <c r="B2921" t="s">
        <v>363</v>
      </c>
      <c r="C2921" t="str">
        <f t="shared" si="245"/>
        <v>06117251212</v>
      </c>
      <c r="D2921" t="str">
        <f t="shared" si="245"/>
        <v>06117251212</v>
      </c>
      <c r="E2921" t="s">
        <v>52</v>
      </c>
      <c r="F2921">
        <v>2014</v>
      </c>
      <c r="G2921">
        <v>21</v>
      </c>
      <c r="H2921" s="1">
        <v>41716</v>
      </c>
      <c r="I2921" s="1">
        <v>41722</v>
      </c>
      <c r="J2921" s="1">
        <v>41722</v>
      </c>
      <c r="K2921" s="1">
        <v>41812</v>
      </c>
      <c r="N2921" s="5"/>
      <c r="O2921" s="2">
        <v>12844</v>
      </c>
      <c r="P2921">
        <v>262</v>
      </c>
      <c r="Q2921" s="2">
        <v>3365128</v>
      </c>
      <c r="R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 s="1">
        <v>42382</v>
      </c>
      <c r="AC2921" t="s">
        <v>53</v>
      </c>
      <c r="AD2921" t="s">
        <v>53</v>
      </c>
      <c r="AK2921">
        <v>0</v>
      </c>
      <c r="AU2921" s="6">
        <v>42074</v>
      </c>
      <c r="AV2921" s="6">
        <v>42074</v>
      </c>
      <c r="AW2921" t="s">
        <v>54</v>
      </c>
      <c r="AX2921" t="str">
        <f t="shared" si="242"/>
        <v>FOR</v>
      </c>
      <c r="AY2921" t="s">
        <v>55</v>
      </c>
    </row>
    <row r="2922" spans="1:51" hidden="1">
      <c r="A2922">
        <v>100916</v>
      </c>
      <c r="B2922" t="s">
        <v>363</v>
      </c>
      <c r="C2922" t="str">
        <f t="shared" si="245"/>
        <v>06117251212</v>
      </c>
      <c r="D2922" t="str">
        <f t="shared" si="245"/>
        <v>06117251212</v>
      </c>
      <c r="E2922" t="s">
        <v>52</v>
      </c>
      <c r="F2922">
        <v>2014</v>
      </c>
      <c r="G2922">
        <v>23</v>
      </c>
      <c r="H2922" s="1">
        <v>41743</v>
      </c>
      <c r="I2922" s="1">
        <v>41753</v>
      </c>
      <c r="J2922" s="1">
        <v>41753</v>
      </c>
      <c r="K2922" s="1">
        <v>41843</v>
      </c>
      <c r="N2922" s="5"/>
      <c r="O2922" s="2">
        <v>36600</v>
      </c>
      <c r="P2922">
        <v>252</v>
      </c>
      <c r="Q2922" s="2">
        <v>9223200</v>
      </c>
      <c r="R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 s="1">
        <v>42382</v>
      </c>
      <c r="AC2922" t="s">
        <v>53</v>
      </c>
      <c r="AD2922" t="s">
        <v>53</v>
      </c>
      <c r="AK2922">
        <v>0</v>
      </c>
      <c r="AU2922" s="6">
        <v>42095</v>
      </c>
      <c r="AV2922" s="6">
        <v>42095</v>
      </c>
      <c r="AW2922" t="s">
        <v>54</v>
      </c>
      <c r="AX2922" t="str">
        <f t="shared" si="242"/>
        <v>FOR</v>
      </c>
      <c r="AY2922" t="s">
        <v>55</v>
      </c>
    </row>
    <row r="2923" spans="1:51" hidden="1">
      <c r="A2923">
        <v>100916</v>
      </c>
      <c r="B2923" t="s">
        <v>363</v>
      </c>
      <c r="C2923" t="str">
        <f t="shared" si="245"/>
        <v>06117251212</v>
      </c>
      <c r="D2923" t="str">
        <f t="shared" si="245"/>
        <v>06117251212</v>
      </c>
      <c r="E2923" t="s">
        <v>52</v>
      </c>
      <c r="F2923">
        <v>2014</v>
      </c>
      <c r="G2923">
        <v>24</v>
      </c>
      <c r="H2923" s="1">
        <v>41743</v>
      </c>
      <c r="I2923" s="1">
        <v>41753</v>
      </c>
      <c r="J2923" s="1">
        <v>41753</v>
      </c>
      <c r="K2923" s="1">
        <v>41843</v>
      </c>
      <c r="N2923" s="5"/>
      <c r="O2923" s="2">
        <v>22240.6</v>
      </c>
      <c r="P2923">
        <v>252</v>
      </c>
      <c r="Q2923" s="2">
        <v>5604631.2000000002</v>
      </c>
      <c r="R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 s="1">
        <v>42382</v>
      </c>
      <c r="AC2923" t="s">
        <v>53</v>
      </c>
      <c r="AD2923" t="s">
        <v>53</v>
      </c>
      <c r="AK2923">
        <v>0</v>
      </c>
      <c r="AU2923" s="6">
        <v>42095</v>
      </c>
      <c r="AV2923" s="6">
        <v>42095</v>
      </c>
      <c r="AW2923" t="s">
        <v>54</v>
      </c>
      <c r="AX2923" t="str">
        <f t="shared" si="242"/>
        <v>FOR</v>
      </c>
      <c r="AY2923" t="s">
        <v>55</v>
      </c>
    </row>
    <row r="2924" spans="1:51" hidden="1">
      <c r="A2924">
        <v>100916</v>
      </c>
      <c r="B2924" t="s">
        <v>363</v>
      </c>
      <c r="C2924" t="str">
        <f t="shared" si="245"/>
        <v>06117251212</v>
      </c>
      <c r="D2924" t="str">
        <f t="shared" si="245"/>
        <v>06117251212</v>
      </c>
      <c r="E2924" t="s">
        <v>52</v>
      </c>
      <c r="F2924">
        <v>2014</v>
      </c>
      <c r="G2924">
        <v>35</v>
      </c>
      <c r="H2924" s="1">
        <v>41781</v>
      </c>
      <c r="I2924" s="1">
        <v>41788</v>
      </c>
      <c r="J2924" s="1">
        <v>41788</v>
      </c>
      <c r="K2924" s="1">
        <v>41878</v>
      </c>
      <c r="N2924" s="5"/>
      <c r="O2924" s="2">
        <v>36600</v>
      </c>
      <c r="P2924">
        <v>254</v>
      </c>
      <c r="Q2924" s="2">
        <v>9296400</v>
      </c>
      <c r="R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 s="1">
        <v>42382</v>
      </c>
      <c r="AC2924" t="s">
        <v>53</v>
      </c>
      <c r="AD2924" t="s">
        <v>53</v>
      </c>
      <c r="AK2924">
        <v>0</v>
      </c>
      <c r="AU2924" s="6">
        <v>42132</v>
      </c>
      <c r="AV2924" s="6">
        <v>42132</v>
      </c>
      <c r="AW2924" t="s">
        <v>54</v>
      </c>
      <c r="AX2924" t="str">
        <f t="shared" si="242"/>
        <v>FOR</v>
      </c>
      <c r="AY2924" t="s">
        <v>55</v>
      </c>
    </row>
    <row r="2925" spans="1:51" hidden="1">
      <c r="A2925">
        <v>100916</v>
      </c>
      <c r="B2925" t="s">
        <v>363</v>
      </c>
      <c r="C2925" t="str">
        <f t="shared" si="245"/>
        <v>06117251212</v>
      </c>
      <c r="D2925" t="str">
        <f t="shared" si="245"/>
        <v>06117251212</v>
      </c>
      <c r="E2925" t="s">
        <v>52</v>
      </c>
      <c r="F2925">
        <v>2014</v>
      </c>
      <c r="G2925">
        <v>36</v>
      </c>
      <c r="H2925" s="1">
        <v>41781</v>
      </c>
      <c r="I2925" s="1">
        <v>41788</v>
      </c>
      <c r="J2925" s="1">
        <v>41788</v>
      </c>
      <c r="K2925" s="1">
        <v>41878</v>
      </c>
      <c r="N2925" s="5"/>
      <c r="O2925" s="2">
        <v>23222.7</v>
      </c>
      <c r="P2925">
        <v>254</v>
      </c>
      <c r="Q2925" s="2">
        <v>5898565.7999999998</v>
      </c>
      <c r="R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 s="1">
        <v>42382</v>
      </c>
      <c r="AC2925" t="s">
        <v>53</v>
      </c>
      <c r="AD2925" t="s">
        <v>53</v>
      </c>
      <c r="AK2925">
        <v>0</v>
      </c>
      <c r="AU2925" s="6">
        <v>42132</v>
      </c>
      <c r="AV2925" s="6">
        <v>42132</v>
      </c>
      <c r="AW2925" t="s">
        <v>54</v>
      </c>
      <c r="AX2925" t="str">
        <f t="shared" si="242"/>
        <v>FOR</v>
      </c>
      <c r="AY2925" t="s">
        <v>55</v>
      </c>
    </row>
    <row r="2926" spans="1:51" hidden="1">
      <c r="A2926">
        <v>100916</v>
      </c>
      <c r="B2926" t="s">
        <v>363</v>
      </c>
      <c r="C2926" t="str">
        <f t="shared" si="245"/>
        <v>06117251212</v>
      </c>
      <c r="D2926" t="str">
        <f t="shared" si="245"/>
        <v>06117251212</v>
      </c>
      <c r="E2926" t="s">
        <v>52</v>
      </c>
      <c r="F2926">
        <v>2014</v>
      </c>
      <c r="G2926">
        <v>38</v>
      </c>
      <c r="H2926" s="1">
        <v>41786</v>
      </c>
      <c r="I2926" s="1">
        <v>41807</v>
      </c>
      <c r="J2926" s="1">
        <v>41807</v>
      </c>
      <c r="K2926" s="1">
        <v>41897</v>
      </c>
      <c r="N2926" s="5"/>
      <c r="O2926" s="2">
        <v>10275.200000000001</v>
      </c>
      <c r="P2926">
        <v>266</v>
      </c>
      <c r="Q2926" s="2">
        <v>2733203.2</v>
      </c>
      <c r="R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 s="1">
        <v>42382</v>
      </c>
      <c r="AC2926" t="s">
        <v>53</v>
      </c>
      <c r="AD2926" t="s">
        <v>53</v>
      </c>
      <c r="AK2926">
        <v>0</v>
      </c>
      <c r="AU2926" s="6">
        <v>42163</v>
      </c>
      <c r="AV2926" s="6">
        <v>42163</v>
      </c>
      <c r="AW2926" t="s">
        <v>54</v>
      </c>
      <c r="AX2926" t="str">
        <f t="shared" si="242"/>
        <v>FOR</v>
      </c>
      <c r="AY2926" t="s">
        <v>55</v>
      </c>
    </row>
    <row r="2927" spans="1:51" hidden="1">
      <c r="A2927">
        <v>100916</v>
      </c>
      <c r="B2927" t="s">
        <v>363</v>
      </c>
      <c r="C2927" t="str">
        <f t="shared" si="245"/>
        <v>06117251212</v>
      </c>
      <c r="D2927" t="str">
        <f t="shared" si="245"/>
        <v>06117251212</v>
      </c>
      <c r="E2927" t="s">
        <v>52</v>
      </c>
      <c r="F2927">
        <v>2014</v>
      </c>
      <c r="G2927">
        <v>39</v>
      </c>
      <c r="H2927" s="1">
        <v>41786</v>
      </c>
      <c r="I2927" s="1">
        <v>41807</v>
      </c>
      <c r="J2927" s="1">
        <v>41807</v>
      </c>
      <c r="K2927" s="1">
        <v>41897</v>
      </c>
      <c r="N2927" s="5"/>
      <c r="O2927" s="2">
        <v>16317.6</v>
      </c>
      <c r="P2927">
        <v>266</v>
      </c>
      <c r="Q2927" s="2">
        <v>4340481.5999999996</v>
      </c>
      <c r="R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 s="1">
        <v>42382</v>
      </c>
      <c r="AC2927" t="s">
        <v>53</v>
      </c>
      <c r="AD2927" t="s">
        <v>53</v>
      </c>
      <c r="AK2927">
        <v>0</v>
      </c>
      <c r="AU2927" s="6">
        <v>42163</v>
      </c>
      <c r="AV2927" s="6">
        <v>42163</v>
      </c>
      <c r="AW2927" t="s">
        <v>54</v>
      </c>
      <c r="AX2927" t="str">
        <f t="shared" si="242"/>
        <v>FOR</v>
      </c>
      <c r="AY2927" t="s">
        <v>55</v>
      </c>
    </row>
    <row r="2928" spans="1:51" hidden="1">
      <c r="A2928">
        <v>100916</v>
      </c>
      <c r="B2928" t="s">
        <v>363</v>
      </c>
      <c r="C2928" t="str">
        <f t="shared" si="245"/>
        <v>06117251212</v>
      </c>
      <c r="D2928" t="str">
        <f t="shared" si="245"/>
        <v>06117251212</v>
      </c>
      <c r="E2928" t="s">
        <v>52</v>
      </c>
      <c r="F2928">
        <v>2014</v>
      </c>
      <c r="G2928">
        <v>42</v>
      </c>
      <c r="H2928" s="1">
        <v>41788</v>
      </c>
      <c r="I2928" s="1">
        <v>41807</v>
      </c>
      <c r="J2928" s="1">
        <v>41807</v>
      </c>
      <c r="K2928" s="1">
        <v>41897</v>
      </c>
      <c r="N2928" s="5"/>
      <c r="O2928" s="2">
        <v>3114.76</v>
      </c>
      <c r="P2928">
        <v>198</v>
      </c>
      <c r="Q2928" s="2">
        <v>616722.48</v>
      </c>
      <c r="R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 s="1">
        <v>42382</v>
      </c>
      <c r="AC2928" t="s">
        <v>53</v>
      </c>
      <c r="AD2928" t="s">
        <v>53</v>
      </c>
      <c r="AK2928">
        <v>0</v>
      </c>
      <c r="AU2928" s="6">
        <v>42095</v>
      </c>
      <c r="AV2928" s="6">
        <v>42095</v>
      </c>
      <c r="AW2928" t="s">
        <v>54</v>
      </c>
      <c r="AX2928" t="str">
        <f t="shared" si="242"/>
        <v>FOR</v>
      </c>
      <c r="AY2928" t="s">
        <v>55</v>
      </c>
    </row>
    <row r="2929" spans="1:51" hidden="1">
      <c r="A2929">
        <v>100916</v>
      </c>
      <c r="B2929" t="s">
        <v>363</v>
      </c>
      <c r="C2929" t="str">
        <f t="shared" si="245"/>
        <v>06117251212</v>
      </c>
      <c r="D2929" t="str">
        <f t="shared" si="245"/>
        <v>06117251212</v>
      </c>
      <c r="E2929" t="s">
        <v>52</v>
      </c>
      <c r="F2929">
        <v>2014</v>
      </c>
      <c r="G2929">
        <v>46</v>
      </c>
      <c r="H2929" s="1">
        <v>41808</v>
      </c>
      <c r="I2929" s="1">
        <v>41834</v>
      </c>
      <c r="J2929" s="1">
        <v>41834</v>
      </c>
      <c r="K2929" s="1">
        <v>41924</v>
      </c>
      <c r="N2929" s="5"/>
      <c r="O2929" s="2">
        <v>1810.48</v>
      </c>
      <c r="P2929">
        <v>239</v>
      </c>
      <c r="Q2929" s="2">
        <v>432704.72</v>
      </c>
      <c r="R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 s="1">
        <v>42382</v>
      </c>
      <c r="AC2929" t="s">
        <v>53</v>
      </c>
      <c r="AD2929" t="s">
        <v>53</v>
      </c>
      <c r="AK2929">
        <v>0</v>
      </c>
      <c r="AU2929" s="6">
        <v>42163</v>
      </c>
      <c r="AV2929" s="6">
        <v>42163</v>
      </c>
      <c r="AW2929" t="s">
        <v>54</v>
      </c>
      <c r="AX2929" t="str">
        <f t="shared" si="242"/>
        <v>FOR</v>
      </c>
      <c r="AY2929" t="s">
        <v>55</v>
      </c>
    </row>
    <row r="2930" spans="1:51" hidden="1">
      <c r="A2930">
        <v>100916</v>
      </c>
      <c r="B2930" t="s">
        <v>363</v>
      </c>
      <c r="C2930" t="str">
        <f t="shared" si="245"/>
        <v>06117251212</v>
      </c>
      <c r="D2930" t="str">
        <f t="shared" si="245"/>
        <v>06117251212</v>
      </c>
      <c r="E2930" t="s">
        <v>52</v>
      </c>
      <c r="F2930">
        <v>2014</v>
      </c>
      <c r="G2930">
        <v>47</v>
      </c>
      <c r="H2930" s="1">
        <v>41808</v>
      </c>
      <c r="I2930" s="1">
        <v>41834</v>
      </c>
      <c r="J2930" s="1">
        <v>41834</v>
      </c>
      <c r="K2930" s="1">
        <v>41924</v>
      </c>
      <c r="N2930" s="5"/>
      <c r="O2930" s="2">
        <v>36600</v>
      </c>
      <c r="P2930">
        <v>239</v>
      </c>
      <c r="Q2930" s="2">
        <v>8747400</v>
      </c>
      <c r="R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 s="1">
        <v>42382</v>
      </c>
      <c r="AC2930" t="s">
        <v>53</v>
      </c>
      <c r="AD2930" t="s">
        <v>53</v>
      </c>
      <c r="AK2930">
        <v>0</v>
      </c>
      <c r="AU2930" s="6">
        <v>42163</v>
      </c>
      <c r="AV2930" s="6">
        <v>42163</v>
      </c>
      <c r="AW2930" t="s">
        <v>54</v>
      </c>
      <c r="AX2930" t="str">
        <f t="shared" si="242"/>
        <v>FOR</v>
      </c>
      <c r="AY2930" t="s">
        <v>55</v>
      </c>
    </row>
    <row r="2931" spans="1:51" hidden="1">
      <c r="A2931">
        <v>100916</v>
      </c>
      <c r="B2931" t="s">
        <v>363</v>
      </c>
      <c r="C2931" t="str">
        <f t="shared" si="245"/>
        <v>06117251212</v>
      </c>
      <c r="D2931" t="str">
        <f t="shared" si="245"/>
        <v>06117251212</v>
      </c>
      <c r="E2931" t="s">
        <v>52</v>
      </c>
      <c r="F2931">
        <v>2014</v>
      </c>
      <c r="G2931">
        <v>64</v>
      </c>
      <c r="H2931" s="1">
        <v>41850</v>
      </c>
      <c r="I2931" s="1">
        <v>41872</v>
      </c>
      <c r="J2931" s="1">
        <v>41872</v>
      </c>
      <c r="K2931" s="1">
        <v>41962</v>
      </c>
      <c r="N2931" s="5"/>
      <c r="O2931" s="2">
        <v>12844</v>
      </c>
      <c r="P2931">
        <v>222</v>
      </c>
      <c r="Q2931" s="2">
        <v>2851368</v>
      </c>
      <c r="R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 s="1">
        <v>42382</v>
      </c>
      <c r="AC2931" t="s">
        <v>53</v>
      </c>
      <c r="AD2931" t="s">
        <v>53</v>
      </c>
      <c r="AK2931">
        <v>0</v>
      </c>
      <c r="AU2931" s="6">
        <v>42184</v>
      </c>
      <c r="AV2931" s="6">
        <v>42184</v>
      </c>
      <c r="AW2931" t="s">
        <v>54</v>
      </c>
      <c r="AX2931" t="str">
        <f t="shared" si="242"/>
        <v>FOR</v>
      </c>
      <c r="AY2931" t="s">
        <v>55</v>
      </c>
    </row>
    <row r="2932" spans="1:51" hidden="1">
      <c r="A2932">
        <v>100916</v>
      </c>
      <c r="B2932" t="s">
        <v>363</v>
      </c>
      <c r="C2932" t="str">
        <f t="shared" si="245"/>
        <v>06117251212</v>
      </c>
      <c r="D2932" t="str">
        <f t="shared" si="245"/>
        <v>06117251212</v>
      </c>
      <c r="E2932" t="s">
        <v>52</v>
      </c>
      <c r="F2932">
        <v>2014</v>
      </c>
      <c r="G2932">
        <v>67</v>
      </c>
      <c r="H2932" s="1">
        <v>41852</v>
      </c>
      <c r="I2932" s="1">
        <v>41872</v>
      </c>
      <c r="J2932" s="1">
        <v>41872</v>
      </c>
      <c r="K2932" s="1">
        <v>41962</v>
      </c>
      <c r="N2932" s="5"/>
      <c r="O2932" s="2">
        <v>34555.800000000003</v>
      </c>
      <c r="P2932">
        <v>222</v>
      </c>
      <c r="Q2932" s="2">
        <v>7671387.5999999996</v>
      </c>
      <c r="R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 s="1">
        <v>42382</v>
      </c>
      <c r="AC2932" t="s">
        <v>53</v>
      </c>
      <c r="AD2932" t="s">
        <v>53</v>
      </c>
      <c r="AK2932">
        <v>0</v>
      </c>
      <c r="AU2932" s="6">
        <v>42184</v>
      </c>
      <c r="AV2932" s="6">
        <v>42184</v>
      </c>
      <c r="AW2932" t="s">
        <v>54</v>
      </c>
      <c r="AX2932" t="str">
        <f t="shared" si="242"/>
        <v>FOR</v>
      </c>
      <c r="AY2932" t="s">
        <v>55</v>
      </c>
    </row>
    <row r="2933" spans="1:51" hidden="1">
      <c r="A2933">
        <v>100916</v>
      </c>
      <c r="B2933" t="s">
        <v>363</v>
      </c>
      <c r="C2933" t="str">
        <f t="shared" si="245"/>
        <v>06117251212</v>
      </c>
      <c r="D2933" t="str">
        <f t="shared" si="245"/>
        <v>06117251212</v>
      </c>
      <c r="E2933" t="s">
        <v>52</v>
      </c>
      <c r="F2933">
        <v>2014</v>
      </c>
      <c r="G2933">
        <v>68</v>
      </c>
      <c r="H2933" s="1">
        <v>41855</v>
      </c>
      <c r="I2933" s="1">
        <v>41872</v>
      </c>
      <c r="J2933" s="1">
        <v>41872</v>
      </c>
      <c r="K2933" s="1">
        <v>41962</v>
      </c>
      <c r="N2933" s="5"/>
      <c r="O2933" s="2">
        <v>23326.400000000001</v>
      </c>
      <c r="P2933">
        <v>222</v>
      </c>
      <c r="Q2933" s="2">
        <v>5178460.8</v>
      </c>
      <c r="R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 s="1">
        <v>42382</v>
      </c>
      <c r="AC2933" t="s">
        <v>53</v>
      </c>
      <c r="AD2933" t="s">
        <v>53</v>
      </c>
      <c r="AK2933">
        <v>0</v>
      </c>
      <c r="AU2933" s="6">
        <v>42184</v>
      </c>
      <c r="AV2933" s="6">
        <v>42184</v>
      </c>
      <c r="AW2933" t="s">
        <v>54</v>
      </c>
      <c r="AX2933" t="str">
        <f t="shared" si="242"/>
        <v>FOR</v>
      </c>
      <c r="AY2933" t="s">
        <v>55</v>
      </c>
    </row>
    <row r="2934" spans="1:51" hidden="1">
      <c r="A2934">
        <v>100916</v>
      </c>
      <c r="B2934" t="s">
        <v>363</v>
      </c>
      <c r="C2934" t="str">
        <f t="shared" si="245"/>
        <v>06117251212</v>
      </c>
      <c r="D2934" t="str">
        <f t="shared" si="245"/>
        <v>06117251212</v>
      </c>
      <c r="E2934" t="s">
        <v>52</v>
      </c>
      <c r="F2934">
        <v>2014</v>
      </c>
      <c r="G2934">
        <v>71</v>
      </c>
      <c r="H2934" s="1">
        <v>41857</v>
      </c>
      <c r="I2934" s="1">
        <v>41873</v>
      </c>
      <c r="J2934" s="1">
        <v>41873</v>
      </c>
      <c r="K2934" s="1">
        <v>41963</v>
      </c>
      <c r="N2934" s="5"/>
      <c r="O2934" s="2">
        <v>36600</v>
      </c>
      <c r="P2934">
        <v>221</v>
      </c>
      <c r="Q2934" s="2">
        <v>8088600</v>
      </c>
      <c r="R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 s="1">
        <v>42382</v>
      </c>
      <c r="AC2934" t="s">
        <v>53</v>
      </c>
      <c r="AD2934" t="s">
        <v>53</v>
      </c>
      <c r="AK2934">
        <v>0</v>
      </c>
      <c r="AU2934" s="6">
        <v>42184</v>
      </c>
      <c r="AV2934" s="6">
        <v>42184</v>
      </c>
      <c r="AW2934" t="s">
        <v>54</v>
      </c>
      <c r="AX2934" t="str">
        <f t="shared" si="242"/>
        <v>FOR</v>
      </c>
      <c r="AY2934" t="s">
        <v>55</v>
      </c>
    </row>
    <row r="2935" spans="1:51" hidden="1">
      <c r="A2935">
        <v>100916</v>
      </c>
      <c r="B2935" t="s">
        <v>363</v>
      </c>
      <c r="C2935" t="str">
        <f t="shared" si="245"/>
        <v>06117251212</v>
      </c>
      <c r="D2935" t="str">
        <f t="shared" si="245"/>
        <v>06117251212</v>
      </c>
      <c r="E2935" t="s">
        <v>52</v>
      </c>
      <c r="F2935">
        <v>2014</v>
      </c>
      <c r="G2935">
        <v>75</v>
      </c>
      <c r="H2935" s="1">
        <v>41894</v>
      </c>
      <c r="I2935" s="1">
        <v>41920</v>
      </c>
      <c r="J2935" s="1">
        <v>41920</v>
      </c>
      <c r="K2935" s="1">
        <v>42010</v>
      </c>
      <c r="N2935" s="5"/>
      <c r="O2935" s="2">
        <v>36600</v>
      </c>
      <c r="P2935">
        <v>240</v>
      </c>
      <c r="Q2935" s="2">
        <v>8784000</v>
      </c>
      <c r="R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 s="1">
        <v>42382</v>
      </c>
      <c r="AC2935" t="s">
        <v>53</v>
      </c>
      <c r="AD2935" t="s">
        <v>53</v>
      </c>
      <c r="AK2935">
        <v>0</v>
      </c>
      <c r="AU2935" s="6">
        <v>42250</v>
      </c>
      <c r="AV2935" s="6">
        <v>42250</v>
      </c>
      <c r="AW2935" t="s">
        <v>54</v>
      </c>
      <c r="AX2935" t="str">
        <f t="shared" si="242"/>
        <v>FOR</v>
      </c>
      <c r="AY2935" t="s">
        <v>55</v>
      </c>
    </row>
    <row r="2936" spans="1:51">
      <c r="A2936">
        <v>100916</v>
      </c>
      <c r="B2936" t="s">
        <v>363</v>
      </c>
      <c r="C2936" t="str">
        <f t="shared" si="245"/>
        <v>06117251212</v>
      </c>
      <c r="D2936" t="str">
        <f t="shared" si="245"/>
        <v>06117251212</v>
      </c>
      <c r="E2936" t="s">
        <v>52</v>
      </c>
      <c r="F2936">
        <v>2014</v>
      </c>
      <c r="G2936">
        <v>90</v>
      </c>
      <c r="H2936" s="1">
        <v>41925</v>
      </c>
      <c r="I2936" s="1">
        <v>41932</v>
      </c>
      <c r="J2936" s="1">
        <v>41932</v>
      </c>
      <c r="K2936" s="1">
        <v>41992</v>
      </c>
      <c r="L2936" s="7">
        <v>36600</v>
      </c>
      <c r="M2936" s="5">
        <v>286</v>
      </c>
      <c r="N2936" s="7">
        <v>10467600</v>
      </c>
      <c r="O2936" s="2">
        <v>36600</v>
      </c>
      <c r="P2936">
        <v>286</v>
      </c>
      <c r="Q2936" s="2">
        <v>10467600</v>
      </c>
      <c r="R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 s="1">
        <v>42382</v>
      </c>
      <c r="AC2936" t="s">
        <v>53</v>
      </c>
      <c r="AD2936" t="s">
        <v>53</v>
      </c>
      <c r="AK2936">
        <v>0</v>
      </c>
      <c r="AU2936" s="6">
        <v>42278</v>
      </c>
      <c r="AV2936" s="6">
        <v>42278</v>
      </c>
      <c r="AW2936" t="s">
        <v>54</v>
      </c>
      <c r="AX2936" t="str">
        <f t="shared" si="242"/>
        <v>FOR</v>
      </c>
      <c r="AY2936" t="s">
        <v>55</v>
      </c>
    </row>
    <row r="2937" spans="1:51">
      <c r="A2937">
        <v>100916</v>
      </c>
      <c r="B2937" t="s">
        <v>363</v>
      </c>
      <c r="C2937" t="str">
        <f t="shared" si="245"/>
        <v>06117251212</v>
      </c>
      <c r="D2937" t="str">
        <f t="shared" si="245"/>
        <v>06117251212</v>
      </c>
      <c r="E2937" t="s">
        <v>52</v>
      </c>
      <c r="F2937">
        <v>2014</v>
      </c>
      <c r="G2937">
        <v>96</v>
      </c>
      <c r="H2937" s="1">
        <v>41942</v>
      </c>
      <c r="I2937" s="1">
        <v>41976</v>
      </c>
      <c r="J2937" s="1">
        <v>41976</v>
      </c>
      <c r="K2937" s="1">
        <v>42036</v>
      </c>
      <c r="L2937" s="7">
        <v>10275.200000000001</v>
      </c>
      <c r="M2937" s="5">
        <v>242</v>
      </c>
      <c r="N2937" s="7">
        <v>2486598.4</v>
      </c>
      <c r="O2937" s="2">
        <v>10275.200000000001</v>
      </c>
      <c r="P2937">
        <v>242</v>
      </c>
      <c r="Q2937" s="2">
        <v>2486598.4</v>
      </c>
      <c r="R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 s="1">
        <v>42382</v>
      </c>
      <c r="AC2937" t="s">
        <v>53</v>
      </c>
      <c r="AD2937" t="s">
        <v>53</v>
      </c>
      <c r="AK2937">
        <v>0</v>
      </c>
      <c r="AU2937" s="6">
        <v>42278</v>
      </c>
      <c r="AV2937" s="6">
        <v>42278</v>
      </c>
      <c r="AW2937" t="s">
        <v>54</v>
      </c>
      <c r="AX2937" t="str">
        <f t="shared" si="242"/>
        <v>FOR</v>
      </c>
      <c r="AY2937" t="s">
        <v>55</v>
      </c>
    </row>
    <row r="2938" spans="1:51">
      <c r="A2938">
        <v>100916</v>
      </c>
      <c r="B2938" t="s">
        <v>363</v>
      </c>
      <c r="C2938" t="str">
        <f t="shared" si="245"/>
        <v>06117251212</v>
      </c>
      <c r="D2938" t="str">
        <f t="shared" si="245"/>
        <v>06117251212</v>
      </c>
      <c r="E2938" t="s">
        <v>52</v>
      </c>
      <c r="F2938">
        <v>2014</v>
      </c>
      <c r="G2938">
        <v>98</v>
      </c>
      <c r="H2938" s="1">
        <v>41957</v>
      </c>
      <c r="I2938" s="1">
        <v>41976</v>
      </c>
      <c r="J2938" s="1">
        <v>41976</v>
      </c>
      <c r="K2938" s="1">
        <v>42036</v>
      </c>
      <c r="L2938" s="7">
        <v>54900</v>
      </c>
      <c r="M2938" s="5">
        <v>270</v>
      </c>
      <c r="N2938" s="7">
        <v>14823000</v>
      </c>
      <c r="O2938" s="2">
        <v>54900</v>
      </c>
      <c r="P2938">
        <v>270</v>
      </c>
      <c r="Q2938" s="2">
        <v>14823000</v>
      </c>
      <c r="R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 s="1">
        <v>42382</v>
      </c>
      <c r="AC2938" t="s">
        <v>53</v>
      </c>
      <c r="AD2938" t="s">
        <v>53</v>
      </c>
      <c r="AK2938">
        <v>0</v>
      </c>
      <c r="AU2938" s="6">
        <v>42306</v>
      </c>
      <c r="AV2938" s="6">
        <v>42306</v>
      </c>
      <c r="AW2938" t="s">
        <v>54</v>
      </c>
      <c r="AX2938" t="str">
        <f t="shared" si="242"/>
        <v>FOR</v>
      </c>
      <c r="AY2938" t="s">
        <v>55</v>
      </c>
    </row>
    <row r="2939" spans="1:51">
      <c r="A2939">
        <v>100916</v>
      </c>
      <c r="B2939" t="s">
        <v>363</v>
      </c>
      <c r="C2939" t="str">
        <f t="shared" si="245"/>
        <v>06117251212</v>
      </c>
      <c r="D2939" t="str">
        <f t="shared" si="245"/>
        <v>06117251212</v>
      </c>
      <c r="E2939" t="s">
        <v>52</v>
      </c>
      <c r="F2939">
        <v>2014</v>
      </c>
      <c r="G2939">
        <v>100</v>
      </c>
      <c r="H2939" s="1">
        <v>41971</v>
      </c>
      <c r="I2939" s="1">
        <v>41976</v>
      </c>
      <c r="J2939" s="1">
        <v>41976</v>
      </c>
      <c r="K2939" s="1">
        <v>42036</v>
      </c>
      <c r="L2939" s="7">
        <v>54900</v>
      </c>
      <c r="M2939" s="5">
        <v>270</v>
      </c>
      <c r="N2939" s="7">
        <v>14823000</v>
      </c>
      <c r="O2939" s="2">
        <v>54900</v>
      </c>
      <c r="P2939">
        <v>270</v>
      </c>
      <c r="Q2939" s="2">
        <v>14823000</v>
      </c>
      <c r="R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 s="1">
        <v>42382</v>
      </c>
      <c r="AC2939" t="s">
        <v>53</v>
      </c>
      <c r="AD2939" t="s">
        <v>53</v>
      </c>
      <c r="AK2939">
        <v>0</v>
      </c>
      <c r="AU2939" s="6">
        <v>42306</v>
      </c>
      <c r="AV2939" s="6">
        <v>42306</v>
      </c>
      <c r="AW2939" t="s">
        <v>54</v>
      </c>
      <c r="AX2939" t="str">
        <f t="shared" si="242"/>
        <v>FOR</v>
      </c>
      <c r="AY2939" t="s">
        <v>55</v>
      </c>
    </row>
    <row r="2940" spans="1:51">
      <c r="A2940">
        <v>100916</v>
      </c>
      <c r="B2940" t="s">
        <v>363</v>
      </c>
      <c r="C2940" t="str">
        <f t="shared" si="245"/>
        <v>06117251212</v>
      </c>
      <c r="D2940" t="str">
        <f t="shared" si="245"/>
        <v>06117251212</v>
      </c>
      <c r="E2940" t="s">
        <v>52</v>
      </c>
      <c r="F2940">
        <v>2014</v>
      </c>
      <c r="G2940">
        <v>102</v>
      </c>
      <c r="H2940" s="1">
        <v>41971</v>
      </c>
      <c r="I2940" s="1">
        <v>41976</v>
      </c>
      <c r="J2940" s="1">
        <v>41976</v>
      </c>
      <c r="K2940" s="1">
        <v>42036</v>
      </c>
      <c r="L2940" s="7">
        <v>76445.2</v>
      </c>
      <c r="M2940" s="5">
        <v>270</v>
      </c>
      <c r="N2940" s="7">
        <v>20640204</v>
      </c>
      <c r="O2940" s="2">
        <v>76445.2</v>
      </c>
      <c r="P2940">
        <v>270</v>
      </c>
      <c r="Q2940" s="2">
        <v>20640204</v>
      </c>
      <c r="R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 s="1">
        <v>42382</v>
      </c>
      <c r="AC2940" t="s">
        <v>53</v>
      </c>
      <c r="AD2940" t="s">
        <v>53</v>
      </c>
      <c r="AK2940">
        <v>0</v>
      </c>
      <c r="AU2940" s="6">
        <v>42306</v>
      </c>
      <c r="AV2940" s="6">
        <v>42306</v>
      </c>
      <c r="AW2940" t="s">
        <v>54</v>
      </c>
      <c r="AX2940" t="str">
        <f t="shared" si="242"/>
        <v>FOR</v>
      </c>
      <c r="AY2940" t="s">
        <v>55</v>
      </c>
    </row>
    <row r="2941" spans="1:51">
      <c r="A2941">
        <v>100916</v>
      </c>
      <c r="B2941" t="s">
        <v>363</v>
      </c>
      <c r="C2941" t="str">
        <f t="shared" si="245"/>
        <v>06117251212</v>
      </c>
      <c r="D2941" t="str">
        <f t="shared" si="245"/>
        <v>06117251212</v>
      </c>
      <c r="E2941" t="s">
        <v>52</v>
      </c>
      <c r="F2941">
        <v>2014</v>
      </c>
      <c r="G2941">
        <v>107</v>
      </c>
      <c r="H2941" s="1">
        <v>41996</v>
      </c>
      <c r="I2941" s="1">
        <v>42018</v>
      </c>
      <c r="J2941" s="1">
        <v>42018</v>
      </c>
      <c r="K2941" s="1">
        <v>42078</v>
      </c>
      <c r="L2941" s="7">
        <v>3910.4</v>
      </c>
      <c r="M2941" s="5">
        <v>228</v>
      </c>
      <c r="N2941" s="7">
        <v>891571.19999999995</v>
      </c>
      <c r="O2941" s="2">
        <v>3910.4</v>
      </c>
      <c r="P2941">
        <v>228</v>
      </c>
      <c r="Q2941" s="2">
        <v>891571.19999999995</v>
      </c>
      <c r="R2941">
        <v>0</v>
      </c>
      <c r="V2941">
        <v>0</v>
      </c>
      <c r="W2941">
        <v>0</v>
      </c>
      <c r="X2941">
        <v>0</v>
      </c>
      <c r="Y2941">
        <v>0</v>
      </c>
      <c r="Z2941" s="2">
        <v>3910.4</v>
      </c>
      <c r="AA2941">
        <v>0</v>
      </c>
      <c r="AB2941" s="1">
        <v>42382</v>
      </c>
      <c r="AC2941" t="s">
        <v>53</v>
      </c>
      <c r="AD2941" t="s">
        <v>53</v>
      </c>
      <c r="AK2941">
        <v>0</v>
      </c>
      <c r="AU2941" s="6">
        <v>42306</v>
      </c>
      <c r="AV2941" s="6">
        <v>42306</v>
      </c>
      <c r="AW2941" t="s">
        <v>54</v>
      </c>
      <c r="AX2941" t="str">
        <f t="shared" si="242"/>
        <v>FOR</v>
      </c>
      <c r="AY2941" t="s">
        <v>55</v>
      </c>
    </row>
    <row r="2942" spans="1:51" hidden="1">
      <c r="A2942">
        <v>100917</v>
      </c>
      <c r="B2942" t="s">
        <v>364</v>
      </c>
      <c r="C2942" t="str">
        <f t="shared" ref="C2942:D2953" si="246">"12400990151"</f>
        <v>12400990151</v>
      </c>
      <c r="D2942" t="str">
        <f t="shared" si="246"/>
        <v>12400990151</v>
      </c>
      <c r="E2942" t="s">
        <v>52</v>
      </c>
      <c r="F2942">
        <v>2014</v>
      </c>
      <c r="G2942">
        <v>1410414</v>
      </c>
      <c r="H2942" s="1">
        <v>41696</v>
      </c>
      <c r="I2942" s="1">
        <v>41703</v>
      </c>
      <c r="J2942" s="1">
        <v>41703</v>
      </c>
      <c r="K2942" s="1">
        <v>41793</v>
      </c>
      <c r="N2942" s="5"/>
      <c r="O2942" s="2">
        <v>11165.44</v>
      </c>
      <c r="P2942">
        <v>282</v>
      </c>
      <c r="Q2942" s="2">
        <v>3148654.08</v>
      </c>
      <c r="R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 s="1">
        <v>42382</v>
      </c>
      <c r="AC2942" t="s">
        <v>53</v>
      </c>
      <c r="AD2942" t="s">
        <v>53</v>
      </c>
      <c r="AK2942">
        <v>0</v>
      </c>
      <c r="AU2942" s="6">
        <v>42075</v>
      </c>
      <c r="AV2942" s="6">
        <v>42075</v>
      </c>
      <c r="AW2942" t="s">
        <v>54</v>
      </c>
      <c r="AX2942" t="str">
        <f t="shared" si="242"/>
        <v>FOR</v>
      </c>
      <c r="AY2942" t="s">
        <v>55</v>
      </c>
    </row>
    <row r="2943" spans="1:51" hidden="1">
      <c r="A2943">
        <v>100917</v>
      </c>
      <c r="B2943" t="s">
        <v>364</v>
      </c>
      <c r="C2943" t="str">
        <f t="shared" si="246"/>
        <v>12400990151</v>
      </c>
      <c r="D2943" t="str">
        <f t="shared" si="246"/>
        <v>12400990151</v>
      </c>
      <c r="E2943" t="s">
        <v>52</v>
      </c>
      <c r="F2943">
        <v>2014</v>
      </c>
      <c r="G2943">
        <v>1410544</v>
      </c>
      <c r="H2943" s="1">
        <v>41712</v>
      </c>
      <c r="I2943" s="1">
        <v>41722</v>
      </c>
      <c r="J2943" s="1">
        <v>41722</v>
      </c>
      <c r="K2943" s="1">
        <v>41812</v>
      </c>
      <c r="N2943" s="5"/>
      <c r="O2943" s="2">
        <v>3172</v>
      </c>
      <c r="P2943">
        <v>225</v>
      </c>
      <c r="Q2943" s="2">
        <v>713700</v>
      </c>
      <c r="R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 s="1">
        <v>42382</v>
      </c>
      <c r="AC2943" t="s">
        <v>53</v>
      </c>
      <c r="AD2943" t="s">
        <v>53</v>
      </c>
      <c r="AK2943">
        <v>0</v>
      </c>
      <c r="AU2943" s="6">
        <v>42037</v>
      </c>
      <c r="AV2943" s="6">
        <v>42037</v>
      </c>
      <c r="AW2943" t="s">
        <v>54</v>
      </c>
      <c r="AX2943" t="str">
        <f t="shared" si="242"/>
        <v>FOR</v>
      </c>
      <c r="AY2943" t="s">
        <v>55</v>
      </c>
    </row>
    <row r="2944" spans="1:51" hidden="1">
      <c r="A2944">
        <v>100917</v>
      </c>
      <c r="B2944" t="s">
        <v>364</v>
      </c>
      <c r="C2944" t="str">
        <f t="shared" si="246"/>
        <v>12400990151</v>
      </c>
      <c r="D2944" t="str">
        <f t="shared" si="246"/>
        <v>12400990151</v>
      </c>
      <c r="E2944" t="s">
        <v>52</v>
      </c>
      <c r="F2944">
        <v>2014</v>
      </c>
      <c r="G2944">
        <v>1410663</v>
      </c>
      <c r="H2944" s="1">
        <v>41731</v>
      </c>
      <c r="I2944" s="1">
        <v>41739</v>
      </c>
      <c r="J2944" s="1">
        <v>41739</v>
      </c>
      <c r="K2944" s="1">
        <v>41829</v>
      </c>
      <c r="N2944" s="5"/>
      <c r="O2944">
        <v>793</v>
      </c>
      <c r="P2944">
        <v>246</v>
      </c>
      <c r="Q2944" s="2">
        <v>195078</v>
      </c>
      <c r="R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 s="1">
        <v>42382</v>
      </c>
      <c r="AC2944" t="s">
        <v>53</v>
      </c>
      <c r="AD2944" t="s">
        <v>53</v>
      </c>
      <c r="AK2944">
        <v>0</v>
      </c>
      <c r="AU2944" s="6">
        <v>42075</v>
      </c>
      <c r="AV2944" s="6">
        <v>42075</v>
      </c>
      <c r="AW2944" t="s">
        <v>54</v>
      </c>
      <c r="AX2944" t="str">
        <f t="shared" si="242"/>
        <v>FOR</v>
      </c>
      <c r="AY2944" t="s">
        <v>55</v>
      </c>
    </row>
    <row r="2945" spans="1:51" hidden="1">
      <c r="A2945">
        <v>100917</v>
      </c>
      <c r="B2945" t="s">
        <v>364</v>
      </c>
      <c r="C2945" t="str">
        <f t="shared" si="246"/>
        <v>12400990151</v>
      </c>
      <c r="D2945" t="str">
        <f t="shared" si="246"/>
        <v>12400990151</v>
      </c>
      <c r="E2945" t="s">
        <v>52</v>
      </c>
      <c r="F2945">
        <v>2014</v>
      </c>
      <c r="G2945">
        <v>1410866</v>
      </c>
      <c r="H2945" s="1">
        <v>41761</v>
      </c>
      <c r="I2945" s="1">
        <v>41771</v>
      </c>
      <c r="J2945" s="1">
        <v>41771</v>
      </c>
      <c r="K2945" s="1">
        <v>41861</v>
      </c>
      <c r="N2945" s="5"/>
      <c r="O2945">
        <v>793</v>
      </c>
      <c r="P2945">
        <v>235</v>
      </c>
      <c r="Q2945" s="2">
        <v>186355</v>
      </c>
      <c r="R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 s="1">
        <v>42382</v>
      </c>
      <c r="AC2945" t="s">
        <v>53</v>
      </c>
      <c r="AD2945" t="s">
        <v>53</v>
      </c>
      <c r="AK2945">
        <v>0</v>
      </c>
      <c r="AU2945" s="6">
        <v>42096</v>
      </c>
      <c r="AV2945" s="6">
        <v>42096</v>
      </c>
      <c r="AW2945" t="s">
        <v>54</v>
      </c>
      <c r="AX2945" t="str">
        <f t="shared" si="242"/>
        <v>FOR</v>
      </c>
      <c r="AY2945" t="s">
        <v>55</v>
      </c>
    </row>
    <row r="2946" spans="1:51" hidden="1">
      <c r="A2946">
        <v>100917</v>
      </c>
      <c r="B2946" t="s">
        <v>364</v>
      </c>
      <c r="C2946" t="str">
        <f t="shared" si="246"/>
        <v>12400990151</v>
      </c>
      <c r="D2946" t="str">
        <f t="shared" si="246"/>
        <v>12400990151</v>
      </c>
      <c r="E2946" t="s">
        <v>52</v>
      </c>
      <c r="F2946">
        <v>2014</v>
      </c>
      <c r="G2946">
        <v>1411092</v>
      </c>
      <c r="H2946" s="1">
        <v>41793</v>
      </c>
      <c r="I2946" s="1">
        <v>41802</v>
      </c>
      <c r="J2946" s="1">
        <v>41802</v>
      </c>
      <c r="K2946" s="1">
        <v>41892</v>
      </c>
      <c r="N2946" s="5"/>
      <c r="O2946">
        <v>793</v>
      </c>
      <c r="P2946">
        <v>239</v>
      </c>
      <c r="Q2946" s="2">
        <v>189527</v>
      </c>
      <c r="R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 s="1">
        <v>42382</v>
      </c>
      <c r="AC2946" t="s">
        <v>53</v>
      </c>
      <c r="AD2946" t="s">
        <v>53</v>
      </c>
      <c r="AK2946">
        <v>0</v>
      </c>
      <c r="AU2946" s="6">
        <v>42131</v>
      </c>
      <c r="AV2946" s="6">
        <v>42131</v>
      </c>
      <c r="AW2946" t="s">
        <v>54</v>
      </c>
      <c r="AX2946" t="str">
        <f t="shared" si="242"/>
        <v>FOR</v>
      </c>
      <c r="AY2946" t="s">
        <v>55</v>
      </c>
    </row>
    <row r="2947" spans="1:51" hidden="1">
      <c r="A2947">
        <v>100917</v>
      </c>
      <c r="B2947" t="s">
        <v>364</v>
      </c>
      <c r="C2947" t="str">
        <f t="shared" si="246"/>
        <v>12400990151</v>
      </c>
      <c r="D2947" t="str">
        <f t="shared" si="246"/>
        <v>12400990151</v>
      </c>
      <c r="E2947" t="s">
        <v>52</v>
      </c>
      <c r="F2947">
        <v>2014</v>
      </c>
      <c r="G2947">
        <v>1411315</v>
      </c>
      <c r="H2947" s="1">
        <v>41823</v>
      </c>
      <c r="I2947" s="1">
        <v>41837</v>
      </c>
      <c r="J2947" s="1">
        <v>41837</v>
      </c>
      <c r="K2947" s="1">
        <v>41927</v>
      </c>
      <c r="N2947" s="5"/>
      <c r="O2947">
        <v>793</v>
      </c>
      <c r="P2947">
        <v>232</v>
      </c>
      <c r="Q2947" s="2">
        <v>183976</v>
      </c>
      <c r="R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 s="1">
        <v>42382</v>
      </c>
      <c r="AC2947" t="s">
        <v>53</v>
      </c>
      <c r="AD2947" t="s">
        <v>53</v>
      </c>
      <c r="AK2947">
        <v>0</v>
      </c>
      <c r="AU2947" s="6">
        <v>42159</v>
      </c>
      <c r="AV2947" s="6">
        <v>42159</v>
      </c>
      <c r="AW2947" t="s">
        <v>54</v>
      </c>
      <c r="AX2947" t="str">
        <f t="shared" ref="AX2947:AX3010" si="247">"FOR"</f>
        <v>FOR</v>
      </c>
      <c r="AY2947" t="s">
        <v>55</v>
      </c>
    </row>
    <row r="2948" spans="1:51" hidden="1">
      <c r="A2948">
        <v>100917</v>
      </c>
      <c r="B2948" t="s">
        <v>364</v>
      </c>
      <c r="C2948" t="str">
        <f t="shared" si="246"/>
        <v>12400990151</v>
      </c>
      <c r="D2948" t="str">
        <f t="shared" si="246"/>
        <v>12400990151</v>
      </c>
      <c r="E2948" t="s">
        <v>52</v>
      </c>
      <c r="F2948">
        <v>2014</v>
      </c>
      <c r="G2948">
        <v>1411502</v>
      </c>
      <c r="H2948" s="1">
        <v>41852</v>
      </c>
      <c r="I2948" s="1">
        <v>41873</v>
      </c>
      <c r="J2948" s="1">
        <v>41873</v>
      </c>
      <c r="K2948" s="1">
        <v>41963</v>
      </c>
      <c r="N2948" s="5"/>
      <c r="O2948">
        <v>793</v>
      </c>
      <c r="P2948">
        <v>221</v>
      </c>
      <c r="Q2948" s="2">
        <v>175253</v>
      </c>
      <c r="R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 s="1">
        <v>42382</v>
      </c>
      <c r="AC2948" t="s">
        <v>53</v>
      </c>
      <c r="AD2948" t="s">
        <v>53</v>
      </c>
      <c r="AK2948">
        <v>0</v>
      </c>
      <c r="AU2948" s="6">
        <v>42184</v>
      </c>
      <c r="AV2948" s="6">
        <v>42184</v>
      </c>
      <c r="AW2948" t="s">
        <v>54</v>
      </c>
      <c r="AX2948" t="str">
        <f t="shared" si="247"/>
        <v>FOR</v>
      </c>
      <c r="AY2948" t="s">
        <v>55</v>
      </c>
    </row>
    <row r="2949" spans="1:51" hidden="1">
      <c r="A2949">
        <v>100917</v>
      </c>
      <c r="B2949" t="s">
        <v>364</v>
      </c>
      <c r="C2949" t="str">
        <f t="shared" si="246"/>
        <v>12400990151</v>
      </c>
      <c r="D2949" t="str">
        <f t="shared" si="246"/>
        <v>12400990151</v>
      </c>
      <c r="E2949" t="s">
        <v>52</v>
      </c>
      <c r="F2949">
        <v>2014</v>
      </c>
      <c r="G2949">
        <v>1411603</v>
      </c>
      <c r="H2949" s="1">
        <v>41883</v>
      </c>
      <c r="I2949" s="1">
        <v>41892</v>
      </c>
      <c r="J2949" s="1">
        <v>41892</v>
      </c>
      <c r="K2949" s="1">
        <v>41982</v>
      </c>
      <c r="N2949" s="5"/>
      <c r="O2949">
        <v>793</v>
      </c>
      <c r="P2949">
        <v>268</v>
      </c>
      <c r="Q2949" s="2">
        <v>212524</v>
      </c>
      <c r="R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 s="1">
        <v>42382</v>
      </c>
      <c r="AC2949" t="s">
        <v>53</v>
      </c>
      <c r="AD2949" t="s">
        <v>53</v>
      </c>
      <c r="AK2949">
        <v>0</v>
      </c>
      <c r="AU2949" s="6">
        <v>42250</v>
      </c>
      <c r="AV2949" s="6">
        <v>42250</v>
      </c>
      <c r="AW2949" t="s">
        <v>54</v>
      </c>
      <c r="AX2949" t="str">
        <f t="shared" si="247"/>
        <v>FOR</v>
      </c>
      <c r="AY2949" t="s">
        <v>55</v>
      </c>
    </row>
    <row r="2950" spans="1:51" hidden="1">
      <c r="A2950">
        <v>100917</v>
      </c>
      <c r="B2950" t="s">
        <v>364</v>
      </c>
      <c r="C2950" t="str">
        <f t="shared" si="246"/>
        <v>12400990151</v>
      </c>
      <c r="D2950" t="str">
        <f t="shared" si="246"/>
        <v>12400990151</v>
      </c>
      <c r="E2950" t="s">
        <v>52</v>
      </c>
      <c r="F2950">
        <v>2014</v>
      </c>
      <c r="G2950">
        <v>1411653</v>
      </c>
      <c r="H2950" s="1">
        <v>41890</v>
      </c>
      <c r="I2950" s="1">
        <v>41897</v>
      </c>
      <c r="J2950" s="1">
        <v>41897</v>
      </c>
      <c r="K2950" s="1">
        <v>41987</v>
      </c>
      <c r="N2950" s="5"/>
      <c r="O2950" s="2">
        <v>10384.64</v>
      </c>
      <c r="P2950">
        <v>263</v>
      </c>
      <c r="Q2950" s="2">
        <v>2731160.32</v>
      </c>
      <c r="R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 s="1">
        <v>42382</v>
      </c>
      <c r="AC2950" t="s">
        <v>53</v>
      </c>
      <c r="AD2950" t="s">
        <v>53</v>
      </c>
      <c r="AK2950">
        <v>0</v>
      </c>
      <c r="AU2950" s="6">
        <v>42250</v>
      </c>
      <c r="AV2950" s="6">
        <v>42250</v>
      </c>
      <c r="AW2950" t="s">
        <v>54</v>
      </c>
      <c r="AX2950" t="str">
        <f t="shared" si="247"/>
        <v>FOR</v>
      </c>
      <c r="AY2950" t="s">
        <v>55</v>
      </c>
    </row>
    <row r="2951" spans="1:51" hidden="1">
      <c r="A2951">
        <v>100917</v>
      </c>
      <c r="B2951" t="s">
        <v>364</v>
      </c>
      <c r="C2951" t="str">
        <f t="shared" si="246"/>
        <v>12400990151</v>
      </c>
      <c r="D2951" t="str">
        <f t="shared" si="246"/>
        <v>12400990151</v>
      </c>
      <c r="E2951" t="s">
        <v>52</v>
      </c>
      <c r="F2951">
        <v>2014</v>
      </c>
      <c r="G2951">
        <v>1411809</v>
      </c>
      <c r="H2951" s="1">
        <v>41913</v>
      </c>
      <c r="I2951" s="1">
        <v>41920</v>
      </c>
      <c r="J2951" s="1">
        <v>41920</v>
      </c>
      <c r="K2951" s="1">
        <v>42010</v>
      </c>
      <c r="N2951" s="5"/>
      <c r="O2951">
        <v>793</v>
      </c>
      <c r="P2951">
        <v>265</v>
      </c>
      <c r="Q2951" s="2">
        <v>210145</v>
      </c>
      <c r="R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 s="1">
        <v>42382</v>
      </c>
      <c r="AC2951" t="s">
        <v>53</v>
      </c>
      <c r="AD2951" t="s">
        <v>53</v>
      </c>
      <c r="AK2951">
        <v>0</v>
      </c>
      <c r="AU2951" s="6">
        <v>42275</v>
      </c>
      <c r="AV2951" s="6">
        <v>42275</v>
      </c>
      <c r="AW2951" t="s">
        <v>54</v>
      </c>
      <c r="AX2951" t="str">
        <f t="shared" si="247"/>
        <v>FOR</v>
      </c>
      <c r="AY2951" t="s">
        <v>55</v>
      </c>
    </row>
    <row r="2952" spans="1:51">
      <c r="A2952">
        <v>100917</v>
      </c>
      <c r="B2952" t="s">
        <v>364</v>
      </c>
      <c r="C2952" t="str">
        <f t="shared" si="246"/>
        <v>12400990151</v>
      </c>
      <c r="D2952" t="str">
        <f t="shared" si="246"/>
        <v>12400990151</v>
      </c>
      <c r="E2952" t="s">
        <v>52</v>
      </c>
      <c r="F2952">
        <v>2014</v>
      </c>
      <c r="G2952">
        <v>1412187</v>
      </c>
      <c r="H2952" s="1">
        <v>41970</v>
      </c>
      <c r="I2952" s="1">
        <v>41978</v>
      </c>
      <c r="J2952" s="1">
        <v>41978</v>
      </c>
      <c r="K2952" s="1">
        <v>42038</v>
      </c>
      <c r="L2952" s="7">
        <v>10384.64</v>
      </c>
      <c r="M2952" s="5">
        <v>267</v>
      </c>
      <c r="N2952" s="7">
        <v>2772698.88</v>
      </c>
      <c r="O2952" s="2">
        <v>10384.64</v>
      </c>
      <c r="P2952">
        <v>267</v>
      </c>
      <c r="Q2952" s="2">
        <v>2772698.88</v>
      </c>
      <c r="R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 s="1">
        <v>42382</v>
      </c>
      <c r="AC2952" t="s">
        <v>53</v>
      </c>
      <c r="AD2952" t="s">
        <v>53</v>
      </c>
      <c r="AK2952">
        <v>0</v>
      </c>
      <c r="AU2952" s="6">
        <v>42305</v>
      </c>
      <c r="AV2952" s="6">
        <v>42305</v>
      </c>
      <c r="AW2952" t="s">
        <v>54</v>
      </c>
      <c r="AX2952" t="str">
        <f t="shared" si="247"/>
        <v>FOR</v>
      </c>
      <c r="AY2952" t="s">
        <v>55</v>
      </c>
    </row>
    <row r="2953" spans="1:51">
      <c r="A2953">
        <v>100917</v>
      </c>
      <c r="B2953" t="s">
        <v>364</v>
      </c>
      <c r="C2953" t="str">
        <f t="shared" si="246"/>
        <v>12400990151</v>
      </c>
      <c r="D2953" t="str">
        <f t="shared" si="246"/>
        <v>12400990151</v>
      </c>
      <c r="E2953" t="s">
        <v>52</v>
      </c>
      <c r="F2953">
        <v>2014</v>
      </c>
      <c r="G2953">
        <v>1412224</v>
      </c>
      <c r="H2953" s="1">
        <v>41974</v>
      </c>
      <c r="I2953" s="1">
        <v>41983</v>
      </c>
      <c r="J2953" s="1">
        <v>41983</v>
      </c>
      <c r="K2953" s="1">
        <v>42043</v>
      </c>
      <c r="L2953" s="7">
        <v>793</v>
      </c>
      <c r="M2953" s="5">
        <v>262</v>
      </c>
      <c r="N2953" s="7">
        <v>207766</v>
      </c>
      <c r="O2953">
        <v>793</v>
      </c>
      <c r="P2953">
        <v>262</v>
      </c>
      <c r="Q2953" s="2">
        <v>207766</v>
      </c>
      <c r="R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 s="1">
        <v>42382</v>
      </c>
      <c r="AC2953" t="s">
        <v>53</v>
      </c>
      <c r="AD2953" t="s">
        <v>53</v>
      </c>
      <c r="AK2953">
        <v>0</v>
      </c>
      <c r="AU2953" s="6">
        <v>42305</v>
      </c>
      <c r="AV2953" s="6">
        <v>42305</v>
      </c>
      <c r="AW2953" t="s">
        <v>54</v>
      </c>
      <c r="AX2953" t="str">
        <f t="shared" si="247"/>
        <v>FOR</v>
      </c>
      <c r="AY2953" t="s">
        <v>55</v>
      </c>
    </row>
    <row r="2954" spans="1:51">
      <c r="A2954">
        <v>100929</v>
      </c>
      <c r="B2954" t="s">
        <v>365</v>
      </c>
      <c r="C2954" t="str">
        <f>"13179250157"</f>
        <v>13179250157</v>
      </c>
      <c r="D2954" t="str">
        <f>"13179250157"</f>
        <v>13179250157</v>
      </c>
      <c r="E2954" t="s">
        <v>52</v>
      </c>
      <c r="F2954">
        <v>2015</v>
      </c>
      <c r="G2954">
        <v>7387</v>
      </c>
      <c r="H2954" s="1">
        <v>42034</v>
      </c>
      <c r="I2954" s="1">
        <v>42072</v>
      </c>
      <c r="J2954" s="1">
        <v>42072</v>
      </c>
      <c r="K2954" s="1">
        <v>42132</v>
      </c>
      <c r="L2954" s="7">
        <v>95.7</v>
      </c>
      <c r="M2954" s="5">
        <v>223</v>
      </c>
      <c r="N2954" s="7">
        <v>21341.1</v>
      </c>
      <c r="O2954">
        <v>95.7</v>
      </c>
      <c r="P2954">
        <v>223</v>
      </c>
      <c r="Q2954" s="2">
        <v>21341.1</v>
      </c>
      <c r="R2954">
        <v>9.57</v>
      </c>
      <c r="V2954">
        <v>0</v>
      </c>
      <c r="W2954">
        <v>0</v>
      </c>
      <c r="X2954">
        <v>0</v>
      </c>
      <c r="Y2954">
        <v>105.27</v>
      </c>
      <c r="Z2954">
        <v>105.27</v>
      </c>
      <c r="AA2954">
        <v>105.27</v>
      </c>
      <c r="AB2954" s="1">
        <v>42382</v>
      </c>
      <c r="AC2954" t="s">
        <v>53</v>
      </c>
      <c r="AD2954" t="s">
        <v>53</v>
      </c>
      <c r="AK2954">
        <v>9.57</v>
      </c>
      <c r="AU2954" s="6">
        <v>42355</v>
      </c>
      <c r="AV2954" s="6">
        <v>42355</v>
      </c>
      <c r="AW2954" t="s">
        <v>54</v>
      </c>
      <c r="AX2954" t="str">
        <f t="shared" si="247"/>
        <v>FOR</v>
      </c>
      <c r="AY2954" t="s">
        <v>55</v>
      </c>
    </row>
    <row r="2955" spans="1:51" hidden="1">
      <c r="A2955">
        <v>100930</v>
      </c>
      <c r="B2955" t="s">
        <v>366</v>
      </c>
      <c r="C2955" t="str">
        <f t="shared" ref="C2955:D2962" si="248">"06111530637"</f>
        <v>06111530637</v>
      </c>
      <c r="D2955" t="str">
        <f t="shared" si="248"/>
        <v>06111530637</v>
      </c>
      <c r="E2955" t="s">
        <v>52</v>
      </c>
      <c r="F2955">
        <v>2014</v>
      </c>
      <c r="G2955">
        <v>483</v>
      </c>
      <c r="H2955" s="1">
        <v>41670</v>
      </c>
      <c r="I2955" s="1">
        <v>41675</v>
      </c>
      <c r="J2955" s="1">
        <v>41675</v>
      </c>
      <c r="K2955" s="1">
        <v>41765</v>
      </c>
      <c r="N2955" s="5"/>
      <c r="O2955" s="2">
        <v>4589.7</v>
      </c>
      <c r="P2955">
        <v>254</v>
      </c>
      <c r="Q2955" s="2">
        <v>1165783.8</v>
      </c>
      <c r="R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 s="1">
        <v>42382</v>
      </c>
      <c r="AC2955" t="s">
        <v>53</v>
      </c>
      <c r="AD2955" t="s">
        <v>53</v>
      </c>
      <c r="AK2955">
        <v>0</v>
      </c>
      <c r="AU2955" s="6">
        <v>42019</v>
      </c>
      <c r="AV2955" s="6">
        <v>42019</v>
      </c>
      <c r="AW2955" t="s">
        <v>54</v>
      </c>
      <c r="AX2955" t="str">
        <f t="shared" si="247"/>
        <v>FOR</v>
      </c>
      <c r="AY2955" t="s">
        <v>55</v>
      </c>
    </row>
    <row r="2956" spans="1:51" hidden="1">
      <c r="A2956">
        <v>100930</v>
      </c>
      <c r="B2956" t="s">
        <v>366</v>
      </c>
      <c r="C2956" t="str">
        <f t="shared" si="248"/>
        <v>06111530637</v>
      </c>
      <c r="D2956" t="str">
        <f t="shared" si="248"/>
        <v>06111530637</v>
      </c>
      <c r="E2956" t="s">
        <v>52</v>
      </c>
      <c r="F2956">
        <v>2014</v>
      </c>
      <c r="G2956">
        <v>1657</v>
      </c>
      <c r="H2956" s="1">
        <v>41727</v>
      </c>
      <c r="I2956" s="1">
        <v>41743</v>
      </c>
      <c r="J2956" s="1">
        <v>41743</v>
      </c>
      <c r="K2956" s="1">
        <v>41833</v>
      </c>
      <c r="N2956" s="5"/>
      <c r="O2956">
        <v>683.2</v>
      </c>
      <c r="P2956">
        <v>239</v>
      </c>
      <c r="Q2956" s="2">
        <v>163284.79999999999</v>
      </c>
      <c r="R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 s="1">
        <v>42382</v>
      </c>
      <c r="AC2956" t="s">
        <v>53</v>
      </c>
      <c r="AD2956" t="s">
        <v>53</v>
      </c>
      <c r="AK2956">
        <v>0</v>
      </c>
      <c r="AU2956" s="6">
        <v>42072</v>
      </c>
      <c r="AV2956" s="6">
        <v>42072</v>
      </c>
      <c r="AW2956" t="s">
        <v>54</v>
      </c>
      <c r="AX2956" t="str">
        <f t="shared" si="247"/>
        <v>FOR</v>
      </c>
      <c r="AY2956" t="s">
        <v>55</v>
      </c>
    </row>
    <row r="2957" spans="1:51">
      <c r="A2957">
        <v>100930</v>
      </c>
      <c r="B2957" t="s">
        <v>366</v>
      </c>
      <c r="C2957" t="str">
        <f t="shared" si="248"/>
        <v>06111530637</v>
      </c>
      <c r="D2957" t="str">
        <f t="shared" si="248"/>
        <v>06111530637</v>
      </c>
      <c r="E2957" t="s">
        <v>52</v>
      </c>
      <c r="F2957">
        <v>2014</v>
      </c>
      <c r="G2957">
        <v>6286</v>
      </c>
      <c r="H2957" s="1">
        <v>41943</v>
      </c>
      <c r="I2957" s="1">
        <v>42041</v>
      </c>
      <c r="J2957" s="1">
        <v>42041</v>
      </c>
      <c r="K2957" s="1">
        <v>42101</v>
      </c>
      <c r="L2957" s="7">
        <v>331.84</v>
      </c>
      <c r="M2957" s="5">
        <v>181</v>
      </c>
      <c r="N2957" s="7">
        <v>60063.040000000001</v>
      </c>
      <c r="O2957">
        <v>331.84</v>
      </c>
      <c r="P2957">
        <v>181</v>
      </c>
      <c r="Q2957" s="2">
        <v>60063.040000000001</v>
      </c>
      <c r="R2957">
        <v>0</v>
      </c>
      <c r="V2957">
        <v>0</v>
      </c>
      <c r="W2957">
        <v>0</v>
      </c>
      <c r="X2957">
        <v>0</v>
      </c>
      <c r="Y2957">
        <v>0</v>
      </c>
      <c r="Z2957">
        <v>331.84</v>
      </c>
      <c r="AA2957">
        <v>0</v>
      </c>
      <c r="AB2957" s="1">
        <v>42382</v>
      </c>
      <c r="AC2957" t="s">
        <v>53</v>
      </c>
      <c r="AD2957" t="s">
        <v>53</v>
      </c>
      <c r="AK2957">
        <v>0</v>
      </c>
      <c r="AU2957" s="6">
        <v>42282</v>
      </c>
      <c r="AV2957" s="6">
        <v>42282</v>
      </c>
      <c r="AW2957" t="s">
        <v>54</v>
      </c>
      <c r="AX2957" t="str">
        <f t="shared" si="247"/>
        <v>FOR</v>
      </c>
      <c r="AY2957" t="s">
        <v>55</v>
      </c>
    </row>
    <row r="2958" spans="1:51">
      <c r="A2958">
        <v>100930</v>
      </c>
      <c r="B2958" t="s">
        <v>366</v>
      </c>
      <c r="C2958" t="str">
        <f t="shared" si="248"/>
        <v>06111530637</v>
      </c>
      <c r="D2958" t="str">
        <f t="shared" si="248"/>
        <v>06111530637</v>
      </c>
      <c r="E2958" t="s">
        <v>52</v>
      </c>
      <c r="F2958">
        <v>2014</v>
      </c>
      <c r="G2958">
        <v>6786</v>
      </c>
      <c r="H2958" s="1">
        <v>41972</v>
      </c>
      <c r="I2958" s="1">
        <v>42081</v>
      </c>
      <c r="J2958" s="1">
        <v>42081</v>
      </c>
      <c r="K2958" s="1">
        <v>42141</v>
      </c>
      <c r="L2958" s="7">
        <v>591.70000000000005</v>
      </c>
      <c r="M2958" s="5">
        <v>141</v>
      </c>
      <c r="N2958" s="7">
        <v>83429.7</v>
      </c>
      <c r="O2958">
        <v>591.70000000000005</v>
      </c>
      <c r="P2958">
        <v>141</v>
      </c>
      <c r="Q2958" s="2">
        <v>83429.7</v>
      </c>
      <c r="R2958">
        <v>0</v>
      </c>
      <c r="V2958">
        <v>0</v>
      </c>
      <c r="W2958">
        <v>0</v>
      </c>
      <c r="X2958">
        <v>0</v>
      </c>
      <c r="Y2958">
        <v>0</v>
      </c>
      <c r="Z2958">
        <v>591.70000000000005</v>
      </c>
      <c r="AA2958">
        <v>0</v>
      </c>
      <c r="AB2958" s="1">
        <v>42382</v>
      </c>
      <c r="AC2958" t="s">
        <v>53</v>
      </c>
      <c r="AD2958" t="s">
        <v>53</v>
      </c>
      <c r="AK2958">
        <v>0</v>
      </c>
      <c r="AU2958" s="6">
        <v>42282</v>
      </c>
      <c r="AV2958" s="6">
        <v>42282</v>
      </c>
      <c r="AW2958" t="s">
        <v>54</v>
      </c>
      <c r="AX2958" t="str">
        <f t="shared" si="247"/>
        <v>FOR</v>
      </c>
      <c r="AY2958" t="s">
        <v>55</v>
      </c>
    </row>
    <row r="2959" spans="1:51">
      <c r="A2959">
        <v>100930</v>
      </c>
      <c r="B2959" t="s">
        <v>366</v>
      </c>
      <c r="C2959" t="str">
        <f t="shared" si="248"/>
        <v>06111530637</v>
      </c>
      <c r="D2959" t="str">
        <f t="shared" si="248"/>
        <v>06111530637</v>
      </c>
      <c r="E2959" t="s">
        <v>52</v>
      </c>
      <c r="F2959">
        <v>2014</v>
      </c>
      <c r="G2959">
        <v>7735</v>
      </c>
      <c r="H2959" s="1">
        <v>42004</v>
      </c>
      <c r="I2959" s="1">
        <v>42041</v>
      </c>
      <c r="J2959" s="1">
        <v>42041</v>
      </c>
      <c r="K2959" s="1">
        <v>42101</v>
      </c>
      <c r="L2959" s="7">
        <v>153.72</v>
      </c>
      <c r="M2959" s="5">
        <v>240</v>
      </c>
      <c r="N2959" s="7">
        <v>36892.800000000003</v>
      </c>
      <c r="O2959">
        <v>153.72</v>
      </c>
      <c r="P2959">
        <v>240</v>
      </c>
      <c r="Q2959" s="2">
        <v>36892.800000000003</v>
      </c>
      <c r="R2959">
        <v>0</v>
      </c>
      <c r="V2959">
        <v>0</v>
      </c>
      <c r="W2959">
        <v>0</v>
      </c>
      <c r="X2959">
        <v>0</v>
      </c>
      <c r="Y2959">
        <v>0</v>
      </c>
      <c r="Z2959">
        <v>153.72</v>
      </c>
      <c r="AA2959">
        <v>0</v>
      </c>
      <c r="AB2959" s="1">
        <v>42382</v>
      </c>
      <c r="AC2959" t="s">
        <v>53</v>
      </c>
      <c r="AD2959" t="s">
        <v>53</v>
      </c>
      <c r="AK2959">
        <v>0</v>
      </c>
      <c r="AU2959" s="6">
        <v>42341</v>
      </c>
      <c r="AV2959" s="6">
        <v>42341</v>
      </c>
      <c r="AW2959" t="s">
        <v>54</v>
      </c>
      <c r="AX2959" t="str">
        <f t="shared" si="247"/>
        <v>FOR</v>
      </c>
      <c r="AY2959" t="s">
        <v>55</v>
      </c>
    </row>
    <row r="2960" spans="1:51">
      <c r="A2960">
        <v>100930</v>
      </c>
      <c r="B2960" t="s">
        <v>366</v>
      </c>
      <c r="C2960" t="str">
        <f t="shared" si="248"/>
        <v>06111530637</v>
      </c>
      <c r="D2960" t="str">
        <f t="shared" si="248"/>
        <v>06111530637</v>
      </c>
      <c r="E2960" t="s">
        <v>52</v>
      </c>
      <c r="F2960">
        <v>2015</v>
      </c>
      <c r="G2960">
        <v>2830</v>
      </c>
      <c r="H2960" s="1">
        <v>42124</v>
      </c>
      <c r="I2960" s="1">
        <v>42243</v>
      </c>
      <c r="J2960" s="1">
        <v>42242</v>
      </c>
      <c r="K2960" s="1">
        <v>42302</v>
      </c>
      <c r="L2960" s="7">
        <v>485</v>
      </c>
      <c r="M2960" s="5">
        <v>39</v>
      </c>
      <c r="N2960" s="7">
        <v>18915</v>
      </c>
      <c r="O2960">
        <v>485</v>
      </c>
      <c r="P2960">
        <v>39</v>
      </c>
      <c r="Q2960" s="2">
        <v>18915</v>
      </c>
      <c r="R2960">
        <v>106.7</v>
      </c>
      <c r="V2960">
        <v>0</v>
      </c>
      <c r="W2960">
        <v>0</v>
      </c>
      <c r="X2960">
        <v>0</v>
      </c>
      <c r="Y2960">
        <v>591.70000000000005</v>
      </c>
      <c r="Z2960">
        <v>591.70000000000005</v>
      </c>
      <c r="AA2960">
        <v>591.70000000000005</v>
      </c>
      <c r="AB2960" s="1">
        <v>42382</v>
      </c>
      <c r="AC2960" t="s">
        <v>53</v>
      </c>
      <c r="AD2960" t="s">
        <v>53</v>
      </c>
      <c r="AG2960">
        <v>106.7</v>
      </c>
      <c r="AK2960">
        <v>0</v>
      </c>
      <c r="AU2960" s="6">
        <v>42341</v>
      </c>
      <c r="AV2960" s="6">
        <v>42341</v>
      </c>
      <c r="AW2960" t="s">
        <v>54</v>
      </c>
      <c r="AX2960" t="str">
        <f t="shared" si="247"/>
        <v>FOR</v>
      </c>
      <c r="AY2960" t="s">
        <v>55</v>
      </c>
    </row>
    <row r="2961" spans="1:51">
      <c r="A2961">
        <v>100930</v>
      </c>
      <c r="B2961" t="s">
        <v>366</v>
      </c>
      <c r="C2961" t="str">
        <f t="shared" si="248"/>
        <v>06111530637</v>
      </c>
      <c r="D2961" t="str">
        <f t="shared" si="248"/>
        <v>06111530637</v>
      </c>
      <c r="E2961" t="s">
        <v>52</v>
      </c>
      <c r="F2961">
        <v>2015</v>
      </c>
      <c r="G2961">
        <v>3368</v>
      </c>
      <c r="H2961" s="1">
        <v>42148</v>
      </c>
      <c r="I2961" s="1">
        <v>42209</v>
      </c>
      <c r="J2961" s="1">
        <v>42207</v>
      </c>
      <c r="K2961" s="1">
        <v>42267</v>
      </c>
      <c r="L2961" s="7">
        <v>560</v>
      </c>
      <c r="M2961" s="5">
        <v>74</v>
      </c>
      <c r="N2961" s="7">
        <v>41440</v>
      </c>
      <c r="O2961">
        <v>560</v>
      </c>
      <c r="P2961">
        <v>74</v>
      </c>
      <c r="Q2961" s="2">
        <v>41440</v>
      </c>
      <c r="R2961">
        <v>123.2</v>
      </c>
      <c r="V2961">
        <v>0</v>
      </c>
      <c r="W2961">
        <v>0</v>
      </c>
      <c r="X2961">
        <v>0</v>
      </c>
      <c r="Y2961">
        <v>683.2</v>
      </c>
      <c r="Z2961">
        <v>683.2</v>
      </c>
      <c r="AA2961">
        <v>683.2</v>
      </c>
      <c r="AB2961" s="1">
        <v>42382</v>
      </c>
      <c r="AC2961" t="s">
        <v>53</v>
      </c>
      <c r="AD2961" t="s">
        <v>53</v>
      </c>
      <c r="AH2961">
        <v>123.2</v>
      </c>
      <c r="AK2961">
        <v>0</v>
      </c>
      <c r="AU2961" s="6">
        <v>42341</v>
      </c>
      <c r="AV2961" s="6">
        <v>42341</v>
      </c>
      <c r="AW2961" t="s">
        <v>54</v>
      </c>
      <c r="AX2961" t="str">
        <f t="shared" si="247"/>
        <v>FOR</v>
      </c>
      <c r="AY2961" t="s">
        <v>55</v>
      </c>
    </row>
    <row r="2962" spans="1:51">
      <c r="A2962">
        <v>100930</v>
      </c>
      <c r="B2962" t="s">
        <v>366</v>
      </c>
      <c r="C2962" t="str">
        <f t="shared" si="248"/>
        <v>06111530637</v>
      </c>
      <c r="D2962" t="str">
        <f t="shared" si="248"/>
        <v>06111530637</v>
      </c>
      <c r="E2962" t="s">
        <v>52</v>
      </c>
      <c r="F2962">
        <v>2015</v>
      </c>
      <c r="G2962">
        <v>4413</v>
      </c>
      <c r="H2962" s="1">
        <v>42184</v>
      </c>
      <c r="I2962" s="1">
        <v>42212</v>
      </c>
      <c r="J2962" s="1">
        <v>42209</v>
      </c>
      <c r="K2962" s="1">
        <v>42269</v>
      </c>
      <c r="L2962" s="7">
        <v>280</v>
      </c>
      <c r="M2962" s="5">
        <v>72</v>
      </c>
      <c r="N2962" s="7">
        <v>20160</v>
      </c>
      <c r="O2962">
        <v>280</v>
      </c>
      <c r="P2962">
        <v>72</v>
      </c>
      <c r="Q2962" s="2">
        <v>20160</v>
      </c>
      <c r="R2962">
        <v>61.6</v>
      </c>
      <c r="V2962">
        <v>0</v>
      </c>
      <c r="W2962">
        <v>0</v>
      </c>
      <c r="X2962">
        <v>0</v>
      </c>
      <c r="Y2962">
        <v>341.6</v>
      </c>
      <c r="Z2962">
        <v>341.6</v>
      </c>
      <c r="AA2962">
        <v>341.6</v>
      </c>
      <c r="AB2962" s="1">
        <v>42382</v>
      </c>
      <c r="AC2962" t="s">
        <v>53</v>
      </c>
      <c r="AD2962" t="s">
        <v>53</v>
      </c>
      <c r="AH2962">
        <v>61.6</v>
      </c>
      <c r="AK2962">
        <v>0</v>
      </c>
      <c r="AU2962" s="6">
        <v>42341</v>
      </c>
      <c r="AV2962" s="6">
        <v>42341</v>
      </c>
      <c r="AW2962" t="s">
        <v>54</v>
      </c>
      <c r="AX2962" t="str">
        <f t="shared" si="247"/>
        <v>FOR</v>
      </c>
      <c r="AY2962" t="s">
        <v>55</v>
      </c>
    </row>
    <row r="2963" spans="1:51" hidden="1">
      <c r="A2963">
        <v>100938</v>
      </c>
      <c r="B2963" t="s">
        <v>367</v>
      </c>
      <c r="C2963" t="str">
        <f t="shared" ref="C2963:C2969" si="249">"02689300123"</f>
        <v>02689300123</v>
      </c>
      <c r="D2963" t="str">
        <f t="shared" ref="D2963:D2969" si="250">"00795170158"</f>
        <v>00795170158</v>
      </c>
      <c r="E2963" t="s">
        <v>52</v>
      </c>
      <c r="F2963">
        <v>2014</v>
      </c>
      <c r="G2963">
        <v>64493</v>
      </c>
      <c r="H2963" s="1">
        <v>41802</v>
      </c>
      <c r="I2963" s="1">
        <v>41817</v>
      </c>
      <c r="J2963" s="1">
        <v>41817</v>
      </c>
      <c r="K2963" s="1">
        <v>41907</v>
      </c>
      <c r="N2963" s="5"/>
      <c r="O2963">
        <v>437.8</v>
      </c>
      <c r="P2963">
        <v>341</v>
      </c>
      <c r="Q2963" s="2">
        <v>149289.79999999999</v>
      </c>
      <c r="R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 s="1">
        <v>42382</v>
      </c>
      <c r="AC2963" t="s">
        <v>53</v>
      </c>
      <c r="AD2963" t="s">
        <v>53</v>
      </c>
      <c r="AK2963">
        <v>0</v>
      </c>
      <c r="AU2963" s="6">
        <v>42248</v>
      </c>
      <c r="AV2963" s="6">
        <v>42248</v>
      </c>
      <c r="AW2963" t="s">
        <v>54</v>
      </c>
      <c r="AX2963" t="str">
        <f t="shared" si="247"/>
        <v>FOR</v>
      </c>
      <c r="AY2963" t="s">
        <v>55</v>
      </c>
    </row>
    <row r="2964" spans="1:51" hidden="1">
      <c r="A2964">
        <v>100938</v>
      </c>
      <c r="B2964" t="s">
        <v>367</v>
      </c>
      <c r="C2964" t="str">
        <f t="shared" si="249"/>
        <v>02689300123</v>
      </c>
      <c r="D2964" t="str">
        <f t="shared" si="250"/>
        <v>00795170158</v>
      </c>
      <c r="E2964" t="s">
        <v>52</v>
      </c>
      <c r="F2964">
        <v>2014</v>
      </c>
      <c r="G2964">
        <v>72464</v>
      </c>
      <c r="H2964" s="1">
        <v>41817</v>
      </c>
      <c r="I2964" s="1">
        <v>41829</v>
      </c>
      <c r="J2964" s="1">
        <v>41829</v>
      </c>
      <c r="K2964" s="1">
        <v>41919</v>
      </c>
      <c r="N2964" s="5"/>
      <c r="O2964">
        <v>437.8</v>
      </c>
      <c r="P2964">
        <v>329</v>
      </c>
      <c r="Q2964" s="2">
        <v>144036.20000000001</v>
      </c>
      <c r="R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 s="1">
        <v>42382</v>
      </c>
      <c r="AC2964" t="s">
        <v>53</v>
      </c>
      <c r="AD2964" t="s">
        <v>53</v>
      </c>
      <c r="AK2964">
        <v>0</v>
      </c>
      <c r="AU2964" s="6">
        <v>42248</v>
      </c>
      <c r="AV2964" s="6">
        <v>42248</v>
      </c>
      <c r="AW2964" t="s">
        <v>54</v>
      </c>
      <c r="AX2964" t="str">
        <f t="shared" si="247"/>
        <v>FOR</v>
      </c>
      <c r="AY2964" t="s">
        <v>55</v>
      </c>
    </row>
    <row r="2965" spans="1:51" hidden="1">
      <c r="A2965">
        <v>100938</v>
      </c>
      <c r="B2965" t="s">
        <v>367</v>
      </c>
      <c r="C2965" t="str">
        <f t="shared" si="249"/>
        <v>02689300123</v>
      </c>
      <c r="D2965" t="str">
        <f t="shared" si="250"/>
        <v>00795170158</v>
      </c>
      <c r="E2965" t="s">
        <v>52</v>
      </c>
      <c r="F2965">
        <v>2014</v>
      </c>
      <c r="G2965">
        <v>81881</v>
      </c>
      <c r="H2965" s="1">
        <v>41844</v>
      </c>
      <c r="I2965" s="1">
        <v>41872</v>
      </c>
      <c r="J2965" s="1">
        <v>41872</v>
      </c>
      <c r="K2965" s="1">
        <v>41962</v>
      </c>
      <c r="N2965" s="5"/>
      <c r="O2965">
        <v>437.8</v>
      </c>
      <c r="P2965">
        <v>286</v>
      </c>
      <c r="Q2965" s="2">
        <v>125210.8</v>
      </c>
      <c r="R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 s="1">
        <v>42382</v>
      </c>
      <c r="AC2965" t="s">
        <v>53</v>
      </c>
      <c r="AD2965" t="s">
        <v>53</v>
      </c>
      <c r="AK2965">
        <v>0</v>
      </c>
      <c r="AU2965" s="6">
        <v>42248</v>
      </c>
      <c r="AV2965" s="6">
        <v>42248</v>
      </c>
      <c r="AW2965" t="s">
        <v>54</v>
      </c>
      <c r="AX2965" t="str">
        <f t="shared" si="247"/>
        <v>FOR</v>
      </c>
      <c r="AY2965" t="s">
        <v>55</v>
      </c>
    </row>
    <row r="2966" spans="1:51" hidden="1">
      <c r="A2966">
        <v>100938</v>
      </c>
      <c r="B2966" t="s">
        <v>367</v>
      </c>
      <c r="C2966" t="str">
        <f t="shared" si="249"/>
        <v>02689300123</v>
      </c>
      <c r="D2966" t="str">
        <f t="shared" si="250"/>
        <v>00795170158</v>
      </c>
      <c r="E2966" t="s">
        <v>52</v>
      </c>
      <c r="F2966">
        <v>2014</v>
      </c>
      <c r="G2966">
        <v>88876</v>
      </c>
      <c r="H2966" s="1">
        <v>41873</v>
      </c>
      <c r="I2966" s="1">
        <v>41890</v>
      </c>
      <c r="J2966" s="1">
        <v>41890</v>
      </c>
      <c r="K2966" s="1">
        <v>41980</v>
      </c>
      <c r="N2966" s="5"/>
      <c r="O2966">
        <v>437.8</v>
      </c>
      <c r="P2966">
        <v>268</v>
      </c>
      <c r="Q2966" s="2">
        <v>117330.4</v>
      </c>
      <c r="R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 s="1">
        <v>42382</v>
      </c>
      <c r="AC2966" t="s">
        <v>53</v>
      </c>
      <c r="AD2966" t="s">
        <v>53</v>
      </c>
      <c r="AK2966">
        <v>0</v>
      </c>
      <c r="AU2966" s="6">
        <v>42248</v>
      </c>
      <c r="AV2966" s="6">
        <v>42248</v>
      </c>
      <c r="AW2966" t="s">
        <v>54</v>
      </c>
      <c r="AX2966" t="str">
        <f t="shared" si="247"/>
        <v>FOR</v>
      </c>
      <c r="AY2966" t="s">
        <v>55</v>
      </c>
    </row>
    <row r="2967" spans="1:51" hidden="1">
      <c r="A2967">
        <v>100938</v>
      </c>
      <c r="B2967" t="s">
        <v>367</v>
      </c>
      <c r="C2967" t="str">
        <f t="shared" si="249"/>
        <v>02689300123</v>
      </c>
      <c r="D2967" t="str">
        <f t="shared" si="250"/>
        <v>00795170158</v>
      </c>
      <c r="E2967" t="s">
        <v>52</v>
      </c>
      <c r="F2967">
        <v>2014</v>
      </c>
      <c r="G2967">
        <v>97557</v>
      </c>
      <c r="H2967" s="1">
        <v>41898</v>
      </c>
      <c r="I2967" s="1">
        <v>41911</v>
      </c>
      <c r="J2967" s="1">
        <v>41911</v>
      </c>
      <c r="K2967" s="1">
        <v>42001</v>
      </c>
      <c r="N2967" s="5"/>
      <c r="O2967">
        <v>656.7</v>
      </c>
      <c r="P2967">
        <v>247</v>
      </c>
      <c r="Q2967" s="2">
        <v>162204.9</v>
      </c>
      <c r="R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 s="1">
        <v>42382</v>
      </c>
      <c r="AC2967" t="s">
        <v>53</v>
      </c>
      <c r="AD2967" t="s">
        <v>53</v>
      </c>
      <c r="AK2967">
        <v>0</v>
      </c>
      <c r="AU2967" s="6">
        <v>42248</v>
      </c>
      <c r="AV2967" s="6">
        <v>42248</v>
      </c>
      <c r="AW2967" t="s">
        <v>54</v>
      </c>
      <c r="AX2967" t="str">
        <f t="shared" si="247"/>
        <v>FOR</v>
      </c>
      <c r="AY2967" t="s">
        <v>55</v>
      </c>
    </row>
    <row r="2968" spans="1:51">
      <c r="A2968">
        <v>100938</v>
      </c>
      <c r="B2968" t="s">
        <v>367</v>
      </c>
      <c r="C2968" t="str">
        <f t="shared" si="249"/>
        <v>02689300123</v>
      </c>
      <c r="D2968" t="str">
        <f t="shared" si="250"/>
        <v>00795170158</v>
      </c>
      <c r="E2968" t="s">
        <v>52</v>
      </c>
      <c r="F2968">
        <v>2014</v>
      </c>
      <c r="G2968">
        <v>108827</v>
      </c>
      <c r="H2968" s="1">
        <v>41929</v>
      </c>
      <c r="I2968" s="1">
        <v>41941</v>
      </c>
      <c r="J2968" s="1">
        <v>41941</v>
      </c>
      <c r="K2968" s="1">
        <v>42001</v>
      </c>
      <c r="L2968" s="7">
        <v>437.8</v>
      </c>
      <c r="M2968" s="5">
        <v>282</v>
      </c>
      <c r="N2968" s="7">
        <v>123459.6</v>
      </c>
      <c r="O2968">
        <v>437.8</v>
      </c>
      <c r="P2968">
        <v>282</v>
      </c>
      <c r="Q2968" s="2">
        <v>123459.6</v>
      </c>
      <c r="R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 s="1">
        <v>42382</v>
      </c>
      <c r="AC2968" t="s">
        <v>53</v>
      </c>
      <c r="AD2968" t="s">
        <v>53</v>
      </c>
      <c r="AK2968">
        <v>0</v>
      </c>
      <c r="AU2968" s="6">
        <v>42283</v>
      </c>
      <c r="AV2968" s="6">
        <v>42283</v>
      </c>
      <c r="AW2968" t="s">
        <v>54</v>
      </c>
      <c r="AX2968" t="str">
        <f t="shared" si="247"/>
        <v>FOR</v>
      </c>
      <c r="AY2968" t="s">
        <v>55</v>
      </c>
    </row>
    <row r="2969" spans="1:51">
      <c r="A2969">
        <v>100938</v>
      </c>
      <c r="B2969" t="s">
        <v>367</v>
      </c>
      <c r="C2969" t="str">
        <f t="shared" si="249"/>
        <v>02689300123</v>
      </c>
      <c r="D2969" t="str">
        <f t="shared" si="250"/>
        <v>00795170158</v>
      </c>
      <c r="E2969" t="s">
        <v>52</v>
      </c>
      <c r="F2969">
        <v>2014</v>
      </c>
      <c r="G2969">
        <v>119363</v>
      </c>
      <c r="H2969" s="1">
        <v>41957</v>
      </c>
      <c r="I2969" s="1">
        <v>41967</v>
      </c>
      <c r="J2969" s="1">
        <v>41967</v>
      </c>
      <c r="K2969" s="1">
        <v>42027</v>
      </c>
      <c r="L2969" s="7">
        <v>656.7</v>
      </c>
      <c r="M2969" s="5">
        <v>256</v>
      </c>
      <c r="N2969" s="7">
        <v>168115.20000000001</v>
      </c>
      <c r="O2969">
        <v>656.7</v>
      </c>
      <c r="P2969">
        <v>256</v>
      </c>
      <c r="Q2969" s="2">
        <v>168115.20000000001</v>
      </c>
      <c r="R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 s="1">
        <v>42382</v>
      </c>
      <c r="AC2969" t="s">
        <v>53</v>
      </c>
      <c r="AD2969" t="s">
        <v>53</v>
      </c>
      <c r="AK2969">
        <v>0</v>
      </c>
      <c r="AU2969" s="6">
        <v>42283</v>
      </c>
      <c r="AV2969" s="6">
        <v>42283</v>
      </c>
      <c r="AW2969" t="s">
        <v>54</v>
      </c>
      <c r="AX2969" t="str">
        <f t="shared" si="247"/>
        <v>FOR</v>
      </c>
      <c r="AY2969" t="s">
        <v>55</v>
      </c>
    </row>
    <row r="2970" spans="1:51" hidden="1">
      <c r="A2970">
        <v>100965</v>
      </c>
      <c r="B2970" t="s">
        <v>368</v>
      </c>
      <c r="C2970" t="str">
        <f>"00167110626"</f>
        <v>00167110626</v>
      </c>
      <c r="D2970" t="str">
        <f>"00167110626"</f>
        <v>00167110626</v>
      </c>
      <c r="E2970" t="s">
        <v>52</v>
      </c>
      <c r="F2970">
        <v>2014</v>
      </c>
      <c r="G2970">
        <v>49</v>
      </c>
      <c r="H2970" s="1">
        <v>41893</v>
      </c>
      <c r="I2970" s="1">
        <v>41908</v>
      </c>
      <c r="J2970" s="1">
        <v>41908</v>
      </c>
      <c r="K2970" s="1">
        <v>41998</v>
      </c>
      <c r="N2970" s="5"/>
      <c r="O2970">
        <v>228.48</v>
      </c>
      <c r="P2970">
        <v>277</v>
      </c>
      <c r="Q2970" s="2">
        <v>63288.959999999999</v>
      </c>
      <c r="R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 s="1">
        <v>42382</v>
      </c>
      <c r="AC2970" t="s">
        <v>53</v>
      </c>
      <c r="AD2970" t="s">
        <v>53</v>
      </c>
      <c r="AK2970">
        <v>0</v>
      </c>
      <c r="AU2970" s="6">
        <v>42275</v>
      </c>
      <c r="AV2970" s="6">
        <v>42275</v>
      </c>
      <c r="AW2970" t="s">
        <v>54</v>
      </c>
      <c r="AX2970" t="str">
        <f t="shared" si="247"/>
        <v>FOR</v>
      </c>
      <c r="AY2970" t="s">
        <v>55</v>
      </c>
    </row>
    <row r="2971" spans="1:51" hidden="1">
      <c r="A2971">
        <v>100971</v>
      </c>
      <c r="B2971" t="s">
        <v>369</v>
      </c>
      <c r="C2971" t="str">
        <f>"00915180491"</f>
        <v>00915180491</v>
      </c>
      <c r="D2971" t="str">
        <f>"00915180491"</f>
        <v>00915180491</v>
      </c>
      <c r="E2971" t="s">
        <v>52</v>
      </c>
      <c r="F2971">
        <v>2013</v>
      </c>
      <c r="G2971">
        <v>327</v>
      </c>
      <c r="H2971" s="1">
        <v>41628</v>
      </c>
      <c r="I2971" s="1">
        <v>41631</v>
      </c>
      <c r="J2971" s="1">
        <v>41631</v>
      </c>
      <c r="K2971" s="1">
        <v>41721</v>
      </c>
      <c r="N2971" s="5"/>
      <c r="O2971">
        <v>660.94</v>
      </c>
      <c r="P2971">
        <v>444</v>
      </c>
      <c r="Q2971" s="2">
        <v>293457.36</v>
      </c>
      <c r="R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 s="1">
        <v>42382</v>
      </c>
      <c r="AC2971" t="s">
        <v>53</v>
      </c>
      <c r="AD2971" t="s">
        <v>53</v>
      </c>
      <c r="AK2971">
        <v>0</v>
      </c>
      <c r="AU2971" s="6">
        <v>42165</v>
      </c>
      <c r="AV2971" s="6">
        <v>42165</v>
      </c>
      <c r="AW2971" t="s">
        <v>54</v>
      </c>
      <c r="AX2971" t="str">
        <f t="shared" si="247"/>
        <v>FOR</v>
      </c>
      <c r="AY2971" t="s">
        <v>55</v>
      </c>
    </row>
    <row r="2972" spans="1:51" hidden="1">
      <c r="A2972">
        <v>100973</v>
      </c>
      <c r="B2972" t="s">
        <v>370</v>
      </c>
      <c r="C2972" t="str">
        <f>"07563850630"</f>
        <v>07563850630</v>
      </c>
      <c r="D2972" t="str">
        <f>"07563850630"</f>
        <v>07563850630</v>
      </c>
      <c r="E2972" t="s">
        <v>52</v>
      </c>
      <c r="F2972">
        <v>2012</v>
      </c>
      <c r="G2972">
        <v>99</v>
      </c>
      <c r="H2972" s="1">
        <v>41236</v>
      </c>
      <c r="I2972" s="1">
        <v>41261</v>
      </c>
      <c r="J2972" s="1">
        <v>41261</v>
      </c>
      <c r="K2972" s="1">
        <v>41351</v>
      </c>
      <c r="N2972" s="5"/>
      <c r="O2972">
        <v>677.79</v>
      </c>
      <c r="P2972">
        <v>667</v>
      </c>
      <c r="Q2972" s="2">
        <v>452085.93</v>
      </c>
      <c r="R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 s="1">
        <v>42382</v>
      </c>
      <c r="AC2972" t="s">
        <v>53</v>
      </c>
      <c r="AD2972" t="s">
        <v>53</v>
      </c>
      <c r="AK2972">
        <v>0</v>
      </c>
      <c r="AU2972" s="6">
        <v>42018</v>
      </c>
      <c r="AV2972" s="6">
        <v>42018</v>
      </c>
      <c r="AW2972" t="s">
        <v>54</v>
      </c>
      <c r="AX2972" t="str">
        <f t="shared" si="247"/>
        <v>FOR</v>
      </c>
      <c r="AY2972" t="s">
        <v>55</v>
      </c>
    </row>
    <row r="2973" spans="1:51" hidden="1">
      <c r="A2973">
        <v>100980</v>
      </c>
      <c r="B2973" t="s">
        <v>371</v>
      </c>
      <c r="C2973" t="str">
        <f t="shared" ref="C2973:D2978" si="251">"05501461213"</f>
        <v>05501461213</v>
      </c>
      <c r="D2973" t="str">
        <f t="shared" si="251"/>
        <v>05501461213</v>
      </c>
      <c r="E2973" t="s">
        <v>52</v>
      </c>
      <c r="F2973">
        <v>2013</v>
      </c>
      <c r="G2973">
        <v>443</v>
      </c>
      <c r="H2973" s="1">
        <v>41542</v>
      </c>
      <c r="I2973" s="1">
        <v>42129</v>
      </c>
      <c r="J2973" s="1">
        <v>42129</v>
      </c>
      <c r="K2973" s="1">
        <v>42189</v>
      </c>
      <c r="N2973" s="5"/>
      <c r="O2973" s="2">
        <v>2205.44</v>
      </c>
      <c r="P2973">
        <v>-30</v>
      </c>
      <c r="Q2973" s="2">
        <v>-66163.199999999997</v>
      </c>
      <c r="R2973">
        <v>0</v>
      </c>
      <c r="V2973">
        <v>0</v>
      </c>
      <c r="W2973">
        <v>0</v>
      </c>
      <c r="X2973">
        <v>0</v>
      </c>
      <c r="Y2973">
        <v>0</v>
      </c>
      <c r="Z2973" s="2">
        <v>2205.44</v>
      </c>
      <c r="AA2973">
        <v>0</v>
      </c>
      <c r="AB2973" s="1">
        <v>42382</v>
      </c>
      <c r="AC2973" t="s">
        <v>53</v>
      </c>
      <c r="AD2973" t="s">
        <v>53</v>
      </c>
      <c r="AK2973">
        <v>0</v>
      </c>
      <c r="AU2973" s="6">
        <v>42159</v>
      </c>
      <c r="AV2973" s="6">
        <v>42159</v>
      </c>
      <c r="AW2973" t="s">
        <v>54</v>
      </c>
      <c r="AX2973" t="str">
        <f t="shared" si="247"/>
        <v>FOR</v>
      </c>
      <c r="AY2973" t="s">
        <v>55</v>
      </c>
    </row>
    <row r="2974" spans="1:51" hidden="1">
      <c r="A2974">
        <v>100980</v>
      </c>
      <c r="B2974" t="s">
        <v>371</v>
      </c>
      <c r="C2974" t="str">
        <f t="shared" si="251"/>
        <v>05501461213</v>
      </c>
      <c r="D2974" t="str">
        <f t="shared" si="251"/>
        <v>05501461213</v>
      </c>
      <c r="E2974" t="s">
        <v>52</v>
      </c>
      <c r="F2974">
        <v>2013</v>
      </c>
      <c r="G2974">
        <v>503</v>
      </c>
      <c r="H2974" s="1">
        <v>41569</v>
      </c>
      <c r="I2974" s="1">
        <v>41583</v>
      </c>
      <c r="J2974" s="1">
        <v>41583</v>
      </c>
      <c r="K2974" s="1">
        <v>41673</v>
      </c>
      <c r="N2974" s="5"/>
      <c r="O2974">
        <v>304.39</v>
      </c>
      <c r="P2974">
        <v>345</v>
      </c>
      <c r="Q2974" s="2">
        <v>105014.55</v>
      </c>
      <c r="R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 s="1">
        <v>42382</v>
      </c>
      <c r="AC2974" t="s">
        <v>53</v>
      </c>
      <c r="AD2974" t="s">
        <v>53</v>
      </c>
      <c r="AK2974">
        <v>0</v>
      </c>
      <c r="AU2974" s="6">
        <v>42018</v>
      </c>
      <c r="AV2974" s="6">
        <v>42018</v>
      </c>
      <c r="AW2974" t="s">
        <v>54</v>
      </c>
      <c r="AX2974" t="str">
        <f t="shared" si="247"/>
        <v>FOR</v>
      </c>
      <c r="AY2974" t="s">
        <v>55</v>
      </c>
    </row>
    <row r="2975" spans="1:51" hidden="1">
      <c r="A2975">
        <v>100980</v>
      </c>
      <c r="B2975" t="s">
        <v>371</v>
      </c>
      <c r="C2975" t="str">
        <f t="shared" si="251"/>
        <v>05501461213</v>
      </c>
      <c r="D2975" t="str">
        <f t="shared" si="251"/>
        <v>05501461213</v>
      </c>
      <c r="E2975" t="s">
        <v>52</v>
      </c>
      <c r="F2975">
        <v>2013</v>
      </c>
      <c r="G2975">
        <v>589</v>
      </c>
      <c r="H2975" s="1">
        <v>41603</v>
      </c>
      <c r="I2975" s="1">
        <v>41618</v>
      </c>
      <c r="J2975" s="1">
        <v>41618</v>
      </c>
      <c r="K2975" s="1">
        <v>41708</v>
      </c>
      <c r="N2975" s="5"/>
      <c r="O2975" s="2">
        <v>2410.33</v>
      </c>
      <c r="P2975">
        <v>310</v>
      </c>
      <c r="Q2975" s="2">
        <v>747202.3</v>
      </c>
      <c r="R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 s="1">
        <v>42382</v>
      </c>
      <c r="AC2975" t="s">
        <v>53</v>
      </c>
      <c r="AD2975" t="s">
        <v>53</v>
      </c>
      <c r="AK2975">
        <v>0</v>
      </c>
      <c r="AU2975" s="6">
        <v>42018</v>
      </c>
      <c r="AV2975" s="6">
        <v>42018</v>
      </c>
      <c r="AW2975" t="s">
        <v>54</v>
      </c>
      <c r="AX2975" t="str">
        <f t="shared" si="247"/>
        <v>FOR</v>
      </c>
      <c r="AY2975" t="s">
        <v>55</v>
      </c>
    </row>
    <row r="2976" spans="1:51" hidden="1">
      <c r="A2976">
        <v>100980</v>
      </c>
      <c r="B2976" t="s">
        <v>371</v>
      </c>
      <c r="C2976" t="str">
        <f t="shared" si="251"/>
        <v>05501461213</v>
      </c>
      <c r="D2976" t="str">
        <f t="shared" si="251"/>
        <v>05501461213</v>
      </c>
      <c r="E2976" t="s">
        <v>52</v>
      </c>
      <c r="F2976">
        <v>2013</v>
      </c>
      <c r="G2976">
        <v>590</v>
      </c>
      <c r="H2976" s="1">
        <v>41603</v>
      </c>
      <c r="I2976" s="1">
        <v>41618</v>
      </c>
      <c r="J2976" s="1">
        <v>41618</v>
      </c>
      <c r="K2976" s="1">
        <v>41708</v>
      </c>
      <c r="N2976" s="5"/>
      <c r="O2976" s="2">
        <v>3706.12</v>
      </c>
      <c r="P2976">
        <v>310</v>
      </c>
      <c r="Q2976" s="2">
        <v>1148897.2</v>
      </c>
      <c r="R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 s="1">
        <v>42382</v>
      </c>
      <c r="AC2976" t="s">
        <v>53</v>
      </c>
      <c r="AD2976" t="s">
        <v>53</v>
      </c>
      <c r="AK2976">
        <v>0</v>
      </c>
      <c r="AU2976" s="6">
        <v>42018</v>
      </c>
      <c r="AV2976" s="6">
        <v>42018</v>
      </c>
      <c r="AW2976" t="s">
        <v>54</v>
      </c>
      <c r="AX2976" t="str">
        <f t="shared" si="247"/>
        <v>FOR</v>
      </c>
      <c r="AY2976" t="s">
        <v>55</v>
      </c>
    </row>
    <row r="2977" spans="1:51" hidden="1">
      <c r="A2977">
        <v>100980</v>
      </c>
      <c r="B2977" t="s">
        <v>371</v>
      </c>
      <c r="C2977" t="str">
        <f t="shared" si="251"/>
        <v>05501461213</v>
      </c>
      <c r="D2977" t="str">
        <f t="shared" si="251"/>
        <v>05501461213</v>
      </c>
      <c r="E2977" t="s">
        <v>52</v>
      </c>
      <c r="F2977">
        <v>2013</v>
      </c>
      <c r="G2977">
        <v>646</v>
      </c>
      <c r="H2977" s="1">
        <v>41620</v>
      </c>
      <c r="I2977" s="1">
        <v>41628</v>
      </c>
      <c r="J2977" s="1">
        <v>41628</v>
      </c>
      <c r="K2977" s="1">
        <v>41718</v>
      </c>
      <c r="N2977" s="5"/>
      <c r="O2977" s="2">
        <v>5595.41</v>
      </c>
      <c r="P2977">
        <v>300</v>
      </c>
      <c r="Q2977" s="2">
        <v>1678623</v>
      </c>
      <c r="R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 s="1">
        <v>42382</v>
      </c>
      <c r="AC2977" t="s">
        <v>53</v>
      </c>
      <c r="AD2977" t="s">
        <v>53</v>
      </c>
      <c r="AK2977">
        <v>0</v>
      </c>
      <c r="AU2977" s="6">
        <v>42018</v>
      </c>
      <c r="AV2977" s="6">
        <v>42018</v>
      </c>
      <c r="AW2977" t="s">
        <v>54</v>
      </c>
      <c r="AX2977" t="str">
        <f t="shared" si="247"/>
        <v>FOR</v>
      </c>
      <c r="AY2977" t="s">
        <v>55</v>
      </c>
    </row>
    <row r="2978" spans="1:51" hidden="1">
      <c r="A2978">
        <v>100980</v>
      </c>
      <c r="B2978" t="s">
        <v>371</v>
      </c>
      <c r="C2978" t="str">
        <f t="shared" si="251"/>
        <v>05501461213</v>
      </c>
      <c r="D2978" t="str">
        <f t="shared" si="251"/>
        <v>05501461213</v>
      </c>
      <c r="E2978" t="s">
        <v>52</v>
      </c>
      <c r="F2978">
        <v>2014</v>
      </c>
      <c r="G2978">
        <v>429</v>
      </c>
      <c r="H2978" s="1">
        <v>41829</v>
      </c>
      <c r="I2978" s="1">
        <v>42080</v>
      </c>
      <c r="J2978" s="1">
        <v>42080</v>
      </c>
      <c r="K2978" s="1">
        <v>42140</v>
      </c>
      <c r="N2978" s="5"/>
      <c r="O2978" s="2">
        <v>1512.65</v>
      </c>
      <c r="P2978">
        <v>44</v>
      </c>
      <c r="Q2978" s="2">
        <v>66556.600000000006</v>
      </c>
      <c r="R2978">
        <v>0</v>
      </c>
      <c r="V2978">
        <v>0</v>
      </c>
      <c r="W2978">
        <v>0</v>
      </c>
      <c r="X2978">
        <v>0</v>
      </c>
      <c r="Y2978">
        <v>0</v>
      </c>
      <c r="Z2978" s="2">
        <v>1512.65</v>
      </c>
      <c r="AA2978">
        <v>0</v>
      </c>
      <c r="AB2978" s="1">
        <v>42382</v>
      </c>
      <c r="AC2978" t="s">
        <v>53</v>
      </c>
      <c r="AD2978" t="s">
        <v>53</v>
      </c>
      <c r="AK2978">
        <v>0</v>
      </c>
      <c r="AU2978" s="6">
        <v>42184</v>
      </c>
      <c r="AV2978" s="6">
        <v>42184</v>
      </c>
      <c r="AW2978" t="s">
        <v>54</v>
      </c>
      <c r="AX2978" t="str">
        <f t="shared" si="247"/>
        <v>FOR</v>
      </c>
      <c r="AY2978" t="s">
        <v>55</v>
      </c>
    </row>
    <row r="2979" spans="1:51" hidden="1">
      <c r="A2979">
        <v>100984</v>
      </c>
      <c r="B2979" t="s">
        <v>372</v>
      </c>
      <c r="C2979" t="str">
        <f t="shared" ref="C2979:D2987" si="252">"01402120628"</f>
        <v>01402120628</v>
      </c>
      <c r="D2979" t="str">
        <f t="shared" si="252"/>
        <v>01402120628</v>
      </c>
      <c r="E2979" t="s">
        <v>52</v>
      </c>
      <c r="F2979">
        <v>2014</v>
      </c>
      <c r="G2979" t="s">
        <v>373</v>
      </c>
      <c r="H2979" s="1">
        <v>41902</v>
      </c>
      <c r="I2979" s="1">
        <v>41911</v>
      </c>
      <c r="J2979" s="1">
        <v>41911</v>
      </c>
      <c r="K2979" s="1">
        <v>42001</v>
      </c>
      <c r="N2979" s="5"/>
      <c r="O2979">
        <v>411.75</v>
      </c>
      <c r="P2979">
        <v>39</v>
      </c>
      <c r="Q2979" s="2">
        <v>16058.25</v>
      </c>
      <c r="R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 s="1">
        <v>42382</v>
      </c>
      <c r="AC2979" t="s">
        <v>53</v>
      </c>
      <c r="AD2979" t="s">
        <v>53</v>
      </c>
      <c r="AK2979">
        <v>0</v>
      </c>
      <c r="AU2979" s="6">
        <v>42040</v>
      </c>
      <c r="AV2979" s="6">
        <v>42040</v>
      </c>
      <c r="AW2979" t="s">
        <v>54</v>
      </c>
      <c r="AX2979" t="str">
        <f t="shared" si="247"/>
        <v>FOR</v>
      </c>
      <c r="AY2979" t="s">
        <v>55</v>
      </c>
    </row>
    <row r="2980" spans="1:51" hidden="1">
      <c r="A2980">
        <v>100984</v>
      </c>
      <c r="B2980" t="s">
        <v>372</v>
      </c>
      <c r="C2980" t="str">
        <f t="shared" si="252"/>
        <v>01402120628</v>
      </c>
      <c r="D2980" t="str">
        <f t="shared" si="252"/>
        <v>01402120628</v>
      </c>
      <c r="E2980" t="s">
        <v>52</v>
      </c>
      <c r="F2980">
        <v>2014</v>
      </c>
      <c r="G2980" t="s">
        <v>374</v>
      </c>
      <c r="H2980" s="1">
        <v>41951</v>
      </c>
      <c r="I2980" s="1">
        <v>41964</v>
      </c>
      <c r="J2980" s="1">
        <v>41964</v>
      </c>
      <c r="K2980" s="1">
        <v>42024</v>
      </c>
      <c r="N2980" s="5"/>
      <c r="O2980">
        <v>411.75</v>
      </c>
      <c r="P2980">
        <v>16</v>
      </c>
      <c r="Q2980" s="2">
        <v>6588</v>
      </c>
      <c r="R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 s="1">
        <v>42382</v>
      </c>
      <c r="AC2980" t="s">
        <v>53</v>
      </c>
      <c r="AD2980" t="s">
        <v>53</v>
      </c>
      <c r="AK2980">
        <v>0</v>
      </c>
      <c r="AU2980" s="6">
        <v>42040</v>
      </c>
      <c r="AV2980" s="6">
        <v>42040</v>
      </c>
      <c r="AW2980" t="s">
        <v>54</v>
      </c>
      <c r="AX2980" t="str">
        <f t="shared" si="247"/>
        <v>FOR</v>
      </c>
      <c r="AY2980" t="s">
        <v>55</v>
      </c>
    </row>
    <row r="2981" spans="1:51" hidden="1">
      <c r="A2981">
        <v>100984</v>
      </c>
      <c r="B2981" t="s">
        <v>372</v>
      </c>
      <c r="C2981" t="str">
        <f t="shared" si="252"/>
        <v>01402120628</v>
      </c>
      <c r="D2981" t="str">
        <f t="shared" si="252"/>
        <v>01402120628</v>
      </c>
      <c r="E2981" t="s">
        <v>52</v>
      </c>
      <c r="F2981">
        <v>2014</v>
      </c>
      <c r="G2981" t="s">
        <v>375</v>
      </c>
      <c r="H2981" s="1">
        <v>41988</v>
      </c>
      <c r="I2981" s="1">
        <v>42004</v>
      </c>
      <c r="J2981" s="1">
        <v>42004</v>
      </c>
      <c r="K2981" s="1">
        <v>42064</v>
      </c>
      <c r="N2981" s="5"/>
      <c r="O2981">
        <v>457.5</v>
      </c>
      <c r="P2981">
        <v>59</v>
      </c>
      <c r="Q2981" s="2">
        <v>26992.5</v>
      </c>
      <c r="R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 s="1">
        <v>42382</v>
      </c>
      <c r="AC2981" t="s">
        <v>53</v>
      </c>
      <c r="AD2981" t="s">
        <v>53</v>
      </c>
      <c r="AK2981">
        <v>0</v>
      </c>
      <c r="AU2981" s="6">
        <v>42123</v>
      </c>
      <c r="AV2981" s="6">
        <v>42123</v>
      </c>
      <c r="AW2981" t="s">
        <v>54</v>
      </c>
      <c r="AX2981" t="str">
        <f t="shared" si="247"/>
        <v>FOR</v>
      </c>
      <c r="AY2981" t="s">
        <v>55</v>
      </c>
    </row>
    <row r="2982" spans="1:51" hidden="1">
      <c r="A2982">
        <v>100984</v>
      </c>
      <c r="B2982" t="s">
        <v>372</v>
      </c>
      <c r="C2982" t="str">
        <f t="shared" si="252"/>
        <v>01402120628</v>
      </c>
      <c r="D2982" t="str">
        <f t="shared" si="252"/>
        <v>01402120628</v>
      </c>
      <c r="E2982" t="s">
        <v>52</v>
      </c>
      <c r="F2982">
        <v>2014</v>
      </c>
      <c r="G2982" t="s">
        <v>376</v>
      </c>
      <c r="H2982" s="1">
        <v>41993</v>
      </c>
      <c r="I2982" s="1">
        <v>42004</v>
      </c>
      <c r="J2982" s="1">
        <v>42004</v>
      </c>
      <c r="K2982" s="1">
        <v>42064</v>
      </c>
      <c r="N2982" s="5"/>
      <c r="O2982">
        <v>411.75</v>
      </c>
      <c r="P2982">
        <v>59</v>
      </c>
      <c r="Q2982" s="2">
        <v>24293.25</v>
      </c>
      <c r="R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 s="1">
        <v>42382</v>
      </c>
      <c r="AC2982" t="s">
        <v>53</v>
      </c>
      <c r="AD2982" t="s">
        <v>53</v>
      </c>
      <c r="AK2982">
        <v>0</v>
      </c>
      <c r="AU2982" s="6">
        <v>42123</v>
      </c>
      <c r="AV2982" s="6">
        <v>42123</v>
      </c>
      <c r="AW2982" t="s">
        <v>54</v>
      </c>
      <c r="AX2982" t="str">
        <f t="shared" si="247"/>
        <v>FOR</v>
      </c>
      <c r="AY2982" t="s">
        <v>55</v>
      </c>
    </row>
    <row r="2983" spans="1:51">
      <c r="A2983">
        <v>100984</v>
      </c>
      <c r="B2983" t="s">
        <v>372</v>
      </c>
      <c r="C2983" t="str">
        <f t="shared" si="252"/>
        <v>01402120628</v>
      </c>
      <c r="D2983" t="str">
        <f t="shared" si="252"/>
        <v>01402120628</v>
      </c>
      <c r="E2983" t="s">
        <v>52</v>
      </c>
      <c r="F2983">
        <v>2015</v>
      </c>
      <c r="G2983" t="s">
        <v>377</v>
      </c>
      <c r="H2983" s="1">
        <v>42202</v>
      </c>
      <c r="I2983" s="1">
        <v>42202</v>
      </c>
      <c r="J2983" s="1">
        <v>42202</v>
      </c>
      <c r="K2983" s="1">
        <v>42262</v>
      </c>
      <c r="L2983" s="7">
        <v>135</v>
      </c>
      <c r="M2983" s="5">
        <v>22</v>
      </c>
      <c r="N2983" s="7">
        <v>2970</v>
      </c>
      <c r="O2983">
        <v>135</v>
      </c>
      <c r="P2983">
        <v>22</v>
      </c>
      <c r="Q2983" s="2">
        <v>2970</v>
      </c>
      <c r="R2983">
        <v>29.7</v>
      </c>
      <c r="V2983">
        <v>0</v>
      </c>
      <c r="W2983">
        <v>0</v>
      </c>
      <c r="X2983">
        <v>0</v>
      </c>
      <c r="Y2983">
        <v>164.7</v>
      </c>
      <c r="Z2983">
        <v>164.7</v>
      </c>
      <c r="AA2983">
        <v>164.7</v>
      </c>
      <c r="AB2983" s="1">
        <v>42382</v>
      </c>
      <c r="AC2983" t="s">
        <v>53</v>
      </c>
      <c r="AD2983" t="s">
        <v>53</v>
      </c>
      <c r="AH2983">
        <v>29.7</v>
      </c>
      <c r="AK2983">
        <v>0</v>
      </c>
      <c r="AU2983" s="6">
        <v>42284</v>
      </c>
      <c r="AV2983" s="6">
        <v>42284</v>
      </c>
      <c r="AW2983" t="s">
        <v>54</v>
      </c>
      <c r="AX2983" t="str">
        <f t="shared" si="247"/>
        <v>FOR</v>
      </c>
      <c r="AY2983" t="s">
        <v>55</v>
      </c>
    </row>
    <row r="2984" spans="1:51">
      <c r="A2984">
        <v>100984</v>
      </c>
      <c r="B2984" t="s">
        <v>372</v>
      </c>
      <c r="C2984" t="str">
        <f t="shared" si="252"/>
        <v>01402120628</v>
      </c>
      <c r="D2984" t="str">
        <f t="shared" si="252"/>
        <v>01402120628</v>
      </c>
      <c r="E2984" t="s">
        <v>52</v>
      </c>
      <c r="F2984">
        <v>2015</v>
      </c>
      <c r="G2984" t="s">
        <v>378</v>
      </c>
      <c r="H2984" s="1">
        <v>42202</v>
      </c>
      <c r="I2984" s="1">
        <v>42202</v>
      </c>
      <c r="J2984" s="1">
        <v>42202</v>
      </c>
      <c r="K2984" s="1">
        <v>42262</v>
      </c>
      <c r="L2984" s="7">
        <v>337.5</v>
      </c>
      <c r="M2984" s="5">
        <v>22</v>
      </c>
      <c r="N2984" s="7">
        <v>7425</v>
      </c>
      <c r="O2984">
        <v>337.5</v>
      </c>
      <c r="P2984">
        <v>22</v>
      </c>
      <c r="Q2984" s="2">
        <v>7425</v>
      </c>
      <c r="R2984">
        <v>74.25</v>
      </c>
      <c r="V2984">
        <v>0</v>
      </c>
      <c r="W2984">
        <v>0</v>
      </c>
      <c r="X2984">
        <v>0</v>
      </c>
      <c r="Y2984">
        <v>411.75</v>
      </c>
      <c r="Z2984">
        <v>411.75</v>
      </c>
      <c r="AA2984">
        <v>411.75</v>
      </c>
      <c r="AB2984" s="1">
        <v>42382</v>
      </c>
      <c r="AC2984" t="s">
        <v>53</v>
      </c>
      <c r="AD2984" t="s">
        <v>53</v>
      </c>
      <c r="AH2984">
        <v>74.25</v>
      </c>
      <c r="AK2984">
        <v>0</v>
      </c>
      <c r="AU2984" s="6">
        <v>42284</v>
      </c>
      <c r="AV2984" s="6">
        <v>42284</v>
      </c>
      <c r="AW2984" t="s">
        <v>54</v>
      </c>
      <c r="AX2984" t="str">
        <f t="shared" si="247"/>
        <v>FOR</v>
      </c>
      <c r="AY2984" t="s">
        <v>55</v>
      </c>
    </row>
    <row r="2985" spans="1:51" hidden="1">
      <c r="A2985">
        <v>100984</v>
      </c>
      <c r="B2985" t="s">
        <v>372</v>
      </c>
      <c r="C2985" t="str">
        <f t="shared" si="252"/>
        <v>01402120628</v>
      </c>
      <c r="D2985" t="str">
        <f t="shared" si="252"/>
        <v>01402120628</v>
      </c>
      <c r="E2985" t="s">
        <v>52</v>
      </c>
      <c r="F2985">
        <v>2015</v>
      </c>
      <c r="G2985" t="s">
        <v>379</v>
      </c>
      <c r="H2985" s="1">
        <v>42048</v>
      </c>
      <c r="I2985" s="1">
        <v>42066</v>
      </c>
      <c r="J2985" s="1">
        <v>42066</v>
      </c>
      <c r="K2985" s="1">
        <v>42126</v>
      </c>
      <c r="N2985" s="5"/>
      <c r="O2985">
        <v>337.5</v>
      </c>
      <c r="P2985">
        <v>-3</v>
      </c>
      <c r="Q2985" s="2">
        <v>-1012.5</v>
      </c>
      <c r="R2985">
        <v>74.25</v>
      </c>
      <c r="V2985">
        <v>0</v>
      </c>
      <c r="W2985">
        <v>0</v>
      </c>
      <c r="X2985">
        <v>0</v>
      </c>
      <c r="Y2985">
        <v>411.75</v>
      </c>
      <c r="Z2985">
        <v>411.75</v>
      </c>
      <c r="AA2985">
        <v>411.75</v>
      </c>
      <c r="AB2985" s="1">
        <v>42382</v>
      </c>
      <c r="AC2985" t="s">
        <v>53</v>
      </c>
      <c r="AD2985" t="s">
        <v>53</v>
      </c>
      <c r="AK2985">
        <v>74.25</v>
      </c>
      <c r="AU2985" s="6">
        <v>42123</v>
      </c>
      <c r="AV2985" s="6">
        <v>42123</v>
      </c>
      <c r="AW2985" t="s">
        <v>54</v>
      </c>
      <c r="AX2985" t="str">
        <f t="shared" si="247"/>
        <v>FOR</v>
      </c>
      <c r="AY2985" t="s">
        <v>55</v>
      </c>
    </row>
    <row r="2986" spans="1:51" hidden="1">
      <c r="A2986">
        <v>100984</v>
      </c>
      <c r="B2986" t="s">
        <v>372</v>
      </c>
      <c r="C2986" t="str">
        <f t="shared" si="252"/>
        <v>01402120628</v>
      </c>
      <c r="D2986" t="str">
        <f t="shared" si="252"/>
        <v>01402120628</v>
      </c>
      <c r="E2986" t="s">
        <v>52</v>
      </c>
      <c r="F2986">
        <v>2015</v>
      </c>
      <c r="G2986" t="s">
        <v>380</v>
      </c>
      <c r="H2986" s="1">
        <v>42086</v>
      </c>
      <c r="I2986" s="1">
        <v>42104</v>
      </c>
      <c r="J2986" s="1">
        <v>42104</v>
      </c>
      <c r="K2986" s="1">
        <v>42164</v>
      </c>
      <c r="N2986" s="5"/>
      <c r="O2986">
        <v>168.75</v>
      </c>
      <c r="P2986">
        <v>-41</v>
      </c>
      <c r="Q2986" s="2">
        <v>-6918.75</v>
      </c>
      <c r="R2986">
        <v>37.130000000000003</v>
      </c>
      <c r="V2986">
        <v>0</v>
      </c>
      <c r="W2986">
        <v>0</v>
      </c>
      <c r="X2986">
        <v>0</v>
      </c>
      <c r="Y2986">
        <v>205.88</v>
      </c>
      <c r="Z2986">
        <v>205.88</v>
      </c>
      <c r="AA2986">
        <v>205.88</v>
      </c>
      <c r="AB2986" s="1">
        <v>42382</v>
      </c>
      <c r="AC2986" t="s">
        <v>53</v>
      </c>
      <c r="AD2986" t="s">
        <v>53</v>
      </c>
      <c r="AK2986">
        <v>37.130000000000003</v>
      </c>
      <c r="AU2986" s="6">
        <v>42123</v>
      </c>
      <c r="AV2986" s="6">
        <v>42123</v>
      </c>
      <c r="AW2986" t="s">
        <v>54</v>
      </c>
      <c r="AX2986" t="str">
        <f t="shared" si="247"/>
        <v>FOR</v>
      </c>
      <c r="AY2986" t="s">
        <v>55</v>
      </c>
    </row>
    <row r="2987" spans="1:51" hidden="1">
      <c r="A2987">
        <v>100984</v>
      </c>
      <c r="B2987" t="s">
        <v>372</v>
      </c>
      <c r="C2987" t="str">
        <f t="shared" si="252"/>
        <v>01402120628</v>
      </c>
      <c r="D2987" t="str">
        <f t="shared" si="252"/>
        <v>01402120628</v>
      </c>
      <c r="E2987" t="s">
        <v>52</v>
      </c>
      <c r="F2987">
        <v>2015</v>
      </c>
      <c r="G2987" t="s">
        <v>381</v>
      </c>
      <c r="H2987" s="1">
        <v>42093</v>
      </c>
      <c r="I2987" s="1">
        <v>42104</v>
      </c>
      <c r="J2987" s="1">
        <v>42104</v>
      </c>
      <c r="K2987" s="1">
        <v>42164</v>
      </c>
      <c r="N2987" s="5"/>
      <c r="O2987">
        <v>168.75</v>
      </c>
      <c r="P2987">
        <v>-41</v>
      </c>
      <c r="Q2987" s="2">
        <v>-6918.75</v>
      </c>
      <c r="R2987">
        <v>37.130000000000003</v>
      </c>
      <c r="V2987">
        <v>0</v>
      </c>
      <c r="W2987">
        <v>0</v>
      </c>
      <c r="X2987">
        <v>0</v>
      </c>
      <c r="Y2987">
        <v>205.88</v>
      </c>
      <c r="Z2987">
        <v>205.88</v>
      </c>
      <c r="AA2987">
        <v>205.88</v>
      </c>
      <c r="AB2987" s="1">
        <v>42382</v>
      </c>
      <c r="AC2987" t="s">
        <v>53</v>
      </c>
      <c r="AD2987" t="s">
        <v>53</v>
      </c>
      <c r="AK2987">
        <v>37.130000000000003</v>
      </c>
      <c r="AU2987" s="6">
        <v>42123</v>
      </c>
      <c r="AV2987" s="6">
        <v>42123</v>
      </c>
      <c r="AW2987" t="s">
        <v>54</v>
      </c>
      <c r="AX2987" t="str">
        <f t="shared" si="247"/>
        <v>FOR</v>
      </c>
      <c r="AY2987" t="s">
        <v>55</v>
      </c>
    </row>
    <row r="2988" spans="1:51" hidden="1">
      <c r="A2988">
        <v>100985</v>
      </c>
      <c r="B2988" t="s">
        <v>382</v>
      </c>
      <c r="C2988" t="str">
        <f t="shared" ref="C2988:D2993" si="253">"01155360322"</f>
        <v>01155360322</v>
      </c>
      <c r="D2988" t="str">
        <f t="shared" si="253"/>
        <v>01155360322</v>
      </c>
      <c r="E2988" t="s">
        <v>52</v>
      </c>
      <c r="F2988">
        <v>2014</v>
      </c>
      <c r="G2988">
        <v>1000818</v>
      </c>
      <c r="H2988" s="1">
        <v>41851</v>
      </c>
      <c r="I2988" s="1">
        <v>41872</v>
      </c>
      <c r="J2988" s="1">
        <v>41872</v>
      </c>
      <c r="K2988" s="1">
        <v>41962</v>
      </c>
      <c r="N2988" s="5"/>
      <c r="O2988" s="2">
        <v>14341.1</v>
      </c>
      <c r="P2988">
        <v>170</v>
      </c>
      <c r="Q2988" s="2">
        <v>2437987</v>
      </c>
      <c r="R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 s="1">
        <v>42382</v>
      </c>
      <c r="AC2988" t="s">
        <v>53</v>
      </c>
      <c r="AD2988" t="s">
        <v>53</v>
      </c>
      <c r="AK2988">
        <v>0</v>
      </c>
      <c r="AU2988" s="6">
        <v>42132</v>
      </c>
      <c r="AV2988" s="6">
        <v>42132</v>
      </c>
      <c r="AW2988" t="s">
        <v>54</v>
      </c>
      <c r="AX2988" t="str">
        <f t="shared" si="247"/>
        <v>FOR</v>
      </c>
      <c r="AY2988" t="s">
        <v>55</v>
      </c>
    </row>
    <row r="2989" spans="1:51" hidden="1">
      <c r="A2989">
        <v>100985</v>
      </c>
      <c r="B2989" t="s">
        <v>382</v>
      </c>
      <c r="C2989" t="str">
        <f t="shared" si="253"/>
        <v>01155360322</v>
      </c>
      <c r="D2989" t="str">
        <f t="shared" si="253"/>
        <v>01155360322</v>
      </c>
      <c r="E2989" t="s">
        <v>52</v>
      </c>
      <c r="F2989">
        <v>2014</v>
      </c>
      <c r="G2989">
        <v>1000841</v>
      </c>
      <c r="H2989" s="1">
        <v>41851</v>
      </c>
      <c r="I2989" s="1">
        <v>42096</v>
      </c>
      <c r="J2989" s="1">
        <v>42096</v>
      </c>
      <c r="K2989" s="1">
        <v>42156</v>
      </c>
      <c r="N2989" s="5"/>
      <c r="O2989" s="2">
        <v>2732.8</v>
      </c>
      <c r="P2989">
        <v>-24</v>
      </c>
      <c r="Q2989" s="2">
        <v>-65587.199999999997</v>
      </c>
      <c r="R2989">
        <v>0</v>
      </c>
      <c r="V2989">
        <v>0</v>
      </c>
      <c r="W2989">
        <v>0</v>
      </c>
      <c r="X2989">
        <v>0</v>
      </c>
      <c r="Y2989">
        <v>0</v>
      </c>
      <c r="Z2989" s="2">
        <v>2732.8</v>
      </c>
      <c r="AA2989">
        <v>0</v>
      </c>
      <c r="AB2989" s="1">
        <v>42382</v>
      </c>
      <c r="AC2989" t="s">
        <v>53</v>
      </c>
      <c r="AD2989" t="s">
        <v>53</v>
      </c>
      <c r="AK2989">
        <v>0</v>
      </c>
      <c r="AU2989" s="6">
        <v>42132</v>
      </c>
      <c r="AV2989" s="6">
        <v>42132</v>
      </c>
      <c r="AW2989" t="s">
        <v>54</v>
      </c>
      <c r="AX2989" t="str">
        <f t="shared" si="247"/>
        <v>FOR</v>
      </c>
      <c r="AY2989" t="s">
        <v>55</v>
      </c>
    </row>
    <row r="2990" spans="1:51">
      <c r="A2990">
        <v>100985</v>
      </c>
      <c r="B2990" t="s">
        <v>382</v>
      </c>
      <c r="C2990" t="str">
        <f t="shared" si="253"/>
        <v>01155360322</v>
      </c>
      <c r="D2990" t="str">
        <f t="shared" si="253"/>
        <v>01155360322</v>
      </c>
      <c r="E2990" t="s">
        <v>52</v>
      </c>
      <c r="F2990">
        <v>2014</v>
      </c>
      <c r="G2990">
        <v>1001228</v>
      </c>
      <c r="H2990" s="1">
        <v>41963</v>
      </c>
      <c r="I2990" s="1">
        <v>41970</v>
      </c>
      <c r="J2990" s="1">
        <v>41970</v>
      </c>
      <c r="K2990" s="1">
        <v>42030</v>
      </c>
      <c r="L2990" s="7">
        <v>29441.040000000001</v>
      </c>
      <c r="M2990" s="5">
        <v>248</v>
      </c>
      <c r="N2990" s="7">
        <v>7301377.9199999999</v>
      </c>
      <c r="O2990" s="2">
        <v>29441.040000000001</v>
      </c>
      <c r="P2990">
        <v>248</v>
      </c>
      <c r="Q2990" s="2">
        <v>7301377.9199999999</v>
      </c>
      <c r="R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 s="1">
        <v>42382</v>
      </c>
      <c r="AC2990" t="s">
        <v>53</v>
      </c>
      <c r="AD2990" t="s">
        <v>53</v>
      </c>
      <c r="AK2990">
        <v>0</v>
      </c>
      <c r="AU2990" s="6">
        <v>42278</v>
      </c>
      <c r="AV2990" s="6">
        <v>42278</v>
      </c>
      <c r="AW2990" t="s">
        <v>54</v>
      </c>
      <c r="AX2990" t="str">
        <f t="shared" si="247"/>
        <v>FOR</v>
      </c>
      <c r="AY2990" t="s">
        <v>55</v>
      </c>
    </row>
    <row r="2991" spans="1:51" hidden="1">
      <c r="A2991">
        <v>100985</v>
      </c>
      <c r="B2991" t="s">
        <v>382</v>
      </c>
      <c r="C2991" t="str">
        <f t="shared" si="253"/>
        <v>01155360322</v>
      </c>
      <c r="D2991" t="str">
        <f t="shared" si="253"/>
        <v>01155360322</v>
      </c>
      <c r="E2991" t="s">
        <v>52</v>
      </c>
      <c r="F2991">
        <v>2015</v>
      </c>
      <c r="G2991">
        <v>2000328</v>
      </c>
      <c r="H2991" s="1">
        <v>42090</v>
      </c>
      <c r="I2991" s="1">
        <v>42095</v>
      </c>
      <c r="J2991" s="1">
        <v>42095</v>
      </c>
      <c r="K2991" s="1">
        <v>42155</v>
      </c>
      <c r="N2991" s="5"/>
      <c r="O2991" s="2">
        <v>9255.4</v>
      </c>
      <c r="P2991">
        <v>95</v>
      </c>
      <c r="Q2991" s="2">
        <v>879263</v>
      </c>
      <c r="R2991">
        <v>0</v>
      </c>
      <c r="V2991">
        <v>0</v>
      </c>
      <c r="W2991">
        <v>0</v>
      </c>
      <c r="X2991">
        <v>0</v>
      </c>
      <c r="Y2991" s="2">
        <v>11291.59</v>
      </c>
      <c r="Z2991" s="2">
        <v>11291.59</v>
      </c>
      <c r="AA2991" s="2">
        <v>11291.59</v>
      </c>
      <c r="AB2991" s="1">
        <v>42382</v>
      </c>
      <c r="AC2991" t="s">
        <v>53</v>
      </c>
      <c r="AD2991" t="s">
        <v>53</v>
      </c>
      <c r="AK2991">
        <v>0</v>
      </c>
      <c r="AU2991" s="6">
        <v>42250</v>
      </c>
      <c r="AV2991" s="6">
        <v>42250</v>
      </c>
      <c r="AW2991" t="s">
        <v>54</v>
      </c>
      <c r="AX2991" t="str">
        <f t="shared" si="247"/>
        <v>FOR</v>
      </c>
      <c r="AY2991" t="s">
        <v>55</v>
      </c>
    </row>
    <row r="2992" spans="1:51" hidden="1">
      <c r="A2992">
        <v>100985</v>
      </c>
      <c r="B2992" t="s">
        <v>382</v>
      </c>
      <c r="C2992" t="str">
        <f t="shared" si="253"/>
        <v>01155360322</v>
      </c>
      <c r="D2992" t="str">
        <f t="shared" si="253"/>
        <v>01155360322</v>
      </c>
      <c r="E2992" t="s">
        <v>52</v>
      </c>
      <c r="F2992">
        <v>2015</v>
      </c>
      <c r="G2992">
        <v>2000368</v>
      </c>
      <c r="H2992" s="1">
        <v>42122</v>
      </c>
      <c r="I2992" s="1">
        <v>42142</v>
      </c>
      <c r="J2992" s="1">
        <v>42138</v>
      </c>
      <c r="K2992" s="1">
        <v>42198</v>
      </c>
      <c r="N2992" s="5"/>
      <c r="O2992" s="2">
        <v>24230</v>
      </c>
      <c r="P2992">
        <v>52</v>
      </c>
      <c r="Q2992" s="2">
        <v>1259960</v>
      </c>
      <c r="R2992">
        <v>0</v>
      </c>
      <c r="V2992">
        <v>0</v>
      </c>
      <c r="W2992">
        <v>0</v>
      </c>
      <c r="X2992">
        <v>0</v>
      </c>
      <c r="Y2992" s="2">
        <v>29560.6</v>
      </c>
      <c r="Z2992" s="2">
        <v>29560.6</v>
      </c>
      <c r="AA2992" s="2">
        <v>29560.6</v>
      </c>
      <c r="AB2992" s="1">
        <v>42382</v>
      </c>
      <c r="AC2992" t="s">
        <v>53</v>
      </c>
      <c r="AD2992" t="s">
        <v>53</v>
      </c>
      <c r="AK2992">
        <v>0</v>
      </c>
      <c r="AU2992" s="6">
        <v>42250</v>
      </c>
      <c r="AV2992" s="6">
        <v>42250</v>
      </c>
      <c r="AW2992" t="s">
        <v>54</v>
      </c>
      <c r="AX2992" t="str">
        <f t="shared" si="247"/>
        <v>FOR</v>
      </c>
      <c r="AY2992" t="s">
        <v>55</v>
      </c>
    </row>
    <row r="2993" spans="1:51">
      <c r="A2993">
        <v>100985</v>
      </c>
      <c r="B2993" t="s">
        <v>382</v>
      </c>
      <c r="C2993" t="str">
        <f t="shared" si="253"/>
        <v>01155360322</v>
      </c>
      <c r="D2993" t="str">
        <f t="shared" si="253"/>
        <v>01155360322</v>
      </c>
      <c r="E2993" t="s">
        <v>52</v>
      </c>
      <c r="F2993">
        <v>2015</v>
      </c>
      <c r="G2993">
        <v>2000766</v>
      </c>
      <c r="H2993" s="1">
        <v>42185</v>
      </c>
      <c r="I2993" s="1">
        <v>42191</v>
      </c>
      <c r="J2993" s="1">
        <v>42191</v>
      </c>
      <c r="K2993" s="1">
        <v>42251</v>
      </c>
      <c r="L2993" s="7">
        <v>28151</v>
      </c>
      <c r="M2993" s="5">
        <v>105</v>
      </c>
      <c r="N2993" s="7">
        <v>2955855</v>
      </c>
      <c r="O2993" s="2">
        <v>28151</v>
      </c>
      <c r="P2993">
        <v>105</v>
      </c>
      <c r="Q2993" s="2">
        <v>2955855</v>
      </c>
      <c r="R2993" s="2">
        <v>6193.22</v>
      </c>
      <c r="V2993">
        <v>0</v>
      </c>
      <c r="W2993">
        <v>0</v>
      </c>
      <c r="X2993">
        <v>0</v>
      </c>
      <c r="Y2993" s="2">
        <v>34344.22</v>
      </c>
      <c r="Z2993" s="2">
        <v>34344.22</v>
      </c>
      <c r="AA2993" s="2">
        <v>34344.22</v>
      </c>
      <c r="AB2993" s="1">
        <v>42382</v>
      </c>
      <c r="AC2993" t="s">
        <v>53</v>
      </c>
      <c r="AD2993" t="s">
        <v>53</v>
      </c>
      <c r="AH2993" s="2">
        <v>6193.22</v>
      </c>
      <c r="AK2993">
        <v>0</v>
      </c>
      <c r="AU2993" s="6">
        <v>42356</v>
      </c>
      <c r="AV2993" s="6">
        <v>42356</v>
      </c>
      <c r="AW2993" t="s">
        <v>54</v>
      </c>
      <c r="AX2993" t="str">
        <f t="shared" si="247"/>
        <v>FOR</v>
      </c>
      <c r="AY2993" t="s">
        <v>55</v>
      </c>
    </row>
    <row r="2994" spans="1:51" hidden="1">
      <c r="A2994">
        <v>100987</v>
      </c>
      <c r="B2994" t="s">
        <v>383</v>
      </c>
      <c r="C2994" t="str">
        <f t="shared" ref="C2994:D3013" si="254">"01147640625"</f>
        <v>01147640625</v>
      </c>
      <c r="D2994" t="str">
        <f t="shared" si="254"/>
        <v>01147640625</v>
      </c>
      <c r="E2994" t="s">
        <v>52</v>
      </c>
      <c r="F2994">
        <v>2013</v>
      </c>
      <c r="G2994" t="s">
        <v>384</v>
      </c>
      <c r="H2994" s="1">
        <v>41527</v>
      </c>
      <c r="I2994" s="1">
        <v>41936</v>
      </c>
      <c r="J2994" s="1">
        <v>41936</v>
      </c>
      <c r="K2994" s="1">
        <v>41996</v>
      </c>
      <c r="N2994" s="5"/>
      <c r="O2994">
        <v>16</v>
      </c>
      <c r="P2994">
        <v>44</v>
      </c>
      <c r="Q2994">
        <v>704</v>
      </c>
      <c r="R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 s="1">
        <v>42382</v>
      </c>
      <c r="AC2994" t="s">
        <v>53</v>
      </c>
      <c r="AD2994" t="s">
        <v>53</v>
      </c>
      <c r="AK2994">
        <v>0</v>
      </c>
      <c r="AU2994" s="6">
        <v>42040</v>
      </c>
      <c r="AV2994" s="6">
        <v>42040</v>
      </c>
      <c r="AW2994" t="s">
        <v>54</v>
      </c>
      <c r="AX2994" t="str">
        <f t="shared" si="247"/>
        <v>FOR</v>
      </c>
      <c r="AY2994" t="s">
        <v>55</v>
      </c>
    </row>
    <row r="2995" spans="1:51" hidden="1">
      <c r="A2995">
        <v>100987</v>
      </c>
      <c r="B2995" t="s">
        <v>383</v>
      </c>
      <c r="C2995" t="str">
        <f t="shared" si="254"/>
        <v>01147640625</v>
      </c>
      <c r="D2995" t="str">
        <f t="shared" si="254"/>
        <v>01147640625</v>
      </c>
      <c r="E2995" t="s">
        <v>52</v>
      </c>
      <c r="F2995">
        <v>2014</v>
      </c>
      <c r="G2995" t="s">
        <v>385</v>
      </c>
      <c r="H2995" s="1">
        <v>41901</v>
      </c>
      <c r="I2995" s="1">
        <v>41908</v>
      </c>
      <c r="J2995" s="1">
        <v>41908</v>
      </c>
      <c r="K2995" s="1">
        <v>41998</v>
      </c>
      <c r="N2995" s="5"/>
      <c r="O2995">
        <v>313.60000000000002</v>
      </c>
      <c r="P2995">
        <v>42</v>
      </c>
      <c r="Q2995" s="2">
        <v>13171.2</v>
      </c>
      <c r="R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 s="1">
        <v>42382</v>
      </c>
      <c r="AC2995" t="s">
        <v>53</v>
      </c>
      <c r="AD2995" t="s">
        <v>53</v>
      </c>
      <c r="AK2995">
        <v>0</v>
      </c>
      <c r="AU2995" s="6">
        <v>42040</v>
      </c>
      <c r="AV2995" s="6">
        <v>42040</v>
      </c>
      <c r="AW2995" t="s">
        <v>54</v>
      </c>
      <c r="AX2995" t="str">
        <f t="shared" si="247"/>
        <v>FOR</v>
      </c>
      <c r="AY2995" t="s">
        <v>55</v>
      </c>
    </row>
    <row r="2996" spans="1:51" hidden="1">
      <c r="A2996">
        <v>100987</v>
      </c>
      <c r="B2996" t="s">
        <v>383</v>
      </c>
      <c r="C2996" t="str">
        <f t="shared" si="254"/>
        <v>01147640625</v>
      </c>
      <c r="D2996" t="str">
        <f t="shared" si="254"/>
        <v>01147640625</v>
      </c>
      <c r="E2996" t="s">
        <v>52</v>
      </c>
      <c r="F2996">
        <v>2014</v>
      </c>
      <c r="G2996" t="s">
        <v>386</v>
      </c>
      <c r="H2996" s="1">
        <v>41973</v>
      </c>
      <c r="I2996" s="1">
        <v>41983</v>
      </c>
      <c r="J2996" s="1">
        <v>41983</v>
      </c>
      <c r="K2996" s="1">
        <v>42043</v>
      </c>
      <c r="N2996" s="5"/>
      <c r="O2996">
        <v>40</v>
      </c>
      <c r="P2996">
        <v>-3</v>
      </c>
      <c r="Q2996">
        <v>-120</v>
      </c>
      <c r="R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 s="1">
        <v>42382</v>
      </c>
      <c r="AC2996" t="s">
        <v>53</v>
      </c>
      <c r="AD2996" t="s">
        <v>53</v>
      </c>
      <c r="AK2996">
        <v>0</v>
      </c>
      <c r="AU2996" s="6">
        <v>42040</v>
      </c>
      <c r="AV2996" s="6">
        <v>42040</v>
      </c>
      <c r="AW2996" t="s">
        <v>54</v>
      </c>
      <c r="AX2996" t="str">
        <f t="shared" si="247"/>
        <v>FOR</v>
      </c>
      <c r="AY2996" t="s">
        <v>55</v>
      </c>
    </row>
    <row r="2997" spans="1:51" hidden="1">
      <c r="A2997">
        <v>100987</v>
      </c>
      <c r="B2997" t="s">
        <v>383</v>
      </c>
      <c r="C2997" t="str">
        <f t="shared" si="254"/>
        <v>01147640625</v>
      </c>
      <c r="D2997" t="str">
        <f t="shared" si="254"/>
        <v>01147640625</v>
      </c>
      <c r="E2997" t="s">
        <v>52</v>
      </c>
      <c r="F2997">
        <v>2014</v>
      </c>
      <c r="G2997" t="s">
        <v>387</v>
      </c>
      <c r="H2997" s="1">
        <v>41906</v>
      </c>
      <c r="I2997" s="1">
        <v>41912</v>
      </c>
      <c r="J2997" s="1">
        <v>41912</v>
      </c>
      <c r="K2997" s="1">
        <v>42002</v>
      </c>
      <c r="N2997" s="5"/>
      <c r="O2997">
        <v>161.5</v>
      </c>
      <c r="P2997">
        <v>38</v>
      </c>
      <c r="Q2997" s="2">
        <v>6137</v>
      </c>
      <c r="R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 s="1">
        <v>42382</v>
      </c>
      <c r="AC2997" t="s">
        <v>53</v>
      </c>
      <c r="AD2997" t="s">
        <v>53</v>
      </c>
      <c r="AK2997">
        <v>0</v>
      </c>
      <c r="AU2997" s="6">
        <v>42040</v>
      </c>
      <c r="AV2997" s="6">
        <v>42040</v>
      </c>
      <c r="AW2997" t="s">
        <v>54</v>
      </c>
      <c r="AX2997" t="str">
        <f t="shared" si="247"/>
        <v>FOR</v>
      </c>
      <c r="AY2997" t="s">
        <v>55</v>
      </c>
    </row>
    <row r="2998" spans="1:51" hidden="1">
      <c r="A2998">
        <v>100987</v>
      </c>
      <c r="B2998" t="s">
        <v>383</v>
      </c>
      <c r="C2998" t="str">
        <f t="shared" si="254"/>
        <v>01147640625</v>
      </c>
      <c r="D2998" t="str">
        <f t="shared" si="254"/>
        <v>01147640625</v>
      </c>
      <c r="E2998" t="s">
        <v>52</v>
      </c>
      <c r="F2998">
        <v>2014</v>
      </c>
      <c r="G2998" t="s">
        <v>388</v>
      </c>
      <c r="H2998" s="1">
        <v>41923</v>
      </c>
      <c r="I2998" s="1">
        <v>41925</v>
      </c>
      <c r="J2998" s="1">
        <v>41925</v>
      </c>
      <c r="K2998" s="1">
        <v>42015</v>
      </c>
      <c r="N2998" s="5"/>
      <c r="O2998">
        <v>250</v>
      </c>
      <c r="P2998">
        <v>25</v>
      </c>
      <c r="Q2998" s="2">
        <v>6250</v>
      </c>
      <c r="R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 s="1">
        <v>42382</v>
      </c>
      <c r="AC2998" t="s">
        <v>53</v>
      </c>
      <c r="AD2998" t="s">
        <v>53</v>
      </c>
      <c r="AK2998">
        <v>0</v>
      </c>
      <c r="AU2998" s="6">
        <v>42040</v>
      </c>
      <c r="AV2998" s="6">
        <v>42040</v>
      </c>
      <c r="AW2998" t="s">
        <v>54</v>
      </c>
      <c r="AX2998" t="str">
        <f t="shared" si="247"/>
        <v>FOR</v>
      </c>
      <c r="AY2998" t="s">
        <v>55</v>
      </c>
    </row>
    <row r="2999" spans="1:51" hidden="1">
      <c r="A2999">
        <v>100987</v>
      </c>
      <c r="B2999" t="s">
        <v>383</v>
      </c>
      <c r="C2999" t="str">
        <f t="shared" si="254"/>
        <v>01147640625</v>
      </c>
      <c r="D2999" t="str">
        <f t="shared" si="254"/>
        <v>01147640625</v>
      </c>
      <c r="E2999" t="s">
        <v>52</v>
      </c>
      <c r="F2999">
        <v>2014</v>
      </c>
      <c r="G2999" t="s">
        <v>389</v>
      </c>
      <c r="H2999" s="1">
        <v>41929</v>
      </c>
      <c r="I2999" s="1">
        <v>41932</v>
      </c>
      <c r="J2999" s="1">
        <v>41932</v>
      </c>
      <c r="K2999" s="1">
        <v>41992</v>
      </c>
      <c r="N2999" s="5"/>
      <c r="O2999">
        <v>107.5</v>
      </c>
      <c r="P2999">
        <v>48</v>
      </c>
      <c r="Q2999" s="2">
        <v>5160</v>
      </c>
      <c r="R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 s="1">
        <v>42382</v>
      </c>
      <c r="AC2999" t="s">
        <v>53</v>
      </c>
      <c r="AD2999" t="s">
        <v>53</v>
      </c>
      <c r="AK2999">
        <v>0</v>
      </c>
      <c r="AU2999" s="6">
        <v>42040</v>
      </c>
      <c r="AV2999" s="6">
        <v>42040</v>
      </c>
      <c r="AW2999" t="s">
        <v>54</v>
      </c>
      <c r="AX2999" t="str">
        <f t="shared" si="247"/>
        <v>FOR</v>
      </c>
      <c r="AY2999" t="s">
        <v>55</v>
      </c>
    </row>
    <row r="3000" spans="1:51" hidden="1">
      <c r="A3000">
        <v>100987</v>
      </c>
      <c r="B3000" t="s">
        <v>383</v>
      </c>
      <c r="C3000" t="str">
        <f t="shared" si="254"/>
        <v>01147640625</v>
      </c>
      <c r="D3000" t="str">
        <f t="shared" si="254"/>
        <v>01147640625</v>
      </c>
      <c r="E3000" t="s">
        <v>52</v>
      </c>
      <c r="F3000">
        <v>2014</v>
      </c>
      <c r="G3000" t="s">
        <v>390</v>
      </c>
      <c r="H3000" s="1">
        <v>41932</v>
      </c>
      <c r="I3000" s="1">
        <v>41942</v>
      </c>
      <c r="J3000" s="1">
        <v>41942</v>
      </c>
      <c r="K3000" s="1">
        <v>42002</v>
      </c>
      <c r="N3000" s="5"/>
      <c r="O3000">
        <v>450.74</v>
      </c>
      <c r="P3000">
        <v>38</v>
      </c>
      <c r="Q3000" s="2">
        <v>17128.12</v>
      </c>
      <c r="R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 s="1">
        <v>42382</v>
      </c>
      <c r="AC3000" t="s">
        <v>53</v>
      </c>
      <c r="AD3000" t="s">
        <v>53</v>
      </c>
      <c r="AK3000">
        <v>0</v>
      </c>
      <c r="AU3000" s="6">
        <v>42040</v>
      </c>
      <c r="AV3000" s="6">
        <v>42040</v>
      </c>
      <c r="AW3000" t="s">
        <v>54</v>
      </c>
      <c r="AX3000" t="str">
        <f t="shared" si="247"/>
        <v>FOR</v>
      </c>
      <c r="AY3000" t="s">
        <v>55</v>
      </c>
    </row>
    <row r="3001" spans="1:51" hidden="1">
      <c r="A3001">
        <v>100987</v>
      </c>
      <c r="B3001" t="s">
        <v>383</v>
      </c>
      <c r="C3001" t="str">
        <f t="shared" si="254"/>
        <v>01147640625</v>
      </c>
      <c r="D3001" t="str">
        <f t="shared" si="254"/>
        <v>01147640625</v>
      </c>
      <c r="E3001" t="s">
        <v>52</v>
      </c>
      <c r="F3001">
        <v>2014</v>
      </c>
      <c r="G3001" t="s">
        <v>391</v>
      </c>
      <c r="H3001" s="1">
        <v>41939</v>
      </c>
      <c r="I3001" s="1">
        <v>41942</v>
      </c>
      <c r="J3001" s="1">
        <v>41942</v>
      </c>
      <c r="K3001" s="1">
        <v>42002</v>
      </c>
      <c r="N3001" s="5"/>
      <c r="O3001">
        <v>12</v>
      </c>
      <c r="P3001">
        <v>38</v>
      </c>
      <c r="Q3001">
        <v>456</v>
      </c>
      <c r="R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 s="1">
        <v>42382</v>
      </c>
      <c r="AC3001" t="s">
        <v>53</v>
      </c>
      <c r="AD3001" t="s">
        <v>53</v>
      </c>
      <c r="AK3001">
        <v>0</v>
      </c>
      <c r="AU3001" s="6">
        <v>42040</v>
      </c>
      <c r="AV3001" s="6">
        <v>42040</v>
      </c>
      <c r="AW3001" t="s">
        <v>54</v>
      </c>
      <c r="AX3001" t="str">
        <f t="shared" si="247"/>
        <v>FOR</v>
      </c>
      <c r="AY3001" t="s">
        <v>55</v>
      </c>
    </row>
    <row r="3002" spans="1:51" hidden="1">
      <c r="A3002">
        <v>100987</v>
      </c>
      <c r="B3002" t="s">
        <v>383</v>
      </c>
      <c r="C3002" t="str">
        <f t="shared" si="254"/>
        <v>01147640625</v>
      </c>
      <c r="D3002" t="str">
        <f t="shared" si="254"/>
        <v>01147640625</v>
      </c>
      <c r="E3002" t="s">
        <v>52</v>
      </c>
      <c r="F3002">
        <v>2014</v>
      </c>
      <c r="G3002" t="s">
        <v>392</v>
      </c>
      <c r="H3002" s="1">
        <v>41943</v>
      </c>
      <c r="I3002" s="1">
        <v>41946</v>
      </c>
      <c r="J3002" s="1">
        <v>41946</v>
      </c>
      <c r="K3002" s="1">
        <v>42006</v>
      </c>
      <c r="N3002" s="5"/>
      <c r="O3002">
        <v>120</v>
      </c>
      <c r="P3002">
        <v>34</v>
      </c>
      <c r="Q3002" s="2">
        <v>4080</v>
      </c>
      <c r="R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 s="1">
        <v>42382</v>
      </c>
      <c r="AC3002" t="s">
        <v>53</v>
      </c>
      <c r="AD3002" t="s">
        <v>53</v>
      </c>
      <c r="AK3002">
        <v>0</v>
      </c>
      <c r="AU3002" s="6">
        <v>42040</v>
      </c>
      <c r="AV3002" s="6">
        <v>42040</v>
      </c>
      <c r="AW3002" t="s">
        <v>54</v>
      </c>
      <c r="AX3002" t="str">
        <f t="shared" si="247"/>
        <v>FOR</v>
      </c>
      <c r="AY3002" t="s">
        <v>55</v>
      </c>
    </row>
    <row r="3003" spans="1:51" hidden="1">
      <c r="A3003">
        <v>100987</v>
      </c>
      <c r="B3003" t="s">
        <v>383</v>
      </c>
      <c r="C3003" t="str">
        <f t="shared" si="254"/>
        <v>01147640625</v>
      </c>
      <c r="D3003" t="str">
        <f t="shared" si="254"/>
        <v>01147640625</v>
      </c>
      <c r="E3003" t="s">
        <v>52</v>
      </c>
      <c r="F3003">
        <v>2014</v>
      </c>
      <c r="G3003" t="s">
        <v>393</v>
      </c>
      <c r="H3003" s="1">
        <v>41946</v>
      </c>
      <c r="I3003" s="1">
        <v>41949</v>
      </c>
      <c r="J3003" s="1">
        <v>41949</v>
      </c>
      <c r="K3003" s="1">
        <v>42009</v>
      </c>
      <c r="N3003" s="5"/>
      <c r="O3003">
        <v>287</v>
      </c>
      <c r="P3003">
        <v>31</v>
      </c>
      <c r="Q3003" s="2">
        <v>8897</v>
      </c>
      <c r="R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 s="1">
        <v>42382</v>
      </c>
      <c r="AC3003" t="s">
        <v>53</v>
      </c>
      <c r="AD3003" t="s">
        <v>53</v>
      </c>
      <c r="AK3003">
        <v>0</v>
      </c>
      <c r="AU3003" s="6">
        <v>42040</v>
      </c>
      <c r="AV3003" s="6">
        <v>42040</v>
      </c>
      <c r="AW3003" t="s">
        <v>54</v>
      </c>
      <c r="AX3003" t="str">
        <f t="shared" si="247"/>
        <v>FOR</v>
      </c>
      <c r="AY3003" t="s">
        <v>55</v>
      </c>
    </row>
    <row r="3004" spans="1:51" hidden="1">
      <c r="A3004">
        <v>100987</v>
      </c>
      <c r="B3004" t="s">
        <v>383</v>
      </c>
      <c r="C3004" t="str">
        <f t="shared" si="254"/>
        <v>01147640625</v>
      </c>
      <c r="D3004" t="str">
        <f t="shared" si="254"/>
        <v>01147640625</v>
      </c>
      <c r="E3004" t="s">
        <v>52</v>
      </c>
      <c r="F3004">
        <v>2014</v>
      </c>
      <c r="G3004" t="s">
        <v>394</v>
      </c>
      <c r="H3004" s="1">
        <v>41948</v>
      </c>
      <c r="I3004" s="1">
        <v>41953</v>
      </c>
      <c r="J3004" s="1">
        <v>41953</v>
      </c>
      <c r="K3004" s="1">
        <v>42013</v>
      </c>
      <c r="N3004" s="5"/>
      <c r="O3004">
        <v>75</v>
      </c>
      <c r="P3004">
        <v>27</v>
      </c>
      <c r="Q3004" s="2">
        <v>2025</v>
      </c>
      <c r="R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 s="1">
        <v>42382</v>
      </c>
      <c r="AC3004" t="s">
        <v>53</v>
      </c>
      <c r="AD3004" t="s">
        <v>53</v>
      </c>
      <c r="AK3004">
        <v>0</v>
      </c>
      <c r="AU3004" s="6">
        <v>42040</v>
      </c>
      <c r="AV3004" s="6">
        <v>42040</v>
      </c>
      <c r="AW3004" t="s">
        <v>54</v>
      </c>
      <c r="AX3004" t="str">
        <f t="shared" si="247"/>
        <v>FOR</v>
      </c>
      <c r="AY3004" t="s">
        <v>55</v>
      </c>
    </row>
    <row r="3005" spans="1:51" hidden="1">
      <c r="A3005">
        <v>100987</v>
      </c>
      <c r="B3005" t="s">
        <v>383</v>
      </c>
      <c r="C3005" t="str">
        <f t="shared" si="254"/>
        <v>01147640625</v>
      </c>
      <c r="D3005" t="str">
        <f t="shared" si="254"/>
        <v>01147640625</v>
      </c>
      <c r="E3005" t="s">
        <v>52</v>
      </c>
      <c r="F3005">
        <v>2014</v>
      </c>
      <c r="G3005" t="s">
        <v>395</v>
      </c>
      <c r="H3005" s="1">
        <v>41949</v>
      </c>
      <c r="I3005" s="1">
        <v>41962</v>
      </c>
      <c r="J3005" s="1">
        <v>41962</v>
      </c>
      <c r="K3005" s="1">
        <v>42022</v>
      </c>
      <c r="N3005" s="5"/>
      <c r="O3005">
        <v>225.37</v>
      </c>
      <c r="P3005">
        <v>18</v>
      </c>
      <c r="Q3005" s="2">
        <v>4056.66</v>
      </c>
      <c r="R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 s="1">
        <v>42382</v>
      </c>
      <c r="AC3005" t="s">
        <v>53</v>
      </c>
      <c r="AD3005" t="s">
        <v>53</v>
      </c>
      <c r="AK3005">
        <v>0</v>
      </c>
      <c r="AU3005" s="6">
        <v>42040</v>
      </c>
      <c r="AV3005" s="6">
        <v>42040</v>
      </c>
      <c r="AW3005" t="s">
        <v>54</v>
      </c>
      <c r="AX3005" t="str">
        <f t="shared" si="247"/>
        <v>FOR</v>
      </c>
      <c r="AY3005" t="s">
        <v>55</v>
      </c>
    </row>
    <row r="3006" spans="1:51" hidden="1">
      <c r="A3006">
        <v>100987</v>
      </c>
      <c r="B3006" t="s">
        <v>383</v>
      </c>
      <c r="C3006" t="str">
        <f t="shared" si="254"/>
        <v>01147640625</v>
      </c>
      <c r="D3006" t="str">
        <f t="shared" si="254"/>
        <v>01147640625</v>
      </c>
      <c r="E3006" t="s">
        <v>52</v>
      </c>
      <c r="F3006">
        <v>2014</v>
      </c>
      <c r="G3006" t="s">
        <v>396</v>
      </c>
      <c r="H3006" s="1">
        <v>41961</v>
      </c>
      <c r="I3006" s="1">
        <v>41962</v>
      </c>
      <c r="J3006" s="1">
        <v>41962</v>
      </c>
      <c r="K3006" s="1">
        <v>42022</v>
      </c>
      <c r="N3006" s="5"/>
      <c r="O3006">
        <v>19</v>
      </c>
      <c r="P3006">
        <v>18</v>
      </c>
      <c r="Q3006">
        <v>342</v>
      </c>
      <c r="R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 s="1">
        <v>42382</v>
      </c>
      <c r="AC3006" t="s">
        <v>53</v>
      </c>
      <c r="AD3006" t="s">
        <v>53</v>
      </c>
      <c r="AK3006">
        <v>0</v>
      </c>
      <c r="AU3006" s="6">
        <v>42040</v>
      </c>
      <c r="AV3006" s="6">
        <v>42040</v>
      </c>
      <c r="AW3006" t="s">
        <v>54</v>
      </c>
      <c r="AX3006" t="str">
        <f t="shared" si="247"/>
        <v>FOR</v>
      </c>
      <c r="AY3006" t="s">
        <v>55</v>
      </c>
    </row>
    <row r="3007" spans="1:51" hidden="1">
      <c r="A3007">
        <v>100987</v>
      </c>
      <c r="B3007" t="s">
        <v>383</v>
      </c>
      <c r="C3007" t="str">
        <f t="shared" si="254"/>
        <v>01147640625</v>
      </c>
      <c r="D3007" t="str">
        <f t="shared" si="254"/>
        <v>01147640625</v>
      </c>
      <c r="E3007" t="s">
        <v>52</v>
      </c>
      <c r="F3007">
        <v>2014</v>
      </c>
      <c r="G3007" t="s">
        <v>397</v>
      </c>
      <c r="H3007" s="1">
        <v>41977</v>
      </c>
      <c r="I3007" s="1">
        <v>41983</v>
      </c>
      <c r="J3007" s="1">
        <v>41983</v>
      </c>
      <c r="K3007" s="1">
        <v>42043</v>
      </c>
      <c r="N3007" s="5"/>
      <c r="O3007">
        <v>60</v>
      </c>
      <c r="P3007">
        <v>-3</v>
      </c>
      <c r="Q3007">
        <v>-180</v>
      </c>
      <c r="R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 s="1">
        <v>42382</v>
      </c>
      <c r="AC3007" t="s">
        <v>53</v>
      </c>
      <c r="AD3007" t="s">
        <v>53</v>
      </c>
      <c r="AK3007">
        <v>0</v>
      </c>
      <c r="AU3007" s="6">
        <v>42040</v>
      </c>
      <c r="AV3007" s="6">
        <v>42040</v>
      </c>
      <c r="AW3007" t="s">
        <v>54</v>
      </c>
      <c r="AX3007" t="str">
        <f t="shared" si="247"/>
        <v>FOR</v>
      </c>
      <c r="AY3007" t="s">
        <v>55</v>
      </c>
    </row>
    <row r="3008" spans="1:51" hidden="1">
      <c r="A3008">
        <v>100987</v>
      </c>
      <c r="B3008" t="s">
        <v>383</v>
      </c>
      <c r="C3008" t="str">
        <f t="shared" si="254"/>
        <v>01147640625</v>
      </c>
      <c r="D3008" t="str">
        <f t="shared" si="254"/>
        <v>01147640625</v>
      </c>
      <c r="E3008" t="s">
        <v>52</v>
      </c>
      <c r="F3008">
        <v>2014</v>
      </c>
      <c r="G3008" t="s">
        <v>398</v>
      </c>
      <c r="H3008" s="1">
        <v>41985</v>
      </c>
      <c r="I3008" s="1">
        <v>41995</v>
      </c>
      <c r="J3008" s="1">
        <v>41995</v>
      </c>
      <c r="K3008" s="1">
        <v>42055</v>
      </c>
      <c r="N3008" s="5"/>
      <c r="O3008">
        <v>170</v>
      </c>
      <c r="P3008">
        <v>-15</v>
      </c>
      <c r="Q3008" s="2">
        <v>-2550</v>
      </c>
      <c r="R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 s="1">
        <v>42382</v>
      </c>
      <c r="AC3008" t="s">
        <v>53</v>
      </c>
      <c r="AD3008" t="s">
        <v>53</v>
      </c>
      <c r="AK3008">
        <v>0</v>
      </c>
      <c r="AU3008" s="6">
        <v>42040</v>
      </c>
      <c r="AV3008" s="6">
        <v>42040</v>
      </c>
      <c r="AW3008" t="s">
        <v>54</v>
      </c>
      <c r="AX3008" t="str">
        <f t="shared" si="247"/>
        <v>FOR</v>
      </c>
      <c r="AY3008" t="s">
        <v>55</v>
      </c>
    </row>
    <row r="3009" spans="1:51" hidden="1">
      <c r="A3009">
        <v>100987</v>
      </c>
      <c r="B3009" t="s">
        <v>383</v>
      </c>
      <c r="C3009" t="str">
        <f t="shared" si="254"/>
        <v>01147640625</v>
      </c>
      <c r="D3009" t="str">
        <f t="shared" si="254"/>
        <v>01147640625</v>
      </c>
      <c r="E3009" t="s">
        <v>52</v>
      </c>
      <c r="F3009">
        <v>2014</v>
      </c>
      <c r="G3009" t="s">
        <v>399</v>
      </c>
      <c r="H3009" s="1">
        <v>41985</v>
      </c>
      <c r="I3009" s="1">
        <v>41996</v>
      </c>
      <c r="J3009" s="1">
        <v>41996</v>
      </c>
      <c r="K3009" s="1">
        <v>42056</v>
      </c>
      <c r="N3009" s="5"/>
      <c r="O3009">
        <v>225.37</v>
      </c>
      <c r="P3009">
        <v>-16</v>
      </c>
      <c r="Q3009" s="2">
        <v>-3605.92</v>
      </c>
      <c r="R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 s="1">
        <v>42382</v>
      </c>
      <c r="AC3009" t="s">
        <v>53</v>
      </c>
      <c r="AD3009" t="s">
        <v>53</v>
      </c>
      <c r="AK3009">
        <v>0</v>
      </c>
      <c r="AU3009" s="6">
        <v>42040</v>
      </c>
      <c r="AV3009" s="6">
        <v>42040</v>
      </c>
      <c r="AW3009" t="s">
        <v>54</v>
      </c>
      <c r="AX3009" t="str">
        <f t="shared" si="247"/>
        <v>FOR</v>
      </c>
      <c r="AY3009" t="s">
        <v>55</v>
      </c>
    </row>
    <row r="3010" spans="1:51" hidden="1">
      <c r="A3010">
        <v>100987</v>
      </c>
      <c r="B3010" t="s">
        <v>383</v>
      </c>
      <c r="C3010" t="str">
        <f t="shared" si="254"/>
        <v>01147640625</v>
      </c>
      <c r="D3010" t="str">
        <f t="shared" si="254"/>
        <v>01147640625</v>
      </c>
      <c r="E3010" t="s">
        <v>52</v>
      </c>
      <c r="F3010">
        <v>2014</v>
      </c>
      <c r="G3010" t="s">
        <v>400</v>
      </c>
      <c r="H3010" s="1">
        <v>41986</v>
      </c>
      <c r="I3010" s="1">
        <v>41995</v>
      </c>
      <c r="J3010" s="1">
        <v>41995</v>
      </c>
      <c r="K3010" s="1">
        <v>42055</v>
      </c>
      <c r="N3010" s="5"/>
      <c r="O3010">
        <v>385</v>
      </c>
      <c r="P3010">
        <v>-15</v>
      </c>
      <c r="Q3010" s="2">
        <v>-5775</v>
      </c>
      <c r="R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 s="1">
        <v>42382</v>
      </c>
      <c r="AC3010" t="s">
        <v>53</v>
      </c>
      <c r="AD3010" t="s">
        <v>53</v>
      </c>
      <c r="AK3010">
        <v>0</v>
      </c>
      <c r="AU3010" s="6">
        <v>42040</v>
      </c>
      <c r="AV3010" s="6">
        <v>42040</v>
      </c>
      <c r="AW3010" t="s">
        <v>54</v>
      </c>
      <c r="AX3010" t="str">
        <f t="shared" si="247"/>
        <v>FOR</v>
      </c>
      <c r="AY3010" t="s">
        <v>55</v>
      </c>
    </row>
    <row r="3011" spans="1:51" hidden="1">
      <c r="A3011">
        <v>100987</v>
      </c>
      <c r="B3011" t="s">
        <v>383</v>
      </c>
      <c r="C3011" t="str">
        <f t="shared" si="254"/>
        <v>01147640625</v>
      </c>
      <c r="D3011" t="str">
        <f t="shared" si="254"/>
        <v>01147640625</v>
      </c>
      <c r="E3011" t="s">
        <v>52</v>
      </c>
      <c r="F3011">
        <v>2014</v>
      </c>
      <c r="G3011" t="s">
        <v>401</v>
      </c>
      <c r="H3011" s="1">
        <v>41991</v>
      </c>
      <c r="I3011" s="1">
        <v>41995</v>
      </c>
      <c r="J3011" s="1">
        <v>41995</v>
      </c>
      <c r="K3011" s="1">
        <v>42055</v>
      </c>
      <c r="N3011" s="5"/>
      <c r="O3011">
        <v>35</v>
      </c>
      <c r="P3011">
        <v>-15</v>
      </c>
      <c r="Q3011">
        <v>-525</v>
      </c>
      <c r="R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 s="1">
        <v>42382</v>
      </c>
      <c r="AC3011" t="s">
        <v>53</v>
      </c>
      <c r="AD3011" t="s">
        <v>53</v>
      </c>
      <c r="AK3011">
        <v>0</v>
      </c>
      <c r="AU3011" s="6">
        <v>42040</v>
      </c>
      <c r="AV3011" s="6">
        <v>42040</v>
      </c>
      <c r="AW3011" t="s">
        <v>54</v>
      </c>
      <c r="AX3011" t="str">
        <f t="shared" ref="AX3011:AX3074" si="255">"FOR"</f>
        <v>FOR</v>
      </c>
      <c r="AY3011" t="s">
        <v>55</v>
      </c>
    </row>
    <row r="3012" spans="1:51" hidden="1">
      <c r="A3012">
        <v>100987</v>
      </c>
      <c r="B3012" t="s">
        <v>383</v>
      </c>
      <c r="C3012" t="str">
        <f t="shared" si="254"/>
        <v>01147640625</v>
      </c>
      <c r="D3012" t="str">
        <f t="shared" si="254"/>
        <v>01147640625</v>
      </c>
      <c r="E3012" t="s">
        <v>52</v>
      </c>
      <c r="F3012">
        <v>2014</v>
      </c>
      <c r="G3012" t="s">
        <v>402</v>
      </c>
      <c r="H3012" s="1">
        <v>41996</v>
      </c>
      <c r="I3012" s="1">
        <v>41996</v>
      </c>
      <c r="J3012" s="1">
        <v>41996</v>
      </c>
      <c r="K3012" s="1">
        <v>42056</v>
      </c>
      <c r="N3012" s="5"/>
      <c r="O3012">
        <v>280.60000000000002</v>
      </c>
      <c r="P3012">
        <v>-16</v>
      </c>
      <c r="Q3012" s="2">
        <v>-4489.6000000000004</v>
      </c>
      <c r="R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 s="1">
        <v>42382</v>
      </c>
      <c r="AC3012" t="s">
        <v>53</v>
      </c>
      <c r="AD3012" t="s">
        <v>53</v>
      </c>
      <c r="AK3012">
        <v>0</v>
      </c>
      <c r="AU3012" s="6">
        <v>42040</v>
      </c>
      <c r="AV3012" s="6">
        <v>42040</v>
      </c>
      <c r="AW3012" t="s">
        <v>54</v>
      </c>
      <c r="AX3012" t="str">
        <f t="shared" si="255"/>
        <v>FOR</v>
      </c>
      <c r="AY3012" t="s">
        <v>55</v>
      </c>
    </row>
    <row r="3013" spans="1:51" hidden="1">
      <c r="A3013">
        <v>100987</v>
      </c>
      <c r="B3013" t="s">
        <v>383</v>
      </c>
      <c r="C3013" t="str">
        <f t="shared" si="254"/>
        <v>01147640625</v>
      </c>
      <c r="D3013" t="str">
        <f t="shared" si="254"/>
        <v>01147640625</v>
      </c>
      <c r="E3013" t="s">
        <v>52</v>
      </c>
      <c r="F3013">
        <v>2014</v>
      </c>
      <c r="G3013" t="s">
        <v>403</v>
      </c>
      <c r="H3013" s="1">
        <v>42002</v>
      </c>
      <c r="I3013" s="1">
        <v>42002</v>
      </c>
      <c r="J3013" s="1">
        <v>42002</v>
      </c>
      <c r="K3013" s="1">
        <v>42062</v>
      </c>
      <c r="N3013" s="5"/>
      <c r="O3013">
        <v>55</v>
      </c>
      <c r="P3013">
        <v>-22</v>
      </c>
      <c r="Q3013" s="2">
        <v>-1210</v>
      </c>
      <c r="R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 s="1">
        <v>42382</v>
      </c>
      <c r="AC3013" t="s">
        <v>53</v>
      </c>
      <c r="AD3013" t="s">
        <v>53</v>
      </c>
      <c r="AK3013">
        <v>0</v>
      </c>
      <c r="AU3013" s="6">
        <v>42040</v>
      </c>
      <c r="AV3013" s="6">
        <v>42040</v>
      </c>
      <c r="AW3013" t="s">
        <v>54</v>
      </c>
      <c r="AX3013" t="str">
        <f t="shared" si="255"/>
        <v>FOR</v>
      </c>
      <c r="AY3013" t="s">
        <v>55</v>
      </c>
    </row>
    <row r="3014" spans="1:51" hidden="1">
      <c r="A3014">
        <v>100987</v>
      </c>
      <c r="B3014" t="s">
        <v>383</v>
      </c>
      <c r="C3014" t="str">
        <f t="shared" ref="C3014:D3033" si="256">"01147640625"</f>
        <v>01147640625</v>
      </c>
      <c r="D3014" t="str">
        <f t="shared" si="256"/>
        <v>01147640625</v>
      </c>
      <c r="E3014" t="s">
        <v>52</v>
      </c>
      <c r="F3014">
        <v>2015</v>
      </c>
      <c r="G3014" t="s">
        <v>404</v>
      </c>
      <c r="H3014" s="1">
        <v>42019</v>
      </c>
      <c r="I3014" s="1">
        <v>42030</v>
      </c>
      <c r="J3014" s="1">
        <v>42030</v>
      </c>
      <c r="K3014" s="1">
        <v>42090</v>
      </c>
      <c r="N3014" s="5"/>
      <c r="O3014">
        <v>122.95</v>
      </c>
      <c r="P3014">
        <v>33</v>
      </c>
      <c r="Q3014" s="2">
        <v>4057.35</v>
      </c>
      <c r="R3014">
        <v>27.05</v>
      </c>
      <c r="V3014">
        <v>0</v>
      </c>
      <c r="W3014">
        <v>0</v>
      </c>
      <c r="X3014">
        <v>0</v>
      </c>
      <c r="Y3014">
        <v>150</v>
      </c>
      <c r="Z3014">
        <v>150</v>
      </c>
      <c r="AA3014">
        <v>150</v>
      </c>
      <c r="AB3014" s="1">
        <v>42382</v>
      </c>
      <c r="AC3014" t="s">
        <v>53</v>
      </c>
      <c r="AD3014" t="s">
        <v>53</v>
      </c>
      <c r="AK3014">
        <v>27.05</v>
      </c>
      <c r="AU3014" s="6">
        <v>42123</v>
      </c>
      <c r="AV3014" s="6">
        <v>42123</v>
      </c>
      <c r="AW3014" t="s">
        <v>54</v>
      </c>
      <c r="AX3014" t="str">
        <f t="shared" si="255"/>
        <v>FOR</v>
      </c>
      <c r="AY3014" t="s">
        <v>55</v>
      </c>
    </row>
    <row r="3015" spans="1:51" hidden="1">
      <c r="A3015">
        <v>100987</v>
      </c>
      <c r="B3015" t="s">
        <v>383</v>
      </c>
      <c r="C3015" t="str">
        <f t="shared" si="256"/>
        <v>01147640625</v>
      </c>
      <c r="D3015" t="str">
        <f t="shared" si="256"/>
        <v>01147640625</v>
      </c>
      <c r="E3015" t="s">
        <v>52</v>
      </c>
      <c r="F3015">
        <v>2015</v>
      </c>
      <c r="G3015" t="s">
        <v>405</v>
      </c>
      <c r="H3015" s="1">
        <v>42006</v>
      </c>
      <c r="I3015" s="1">
        <v>42025</v>
      </c>
      <c r="J3015" s="1">
        <v>42025</v>
      </c>
      <c r="K3015" s="1">
        <v>42085</v>
      </c>
      <c r="N3015" s="5"/>
      <c r="O3015">
        <v>35.659999999999997</v>
      </c>
      <c r="P3015">
        <v>38</v>
      </c>
      <c r="Q3015" s="2">
        <v>1355.08</v>
      </c>
      <c r="R3015">
        <v>7.84</v>
      </c>
      <c r="V3015">
        <v>0</v>
      </c>
      <c r="W3015">
        <v>0</v>
      </c>
      <c r="X3015">
        <v>0</v>
      </c>
      <c r="Y3015">
        <v>43.5</v>
      </c>
      <c r="Z3015">
        <v>43.5</v>
      </c>
      <c r="AA3015">
        <v>43.5</v>
      </c>
      <c r="AB3015" s="1">
        <v>42382</v>
      </c>
      <c r="AC3015" t="s">
        <v>53</v>
      </c>
      <c r="AD3015" t="s">
        <v>53</v>
      </c>
      <c r="AK3015">
        <v>7.84</v>
      </c>
      <c r="AU3015" s="6">
        <v>42123</v>
      </c>
      <c r="AV3015" s="6">
        <v>42123</v>
      </c>
      <c r="AW3015" t="s">
        <v>54</v>
      </c>
      <c r="AX3015" t="str">
        <f t="shared" si="255"/>
        <v>FOR</v>
      </c>
      <c r="AY3015" t="s">
        <v>55</v>
      </c>
    </row>
    <row r="3016" spans="1:51" hidden="1">
      <c r="A3016">
        <v>100987</v>
      </c>
      <c r="B3016" t="s">
        <v>383</v>
      </c>
      <c r="C3016" t="str">
        <f t="shared" si="256"/>
        <v>01147640625</v>
      </c>
      <c r="D3016" t="str">
        <f t="shared" si="256"/>
        <v>01147640625</v>
      </c>
      <c r="E3016" t="s">
        <v>52</v>
      </c>
      <c r="F3016">
        <v>2015</v>
      </c>
      <c r="G3016" t="s">
        <v>406</v>
      </c>
      <c r="H3016" s="1">
        <v>42041</v>
      </c>
      <c r="I3016" s="1">
        <v>42048</v>
      </c>
      <c r="J3016" s="1">
        <v>42048</v>
      </c>
      <c r="K3016" s="1">
        <v>42108</v>
      </c>
      <c r="N3016" s="5"/>
      <c r="O3016">
        <v>73.77</v>
      </c>
      <c r="P3016">
        <v>15</v>
      </c>
      <c r="Q3016" s="2">
        <v>1106.55</v>
      </c>
      <c r="R3016">
        <v>16.23</v>
      </c>
      <c r="V3016">
        <v>0</v>
      </c>
      <c r="W3016">
        <v>0</v>
      </c>
      <c r="X3016">
        <v>0</v>
      </c>
      <c r="Y3016">
        <v>90</v>
      </c>
      <c r="Z3016">
        <v>90</v>
      </c>
      <c r="AA3016">
        <v>90</v>
      </c>
      <c r="AB3016" s="1">
        <v>42382</v>
      </c>
      <c r="AC3016" t="s">
        <v>53</v>
      </c>
      <c r="AD3016" t="s">
        <v>53</v>
      </c>
      <c r="AK3016">
        <v>16.23</v>
      </c>
      <c r="AU3016" s="6">
        <v>42123</v>
      </c>
      <c r="AV3016" s="6">
        <v>42123</v>
      </c>
      <c r="AW3016" t="s">
        <v>54</v>
      </c>
      <c r="AX3016" t="str">
        <f t="shared" si="255"/>
        <v>FOR</v>
      </c>
      <c r="AY3016" t="s">
        <v>55</v>
      </c>
    </row>
    <row r="3017" spans="1:51" hidden="1">
      <c r="A3017">
        <v>100987</v>
      </c>
      <c r="B3017" t="s">
        <v>383</v>
      </c>
      <c r="C3017" t="str">
        <f t="shared" si="256"/>
        <v>01147640625</v>
      </c>
      <c r="D3017" t="str">
        <f t="shared" si="256"/>
        <v>01147640625</v>
      </c>
      <c r="E3017" t="s">
        <v>52</v>
      </c>
      <c r="F3017">
        <v>2015</v>
      </c>
      <c r="G3017" t="s">
        <v>407</v>
      </c>
      <c r="H3017" s="1">
        <v>42012</v>
      </c>
      <c r="I3017" s="1">
        <v>42025</v>
      </c>
      <c r="J3017" s="1">
        <v>42025</v>
      </c>
      <c r="K3017" s="1">
        <v>42085</v>
      </c>
      <c r="N3017" s="5"/>
      <c r="O3017">
        <v>6.56</v>
      </c>
      <c r="P3017">
        <v>38</v>
      </c>
      <c r="Q3017">
        <v>249.28</v>
      </c>
      <c r="R3017">
        <v>1.44</v>
      </c>
      <c r="V3017">
        <v>0</v>
      </c>
      <c r="W3017">
        <v>0</v>
      </c>
      <c r="X3017">
        <v>0</v>
      </c>
      <c r="Y3017">
        <v>8</v>
      </c>
      <c r="Z3017">
        <v>8</v>
      </c>
      <c r="AA3017">
        <v>8</v>
      </c>
      <c r="AB3017" s="1">
        <v>42382</v>
      </c>
      <c r="AC3017" t="s">
        <v>53</v>
      </c>
      <c r="AD3017" t="s">
        <v>53</v>
      </c>
      <c r="AK3017">
        <v>1.44</v>
      </c>
      <c r="AU3017" s="6">
        <v>42123</v>
      </c>
      <c r="AV3017" s="6">
        <v>42123</v>
      </c>
      <c r="AW3017" t="s">
        <v>54</v>
      </c>
      <c r="AX3017" t="str">
        <f t="shared" si="255"/>
        <v>FOR</v>
      </c>
      <c r="AY3017" t="s">
        <v>55</v>
      </c>
    </row>
    <row r="3018" spans="1:51" hidden="1">
      <c r="A3018">
        <v>100987</v>
      </c>
      <c r="B3018" t="s">
        <v>383</v>
      </c>
      <c r="C3018" t="str">
        <f t="shared" si="256"/>
        <v>01147640625</v>
      </c>
      <c r="D3018" t="str">
        <f t="shared" si="256"/>
        <v>01147640625</v>
      </c>
      <c r="E3018" t="s">
        <v>52</v>
      </c>
      <c r="F3018">
        <v>2015</v>
      </c>
      <c r="G3018" t="s">
        <v>408</v>
      </c>
      <c r="H3018" s="1">
        <v>42013</v>
      </c>
      <c r="I3018" s="1">
        <v>42025</v>
      </c>
      <c r="J3018" s="1">
        <v>42025</v>
      </c>
      <c r="K3018" s="1">
        <v>42085</v>
      </c>
      <c r="N3018" s="5"/>
      <c r="O3018">
        <v>9.84</v>
      </c>
      <c r="P3018">
        <v>38</v>
      </c>
      <c r="Q3018">
        <v>373.92</v>
      </c>
      <c r="R3018">
        <v>2.16</v>
      </c>
      <c r="V3018">
        <v>0</v>
      </c>
      <c r="W3018">
        <v>0</v>
      </c>
      <c r="X3018">
        <v>0</v>
      </c>
      <c r="Y3018">
        <v>12</v>
      </c>
      <c r="Z3018">
        <v>12</v>
      </c>
      <c r="AA3018">
        <v>12</v>
      </c>
      <c r="AB3018" s="1">
        <v>42382</v>
      </c>
      <c r="AC3018" t="s">
        <v>53</v>
      </c>
      <c r="AD3018" t="s">
        <v>53</v>
      </c>
      <c r="AK3018">
        <v>2.16</v>
      </c>
      <c r="AU3018" s="6">
        <v>42123</v>
      </c>
      <c r="AV3018" s="6">
        <v>42123</v>
      </c>
      <c r="AW3018" t="s">
        <v>54</v>
      </c>
      <c r="AX3018" t="str">
        <f t="shared" si="255"/>
        <v>FOR</v>
      </c>
      <c r="AY3018" t="s">
        <v>55</v>
      </c>
    </row>
    <row r="3019" spans="1:51" hidden="1">
      <c r="A3019">
        <v>100987</v>
      </c>
      <c r="B3019" t="s">
        <v>383</v>
      </c>
      <c r="C3019" t="str">
        <f t="shared" si="256"/>
        <v>01147640625</v>
      </c>
      <c r="D3019" t="str">
        <f t="shared" si="256"/>
        <v>01147640625</v>
      </c>
      <c r="E3019" t="s">
        <v>52</v>
      </c>
      <c r="F3019">
        <v>2015</v>
      </c>
      <c r="G3019" t="s">
        <v>409</v>
      </c>
      <c r="H3019" s="1">
        <v>42018</v>
      </c>
      <c r="I3019" s="1">
        <v>42025</v>
      </c>
      <c r="J3019" s="1">
        <v>42025</v>
      </c>
      <c r="K3019" s="1">
        <v>42085</v>
      </c>
      <c r="N3019" s="5"/>
      <c r="O3019">
        <v>81.97</v>
      </c>
      <c r="P3019">
        <v>38</v>
      </c>
      <c r="Q3019" s="2">
        <v>3114.86</v>
      </c>
      <c r="R3019">
        <v>18.03</v>
      </c>
      <c r="V3019">
        <v>0</v>
      </c>
      <c r="W3019">
        <v>0</v>
      </c>
      <c r="X3019">
        <v>0</v>
      </c>
      <c r="Y3019">
        <v>100</v>
      </c>
      <c r="Z3019">
        <v>100</v>
      </c>
      <c r="AA3019">
        <v>100</v>
      </c>
      <c r="AB3019" s="1">
        <v>42382</v>
      </c>
      <c r="AC3019" t="s">
        <v>53</v>
      </c>
      <c r="AD3019" t="s">
        <v>53</v>
      </c>
      <c r="AK3019">
        <v>18.03</v>
      </c>
      <c r="AU3019" s="6">
        <v>42123</v>
      </c>
      <c r="AV3019" s="6">
        <v>42123</v>
      </c>
      <c r="AW3019" t="s">
        <v>54</v>
      </c>
      <c r="AX3019" t="str">
        <f t="shared" si="255"/>
        <v>FOR</v>
      </c>
      <c r="AY3019" t="s">
        <v>55</v>
      </c>
    </row>
    <row r="3020" spans="1:51" hidden="1">
      <c r="A3020">
        <v>100987</v>
      </c>
      <c r="B3020" t="s">
        <v>383</v>
      </c>
      <c r="C3020" t="str">
        <f t="shared" si="256"/>
        <v>01147640625</v>
      </c>
      <c r="D3020" t="str">
        <f t="shared" si="256"/>
        <v>01147640625</v>
      </c>
      <c r="E3020" t="s">
        <v>52</v>
      </c>
      <c r="F3020">
        <v>2015</v>
      </c>
      <c r="G3020" t="s">
        <v>410</v>
      </c>
      <c r="H3020" s="1">
        <v>42019</v>
      </c>
      <c r="I3020" s="1">
        <v>42030</v>
      </c>
      <c r="J3020" s="1">
        <v>42030</v>
      </c>
      <c r="K3020" s="1">
        <v>42090</v>
      </c>
      <c r="N3020" s="5"/>
      <c r="O3020">
        <v>75.41</v>
      </c>
      <c r="P3020">
        <v>33</v>
      </c>
      <c r="Q3020" s="2">
        <v>2488.5300000000002</v>
      </c>
      <c r="R3020">
        <v>16.59</v>
      </c>
      <c r="V3020">
        <v>0</v>
      </c>
      <c r="W3020">
        <v>0</v>
      </c>
      <c r="X3020">
        <v>0</v>
      </c>
      <c r="Y3020">
        <v>92</v>
      </c>
      <c r="Z3020">
        <v>92</v>
      </c>
      <c r="AA3020">
        <v>92</v>
      </c>
      <c r="AB3020" s="1">
        <v>42382</v>
      </c>
      <c r="AC3020" t="s">
        <v>53</v>
      </c>
      <c r="AD3020" t="s">
        <v>53</v>
      </c>
      <c r="AK3020">
        <v>16.59</v>
      </c>
      <c r="AU3020" s="6">
        <v>42123</v>
      </c>
      <c r="AV3020" s="6">
        <v>42123</v>
      </c>
      <c r="AW3020" t="s">
        <v>54</v>
      </c>
      <c r="AX3020" t="str">
        <f t="shared" si="255"/>
        <v>FOR</v>
      </c>
      <c r="AY3020" t="s">
        <v>55</v>
      </c>
    </row>
    <row r="3021" spans="1:51" hidden="1">
      <c r="A3021">
        <v>100987</v>
      </c>
      <c r="B3021" t="s">
        <v>383</v>
      </c>
      <c r="C3021" t="str">
        <f t="shared" si="256"/>
        <v>01147640625</v>
      </c>
      <c r="D3021" t="str">
        <f t="shared" si="256"/>
        <v>01147640625</v>
      </c>
      <c r="E3021" t="s">
        <v>52</v>
      </c>
      <c r="F3021">
        <v>2015</v>
      </c>
      <c r="G3021" t="s">
        <v>411</v>
      </c>
      <c r="H3021" s="1">
        <v>42020</v>
      </c>
      <c r="I3021" s="1">
        <v>42025</v>
      </c>
      <c r="J3021" s="1">
        <v>42025</v>
      </c>
      <c r="K3021" s="1">
        <v>42085</v>
      </c>
      <c r="N3021" s="5"/>
      <c r="O3021">
        <v>557.03</v>
      </c>
      <c r="P3021">
        <v>38</v>
      </c>
      <c r="Q3021" s="2">
        <v>21167.14</v>
      </c>
      <c r="R3021">
        <v>122.55</v>
      </c>
      <c r="V3021">
        <v>0</v>
      </c>
      <c r="W3021">
        <v>0</v>
      </c>
      <c r="X3021">
        <v>0</v>
      </c>
      <c r="Y3021">
        <v>679.58</v>
      </c>
      <c r="Z3021">
        <v>679.58</v>
      </c>
      <c r="AA3021">
        <v>679.58</v>
      </c>
      <c r="AB3021" s="1">
        <v>42382</v>
      </c>
      <c r="AC3021" t="s">
        <v>53</v>
      </c>
      <c r="AD3021" t="s">
        <v>53</v>
      </c>
      <c r="AK3021">
        <v>122.55</v>
      </c>
      <c r="AU3021" s="6">
        <v>42123</v>
      </c>
      <c r="AV3021" s="6">
        <v>42123</v>
      </c>
      <c r="AW3021" t="s">
        <v>54</v>
      </c>
      <c r="AX3021" t="str">
        <f t="shared" si="255"/>
        <v>FOR</v>
      </c>
      <c r="AY3021" t="s">
        <v>55</v>
      </c>
    </row>
    <row r="3022" spans="1:51" hidden="1">
      <c r="A3022">
        <v>100987</v>
      </c>
      <c r="B3022" t="s">
        <v>383</v>
      </c>
      <c r="C3022" t="str">
        <f t="shared" si="256"/>
        <v>01147640625</v>
      </c>
      <c r="D3022" t="str">
        <f t="shared" si="256"/>
        <v>01147640625</v>
      </c>
      <c r="E3022" t="s">
        <v>52</v>
      </c>
      <c r="F3022">
        <v>2015</v>
      </c>
      <c r="G3022" t="s">
        <v>412</v>
      </c>
      <c r="H3022" s="1">
        <v>42027</v>
      </c>
      <c r="I3022" s="1">
        <v>42030</v>
      </c>
      <c r="J3022" s="1">
        <v>42030</v>
      </c>
      <c r="K3022" s="1">
        <v>42090</v>
      </c>
      <c r="N3022" s="5"/>
      <c r="O3022">
        <v>22.13</v>
      </c>
      <c r="P3022">
        <v>33</v>
      </c>
      <c r="Q3022">
        <v>730.29</v>
      </c>
      <c r="R3022">
        <v>4.87</v>
      </c>
      <c r="V3022">
        <v>0</v>
      </c>
      <c r="W3022">
        <v>0</v>
      </c>
      <c r="X3022">
        <v>0</v>
      </c>
      <c r="Y3022">
        <v>27</v>
      </c>
      <c r="Z3022">
        <v>27</v>
      </c>
      <c r="AA3022">
        <v>27</v>
      </c>
      <c r="AB3022" s="1">
        <v>42382</v>
      </c>
      <c r="AC3022" t="s">
        <v>53</v>
      </c>
      <c r="AD3022" t="s">
        <v>53</v>
      </c>
      <c r="AK3022">
        <v>4.87</v>
      </c>
      <c r="AU3022" s="6">
        <v>42123</v>
      </c>
      <c r="AV3022" s="6">
        <v>42123</v>
      </c>
      <c r="AW3022" t="s">
        <v>54</v>
      </c>
      <c r="AX3022" t="str">
        <f t="shared" si="255"/>
        <v>FOR</v>
      </c>
      <c r="AY3022" t="s">
        <v>55</v>
      </c>
    </row>
    <row r="3023" spans="1:51" hidden="1">
      <c r="A3023">
        <v>100987</v>
      </c>
      <c r="B3023" t="s">
        <v>383</v>
      </c>
      <c r="C3023" t="str">
        <f t="shared" si="256"/>
        <v>01147640625</v>
      </c>
      <c r="D3023" t="str">
        <f t="shared" si="256"/>
        <v>01147640625</v>
      </c>
      <c r="E3023" t="s">
        <v>52</v>
      </c>
      <c r="F3023">
        <v>2015</v>
      </c>
      <c r="G3023" t="s">
        <v>413</v>
      </c>
      <c r="H3023" s="1">
        <v>42030</v>
      </c>
      <c r="I3023" s="1">
        <v>42059</v>
      </c>
      <c r="J3023" s="1">
        <v>42059</v>
      </c>
      <c r="K3023" s="1">
        <v>42119</v>
      </c>
      <c r="N3023" s="5"/>
      <c r="O3023">
        <v>369.46</v>
      </c>
      <c r="P3023">
        <v>4</v>
      </c>
      <c r="Q3023" s="2">
        <v>1477.84</v>
      </c>
      <c r="R3023">
        <v>81.28</v>
      </c>
      <c r="V3023">
        <v>0</v>
      </c>
      <c r="W3023">
        <v>0</v>
      </c>
      <c r="X3023">
        <v>0</v>
      </c>
      <c r="Y3023">
        <v>450.74</v>
      </c>
      <c r="Z3023">
        <v>450.74</v>
      </c>
      <c r="AA3023">
        <v>450.74</v>
      </c>
      <c r="AB3023" s="1">
        <v>42382</v>
      </c>
      <c r="AC3023" t="s">
        <v>53</v>
      </c>
      <c r="AD3023" t="s">
        <v>53</v>
      </c>
      <c r="AK3023">
        <v>81.28</v>
      </c>
      <c r="AU3023" s="6">
        <v>42123</v>
      </c>
      <c r="AV3023" s="6">
        <v>42123</v>
      </c>
      <c r="AW3023" t="s">
        <v>54</v>
      </c>
      <c r="AX3023" t="str">
        <f t="shared" si="255"/>
        <v>FOR</v>
      </c>
      <c r="AY3023" t="s">
        <v>55</v>
      </c>
    </row>
    <row r="3024" spans="1:51" hidden="1">
      <c r="A3024">
        <v>100987</v>
      </c>
      <c r="B3024" t="s">
        <v>383</v>
      </c>
      <c r="C3024" t="str">
        <f t="shared" si="256"/>
        <v>01147640625</v>
      </c>
      <c r="D3024" t="str">
        <f t="shared" si="256"/>
        <v>01147640625</v>
      </c>
      <c r="E3024" t="s">
        <v>52</v>
      </c>
      <c r="F3024">
        <v>2015</v>
      </c>
      <c r="G3024" t="s">
        <v>414</v>
      </c>
      <c r="H3024" s="1">
        <v>42031</v>
      </c>
      <c r="I3024" s="1">
        <v>42033</v>
      </c>
      <c r="J3024" s="1">
        <v>42033</v>
      </c>
      <c r="K3024" s="1">
        <v>42093</v>
      </c>
      <c r="N3024" s="5"/>
      <c r="O3024">
        <v>36.89</v>
      </c>
      <c r="P3024">
        <v>30</v>
      </c>
      <c r="Q3024" s="2">
        <v>1106.7</v>
      </c>
      <c r="R3024">
        <v>8.11</v>
      </c>
      <c r="V3024">
        <v>0</v>
      </c>
      <c r="W3024">
        <v>0</v>
      </c>
      <c r="X3024">
        <v>0</v>
      </c>
      <c r="Y3024">
        <v>45</v>
      </c>
      <c r="Z3024">
        <v>45</v>
      </c>
      <c r="AA3024">
        <v>45</v>
      </c>
      <c r="AB3024" s="1">
        <v>42382</v>
      </c>
      <c r="AC3024" t="s">
        <v>53</v>
      </c>
      <c r="AD3024" t="s">
        <v>53</v>
      </c>
      <c r="AK3024">
        <v>8.11</v>
      </c>
      <c r="AU3024" s="6">
        <v>42123</v>
      </c>
      <c r="AV3024" s="6">
        <v>42123</v>
      </c>
      <c r="AW3024" t="s">
        <v>54</v>
      </c>
      <c r="AX3024" t="str">
        <f t="shared" si="255"/>
        <v>FOR</v>
      </c>
      <c r="AY3024" t="s">
        <v>55</v>
      </c>
    </row>
    <row r="3025" spans="1:51" hidden="1">
      <c r="A3025">
        <v>100987</v>
      </c>
      <c r="B3025" t="s">
        <v>383</v>
      </c>
      <c r="C3025" t="str">
        <f t="shared" si="256"/>
        <v>01147640625</v>
      </c>
      <c r="D3025" t="str">
        <f t="shared" si="256"/>
        <v>01147640625</v>
      </c>
      <c r="E3025" t="s">
        <v>52</v>
      </c>
      <c r="F3025">
        <v>2015</v>
      </c>
      <c r="G3025" t="s">
        <v>415</v>
      </c>
      <c r="H3025" s="1">
        <v>42037</v>
      </c>
      <c r="I3025" s="1">
        <v>42038</v>
      </c>
      <c r="J3025" s="1">
        <v>42038</v>
      </c>
      <c r="K3025" s="1">
        <v>42098</v>
      </c>
      <c r="N3025" s="5"/>
      <c r="O3025">
        <v>348.15</v>
      </c>
      <c r="P3025">
        <v>25</v>
      </c>
      <c r="Q3025" s="2">
        <v>8703.75</v>
      </c>
      <c r="R3025">
        <v>76.59</v>
      </c>
      <c r="V3025">
        <v>0</v>
      </c>
      <c r="W3025">
        <v>0</v>
      </c>
      <c r="X3025">
        <v>0</v>
      </c>
      <c r="Y3025">
        <v>424.74</v>
      </c>
      <c r="Z3025">
        <v>424.74</v>
      </c>
      <c r="AA3025">
        <v>424.74</v>
      </c>
      <c r="AB3025" s="1">
        <v>42382</v>
      </c>
      <c r="AC3025" t="s">
        <v>53</v>
      </c>
      <c r="AD3025" t="s">
        <v>53</v>
      </c>
      <c r="AK3025">
        <v>76.59</v>
      </c>
      <c r="AU3025" s="6">
        <v>42123</v>
      </c>
      <c r="AV3025" s="6">
        <v>42123</v>
      </c>
      <c r="AW3025" t="s">
        <v>54</v>
      </c>
      <c r="AX3025" t="str">
        <f t="shared" si="255"/>
        <v>FOR</v>
      </c>
      <c r="AY3025" t="s">
        <v>55</v>
      </c>
    </row>
    <row r="3026" spans="1:51" hidden="1">
      <c r="A3026">
        <v>100987</v>
      </c>
      <c r="B3026" t="s">
        <v>383</v>
      </c>
      <c r="C3026" t="str">
        <f t="shared" si="256"/>
        <v>01147640625</v>
      </c>
      <c r="D3026" t="str">
        <f t="shared" si="256"/>
        <v>01147640625</v>
      </c>
      <c r="E3026" t="s">
        <v>52</v>
      </c>
      <c r="F3026">
        <v>2015</v>
      </c>
      <c r="G3026" t="s">
        <v>416</v>
      </c>
      <c r="H3026" s="1">
        <v>42041</v>
      </c>
      <c r="I3026" s="1">
        <v>42048</v>
      </c>
      <c r="J3026" s="1">
        <v>42048</v>
      </c>
      <c r="K3026" s="1">
        <v>42108</v>
      </c>
      <c r="N3026" s="5"/>
      <c r="O3026">
        <v>159.84</v>
      </c>
      <c r="P3026">
        <v>15</v>
      </c>
      <c r="Q3026" s="2">
        <v>2397.6</v>
      </c>
      <c r="R3026">
        <v>35.159999999999997</v>
      </c>
      <c r="V3026">
        <v>0</v>
      </c>
      <c r="W3026">
        <v>0</v>
      </c>
      <c r="X3026">
        <v>0</v>
      </c>
      <c r="Y3026">
        <v>195</v>
      </c>
      <c r="Z3026">
        <v>195</v>
      </c>
      <c r="AA3026">
        <v>195</v>
      </c>
      <c r="AB3026" s="1">
        <v>42382</v>
      </c>
      <c r="AC3026" t="s">
        <v>53</v>
      </c>
      <c r="AD3026" t="s">
        <v>53</v>
      </c>
      <c r="AK3026">
        <v>35.159999999999997</v>
      </c>
      <c r="AU3026" s="6">
        <v>42123</v>
      </c>
      <c r="AV3026" s="6">
        <v>42123</v>
      </c>
      <c r="AW3026" t="s">
        <v>54</v>
      </c>
      <c r="AX3026" t="str">
        <f t="shared" si="255"/>
        <v>FOR</v>
      </c>
      <c r="AY3026" t="s">
        <v>55</v>
      </c>
    </row>
    <row r="3027" spans="1:51" hidden="1">
      <c r="A3027">
        <v>100987</v>
      </c>
      <c r="B3027" t="s">
        <v>383</v>
      </c>
      <c r="C3027" t="str">
        <f t="shared" si="256"/>
        <v>01147640625</v>
      </c>
      <c r="D3027" t="str">
        <f t="shared" si="256"/>
        <v>01147640625</v>
      </c>
      <c r="E3027" t="s">
        <v>52</v>
      </c>
      <c r="F3027">
        <v>2015</v>
      </c>
      <c r="G3027" t="s">
        <v>417</v>
      </c>
      <c r="H3027" s="1">
        <v>42044</v>
      </c>
      <c r="I3027" s="1">
        <v>42048</v>
      </c>
      <c r="J3027" s="1">
        <v>42048</v>
      </c>
      <c r="K3027" s="1">
        <v>42108</v>
      </c>
      <c r="N3027" s="5"/>
      <c r="O3027">
        <v>232.05</v>
      </c>
      <c r="P3027">
        <v>15</v>
      </c>
      <c r="Q3027" s="2">
        <v>3480.75</v>
      </c>
      <c r="R3027">
        <v>51.05</v>
      </c>
      <c r="V3027">
        <v>0</v>
      </c>
      <c r="W3027">
        <v>0</v>
      </c>
      <c r="X3027">
        <v>0</v>
      </c>
      <c r="Y3027">
        <v>283.10000000000002</v>
      </c>
      <c r="Z3027">
        <v>283.10000000000002</v>
      </c>
      <c r="AA3027">
        <v>283.10000000000002</v>
      </c>
      <c r="AB3027" s="1">
        <v>42382</v>
      </c>
      <c r="AC3027" t="s">
        <v>53</v>
      </c>
      <c r="AD3027" t="s">
        <v>53</v>
      </c>
      <c r="AK3027">
        <v>51.05</v>
      </c>
      <c r="AU3027" s="6">
        <v>42123</v>
      </c>
      <c r="AV3027" s="6">
        <v>42123</v>
      </c>
      <c r="AW3027" t="s">
        <v>54</v>
      </c>
      <c r="AX3027" t="str">
        <f t="shared" si="255"/>
        <v>FOR</v>
      </c>
      <c r="AY3027" t="s">
        <v>55</v>
      </c>
    </row>
    <row r="3028" spans="1:51" hidden="1">
      <c r="A3028">
        <v>100987</v>
      </c>
      <c r="B3028" t="s">
        <v>383</v>
      </c>
      <c r="C3028" t="str">
        <f t="shared" si="256"/>
        <v>01147640625</v>
      </c>
      <c r="D3028" t="str">
        <f t="shared" si="256"/>
        <v>01147640625</v>
      </c>
      <c r="E3028" t="s">
        <v>52</v>
      </c>
      <c r="F3028">
        <v>2015</v>
      </c>
      <c r="G3028" t="s">
        <v>75</v>
      </c>
      <c r="H3028" s="1">
        <v>42055</v>
      </c>
      <c r="I3028" s="1">
        <v>42066</v>
      </c>
      <c r="J3028" s="1">
        <v>42066</v>
      </c>
      <c r="K3028" s="1">
        <v>42126</v>
      </c>
      <c r="N3028" s="5"/>
      <c r="O3028">
        <v>77.87</v>
      </c>
      <c r="P3028">
        <v>-3</v>
      </c>
      <c r="Q3028">
        <v>-233.61</v>
      </c>
      <c r="R3028">
        <v>17.13</v>
      </c>
      <c r="V3028">
        <v>0</v>
      </c>
      <c r="W3028">
        <v>0</v>
      </c>
      <c r="X3028">
        <v>0</v>
      </c>
      <c r="Y3028">
        <v>95</v>
      </c>
      <c r="Z3028">
        <v>95</v>
      </c>
      <c r="AA3028">
        <v>95</v>
      </c>
      <c r="AB3028" s="1">
        <v>42382</v>
      </c>
      <c r="AC3028" t="s">
        <v>53</v>
      </c>
      <c r="AD3028" t="s">
        <v>53</v>
      </c>
      <c r="AK3028">
        <v>17.13</v>
      </c>
      <c r="AU3028" s="6">
        <v>42123</v>
      </c>
      <c r="AV3028" s="6">
        <v>42123</v>
      </c>
      <c r="AW3028" t="s">
        <v>54</v>
      </c>
      <c r="AX3028" t="str">
        <f t="shared" si="255"/>
        <v>FOR</v>
      </c>
      <c r="AY3028" t="s">
        <v>55</v>
      </c>
    </row>
    <row r="3029" spans="1:51" hidden="1">
      <c r="A3029">
        <v>100987</v>
      </c>
      <c r="B3029" t="s">
        <v>383</v>
      </c>
      <c r="C3029" t="str">
        <f t="shared" si="256"/>
        <v>01147640625</v>
      </c>
      <c r="D3029" t="str">
        <f t="shared" si="256"/>
        <v>01147640625</v>
      </c>
      <c r="E3029" t="s">
        <v>52</v>
      </c>
      <c r="F3029">
        <v>2015</v>
      </c>
      <c r="G3029" t="s">
        <v>418</v>
      </c>
      <c r="H3029" s="1">
        <v>42061</v>
      </c>
      <c r="I3029" s="1">
        <v>42072</v>
      </c>
      <c r="J3029" s="1">
        <v>42072</v>
      </c>
      <c r="K3029" s="1">
        <v>42132</v>
      </c>
      <c r="N3029" s="5"/>
      <c r="O3029">
        <v>75</v>
      </c>
      <c r="P3029">
        <v>-9</v>
      </c>
      <c r="Q3029">
        <v>-675</v>
      </c>
      <c r="R3029">
        <v>16.5</v>
      </c>
      <c r="V3029">
        <v>0</v>
      </c>
      <c r="W3029">
        <v>0</v>
      </c>
      <c r="X3029">
        <v>0</v>
      </c>
      <c r="Y3029">
        <v>91.5</v>
      </c>
      <c r="Z3029">
        <v>91.5</v>
      </c>
      <c r="AA3029">
        <v>91.5</v>
      </c>
      <c r="AB3029" s="1">
        <v>42382</v>
      </c>
      <c r="AC3029" t="s">
        <v>53</v>
      </c>
      <c r="AD3029" t="s">
        <v>53</v>
      </c>
      <c r="AK3029">
        <v>16.5</v>
      </c>
      <c r="AU3029" s="6">
        <v>42123</v>
      </c>
      <c r="AV3029" s="6">
        <v>42123</v>
      </c>
      <c r="AW3029" t="s">
        <v>54</v>
      </c>
      <c r="AX3029" t="str">
        <f t="shared" si="255"/>
        <v>FOR</v>
      </c>
      <c r="AY3029" t="s">
        <v>55</v>
      </c>
    </row>
    <row r="3030" spans="1:51" hidden="1">
      <c r="A3030">
        <v>100987</v>
      </c>
      <c r="B3030" t="s">
        <v>383</v>
      </c>
      <c r="C3030" t="str">
        <f t="shared" si="256"/>
        <v>01147640625</v>
      </c>
      <c r="D3030" t="str">
        <f t="shared" si="256"/>
        <v>01147640625</v>
      </c>
      <c r="E3030" t="s">
        <v>52</v>
      </c>
      <c r="F3030">
        <v>2015</v>
      </c>
      <c r="G3030" t="s">
        <v>419</v>
      </c>
      <c r="H3030" s="1">
        <v>42063</v>
      </c>
      <c r="I3030" s="1">
        <v>42066</v>
      </c>
      <c r="J3030" s="1">
        <v>42066</v>
      </c>
      <c r="K3030" s="1">
        <v>42126</v>
      </c>
      <c r="N3030" s="5"/>
      <c r="O3030">
        <v>14.34</v>
      </c>
      <c r="P3030">
        <v>-3</v>
      </c>
      <c r="Q3030">
        <v>-43.02</v>
      </c>
      <c r="R3030">
        <v>3.16</v>
      </c>
      <c r="V3030">
        <v>0</v>
      </c>
      <c r="W3030">
        <v>0</v>
      </c>
      <c r="X3030">
        <v>0</v>
      </c>
      <c r="Y3030">
        <v>17.5</v>
      </c>
      <c r="Z3030">
        <v>17.5</v>
      </c>
      <c r="AA3030">
        <v>17.5</v>
      </c>
      <c r="AB3030" s="1">
        <v>42382</v>
      </c>
      <c r="AC3030" t="s">
        <v>53</v>
      </c>
      <c r="AD3030" t="s">
        <v>53</v>
      </c>
      <c r="AK3030">
        <v>3.16</v>
      </c>
      <c r="AU3030" s="6">
        <v>42123</v>
      </c>
      <c r="AV3030" s="6">
        <v>42123</v>
      </c>
      <c r="AW3030" t="s">
        <v>54</v>
      </c>
      <c r="AX3030" t="str">
        <f t="shared" si="255"/>
        <v>FOR</v>
      </c>
      <c r="AY3030" t="s">
        <v>55</v>
      </c>
    </row>
    <row r="3031" spans="1:51" hidden="1">
      <c r="A3031">
        <v>100987</v>
      </c>
      <c r="B3031" t="s">
        <v>383</v>
      </c>
      <c r="C3031" t="str">
        <f t="shared" si="256"/>
        <v>01147640625</v>
      </c>
      <c r="D3031" t="str">
        <f t="shared" si="256"/>
        <v>01147640625</v>
      </c>
      <c r="E3031" t="s">
        <v>52</v>
      </c>
      <c r="F3031">
        <v>2015</v>
      </c>
      <c r="G3031" t="s">
        <v>420</v>
      </c>
      <c r="H3031" s="1">
        <v>42067</v>
      </c>
      <c r="I3031" s="1">
        <v>42067</v>
      </c>
      <c r="J3031" s="1">
        <v>42067</v>
      </c>
      <c r="K3031" s="1">
        <v>42127</v>
      </c>
      <c r="N3031" s="5"/>
      <c r="O3031">
        <v>12.3</v>
      </c>
      <c r="P3031">
        <v>-4</v>
      </c>
      <c r="Q3031">
        <v>-49.2</v>
      </c>
      <c r="R3031">
        <v>2.7</v>
      </c>
      <c r="V3031">
        <v>0</v>
      </c>
      <c r="W3031">
        <v>0</v>
      </c>
      <c r="X3031">
        <v>0</v>
      </c>
      <c r="Y3031">
        <v>15</v>
      </c>
      <c r="Z3031">
        <v>15</v>
      </c>
      <c r="AA3031">
        <v>15</v>
      </c>
      <c r="AB3031" s="1">
        <v>42382</v>
      </c>
      <c r="AC3031" t="s">
        <v>53</v>
      </c>
      <c r="AD3031" t="s">
        <v>53</v>
      </c>
      <c r="AK3031">
        <v>2.7</v>
      </c>
      <c r="AU3031" s="6">
        <v>42123</v>
      </c>
      <c r="AV3031" s="6">
        <v>42123</v>
      </c>
      <c r="AW3031" t="s">
        <v>54</v>
      </c>
      <c r="AX3031" t="str">
        <f t="shared" si="255"/>
        <v>FOR</v>
      </c>
      <c r="AY3031" t="s">
        <v>55</v>
      </c>
    </row>
    <row r="3032" spans="1:51" hidden="1">
      <c r="A3032">
        <v>100987</v>
      </c>
      <c r="B3032" t="s">
        <v>383</v>
      </c>
      <c r="C3032" t="str">
        <f t="shared" si="256"/>
        <v>01147640625</v>
      </c>
      <c r="D3032" t="str">
        <f t="shared" si="256"/>
        <v>01147640625</v>
      </c>
      <c r="E3032" t="s">
        <v>52</v>
      </c>
      <c r="F3032">
        <v>2015</v>
      </c>
      <c r="G3032" t="s">
        <v>421</v>
      </c>
      <c r="H3032" s="1">
        <v>42086</v>
      </c>
      <c r="I3032" s="1">
        <v>42095</v>
      </c>
      <c r="J3032" s="1">
        <v>42095</v>
      </c>
      <c r="K3032" s="1">
        <v>42155</v>
      </c>
      <c r="N3032" s="5"/>
      <c r="O3032">
        <v>134.85</v>
      </c>
      <c r="P3032">
        <v>-32</v>
      </c>
      <c r="Q3032" s="2">
        <v>-4315.2</v>
      </c>
      <c r="R3032">
        <v>29.67</v>
      </c>
      <c r="V3032">
        <v>0</v>
      </c>
      <c r="W3032">
        <v>0</v>
      </c>
      <c r="X3032">
        <v>0</v>
      </c>
      <c r="Y3032">
        <v>164.52</v>
      </c>
      <c r="Z3032">
        <v>164.52</v>
      </c>
      <c r="AA3032">
        <v>164.52</v>
      </c>
      <c r="AB3032" s="1">
        <v>42382</v>
      </c>
      <c r="AC3032" t="s">
        <v>53</v>
      </c>
      <c r="AD3032" t="s">
        <v>53</v>
      </c>
      <c r="AK3032">
        <v>29.67</v>
      </c>
      <c r="AU3032" s="6">
        <v>42123</v>
      </c>
      <c r="AV3032" s="6">
        <v>42123</v>
      </c>
      <c r="AW3032" t="s">
        <v>54</v>
      </c>
      <c r="AX3032" t="str">
        <f t="shared" si="255"/>
        <v>FOR</v>
      </c>
      <c r="AY3032" t="s">
        <v>55</v>
      </c>
    </row>
    <row r="3033" spans="1:51" hidden="1">
      <c r="A3033">
        <v>100987</v>
      </c>
      <c r="B3033" t="s">
        <v>383</v>
      </c>
      <c r="C3033" t="str">
        <f t="shared" si="256"/>
        <v>01147640625</v>
      </c>
      <c r="D3033" t="str">
        <f t="shared" si="256"/>
        <v>01147640625</v>
      </c>
      <c r="E3033" t="s">
        <v>52</v>
      </c>
      <c r="F3033">
        <v>2015</v>
      </c>
      <c r="G3033" t="s">
        <v>422</v>
      </c>
      <c r="H3033" s="1">
        <v>42110</v>
      </c>
      <c r="I3033" s="1">
        <v>42116</v>
      </c>
      <c r="J3033" s="1">
        <v>42110</v>
      </c>
      <c r="K3033" s="1">
        <v>42170</v>
      </c>
      <c r="N3033" s="5"/>
      <c r="O3033">
        <v>45.08</v>
      </c>
      <c r="P3033">
        <v>14</v>
      </c>
      <c r="Q3033">
        <v>631.12</v>
      </c>
      <c r="R3033">
        <v>9.92</v>
      </c>
      <c r="V3033">
        <v>0</v>
      </c>
      <c r="W3033">
        <v>0</v>
      </c>
      <c r="X3033">
        <v>0</v>
      </c>
      <c r="Y3033">
        <v>55</v>
      </c>
      <c r="Z3033">
        <v>55</v>
      </c>
      <c r="AA3033">
        <v>55</v>
      </c>
      <c r="AB3033" s="1">
        <v>42382</v>
      </c>
      <c r="AC3033" t="s">
        <v>53</v>
      </c>
      <c r="AD3033" t="s">
        <v>53</v>
      </c>
      <c r="AK3033">
        <v>9.92</v>
      </c>
      <c r="AU3033" s="6">
        <v>42184</v>
      </c>
      <c r="AV3033" s="6">
        <v>42184</v>
      </c>
      <c r="AW3033" t="s">
        <v>54</v>
      </c>
      <c r="AX3033" t="str">
        <f t="shared" si="255"/>
        <v>FOR</v>
      </c>
      <c r="AY3033" t="s">
        <v>55</v>
      </c>
    </row>
    <row r="3034" spans="1:51" hidden="1">
      <c r="A3034">
        <v>100987</v>
      </c>
      <c r="B3034" t="s">
        <v>383</v>
      </c>
      <c r="C3034" t="str">
        <f t="shared" ref="C3034:D3041" si="257">"01147640625"</f>
        <v>01147640625</v>
      </c>
      <c r="D3034" t="str">
        <f t="shared" si="257"/>
        <v>01147640625</v>
      </c>
      <c r="E3034" t="s">
        <v>52</v>
      </c>
      <c r="F3034">
        <v>2015</v>
      </c>
      <c r="G3034" t="s">
        <v>423</v>
      </c>
      <c r="H3034" s="1">
        <v>42110</v>
      </c>
      <c r="I3034" s="1">
        <v>42116</v>
      </c>
      <c r="J3034" s="1">
        <v>42110</v>
      </c>
      <c r="K3034" s="1">
        <v>42170</v>
      </c>
      <c r="N3034" s="5"/>
      <c r="O3034">
        <v>132.38</v>
      </c>
      <c r="P3034">
        <v>14</v>
      </c>
      <c r="Q3034" s="2">
        <v>1853.32</v>
      </c>
      <c r="R3034">
        <v>29.12</v>
      </c>
      <c r="V3034">
        <v>0</v>
      </c>
      <c r="W3034">
        <v>0</v>
      </c>
      <c r="X3034">
        <v>0</v>
      </c>
      <c r="Y3034">
        <v>161.5</v>
      </c>
      <c r="Z3034">
        <v>161.5</v>
      </c>
      <c r="AA3034">
        <v>161.5</v>
      </c>
      <c r="AB3034" s="1">
        <v>42382</v>
      </c>
      <c r="AC3034" t="s">
        <v>53</v>
      </c>
      <c r="AD3034" t="s">
        <v>53</v>
      </c>
      <c r="AK3034">
        <v>29.12</v>
      </c>
      <c r="AU3034" s="6">
        <v>42184</v>
      </c>
      <c r="AV3034" s="6">
        <v>42184</v>
      </c>
      <c r="AW3034" t="s">
        <v>54</v>
      </c>
      <c r="AX3034" t="str">
        <f t="shared" si="255"/>
        <v>FOR</v>
      </c>
      <c r="AY3034" t="s">
        <v>55</v>
      </c>
    </row>
    <row r="3035" spans="1:51" hidden="1">
      <c r="A3035">
        <v>100987</v>
      </c>
      <c r="B3035" t="s">
        <v>383</v>
      </c>
      <c r="C3035" t="str">
        <f t="shared" si="257"/>
        <v>01147640625</v>
      </c>
      <c r="D3035" t="str">
        <f t="shared" si="257"/>
        <v>01147640625</v>
      </c>
      <c r="E3035" t="s">
        <v>52</v>
      </c>
      <c r="F3035">
        <v>2015</v>
      </c>
      <c r="G3035" t="s">
        <v>424</v>
      </c>
      <c r="H3035" s="1">
        <v>42128</v>
      </c>
      <c r="I3035" s="1">
        <v>42129</v>
      </c>
      <c r="J3035" s="1">
        <v>42128</v>
      </c>
      <c r="K3035" s="1">
        <v>42188</v>
      </c>
      <c r="N3035" s="5"/>
      <c r="O3035">
        <v>95.08</v>
      </c>
      <c r="P3035">
        <v>-4</v>
      </c>
      <c r="Q3035">
        <v>-380.32</v>
      </c>
      <c r="R3035">
        <v>20.92</v>
      </c>
      <c r="V3035">
        <v>0</v>
      </c>
      <c r="W3035">
        <v>0</v>
      </c>
      <c r="X3035">
        <v>0</v>
      </c>
      <c r="Y3035">
        <v>116</v>
      </c>
      <c r="Z3035">
        <v>116</v>
      </c>
      <c r="AA3035">
        <v>116</v>
      </c>
      <c r="AB3035" s="1">
        <v>42382</v>
      </c>
      <c r="AC3035" t="s">
        <v>53</v>
      </c>
      <c r="AD3035" t="s">
        <v>53</v>
      </c>
      <c r="AJ3035">
        <v>20.92</v>
      </c>
      <c r="AK3035">
        <v>0</v>
      </c>
      <c r="AU3035" s="6">
        <v>42184</v>
      </c>
      <c r="AV3035" s="6">
        <v>42184</v>
      </c>
      <c r="AW3035" t="s">
        <v>54</v>
      </c>
      <c r="AX3035" t="str">
        <f t="shared" si="255"/>
        <v>FOR</v>
      </c>
      <c r="AY3035" t="s">
        <v>55</v>
      </c>
    </row>
    <row r="3036" spans="1:51" hidden="1">
      <c r="A3036">
        <v>100987</v>
      </c>
      <c r="B3036" t="s">
        <v>383</v>
      </c>
      <c r="C3036" t="str">
        <f t="shared" si="257"/>
        <v>01147640625</v>
      </c>
      <c r="D3036" t="str">
        <f t="shared" si="257"/>
        <v>01147640625</v>
      </c>
      <c r="E3036" t="s">
        <v>52</v>
      </c>
      <c r="F3036">
        <v>2015</v>
      </c>
      <c r="G3036" t="s">
        <v>425</v>
      </c>
      <c r="H3036" s="1">
        <v>42138</v>
      </c>
      <c r="I3036" s="1">
        <v>42172</v>
      </c>
      <c r="J3036" s="1">
        <v>42139</v>
      </c>
      <c r="K3036" s="1">
        <v>42199</v>
      </c>
      <c r="N3036" s="5"/>
      <c r="O3036">
        <v>783.93</v>
      </c>
      <c r="P3036">
        <v>-15</v>
      </c>
      <c r="Q3036" s="2">
        <v>-11758.95</v>
      </c>
      <c r="R3036">
        <v>172.47</v>
      </c>
      <c r="V3036">
        <v>0</v>
      </c>
      <c r="W3036">
        <v>0</v>
      </c>
      <c r="X3036">
        <v>0</v>
      </c>
      <c r="Y3036">
        <v>956.4</v>
      </c>
      <c r="Z3036">
        <v>956.4</v>
      </c>
      <c r="AA3036">
        <v>956.4</v>
      </c>
      <c r="AB3036" s="1">
        <v>42382</v>
      </c>
      <c r="AC3036" t="s">
        <v>53</v>
      </c>
      <c r="AD3036" t="s">
        <v>53</v>
      </c>
      <c r="AJ3036">
        <v>172.47</v>
      </c>
      <c r="AK3036">
        <v>0</v>
      </c>
      <c r="AU3036" s="6">
        <v>42184</v>
      </c>
      <c r="AV3036" s="6">
        <v>42184</v>
      </c>
      <c r="AW3036" t="s">
        <v>54</v>
      </c>
      <c r="AX3036" t="str">
        <f t="shared" si="255"/>
        <v>FOR</v>
      </c>
      <c r="AY3036" t="s">
        <v>55</v>
      </c>
    </row>
    <row r="3037" spans="1:51">
      <c r="A3037">
        <v>100987</v>
      </c>
      <c r="B3037" t="s">
        <v>383</v>
      </c>
      <c r="C3037" t="str">
        <f t="shared" si="257"/>
        <v>01147640625</v>
      </c>
      <c r="D3037" t="str">
        <f t="shared" si="257"/>
        <v>01147640625</v>
      </c>
      <c r="E3037" t="s">
        <v>52</v>
      </c>
      <c r="F3037">
        <v>2015</v>
      </c>
      <c r="G3037" t="s">
        <v>426</v>
      </c>
      <c r="H3037" s="1">
        <v>42216</v>
      </c>
      <c r="I3037" s="1">
        <v>42229</v>
      </c>
      <c r="J3037" s="1">
        <v>42220</v>
      </c>
      <c r="K3037" s="1">
        <v>42280</v>
      </c>
      <c r="L3037" s="7">
        <v>134.85</v>
      </c>
      <c r="M3037" s="5">
        <v>4</v>
      </c>
      <c r="N3037" s="7">
        <v>539.4</v>
      </c>
      <c r="O3037">
        <v>134.85</v>
      </c>
      <c r="P3037">
        <v>4</v>
      </c>
      <c r="Q3037">
        <v>539.4</v>
      </c>
      <c r="R3037">
        <v>29.67</v>
      </c>
      <c r="V3037">
        <v>0</v>
      </c>
      <c r="W3037">
        <v>0</v>
      </c>
      <c r="X3037">
        <v>0</v>
      </c>
      <c r="Y3037">
        <v>164.52</v>
      </c>
      <c r="Z3037">
        <v>164.52</v>
      </c>
      <c r="AA3037">
        <v>164.52</v>
      </c>
      <c r="AB3037" s="1">
        <v>42382</v>
      </c>
      <c r="AC3037" t="s">
        <v>53</v>
      </c>
      <c r="AD3037" t="s">
        <v>53</v>
      </c>
      <c r="AG3037">
        <v>29.67</v>
      </c>
      <c r="AK3037">
        <v>0</v>
      </c>
      <c r="AU3037" s="6">
        <v>42284</v>
      </c>
      <c r="AV3037" s="6">
        <v>42284</v>
      </c>
      <c r="AW3037" t="s">
        <v>54</v>
      </c>
      <c r="AX3037" t="str">
        <f t="shared" si="255"/>
        <v>FOR</v>
      </c>
      <c r="AY3037" t="s">
        <v>55</v>
      </c>
    </row>
    <row r="3038" spans="1:51">
      <c r="A3038">
        <v>100987</v>
      </c>
      <c r="B3038" t="s">
        <v>383</v>
      </c>
      <c r="C3038" t="str">
        <f t="shared" si="257"/>
        <v>01147640625</v>
      </c>
      <c r="D3038" t="str">
        <f t="shared" si="257"/>
        <v>01147640625</v>
      </c>
      <c r="E3038" t="s">
        <v>52</v>
      </c>
      <c r="F3038">
        <v>2015</v>
      </c>
      <c r="G3038" t="s">
        <v>427</v>
      </c>
      <c r="H3038" s="1">
        <v>42226</v>
      </c>
      <c r="I3038" s="1">
        <v>42230</v>
      </c>
      <c r="J3038" s="1">
        <v>42226</v>
      </c>
      <c r="K3038" s="1">
        <v>42286</v>
      </c>
      <c r="L3038" s="7">
        <v>294.83999999999997</v>
      </c>
      <c r="M3038" s="5">
        <v>-2</v>
      </c>
      <c r="N3038" s="7">
        <v>-589.67999999999995</v>
      </c>
      <c r="O3038">
        <v>294.83999999999997</v>
      </c>
      <c r="P3038">
        <v>-2</v>
      </c>
      <c r="Q3038">
        <v>-589.67999999999995</v>
      </c>
      <c r="R3038">
        <v>64.86</v>
      </c>
      <c r="V3038">
        <v>0</v>
      </c>
      <c r="W3038">
        <v>0</v>
      </c>
      <c r="X3038">
        <v>0</v>
      </c>
      <c r="Y3038">
        <v>359.7</v>
      </c>
      <c r="Z3038">
        <v>359.7</v>
      </c>
      <c r="AA3038">
        <v>359.7</v>
      </c>
      <c r="AB3038" s="1">
        <v>42382</v>
      </c>
      <c r="AC3038" t="s">
        <v>53</v>
      </c>
      <c r="AD3038" t="s">
        <v>53</v>
      </c>
      <c r="AG3038">
        <v>64.86</v>
      </c>
      <c r="AK3038">
        <v>0</v>
      </c>
      <c r="AU3038" s="6">
        <v>42284</v>
      </c>
      <c r="AV3038" s="6">
        <v>42284</v>
      </c>
      <c r="AW3038" t="s">
        <v>54</v>
      </c>
      <c r="AX3038" t="str">
        <f t="shared" si="255"/>
        <v>FOR</v>
      </c>
      <c r="AY3038" t="s">
        <v>55</v>
      </c>
    </row>
    <row r="3039" spans="1:51">
      <c r="A3039">
        <v>100987</v>
      </c>
      <c r="B3039" t="s">
        <v>383</v>
      </c>
      <c r="C3039" t="str">
        <f t="shared" si="257"/>
        <v>01147640625</v>
      </c>
      <c r="D3039" t="str">
        <f t="shared" si="257"/>
        <v>01147640625</v>
      </c>
      <c r="E3039" t="s">
        <v>52</v>
      </c>
      <c r="F3039">
        <v>2015</v>
      </c>
      <c r="G3039" t="s">
        <v>428</v>
      </c>
      <c r="H3039" s="1">
        <v>42226</v>
      </c>
      <c r="I3039" s="1">
        <v>42230</v>
      </c>
      <c r="J3039" s="1">
        <v>42226</v>
      </c>
      <c r="K3039" s="1">
        <v>42286</v>
      </c>
      <c r="L3039" s="7">
        <v>491.51</v>
      </c>
      <c r="M3039" s="5">
        <v>-2</v>
      </c>
      <c r="N3039" s="7">
        <v>-983.02</v>
      </c>
      <c r="O3039">
        <v>491.51</v>
      </c>
      <c r="P3039">
        <v>-2</v>
      </c>
      <c r="Q3039">
        <v>-983.02</v>
      </c>
      <c r="R3039">
        <v>108.13</v>
      </c>
      <c r="V3039">
        <v>0</v>
      </c>
      <c r="W3039">
        <v>0</v>
      </c>
      <c r="X3039">
        <v>0</v>
      </c>
      <c r="Y3039">
        <v>599.64</v>
      </c>
      <c r="Z3039">
        <v>599.64</v>
      </c>
      <c r="AA3039">
        <v>599.64</v>
      </c>
      <c r="AB3039" s="1">
        <v>42382</v>
      </c>
      <c r="AC3039" t="s">
        <v>53</v>
      </c>
      <c r="AD3039" t="s">
        <v>53</v>
      </c>
      <c r="AG3039">
        <v>108.13</v>
      </c>
      <c r="AK3039">
        <v>0</v>
      </c>
      <c r="AU3039" s="6">
        <v>42284</v>
      </c>
      <c r="AV3039" s="6">
        <v>42284</v>
      </c>
      <c r="AW3039" t="s">
        <v>54</v>
      </c>
      <c r="AX3039" t="str">
        <f t="shared" si="255"/>
        <v>FOR</v>
      </c>
      <c r="AY3039" t="s">
        <v>55</v>
      </c>
    </row>
    <row r="3040" spans="1:51">
      <c r="A3040">
        <v>100987</v>
      </c>
      <c r="B3040" t="s">
        <v>383</v>
      </c>
      <c r="C3040" t="str">
        <f t="shared" si="257"/>
        <v>01147640625</v>
      </c>
      <c r="D3040" t="str">
        <f t="shared" si="257"/>
        <v>01147640625</v>
      </c>
      <c r="E3040" t="s">
        <v>52</v>
      </c>
      <c r="F3040">
        <v>2015</v>
      </c>
      <c r="G3040" t="s">
        <v>429</v>
      </c>
      <c r="H3040" s="1">
        <v>42264</v>
      </c>
      <c r="I3040" s="1">
        <v>42265</v>
      </c>
      <c r="J3040" s="1">
        <v>42264</v>
      </c>
      <c r="K3040" s="1">
        <v>42324</v>
      </c>
      <c r="L3040" s="7">
        <v>309.02</v>
      </c>
      <c r="M3040" s="5">
        <v>-40</v>
      </c>
      <c r="N3040" s="7">
        <v>-12360.8</v>
      </c>
      <c r="O3040">
        <v>309.02</v>
      </c>
      <c r="P3040">
        <v>-40</v>
      </c>
      <c r="Q3040" s="2">
        <v>-12360.8</v>
      </c>
      <c r="R3040">
        <v>67.98</v>
      </c>
      <c r="V3040">
        <v>0</v>
      </c>
      <c r="W3040">
        <v>0</v>
      </c>
      <c r="X3040">
        <v>0</v>
      </c>
      <c r="Y3040">
        <v>377</v>
      </c>
      <c r="Z3040">
        <v>377</v>
      </c>
      <c r="AA3040">
        <v>377</v>
      </c>
      <c r="AB3040" s="1">
        <v>42382</v>
      </c>
      <c r="AC3040" t="s">
        <v>53</v>
      </c>
      <c r="AD3040" t="s">
        <v>53</v>
      </c>
      <c r="AF3040">
        <v>67.98</v>
      </c>
      <c r="AK3040">
        <v>0</v>
      </c>
      <c r="AU3040" s="6">
        <v>42284</v>
      </c>
      <c r="AV3040" s="6">
        <v>42284</v>
      </c>
      <c r="AW3040" t="s">
        <v>54</v>
      </c>
      <c r="AX3040" t="str">
        <f t="shared" si="255"/>
        <v>FOR</v>
      </c>
      <c r="AY3040" t="s">
        <v>55</v>
      </c>
    </row>
    <row r="3041" spans="1:51">
      <c r="A3041">
        <v>100987</v>
      </c>
      <c r="B3041" t="s">
        <v>383</v>
      </c>
      <c r="C3041" t="str">
        <f t="shared" si="257"/>
        <v>01147640625</v>
      </c>
      <c r="D3041" t="str">
        <f t="shared" si="257"/>
        <v>01147640625</v>
      </c>
      <c r="E3041" t="s">
        <v>52</v>
      </c>
      <c r="F3041">
        <v>2015</v>
      </c>
      <c r="G3041" t="s">
        <v>430</v>
      </c>
      <c r="H3041" s="1">
        <v>42264</v>
      </c>
      <c r="I3041" s="1">
        <v>42265</v>
      </c>
      <c r="J3041" s="1">
        <v>42264</v>
      </c>
      <c r="K3041" s="1">
        <v>42324</v>
      </c>
      <c r="L3041" s="7">
        <v>172.13</v>
      </c>
      <c r="M3041" s="5">
        <v>-40</v>
      </c>
      <c r="N3041" s="7">
        <v>-6885.2</v>
      </c>
      <c r="O3041">
        <v>172.13</v>
      </c>
      <c r="P3041">
        <v>-40</v>
      </c>
      <c r="Q3041" s="2">
        <v>-6885.2</v>
      </c>
      <c r="R3041">
        <v>37.869999999999997</v>
      </c>
      <c r="V3041">
        <v>0</v>
      </c>
      <c r="W3041">
        <v>0</v>
      </c>
      <c r="X3041">
        <v>0</v>
      </c>
      <c r="Y3041">
        <v>210</v>
      </c>
      <c r="Z3041">
        <v>210</v>
      </c>
      <c r="AA3041">
        <v>210</v>
      </c>
      <c r="AB3041" s="1">
        <v>42382</v>
      </c>
      <c r="AC3041" t="s">
        <v>53</v>
      </c>
      <c r="AD3041" t="s">
        <v>53</v>
      </c>
      <c r="AF3041">
        <v>37.869999999999997</v>
      </c>
      <c r="AK3041">
        <v>0</v>
      </c>
      <c r="AU3041" s="6">
        <v>42284</v>
      </c>
      <c r="AV3041" s="6">
        <v>42284</v>
      </c>
      <c r="AW3041" t="s">
        <v>54</v>
      </c>
      <c r="AX3041" t="str">
        <f t="shared" si="255"/>
        <v>FOR</v>
      </c>
      <c r="AY3041" t="s">
        <v>55</v>
      </c>
    </row>
    <row r="3042" spans="1:51" hidden="1">
      <c r="A3042">
        <v>100989</v>
      </c>
      <c r="B3042" t="s">
        <v>431</v>
      </c>
      <c r="C3042" t="str">
        <f t="shared" ref="C3042:D3048" si="258">"01409480637"</f>
        <v>01409480637</v>
      </c>
      <c r="D3042" t="str">
        <f t="shared" si="258"/>
        <v>01409480637</v>
      </c>
      <c r="E3042" t="s">
        <v>52</v>
      </c>
      <c r="F3042">
        <v>2014</v>
      </c>
      <c r="G3042">
        <v>329</v>
      </c>
      <c r="H3042" s="1">
        <v>41850</v>
      </c>
      <c r="I3042" s="1">
        <v>41872</v>
      </c>
      <c r="J3042" s="1">
        <v>41872</v>
      </c>
      <c r="K3042" s="1">
        <v>41962</v>
      </c>
      <c r="N3042" s="5"/>
      <c r="O3042" s="2">
        <v>3064.64</v>
      </c>
      <c r="P3042">
        <v>197</v>
      </c>
      <c r="Q3042" s="2">
        <v>603734.07999999996</v>
      </c>
      <c r="R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 s="1">
        <v>42382</v>
      </c>
      <c r="AC3042" t="s">
        <v>53</v>
      </c>
      <c r="AD3042" t="s">
        <v>53</v>
      </c>
      <c r="AK3042">
        <v>0</v>
      </c>
      <c r="AU3042" s="6">
        <v>42159</v>
      </c>
      <c r="AV3042" s="6">
        <v>42159</v>
      </c>
      <c r="AW3042" t="s">
        <v>54</v>
      </c>
      <c r="AX3042" t="str">
        <f t="shared" si="255"/>
        <v>FOR</v>
      </c>
      <c r="AY3042" t="s">
        <v>55</v>
      </c>
    </row>
    <row r="3043" spans="1:51" hidden="1">
      <c r="A3043">
        <v>100989</v>
      </c>
      <c r="B3043" t="s">
        <v>431</v>
      </c>
      <c r="C3043" t="str">
        <f t="shared" si="258"/>
        <v>01409480637</v>
      </c>
      <c r="D3043" t="str">
        <f t="shared" si="258"/>
        <v>01409480637</v>
      </c>
      <c r="E3043" t="s">
        <v>52</v>
      </c>
      <c r="F3043">
        <v>2014</v>
      </c>
      <c r="G3043">
        <v>330</v>
      </c>
      <c r="H3043" s="1">
        <v>41850</v>
      </c>
      <c r="I3043" s="1">
        <v>41872</v>
      </c>
      <c r="J3043" s="1">
        <v>41872</v>
      </c>
      <c r="K3043" s="1">
        <v>41962</v>
      </c>
      <c r="N3043" s="5"/>
      <c r="O3043" s="2">
        <v>4532.42</v>
      </c>
      <c r="P3043">
        <v>197</v>
      </c>
      <c r="Q3043" s="2">
        <v>892886.74</v>
      </c>
      <c r="R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 s="1">
        <v>42382</v>
      </c>
      <c r="AC3043" t="s">
        <v>53</v>
      </c>
      <c r="AD3043" t="s">
        <v>53</v>
      </c>
      <c r="AK3043">
        <v>0</v>
      </c>
      <c r="AU3043" s="6">
        <v>42159</v>
      </c>
      <c r="AV3043" s="6">
        <v>42159</v>
      </c>
      <c r="AW3043" t="s">
        <v>54</v>
      </c>
      <c r="AX3043" t="str">
        <f t="shared" si="255"/>
        <v>FOR</v>
      </c>
      <c r="AY3043" t="s">
        <v>55</v>
      </c>
    </row>
    <row r="3044" spans="1:51">
      <c r="A3044">
        <v>100989</v>
      </c>
      <c r="B3044" t="s">
        <v>431</v>
      </c>
      <c r="C3044" t="str">
        <f t="shared" si="258"/>
        <v>01409480637</v>
      </c>
      <c r="D3044" t="str">
        <f t="shared" si="258"/>
        <v>01409480637</v>
      </c>
      <c r="E3044" t="s">
        <v>52</v>
      </c>
      <c r="F3044">
        <v>2014</v>
      </c>
      <c r="G3044">
        <v>401</v>
      </c>
      <c r="H3044" s="1">
        <v>41914</v>
      </c>
      <c r="I3044" s="1">
        <v>41921</v>
      </c>
      <c r="J3044" s="1">
        <v>41921</v>
      </c>
      <c r="K3044" s="1">
        <v>42011</v>
      </c>
      <c r="L3044" s="7">
        <v>123.61</v>
      </c>
      <c r="M3044" s="5">
        <v>272</v>
      </c>
      <c r="N3044" s="7">
        <v>33621.919999999998</v>
      </c>
      <c r="O3044">
        <v>123.61</v>
      </c>
      <c r="P3044">
        <v>272</v>
      </c>
      <c r="Q3044" s="2">
        <v>33621.919999999998</v>
      </c>
      <c r="R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 s="1">
        <v>42382</v>
      </c>
      <c r="AC3044" t="s">
        <v>53</v>
      </c>
      <c r="AD3044" t="s">
        <v>53</v>
      </c>
      <c r="AK3044">
        <v>0</v>
      </c>
      <c r="AU3044" s="6">
        <v>42283</v>
      </c>
      <c r="AV3044" s="6">
        <v>42283</v>
      </c>
      <c r="AW3044" t="s">
        <v>54</v>
      </c>
      <c r="AX3044" t="str">
        <f t="shared" si="255"/>
        <v>FOR</v>
      </c>
      <c r="AY3044" t="s">
        <v>55</v>
      </c>
    </row>
    <row r="3045" spans="1:51">
      <c r="A3045">
        <v>100989</v>
      </c>
      <c r="B3045" t="s">
        <v>431</v>
      </c>
      <c r="C3045" t="str">
        <f t="shared" si="258"/>
        <v>01409480637</v>
      </c>
      <c r="D3045" t="str">
        <f t="shared" si="258"/>
        <v>01409480637</v>
      </c>
      <c r="E3045" t="s">
        <v>52</v>
      </c>
      <c r="F3045">
        <v>2014</v>
      </c>
      <c r="G3045">
        <v>409</v>
      </c>
      <c r="H3045" s="1">
        <v>41915</v>
      </c>
      <c r="I3045" s="1">
        <v>41921</v>
      </c>
      <c r="J3045" s="1">
        <v>41921</v>
      </c>
      <c r="K3045" s="1">
        <v>42011</v>
      </c>
      <c r="L3045" s="7">
        <v>152.26</v>
      </c>
      <c r="M3045" s="5">
        <v>272</v>
      </c>
      <c r="N3045" s="7">
        <v>41414.720000000001</v>
      </c>
      <c r="O3045">
        <v>152.26</v>
      </c>
      <c r="P3045">
        <v>272</v>
      </c>
      <c r="Q3045" s="2">
        <v>41414.720000000001</v>
      </c>
      <c r="R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 s="1">
        <v>42382</v>
      </c>
      <c r="AC3045" t="s">
        <v>53</v>
      </c>
      <c r="AD3045" t="s">
        <v>53</v>
      </c>
      <c r="AK3045">
        <v>0</v>
      </c>
      <c r="AU3045" s="6">
        <v>42283</v>
      </c>
      <c r="AV3045" s="6">
        <v>42283</v>
      </c>
      <c r="AW3045" t="s">
        <v>54</v>
      </c>
      <c r="AX3045" t="str">
        <f t="shared" si="255"/>
        <v>FOR</v>
      </c>
      <c r="AY3045" t="s">
        <v>55</v>
      </c>
    </row>
    <row r="3046" spans="1:51">
      <c r="A3046">
        <v>100989</v>
      </c>
      <c r="B3046" t="s">
        <v>431</v>
      </c>
      <c r="C3046" t="str">
        <f t="shared" si="258"/>
        <v>01409480637</v>
      </c>
      <c r="D3046" t="str">
        <f t="shared" si="258"/>
        <v>01409480637</v>
      </c>
      <c r="E3046" t="s">
        <v>52</v>
      </c>
      <c r="F3046">
        <v>2014</v>
      </c>
      <c r="G3046">
        <v>511</v>
      </c>
      <c r="H3046" s="1">
        <v>41978</v>
      </c>
      <c r="I3046" s="1">
        <v>41984</v>
      </c>
      <c r="J3046" s="1">
        <v>41984</v>
      </c>
      <c r="K3046" s="1">
        <v>42044</v>
      </c>
      <c r="L3046" s="7">
        <v>76.13</v>
      </c>
      <c r="M3046" s="5">
        <v>239</v>
      </c>
      <c r="N3046" s="7">
        <v>18195.07</v>
      </c>
      <c r="O3046">
        <v>76.13</v>
      </c>
      <c r="P3046">
        <v>239</v>
      </c>
      <c r="Q3046" s="2">
        <v>18195.07</v>
      </c>
      <c r="R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 s="1">
        <v>42382</v>
      </c>
      <c r="AC3046" t="s">
        <v>53</v>
      </c>
      <c r="AD3046" t="s">
        <v>53</v>
      </c>
      <c r="AK3046">
        <v>0</v>
      </c>
      <c r="AU3046" s="6">
        <v>42283</v>
      </c>
      <c r="AV3046" s="6">
        <v>42283</v>
      </c>
      <c r="AW3046" t="s">
        <v>54</v>
      </c>
      <c r="AX3046" t="str">
        <f t="shared" si="255"/>
        <v>FOR</v>
      </c>
      <c r="AY3046" t="s">
        <v>55</v>
      </c>
    </row>
    <row r="3047" spans="1:51">
      <c r="A3047">
        <v>100989</v>
      </c>
      <c r="B3047" t="s">
        <v>431</v>
      </c>
      <c r="C3047" t="str">
        <f t="shared" si="258"/>
        <v>01409480637</v>
      </c>
      <c r="D3047" t="str">
        <f t="shared" si="258"/>
        <v>01409480637</v>
      </c>
      <c r="E3047" t="s">
        <v>52</v>
      </c>
      <c r="F3047">
        <v>2015</v>
      </c>
      <c r="G3047">
        <v>30</v>
      </c>
      <c r="H3047" s="1">
        <v>42025</v>
      </c>
      <c r="I3047" s="1">
        <v>42040</v>
      </c>
      <c r="J3047" s="1">
        <v>42040</v>
      </c>
      <c r="K3047" s="1">
        <v>42100</v>
      </c>
      <c r="L3047" s="7">
        <v>62.4</v>
      </c>
      <c r="M3047" s="5">
        <v>183</v>
      </c>
      <c r="N3047" s="7">
        <v>11419.2</v>
      </c>
      <c r="O3047">
        <v>62.4</v>
      </c>
      <c r="P3047">
        <v>183</v>
      </c>
      <c r="Q3047" s="2">
        <v>11419.2</v>
      </c>
      <c r="R3047">
        <v>0</v>
      </c>
      <c r="V3047">
        <v>0</v>
      </c>
      <c r="W3047">
        <v>0</v>
      </c>
      <c r="X3047">
        <v>0</v>
      </c>
      <c r="Y3047">
        <v>76.13</v>
      </c>
      <c r="Z3047">
        <v>76.13</v>
      </c>
      <c r="AA3047">
        <v>76.13</v>
      </c>
      <c r="AB3047" s="1">
        <v>42382</v>
      </c>
      <c r="AC3047" t="s">
        <v>53</v>
      </c>
      <c r="AD3047" t="s">
        <v>53</v>
      </c>
      <c r="AK3047">
        <v>0</v>
      </c>
      <c r="AU3047" s="6">
        <v>42283</v>
      </c>
      <c r="AV3047" s="6">
        <v>42283</v>
      </c>
      <c r="AW3047" t="s">
        <v>54</v>
      </c>
      <c r="AX3047" t="str">
        <f t="shared" si="255"/>
        <v>FOR</v>
      </c>
      <c r="AY3047" t="s">
        <v>55</v>
      </c>
    </row>
    <row r="3048" spans="1:51">
      <c r="A3048">
        <v>100989</v>
      </c>
      <c r="B3048" t="s">
        <v>431</v>
      </c>
      <c r="C3048" t="str">
        <f t="shared" si="258"/>
        <v>01409480637</v>
      </c>
      <c r="D3048" t="str">
        <f t="shared" si="258"/>
        <v>01409480637</v>
      </c>
      <c r="E3048" t="s">
        <v>52</v>
      </c>
      <c r="F3048">
        <v>2015</v>
      </c>
      <c r="G3048">
        <v>207</v>
      </c>
      <c r="H3048" s="1">
        <v>42122</v>
      </c>
      <c r="I3048" s="1">
        <v>42160</v>
      </c>
      <c r="J3048" s="1">
        <v>42140</v>
      </c>
      <c r="K3048" s="1">
        <v>42200</v>
      </c>
      <c r="L3048" s="7">
        <v>249.6</v>
      </c>
      <c r="M3048" s="5">
        <v>83</v>
      </c>
      <c r="N3048" s="7">
        <v>20716.8</v>
      </c>
      <c r="O3048">
        <v>249.6</v>
      </c>
      <c r="P3048">
        <v>83</v>
      </c>
      <c r="Q3048" s="2">
        <v>20716.8</v>
      </c>
      <c r="R3048">
        <v>0</v>
      </c>
      <c r="V3048">
        <v>0</v>
      </c>
      <c r="W3048">
        <v>0</v>
      </c>
      <c r="X3048">
        <v>0</v>
      </c>
      <c r="Y3048">
        <v>304.51</v>
      </c>
      <c r="Z3048">
        <v>304.51</v>
      </c>
      <c r="AA3048">
        <v>304.51</v>
      </c>
      <c r="AB3048" s="1">
        <v>42382</v>
      </c>
      <c r="AC3048" t="s">
        <v>53</v>
      </c>
      <c r="AD3048" t="s">
        <v>53</v>
      </c>
      <c r="AK3048">
        <v>0</v>
      </c>
      <c r="AU3048" s="6">
        <v>42283</v>
      </c>
      <c r="AV3048" s="6">
        <v>42283</v>
      </c>
      <c r="AW3048" t="s">
        <v>54</v>
      </c>
      <c r="AX3048" t="str">
        <f t="shared" si="255"/>
        <v>FOR</v>
      </c>
      <c r="AY3048" t="s">
        <v>55</v>
      </c>
    </row>
    <row r="3049" spans="1:51" hidden="1">
      <c r="A3049">
        <v>100993</v>
      </c>
      <c r="B3049" t="s">
        <v>432</v>
      </c>
      <c r="C3049" t="str">
        <f t="shared" ref="C3049:D3055" si="259">"00119740629"</f>
        <v>00119740629</v>
      </c>
      <c r="D3049" t="str">
        <f t="shared" si="259"/>
        <v>00119740629</v>
      </c>
      <c r="E3049" t="s">
        <v>52</v>
      </c>
      <c r="F3049">
        <v>2014</v>
      </c>
      <c r="G3049" t="s">
        <v>433</v>
      </c>
      <c r="H3049" s="1">
        <v>41962</v>
      </c>
      <c r="I3049" s="1">
        <v>41964</v>
      </c>
      <c r="J3049" s="1">
        <v>41964</v>
      </c>
      <c r="K3049" s="1">
        <v>42024</v>
      </c>
      <c r="N3049" s="5"/>
      <c r="O3049">
        <v>150.06</v>
      </c>
      <c r="P3049">
        <v>16</v>
      </c>
      <c r="Q3049" s="2">
        <v>2400.96</v>
      </c>
      <c r="R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 s="1">
        <v>42382</v>
      </c>
      <c r="AC3049" t="s">
        <v>53</v>
      </c>
      <c r="AD3049" t="s">
        <v>53</v>
      </c>
      <c r="AK3049">
        <v>0</v>
      </c>
      <c r="AU3049" s="6">
        <v>42040</v>
      </c>
      <c r="AV3049" s="6">
        <v>42040</v>
      </c>
      <c r="AW3049" t="s">
        <v>54</v>
      </c>
      <c r="AX3049" t="str">
        <f t="shared" si="255"/>
        <v>FOR</v>
      </c>
      <c r="AY3049" t="s">
        <v>55</v>
      </c>
    </row>
    <row r="3050" spans="1:51" hidden="1">
      <c r="A3050">
        <v>100993</v>
      </c>
      <c r="B3050" t="s">
        <v>432</v>
      </c>
      <c r="C3050" t="str">
        <f t="shared" si="259"/>
        <v>00119740629</v>
      </c>
      <c r="D3050" t="str">
        <f t="shared" si="259"/>
        <v>00119740629</v>
      </c>
      <c r="E3050" t="s">
        <v>52</v>
      </c>
      <c r="F3050">
        <v>2014</v>
      </c>
      <c r="G3050" t="s">
        <v>406</v>
      </c>
      <c r="H3050" s="1">
        <v>41962</v>
      </c>
      <c r="I3050" s="1">
        <v>41964</v>
      </c>
      <c r="J3050" s="1">
        <v>41964</v>
      </c>
      <c r="K3050" s="1">
        <v>42024</v>
      </c>
      <c r="N3050" s="5"/>
      <c r="O3050">
        <v>204.96</v>
      </c>
      <c r="P3050">
        <v>16</v>
      </c>
      <c r="Q3050" s="2">
        <v>3279.36</v>
      </c>
      <c r="R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 s="1">
        <v>42382</v>
      </c>
      <c r="AC3050" t="s">
        <v>53</v>
      </c>
      <c r="AD3050" t="s">
        <v>53</v>
      </c>
      <c r="AK3050">
        <v>0</v>
      </c>
      <c r="AU3050" s="6">
        <v>42040</v>
      </c>
      <c r="AV3050" s="6">
        <v>42040</v>
      </c>
      <c r="AW3050" t="s">
        <v>54</v>
      </c>
      <c r="AX3050" t="str">
        <f t="shared" si="255"/>
        <v>FOR</v>
      </c>
      <c r="AY3050" t="s">
        <v>55</v>
      </c>
    </row>
    <row r="3051" spans="1:51" hidden="1">
      <c r="A3051">
        <v>100993</v>
      </c>
      <c r="B3051" t="s">
        <v>432</v>
      </c>
      <c r="C3051" t="str">
        <f t="shared" si="259"/>
        <v>00119740629</v>
      </c>
      <c r="D3051" t="str">
        <f t="shared" si="259"/>
        <v>00119740629</v>
      </c>
      <c r="E3051" t="s">
        <v>52</v>
      </c>
      <c r="F3051">
        <v>2015</v>
      </c>
      <c r="G3051" t="s">
        <v>434</v>
      </c>
      <c r="H3051" s="1">
        <v>42016</v>
      </c>
      <c r="I3051" s="1">
        <v>42030</v>
      </c>
      <c r="J3051" s="1">
        <v>42030</v>
      </c>
      <c r="K3051" s="1">
        <v>42090</v>
      </c>
      <c r="N3051" s="5"/>
      <c r="O3051">
        <v>90</v>
      </c>
      <c r="P3051">
        <v>33</v>
      </c>
      <c r="Q3051" s="2">
        <v>2970</v>
      </c>
      <c r="R3051">
        <v>19.8</v>
      </c>
      <c r="V3051">
        <v>0</v>
      </c>
      <c r="W3051">
        <v>0</v>
      </c>
      <c r="X3051">
        <v>0</v>
      </c>
      <c r="Y3051">
        <v>109.8</v>
      </c>
      <c r="Z3051">
        <v>109.8</v>
      </c>
      <c r="AA3051">
        <v>109.8</v>
      </c>
      <c r="AB3051" s="1">
        <v>42382</v>
      </c>
      <c r="AC3051" t="s">
        <v>53</v>
      </c>
      <c r="AD3051" t="s">
        <v>53</v>
      </c>
      <c r="AK3051">
        <v>19.8</v>
      </c>
      <c r="AU3051" s="6">
        <v>42123</v>
      </c>
      <c r="AV3051" s="6">
        <v>42123</v>
      </c>
      <c r="AW3051" t="s">
        <v>54</v>
      </c>
      <c r="AX3051" t="str">
        <f t="shared" si="255"/>
        <v>FOR</v>
      </c>
      <c r="AY3051" t="s">
        <v>55</v>
      </c>
    </row>
    <row r="3052" spans="1:51" hidden="1">
      <c r="A3052">
        <v>100993</v>
      </c>
      <c r="B3052" t="s">
        <v>432</v>
      </c>
      <c r="C3052" t="str">
        <f t="shared" si="259"/>
        <v>00119740629</v>
      </c>
      <c r="D3052" t="str">
        <f t="shared" si="259"/>
        <v>00119740629</v>
      </c>
      <c r="E3052" t="s">
        <v>52</v>
      </c>
      <c r="F3052">
        <v>2015</v>
      </c>
      <c r="G3052" t="s">
        <v>435</v>
      </c>
      <c r="H3052" s="1">
        <v>42025</v>
      </c>
      <c r="I3052" s="1">
        <v>42030</v>
      </c>
      <c r="J3052" s="1">
        <v>42030</v>
      </c>
      <c r="K3052" s="1">
        <v>42090</v>
      </c>
      <c r="N3052" s="5"/>
      <c r="O3052">
        <v>130</v>
      </c>
      <c r="P3052">
        <v>33</v>
      </c>
      <c r="Q3052" s="2">
        <v>4290</v>
      </c>
      <c r="R3052">
        <v>28.6</v>
      </c>
      <c r="V3052">
        <v>0</v>
      </c>
      <c r="W3052">
        <v>0</v>
      </c>
      <c r="X3052">
        <v>0</v>
      </c>
      <c r="Y3052">
        <v>158.6</v>
      </c>
      <c r="Z3052">
        <v>158.6</v>
      </c>
      <c r="AA3052">
        <v>158.6</v>
      </c>
      <c r="AB3052" s="1">
        <v>42382</v>
      </c>
      <c r="AC3052" t="s">
        <v>53</v>
      </c>
      <c r="AD3052" t="s">
        <v>53</v>
      </c>
      <c r="AK3052">
        <v>28.6</v>
      </c>
      <c r="AU3052" s="6">
        <v>42123</v>
      </c>
      <c r="AV3052" s="6">
        <v>42123</v>
      </c>
      <c r="AW3052" t="s">
        <v>54</v>
      </c>
      <c r="AX3052" t="str">
        <f t="shared" si="255"/>
        <v>FOR</v>
      </c>
      <c r="AY3052" t="s">
        <v>55</v>
      </c>
    </row>
    <row r="3053" spans="1:51" hidden="1">
      <c r="A3053">
        <v>100993</v>
      </c>
      <c r="B3053" t="s">
        <v>432</v>
      </c>
      <c r="C3053" t="str">
        <f t="shared" si="259"/>
        <v>00119740629</v>
      </c>
      <c r="D3053" t="str">
        <f t="shared" si="259"/>
        <v>00119740629</v>
      </c>
      <c r="E3053" t="s">
        <v>52</v>
      </c>
      <c r="F3053">
        <v>2015</v>
      </c>
      <c r="G3053" t="s">
        <v>436</v>
      </c>
      <c r="H3053" s="1">
        <v>42028</v>
      </c>
      <c r="I3053" s="1">
        <v>42045</v>
      </c>
      <c r="J3053" s="1">
        <v>42045</v>
      </c>
      <c r="K3053" s="1">
        <v>42105</v>
      </c>
      <c r="N3053" s="5"/>
      <c r="O3053">
        <v>205</v>
      </c>
      <c r="P3053">
        <v>18</v>
      </c>
      <c r="Q3053" s="2">
        <v>3690</v>
      </c>
      <c r="R3053">
        <v>45.1</v>
      </c>
      <c r="V3053">
        <v>0</v>
      </c>
      <c r="W3053">
        <v>0</v>
      </c>
      <c r="X3053">
        <v>0</v>
      </c>
      <c r="Y3053">
        <v>250.1</v>
      </c>
      <c r="Z3053">
        <v>250.1</v>
      </c>
      <c r="AA3053">
        <v>250.1</v>
      </c>
      <c r="AB3053" s="1">
        <v>42382</v>
      </c>
      <c r="AC3053" t="s">
        <v>53</v>
      </c>
      <c r="AD3053" t="s">
        <v>53</v>
      </c>
      <c r="AK3053">
        <v>45.1</v>
      </c>
      <c r="AU3053" s="6">
        <v>42123</v>
      </c>
      <c r="AV3053" s="6">
        <v>42123</v>
      </c>
      <c r="AW3053" t="s">
        <v>54</v>
      </c>
      <c r="AX3053" t="str">
        <f t="shared" si="255"/>
        <v>FOR</v>
      </c>
      <c r="AY3053" t="s">
        <v>55</v>
      </c>
    </row>
    <row r="3054" spans="1:51" hidden="1">
      <c r="A3054">
        <v>100993</v>
      </c>
      <c r="B3054" t="s">
        <v>432</v>
      </c>
      <c r="C3054" t="str">
        <f t="shared" si="259"/>
        <v>00119740629</v>
      </c>
      <c r="D3054" t="str">
        <f t="shared" si="259"/>
        <v>00119740629</v>
      </c>
      <c r="E3054" t="s">
        <v>52</v>
      </c>
      <c r="F3054">
        <v>2015</v>
      </c>
      <c r="G3054" t="s">
        <v>437</v>
      </c>
      <c r="H3054" s="1">
        <v>42037</v>
      </c>
      <c r="I3054" s="1">
        <v>42045</v>
      </c>
      <c r="J3054" s="1">
        <v>42045</v>
      </c>
      <c r="K3054" s="1">
        <v>42105</v>
      </c>
      <c r="N3054" s="5"/>
      <c r="O3054">
        <v>205</v>
      </c>
      <c r="P3054">
        <v>18</v>
      </c>
      <c r="Q3054" s="2">
        <v>3690</v>
      </c>
      <c r="R3054">
        <v>45.1</v>
      </c>
      <c r="V3054">
        <v>0</v>
      </c>
      <c r="W3054">
        <v>0</v>
      </c>
      <c r="X3054">
        <v>0</v>
      </c>
      <c r="Y3054">
        <v>250.1</v>
      </c>
      <c r="Z3054">
        <v>250.1</v>
      </c>
      <c r="AA3054">
        <v>250.1</v>
      </c>
      <c r="AB3054" s="1">
        <v>42382</v>
      </c>
      <c r="AC3054" t="s">
        <v>53</v>
      </c>
      <c r="AD3054" t="s">
        <v>53</v>
      </c>
      <c r="AK3054">
        <v>45.1</v>
      </c>
      <c r="AU3054" s="6">
        <v>42123</v>
      </c>
      <c r="AV3054" s="6">
        <v>42123</v>
      </c>
      <c r="AW3054" t="s">
        <v>54</v>
      </c>
      <c r="AX3054" t="str">
        <f t="shared" si="255"/>
        <v>FOR</v>
      </c>
      <c r="AY3054" t="s">
        <v>55</v>
      </c>
    </row>
    <row r="3055" spans="1:51" hidden="1">
      <c r="A3055">
        <v>100993</v>
      </c>
      <c r="B3055" t="s">
        <v>432</v>
      </c>
      <c r="C3055" t="str">
        <f t="shared" si="259"/>
        <v>00119740629</v>
      </c>
      <c r="D3055" t="str">
        <f t="shared" si="259"/>
        <v>00119740629</v>
      </c>
      <c r="E3055" t="s">
        <v>52</v>
      </c>
      <c r="F3055">
        <v>2015</v>
      </c>
      <c r="G3055" t="s">
        <v>405</v>
      </c>
      <c r="H3055" s="1">
        <v>42088</v>
      </c>
      <c r="I3055" s="1">
        <v>42104</v>
      </c>
      <c r="J3055" s="1">
        <v>42104</v>
      </c>
      <c r="K3055" s="1">
        <v>42164</v>
      </c>
      <c r="N3055" s="5"/>
      <c r="O3055">
        <v>130</v>
      </c>
      <c r="P3055">
        <v>-41</v>
      </c>
      <c r="Q3055" s="2">
        <v>-5330</v>
      </c>
      <c r="R3055">
        <v>28.6</v>
      </c>
      <c r="V3055">
        <v>0</v>
      </c>
      <c r="W3055">
        <v>0</v>
      </c>
      <c r="X3055">
        <v>0</v>
      </c>
      <c r="Y3055">
        <v>158.6</v>
      </c>
      <c r="Z3055">
        <v>158.6</v>
      </c>
      <c r="AA3055">
        <v>158.6</v>
      </c>
      <c r="AB3055" s="1">
        <v>42382</v>
      </c>
      <c r="AC3055" t="s">
        <v>53</v>
      </c>
      <c r="AD3055" t="s">
        <v>53</v>
      </c>
      <c r="AK3055">
        <v>28.6</v>
      </c>
      <c r="AU3055" s="6">
        <v>42123</v>
      </c>
      <c r="AV3055" s="6">
        <v>42123</v>
      </c>
      <c r="AW3055" t="s">
        <v>54</v>
      </c>
      <c r="AX3055" t="str">
        <f t="shared" si="255"/>
        <v>FOR</v>
      </c>
      <c r="AY3055" t="s">
        <v>55</v>
      </c>
    </row>
    <row r="3056" spans="1:51" hidden="1">
      <c r="A3056">
        <v>100994</v>
      </c>
      <c r="B3056" t="s">
        <v>438</v>
      </c>
      <c r="C3056" t="str">
        <f>"00270280621"</f>
        <v>00270280621</v>
      </c>
      <c r="D3056" t="str">
        <f>"ZZLGRD41B18I002J"</f>
        <v>ZZLGRD41B18I002J</v>
      </c>
      <c r="E3056" t="s">
        <v>52</v>
      </c>
      <c r="F3056">
        <v>2014</v>
      </c>
      <c r="G3056" t="s">
        <v>439</v>
      </c>
      <c r="H3056" s="1">
        <v>41962</v>
      </c>
      <c r="I3056" s="1">
        <v>41964</v>
      </c>
      <c r="J3056" s="1">
        <v>41964</v>
      </c>
      <c r="K3056" s="1">
        <v>42024</v>
      </c>
      <c r="N3056" s="5"/>
      <c r="O3056">
        <v>65.680000000000007</v>
      </c>
      <c r="P3056">
        <v>16</v>
      </c>
      <c r="Q3056" s="2">
        <v>1050.8800000000001</v>
      </c>
      <c r="R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 s="1">
        <v>42382</v>
      </c>
      <c r="AC3056" t="s">
        <v>53</v>
      </c>
      <c r="AD3056" t="s">
        <v>53</v>
      </c>
      <c r="AK3056">
        <v>0</v>
      </c>
      <c r="AU3056" s="6">
        <v>42040</v>
      </c>
      <c r="AV3056" s="6">
        <v>42040</v>
      </c>
      <c r="AW3056" t="s">
        <v>54</v>
      </c>
      <c r="AX3056" t="str">
        <f t="shared" si="255"/>
        <v>FOR</v>
      </c>
      <c r="AY3056" t="s">
        <v>55</v>
      </c>
    </row>
    <row r="3057" spans="1:51" hidden="1">
      <c r="A3057">
        <v>100996</v>
      </c>
      <c r="B3057" t="s">
        <v>440</v>
      </c>
      <c r="C3057" t="str">
        <f t="shared" ref="C3057:C3088" si="260">"00610690620"</f>
        <v>00610690620</v>
      </c>
      <c r="D3057" t="str">
        <f t="shared" ref="D3057:D3088" si="261">"RRORCR53R19A783X"</f>
        <v>RRORCR53R19A783X</v>
      </c>
      <c r="E3057" t="s">
        <v>52</v>
      </c>
      <c r="F3057">
        <v>2014</v>
      </c>
      <c r="G3057" t="s">
        <v>441</v>
      </c>
      <c r="H3057" s="1">
        <v>41907</v>
      </c>
      <c r="I3057" s="1">
        <v>41912</v>
      </c>
      <c r="J3057" s="1">
        <v>41912</v>
      </c>
      <c r="K3057" s="1">
        <v>42002</v>
      </c>
      <c r="N3057" s="5"/>
      <c r="O3057">
        <v>282.52999999999997</v>
      </c>
      <c r="P3057">
        <v>38</v>
      </c>
      <c r="Q3057" s="2">
        <v>10736.14</v>
      </c>
      <c r="R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 s="1">
        <v>42382</v>
      </c>
      <c r="AC3057" t="s">
        <v>53</v>
      </c>
      <c r="AD3057" t="s">
        <v>53</v>
      </c>
      <c r="AK3057">
        <v>0</v>
      </c>
      <c r="AU3057" s="6">
        <v>42040</v>
      </c>
      <c r="AV3057" s="6">
        <v>42040</v>
      </c>
      <c r="AW3057" t="s">
        <v>54</v>
      </c>
      <c r="AX3057" t="str">
        <f t="shared" si="255"/>
        <v>FOR</v>
      </c>
      <c r="AY3057" t="s">
        <v>55</v>
      </c>
    </row>
    <row r="3058" spans="1:51" hidden="1">
      <c r="A3058">
        <v>100996</v>
      </c>
      <c r="B3058" t="s">
        <v>440</v>
      </c>
      <c r="C3058" t="str">
        <f t="shared" si="260"/>
        <v>00610690620</v>
      </c>
      <c r="D3058" t="str">
        <f t="shared" si="261"/>
        <v>RRORCR53R19A783X</v>
      </c>
      <c r="E3058" t="s">
        <v>52</v>
      </c>
      <c r="F3058">
        <v>2014</v>
      </c>
      <c r="G3058" t="s">
        <v>442</v>
      </c>
      <c r="H3058" s="1">
        <v>41914</v>
      </c>
      <c r="I3058" s="1">
        <v>41928</v>
      </c>
      <c r="J3058" s="1">
        <v>41928</v>
      </c>
      <c r="K3058" s="1">
        <v>41988</v>
      </c>
      <c r="N3058" s="5"/>
      <c r="O3058">
        <v>434.46</v>
      </c>
      <c r="P3058">
        <v>52</v>
      </c>
      <c r="Q3058" s="2">
        <v>22591.919999999998</v>
      </c>
      <c r="R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 s="1">
        <v>42382</v>
      </c>
      <c r="AC3058" t="s">
        <v>53</v>
      </c>
      <c r="AD3058" t="s">
        <v>53</v>
      </c>
      <c r="AK3058">
        <v>0</v>
      </c>
      <c r="AU3058" s="6">
        <v>42040</v>
      </c>
      <c r="AV3058" s="6">
        <v>42040</v>
      </c>
      <c r="AW3058" t="s">
        <v>54</v>
      </c>
      <c r="AX3058" t="str">
        <f t="shared" si="255"/>
        <v>FOR</v>
      </c>
      <c r="AY3058" t="s">
        <v>55</v>
      </c>
    </row>
    <row r="3059" spans="1:51" hidden="1">
      <c r="A3059">
        <v>100996</v>
      </c>
      <c r="B3059" t="s">
        <v>440</v>
      </c>
      <c r="C3059" t="str">
        <f t="shared" si="260"/>
        <v>00610690620</v>
      </c>
      <c r="D3059" t="str">
        <f t="shared" si="261"/>
        <v>RRORCR53R19A783X</v>
      </c>
      <c r="E3059" t="s">
        <v>52</v>
      </c>
      <c r="F3059">
        <v>2014</v>
      </c>
      <c r="G3059" t="s">
        <v>443</v>
      </c>
      <c r="H3059" s="1">
        <v>41920</v>
      </c>
      <c r="I3059" s="1">
        <v>41928</v>
      </c>
      <c r="J3059" s="1">
        <v>41928</v>
      </c>
      <c r="K3059" s="1">
        <v>41988</v>
      </c>
      <c r="N3059" s="5"/>
      <c r="O3059">
        <v>294.07</v>
      </c>
      <c r="P3059">
        <v>52</v>
      </c>
      <c r="Q3059" s="2">
        <v>15291.64</v>
      </c>
      <c r="R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 s="1">
        <v>42382</v>
      </c>
      <c r="AC3059" t="s">
        <v>53</v>
      </c>
      <c r="AD3059" t="s">
        <v>53</v>
      </c>
      <c r="AK3059">
        <v>0</v>
      </c>
      <c r="AU3059" s="6">
        <v>42040</v>
      </c>
      <c r="AV3059" s="6">
        <v>42040</v>
      </c>
      <c r="AW3059" t="s">
        <v>54</v>
      </c>
      <c r="AX3059" t="str">
        <f t="shared" si="255"/>
        <v>FOR</v>
      </c>
      <c r="AY3059" t="s">
        <v>55</v>
      </c>
    </row>
    <row r="3060" spans="1:51" hidden="1">
      <c r="A3060">
        <v>100996</v>
      </c>
      <c r="B3060" t="s">
        <v>440</v>
      </c>
      <c r="C3060" t="str">
        <f t="shared" si="260"/>
        <v>00610690620</v>
      </c>
      <c r="D3060" t="str">
        <f t="shared" si="261"/>
        <v>RRORCR53R19A783X</v>
      </c>
      <c r="E3060" t="s">
        <v>52</v>
      </c>
      <c r="F3060">
        <v>2014</v>
      </c>
      <c r="G3060" t="s">
        <v>264</v>
      </c>
      <c r="H3060" s="1">
        <v>41928</v>
      </c>
      <c r="I3060" s="1">
        <v>41936</v>
      </c>
      <c r="J3060" s="1">
        <v>41936</v>
      </c>
      <c r="K3060" s="1">
        <v>41996</v>
      </c>
      <c r="N3060" s="5"/>
      <c r="O3060">
        <v>380.78</v>
      </c>
      <c r="P3060">
        <v>44</v>
      </c>
      <c r="Q3060" s="2">
        <v>16754.32</v>
      </c>
      <c r="R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 s="1">
        <v>42382</v>
      </c>
      <c r="AC3060" t="s">
        <v>53</v>
      </c>
      <c r="AD3060" t="s">
        <v>53</v>
      </c>
      <c r="AK3060">
        <v>0</v>
      </c>
      <c r="AU3060" s="6">
        <v>42040</v>
      </c>
      <c r="AV3060" s="6">
        <v>42040</v>
      </c>
      <c r="AW3060" t="s">
        <v>54</v>
      </c>
      <c r="AX3060" t="str">
        <f t="shared" si="255"/>
        <v>FOR</v>
      </c>
      <c r="AY3060" t="s">
        <v>55</v>
      </c>
    </row>
    <row r="3061" spans="1:51" hidden="1">
      <c r="A3061">
        <v>100996</v>
      </c>
      <c r="B3061" t="s">
        <v>440</v>
      </c>
      <c r="C3061" t="str">
        <f t="shared" si="260"/>
        <v>00610690620</v>
      </c>
      <c r="D3061" t="str">
        <f t="shared" si="261"/>
        <v>RRORCR53R19A783X</v>
      </c>
      <c r="E3061" t="s">
        <v>52</v>
      </c>
      <c r="F3061">
        <v>2014</v>
      </c>
      <c r="G3061" t="s">
        <v>265</v>
      </c>
      <c r="H3061" s="1">
        <v>41935</v>
      </c>
      <c r="I3061" s="1">
        <v>41949</v>
      </c>
      <c r="J3061" s="1">
        <v>41949</v>
      </c>
      <c r="K3061" s="1">
        <v>42009</v>
      </c>
      <c r="N3061" s="5"/>
      <c r="O3061">
        <v>291.37</v>
      </c>
      <c r="P3061">
        <v>31</v>
      </c>
      <c r="Q3061" s="2">
        <v>9032.4699999999993</v>
      </c>
      <c r="R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 s="1">
        <v>42382</v>
      </c>
      <c r="AC3061" t="s">
        <v>53</v>
      </c>
      <c r="AD3061" t="s">
        <v>53</v>
      </c>
      <c r="AK3061">
        <v>0</v>
      </c>
      <c r="AU3061" s="6">
        <v>42040</v>
      </c>
      <c r="AV3061" s="6">
        <v>42040</v>
      </c>
      <c r="AW3061" t="s">
        <v>54</v>
      </c>
      <c r="AX3061" t="str">
        <f t="shared" si="255"/>
        <v>FOR</v>
      </c>
      <c r="AY3061" t="s">
        <v>55</v>
      </c>
    </row>
    <row r="3062" spans="1:51" hidden="1">
      <c r="A3062">
        <v>100996</v>
      </c>
      <c r="B3062" t="s">
        <v>440</v>
      </c>
      <c r="C3062" t="str">
        <f t="shared" si="260"/>
        <v>00610690620</v>
      </c>
      <c r="D3062" t="str">
        <f t="shared" si="261"/>
        <v>RRORCR53R19A783X</v>
      </c>
      <c r="E3062" t="s">
        <v>52</v>
      </c>
      <c r="F3062">
        <v>2014</v>
      </c>
      <c r="G3062" t="s">
        <v>444</v>
      </c>
      <c r="H3062" s="1">
        <v>41942</v>
      </c>
      <c r="I3062" s="1">
        <v>41953</v>
      </c>
      <c r="J3062" s="1">
        <v>41953</v>
      </c>
      <c r="K3062" s="1">
        <v>42013</v>
      </c>
      <c r="N3062" s="5"/>
      <c r="O3062">
        <v>300.70999999999998</v>
      </c>
      <c r="P3062">
        <v>27</v>
      </c>
      <c r="Q3062" s="2">
        <v>8119.17</v>
      </c>
      <c r="R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 s="1">
        <v>42382</v>
      </c>
      <c r="AC3062" t="s">
        <v>53</v>
      </c>
      <c r="AD3062" t="s">
        <v>53</v>
      </c>
      <c r="AK3062">
        <v>0</v>
      </c>
      <c r="AU3062" s="6">
        <v>42040</v>
      </c>
      <c r="AV3062" s="6">
        <v>42040</v>
      </c>
      <c r="AW3062" t="s">
        <v>54</v>
      </c>
      <c r="AX3062" t="str">
        <f t="shared" si="255"/>
        <v>FOR</v>
      </c>
      <c r="AY3062" t="s">
        <v>55</v>
      </c>
    </row>
    <row r="3063" spans="1:51" hidden="1">
      <c r="A3063">
        <v>100996</v>
      </c>
      <c r="B3063" t="s">
        <v>440</v>
      </c>
      <c r="C3063" t="str">
        <f t="shared" si="260"/>
        <v>00610690620</v>
      </c>
      <c r="D3063" t="str">
        <f t="shared" si="261"/>
        <v>RRORCR53R19A783X</v>
      </c>
      <c r="E3063" t="s">
        <v>52</v>
      </c>
      <c r="F3063">
        <v>2014</v>
      </c>
      <c r="G3063" t="s">
        <v>266</v>
      </c>
      <c r="H3063" s="1">
        <v>41948</v>
      </c>
      <c r="I3063" s="1">
        <v>41955</v>
      </c>
      <c r="J3063" s="1">
        <v>41955</v>
      </c>
      <c r="K3063" s="1">
        <v>42015</v>
      </c>
      <c r="N3063" s="5"/>
      <c r="O3063">
        <v>389.55</v>
      </c>
      <c r="P3063">
        <v>25</v>
      </c>
      <c r="Q3063" s="2">
        <v>9738.75</v>
      </c>
      <c r="R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 s="1">
        <v>42382</v>
      </c>
      <c r="AC3063" t="s">
        <v>53</v>
      </c>
      <c r="AD3063" t="s">
        <v>53</v>
      </c>
      <c r="AK3063">
        <v>0</v>
      </c>
      <c r="AU3063" s="6">
        <v>42040</v>
      </c>
      <c r="AV3063" s="6">
        <v>42040</v>
      </c>
      <c r="AW3063" t="s">
        <v>54</v>
      </c>
      <c r="AX3063" t="str">
        <f t="shared" si="255"/>
        <v>FOR</v>
      </c>
      <c r="AY3063" t="s">
        <v>55</v>
      </c>
    </row>
    <row r="3064" spans="1:51" hidden="1">
      <c r="A3064">
        <v>100996</v>
      </c>
      <c r="B3064" t="s">
        <v>440</v>
      </c>
      <c r="C3064" t="str">
        <f t="shared" si="260"/>
        <v>00610690620</v>
      </c>
      <c r="D3064" t="str">
        <f t="shared" si="261"/>
        <v>RRORCR53R19A783X</v>
      </c>
      <c r="E3064" t="s">
        <v>52</v>
      </c>
      <c r="F3064">
        <v>2014</v>
      </c>
      <c r="G3064" t="s">
        <v>267</v>
      </c>
      <c r="H3064" s="1">
        <v>41956</v>
      </c>
      <c r="I3064" s="1">
        <v>41970</v>
      </c>
      <c r="J3064" s="1">
        <v>41970</v>
      </c>
      <c r="K3064" s="1">
        <v>42030</v>
      </c>
      <c r="N3064" s="5"/>
      <c r="O3064">
        <v>265.27999999999997</v>
      </c>
      <c r="P3064">
        <v>10</v>
      </c>
      <c r="Q3064" s="2">
        <v>2652.8</v>
      </c>
      <c r="R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 s="1">
        <v>42382</v>
      </c>
      <c r="AC3064" t="s">
        <v>53</v>
      </c>
      <c r="AD3064" t="s">
        <v>53</v>
      </c>
      <c r="AK3064">
        <v>0</v>
      </c>
      <c r="AU3064" s="6">
        <v>42040</v>
      </c>
      <c r="AV3064" s="6">
        <v>42040</v>
      </c>
      <c r="AW3064" t="s">
        <v>54</v>
      </c>
      <c r="AX3064" t="str">
        <f t="shared" si="255"/>
        <v>FOR</v>
      </c>
      <c r="AY3064" t="s">
        <v>55</v>
      </c>
    </row>
    <row r="3065" spans="1:51" hidden="1">
      <c r="A3065">
        <v>100996</v>
      </c>
      <c r="B3065" t="s">
        <v>440</v>
      </c>
      <c r="C3065" t="str">
        <f t="shared" si="260"/>
        <v>00610690620</v>
      </c>
      <c r="D3065" t="str">
        <f t="shared" si="261"/>
        <v>RRORCR53R19A783X</v>
      </c>
      <c r="E3065" t="s">
        <v>52</v>
      </c>
      <c r="F3065">
        <v>2014</v>
      </c>
      <c r="G3065" t="s">
        <v>445</v>
      </c>
      <c r="H3065" s="1">
        <v>41963</v>
      </c>
      <c r="I3065" s="1">
        <v>41970</v>
      </c>
      <c r="J3065" s="1">
        <v>41970</v>
      </c>
      <c r="K3065" s="1">
        <v>42030</v>
      </c>
      <c r="N3065" s="5"/>
      <c r="O3065">
        <v>392.38</v>
      </c>
      <c r="P3065">
        <v>10</v>
      </c>
      <c r="Q3065" s="2">
        <v>3923.8</v>
      </c>
      <c r="R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 s="1">
        <v>42382</v>
      </c>
      <c r="AC3065" t="s">
        <v>53</v>
      </c>
      <c r="AD3065" t="s">
        <v>53</v>
      </c>
      <c r="AK3065">
        <v>0</v>
      </c>
      <c r="AU3065" s="6">
        <v>42040</v>
      </c>
      <c r="AV3065" s="6">
        <v>42040</v>
      </c>
      <c r="AW3065" t="s">
        <v>54</v>
      </c>
      <c r="AX3065" t="str">
        <f t="shared" si="255"/>
        <v>FOR</v>
      </c>
      <c r="AY3065" t="s">
        <v>55</v>
      </c>
    </row>
    <row r="3066" spans="1:51" hidden="1">
      <c r="A3066">
        <v>100996</v>
      </c>
      <c r="B3066" t="s">
        <v>440</v>
      </c>
      <c r="C3066" t="str">
        <f t="shared" si="260"/>
        <v>00610690620</v>
      </c>
      <c r="D3066" t="str">
        <f t="shared" si="261"/>
        <v>RRORCR53R19A783X</v>
      </c>
      <c r="E3066" t="s">
        <v>52</v>
      </c>
      <c r="F3066">
        <v>2014</v>
      </c>
      <c r="G3066" t="s">
        <v>446</v>
      </c>
      <c r="H3066" s="1">
        <v>41971</v>
      </c>
      <c r="I3066" s="1">
        <v>41983</v>
      </c>
      <c r="J3066" s="1">
        <v>41983</v>
      </c>
      <c r="K3066" s="1">
        <v>42043</v>
      </c>
      <c r="N3066" s="5"/>
      <c r="O3066">
        <v>346.24</v>
      </c>
      <c r="P3066">
        <v>-3</v>
      </c>
      <c r="Q3066" s="2">
        <v>-1038.72</v>
      </c>
      <c r="R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 s="1">
        <v>42382</v>
      </c>
      <c r="AC3066" t="s">
        <v>53</v>
      </c>
      <c r="AD3066" t="s">
        <v>53</v>
      </c>
      <c r="AK3066">
        <v>0</v>
      </c>
      <c r="AU3066" s="6">
        <v>42040</v>
      </c>
      <c r="AV3066" s="6">
        <v>42040</v>
      </c>
      <c r="AW3066" t="s">
        <v>54</v>
      </c>
      <c r="AX3066" t="str">
        <f t="shared" si="255"/>
        <v>FOR</v>
      </c>
      <c r="AY3066" t="s">
        <v>55</v>
      </c>
    </row>
    <row r="3067" spans="1:51" hidden="1">
      <c r="A3067">
        <v>100996</v>
      </c>
      <c r="B3067" t="s">
        <v>440</v>
      </c>
      <c r="C3067" t="str">
        <f t="shared" si="260"/>
        <v>00610690620</v>
      </c>
      <c r="D3067" t="str">
        <f t="shared" si="261"/>
        <v>RRORCR53R19A783X</v>
      </c>
      <c r="E3067" t="s">
        <v>52</v>
      </c>
      <c r="F3067">
        <v>2014</v>
      </c>
      <c r="G3067" t="s">
        <v>447</v>
      </c>
      <c r="H3067" s="1">
        <v>41983</v>
      </c>
      <c r="I3067" s="1">
        <v>41988</v>
      </c>
      <c r="J3067" s="1">
        <v>41988</v>
      </c>
      <c r="K3067" s="1">
        <v>42048</v>
      </c>
      <c r="N3067" s="5"/>
      <c r="O3067">
        <v>260.60000000000002</v>
      </c>
      <c r="P3067">
        <v>-8</v>
      </c>
      <c r="Q3067" s="2">
        <v>-2084.8000000000002</v>
      </c>
      <c r="R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 s="1">
        <v>42382</v>
      </c>
      <c r="AC3067" t="s">
        <v>53</v>
      </c>
      <c r="AD3067" t="s">
        <v>53</v>
      </c>
      <c r="AK3067">
        <v>0</v>
      </c>
      <c r="AU3067" s="6">
        <v>42040</v>
      </c>
      <c r="AV3067" s="6">
        <v>42040</v>
      </c>
      <c r="AW3067" t="s">
        <v>54</v>
      </c>
      <c r="AX3067" t="str">
        <f t="shared" si="255"/>
        <v>FOR</v>
      </c>
      <c r="AY3067" t="s">
        <v>55</v>
      </c>
    </row>
    <row r="3068" spans="1:51" hidden="1">
      <c r="A3068">
        <v>100996</v>
      </c>
      <c r="B3068" t="s">
        <v>440</v>
      </c>
      <c r="C3068" t="str">
        <f t="shared" si="260"/>
        <v>00610690620</v>
      </c>
      <c r="D3068" t="str">
        <f t="shared" si="261"/>
        <v>RRORCR53R19A783X</v>
      </c>
      <c r="E3068" t="s">
        <v>52</v>
      </c>
      <c r="F3068">
        <v>2014</v>
      </c>
      <c r="G3068" t="s">
        <v>448</v>
      </c>
      <c r="H3068" s="1">
        <v>41985</v>
      </c>
      <c r="I3068" s="1">
        <v>41991</v>
      </c>
      <c r="J3068" s="1">
        <v>41991</v>
      </c>
      <c r="K3068" s="1">
        <v>42051</v>
      </c>
      <c r="N3068" s="5"/>
      <c r="O3068">
        <v>262.83999999999997</v>
      </c>
      <c r="P3068">
        <v>-11</v>
      </c>
      <c r="Q3068" s="2">
        <v>-2891.24</v>
      </c>
      <c r="R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 s="1">
        <v>42382</v>
      </c>
      <c r="AC3068" t="s">
        <v>53</v>
      </c>
      <c r="AD3068" t="s">
        <v>53</v>
      </c>
      <c r="AK3068">
        <v>0</v>
      </c>
      <c r="AU3068" s="6">
        <v>42040</v>
      </c>
      <c r="AV3068" s="6">
        <v>42040</v>
      </c>
      <c r="AW3068" t="s">
        <v>54</v>
      </c>
      <c r="AX3068" t="str">
        <f t="shared" si="255"/>
        <v>FOR</v>
      </c>
      <c r="AY3068" t="s">
        <v>55</v>
      </c>
    </row>
    <row r="3069" spans="1:51" hidden="1">
      <c r="A3069">
        <v>100996</v>
      </c>
      <c r="B3069" t="s">
        <v>440</v>
      </c>
      <c r="C3069" t="str">
        <f t="shared" si="260"/>
        <v>00610690620</v>
      </c>
      <c r="D3069" t="str">
        <f t="shared" si="261"/>
        <v>RRORCR53R19A783X</v>
      </c>
      <c r="E3069" t="s">
        <v>52</v>
      </c>
      <c r="F3069">
        <v>2014</v>
      </c>
      <c r="G3069" t="s">
        <v>449</v>
      </c>
      <c r="H3069" s="1">
        <v>41991</v>
      </c>
      <c r="I3069" s="1">
        <v>41996</v>
      </c>
      <c r="J3069" s="1">
        <v>41996</v>
      </c>
      <c r="K3069" s="1">
        <v>42056</v>
      </c>
      <c r="N3069" s="5"/>
      <c r="O3069">
        <v>332.25</v>
      </c>
      <c r="P3069">
        <v>-16</v>
      </c>
      <c r="Q3069" s="2">
        <v>-5316</v>
      </c>
      <c r="R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 s="1">
        <v>42382</v>
      </c>
      <c r="AC3069" t="s">
        <v>53</v>
      </c>
      <c r="AD3069" t="s">
        <v>53</v>
      </c>
      <c r="AK3069">
        <v>0</v>
      </c>
      <c r="AU3069" s="6">
        <v>42040</v>
      </c>
      <c r="AV3069" s="6">
        <v>42040</v>
      </c>
      <c r="AW3069" t="s">
        <v>54</v>
      </c>
      <c r="AX3069" t="str">
        <f t="shared" si="255"/>
        <v>FOR</v>
      </c>
      <c r="AY3069" t="s">
        <v>55</v>
      </c>
    </row>
    <row r="3070" spans="1:51" hidden="1">
      <c r="A3070">
        <v>100996</v>
      </c>
      <c r="B3070" t="s">
        <v>440</v>
      </c>
      <c r="C3070" t="str">
        <f t="shared" si="260"/>
        <v>00610690620</v>
      </c>
      <c r="D3070" t="str">
        <f t="shared" si="261"/>
        <v>RRORCR53R19A783X</v>
      </c>
      <c r="E3070" t="s">
        <v>52</v>
      </c>
      <c r="F3070">
        <v>2014</v>
      </c>
      <c r="G3070" t="s">
        <v>450</v>
      </c>
      <c r="H3070" s="1">
        <v>41997</v>
      </c>
      <c r="I3070" s="1">
        <v>42004</v>
      </c>
      <c r="J3070" s="1">
        <v>42004</v>
      </c>
      <c r="K3070" s="1">
        <v>42064</v>
      </c>
      <c r="N3070" s="5"/>
      <c r="O3070">
        <v>272.07</v>
      </c>
      <c r="P3070">
        <v>59</v>
      </c>
      <c r="Q3070" s="2">
        <v>16052.13</v>
      </c>
      <c r="R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 s="1">
        <v>42382</v>
      </c>
      <c r="AC3070" t="s">
        <v>53</v>
      </c>
      <c r="AD3070" t="s">
        <v>53</v>
      </c>
      <c r="AK3070">
        <v>0</v>
      </c>
      <c r="AU3070" s="6">
        <v>42123</v>
      </c>
      <c r="AV3070" s="6">
        <v>42123</v>
      </c>
      <c r="AW3070" t="s">
        <v>54</v>
      </c>
      <c r="AX3070" t="str">
        <f t="shared" si="255"/>
        <v>FOR</v>
      </c>
      <c r="AY3070" t="s">
        <v>55</v>
      </c>
    </row>
    <row r="3071" spans="1:51" hidden="1">
      <c r="A3071">
        <v>100996</v>
      </c>
      <c r="B3071" t="s">
        <v>440</v>
      </c>
      <c r="C3071" t="str">
        <f t="shared" si="260"/>
        <v>00610690620</v>
      </c>
      <c r="D3071" t="str">
        <f t="shared" si="261"/>
        <v>RRORCR53R19A783X</v>
      </c>
      <c r="E3071" t="s">
        <v>52</v>
      </c>
      <c r="F3071">
        <v>2015</v>
      </c>
      <c r="G3071" t="s">
        <v>404</v>
      </c>
      <c r="H3071" s="1">
        <v>42011</v>
      </c>
      <c r="I3071" s="1">
        <v>42025</v>
      </c>
      <c r="J3071" s="1">
        <v>42025</v>
      </c>
      <c r="K3071" s="1">
        <v>42085</v>
      </c>
      <c r="N3071" s="5"/>
      <c r="O3071">
        <v>238.8</v>
      </c>
      <c r="P3071">
        <v>38</v>
      </c>
      <c r="Q3071" s="2">
        <v>9074.4</v>
      </c>
      <c r="R3071">
        <v>42.77</v>
      </c>
      <c r="V3071">
        <v>0</v>
      </c>
      <c r="W3071">
        <v>0</v>
      </c>
      <c r="X3071">
        <v>0</v>
      </c>
      <c r="Y3071">
        <v>281.57</v>
      </c>
      <c r="Z3071">
        <v>281.57</v>
      </c>
      <c r="AA3071">
        <v>281.57</v>
      </c>
      <c r="AB3071" s="1">
        <v>42382</v>
      </c>
      <c r="AC3071" t="s">
        <v>53</v>
      </c>
      <c r="AD3071" t="s">
        <v>53</v>
      </c>
      <c r="AK3071">
        <v>42.77</v>
      </c>
      <c r="AU3071" s="6">
        <v>42123</v>
      </c>
      <c r="AV3071" s="6">
        <v>42123</v>
      </c>
      <c r="AW3071" t="s">
        <v>54</v>
      </c>
      <c r="AX3071" t="str">
        <f t="shared" si="255"/>
        <v>FOR</v>
      </c>
      <c r="AY3071" t="s">
        <v>55</v>
      </c>
    </row>
    <row r="3072" spans="1:51" hidden="1">
      <c r="A3072">
        <v>100996</v>
      </c>
      <c r="B3072" t="s">
        <v>440</v>
      </c>
      <c r="C3072" t="str">
        <f t="shared" si="260"/>
        <v>00610690620</v>
      </c>
      <c r="D3072" t="str">
        <f t="shared" si="261"/>
        <v>RRORCR53R19A783X</v>
      </c>
      <c r="E3072" t="s">
        <v>52</v>
      </c>
      <c r="F3072">
        <v>2015</v>
      </c>
      <c r="G3072" t="s">
        <v>434</v>
      </c>
      <c r="H3072" s="1">
        <v>42012</v>
      </c>
      <c r="I3072" s="1">
        <v>42025</v>
      </c>
      <c r="J3072" s="1">
        <v>42025</v>
      </c>
      <c r="K3072" s="1">
        <v>42085</v>
      </c>
      <c r="N3072" s="5"/>
      <c r="O3072">
        <v>246.48</v>
      </c>
      <c r="P3072">
        <v>38</v>
      </c>
      <c r="Q3072" s="2">
        <v>9366.24</v>
      </c>
      <c r="R3072">
        <v>48.18</v>
      </c>
      <c r="V3072">
        <v>0</v>
      </c>
      <c r="W3072">
        <v>0</v>
      </c>
      <c r="X3072">
        <v>0</v>
      </c>
      <c r="Y3072">
        <v>294.66000000000003</v>
      </c>
      <c r="Z3072">
        <v>294.66000000000003</v>
      </c>
      <c r="AA3072">
        <v>294.66000000000003</v>
      </c>
      <c r="AB3072" s="1">
        <v>42382</v>
      </c>
      <c r="AC3072" t="s">
        <v>53</v>
      </c>
      <c r="AD3072" t="s">
        <v>53</v>
      </c>
      <c r="AK3072">
        <v>48.18</v>
      </c>
      <c r="AU3072" s="6">
        <v>42123</v>
      </c>
      <c r="AV3072" s="6">
        <v>42123</v>
      </c>
      <c r="AW3072" t="s">
        <v>54</v>
      </c>
      <c r="AX3072" t="str">
        <f t="shared" si="255"/>
        <v>FOR</v>
      </c>
      <c r="AY3072" t="s">
        <v>55</v>
      </c>
    </row>
    <row r="3073" spans="1:51" hidden="1">
      <c r="A3073">
        <v>100996</v>
      </c>
      <c r="B3073" t="s">
        <v>440</v>
      </c>
      <c r="C3073" t="str">
        <f t="shared" si="260"/>
        <v>00610690620</v>
      </c>
      <c r="D3073" t="str">
        <f t="shared" si="261"/>
        <v>RRORCR53R19A783X</v>
      </c>
      <c r="E3073" t="s">
        <v>52</v>
      </c>
      <c r="F3073">
        <v>2015</v>
      </c>
      <c r="G3073" t="s">
        <v>435</v>
      </c>
      <c r="H3073" s="1">
        <v>42019</v>
      </c>
      <c r="I3073" s="1">
        <v>42025</v>
      </c>
      <c r="J3073" s="1">
        <v>42025</v>
      </c>
      <c r="K3073" s="1">
        <v>42085</v>
      </c>
      <c r="N3073" s="5"/>
      <c r="O3073">
        <v>287</v>
      </c>
      <c r="P3073">
        <v>38</v>
      </c>
      <c r="Q3073" s="2">
        <v>10906</v>
      </c>
      <c r="R3073">
        <v>50.04</v>
      </c>
      <c r="V3073">
        <v>0</v>
      </c>
      <c r="W3073">
        <v>0</v>
      </c>
      <c r="X3073">
        <v>0</v>
      </c>
      <c r="Y3073">
        <v>337.04</v>
      </c>
      <c r="Z3073">
        <v>337.04</v>
      </c>
      <c r="AA3073">
        <v>337.04</v>
      </c>
      <c r="AB3073" s="1">
        <v>42382</v>
      </c>
      <c r="AC3073" t="s">
        <v>53</v>
      </c>
      <c r="AD3073" t="s">
        <v>53</v>
      </c>
      <c r="AK3073">
        <v>50.04</v>
      </c>
      <c r="AU3073" s="6">
        <v>42123</v>
      </c>
      <c r="AV3073" s="6">
        <v>42123</v>
      </c>
      <c r="AW3073" t="s">
        <v>54</v>
      </c>
      <c r="AX3073" t="str">
        <f t="shared" si="255"/>
        <v>FOR</v>
      </c>
      <c r="AY3073" t="s">
        <v>55</v>
      </c>
    </row>
    <row r="3074" spans="1:51" hidden="1">
      <c r="A3074">
        <v>100996</v>
      </c>
      <c r="B3074" t="s">
        <v>440</v>
      </c>
      <c r="C3074" t="str">
        <f t="shared" si="260"/>
        <v>00610690620</v>
      </c>
      <c r="D3074" t="str">
        <f t="shared" si="261"/>
        <v>RRORCR53R19A783X</v>
      </c>
      <c r="E3074" t="s">
        <v>52</v>
      </c>
      <c r="F3074">
        <v>2015</v>
      </c>
      <c r="G3074" t="s">
        <v>436</v>
      </c>
      <c r="H3074" s="1">
        <v>42025</v>
      </c>
      <c r="I3074" s="1">
        <v>42038</v>
      </c>
      <c r="J3074" s="1">
        <v>42038</v>
      </c>
      <c r="K3074" s="1">
        <v>42098</v>
      </c>
      <c r="N3074" s="5"/>
      <c r="O3074">
        <v>377.2</v>
      </c>
      <c r="P3074">
        <v>25</v>
      </c>
      <c r="Q3074" s="2">
        <v>9430</v>
      </c>
      <c r="R3074">
        <v>67.17</v>
      </c>
      <c r="V3074">
        <v>0</v>
      </c>
      <c r="W3074">
        <v>0</v>
      </c>
      <c r="X3074">
        <v>0</v>
      </c>
      <c r="Y3074">
        <v>444.37</v>
      </c>
      <c r="Z3074">
        <v>444.37</v>
      </c>
      <c r="AA3074">
        <v>444.37</v>
      </c>
      <c r="AB3074" s="1">
        <v>42382</v>
      </c>
      <c r="AC3074" t="s">
        <v>53</v>
      </c>
      <c r="AD3074" t="s">
        <v>53</v>
      </c>
      <c r="AK3074">
        <v>67.17</v>
      </c>
      <c r="AU3074" s="6">
        <v>42123</v>
      </c>
      <c r="AV3074" s="6">
        <v>42123</v>
      </c>
      <c r="AW3074" t="s">
        <v>54</v>
      </c>
      <c r="AX3074" t="str">
        <f t="shared" si="255"/>
        <v>FOR</v>
      </c>
      <c r="AY3074" t="s">
        <v>55</v>
      </c>
    </row>
    <row r="3075" spans="1:51" hidden="1">
      <c r="A3075">
        <v>100996</v>
      </c>
      <c r="B3075" t="s">
        <v>440</v>
      </c>
      <c r="C3075" t="str">
        <f t="shared" si="260"/>
        <v>00610690620</v>
      </c>
      <c r="D3075" t="str">
        <f t="shared" si="261"/>
        <v>RRORCR53R19A783X</v>
      </c>
      <c r="E3075" t="s">
        <v>52</v>
      </c>
      <c r="F3075">
        <v>2015</v>
      </c>
      <c r="G3075" t="s">
        <v>437</v>
      </c>
      <c r="H3075" s="1">
        <v>42033</v>
      </c>
      <c r="I3075" s="1">
        <v>42038</v>
      </c>
      <c r="J3075" s="1">
        <v>42038</v>
      </c>
      <c r="K3075" s="1">
        <v>42098</v>
      </c>
      <c r="N3075" s="5"/>
      <c r="O3075">
        <v>385.68</v>
      </c>
      <c r="P3075">
        <v>25</v>
      </c>
      <c r="Q3075" s="2">
        <v>9642</v>
      </c>
      <c r="R3075">
        <v>66.010000000000005</v>
      </c>
      <c r="V3075">
        <v>0</v>
      </c>
      <c r="W3075">
        <v>0</v>
      </c>
      <c r="X3075">
        <v>0</v>
      </c>
      <c r="Y3075">
        <v>451.69</v>
      </c>
      <c r="Z3075">
        <v>451.69</v>
      </c>
      <c r="AA3075">
        <v>451.69</v>
      </c>
      <c r="AB3075" s="1">
        <v>42382</v>
      </c>
      <c r="AC3075" t="s">
        <v>53</v>
      </c>
      <c r="AD3075" t="s">
        <v>53</v>
      </c>
      <c r="AK3075">
        <v>66.010000000000005</v>
      </c>
      <c r="AU3075" s="6">
        <v>42123</v>
      </c>
      <c r="AV3075" s="6">
        <v>42123</v>
      </c>
      <c r="AW3075" t="s">
        <v>54</v>
      </c>
      <c r="AX3075" t="str">
        <f t="shared" ref="AX3075:AX3138" si="262">"FOR"</f>
        <v>FOR</v>
      </c>
      <c r="AY3075" t="s">
        <v>55</v>
      </c>
    </row>
    <row r="3076" spans="1:51" hidden="1">
      <c r="A3076">
        <v>100996</v>
      </c>
      <c r="B3076" t="s">
        <v>440</v>
      </c>
      <c r="C3076" t="str">
        <f t="shared" si="260"/>
        <v>00610690620</v>
      </c>
      <c r="D3076" t="str">
        <f t="shared" si="261"/>
        <v>RRORCR53R19A783X</v>
      </c>
      <c r="E3076" t="s">
        <v>52</v>
      </c>
      <c r="F3076">
        <v>2015</v>
      </c>
      <c r="G3076" t="s">
        <v>405</v>
      </c>
      <c r="H3076" s="1">
        <v>42040</v>
      </c>
      <c r="I3076" s="1">
        <v>42053</v>
      </c>
      <c r="J3076" s="1">
        <v>42053</v>
      </c>
      <c r="K3076" s="1">
        <v>42113</v>
      </c>
      <c r="N3076" s="5"/>
      <c r="O3076">
        <v>482.2</v>
      </c>
      <c r="P3076">
        <v>10</v>
      </c>
      <c r="Q3076" s="2">
        <v>4822</v>
      </c>
      <c r="R3076">
        <v>86.38</v>
      </c>
      <c r="V3076">
        <v>0</v>
      </c>
      <c r="W3076">
        <v>0</v>
      </c>
      <c r="X3076">
        <v>0</v>
      </c>
      <c r="Y3076">
        <v>568.58000000000004</v>
      </c>
      <c r="Z3076">
        <v>568.58000000000004</v>
      </c>
      <c r="AA3076">
        <v>568.58000000000004</v>
      </c>
      <c r="AB3076" s="1">
        <v>42382</v>
      </c>
      <c r="AC3076" t="s">
        <v>53</v>
      </c>
      <c r="AD3076" t="s">
        <v>53</v>
      </c>
      <c r="AK3076">
        <v>86.38</v>
      </c>
      <c r="AU3076" s="6">
        <v>42123</v>
      </c>
      <c r="AV3076" s="6">
        <v>42123</v>
      </c>
      <c r="AW3076" t="s">
        <v>54</v>
      </c>
      <c r="AX3076" t="str">
        <f t="shared" si="262"/>
        <v>FOR</v>
      </c>
      <c r="AY3076" t="s">
        <v>55</v>
      </c>
    </row>
    <row r="3077" spans="1:51" hidden="1">
      <c r="A3077">
        <v>100996</v>
      </c>
      <c r="B3077" t="s">
        <v>440</v>
      </c>
      <c r="C3077" t="str">
        <f t="shared" si="260"/>
        <v>00610690620</v>
      </c>
      <c r="D3077" t="str">
        <f t="shared" si="261"/>
        <v>RRORCR53R19A783X</v>
      </c>
      <c r="E3077" t="s">
        <v>52</v>
      </c>
      <c r="F3077">
        <v>2015</v>
      </c>
      <c r="G3077" t="s">
        <v>451</v>
      </c>
      <c r="H3077" s="1">
        <v>42047</v>
      </c>
      <c r="I3077" s="1">
        <v>42053</v>
      </c>
      <c r="J3077" s="1">
        <v>42053</v>
      </c>
      <c r="K3077" s="1">
        <v>42113</v>
      </c>
      <c r="N3077" s="5"/>
      <c r="O3077">
        <v>257.12</v>
      </c>
      <c r="P3077">
        <v>10</v>
      </c>
      <c r="Q3077" s="2">
        <v>2571.1999999999998</v>
      </c>
      <c r="R3077">
        <v>49.83</v>
      </c>
      <c r="V3077">
        <v>0</v>
      </c>
      <c r="W3077">
        <v>0</v>
      </c>
      <c r="X3077">
        <v>0</v>
      </c>
      <c r="Y3077">
        <v>306.95</v>
      </c>
      <c r="Z3077">
        <v>306.95</v>
      </c>
      <c r="AA3077">
        <v>306.95</v>
      </c>
      <c r="AB3077" s="1">
        <v>42382</v>
      </c>
      <c r="AC3077" t="s">
        <v>53</v>
      </c>
      <c r="AD3077" t="s">
        <v>53</v>
      </c>
      <c r="AK3077">
        <v>49.83</v>
      </c>
      <c r="AU3077" s="6">
        <v>42123</v>
      </c>
      <c r="AV3077" s="6">
        <v>42123</v>
      </c>
      <c r="AW3077" t="s">
        <v>54</v>
      </c>
      <c r="AX3077" t="str">
        <f t="shared" si="262"/>
        <v>FOR</v>
      </c>
      <c r="AY3077" t="s">
        <v>55</v>
      </c>
    </row>
    <row r="3078" spans="1:51" hidden="1">
      <c r="A3078">
        <v>100996</v>
      </c>
      <c r="B3078" t="s">
        <v>440</v>
      </c>
      <c r="C3078" t="str">
        <f t="shared" si="260"/>
        <v>00610690620</v>
      </c>
      <c r="D3078" t="str">
        <f t="shared" si="261"/>
        <v>RRORCR53R19A783X</v>
      </c>
      <c r="E3078" t="s">
        <v>52</v>
      </c>
      <c r="F3078">
        <v>2015</v>
      </c>
      <c r="G3078" t="s">
        <v>452</v>
      </c>
      <c r="H3078" s="1">
        <v>42054</v>
      </c>
      <c r="I3078" s="1">
        <v>42059</v>
      </c>
      <c r="J3078" s="1">
        <v>42059</v>
      </c>
      <c r="K3078" s="1">
        <v>42119</v>
      </c>
      <c r="N3078" s="5"/>
      <c r="O3078">
        <v>184.2</v>
      </c>
      <c r="P3078">
        <v>4</v>
      </c>
      <c r="Q3078">
        <v>736.8</v>
      </c>
      <c r="R3078">
        <v>33.97</v>
      </c>
      <c r="V3078">
        <v>0</v>
      </c>
      <c r="W3078">
        <v>0</v>
      </c>
      <c r="X3078">
        <v>0</v>
      </c>
      <c r="Y3078">
        <v>218.17</v>
      </c>
      <c r="Z3078">
        <v>218.17</v>
      </c>
      <c r="AA3078">
        <v>218.17</v>
      </c>
      <c r="AB3078" s="1">
        <v>42382</v>
      </c>
      <c r="AC3078" t="s">
        <v>53</v>
      </c>
      <c r="AD3078" t="s">
        <v>53</v>
      </c>
      <c r="AK3078">
        <v>33.97</v>
      </c>
      <c r="AU3078" s="6">
        <v>42123</v>
      </c>
      <c r="AV3078" s="6">
        <v>42123</v>
      </c>
      <c r="AW3078" t="s">
        <v>54</v>
      </c>
      <c r="AX3078" t="str">
        <f t="shared" si="262"/>
        <v>FOR</v>
      </c>
      <c r="AY3078" t="s">
        <v>55</v>
      </c>
    </row>
    <row r="3079" spans="1:51" hidden="1">
      <c r="A3079">
        <v>100996</v>
      </c>
      <c r="B3079" t="s">
        <v>440</v>
      </c>
      <c r="C3079" t="str">
        <f t="shared" si="260"/>
        <v>00610690620</v>
      </c>
      <c r="D3079" t="str">
        <f t="shared" si="261"/>
        <v>RRORCR53R19A783X</v>
      </c>
      <c r="E3079" t="s">
        <v>52</v>
      </c>
      <c r="F3079">
        <v>2015</v>
      </c>
      <c r="G3079" t="s">
        <v>453</v>
      </c>
      <c r="H3079" s="1">
        <v>42055</v>
      </c>
      <c r="I3079" s="1">
        <v>42104</v>
      </c>
      <c r="J3079" s="1">
        <v>42104</v>
      </c>
      <c r="K3079" s="1">
        <v>42164</v>
      </c>
      <c r="N3079" s="5"/>
      <c r="O3079">
        <v>110</v>
      </c>
      <c r="P3079">
        <v>-41</v>
      </c>
      <c r="Q3079" s="2">
        <v>-4510</v>
      </c>
      <c r="R3079">
        <v>24.2</v>
      </c>
      <c r="V3079">
        <v>0</v>
      </c>
      <c r="W3079">
        <v>0</v>
      </c>
      <c r="X3079">
        <v>0</v>
      </c>
      <c r="Y3079">
        <v>134.19999999999999</v>
      </c>
      <c r="Z3079">
        <v>134.19999999999999</v>
      </c>
      <c r="AA3079">
        <v>134.19999999999999</v>
      </c>
      <c r="AB3079" s="1">
        <v>42382</v>
      </c>
      <c r="AC3079" t="s">
        <v>53</v>
      </c>
      <c r="AD3079" t="s">
        <v>53</v>
      </c>
      <c r="AK3079">
        <v>24.2</v>
      </c>
      <c r="AU3079" s="6">
        <v>42123</v>
      </c>
      <c r="AV3079" s="6">
        <v>42123</v>
      </c>
      <c r="AW3079" t="s">
        <v>54</v>
      </c>
      <c r="AX3079" t="str">
        <f t="shared" si="262"/>
        <v>FOR</v>
      </c>
      <c r="AY3079" t="s">
        <v>55</v>
      </c>
    </row>
    <row r="3080" spans="1:51" hidden="1">
      <c r="A3080">
        <v>100996</v>
      </c>
      <c r="B3080" t="s">
        <v>440</v>
      </c>
      <c r="C3080" t="str">
        <f t="shared" si="260"/>
        <v>00610690620</v>
      </c>
      <c r="D3080" t="str">
        <f t="shared" si="261"/>
        <v>RRORCR53R19A783X</v>
      </c>
      <c r="E3080" t="s">
        <v>52</v>
      </c>
      <c r="F3080">
        <v>2015</v>
      </c>
      <c r="G3080" t="s">
        <v>232</v>
      </c>
      <c r="H3080" s="1">
        <v>42061</v>
      </c>
      <c r="I3080" s="1">
        <v>42104</v>
      </c>
      <c r="J3080" s="1">
        <v>42104</v>
      </c>
      <c r="K3080" s="1">
        <v>42164</v>
      </c>
      <c r="N3080" s="5"/>
      <c r="O3080">
        <v>249.76</v>
      </c>
      <c r="P3080">
        <v>-41</v>
      </c>
      <c r="Q3080" s="2">
        <v>-10240.16</v>
      </c>
      <c r="R3080">
        <v>48.2</v>
      </c>
      <c r="V3080">
        <v>0</v>
      </c>
      <c r="W3080">
        <v>0</v>
      </c>
      <c r="X3080">
        <v>0</v>
      </c>
      <c r="Y3080">
        <v>297.95999999999998</v>
      </c>
      <c r="Z3080">
        <v>297.95999999999998</v>
      </c>
      <c r="AA3080">
        <v>297.95999999999998</v>
      </c>
      <c r="AB3080" s="1">
        <v>42382</v>
      </c>
      <c r="AC3080" t="s">
        <v>53</v>
      </c>
      <c r="AD3080" t="s">
        <v>53</v>
      </c>
      <c r="AK3080">
        <v>48.2</v>
      </c>
      <c r="AU3080" s="6">
        <v>42123</v>
      </c>
      <c r="AV3080" s="6">
        <v>42123</v>
      </c>
      <c r="AW3080" t="s">
        <v>54</v>
      </c>
      <c r="AX3080" t="str">
        <f t="shared" si="262"/>
        <v>FOR</v>
      </c>
      <c r="AY3080" t="s">
        <v>55</v>
      </c>
    </row>
    <row r="3081" spans="1:51" hidden="1">
      <c r="A3081">
        <v>100996</v>
      </c>
      <c r="B3081" t="s">
        <v>440</v>
      </c>
      <c r="C3081" t="str">
        <f t="shared" si="260"/>
        <v>00610690620</v>
      </c>
      <c r="D3081" t="str">
        <f t="shared" si="261"/>
        <v>RRORCR53R19A783X</v>
      </c>
      <c r="E3081" t="s">
        <v>52</v>
      </c>
      <c r="F3081">
        <v>2015</v>
      </c>
      <c r="G3081" t="s">
        <v>454</v>
      </c>
      <c r="H3081" s="1">
        <v>42067</v>
      </c>
      <c r="I3081" s="1">
        <v>42104</v>
      </c>
      <c r="J3081" s="1">
        <v>42104</v>
      </c>
      <c r="K3081" s="1">
        <v>42164</v>
      </c>
      <c r="N3081" s="5"/>
      <c r="O3081">
        <v>365.28</v>
      </c>
      <c r="P3081">
        <v>-41</v>
      </c>
      <c r="Q3081" s="2">
        <v>-14976.48</v>
      </c>
      <c r="R3081">
        <v>64.55</v>
      </c>
      <c r="V3081">
        <v>0</v>
      </c>
      <c r="W3081">
        <v>0</v>
      </c>
      <c r="X3081">
        <v>0</v>
      </c>
      <c r="Y3081">
        <v>429.83</v>
      </c>
      <c r="Z3081">
        <v>429.83</v>
      </c>
      <c r="AA3081">
        <v>429.83</v>
      </c>
      <c r="AB3081" s="1">
        <v>42382</v>
      </c>
      <c r="AC3081" t="s">
        <v>53</v>
      </c>
      <c r="AD3081" t="s">
        <v>53</v>
      </c>
      <c r="AK3081">
        <v>64.55</v>
      </c>
      <c r="AU3081" s="6">
        <v>42123</v>
      </c>
      <c r="AV3081" s="6">
        <v>42123</v>
      </c>
      <c r="AW3081" t="s">
        <v>54</v>
      </c>
      <c r="AX3081" t="str">
        <f t="shared" si="262"/>
        <v>FOR</v>
      </c>
      <c r="AY3081" t="s">
        <v>55</v>
      </c>
    </row>
    <row r="3082" spans="1:51" hidden="1">
      <c r="A3082">
        <v>100996</v>
      </c>
      <c r="B3082" t="s">
        <v>440</v>
      </c>
      <c r="C3082" t="str">
        <f t="shared" si="260"/>
        <v>00610690620</v>
      </c>
      <c r="D3082" t="str">
        <f t="shared" si="261"/>
        <v>RRORCR53R19A783X</v>
      </c>
      <c r="E3082" t="s">
        <v>52</v>
      </c>
      <c r="F3082">
        <v>2015</v>
      </c>
      <c r="G3082" t="s">
        <v>455</v>
      </c>
      <c r="H3082" s="1">
        <v>42076</v>
      </c>
      <c r="I3082" s="1">
        <v>42086</v>
      </c>
      <c r="J3082" s="1">
        <v>42086</v>
      </c>
      <c r="K3082" s="1">
        <v>42146</v>
      </c>
      <c r="N3082" s="5"/>
      <c r="O3082">
        <v>39.9</v>
      </c>
      <c r="P3082">
        <v>-23</v>
      </c>
      <c r="Q3082">
        <v>-917.7</v>
      </c>
      <c r="R3082">
        <v>8.7799999999999994</v>
      </c>
      <c r="V3082">
        <v>0</v>
      </c>
      <c r="W3082">
        <v>0</v>
      </c>
      <c r="X3082">
        <v>0</v>
      </c>
      <c r="Y3082">
        <v>48.68</v>
      </c>
      <c r="Z3082">
        <v>48.68</v>
      </c>
      <c r="AA3082">
        <v>48.68</v>
      </c>
      <c r="AB3082" s="1">
        <v>42382</v>
      </c>
      <c r="AC3082" t="s">
        <v>53</v>
      </c>
      <c r="AD3082" t="s">
        <v>53</v>
      </c>
      <c r="AK3082">
        <v>8.7799999999999994</v>
      </c>
      <c r="AU3082" s="6">
        <v>42123</v>
      </c>
      <c r="AV3082" s="6">
        <v>42123</v>
      </c>
      <c r="AW3082" t="s">
        <v>54</v>
      </c>
      <c r="AX3082" t="str">
        <f t="shared" si="262"/>
        <v>FOR</v>
      </c>
      <c r="AY3082" t="s">
        <v>55</v>
      </c>
    </row>
    <row r="3083" spans="1:51" hidden="1">
      <c r="A3083">
        <v>100996</v>
      </c>
      <c r="B3083" t="s">
        <v>440</v>
      </c>
      <c r="C3083" t="str">
        <f t="shared" si="260"/>
        <v>00610690620</v>
      </c>
      <c r="D3083" t="str">
        <f t="shared" si="261"/>
        <v>RRORCR53R19A783X</v>
      </c>
      <c r="E3083" t="s">
        <v>52</v>
      </c>
      <c r="F3083">
        <v>2015</v>
      </c>
      <c r="G3083" t="s">
        <v>456</v>
      </c>
      <c r="H3083" s="1">
        <v>42076</v>
      </c>
      <c r="I3083" s="1">
        <v>42086</v>
      </c>
      <c r="J3083" s="1">
        <v>42086</v>
      </c>
      <c r="K3083" s="1">
        <v>42146</v>
      </c>
      <c r="N3083" s="5"/>
      <c r="O3083">
        <v>185.04</v>
      </c>
      <c r="P3083">
        <v>-23</v>
      </c>
      <c r="Q3083" s="2">
        <v>-4255.92</v>
      </c>
      <c r="R3083">
        <v>27.92</v>
      </c>
      <c r="V3083">
        <v>0</v>
      </c>
      <c r="W3083">
        <v>0</v>
      </c>
      <c r="X3083">
        <v>0</v>
      </c>
      <c r="Y3083">
        <v>212.96</v>
      </c>
      <c r="Z3083">
        <v>212.96</v>
      </c>
      <c r="AA3083">
        <v>212.96</v>
      </c>
      <c r="AB3083" s="1">
        <v>42382</v>
      </c>
      <c r="AC3083" t="s">
        <v>53</v>
      </c>
      <c r="AD3083" t="s">
        <v>53</v>
      </c>
      <c r="AK3083">
        <v>27.92</v>
      </c>
      <c r="AU3083" s="6">
        <v>42123</v>
      </c>
      <c r="AV3083" s="6">
        <v>42123</v>
      </c>
      <c r="AW3083" t="s">
        <v>54</v>
      </c>
      <c r="AX3083" t="str">
        <f t="shared" si="262"/>
        <v>FOR</v>
      </c>
      <c r="AY3083" t="s">
        <v>55</v>
      </c>
    </row>
    <row r="3084" spans="1:51" hidden="1">
      <c r="A3084">
        <v>100996</v>
      </c>
      <c r="B3084" t="s">
        <v>440</v>
      </c>
      <c r="C3084" t="str">
        <f t="shared" si="260"/>
        <v>00610690620</v>
      </c>
      <c r="D3084" t="str">
        <f t="shared" si="261"/>
        <v>RRORCR53R19A783X</v>
      </c>
      <c r="E3084" t="s">
        <v>52</v>
      </c>
      <c r="F3084">
        <v>2015</v>
      </c>
      <c r="G3084" t="s">
        <v>77</v>
      </c>
      <c r="H3084" s="1">
        <v>42081</v>
      </c>
      <c r="I3084" s="1">
        <v>42094</v>
      </c>
      <c r="J3084" s="1">
        <v>42094</v>
      </c>
      <c r="K3084" s="1">
        <v>42154</v>
      </c>
      <c r="N3084" s="5"/>
      <c r="O3084">
        <v>375.2</v>
      </c>
      <c r="P3084">
        <v>-31</v>
      </c>
      <c r="Q3084" s="2">
        <v>-11631.2</v>
      </c>
      <c r="R3084">
        <v>56.97</v>
      </c>
      <c r="V3084">
        <v>0</v>
      </c>
      <c r="W3084">
        <v>0</v>
      </c>
      <c r="X3084">
        <v>0</v>
      </c>
      <c r="Y3084">
        <v>432.17</v>
      </c>
      <c r="Z3084">
        <v>432.17</v>
      </c>
      <c r="AA3084">
        <v>432.17</v>
      </c>
      <c r="AB3084" s="1">
        <v>42382</v>
      </c>
      <c r="AC3084" t="s">
        <v>53</v>
      </c>
      <c r="AD3084" t="s">
        <v>53</v>
      </c>
      <c r="AK3084">
        <v>56.97</v>
      </c>
      <c r="AU3084" s="6">
        <v>42123</v>
      </c>
      <c r="AV3084" s="6">
        <v>42123</v>
      </c>
      <c r="AW3084" t="s">
        <v>54</v>
      </c>
      <c r="AX3084" t="str">
        <f t="shared" si="262"/>
        <v>FOR</v>
      </c>
      <c r="AY3084" t="s">
        <v>55</v>
      </c>
    </row>
    <row r="3085" spans="1:51" hidden="1">
      <c r="A3085">
        <v>100996</v>
      </c>
      <c r="B3085" t="s">
        <v>440</v>
      </c>
      <c r="C3085" t="str">
        <f t="shared" si="260"/>
        <v>00610690620</v>
      </c>
      <c r="D3085" t="str">
        <f t="shared" si="261"/>
        <v>RRORCR53R19A783X</v>
      </c>
      <c r="E3085" t="s">
        <v>52</v>
      </c>
      <c r="F3085">
        <v>2015</v>
      </c>
      <c r="G3085" t="s">
        <v>457</v>
      </c>
      <c r="H3085" s="1">
        <v>42081</v>
      </c>
      <c r="I3085" s="1">
        <v>42094</v>
      </c>
      <c r="J3085" s="1">
        <v>42094</v>
      </c>
      <c r="K3085" s="1">
        <v>42154</v>
      </c>
      <c r="N3085" s="5"/>
      <c r="O3085">
        <v>7</v>
      </c>
      <c r="P3085">
        <v>-31</v>
      </c>
      <c r="Q3085">
        <v>-217</v>
      </c>
      <c r="R3085">
        <v>1.54</v>
      </c>
      <c r="V3085">
        <v>0</v>
      </c>
      <c r="W3085">
        <v>0</v>
      </c>
      <c r="X3085">
        <v>0</v>
      </c>
      <c r="Y3085">
        <v>8.5399999999999991</v>
      </c>
      <c r="Z3085">
        <v>8.5399999999999991</v>
      </c>
      <c r="AA3085">
        <v>8.5399999999999991</v>
      </c>
      <c r="AB3085" s="1">
        <v>42382</v>
      </c>
      <c r="AC3085" t="s">
        <v>53</v>
      </c>
      <c r="AD3085" t="s">
        <v>53</v>
      </c>
      <c r="AK3085">
        <v>1.54</v>
      </c>
      <c r="AU3085" s="6">
        <v>42123</v>
      </c>
      <c r="AV3085" s="6">
        <v>42123</v>
      </c>
      <c r="AW3085" t="s">
        <v>54</v>
      </c>
      <c r="AX3085" t="str">
        <f t="shared" si="262"/>
        <v>FOR</v>
      </c>
      <c r="AY3085" t="s">
        <v>55</v>
      </c>
    </row>
    <row r="3086" spans="1:51" hidden="1">
      <c r="A3086">
        <v>100996</v>
      </c>
      <c r="B3086" t="s">
        <v>440</v>
      </c>
      <c r="C3086" t="str">
        <f t="shared" si="260"/>
        <v>00610690620</v>
      </c>
      <c r="D3086" t="str">
        <f t="shared" si="261"/>
        <v>RRORCR53R19A783X</v>
      </c>
      <c r="E3086" t="s">
        <v>52</v>
      </c>
      <c r="F3086">
        <v>2015</v>
      </c>
      <c r="G3086" t="s">
        <v>458</v>
      </c>
      <c r="H3086" s="1">
        <v>42086</v>
      </c>
      <c r="I3086" s="1">
        <v>42094</v>
      </c>
      <c r="J3086" s="1">
        <v>42094</v>
      </c>
      <c r="K3086" s="1">
        <v>42154</v>
      </c>
      <c r="N3086" s="5"/>
      <c r="O3086">
        <v>168.79</v>
      </c>
      <c r="P3086">
        <v>-31</v>
      </c>
      <c r="Q3086" s="2">
        <v>-5232.49</v>
      </c>
      <c r="R3086">
        <v>19.86</v>
      </c>
      <c r="V3086">
        <v>0</v>
      </c>
      <c r="W3086">
        <v>0</v>
      </c>
      <c r="X3086">
        <v>0</v>
      </c>
      <c r="Y3086">
        <v>188.65</v>
      </c>
      <c r="Z3086">
        <v>188.65</v>
      </c>
      <c r="AA3086">
        <v>188.65</v>
      </c>
      <c r="AB3086" s="1">
        <v>42382</v>
      </c>
      <c r="AC3086" t="s">
        <v>53</v>
      </c>
      <c r="AD3086" t="s">
        <v>53</v>
      </c>
      <c r="AK3086">
        <v>19.86</v>
      </c>
      <c r="AU3086" s="6">
        <v>42123</v>
      </c>
      <c r="AV3086" s="6">
        <v>42123</v>
      </c>
      <c r="AW3086" t="s">
        <v>54</v>
      </c>
      <c r="AX3086" t="str">
        <f t="shared" si="262"/>
        <v>FOR</v>
      </c>
      <c r="AY3086" t="s">
        <v>55</v>
      </c>
    </row>
    <row r="3087" spans="1:51" hidden="1">
      <c r="A3087">
        <v>100996</v>
      </c>
      <c r="B3087" t="s">
        <v>440</v>
      </c>
      <c r="C3087" t="str">
        <f t="shared" si="260"/>
        <v>00610690620</v>
      </c>
      <c r="D3087" t="str">
        <f t="shared" si="261"/>
        <v>RRORCR53R19A783X</v>
      </c>
      <c r="E3087" t="s">
        <v>52</v>
      </c>
      <c r="F3087">
        <v>2015</v>
      </c>
      <c r="G3087" t="s">
        <v>459</v>
      </c>
      <c r="H3087" s="1">
        <v>42086</v>
      </c>
      <c r="I3087" s="1">
        <v>42095</v>
      </c>
      <c r="J3087" s="1">
        <v>42095</v>
      </c>
      <c r="K3087" s="1">
        <v>42155</v>
      </c>
      <c r="N3087" s="5"/>
      <c r="O3087">
        <v>11.5</v>
      </c>
      <c r="P3087">
        <v>-32</v>
      </c>
      <c r="Q3087">
        <v>-368</v>
      </c>
      <c r="R3087">
        <v>2.5299999999999998</v>
      </c>
      <c r="V3087">
        <v>0</v>
      </c>
      <c r="W3087">
        <v>0</v>
      </c>
      <c r="X3087">
        <v>0</v>
      </c>
      <c r="Y3087">
        <v>14.03</v>
      </c>
      <c r="Z3087">
        <v>14.03</v>
      </c>
      <c r="AA3087">
        <v>14.03</v>
      </c>
      <c r="AB3087" s="1">
        <v>42382</v>
      </c>
      <c r="AC3087" t="s">
        <v>53</v>
      </c>
      <c r="AD3087" t="s">
        <v>53</v>
      </c>
      <c r="AK3087">
        <v>2.5299999999999998</v>
      </c>
      <c r="AU3087" s="6">
        <v>42123</v>
      </c>
      <c r="AV3087" s="6">
        <v>42123</v>
      </c>
      <c r="AW3087" t="s">
        <v>54</v>
      </c>
      <c r="AX3087" t="str">
        <f t="shared" si="262"/>
        <v>FOR</v>
      </c>
      <c r="AY3087" t="s">
        <v>55</v>
      </c>
    </row>
    <row r="3088" spans="1:51" hidden="1">
      <c r="A3088">
        <v>100996</v>
      </c>
      <c r="B3088" t="s">
        <v>440</v>
      </c>
      <c r="C3088" t="str">
        <f t="shared" si="260"/>
        <v>00610690620</v>
      </c>
      <c r="D3088" t="str">
        <f t="shared" si="261"/>
        <v>RRORCR53R19A783X</v>
      </c>
      <c r="E3088" t="s">
        <v>52</v>
      </c>
      <c r="F3088">
        <v>2015</v>
      </c>
      <c r="G3088" t="s">
        <v>78</v>
      </c>
      <c r="H3088" s="1">
        <v>42089</v>
      </c>
      <c r="I3088" s="1">
        <v>42095</v>
      </c>
      <c r="J3088" s="1">
        <v>42095</v>
      </c>
      <c r="K3088" s="1">
        <v>42155</v>
      </c>
      <c r="N3088" s="5"/>
      <c r="O3088">
        <v>212.17</v>
      </c>
      <c r="P3088">
        <v>-32</v>
      </c>
      <c r="Q3088" s="2">
        <v>-6789.44</v>
      </c>
      <c r="R3088">
        <v>41.97</v>
      </c>
      <c r="V3088">
        <v>0</v>
      </c>
      <c r="W3088">
        <v>0</v>
      </c>
      <c r="X3088">
        <v>0</v>
      </c>
      <c r="Y3088">
        <v>254.14</v>
      </c>
      <c r="Z3088">
        <v>254.14</v>
      </c>
      <c r="AA3088">
        <v>254.14</v>
      </c>
      <c r="AB3088" s="1">
        <v>42382</v>
      </c>
      <c r="AC3088" t="s">
        <v>53</v>
      </c>
      <c r="AD3088" t="s">
        <v>53</v>
      </c>
      <c r="AK3088">
        <v>41.97</v>
      </c>
      <c r="AU3088" s="6">
        <v>42123</v>
      </c>
      <c r="AV3088" s="6">
        <v>42123</v>
      </c>
      <c r="AW3088" t="s">
        <v>54</v>
      </c>
      <c r="AX3088" t="str">
        <f t="shared" si="262"/>
        <v>FOR</v>
      </c>
      <c r="AY3088" t="s">
        <v>55</v>
      </c>
    </row>
    <row r="3089" spans="1:51" hidden="1">
      <c r="A3089">
        <v>100996</v>
      </c>
      <c r="B3089" t="s">
        <v>440</v>
      </c>
      <c r="C3089" t="str">
        <f t="shared" ref="C3089:C3113" si="263">"00610690620"</f>
        <v>00610690620</v>
      </c>
      <c r="D3089" t="str">
        <f t="shared" ref="D3089:D3113" si="264">"RRORCR53R19A783X"</f>
        <v>RRORCR53R19A783X</v>
      </c>
      <c r="E3089" t="s">
        <v>52</v>
      </c>
      <c r="F3089">
        <v>2015</v>
      </c>
      <c r="G3089" t="s">
        <v>460</v>
      </c>
      <c r="H3089" s="1">
        <v>42093</v>
      </c>
      <c r="I3089" s="1">
        <v>42109</v>
      </c>
      <c r="J3089" s="1">
        <v>42109</v>
      </c>
      <c r="K3089" s="1">
        <v>42169</v>
      </c>
      <c r="N3089" s="5"/>
      <c r="O3089">
        <v>233.4</v>
      </c>
      <c r="P3089">
        <v>-46</v>
      </c>
      <c r="Q3089" s="2">
        <v>-10736.4</v>
      </c>
      <c r="R3089">
        <v>45.59</v>
      </c>
      <c r="V3089">
        <v>0</v>
      </c>
      <c r="W3089">
        <v>0</v>
      </c>
      <c r="X3089">
        <v>0</v>
      </c>
      <c r="Y3089">
        <v>278.99</v>
      </c>
      <c r="Z3089">
        <v>278.99</v>
      </c>
      <c r="AA3089">
        <v>278.99</v>
      </c>
      <c r="AB3089" s="1">
        <v>42382</v>
      </c>
      <c r="AC3089" t="s">
        <v>53</v>
      </c>
      <c r="AD3089" t="s">
        <v>53</v>
      </c>
      <c r="AK3089">
        <v>45.59</v>
      </c>
      <c r="AU3089" s="6">
        <v>42123</v>
      </c>
      <c r="AV3089" s="6">
        <v>42123</v>
      </c>
      <c r="AW3089" t="s">
        <v>54</v>
      </c>
      <c r="AX3089" t="str">
        <f t="shared" si="262"/>
        <v>FOR</v>
      </c>
      <c r="AY3089" t="s">
        <v>55</v>
      </c>
    </row>
    <row r="3090" spans="1:51" hidden="1">
      <c r="A3090">
        <v>100996</v>
      </c>
      <c r="B3090" t="s">
        <v>440</v>
      </c>
      <c r="C3090" t="str">
        <f t="shared" si="263"/>
        <v>00610690620</v>
      </c>
      <c r="D3090" t="str">
        <f t="shared" si="264"/>
        <v>RRORCR53R19A783X</v>
      </c>
      <c r="E3090" t="s">
        <v>52</v>
      </c>
      <c r="F3090">
        <v>2015</v>
      </c>
      <c r="G3090" t="s">
        <v>433</v>
      </c>
      <c r="H3090" s="1">
        <v>42093</v>
      </c>
      <c r="I3090" s="1">
        <v>42109</v>
      </c>
      <c r="J3090" s="1">
        <v>42109</v>
      </c>
      <c r="K3090" s="1">
        <v>42169</v>
      </c>
      <c r="N3090" s="5"/>
      <c r="O3090">
        <v>121.2</v>
      </c>
      <c r="P3090">
        <v>-46</v>
      </c>
      <c r="Q3090" s="2">
        <v>-5575.2</v>
      </c>
      <c r="R3090">
        <v>26.66</v>
      </c>
      <c r="V3090">
        <v>0</v>
      </c>
      <c r="W3090">
        <v>0</v>
      </c>
      <c r="X3090">
        <v>0</v>
      </c>
      <c r="Y3090">
        <v>147.86000000000001</v>
      </c>
      <c r="Z3090">
        <v>147.86000000000001</v>
      </c>
      <c r="AA3090">
        <v>147.86000000000001</v>
      </c>
      <c r="AB3090" s="1">
        <v>42382</v>
      </c>
      <c r="AC3090" t="s">
        <v>53</v>
      </c>
      <c r="AD3090" t="s">
        <v>53</v>
      </c>
      <c r="AK3090">
        <v>26.66</v>
      </c>
      <c r="AU3090" s="6">
        <v>42123</v>
      </c>
      <c r="AV3090" s="6">
        <v>42123</v>
      </c>
      <c r="AW3090" t="s">
        <v>54</v>
      </c>
      <c r="AX3090" t="str">
        <f t="shared" si="262"/>
        <v>FOR</v>
      </c>
      <c r="AY3090" t="s">
        <v>55</v>
      </c>
    </row>
    <row r="3091" spans="1:51" hidden="1">
      <c r="A3091">
        <v>100996</v>
      </c>
      <c r="B3091" t="s">
        <v>440</v>
      </c>
      <c r="C3091" t="str">
        <f t="shared" si="263"/>
        <v>00610690620</v>
      </c>
      <c r="D3091" t="str">
        <f t="shared" si="264"/>
        <v>RRORCR53R19A783X</v>
      </c>
      <c r="E3091" t="s">
        <v>52</v>
      </c>
      <c r="F3091">
        <v>2015</v>
      </c>
      <c r="G3091" t="s">
        <v>406</v>
      </c>
      <c r="H3091" s="1">
        <v>42093</v>
      </c>
      <c r="I3091" s="1">
        <v>42109</v>
      </c>
      <c r="J3091" s="1">
        <v>42109</v>
      </c>
      <c r="K3091" s="1">
        <v>42169</v>
      </c>
      <c r="N3091" s="5"/>
      <c r="O3091">
        <v>27</v>
      </c>
      <c r="P3091">
        <v>-46</v>
      </c>
      <c r="Q3091" s="2">
        <v>-1242</v>
      </c>
      <c r="R3091">
        <v>5.94</v>
      </c>
      <c r="V3091">
        <v>0</v>
      </c>
      <c r="W3091">
        <v>0</v>
      </c>
      <c r="X3091">
        <v>0</v>
      </c>
      <c r="Y3091">
        <v>32.94</v>
      </c>
      <c r="Z3091">
        <v>32.94</v>
      </c>
      <c r="AA3091">
        <v>32.94</v>
      </c>
      <c r="AB3091" s="1">
        <v>42382</v>
      </c>
      <c r="AC3091" t="s">
        <v>53</v>
      </c>
      <c r="AD3091" t="s">
        <v>53</v>
      </c>
      <c r="AK3091">
        <v>5.94</v>
      </c>
      <c r="AU3091" s="6">
        <v>42123</v>
      </c>
      <c r="AV3091" s="6">
        <v>42123</v>
      </c>
      <c r="AW3091" t="s">
        <v>54</v>
      </c>
      <c r="AX3091" t="str">
        <f t="shared" si="262"/>
        <v>FOR</v>
      </c>
      <c r="AY3091" t="s">
        <v>55</v>
      </c>
    </row>
    <row r="3092" spans="1:51" hidden="1">
      <c r="A3092">
        <v>100996</v>
      </c>
      <c r="B3092" t="s">
        <v>440</v>
      </c>
      <c r="C3092" t="str">
        <f t="shared" si="263"/>
        <v>00610690620</v>
      </c>
      <c r="D3092" t="str">
        <f t="shared" si="264"/>
        <v>RRORCR53R19A783X</v>
      </c>
      <c r="E3092" t="s">
        <v>52</v>
      </c>
      <c r="F3092">
        <v>2015</v>
      </c>
      <c r="G3092" t="s">
        <v>461</v>
      </c>
      <c r="H3092" s="1">
        <v>42093</v>
      </c>
      <c r="I3092" s="1">
        <v>42109</v>
      </c>
      <c r="J3092" s="1">
        <v>42109</v>
      </c>
      <c r="K3092" s="1">
        <v>42169</v>
      </c>
      <c r="N3092" s="5"/>
      <c r="O3092">
        <v>340.88</v>
      </c>
      <c r="P3092">
        <v>-46</v>
      </c>
      <c r="Q3092" s="2">
        <v>-15680.48</v>
      </c>
      <c r="R3092">
        <v>59.53</v>
      </c>
      <c r="V3092">
        <v>0</v>
      </c>
      <c r="W3092">
        <v>0</v>
      </c>
      <c r="X3092">
        <v>0</v>
      </c>
      <c r="Y3092">
        <v>400.41</v>
      </c>
      <c r="Z3092">
        <v>400.41</v>
      </c>
      <c r="AA3092">
        <v>400.41</v>
      </c>
      <c r="AB3092" s="1">
        <v>42382</v>
      </c>
      <c r="AC3092" t="s">
        <v>53</v>
      </c>
      <c r="AD3092" t="s">
        <v>53</v>
      </c>
      <c r="AK3092">
        <v>59.53</v>
      </c>
      <c r="AU3092" s="6">
        <v>42123</v>
      </c>
      <c r="AV3092" s="6">
        <v>42123</v>
      </c>
      <c r="AW3092" t="s">
        <v>54</v>
      </c>
      <c r="AX3092" t="str">
        <f t="shared" si="262"/>
        <v>FOR</v>
      </c>
      <c r="AY3092" t="s">
        <v>55</v>
      </c>
    </row>
    <row r="3093" spans="1:51" hidden="1">
      <c r="A3093">
        <v>100996</v>
      </c>
      <c r="B3093" t="s">
        <v>440</v>
      </c>
      <c r="C3093" t="str">
        <f t="shared" si="263"/>
        <v>00610690620</v>
      </c>
      <c r="D3093" t="str">
        <f t="shared" si="264"/>
        <v>RRORCR53R19A783X</v>
      </c>
      <c r="E3093" t="s">
        <v>52</v>
      </c>
      <c r="F3093">
        <v>2015</v>
      </c>
      <c r="G3093" t="s">
        <v>462</v>
      </c>
      <c r="H3093" s="1">
        <v>42139</v>
      </c>
      <c r="I3093" s="1">
        <v>42172</v>
      </c>
      <c r="J3093" s="1">
        <v>42139</v>
      </c>
      <c r="K3093" s="1">
        <v>42199</v>
      </c>
      <c r="N3093" s="5"/>
      <c r="O3093">
        <v>258.76</v>
      </c>
      <c r="P3093">
        <v>-15</v>
      </c>
      <c r="Q3093" s="2">
        <v>-3881.4</v>
      </c>
      <c r="R3093">
        <v>50.88</v>
      </c>
      <c r="V3093">
        <v>0</v>
      </c>
      <c r="W3093">
        <v>0</v>
      </c>
      <c r="X3093">
        <v>0</v>
      </c>
      <c r="Y3093">
        <v>309.64</v>
      </c>
      <c r="Z3093">
        <v>309.64</v>
      </c>
      <c r="AA3093">
        <v>309.64</v>
      </c>
      <c r="AB3093" s="1">
        <v>42382</v>
      </c>
      <c r="AC3093" t="s">
        <v>53</v>
      </c>
      <c r="AD3093" t="s">
        <v>53</v>
      </c>
      <c r="AJ3093">
        <v>50.88</v>
      </c>
      <c r="AK3093">
        <v>0</v>
      </c>
      <c r="AU3093" s="6">
        <v>42184</v>
      </c>
      <c r="AV3093" s="6">
        <v>42184</v>
      </c>
      <c r="AW3093" t="s">
        <v>54</v>
      </c>
      <c r="AX3093" t="str">
        <f t="shared" si="262"/>
        <v>FOR</v>
      </c>
      <c r="AY3093" t="s">
        <v>55</v>
      </c>
    </row>
    <row r="3094" spans="1:51" hidden="1">
      <c r="A3094">
        <v>100996</v>
      </c>
      <c r="B3094" t="s">
        <v>440</v>
      </c>
      <c r="C3094" t="str">
        <f t="shared" si="263"/>
        <v>00610690620</v>
      </c>
      <c r="D3094" t="str">
        <f t="shared" si="264"/>
        <v>RRORCR53R19A783X</v>
      </c>
      <c r="E3094" t="s">
        <v>52</v>
      </c>
      <c r="F3094">
        <v>2015</v>
      </c>
      <c r="G3094" t="s">
        <v>463</v>
      </c>
      <c r="H3094" s="1">
        <v>42139</v>
      </c>
      <c r="I3094" s="1">
        <v>42165</v>
      </c>
      <c r="J3094" s="1">
        <v>42139</v>
      </c>
      <c r="K3094" s="1">
        <v>42199</v>
      </c>
      <c r="N3094" s="5"/>
      <c r="O3094">
        <v>340.08</v>
      </c>
      <c r="P3094">
        <v>-15</v>
      </c>
      <c r="Q3094" s="2">
        <v>-5101.2</v>
      </c>
      <c r="R3094">
        <v>68.77</v>
      </c>
      <c r="V3094">
        <v>0</v>
      </c>
      <c r="W3094">
        <v>0</v>
      </c>
      <c r="X3094">
        <v>0</v>
      </c>
      <c r="Y3094">
        <v>408.85</v>
      </c>
      <c r="Z3094">
        <v>408.85</v>
      </c>
      <c r="AA3094">
        <v>408.85</v>
      </c>
      <c r="AB3094" s="1">
        <v>42382</v>
      </c>
      <c r="AC3094" t="s">
        <v>53</v>
      </c>
      <c r="AD3094" t="s">
        <v>53</v>
      </c>
      <c r="AJ3094">
        <v>68.77</v>
      </c>
      <c r="AK3094">
        <v>0</v>
      </c>
      <c r="AU3094" s="6">
        <v>42184</v>
      </c>
      <c r="AV3094" s="6">
        <v>42184</v>
      </c>
      <c r="AW3094" t="s">
        <v>54</v>
      </c>
      <c r="AX3094" t="str">
        <f t="shared" si="262"/>
        <v>FOR</v>
      </c>
      <c r="AY3094" t="s">
        <v>55</v>
      </c>
    </row>
    <row r="3095" spans="1:51" hidden="1">
      <c r="A3095">
        <v>100996</v>
      </c>
      <c r="B3095" t="s">
        <v>440</v>
      </c>
      <c r="C3095" t="str">
        <f t="shared" si="263"/>
        <v>00610690620</v>
      </c>
      <c r="D3095" t="str">
        <f t="shared" si="264"/>
        <v>RRORCR53R19A783X</v>
      </c>
      <c r="E3095" t="s">
        <v>52</v>
      </c>
      <c r="F3095">
        <v>2015</v>
      </c>
      <c r="G3095" t="s">
        <v>464</v>
      </c>
      <c r="H3095" s="1">
        <v>42145</v>
      </c>
      <c r="I3095" s="1">
        <v>42163</v>
      </c>
      <c r="J3095" s="1">
        <v>42152</v>
      </c>
      <c r="K3095" s="1">
        <v>42212</v>
      </c>
      <c r="N3095" s="5"/>
      <c r="O3095">
        <v>238.68</v>
      </c>
      <c r="P3095">
        <v>-28</v>
      </c>
      <c r="Q3095" s="2">
        <v>-6683.04</v>
      </c>
      <c r="R3095">
        <v>49.57</v>
      </c>
      <c r="V3095">
        <v>0</v>
      </c>
      <c r="W3095">
        <v>0</v>
      </c>
      <c r="X3095">
        <v>0</v>
      </c>
      <c r="Y3095">
        <v>288.25</v>
      </c>
      <c r="Z3095">
        <v>288.25</v>
      </c>
      <c r="AA3095">
        <v>288.25</v>
      </c>
      <c r="AB3095" s="1">
        <v>42382</v>
      </c>
      <c r="AC3095" t="s">
        <v>53</v>
      </c>
      <c r="AD3095" t="s">
        <v>53</v>
      </c>
      <c r="AJ3095">
        <v>49.57</v>
      </c>
      <c r="AK3095">
        <v>0</v>
      </c>
      <c r="AU3095" s="6">
        <v>42184</v>
      </c>
      <c r="AV3095" s="6">
        <v>42184</v>
      </c>
      <c r="AW3095" t="s">
        <v>54</v>
      </c>
      <c r="AX3095" t="str">
        <f t="shared" si="262"/>
        <v>FOR</v>
      </c>
      <c r="AY3095" t="s">
        <v>55</v>
      </c>
    </row>
    <row r="3096" spans="1:51" hidden="1">
      <c r="A3096">
        <v>100996</v>
      </c>
      <c r="B3096" t="s">
        <v>440</v>
      </c>
      <c r="C3096" t="str">
        <f t="shared" si="263"/>
        <v>00610690620</v>
      </c>
      <c r="D3096" t="str">
        <f t="shared" si="264"/>
        <v>RRORCR53R19A783X</v>
      </c>
      <c r="E3096" t="s">
        <v>52</v>
      </c>
      <c r="F3096">
        <v>2015</v>
      </c>
      <c r="G3096" t="s">
        <v>465</v>
      </c>
      <c r="H3096" s="1">
        <v>42154</v>
      </c>
      <c r="I3096" s="1">
        <v>42164</v>
      </c>
      <c r="J3096" s="1">
        <v>42159</v>
      </c>
      <c r="K3096" s="1">
        <v>42219</v>
      </c>
      <c r="N3096" s="5"/>
      <c r="O3096">
        <v>374.38</v>
      </c>
      <c r="P3096">
        <v>-35</v>
      </c>
      <c r="Q3096" s="2">
        <v>-13103.3</v>
      </c>
      <c r="R3096">
        <v>70.27</v>
      </c>
      <c r="V3096">
        <v>0</v>
      </c>
      <c r="W3096">
        <v>0</v>
      </c>
      <c r="X3096">
        <v>0</v>
      </c>
      <c r="Y3096">
        <v>444.65</v>
      </c>
      <c r="Z3096">
        <v>444.65</v>
      </c>
      <c r="AA3096">
        <v>444.65</v>
      </c>
      <c r="AB3096" s="1">
        <v>42382</v>
      </c>
      <c r="AC3096" t="s">
        <v>53</v>
      </c>
      <c r="AD3096" t="s">
        <v>53</v>
      </c>
      <c r="AI3096">
        <v>70.27</v>
      </c>
      <c r="AK3096">
        <v>0</v>
      </c>
      <c r="AU3096" s="6">
        <v>42184</v>
      </c>
      <c r="AV3096" s="6">
        <v>42184</v>
      </c>
      <c r="AW3096" t="s">
        <v>54</v>
      </c>
      <c r="AX3096" t="str">
        <f t="shared" si="262"/>
        <v>FOR</v>
      </c>
      <c r="AY3096" t="s">
        <v>55</v>
      </c>
    </row>
    <row r="3097" spans="1:51" hidden="1">
      <c r="A3097">
        <v>100996</v>
      </c>
      <c r="B3097" t="s">
        <v>440</v>
      </c>
      <c r="C3097" t="str">
        <f t="shared" si="263"/>
        <v>00610690620</v>
      </c>
      <c r="D3097" t="str">
        <f t="shared" si="264"/>
        <v>RRORCR53R19A783X</v>
      </c>
      <c r="E3097" t="s">
        <v>52</v>
      </c>
      <c r="F3097">
        <v>2015</v>
      </c>
      <c r="G3097" t="s">
        <v>466</v>
      </c>
      <c r="H3097" s="1">
        <v>42164</v>
      </c>
      <c r="I3097" s="1">
        <v>42166</v>
      </c>
      <c r="J3097" s="1">
        <v>42164</v>
      </c>
      <c r="K3097" s="1">
        <v>42224</v>
      </c>
      <c r="N3097" s="5"/>
      <c r="O3097">
        <v>171.16</v>
      </c>
      <c r="P3097">
        <v>-40</v>
      </c>
      <c r="Q3097" s="2">
        <v>-6846.4</v>
      </c>
      <c r="R3097">
        <v>37.659999999999997</v>
      </c>
      <c r="V3097">
        <v>0</v>
      </c>
      <c r="W3097">
        <v>0</v>
      </c>
      <c r="X3097">
        <v>0</v>
      </c>
      <c r="Y3097">
        <v>208.82</v>
      </c>
      <c r="Z3097">
        <v>208.82</v>
      </c>
      <c r="AA3097">
        <v>208.82</v>
      </c>
      <c r="AB3097" s="1">
        <v>42382</v>
      </c>
      <c r="AC3097" t="s">
        <v>53</v>
      </c>
      <c r="AD3097" t="s">
        <v>53</v>
      </c>
      <c r="AI3097">
        <v>37.659999999999997</v>
      </c>
      <c r="AK3097">
        <v>0</v>
      </c>
      <c r="AU3097" s="6">
        <v>42184</v>
      </c>
      <c r="AV3097" s="6">
        <v>42184</v>
      </c>
      <c r="AW3097" t="s">
        <v>54</v>
      </c>
      <c r="AX3097" t="str">
        <f t="shared" si="262"/>
        <v>FOR</v>
      </c>
      <c r="AY3097" t="s">
        <v>55</v>
      </c>
    </row>
    <row r="3098" spans="1:51" hidden="1">
      <c r="A3098">
        <v>100996</v>
      </c>
      <c r="B3098" t="s">
        <v>440</v>
      </c>
      <c r="C3098" t="str">
        <f t="shared" si="263"/>
        <v>00610690620</v>
      </c>
      <c r="D3098" t="str">
        <f t="shared" si="264"/>
        <v>RRORCR53R19A783X</v>
      </c>
      <c r="E3098" t="s">
        <v>52</v>
      </c>
      <c r="F3098">
        <v>2015</v>
      </c>
      <c r="G3098" t="s">
        <v>467</v>
      </c>
      <c r="H3098" s="1">
        <v>42164</v>
      </c>
      <c r="I3098" s="1">
        <v>42166</v>
      </c>
      <c r="J3098" s="1">
        <v>42164</v>
      </c>
      <c r="K3098" s="1">
        <v>42224</v>
      </c>
      <c r="N3098" s="5"/>
      <c r="O3098">
        <v>57.34</v>
      </c>
      <c r="P3098">
        <v>-40</v>
      </c>
      <c r="Q3098" s="2">
        <v>-2293.6</v>
      </c>
      <c r="R3098">
        <v>12.61</v>
      </c>
      <c r="V3098">
        <v>0</v>
      </c>
      <c r="W3098">
        <v>0</v>
      </c>
      <c r="X3098">
        <v>0</v>
      </c>
      <c r="Y3098">
        <v>69.95</v>
      </c>
      <c r="Z3098">
        <v>69.95</v>
      </c>
      <c r="AA3098">
        <v>69.95</v>
      </c>
      <c r="AB3098" s="1">
        <v>42382</v>
      </c>
      <c r="AC3098" t="s">
        <v>53</v>
      </c>
      <c r="AD3098" t="s">
        <v>53</v>
      </c>
      <c r="AI3098">
        <v>12.61</v>
      </c>
      <c r="AK3098">
        <v>0</v>
      </c>
      <c r="AU3098" s="6">
        <v>42184</v>
      </c>
      <c r="AV3098" s="6">
        <v>42184</v>
      </c>
      <c r="AW3098" t="s">
        <v>54</v>
      </c>
      <c r="AX3098" t="str">
        <f t="shared" si="262"/>
        <v>FOR</v>
      </c>
      <c r="AY3098" t="s">
        <v>55</v>
      </c>
    </row>
    <row r="3099" spans="1:51" hidden="1">
      <c r="A3099">
        <v>100996</v>
      </c>
      <c r="B3099" t="s">
        <v>440</v>
      </c>
      <c r="C3099" t="str">
        <f t="shared" si="263"/>
        <v>00610690620</v>
      </c>
      <c r="D3099" t="str">
        <f t="shared" si="264"/>
        <v>RRORCR53R19A783X</v>
      </c>
      <c r="E3099" t="s">
        <v>52</v>
      </c>
      <c r="F3099">
        <v>2015</v>
      </c>
      <c r="G3099" t="s">
        <v>468</v>
      </c>
      <c r="H3099" s="1">
        <v>42164</v>
      </c>
      <c r="I3099" s="1">
        <v>42166</v>
      </c>
      <c r="J3099" s="1">
        <v>42164</v>
      </c>
      <c r="K3099" s="1">
        <v>42224</v>
      </c>
      <c r="N3099" s="5"/>
      <c r="O3099">
        <v>302.72000000000003</v>
      </c>
      <c r="P3099">
        <v>-40</v>
      </c>
      <c r="Q3099" s="2">
        <v>-12108.8</v>
      </c>
      <c r="R3099">
        <v>66.599999999999994</v>
      </c>
      <c r="V3099">
        <v>0</v>
      </c>
      <c r="W3099">
        <v>0</v>
      </c>
      <c r="X3099">
        <v>0</v>
      </c>
      <c r="Y3099">
        <v>369.32</v>
      </c>
      <c r="Z3099">
        <v>369.32</v>
      </c>
      <c r="AA3099">
        <v>369.32</v>
      </c>
      <c r="AB3099" s="1">
        <v>42382</v>
      </c>
      <c r="AC3099" t="s">
        <v>53</v>
      </c>
      <c r="AD3099" t="s">
        <v>53</v>
      </c>
      <c r="AI3099">
        <v>66.599999999999994</v>
      </c>
      <c r="AK3099">
        <v>0</v>
      </c>
      <c r="AU3099" s="6">
        <v>42184</v>
      </c>
      <c r="AV3099" s="6">
        <v>42184</v>
      </c>
      <c r="AW3099" t="s">
        <v>54</v>
      </c>
      <c r="AX3099" t="str">
        <f t="shared" si="262"/>
        <v>FOR</v>
      </c>
      <c r="AY3099" t="s">
        <v>55</v>
      </c>
    </row>
    <row r="3100" spans="1:51" hidden="1">
      <c r="A3100">
        <v>100996</v>
      </c>
      <c r="B3100" t="s">
        <v>440</v>
      </c>
      <c r="C3100" t="str">
        <f t="shared" si="263"/>
        <v>00610690620</v>
      </c>
      <c r="D3100" t="str">
        <f t="shared" si="264"/>
        <v>RRORCR53R19A783X</v>
      </c>
      <c r="E3100" t="s">
        <v>52</v>
      </c>
      <c r="F3100">
        <v>2015</v>
      </c>
      <c r="G3100" t="s">
        <v>469</v>
      </c>
      <c r="H3100" s="1">
        <v>42164</v>
      </c>
      <c r="I3100" s="1">
        <v>42166</v>
      </c>
      <c r="J3100" s="1">
        <v>42164</v>
      </c>
      <c r="K3100" s="1">
        <v>42224</v>
      </c>
      <c r="N3100" s="5"/>
      <c r="O3100">
        <v>384.16</v>
      </c>
      <c r="P3100">
        <v>-40</v>
      </c>
      <c r="Q3100" s="2">
        <v>-15366.4</v>
      </c>
      <c r="R3100">
        <v>66.03</v>
      </c>
      <c r="V3100">
        <v>0</v>
      </c>
      <c r="W3100">
        <v>0</v>
      </c>
      <c r="X3100">
        <v>0</v>
      </c>
      <c r="Y3100">
        <v>450.19</v>
      </c>
      <c r="Z3100">
        <v>450.19</v>
      </c>
      <c r="AA3100">
        <v>450.19</v>
      </c>
      <c r="AB3100" s="1">
        <v>42382</v>
      </c>
      <c r="AC3100" t="s">
        <v>53</v>
      </c>
      <c r="AD3100" t="s">
        <v>53</v>
      </c>
      <c r="AI3100">
        <v>66.03</v>
      </c>
      <c r="AK3100">
        <v>0</v>
      </c>
      <c r="AU3100" s="6">
        <v>42184</v>
      </c>
      <c r="AV3100" s="6">
        <v>42184</v>
      </c>
      <c r="AW3100" t="s">
        <v>54</v>
      </c>
      <c r="AX3100" t="str">
        <f t="shared" si="262"/>
        <v>FOR</v>
      </c>
      <c r="AY3100" t="s">
        <v>55</v>
      </c>
    </row>
    <row r="3101" spans="1:51" hidden="1">
      <c r="A3101">
        <v>100996</v>
      </c>
      <c r="B3101" t="s">
        <v>440</v>
      </c>
      <c r="C3101" t="str">
        <f t="shared" si="263"/>
        <v>00610690620</v>
      </c>
      <c r="D3101" t="str">
        <f t="shared" si="264"/>
        <v>RRORCR53R19A783X</v>
      </c>
      <c r="E3101" t="s">
        <v>52</v>
      </c>
      <c r="F3101">
        <v>2015</v>
      </c>
      <c r="G3101" t="s">
        <v>470</v>
      </c>
      <c r="H3101" s="1">
        <v>42166</v>
      </c>
      <c r="I3101" s="1">
        <v>42171</v>
      </c>
      <c r="J3101" s="1">
        <v>42166</v>
      </c>
      <c r="K3101" s="1">
        <v>42226</v>
      </c>
      <c r="N3101" s="5"/>
      <c r="O3101">
        <v>564.58000000000004</v>
      </c>
      <c r="P3101">
        <v>-42</v>
      </c>
      <c r="Q3101" s="2">
        <v>-23712.36</v>
      </c>
      <c r="R3101">
        <v>109.59</v>
      </c>
      <c r="V3101">
        <v>0</v>
      </c>
      <c r="W3101">
        <v>0</v>
      </c>
      <c r="X3101">
        <v>0</v>
      </c>
      <c r="Y3101">
        <v>674.17</v>
      </c>
      <c r="Z3101">
        <v>674.17</v>
      </c>
      <c r="AA3101">
        <v>674.17</v>
      </c>
      <c r="AB3101" s="1">
        <v>42382</v>
      </c>
      <c r="AC3101" t="s">
        <v>53</v>
      </c>
      <c r="AD3101" t="s">
        <v>53</v>
      </c>
      <c r="AI3101">
        <v>109.59</v>
      </c>
      <c r="AK3101">
        <v>0</v>
      </c>
      <c r="AU3101" s="6">
        <v>42184</v>
      </c>
      <c r="AV3101" s="6">
        <v>42184</v>
      </c>
      <c r="AW3101" t="s">
        <v>54</v>
      </c>
      <c r="AX3101" t="str">
        <f t="shared" si="262"/>
        <v>FOR</v>
      </c>
      <c r="AY3101" t="s">
        <v>55</v>
      </c>
    </row>
    <row r="3102" spans="1:51" hidden="1">
      <c r="A3102">
        <v>100996</v>
      </c>
      <c r="B3102" t="s">
        <v>440</v>
      </c>
      <c r="C3102" t="str">
        <f t="shared" si="263"/>
        <v>00610690620</v>
      </c>
      <c r="D3102" t="str">
        <f t="shared" si="264"/>
        <v>RRORCR53R19A783X</v>
      </c>
      <c r="E3102" t="s">
        <v>52</v>
      </c>
      <c r="F3102">
        <v>2015</v>
      </c>
      <c r="G3102" t="s">
        <v>471</v>
      </c>
      <c r="H3102" s="1">
        <v>42174</v>
      </c>
      <c r="I3102" s="1">
        <v>42177</v>
      </c>
      <c r="J3102" s="1">
        <v>42175</v>
      </c>
      <c r="K3102" s="1">
        <v>42235</v>
      </c>
      <c r="N3102" s="5"/>
      <c r="O3102">
        <v>400.24</v>
      </c>
      <c r="P3102">
        <v>-51</v>
      </c>
      <c r="Q3102" s="2">
        <v>-20412.240000000002</v>
      </c>
      <c r="R3102">
        <v>79.12</v>
      </c>
      <c r="V3102">
        <v>0</v>
      </c>
      <c r="W3102">
        <v>0</v>
      </c>
      <c r="X3102">
        <v>0</v>
      </c>
      <c r="Y3102">
        <v>479.36</v>
      </c>
      <c r="Z3102">
        <v>479.36</v>
      </c>
      <c r="AA3102">
        <v>479.36</v>
      </c>
      <c r="AB3102" s="1">
        <v>42382</v>
      </c>
      <c r="AC3102" t="s">
        <v>53</v>
      </c>
      <c r="AD3102" t="s">
        <v>53</v>
      </c>
      <c r="AI3102">
        <v>79.12</v>
      </c>
      <c r="AK3102">
        <v>0</v>
      </c>
      <c r="AU3102" s="6">
        <v>42184</v>
      </c>
      <c r="AV3102" s="6">
        <v>42184</v>
      </c>
      <c r="AW3102" t="s">
        <v>54</v>
      </c>
      <c r="AX3102" t="str">
        <f t="shared" si="262"/>
        <v>FOR</v>
      </c>
      <c r="AY3102" t="s">
        <v>55</v>
      </c>
    </row>
    <row r="3103" spans="1:51">
      <c r="A3103">
        <v>100996</v>
      </c>
      <c r="B3103" t="s">
        <v>440</v>
      </c>
      <c r="C3103" t="str">
        <f t="shared" si="263"/>
        <v>00610690620</v>
      </c>
      <c r="D3103" t="str">
        <f t="shared" si="264"/>
        <v>RRORCR53R19A783X</v>
      </c>
      <c r="E3103" t="s">
        <v>52</v>
      </c>
      <c r="F3103">
        <v>2015</v>
      </c>
      <c r="G3103" t="s">
        <v>472</v>
      </c>
      <c r="H3103" s="1">
        <v>42180</v>
      </c>
      <c r="I3103" s="1">
        <v>42186</v>
      </c>
      <c r="J3103" s="1">
        <v>42181</v>
      </c>
      <c r="K3103" s="1">
        <v>42241</v>
      </c>
      <c r="L3103" s="7">
        <v>192.34</v>
      </c>
      <c r="M3103" s="5">
        <v>43</v>
      </c>
      <c r="N3103" s="7">
        <v>8270.6200000000008</v>
      </c>
      <c r="O3103">
        <v>192.34</v>
      </c>
      <c r="P3103">
        <v>43</v>
      </c>
      <c r="Q3103" s="2">
        <v>8270.6200000000008</v>
      </c>
      <c r="R3103">
        <v>42.31</v>
      </c>
      <c r="V3103">
        <v>0</v>
      </c>
      <c r="W3103">
        <v>0</v>
      </c>
      <c r="X3103">
        <v>0</v>
      </c>
      <c r="Y3103">
        <v>234.65</v>
      </c>
      <c r="Z3103">
        <v>234.65</v>
      </c>
      <c r="AA3103">
        <v>234.65</v>
      </c>
      <c r="AB3103" s="1">
        <v>42382</v>
      </c>
      <c r="AC3103" t="s">
        <v>53</v>
      </c>
      <c r="AD3103" t="s">
        <v>53</v>
      </c>
      <c r="AI3103">
        <v>42.31</v>
      </c>
      <c r="AK3103">
        <v>0</v>
      </c>
      <c r="AU3103" s="6">
        <v>42284</v>
      </c>
      <c r="AV3103" s="6">
        <v>42284</v>
      </c>
      <c r="AW3103" t="s">
        <v>54</v>
      </c>
      <c r="AX3103" t="str">
        <f t="shared" si="262"/>
        <v>FOR</v>
      </c>
      <c r="AY3103" t="s">
        <v>55</v>
      </c>
    </row>
    <row r="3104" spans="1:51">
      <c r="A3104">
        <v>100996</v>
      </c>
      <c r="B3104" t="s">
        <v>440</v>
      </c>
      <c r="C3104" t="str">
        <f t="shared" si="263"/>
        <v>00610690620</v>
      </c>
      <c r="D3104" t="str">
        <f t="shared" si="264"/>
        <v>RRORCR53R19A783X</v>
      </c>
      <c r="E3104" t="s">
        <v>52</v>
      </c>
      <c r="F3104">
        <v>2015</v>
      </c>
      <c r="G3104" t="s">
        <v>473</v>
      </c>
      <c r="H3104" s="1">
        <v>42186</v>
      </c>
      <c r="I3104" s="1">
        <v>42188</v>
      </c>
      <c r="J3104" s="1">
        <v>42187</v>
      </c>
      <c r="K3104" s="1">
        <v>42247</v>
      </c>
      <c r="L3104" s="7">
        <v>380.92</v>
      </c>
      <c r="M3104" s="5">
        <v>37</v>
      </c>
      <c r="N3104" s="7">
        <v>14094.04</v>
      </c>
      <c r="O3104">
        <v>380.92</v>
      </c>
      <c r="P3104">
        <v>37</v>
      </c>
      <c r="Q3104" s="2">
        <v>14094.04</v>
      </c>
      <c r="R3104">
        <v>80.78</v>
      </c>
      <c r="V3104">
        <v>0</v>
      </c>
      <c r="W3104">
        <v>0</v>
      </c>
      <c r="X3104">
        <v>0</v>
      </c>
      <c r="Y3104">
        <v>461.7</v>
      </c>
      <c r="Z3104">
        <v>461.7</v>
      </c>
      <c r="AA3104">
        <v>461.7</v>
      </c>
      <c r="AB3104" s="1">
        <v>42382</v>
      </c>
      <c r="AC3104" t="s">
        <v>53</v>
      </c>
      <c r="AD3104" t="s">
        <v>53</v>
      </c>
      <c r="AI3104">
        <v>80.78</v>
      </c>
      <c r="AK3104">
        <v>0</v>
      </c>
      <c r="AU3104" s="6">
        <v>42284</v>
      </c>
      <c r="AV3104" s="6">
        <v>42284</v>
      </c>
      <c r="AW3104" t="s">
        <v>54</v>
      </c>
      <c r="AX3104" t="str">
        <f t="shared" si="262"/>
        <v>FOR</v>
      </c>
      <c r="AY3104" t="s">
        <v>55</v>
      </c>
    </row>
    <row r="3105" spans="1:51">
      <c r="A3105">
        <v>100996</v>
      </c>
      <c r="B3105" t="s">
        <v>440</v>
      </c>
      <c r="C3105" t="str">
        <f t="shared" si="263"/>
        <v>00610690620</v>
      </c>
      <c r="D3105" t="str">
        <f t="shared" si="264"/>
        <v>RRORCR53R19A783X</v>
      </c>
      <c r="E3105" t="s">
        <v>52</v>
      </c>
      <c r="F3105">
        <v>2015</v>
      </c>
      <c r="G3105" t="s">
        <v>474</v>
      </c>
      <c r="H3105" s="1">
        <v>42194</v>
      </c>
      <c r="I3105" s="1">
        <v>42198</v>
      </c>
      <c r="J3105" s="1">
        <v>42196</v>
      </c>
      <c r="K3105" s="1">
        <v>42256</v>
      </c>
      <c r="L3105" s="7">
        <v>593.4</v>
      </c>
      <c r="M3105" s="5">
        <v>28</v>
      </c>
      <c r="N3105" s="7">
        <v>16615.2</v>
      </c>
      <c r="O3105">
        <v>593.4</v>
      </c>
      <c r="P3105">
        <v>28</v>
      </c>
      <c r="Q3105" s="2">
        <v>16615.2</v>
      </c>
      <c r="R3105">
        <v>121.4</v>
      </c>
      <c r="V3105">
        <v>0</v>
      </c>
      <c r="W3105">
        <v>0</v>
      </c>
      <c r="X3105">
        <v>0</v>
      </c>
      <c r="Y3105">
        <v>714.8</v>
      </c>
      <c r="Z3105">
        <v>714.8</v>
      </c>
      <c r="AA3105">
        <v>714.8</v>
      </c>
      <c r="AB3105" s="1">
        <v>42382</v>
      </c>
      <c r="AC3105" t="s">
        <v>53</v>
      </c>
      <c r="AD3105" t="s">
        <v>53</v>
      </c>
      <c r="AH3105">
        <v>121.4</v>
      </c>
      <c r="AK3105">
        <v>0</v>
      </c>
      <c r="AU3105" s="6">
        <v>42284</v>
      </c>
      <c r="AV3105" s="6">
        <v>42284</v>
      </c>
      <c r="AW3105" t="s">
        <v>54</v>
      </c>
      <c r="AX3105" t="str">
        <f t="shared" si="262"/>
        <v>FOR</v>
      </c>
      <c r="AY3105" t="s">
        <v>55</v>
      </c>
    </row>
    <row r="3106" spans="1:51">
      <c r="A3106">
        <v>100996</v>
      </c>
      <c r="B3106" t="s">
        <v>440</v>
      </c>
      <c r="C3106" t="str">
        <f t="shared" si="263"/>
        <v>00610690620</v>
      </c>
      <c r="D3106" t="str">
        <f t="shared" si="264"/>
        <v>RRORCR53R19A783X</v>
      </c>
      <c r="E3106" t="s">
        <v>52</v>
      </c>
      <c r="F3106">
        <v>2015</v>
      </c>
      <c r="G3106" t="s">
        <v>475</v>
      </c>
      <c r="H3106" s="1">
        <v>42201</v>
      </c>
      <c r="I3106" s="1">
        <v>42205</v>
      </c>
      <c r="J3106" s="1">
        <v>42202</v>
      </c>
      <c r="K3106" s="1">
        <v>42262</v>
      </c>
      <c r="L3106" s="7">
        <v>192.16</v>
      </c>
      <c r="M3106" s="5">
        <v>22</v>
      </c>
      <c r="N3106" s="7">
        <v>4227.5200000000004</v>
      </c>
      <c r="O3106">
        <v>192.16</v>
      </c>
      <c r="P3106">
        <v>22</v>
      </c>
      <c r="Q3106" s="2">
        <v>4227.5200000000004</v>
      </c>
      <c r="R3106">
        <v>38.5</v>
      </c>
      <c r="V3106">
        <v>0</v>
      </c>
      <c r="W3106">
        <v>0</v>
      </c>
      <c r="X3106">
        <v>0</v>
      </c>
      <c r="Y3106">
        <v>230.66</v>
      </c>
      <c r="Z3106">
        <v>230.66</v>
      </c>
      <c r="AA3106">
        <v>230.66</v>
      </c>
      <c r="AB3106" s="1">
        <v>42382</v>
      </c>
      <c r="AC3106" t="s">
        <v>53</v>
      </c>
      <c r="AD3106" t="s">
        <v>53</v>
      </c>
      <c r="AH3106">
        <v>38.5</v>
      </c>
      <c r="AK3106">
        <v>0</v>
      </c>
      <c r="AU3106" s="6">
        <v>42284</v>
      </c>
      <c r="AV3106" s="6">
        <v>42284</v>
      </c>
      <c r="AW3106" t="s">
        <v>54</v>
      </c>
      <c r="AX3106" t="str">
        <f t="shared" si="262"/>
        <v>FOR</v>
      </c>
      <c r="AY3106" t="s">
        <v>55</v>
      </c>
    </row>
    <row r="3107" spans="1:51">
      <c r="A3107">
        <v>100996</v>
      </c>
      <c r="B3107" t="s">
        <v>440</v>
      </c>
      <c r="C3107" t="str">
        <f t="shared" si="263"/>
        <v>00610690620</v>
      </c>
      <c r="D3107" t="str">
        <f t="shared" si="264"/>
        <v>RRORCR53R19A783X</v>
      </c>
      <c r="E3107" t="s">
        <v>52</v>
      </c>
      <c r="F3107">
        <v>2015</v>
      </c>
      <c r="G3107" t="s">
        <v>476</v>
      </c>
      <c r="H3107" s="1">
        <v>42208</v>
      </c>
      <c r="I3107" s="1">
        <v>42233</v>
      </c>
      <c r="J3107" s="1">
        <v>42209</v>
      </c>
      <c r="K3107" s="1">
        <v>42269</v>
      </c>
      <c r="L3107" s="7">
        <v>114.32</v>
      </c>
      <c r="M3107" s="5">
        <v>15</v>
      </c>
      <c r="N3107" s="7">
        <v>1714.8</v>
      </c>
      <c r="O3107">
        <v>114.32</v>
      </c>
      <c r="P3107">
        <v>15</v>
      </c>
      <c r="Q3107" s="2">
        <v>1714.8</v>
      </c>
      <c r="R3107">
        <v>21.12</v>
      </c>
      <c r="V3107">
        <v>0</v>
      </c>
      <c r="W3107">
        <v>0</v>
      </c>
      <c r="X3107">
        <v>0</v>
      </c>
      <c r="Y3107">
        <v>135.44</v>
      </c>
      <c r="Z3107">
        <v>135.44</v>
      </c>
      <c r="AA3107">
        <v>135.44</v>
      </c>
      <c r="AB3107" s="1">
        <v>42382</v>
      </c>
      <c r="AC3107" t="s">
        <v>53</v>
      </c>
      <c r="AD3107" t="s">
        <v>53</v>
      </c>
      <c r="AH3107">
        <v>21.12</v>
      </c>
      <c r="AK3107">
        <v>0</v>
      </c>
      <c r="AU3107" s="6">
        <v>42284</v>
      </c>
      <c r="AV3107" s="6">
        <v>42284</v>
      </c>
      <c r="AW3107" t="s">
        <v>54</v>
      </c>
      <c r="AX3107" t="str">
        <f t="shared" si="262"/>
        <v>FOR</v>
      </c>
      <c r="AY3107" t="s">
        <v>55</v>
      </c>
    </row>
    <row r="3108" spans="1:51">
      <c r="A3108">
        <v>100996</v>
      </c>
      <c r="B3108" t="s">
        <v>440</v>
      </c>
      <c r="C3108" t="str">
        <f t="shared" si="263"/>
        <v>00610690620</v>
      </c>
      <c r="D3108" t="str">
        <f t="shared" si="264"/>
        <v>RRORCR53R19A783X</v>
      </c>
      <c r="E3108" t="s">
        <v>52</v>
      </c>
      <c r="F3108">
        <v>2015</v>
      </c>
      <c r="G3108" t="s">
        <v>477</v>
      </c>
      <c r="H3108" s="1">
        <v>42214</v>
      </c>
      <c r="I3108" s="1">
        <v>42227</v>
      </c>
      <c r="J3108" s="1">
        <v>42214</v>
      </c>
      <c r="K3108" s="1">
        <v>42274</v>
      </c>
      <c r="L3108" s="7">
        <v>214.8</v>
      </c>
      <c r="M3108" s="5">
        <v>10</v>
      </c>
      <c r="N3108" s="7">
        <v>2148</v>
      </c>
      <c r="O3108">
        <v>214.8</v>
      </c>
      <c r="P3108">
        <v>10</v>
      </c>
      <c r="Q3108" s="2">
        <v>2148</v>
      </c>
      <c r="R3108">
        <v>38.18</v>
      </c>
      <c r="V3108">
        <v>0</v>
      </c>
      <c r="W3108">
        <v>0</v>
      </c>
      <c r="X3108">
        <v>0</v>
      </c>
      <c r="Y3108">
        <v>252.98</v>
      </c>
      <c r="Z3108">
        <v>252.98</v>
      </c>
      <c r="AA3108">
        <v>252.98</v>
      </c>
      <c r="AB3108" s="1">
        <v>42382</v>
      </c>
      <c r="AC3108" t="s">
        <v>53</v>
      </c>
      <c r="AD3108" t="s">
        <v>53</v>
      </c>
      <c r="AH3108">
        <v>38.18</v>
      </c>
      <c r="AK3108">
        <v>0</v>
      </c>
      <c r="AU3108" s="6">
        <v>42284</v>
      </c>
      <c r="AV3108" s="6">
        <v>42284</v>
      </c>
      <c r="AW3108" t="s">
        <v>54</v>
      </c>
      <c r="AX3108" t="str">
        <f t="shared" si="262"/>
        <v>FOR</v>
      </c>
      <c r="AY3108" t="s">
        <v>55</v>
      </c>
    </row>
    <row r="3109" spans="1:51">
      <c r="A3109">
        <v>100996</v>
      </c>
      <c r="B3109" t="s">
        <v>440</v>
      </c>
      <c r="C3109" t="str">
        <f t="shared" si="263"/>
        <v>00610690620</v>
      </c>
      <c r="D3109" t="str">
        <f t="shared" si="264"/>
        <v>RRORCR53R19A783X</v>
      </c>
      <c r="E3109" t="s">
        <v>52</v>
      </c>
      <c r="F3109">
        <v>2015</v>
      </c>
      <c r="G3109" t="s">
        <v>478</v>
      </c>
      <c r="H3109" s="1">
        <v>42223</v>
      </c>
      <c r="I3109" s="1">
        <v>42228</v>
      </c>
      <c r="J3109" s="1">
        <v>42223</v>
      </c>
      <c r="K3109" s="1">
        <v>42283</v>
      </c>
      <c r="L3109" s="7">
        <v>348.45</v>
      </c>
      <c r="M3109" s="5">
        <v>1</v>
      </c>
      <c r="N3109" s="7">
        <v>348.45</v>
      </c>
      <c r="O3109">
        <v>348.45</v>
      </c>
      <c r="P3109">
        <v>1</v>
      </c>
      <c r="Q3109">
        <v>348.45</v>
      </c>
      <c r="R3109">
        <v>64.489999999999995</v>
      </c>
      <c r="V3109">
        <v>0</v>
      </c>
      <c r="W3109">
        <v>0</v>
      </c>
      <c r="X3109">
        <v>0</v>
      </c>
      <c r="Y3109">
        <v>412.94</v>
      </c>
      <c r="Z3109">
        <v>412.94</v>
      </c>
      <c r="AA3109">
        <v>412.94</v>
      </c>
      <c r="AB3109" s="1">
        <v>42382</v>
      </c>
      <c r="AC3109" t="s">
        <v>53</v>
      </c>
      <c r="AD3109" t="s">
        <v>53</v>
      </c>
      <c r="AG3109">
        <v>64.489999999999995</v>
      </c>
      <c r="AK3109">
        <v>0</v>
      </c>
      <c r="AU3109" s="6">
        <v>42284</v>
      </c>
      <c r="AV3109" s="6">
        <v>42284</v>
      </c>
      <c r="AW3109" t="s">
        <v>54</v>
      </c>
      <c r="AX3109" t="str">
        <f t="shared" si="262"/>
        <v>FOR</v>
      </c>
      <c r="AY3109" t="s">
        <v>55</v>
      </c>
    </row>
    <row r="3110" spans="1:51">
      <c r="A3110">
        <v>100996</v>
      </c>
      <c r="B3110" t="s">
        <v>440</v>
      </c>
      <c r="C3110" t="str">
        <f t="shared" si="263"/>
        <v>00610690620</v>
      </c>
      <c r="D3110" t="str">
        <f t="shared" si="264"/>
        <v>RRORCR53R19A783X</v>
      </c>
      <c r="E3110" t="s">
        <v>52</v>
      </c>
      <c r="F3110">
        <v>2015</v>
      </c>
      <c r="G3110" t="s">
        <v>479</v>
      </c>
      <c r="H3110" s="1">
        <v>42237</v>
      </c>
      <c r="I3110" s="1">
        <v>42249</v>
      </c>
      <c r="J3110" s="1">
        <v>42248</v>
      </c>
      <c r="K3110" s="1">
        <v>42308</v>
      </c>
      <c r="L3110" s="7">
        <v>286.60000000000002</v>
      </c>
      <c r="M3110" s="5">
        <v>-24</v>
      </c>
      <c r="N3110" s="7">
        <v>-6878.4</v>
      </c>
      <c r="O3110">
        <v>286.60000000000002</v>
      </c>
      <c r="P3110">
        <v>-24</v>
      </c>
      <c r="Q3110" s="2">
        <v>-6878.4</v>
      </c>
      <c r="R3110">
        <v>53.98</v>
      </c>
      <c r="V3110">
        <v>0</v>
      </c>
      <c r="W3110">
        <v>0</v>
      </c>
      <c r="X3110">
        <v>0</v>
      </c>
      <c r="Y3110">
        <v>340.58</v>
      </c>
      <c r="Z3110">
        <v>340.58</v>
      </c>
      <c r="AA3110">
        <v>340.58</v>
      </c>
      <c r="AB3110" s="1">
        <v>42382</v>
      </c>
      <c r="AC3110" t="s">
        <v>53</v>
      </c>
      <c r="AD3110" t="s">
        <v>53</v>
      </c>
      <c r="AG3110">
        <v>53.98</v>
      </c>
      <c r="AK3110">
        <v>0</v>
      </c>
      <c r="AU3110" s="6">
        <v>42284</v>
      </c>
      <c r="AV3110" s="6">
        <v>42284</v>
      </c>
      <c r="AW3110" t="s">
        <v>54</v>
      </c>
      <c r="AX3110" t="str">
        <f t="shared" si="262"/>
        <v>FOR</v>
      </c>
      <c r="AY3110" t="s">
        <v>55</v>
      </c>
    </row>
    <row r="3111" spans="1:51">
      <c r="A3111">
        <v>100996</v>
      </c>
      <c r="B3111" t="s">
        <v>440</v>
      </c>
      <c r="C3111" t="str">
        <f t="shared" si="263"/>
        <v>00610690620</v>
      </c>
      <c r="D3111" t="str">
        <f t="shared" si="264"/>
        <v>RRORCR53R19A783X</v>
      </c>
      <c r="E3111" t="s">
        <v>52</v>
      </c>
      <c r="F3111">
        <v>2015</v>
      </c>
      <c r="G3111" t="s">
        <v>480</v>
      </c>
      <c r="H3111" s="1">
        <v>42250</v>
      </c>
      <c r="I3111" s="1">
        <v>42251</v>
      </c>
      <c r="J3111" s="1">
        <v>42250</v>
      </c>
      <c r="K3111" s="1">
        <v>42310</v>
      </c>
      <c r="L3111" s="7">
        <v>223.12</v>
      </c>
      <c r="M3111" s="5">
        <v>-26</v>
      </c>
      <c r="N3111" s="7">
        <v>-5801.12</v>
      </c>
      <c r="O3111">
        <v>223.12</v>
      </c>
      <c r="P3111">
        <v>-26</v>
      </c>
      <c r="Q3111" s="2">
        <v>-5801.12</v>
      </c>
      <c r="R3111">
        <v>40.01</v>
      </c>
      <c r="V3111">
        <v>0</v>
      </c>
      <c r="W3111">
        <v>0</v>
      </c>
      <c r="X3111">
        <v>0</v>
      </c>
      <c r="Y3111">
        <v>263.13</v>
      </c>
      <c r="Z3111">
        <v>263.13</v>
      </c>
      <c r="AA3111">
        <v>263.13</v>
      </c>
      <c r="AB3111" s="1">
        <v>42382</v>
      </c>
      <c r="AC3111" t="s">
        <v>53</v>
      </c>
      <c r="AD3111" t="s">
        <v>53</v>
      </c>
      <c r="AF3111">
        <v>40.01</v>
      </c>
      <c r="AK3111">
        <v>0</v>
      </c>
      <c r="AU3111" s="6">
        <v>42284</v>
      </c>
      <c r="AV3111" s="6">
        <v>42284</v>
      </c>
      <c r="AW3111" t="s">
        <v>54</v>
      </c>
      <c r="AX3111" t="str">
        <f t="shared" si="262"/>
        <v>FOR</v>
      </c>
      <c r="AY3111" t="s">
        <v>55</v>
      </c>
    </row>
    <row r="3112" spans="1:51">
      <c r="A3112">
        <v>100996</v>
      </c>
      <c r="B3112" t="s">
        <v>440</v>
      </c>
      <c r="C3112" t="str">
        <f t="shared" si="263"/>
        <v>00610690620</v>
      </c>
      <c r="D3112" t="str">
        <f t="shared" si="264"/>
        <v>RRORCR53R19A783X</v>
      </c>
      <c r="E3112" t="s">
        <v>52</v>
      </c>
      <c r="F3112">
        <v>2015</v>
      </c>
      <c r="G3112" t="s">
        <v>481</v>
      </c>
      <c r="H3112" s="1">
        <v>42257</v>
      </c>
      <c r="I3112" s="1">
        <v>42261</v>
      </c>
      <c r="J3112" s="1">
        <v>42257</v>
      </c>
      <c r="K3112" s="1">
        <v>42317</v>
      </c>
      <c r="L3112" s="7">
        <v>405.08</v>
      </c>
      <c r="M3112" s="5">
        <v>-33</v>
      </c>
      <c r="N3112" s="7">
        <v>-13367.64</v>
      </c>
      <c r="O3112">
        <v>405.08</v>
      </c>
      <c r="P3112">
        <v>-33</v>
      </c>
      <c r="Q3112" s="2">
        <v>-13367.64</v>
      </c>
      <c r="R3112">
        <v>77.02</v>
      </c>
      <c r="V3112">
        <v>0</v>
      </c>
      <c r="W3112">
        <v>0</v>
      </c>
      <c r="X3112">
        <v>0</v>
      </c>
      <c r="Y3112">
        <v>482.1</v>
      </c>
      <c r="Z3112">
        <v>482.1</v>
      </c>
      <c r="AA3112">
        <v>482.1</v>
      </c>
      <c r="AB3112" s="1">
        <v>42382</v>
      </c>
      <c r="AC3112" t="s">
        <v>53</v>
      </c>
      <c r="AD3112" t="s">
        <v>53</v>
      </c>
      <c r="AF3112">
        <v>77.02</v>
      </c>
      <c r="AK3112">
        <v>0</v>
      </c>
      <c r="AU3112" s="6">
        <v>42284</v>
      </c>
      <c r="AV3112" s="6">
        <v>42284</v>
      </c>
      <c r="AW3112" t="s">
        <v>54</v>
      </c>
      <c r="AX3112" t="str">
        <f t="shared" si="262"/>
        <v>FOR</v>
      </c>
      <c r="AY3112" t="s">
        <v>55</v>
      </c>
    </row>
    <row r="3113" spans="1:51">
      <c r="A3113">
        <v>100996</v>
      </c>
      <c r="B3113" t="s">
        <v>440</v>
      </c>
      <c r="C3113" t="str">
        <f t="shared" si="263"/>
        <v>00610690620</v>
      </c>
      <c r="D3113" t="str">
        <f t="shared" si="264"/>
        <v>RRORCR53R19A783X</v>
      </c>
      <c r="E3113" t="s">
        <v>52</v>
      </c>
      <c r="F3113">
        <v>2015</v>
      </c>
      <c r="G3113" t="s">
        <v>482</v>
      </c>
      <c r="H3113" s="1">
        <v>42264</v>
      </c>
      <c r="I3113" s="1">
        <v>42265</v>
      </c>
      <c r="J3113" s="1">
        <v>42264</v>
      </c>
      <c r="K3113" s="1">
        <v>42324</v>
      </c>
      <c r="L3113" s="7">
        <v>290.16000000000003</v>
      </c>
      <c r="M3113" s="5">
        <v>-40</v>
      </c>
      <c r="N3113" s="7">
        <v>-11606.4</v>
      </c>
      <c r="O3113">
        <v>290.16000000000003</v>
      </c>
      <c r="P3113">
        <v>-40</v>
      </c>
      <c r="Q3113" s="2">
        <v>-11606.4</v>
      </c>
      <c r="R3113">
        <v>48.37</v>
      </c>
      <c r="V3113">
        <v>0</v>
      </c>
      <c r="W3113">
        <v>0</v>
      </c>
      <c r="X3113">
        <v>0</v>
      </c>
      <c r="Y3113">
        <v>338.53</v>
      </c>
      <c r="Z3113">
        <v>338.53</v>
      </c>
      <c r="AA3113">
        <v>338.53</v>
      </c>
      <c r="AB3113" s="1">
        <v>42382</v>
      </c>
      <c r="AC3113" t="s">
        <v>53</v>
      </c>
      <c r="AD3113" t="s">
        <v>53</v>
      </c>
      <c r="AF3113">
        <v>48.37</v>
      </c>
      <c r="AK3113">
        <v>0</v>
      </c>
      <c r="AU3113" s="6">
        <v>42284</v>
      </c>
      <c r="AV3113" s="6">
        <v>42284</v>
      </c>
      <c r="AW3113" t="s">
        <v>54</v>
      </c>
      <c r="AX3113" t="str">
        <f t="shared" si="262"/>
        <v>FOR</v>
      </c>
      <c r="AY3113" t="s">
        <v>55</v>
      </c>
    </row>
    <row r="3114" spans="1:51" hidden="1">
      <c r="A3114">
        <v>101005</v>
      </c>
      <c r="B3114" t="s">
        <v>483</v>
      </c>
      <c r="C3114" t="str">
        <f t="shared" ref="C3114:C3123" si="265">"00953780962"</f>
        <v>00953780962</v>
      </c>
      <c r="D3114" t="str">
        <f t="shared" ref="D3114:D3123" si="266">"09331210154"</f>
        <v>09331210154</v>
      </c>
      <c r="E3114" t="s">
        <v>52</v>
      </c>
      <c r="F3114">
        <v>2013</v>
      </c>
      <c r="G3114">
        <v>33115820</v>
      </c>
      <c r="H3114" s="1">
        <v>41450</v>
      </c>
      <c r="I3114" s="1">
        <v>41464</v>
      </c>
      <c r="J3114" s="1">
        <v>41464</v>
      </c>
      <c r="K3114" s="1">
        <v>41554</v>
      </c>
      <c r="N3114" s="5"/>
      <c r="O3114" s="2">
        <v>2284.48</v>
      </c>
      <c r="P3114">
        <v>480</v>
      </c>
      <c r="Q3114" s="2">
        <v>1096550.3999999999</v>
      </c>
      <c r="R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 s="1">
        <v>42382</v>
      </c>
      <c r="AC3114" t="s">
        <v>53</v>
      </c>
      <c r="AD3114" t="s">
        <v>53</v>
      </c>
      <c r="AK3114">
        <v>0</v>
      </c>
      <c r="AU3114" s="6">
        <v>42034</v>
      </c>
      <c r="AV3114" s="6">
        <v>42034</v>
      </c>
      <c r="AW3114" t="s">
        <v>54</v>
      </c>
      <c r="AX3114" t="str">
        <f t="shared" si="262"/>
        <v>FOR</v>
      </c>
      <c r="AY3114" t="s">
        <v>55</v>
      </c>
    </row>
    <row r="3115" spans="1:51" hidden="1">
      <c r="A3115">
        <v>101005</v>
      </c>
      <c r="B3115" t="s">
        <v>483</v>
      </c>
      <c r="C3115" t="str">
        <f t="shared" si="265"/>
        <v>00953780962</v>
      </c>
      <c r="D3115" t="str">
        <f t="shared" si="266"/>
        <v>09331210154</v>
      </c>
      <c r="E3115" t="s">
        <v>52</v>
      </c>
      <c r="F3115">
        <v>2013</v>
      </c>
      <c r="G3115">
        <v>33124404</v>
      </c>
      <c r="H3115" s="1">
        <v>41554</v>
      </c>
      <c r="I3115" s="1">
        <v>41576</v>
      </c>
      <c r="J3115" s="1">
        <v>41576</v>
      </c>
      <c r="K3115" s="1">
        <v>41666</v>
      </c>
      <c r="N3115" s="5"/>
      <c r="O3115" s="2">
        <v>3997.84</v>
      </c>
      <c r="P3115">
        <v>368</v>
      </c>
      <c r="Q3115" s="2">
        <v>1471205.12</v>
      </c>
      <c r="R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 s="1">
        <v>42382</v>
      </c>
      <c r="AC3115" t="s">
        <v>53</v>
      </c>
      <c r="AD3115" t="s">
        <v>53</v>
      </c>
      <c r="AK3115">
        <v>0</v>
      </c>
      <c r="AU3115" s="6">
        <v>42034</v>
      </c>
      <c r="AV3115" s="6">
        <v>42034</v>
      </c>
      <c r="AW3115" t="s">
        <v>54</v>
      </c>
      <c r="AX3115" t="str">
        <f t="shared" si="262"/>
        <v>FOR</v>
      </c>
      <c r="AY3115" t="s">
        <v>55</v>
      </c>
    </row>
    <row r="3116" spans="1:51" hidden="1">
      <c r="A3116">
        <v>101005</v>
      </c>
      <c r="B3116" t="s">
        <v>483</v>
      </c>
      <c r="C3116" t="str">
        <f t="shared" si="265"/>
        <v>00953780962</v>
      </c>
      <c r="D3116" t="str">
        <f t="shared" si="266"/>
        <v>09331210154</v>
      </c>
      <c r="E3116" t="s">
        <v>52</v>
      </c>
      <c r="F3116">
        <v>2013</v>
      </c>
      <c r="G3116">
        <v>33124405</v>
      </c>
      <c r="H3116" s="1">
        <v>41554</v>
      </c>
      <c r="I3116" s="1">
        <v>41576</v>
      </c>
      <c r="J3116" s="1">
        <v>41576</v>
      </c>
      <c r="K3116" s="1">
        <v>41666</v>
      </c>
      <c r="N3116" s="5"/>
      <c r="O3116" s="2">
        <v>2570.04</v>
      </c>
      <c r="P3116">
        <v>368</v>
      </c>
      <c r="Q3116" s="2">
        <v>945774.72</v>
      </c>
      <c r="R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 s="1">
        <v>42382</v>
      </c>
      <c r="AC3116" t="s">
        <v>53</v>
      </c>
      <c r="AD3116" t="s">
        <v>53</v>
      </c>
      <c r="AK3116">
        <v>0</v>
      </c>
      <c r="AU3116" s="6">
        <v>42034</v>
      </c>
      <c r="AV3116" s="6">
        <v>42034</v>
      </c>
      <c r="AW3116" t="s">
        <v>54</v>
      </c>
      <c r="AX3116" t="str">
        <f t="shared" si="262"/>
        <v>FOR</v>
      </c>
      <c r="AY3116" t="s">
        <v>55</v>
      </c>
    </row>
    <row r="3117" spans="1:51" hidden="1">
      <c r="A3117">
        <v>101005</v>
      </c>
      <c r="B3117" t="s">
        <v>483</v>
      </c>
      <c r="C3117" t="str">
        <f t="shared" si="265"/>
        <v>00953780962</v>
      </c>
      <c r="D3117" t="str">
        <f t="shared" si="266"/>
        <v>09331210154</v>
      </c>
      <c r="E3117" t="s">
        <v>52</v>
      </c>
      <c r="F3117">
        <v>2013</v>
      </c>
      <c r="G3117">
        <v>33129291</v>
      </c>
      <c r="H3117" s="1">
        <v>41604</v>
      </c>
      <c r="I3117" s="1">
        <v>41628</v>
      </c>
      <c r="J3117" s="1">
        <v>41628</v>
      </c>
      <c r="K3117" s="1">
        <v>41718</v>
      </c>
      <c r="N3117" s="5"/>
      <c r="O3117" s="2">
        <v>2951.18</v>
      </c>
      <c r="P3117">
        <v>316</v>
      </c>
      <c r="Q3117" s="2">
        <v>932572.88</v>
      </c>
      <c r="R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 s="1">
        <v>42382</v>
      </c>
      <c r="AC3117" t="s">
        <v>53</v>
      </c>
      <c r="AD3117" t="s">
        <v>53</v>
      </c>
      <c r="AK3117">
        <v>0</v>
      </c>
      <c r="AU3117" s="6">
        <v>42034</v>
      </c>
      <c r="AV3117" s="6">
        <v>42034</v>
      </c>
      <c r="AW3117" t="s">
        <v>54</v>
      </c>
      <c r="AX3117" t="str">
        <f t="shared" si="262"/>
        <v>FOR</v>
      </c>
      <c r="AY3117" t="s">
        <v>55</v>
      </c>
    </row>
    <row r="3118" spans="1:51" hidden="1">
      <c r="A3118">
        <v>101005</v>
      </c>
      <c r="B3118" t="s">
        <v>483</v>
      </c>
      <c r="C3118" t="str">
        <f t="shared" si="265"/>
        <v>00953780962</v>
      </c>
      <c r="D3118" t="str">
        <f t="shared" si="266"/>
        <v>09331210154</v>
      </c>
      <c r="E3118" t="s">
        <v>52</v>
      </c>
      <c r="F3118">
        <v>2014</v>
      </c>
      <c r="G3118">
        <v>34101869</v>
      </c>
      <c r="H3118" s="1">
        <v>41667</v>
      </c>
      <c r="I3118" s="1">
        <v>41780</v>
      </c>
      <c r="J3118" s="1">
        <v>41780</v>
      </c>
      <c r="K3118" s="1">
        <v>41870</v>
      </c>
      <c r="N3118" s="5"/>
      <c r="O3118" s="2">
        <v>1583.56</v>
      </c>
      <c r="P3118">
        <v>164</v>
      </c>
      <c r="Q3118" s="2">
        <v>259703.84</v>
      </c>
      <c r="R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 s="1">
        <v>42382</v>
      </c>
      <c r="AC3118" t="s">
        <v>53</v>
      </c>
      <c r="AD3118" t="s">
        <v>53</v>
      </c>
      <c r="AK3118">
        <v>0</v>
      </c>
      <c r="AU3118" s="6">
        <v>42034</v>
      </c>
      <c r="AV3118" s="6">
        <v>42034</v>
      </c>
      <c r="AW3118" t="s">
        <v>54</v>
      </c>
      <c r="AX3118" t="str">
        <f t="shared" si="262"/>
        <v>FOR</v>
      </c>
      <c r="AY3118" t="s">
        <v>55</v>
      </c>
    </row>
    <row r="3119" spans="1:51" hidden="1">
      <c r="A3119">
        <v>101005</v>
      </c>
      <c r="B3119" t="s">
        <v>483</v>
      </c>
      <c r="C3119" t="str">
        <f t="shared" si="265"/>
        <v>00953780962</v>
      </c>
      <c r="D3119" t="str">
        <f t="shared" si="266"/>
        <v>09331210154</v>
      </c>
      <c r="E3119" t="s">
        <v>52</v>
      </c>
      <c r="F3119">
        <v>2014</v>
      </c>
      <c r="G3119">
        <v>34105421</v>
      </c>
      <c r="H3119" s="1">
        <v>41698</v>
      </c>
      <c r="I3119" s="1">
        <v>41780</v>
      </c>
      <c r="J3119" s="1">
        <v>41780</v>
      </c>
      <c r="K3119" s="1">
        <v>41870</v>
      </c>
      <c r="N3119" s="5"/>
      <c r="O3119" s="2">
        <v>1511.58</v>
      </c>
      <c r="P3119">
        <v>164</v>
      </c>
      <c r="Q3119" s="2">
        <v>247899.12</v>
      </c>
      <c r="R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 s="1">
        <v>42382</v>
      </c>
      <c r="AC3119" t="s">
        <v>53</v>
      </c>
      <c r="AD3119" t="s">
        <v>53</v>
      </c>
      <c r="AK3119">
        <v>0</v>
      </c>
      <c r="AU3119" s="6">
        <v>42034</v>
      </c>
      <c r="AV3119" s="6">
        <v>42034</v>
      </c>
      <c r="AW3119" t="s">
        <v>54</v>
      </c>
      <c r="AX3119" t="str">
        <f t="shared" si="262"/>
        <v>FOR</v>
      </c>
      <c r="AY3119" t="s">
        <v>55</v>
      </c>
    </row>
    <row r="3120" spans="1:51" hidden="1">
      <c r="A3120">
        <v>101005</v>
      </c>
      <c r="B3120" t="s">
        <v>483</v>
      </c>
      <c r="C3120" t="str">
        <f t="shared" si="265"/>
        <v>00953780962</v>
      </c>
      <c r="D3120" t="str">
        <f t="shared" si="266"/>
        <v>09331210154</v>
      </c>
      <c r="E3120" t="s">
        <v>52</v>
      </c>
      <c r="F3120">
        <v>2014</v>
      </c>
      <c r="G3120">
        <v>34114043</v>
      </c>
      <c r="H3120" s="1">
        <v>41789</v>
      </c>
      <c r="I3120" s="1">
        <v>42188</v>
      </c>
      <c r="J3120" s="1">
        <v>42188</v>
      </c>
      <c r="K3120" s="1">
        <v>42248</v>
      </c>
      <c r="N3120" s="5"/>
      <c r="O3120" s="2">
        <v>2087.42</v>
      </c>
      <c r="P3120">
        <v>1</v>
      </c>
      <c r="Q3120" s="2">
        <v>2087.42</v>
      </c>
      <c r="R3120">
        <v>0</v>
      </c>
      <c r="V3120">
        <v>0</v>
      </c>
      <c r="W3120">
        <v>0</v>
      </c>
      <c r="X3120">
        <v>0</v>
      </c>
      <c r="Y3120">
        <v>0</v>
      </c>
      <c r="Z3120" s="2">
        <v>2087.42</v>
      </c>
      <c r="AA3120">
        <v>0</v>
      </c>
      <c r="AB3120" s="1">
        <v>42382</v>
      </c>
      <c r="AC3120" t="s">
        <v>53</v>
      </c>
      <c r="AD3120" t="s">
        <v>53</v>
      </c>
      <c r="AK3120">
        <v>0</v>
      </c>
      <c r="AU3120" s="6">
        <v>42249</v>
      </c>
      <c r="AV3120" s="6">
        <v>42249</v>
      </c>
      <c r="AW3120" t="s">
        <v>54</v>
      </c>
      <c r="AX3120" t="str">
        <f t="shared" si="262"/>
        <v>FOR</v>
      </c>
      <c r="AY3120" t="s">
        <v>55</v>
      </c>
    </row>
    <row r="3121" spans="1:51" hidden="1">
      <c r="A3121">
        <v>101005</v>
      </c>
      <c r="B3121" t="s">
        <v>483</v>
      </c>
      <c r="C3121" t="str">
        <f t="shared" si="265"/>
        <v>00953780962</v>
      </c>
      <c r="D3121" t="str">
        <f t="shared" si="266"/>
        <v>09331210154</v>
      </c>
      <c r="E3121" t="s">
        <v>52</v>
      </c>
      <c r="F3121">
        <v>2014</v>
      </c>
      <c r="G3121">
        <v>34122756</v>
      </c>
      <c r="H3121" s="1">
        <v>41900</v>
      </c>
      <c r="I3121" s="1">
        <v>41914</v>
      </c>
      <c r="J3121" s="1">
        <v>41914</v>
      </c>
      <c r="K3121" s="1">
        <v>42004</v>
      </c>
      <c r="N3121" s="5"/>
      <c r="O3121" s="2">
        <v>1964.2</v>
      </c>
      <c r="P3121">
        <v>126</v>
      </c>
      <c r="Q3121" s="2">
        <v>247489.2</v>
      </c>
      <c r="R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 s="1">
        <v>42382</v>
      </c>
      <c r="AC3121" t="s">
        <v>53</v>
      </c>
      <c r="AD3121" t="s">
        <v>53</v>
      </c>
      <c r="AK3121">
        <v>0</v>
      </c>
      <c r="AU3121" s="6">
        <v>42130</v>
      </c>
      <c r="AV3121" s="6">
        <v>42130</v>
      </c>
      <c r="AW3121" t="s">
        <v>54</v>
      </c>
      <c r="AX3121" t="str">
        <f t="shared" si="262"/>
        <v>FOR</v>
      </c>
      <c r="AY3121" t="s">
        <v>55</v>
      </c>
    </row>
    <row r="3122" spans="1:51" hidden="1">
      <c r="A3122">
        <v>101005</v>
      </c>
      <c r="B3122" t="s">
        <v>483</v>
      </c>
      <c r="C3122" t="str">
        <f t="shared" si="265"/>
        <v>00953780962</v>
      </c>
      <c r="D3122" t="str">
        <f t="shared" si="266"/>
        <v>09331210154</v>
      </c>
      <c r="E3122" t="s">
        <v>52</v>
      </c>
      <c r="F3122">
        <v>2014</v>
      </c>
      <c r="G3122">
        <v>34127782</v>
      </c>
      <c r="H3122" s="1">
        <v>41950</v>
      </c>
      <c r="I3122" s="1">
        <v>41967</v>
      </c>
      <c r="J3122" s="1">
        <v>41967</v>
      </c>
      <c r="K3122" s="1">
        <v>42027</v>
      </c>
      <c r="N3122" s="5"/>
      <c r="O3122">
        <v>350.75</v>
      </c>
      <c r="P3122">
        <v>103</v>
      </c>
      <c r="Q3122" s="2">
        <v>36127.25</v>
      </c>
      <c r="R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 s="1">
        <v>42382</v>
      </c>
      <c r="AC3122" t="s">
        <v>53</v>
      </c>
      <c r="AD3122" t="s">
        <v>53</v>
      </c>
      <c r="AK3122">
        <v>0</v>
      </c>
      <c r="AU3122" s="6">
        <v>42130</v>
      </c>
      <c r="AV3122" s="6">
        <v>42130</v>
      </c>
      <c r="AW3122" t="s">
        <v>54</v>
      </c>
      <c r="AX3122" t="str">
        <f t="shared" si="262"/>
        <v>FOR</v>
      </c>
      <c r="AY3122" t="s">
        <v>55</v>
      </c>
    </row>
    <row r="3123" spans="1:51" hidden="1">
      <c r="A3123">
        <v>101005</v>
      </c>
      <c r="B3123" t="s">
        <v>483</v>
      </c>
      <c r="C3123" t="str">
        <f t="shared" si="265"/>
        <v>00953780962</v>
      </c>
      <c r="D3123" t="str">
        <f t="shared" si="266"/>
        <v>09331210154</v>
      </c>
      <c r="E3123" t="s">
        <v>52</v>
      </c>
      <c r="F3123">
        <v>2014</v>
      </c>
      <c r="G3123">
        <v>34129656</v>
      </c>
      <c r="H3123" s="1">
        <v>41971</v>
      </c>
      <c r="I3123" s="1">
        <v>41985</v>
      </c>
      <c r="J3123" s="1">
        <v>41985</v>
      </c>
      <c r="K3123" s="1">
        <v>42045</v>
      </c>
      <c r="N3123" s="5"/>
      <c r="O3123" s="2">
        <v>2104.5</v>
      </c>
      <c r="P3123">
        <v>85</v>
      </c>
      <c r="Q3123" s="2">
        <v>178882.5</v>
      </c>
      <c r="R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 s="1">
        <v>42382</v>
      </c>
      <c r="AC3123" t="s">
        <v>53</v>
      </c>
      <c r="AD3123" t="s">
        <v>53</v>
      </c>
      <c r="AK3123">
        <v>0</v>
      </c>
      <c r="AU3123" s="6">
        <v>42130</v>
      </c>
      <c r="AV3123" s="6">
        <v>42130</v>
      </c>
      <c r="AW3123" t="s">
        <v>54</v>
      </c>
      <c r="AX3123" t="str">
        <f t="shared" si="262"/>
        <v>FOR</v>
      </c>
      <c r="AY3123" t="s">
        <v>55</v>
      </c>
    </row>
    <row r="3124" spans="1:51" hidden="1">
      <c r="A3124">
        <v>101012</v>
      </c>
      <c r="B3124" t="s">
        <v>484</v>
      </c>
      <c r="C3124" t="str">
        <f>"09693591001"</f>
        <v>09693591001</v>
      </c>
      <c r="D3124" t="str">
        <f>"09693591001"</f>
        <v>09693591001</v>
      </c>
      <c r="E3124" t="s">
        <v>52</v>
      </c>
      <c r="F3124">
        <v>2014</v>
      </c>
      <c r="G3124">
        <v>141267</v>
      </c>
      <c r="H3124" s="1">
        <v>41829</v>
      </c>
      <c r="I3124" s="1">
        <v>41849</v>
      </c>
      <c r="J3124" s="1">
        <v>41849</v>
      </c>
      <c r="K3124" s="1">
        <v>41939</v>
      </c>
      <c r="N3124" s="5"/>
      <c r="O3124" s="2">
        <v>2196</v>
      </c>
      <c r="P3124">
        <v>192</v>
      </c>
      <c r="Q3124" s="2">
        <v>421632</v>
      </c>
      <c r="R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 s="1">
        <v>42382</v>
      </c>
      <c r="AC3124" t="s">
        <v>53</v>
      </c>
      <c r="AD3124" t="s">
        <v>53</v>
      </c>
      <c r="AK3124">
        <v>0</v>
      </c>
      <c r="AU3124" s="6">
        <v>42131</v>
      </c>
      <c r="AV3124" s="6">
        <v>42131</v>
      </c>
      <c r="AW3124" t="s">
        <v>54</v>
      </c>
      <c r="AX3124" t="str">
        <f t="shared" si="262"/>
        <v>FOR</v>
      </c>
      <c r="AY3124" t="s">
        <v>55</v>
      </c>
    </row>
    <row r="3125" spans="1:51" hidden="1">
      <c r="A3125">
        <v>101012</v>
      </c>
      <c r="B3125" t="s">
        <v>484</v>
      </c>
      <c r="C3125" t="str">
        <f>"09693591001"</f>
        <v>09693591001</v>
      </c>
      <c r="D3125" t="str">
        <f>"09693591001"</f>
        <v>09693591001</v>
      </c>
      <c r="E3125" t="s">
        <v>52</v>
      </c>
      <c r="F3125">
        <v>2014</v>
      </c>
      <c r="G3125">
        <v>142076</v>
      </c>
      <c r="H3125" s="1">
        <v>41961</v>
      </c>
      <c r="I3125" s="1">
        <v>41978</v>
      </c>
      <c r="J3125" s="1">
        <v>41978</v>
      </c>
      <c r="K3125" s="1">
        <v>42038</v>
      </c>
      <c r="N3125" s="5"/>
      <c r="O3125" s="2">
        <v>1756.8</v>
      </c>
      <c r="P3125">
        <v>93</v>
      </c>
      <c r="Q3125" s="2">
        <v>163382.39999999999</v>
      </c>
      <c r="R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 s="1">
        <v>42382</v>
      </c>
      <c r="AC3125" t="s">
        <v>53</v>
      </c>
      <c r="AD3125" t="s">
        <v>53</v>
      </c>
      <c r="AK3125">
        <v>0</v>
      </c>
      <c r="AU3125" s="6">
        <v>42131</v>
      </c>
      <c r="AV3125" s="6">
        <v>42131</v>
      </c>
      <c r="AW3125" t="s">
        <v>54</v>
      </c>
      <c r="AX3125" t="str">
        <f t="shared" si="262"/>
        <v>FOR</v>
      </c>
      <c r="AY3125" t="s">
        <v>55</v>
      </c>
    </row>
    <row r="3126" spans="1:51" hidden="1">
      <c r="A3126">
        <v>101019</v>
      </c>
      <c r="B3126" t="s">
        <v>485</v>
      </c>
      <c r="C3126" t="str">
        <f t="shared" ref="C3126:D3136" si="267">"09771701001"</f>
        <v>09771701001</v>
      </c>
      <c r="D3126" t="str">
        <f t="shared" si="267"/>
        <v>09771701001</v>
      </c>
      <c r="E3126" t="s">
        <v>52</v>
      </c>
      <c r="F3126">
        <v>2014</v>
      </c>
      <c r="G3126">
        <v>74938646</v>
      </c>
      <c r="H3126" s="1">
        <v>41996</v>
      </c>
      <c r="I3126" s="1">
        <v>41996</v>
      </c>
      <c r="J3126" s="1">
        <v>41996</v>
      </c>
      <c r="K3126" s="1">
        <v>42056</v>
      </c>
      <c r="N3126" s="5"/>
      <c r="O3126">
        <v>5.04</v>
      </c>
      <c r="P3126">
        <v>-11</v>
      </c>
      <c r="Q3126">
        <v>-55.44</v>
      </c>
      <c r="R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 s="1">
        <v>42382</v>
      </c>
      <c r="AC3126" t="s">
        <v>53</v>
      </c>
      <c r="AD3126" t="s">
        <v>53</v>
      </c>
      <c r="AK3126">
        <v>0</v>
      </c>
      <c r="AU3126" s="6">
        <v>42045</v>
      </c>
      <c r="AV3126" s="6">
        <v>42045</v>
      </c>
      <c r="AW3126" t="s">
        <v>54</v>
      </c>
      <c r="AX3126" t="str">
        <f t="shared" si="262"/>
        <v>FOR</v>
      </c>
      <c r="AY3126" t="s">
        <v>55</v>
      </c>
    </row>
    <row r="3127" spans="1:51" hidden="1">
      <c r="A3127">
        <v>101019</v>
      </c>
      <c r="B3127" t="s">
        <v>485</v>
      </c>
      <c r="C3127" t="str">
        <f t="shared" si="267"/>
        <v>09771701001</v>
      </c>
      <c r="D3127" t="str">
        <f t="shared" si="267"/>
        <v>09771701001</v>
      </c>
      <c r="E3127" t="s">
        <v>52</v>
      </c>
      <c r="F3127">
        <v>2015</v>
      </c>
      <c r="G3127">
        <v>50042415</v>
      </c>
      <c r="H3127" s="1">
        <v>42027</v>
      </c>
      <c r="I3127" s="1">
        <v>42027</v>
      </c>
      <c r="J3127" s="1">
        <v>42027</v>
      </c>
      <c r="K3127" s="1">
        <v>42087</v>
      </c>
      <c r="N3127" s="5"/>
      <c r="O3127">
        <v>4.13</v>
      </c>
      <c r="P3127">
        <v>55</v>
      </c>
      <c r="Q3127">
        <v>227.15</v>
      </c>
      <c r="R3127">
        <v>0</v>
      </c>
      <c r="V3127">
        <v>0</v>
      </c>
      <c r="W3127">
        <v>0</v>
      </c>
      <c r="X3127">
        <v>0</v>
      </c>
      <c r="Y3127">
        <v>5.04</v>
      </c>
      <c r="Z3127">
        <v>5.04</v>
      </c>
      <c r="AA3127">
        <v>5.04</v>
      </c>
      <c r="AB3127" s="1">
        <v>42382</v>
      </c>
      <c r="AC3127" t="s">
        <v>53</v>
      </c>
      <c r="AD3127" t="s">
        <v>53</v>
      </c>
      <c r="AK3127">
        <v>0</v>
      </c>
      <c r="AU3127" s="6">
        <v>42142</v>
      </c>
      <c r="AV3127" s="6">
        <v>42142</v>
      </c>
      <c r="AW3127" t="s">
        <v>54</v>
      </c>
      <c r="AX3127" t="str">
        <f t="shared" si="262"/>
        <v>FOR</v>
      </c>
      <c r="AY3127" t="s">
        <v>55</v>
      </c>
    </row>
    <row r="3128" spans="1:51" hidden="1">
      <c r="A3128">
        <v>101019</v>
      </c>
      <c r="B3128" t="s">
        <v>485</v>
      </c>
      <c r="C3128" t="str">
        <f t="shared" si="267"/>
        <v>09771701001</v>
      </c>
      <c r="D3128" t="str">
        <f t="shared" si="267"/>
        <v>09771701001</v>
      </c>
      <c r="E3128" t="s">
        <v>52</v>
      </c>
      <c r="F3128">
        <v>2015</v>
      </c>
      <c r="G3128" t="s">
        <v>486</v>
      </c>
      <c r="H3128" s="1">
        <v>42147</v>
      </c>
      <c r="I3128" s="1">
        <v>42171</v>
      </c>
      <c r="J3128" s="1">
        <v>42164</v>
      </c>
      <c r="K3128" s="1">
        <v>42224</v>
      </c>
      <c r="N3128" s="5"/>
      <c r="O3128">
        <v>41.31</v>
      </c>
      <c r="P3128">
        <v>25</v>
      </c>
      <c r="Q3128" s="2">
        <v>1032.75</v>
      </c>
      <c r="R3128">
        <v>0</v>
      </c>
      <c r="V3128">
        <v>0</v>
      </c>
      <c r="W3128">
        <v>0</v>
      </c>
      <c r="X3128">
        <v>0</v>
      </c>
      <c r="Y3128">
        <v>44.95</v>
      </c>
      <c r="Z3128">
        <v>44.95</v>
      </c>
      <c r="AA3128">
        <v>44.95</v>
      </c>
      <c r="AB3128" s="1">
        <v>42382</v>
      </c>
      <c r="AC3128" t="s">
        <v>53</v>
      </c>
      <c r="AD3128" t="s">
        <v>53</v>
      </c>
      <c r="AK3128">
        <v>0</v>
      </c>
      <c r="AU3128" s="6">
        <v>42249</v>
      </c>
      <c r="AV3128" s="6">
        <v>42249</v>
      </c>
      <c r="AW3128" t="s">
        <v>54</v>
      </c>
      <c r="AX3128" t="str">
        <f t="shared" si="262"/>
        <v>FOR</v>
      </c>
      <c r="AY3128" t="s">
        <v>55</v>
      </c>
    </row>
    <row r="3129" spans="1:51" hidden="1">
      <c r="A3129">
        <v>101019</v>
      </c>
      <c r="B3129" t="s">
        <v>485</v>
      </c>
      <c r="C3129" t="str">
        <f t="shared" si="267"/>
        <v>09771701001</v>
      </c>
      <c r="D3129" t="str">
        <f t="shared" si="267"/>
        <v>09771701001</v>
      </c>
      <c r="E3129" t="s">
        <v>52</v>
      </c>
      <c r="F3129">
        <v>2015</v>
      </c>
      <c r="G3129" t="s">
        <v>487</v>
      </c>
      <c r="H3129" s="1">
        <v>42147</v>
      </c>
      <c r="I3129" s="1">
        <v>42171</v>
      </c>
      <c r="J3129" s="1">
        <v>42164</v>
      </c>
      <c r="K3129" s="1">
        <v>42224</v>
      </c>
      <c r="N3129" s="5"/>
      <c r="O3129">
        <v>20.65</v>
      </c>
      <c r="P3129">
        <v>25</v>
      </c>
      <c r="Q3129">
        <v>516.25</v>
      </c>
      <c r="R3129">
        <v>0</v>
      </c>
      <c r="V3129">
        <v>0</v>
      </c>
      <c r="W3129">
        <v>0</v>
      </c>
      <c r="X3129">
        <v>0</v>
      </c>
      <c r="Y3129">
        <v>21.79</v>
      </c>
      <c r="Z3129">
        <v>21.79</v>
      </c>
      <c r="AA3129">
        <v>21.79</v>
      </c>
      <c r="AB3129" s="1">
        <v>42382</v>
      </c>
      <c r="AC3129" t="s">
        <v>53</v>
      </c>
      <c r="AD3129" t="s">
        <v>53</v>
      </c>
      <c r="AK3129">
        <v>0</v>
      </c>
      <c r="AU3129" s="6">
        <v>42249</v>
      </c>
      <c r="AV3129" s="6">
        <v>42249</v>
      </c>
      <c r="AW3129" t="s">
        <v>54</v>
      </c>
      <c r="AX3129" t="str">
        <f t="shared" si="262"/>
        <v>FOR</v>
      </c>
      <c r="AY3129" t="s">
        <v>55</v>
      </c>
    </row>
    <row r="3130" spans="1:51" hidden="1">
      <c r="A3130">
        <v>101019</v>
      </c>
      <c r="B3130" t="s">
        <v>485</v>
      </c>
      <c r="C3130" t="str">
        <f t="shared" si="267"/>
        <v>09771701001</v>
      </c>
      <c r="D3130" t="str">
        <f t="shared" si="267"/>
        <v>09771701001</v>
      </c>
      <c r="E3130" t="s">
        <v>52</v>
      </c>
      <c r="F3130">
        <v>2015</v>
      </c>
      <c r="G3130" t="s">
        <v>488</v>
      </c>
      <c r="H3130" s="1">
        <v>42178</v>
      </c>
      <c r="I3130" s="1">
        <v>42192</v>
      </c>
      <c r="J3130" s="1">
        <v>42181</v>
      </c>
      <c r="K3130" s="1">
        <v>42241</v>
      </c>
      <c r="N3130" s="5"/>
      <c r="O3130">
        <v>4.13</v>
      </c>
      <c r="P3130">
        <v>8</v>
      </c>
      <c r="Q3130">
        <v>33.04</v>
      </c>
      <c r="R3130">
        <v>0</v>
      </c>
      <c r="V3130">
        <v>0</v>
      </c>
      <c r="W3130">
        <v>0</v>
      </c>
      <c r="X3130">
        <v>0</v>
      </c>
      <c r="Y3130">
        <v>5.04</v>
      </c>
      <c r="Z3130">
        <v>5.04</v>
      </c>
      <c r="AA3130">
        <v>5.04</v>
      </c>
      <c r="AB3130" s="1">
        <v>42382</v>
      </c>
      <c r="AC3130" t="s">
        <v>53</v>
      </c>
      <c r="AD3130" t="s">
        <v>53</v>
      </c>
      <c r="AK3130">
        <v>0</v>
      </c>
      <c r="AU3130" s="6">
        <v>42249</v>
      </c>
      <c r="AV3130" s="6">
        <v>42249</v>
      </c>
      <c r="AW3130" t="s">
        <v>54</v>
      </c>
      <c r="AX3130" t="str">
        <f t="shared" si="262"/>
        <v>FOR</v>
      </c>
      <c r="AY3130" t="s">
        <v>55</v>
      </c>
    </row>
    <row r="3131" spans="1:51" hidden="1">
      <c r="A3131">
        <v>101019</v>
      </c>
      <c r="B3131" t="s">
        <v>485</v>
      </c>
      <c r="C3131" t="str">
        <f t="shared" si="267"/>
        <v>09771701001</v>
      </c>
      <c r="D3131" t="str">
        <f t="shared" si="267"/>
        <v>09771701001</v>
      </c>
      <c r="E3131" t="s">
        <v>52</v>
      </c>
      <c r="F3131">
        <v>2015</v>
      </c>
      <c r="G3131" t="s">
        <v>489</v>
      </c>
      <c r="H3131" s="1">
        <v>42208</v>
      </c>
      <c r="I3131" s="1">
        <v>42234</v>
      </c>
      <c r="J3131" s="1">
        <v>42210</v>
      </c>
      <c r="K3131" s="1">
        <v>42270</v>
      </c>
      <c r="N3131" s="5"/>
      <c r="O3131">
        <v>4.13</v>
      </c>
      <c r="P3131">
        <v>5</v>
      </c>
      <c r="Q3131">
        <v>20.65</v>
      </c>
      <c r="R3131">
        <v>0</v>
      </c>
      <c r="V3131">
        <v>0</v>
      </c>
      <c r="W3131">
        <v>0</v>
      </c>
      <c r="X3131">
        <v>0</v>
      </c>
      <c r="Y3131">
        <v>5.04</v>
      </c>
      <c r="Z3131">
        <v>5.04</v>
      </c>
      <c r="AA3131">
        <v>5.04</v>
      </c>
      <c r="AB3131" s="1">
        <v>42382</v>
      </c>
      <c r="AC3131" t="s">
        <v>53</v>
      </c>
      <c r="AD3131" t="s">
        <v>53</v>
      </c>
      <c r="AK3131">
        <v>0</v>
      </c>
      <c r="AU3131" s="6">
        <v>42275</v>
      </c>
      <c r="AV3131" s="6">
        <v>42275</v>
      </c>
      <c r="AW3131" t="s">
        <v>54</v>
      </c>
      <c r="AX3131" t="str">
        <f t="shared" si="262"/>
        <v>FOR</v>
      </c>
      <c r="AY3131" t="s">
        <v>55</v>
      </c>
    </row>
    <row r="3132" spans="1:51" hidden="1">
      <c r="A3132">
        <v>101019</v>
      </c>
      <c r="B3132" t="s">
        <v>485</v>
      </c>
      <c r="C3132" t="str">
        <f t="shared" si="267"/>
        <v>09771701001</v>
      </c>
      <c r="D3132" t="str">
        <f t="shared" si="267"/>
        <v>09771701001</v>
      </c>
      <c r="E3132" t="s">
        <v>52</v>
      </c>
      <c r="F3132">
        <v>2015</v>
      </c>
      <c r="G3132" t="s">
        <v>490</v>
      </c>
      <c r="H3132" s="1">
        <v>42239</v>
      </c>
      <c r="I3132" s="1">
        <v>42242</v>
      </c>
      <c r="J3132" s="1">
        <v>42242</v>
      </c>
      <c r="K3132" s="1">
        <v>42302</v>
      </c>
      <c r="N3132" s="5"/>
      <c r="O3132">
        <v>4.13</v>
      </c>
      <c r="P3132">
        <v>-27</v>
      </c>
      <c r="Q3132">
        <v>-111.51</v>
      </c>
      <c r="R3132">
        <v>0</v>
      </c>
      <c r="V3132">
        <v>0</v>
      </c>
      <c r="W3132">
        <v>0</v>
      </c>
      <c r="X3132">
        <v>0</v>
      </c>
      <c r="Y3132">
        <v>5.04</v>
      </c>
      <c r="Z3132">
        <v>5.04</v>
      </c>
      <c r="AA3132">
        <v>5.04</v>
      </c>
      <c r="AB3132" s="1">
        <v>42382</v>
      </c>
      <c r="AC3132" t="s">
        <v>53</v>
      </c>
      <c r="AD3132" t="s">
        <v>53</v>
      </c>
      <c r="AK3132">
        <v>0</v>
      </c>
      <c r="AU3132" s="6">
        <v>42275</v>
      </c>
      <c r="AV3132" s="6">
        <v>42275</v>
      </c>
      <c r="AW3132" t="s">
        <v>54</v>
      </c>
      <c r="AX3132" t="str">
        <f t="shared" si="262"/>
        <v>FOR</v>
      </c>
      <c r="AY3132" t="s">
        <v>55</v>
      </c>
    </row>
    <row r="3133" spans="1:51" hidden="1">
      <c r="A3133">
        <v>101019</v>
      </c>
      <c r="B3133" t="s">
        <v>485</v>
      </c>
      <c r="C3133" t="str">
        <f t="shared" si="267"/>
        <v>09771701001</v>
      </c>
      <c r="D3133" t="str">
        <f t="shared" si="267"/>
        <v>09771701001</v>
      </c>
      <c r="E3133" t="s">
        <v>52</v>
      </c>
      <c r="F3133">
        <v>2015</v>
      </c>
      <c r="G3133" t="s">
        <v>491</v>
      </c>
      <c r="H3133" s="1">
        <v>42270</v>
      </c>
      <c r="I3133" s="1">
        <v>42272</v>
      </c>
      <c r="J3133" s="1">
        <v>42270</v>
      </c>
      <c r="K3133" s="1">
        <v>42330</v>
      </c>
      <c r="N3133" s="5"/>
      <c r="O3133">
        <v>4.13</v>
      </c>
      <c r="P3133">
        <v>-55</v>
      </c>
      <c r="Q3133">
        <v>-227.15</v>
      </c>
      <c r="R3133">
        <v>0</v>
      </c>
      <c r="V3133">
        <v>0</v>
      </c>
      <c r="W3133">
        <v>0</v>
      </c>
      <c r="X3133">
        <v>0</v>
      </c>
      <c r="Y3133">
        <v>5.04</v>
      </c>
      <c r="Z3133">
        <v>5.04</v>
      </c>
      <c r="AA3133">
        <v>5.04</v>
      </c>
      <c r="AB3133" s="1">
        <v>42382</v>
      </c>
      <c r="AC3133" t="s">
        <v>53</v>
      </c>
      <c r="AD3133" t="s">
        <v>53</v>
      </c>
      <c r="AK3133">
        <v>0</v>
      </c>
      <c r="AU3133" s="6">
        <v>42275</v>
      </c>
      <c r="AV3133" s="6">
        <v>42275</v>
      </c>
      <c r="AW3133" t="s">
        <v>54</v>
      </c>
      <c r="AX3133" t="str">
        <f t="shared" si="262"/>
        <v>FOR</v>
      </c>
      <c r="AY3133" t="s">
        <v>55</v>
      </c>
    </row>
    <row r="3134" spans="1:51">
      <c r="A3134">
        <v>101019</v>
      </c>
      <c r="B3134" t="s">
        <v>485</v>
      </c>
      <c r="C3134" t="str">
        <f t="shared" si="267"/>
        <v>09771701001</v>
      </c>
      <c r="D3134" t="str">
        <f t="shared" si="267"/>
        <v>09771701001</v>
      </c>
      <c r="E3134" t="s">
        <v>52</v>
      </c>
      <c r="F3134">
        <v>2015</v>
      </c>
      <c r="G3134" t="s">
        <v>492</v>
      </c>
      <c r="H3134" s="1">
        <v>42300</v>
      </c>
      <c r="I3134" s="1">
        <v>42300</v>
      </c>
      <c r="J3134" s="1">
        <v>42300</v>
      </c>
      <c r="K3134" s="1">
        <v>42360</v>
      </c>
      <c r="L3134" s="7">
        <v>4.13</v>
      </c>
      <c r="M3134" s="5">
        <v>-56</v>
      </c>
      <c r="N3134" s="7">
        <v>-231.28</v>
      </c>
      <c r="O3134">
        <v>4.13</v>
      </c>
      <c r="P3134">
        <v>-56</v>
      </c>
      <c r="Q3134">
        <v>-231.28</v>
      </c>
      <c r="R3134">
        <v>0</v>
      </c>
      <c r="V3134">
        <v>5.04</v>
      </c>
      <c r="W3134">
        <v>5.04</v>
      </c>
      <c r="X3134">
        <v>5.04</v>
      </c>
      <c r="Y3134">
        <v>5.04</v>
      </c>
      <c r="Z3134">
        <v>5.04</v>
      </c>
      <c r="AA3134">
        <v>5.04</v>
      </c>
      <c r="AB3134" s="1">
        <v>42382</v>
      </c>
      <c r="AC3134" t="s">
        <v>53</v>
      </c>
      <c r="AD3134" t="s">
        <v>53</v>
      </c>
      <c r="AK3134">
        <v>0</v>
      </c>
      <c r="AU3134" s="6">
        <v>42304</v>
      </c>
      <c r="AV3134" s="6">
        <v>42304</v>
      </c>
      <c r="AW3134" t="s">
        <v>54</v>
      </c>
      <c r="AX3134" t="str">
        <f t="shared" si="262"/>
        <v>FOR</v>
      </c>
      <c r="AY3134" t="s">
        <v>55</v>
      </c>
    </row>
    <row r="3135" spans="1:51">
      <c r="A3135">
        <v>101019</v>
      </c>
      <c r="B3135" t="s">
        <v>485</v>
      </c>
      <c r="C3135" t="str">
        <f t="shared" si="267"/>
        <v>09771701001</v>
      </c>
      <c r="D3135" t="str">
        <f t="shared" si="267"/>
        <v>09771701001</v>
      </c>
      <c r="E3135" t="s">
        <v>52</v>
      </c>
      <c r="F3135">
        <v>2015</v>
      </c>
      <c r="G3135" t="s">
        <v>493</v>
      </c>
      <c r="H3135" s="1">
        <v>42300</v>
      </c>
      <c r="I3135" s="1">
        <v>42303</v>
      </c>
      <c r="J3135" s="1">
        <v>42302</v>
      </c>
      <c r="K3135" s="1">
        <v>42362</v>
      </c>
      <c r="L3135" s="7">
        <v>5.16</v>
      </c>
      <c r="M3135" s="5">
        <v>-58</v>
      </c>
      <c r="N3135" s="7">
        <v>-299.27999999999997</v>
      </c>
      <c r="O3135">
        <v>5.16</v>
      </c>
      <c r="P3135">
        <v>-58</v>
      </c>
      <c r="Q3135">
        <v>-299.27999999999997</v>
      </c>
      <c r="R3135">
        <v>0</v>
      </c>
      <c r="V3135">
        <v>6.3</v>
      </c>
      <c r="W3135">
        <v>6.3</v>
      </c>
      <c r="X3135">
        <v>6.3</v>
      </c>
      <c r="Y3135">
        <v>6.3</v>
      </c>
      <c r="Z3135">
        <v>6.3</v>
      </c>
      <c r="AA3135">
        <v>6.3</v>
      </c>
      <c r="AB3135" s="1">
        <v>42382</v>
      </c>
      <c r="AC3135" t="s">
        <v>53</v>
      </c>
      <c r="AD3135" t="s">
        <v>53</v>
      </c>
      <c r="AK3135">
        <v>0</v>
      </c>
      <c r="AU3135" s="6">
        <v>42304</v>
      </c>
      <c r="AV3135" s="6">
        <v>42304</v>
      </c>
      <c r="AW3135" t="s">
        <v>54</v>
      </c>
      <c r="AX3135" t="str">
        <f t="shared" si="262"/>
        <v>FOR</v>
      </c>
      <c r="AY3135" t="s">
        <v>55</v>
      </c>
    </row>
    <row r="3136" spans="1:51">
      <c r="A3136">
        <v>101019</v>
      </c>
      <c r="B3136" t="s">
        <v>485</v>
      </c>
      <c r="C3136" t="str">
        <f t="shared" si="267"/>
        <v>09771701001</v>
      </c>
      <c r="D3136" t="str">
        <f t="shared" si="267"/>
        <v>09771701001</v>
      </c>
      <c r="E3136" t="s">
        <v>52</v>
      </c>
      <c r="F3136">
        <v>2015</v>
      </c>
      <c r="G3136" t="s">
        <v>494</v>
      </c>
      <c r="H3136" s="1">
        <v>42331</v>
      </c>
      <c r="I3136" s="1">
        <v>42356</v>
      </c>
      <c r="J3136" s="1">
        <v>42333</v>
      </c>
      <c r="K3136" s="1">
        <v>42393</v>
      </c>
      <c r="L3136" s="7">
        <v>4.13</v>
      </c>
      <c r="M3136" s="5">
        <v>-34</v>
      </c>
      <c r="N3136" s="7">
        <v>-140.41999999999999</v>
      </c>
      <c r="O3136">
        <v>4.13</v>
      </c>
      <c r="P3136">
        <v>-34</v>
      </c>
      <c r="Q3136">
        <v>-140.41999999999999</v>
      </c>
      <c r="R3136">
        <v>0.91</v>
      </c>
      <c r="V3136">
        <v>5.04</v>
      </c>
      <c r="W3136">
        <v>5.04</v>
      </c>
      <c r="X3136">
        <v>5.04</v>
      </c>
      <c r="Y3136">
        <v>5.04</v>
      </c>
      <c r="Z3136">
        <v>5.04</v>
      </c>
      <c r="AA3136">
        <v>5.04</v>
      </c>
      <c r="AB3136" s="1">
        <v>42382</v>
      </c>
      <c r="AC3136" t="s">
        <v>53</v>
      </c>
      <c r="AD3136" t="s">
        <v>53</v>
      </c>
      <c r="AK3136">
        <v>0</v>
      </c>
      <c r="AM3136">
        <v>0.91</v>
      </c>
      <c r="AU3136" s="6">
        <v>42359</v>
      </c>
      <c r="AV3136" s="6">
        <v>42359</v>
      </c>
      <c r="AW3136" t="s">
        <v>54</v>
      </c>
      <c r="AX3136" t="str">
        <f t="shared" si="262"/>
        <v>FOR</v>
      </c>
      <c r="AY3136" t="s">
        <v>55</v>
      </c>
    </row>
    <row r="3137" spans="1:51" hidden="1">
      <c r="A3137">
        <v>101031</v>
      </c>
      <c r="B3137" t="s">
        <v>495</v>
      </c>
      <c r="C3137" t="str">
        <f>"01317350625"</f>
        <v>01317350625</v>
      </c>
      <c r="D3137" t="str">
        <f>""</f>
        <v/>
      </c>
      <c r="E3137" t="s">
        <v>52</v>
      </c>
      <c r="F3137">
        <v>2014</v>
      </c>
      <c r="G3137" t="s">
        <v>496</v>
      </c>
      <c r="H3137" s="1">
        <v>41954</v>
      </c>
      <c r="I3137" s="1">
        <v>41955</v>
      </c>
      <c r="J3137" s="1">
        <v>41955</v>
      </c>
      <c r="K3137" s="1">
        <v>42015</v>
      </c>
      <c r="N3137" s="5"/>
      <c r="O3137">
        <v>48</v>
      </c>
      <c r="P3137">
        <v>25</v>
      </c>
      <c r="Q3137" s="2">
        <v>1200</v>
      </c>
      <c r="R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 s="1">
        <v>42382</v>
      </c>
      <c r="AC3137" t="s">
        <v>53</v>
      </c>
      <c r="AD3137" t="s">
        <v>53</v>
      </c>
      <c r="AK3137">
        <v>0</v>
      </c>
      <c r="AU3137" s="6">
        <v>42040</v>
      </c>
      <c r="AV3137" s="6">
        <v>42040</v>
      </c>
      <c r="AW3137" t="s">
        <v>54</v>
      </c>
      <c r="AX3137" t="str">
        <f t="shared" si="262"/>
        <v>FOR</v>
      </c>
      <c r="AY3137" t="s">
        <v>55</v>
      </c>
    </row>
    <row r="3138" spans="1:51" hidden="1">
      <c r="A3138">
        <v>101031</v>
      </c>
      <c r="B3138" t="s">
        <v>495</v>
      </c>
      <c r="C3138" t="str">
        <f>"01317350625"</f>
        <v>01317350625</v>
      </c>
      <c r="D3138" t="str">
        <f>""</f>
        <v/>
      </c>
      <c r="E3138" t="s">
        <v>52</v>
      </c>
      <c r="F3138">
        <v>2015</v>
      </c>
      <c r="G3138" t="s">
        <v>404</v>
      </c>
      <c r="H3138" s="1">
        <v>42073</v>
      </c>
      <c r="I3138" s="1">
        <v>42086</v>
      </c>
      <c r="J3138" s="1">
        <v>42086</v>
      </c>
      <c r="K3138" s="1">
        <v>42146</v>
      </c>
      <c r="N3138" s="5"/>
      <c r="O3138">
        <v>16</v>
      </c>
      <c r="P3138">
        <v>-23</v>
      </c>
      <c r="Q3138">
        <v>-368</v>
      </c>
      <c r="R3138">
        <v>0</v>
      </c>
      <c r="V3138">
        <v>0</v>
      </c>
      <c r="W3138">
        <v>0</v>
      </c>
      <c r="X3138">
        <v>0</v>
      </c>
      <c r="Y3138">
        <v>16</v>
      </c>
      <c r="Z3138">
        <v>16</v>
      </c>
      <c r="AA3138">
        <v>16</v>
      </c>
      <c r="AB3138" s="1">
        <v>42382</v>
      </c>
      <c r="AC3138" t="s">
        <v>53</v>
      </c>
      <c r="AD3138" t="s">
        <v>53</v>
      </c>
      <c r="AK3138">
        <v>0</v>
      </c>
      <c r="AU3138" s="6">
        <v>42123</v>
      </c>
      <c r="AV3138" s="6">
        <v>42123</v>
      </c>
      <c r="AW3138" t="s">
        <v>54</v>
      </c>
      <c r="AX3138" t="str">
        <f t="shared" si="262"/>
        <v>FOR</v>
      </c>
      <c r="AY3138" t="s">
        <v>55</v>
      </c>
    </row>
    <row r="3139" spans="1:51" hidden="1">
      <c r="A3139">
        <v>101031</v>
      </c>
      <c r="B3139" t="s">
        <v>495</v>
      </c>
      <c r="C3139" t="str">
        <f>"01317350625"</f>
        <v>01317350625</v>
      </c>
      <c r="D3139" t="str">
        <f>""</f>
        <v/>
      </c>
      <c r="E3139" t="s">
        <v>52</v>
      </c>
      <c r="F3139">
        <v>2015</v>
      </c>
      <c r="G3139" t="s">
        <v>267</v>
      </c>
      <c r="H3139" s="1">
        <v>42076</v>
      </c>
      <c r="I3139" s="1">
        <v>42086</v>
      </c>
      <c r="J3139" s="1">
        <v>42086</v>
      </c>
      <c r="K3139" s="1">
        <v>42146</v>
      </c>
      <c r="N3139" s="5"/>
      <c r="O3139">
        <v>16</v>
      </c>
      <c r="P3139">
        <v>-23</v>
      </c>
      <c r="Q3139">
        <v>-368</v>
      </c>
      <c r="R3139">
        <v>0</v>
      </c>
      <c r="V3139">
        <v>0</v>
      </c>
      <c r="W3139">
        <v>0</v>
      </c>
      <c r="X3139">
        <v>0</v>
      </c>
      <c r="Y3139">
        <v>16</v>
      </c>
      <c r="Z3139">
        <v>16</v>
      </c>
      <c r="AA3139">
        <v>16</v>
      </c>
      <c r="AB3139" s="1">
        <v>42382</v>
      </c>
      <c r="AC3139" t="s">
        <v>53</v>
      </c>
      <c r="AD3139" t="s">
        <v>53</v>
      </c>
      <c r="AK3139">
        <v>0</v>
      </c>
      <c r="AU3139" s="6">
        <v>42123</v>
      </c>
      <c r="AV3139" s="6">
        <v>42123</v>
      </c>
      <c r="AW3139" t="s">
        <v>54</v>
      </c>
      <c r="AX3139" t="str">
        <f t="shared" ref="AX3139:AX3202" si="268">"FOR"</f>
        <v>FOR</v>
      </c>
      <c r="AY3139" t="s">
        <v>55</v>
      </c>
    </row>
    <row r="3140" spans="1:51" hidden="1">
      <c r="A3140">
        <v>101032</v>
      </c>
      <c r="B3140" t="s">
        <v>497</v>
      </c>
      <c r="C3140" t="str">
        <f>"10177301008"</f>
        <v>10177301008</v>
      </c>
      <c r="D3140" t="str">
        <f>"10177301008"</f>
        <v>10177301008</v>
      </c>
      <c r="E3140" t="s">
        <v>52</v>
      </c>
      <c r="F3140">
        <v>2014</v>
      </c>
      <c r="G3140">
        <v>14005363</v>
      </c>
      <c r="H3140" s="1">
        <v>41844</v>
      </c>
      <c r="I3140" s="1">
        <v>41849</v>
      </c>
      <c r="J3140" s="1">
        <v>41849</v>
      </c>
      <c r="K3140" s="1">
        <v>41939</v>
      </c>
      <c r="N3140" s="5"/>
      <c r="O3140" s="2">
        <v>2147.1999999999998</v>
      </c>
      <c r="P3140">
        <v>316</v>
      </c>
      <c r="Q3140" s="2">
        <v>678515.19999999995</v>
      </c>
      <c r="R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 s="1">
        <v>42382</v>
      </c>
      <c r="AC3140" t="s">
        <v>53</v>
      </c>
      <c r="AD3140" t="s">
        <v>53</v>
      </c>
      <c r="AK3140">
        <v>0</v>
      </c>
      <c r="AU3140" s="6">
        <v>42255</v>
      </c>
      <c r="AV3140" s="6">
        <v>42255</v>
      </c>
      <c r="AW3140" t="s">
        <v>54</v>
      </c>
      <c r="AX3140" t="str">
        <f t="shared" si="268"/>
        <v>FOR</v>
      </c>
      <c r="AY3140" t="s">
        <v>55</v>
      </c>
    </row>
    <row r="3141" spans="1:51" hidden="1">
      <c r="A3141">
        <v>101033</v>
      </c>
      <c r="B3141" t="s">
        <v>498</v>
      </c>
      <c r="C3141" t="str">
        <f>"01209370624"</f>
        <v>01209370624</v>
      </c>
      <c r="D3141" t="str">
        <f>""</f>
        <v/>
      </c>
      <c r="E3141" t="s">
        <v>52</v>
      </c>
      <c r="F3141">
        <v>2012</v>
      </c>
      <c r="G3141">
        <v>3039</v>
      </c>
      <c r="H3141" s="1">
        <v>41242</v>
      </c>
      <c r="I3141" s="1">
        <v>42024</v>
      </c>
      <c r="J3141" s="1">
        <v>42024</v>
      </c>
      <c r="K3141" s="1">
        <v>42084</v>
      </c>
      <c r="N3141" s="5"/>
      <c r="O3141">
        <v>242</v>
      </c>
      <c r="P3141">
        <v>-50</v>
      </c>
      <c r="Q3141" s="2">
        <v>-12100</v>
      </c>
      <c r="R3141">
        <v>0</v>
      </c>
      <c r="V3141">
        <v>0</v>
      </c>
      <c r="W3141">
        <v>0</v>
      </c>
      <c r="X3141">
        <v>0</v>
      </c>
      <c r="Y3141">
        <v>0</v>
      </c>
      <c r="Z3141">
        <v>242</v>
      </c>
      <c r="AA3141">
        <v>0</v>
      </c>
      <c r="AB3141" s="1">
        <v>42382</v>
      </c>
      <c r="AC3141" t="s">
        <v>53</v>
      </c>
      <c r="AD3141" t="s">
        <v>53</v>
      </c>
      <c r="AK3141">
        <v>0</v>
      </c>
      <c r="AU3141" s="6">
        <v>42034</v>
      </c>
      <c r="AV3141" s="6">
        <v>42034</v>
      </c>
      <c r="AW3141" t="s">
        <v>54</v>
      </c>
      <c r="AX3141" t="str">
        <f t="shared" si="268"/>
        <v>FOR</v>
      </c>
      <c r="AY3141" t="s">
        <v>55</v>
      </c>
    </row>
    <row r="3142" spans="1:51" hidden="1">
      <c r="A3142">
        <v>101041</v>
      </c>
      <c r="B3142" t="s">
        <v>499</v>
      </c>
      <c r="C3142" t="str">
        <f t="shared" ref="C3142:D3161" si="269">"01329190621"</f>
        <v>01329190621</v>
      </c>
      <c r="D3142" t="str">
        <f t="shared" si="269"/>
        <v>01329190621</v>
      </c>
      <c r="E3142" t="s">
        <v>52</v>
      </c>
      <c r="F3142">
        <v>2014</v>
      </c>
      <c r="G3142" t="s">
        <v>500</v>
      </c>
      <c r="H3142" s="1">
        <v>41929</v>
      </c>
      <c r="I3142" s="1">
        <v>41932</v>
      </c>
      <c r="J3142" s="1">
        <v>41932</v>
      </c>
      <c r="K3142" s="1">
        <v>41992</v>
      </c>
      <c r="N3142" s="5"/>
      <c r="O3142">
        <v>439.2</v>
      </c>
      <c r="P3142">
        <v>48</v>
      </c>
      <c r="Q3142" s="2">
        <v>21081.599999999999</v>
      </c>
      <c r="R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 s="1">
        <v>42382</v>
      </c>
      <c r="AC3142" t="s">
        <v>53</v>
      </c>
      <c r="AD3142" t="s">
        <v>53</v>
      </c>
      <c r="AK3142">
        <v>0</v>
      </c>
      <c r="AU3142" s="6">
        <v>42040</v>
      </c>
      <c r="AV3142" s="6">
        <v>42040</v>
      </c>
      <c r="AW3142" t="s">
        <v>54</v>
      </c>
      <c r="AX3142" t="str">
        <f t="shared" si="268"/>
        <v>FOR</v>
      </c>
      <c r="AY3142" t="s">
        <v>55</v>
      </c>
    </row>
    <row r="3143" spans="1:51" hidden="1">
      <c r="A3143">
        <v>101041</v>
      </c>
      <c r="B3143" t="s">
        <v>499</v>
      </c>
      <c r="C3143" t="str">
        <f t="shared" si="269"/>
        <v>01329190621</v>
      </c>
      <c r="D3143" t="str">
        <f t="shared" si="269"/>
        <v>01329190621</v>
      </c>
      <c r="E3143" t="s">
        <v>52</v>
      </c>
      <c r="F3143">
        <v>2014</v>
      </c>
      <c r="G3143" t="s">
        <v>501</v>
      </c>
      <c r="H3143" s="1">
        <v>41940</v>
      </c>
      <c r="I3143" s="1">
        <v>41941</v>
      </c>
      <c r="J3143" s="1">
        <v>41941</v>
      </c>
      <c r="K3143" s="1">
        <v>42001</v>
      </c>
      <c r="N3143" s="5"/>
      <c r="O3143">
        <v>976</v>
      </c>
      <c r="P3143">
        <v>39</v>
      </c>
      <c r="Q3143" s="2">
        <v>38064</v>
      </c>
      <c r="R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 s="1">
        <v>42382</v>
      </c>
      <c r="AC3143" t="s">
        <v>53</v>
      </c>
      <c r="AD3143" t="s">
        <v>53</v>
      </c>
      <c r="AK3143">
        <v>0</v>
      </c>
      <c r="AU3143" s="6">
        <v>42040</v>
      </c>
      <c r="AV3143" s="6">
        <v>42040</v>
      </c>
      <c r="AW3143" t="s">
        <v>54</v>
      </c>
      <c r="AX3143" t="str">
        <f t="shared" si="268"/>
        <v>FOR</v>
      </c>
      <c r="AY3143" t="s">
        <v>55</v>
      </c>
    </row>
    <row r="3144" spans="1:51" hidden="1">
      <c r="A3144">
        <v>101041</v>
      </c>
      <c r="B3144" t="s">
        <v>499</v>
      </c>
      <c r="C3144" t="str">
        <f t="shared" si="269"/>
        <v>01329190621</v>
      </c>
      <c r="D3144" t="str">
        <f t="shared" si="269"/>
        <v>01329190621</v>
      </c>
      <c r="E3144" t="s">
        <v>52</v>
      </c>
      <c r="F3144">
        <v>2014</v>
      </c>
      <c r="G3144" t="s">
        <v>502</v>
      </c>
      <c r="H3144" s="1">
        <v>41940</v>
      </c>
      <c r="I3144" s="1">
        <v>41942</v>
      </c>
      <c r="J3144" s="1">
        <v>41942</v>
      </c>
      <c r="K3144" s="1">
        <v>42002</v>
      </c>
      <c r="N3144" s="5"/>
      <c r="O3144">
        <v>30.5</v>
      </c>
      <c r="P3144">
        <v>38</v>
      </c>
      <c r="Q3144" s="2">
        <v>1159</v>
      </c>
      <c r="R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 s="1">
        <v>42382</v>
      </c>
      <c r="AC3144" t="s">
        <v>53</v>
      </c>
      <c r="AD3144" t="s">
        <v>53</v>
      </c>
      <c r="AK3144">
        <v>0</v>
      </c>
      <c r="AU3144" s="6">
        <v>42040</v>
      </c>
      <c r="AV3144" s="6">
        <v>42040</v>
      </c>
      <c r="AW3144" t="s">
        <v>54</v>
      </c>
      <c r="AX3144" t="str">
        <f t="shared" si="268"/>
        <v>FOR</v>
      </c>
      <c r="AY3144" t="s">
        <v>55</v>
      </c>
    </row>
    <row r="3145" spans="1:51" hidden="1">
      <c r="A3145">
        <v>101041</v>
      </c>
      <c r="B3145" t="s">
        <v>499</v>
      </c>
      <c r="C3145" t="str">
        <f t="shared" si="269"/>
        <v>01329190621</v>
      </c>
      <c r="D3145" t="str">
        <f t="shared" si="269"/>
        <v>01329190621</v>
      </c>
      <c r="E3145" t="s">
        <v>52</v>
      </c>
      <c r="F3145">
        <v>2014</v>
      </c>
      <c r="G3145" t="s">
        <v>503</v>
      </c>
      <c r="H3145" s="1">
        <v>41942</v>
      </c>
      <c r="I3145" s="1">
        <v>41942</v>
      </c>
      <c r="J3145" s="1">
        <v>41942</v>
      </c>
      <c r="K3145" s="1">
        <v>42002</v>
      </c>
      <c r="N3145" s="5"/>
      <c r="O3145">
        <v>427</v>
      </c>
      <c r="P3145">
        <v>38</v>
      </c>
      <c r="Q3145" s="2">
        <v>16226</v>
      </c>
      <c r="R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 s="1">
        <v>42382</v>
      </c>
      <c r="AC3145" t="s">
        <v>53</v>
      </c>
      <c r="AD3145" t="s">
        <v>53</v>
      </c>
      <c r="AK3145">
        <v>0</v>
      </c>
      <c r="AU3145" s="6">
        <v>42040</v>
      </c>
      <c r="AV3145" s="6">
        <v>42040</v>
      </c>
      <c r="AW3145" t="s">
        <v>54</v>
      </c>
      <c r="AX3145" t="str">
        <f t="shared" si="268"/>
        <v>FOR</v>
      </c>
      <c r="AY3145" t="s">
        <v>55</v>
      </c>
    </row>
    <row r="3146" spans="1:51" hidden="1">
      <c r="A3146">
        <v>101041</v>
      </c>
      <c r="B3146" t="s">
        <v>499</v>
      </c>
      <c r="C3146" t="str">
        <f t="shared" si="269"/>
        <v>01329190621</v>
      </c>
      <c r="D3146" t="str">
        <f t="shared" si="269"/>
        <v>01329190621</v>
      </c>
      <c r="E3146" t="s">
        <v>52</v>
      </c>
      <c r="F3146">
        <v>2014</v>
      </c>
      <c r="G3146" t="s">
        <v>504</v>
      </c>
      <c r="H3146" s="1">
        <v>41943</v>
      </c>
      <c r="I3146" s="1">
        <v>41946</v>
      </c>
      <c r="J3146" s="1">
        <v>41946</v>
      </c>
      <c r="K3146" s="1">
        <v>42006</v>
      </c>
      <c r="N3146" s="5"/>
      <c r="O3146">
        <v>610</v>
      </c>
      <c r="P3146">
        <v>34</v>
      </c>
      <c r="Q3146" s="2">
        <v>20740</v>
      </c>
      <c r="R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 s="1">
        <v>42382</v>
      </c>
      <c r="AC3146" t="s">
        <v>53</v>
      </c>
      <c r="AD3146" t="s">
        <v>53</v>
      </c>
      <c r="AK3146">
        <v>0</v>
      </c>
      <c r="AU3146" s="6">
        <v>42040</v>
      </c>
      <c r="AV3146" s="6">
        <v>42040</v>
      </c>
      <c r="AW3146" t="s">
        <v>54</v>
      </c>
      <c r="AX3146" t="str">
        <f t="shared" si="268"/>
        <v>FOR</v>
      </c>
      <c r="AY3146" t="s">
        <v>55</v>
      </c>
    </row>
    <row r="3147" spans="1:51" hidden="1">
      <c r="A3147">
        <v>101041</v>
      </c>
      <c r="B3147" t="s">
        <v>499</v>
      </c>
      <c r="C3147" t="str">
        <f t="shared" si="269"/>
        <v>01329190621</v>
      </c>
      <c r="D3147" t="str">
        <f t="shared" si="269"/>
        <v>01329190621</v>
      </c>
      <c r="E3147" t="s">
        <v>52</v>
      </c>
      <c r="F3147">
        <v>2014</v>
      </c>
      <c r="G3147" t="s">
        <v>505</v>
      </c>
      <c r="H3147" s="1">
        <v>41948</v>
      </c>
      <c r="I3147" s="1">
        <v>41953</v>
      </c>
      <c r="J3147" s="1">
        <v>41953</v>
      </c>
      <c r="K3147" s="1">
        <v>42013</v>
      </c>
      <c r="N3147" s="5"/>
      <c r="O3147">
        <v>427</v>
      </c>
      <c r="P3147">
        <v>27</v>
      </c>
      <c r="Q3147" s="2">
        <v>11529</v>
      </c>
      <c r="R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 s="1">
        <v>42382</v>
      </c>
      <c r="AC3147" t="s">
        <v>53</v>
      </c>
      <c r="AD3147" t="s">
        <v>53</v>
      </c>
      <c r="AK3147">
        <v>0</v>
      </c>
      <c r="AU3147" s="6">
        <v>42040</v>
      </c>
      <c r="AV3147" s="6">
        <v>42040</v>
      </c>
      <c r="AW3147" t="s">
        <v>54</v>
      </c>
      <c r="AX3147" t="str">
        <f t="shared" si="268"/>
        <v>FOR</v>
      </c>
      <c r="AY3147" t="s">
        <v>55</v>
      </c>
    </row>
    <row r="3148" spans="1:51" hidden="1">
      <c r="A3148">
        <v>101041</v>
      </c>
      <c r="B3148" t="s">
        <v>499</v>
      </c>
      <c r="C3148" t="str">
        <f t="shared" si="269"/>
        <v>01329190621</v>
      </c>
      <c r="D3148" t="str">
        <f t="shared" si="269"/>
        <v>01329190621</v>
      </c>
      <c r="E3148" t="s">
        <v>52</v>
      </c>
      <c r="F3148">
        <v>2014</v>
      </c>
      <c r="G3148" t="s">
        <v>506</v>
      </c>
      <c r="H3148" s="1">
        <v>41948</v>
      </c>
      <c r="I3148" s="1">
        <v>41953</v>
      </c>
      <c r="J3148" s="1">
        <v>41953</v>
      </c>
      <c r="K3148" s="1">
        <v>42013</v>
      </c>
      <c r="N3148" s="5"/>
      <c r="O3148">
        <v>146.4</v>
      </c>
      <c r="P3148">
        <v>27</v>
      </c>
      <c r="Q3148" s="2">
        <v>3952.8</v>
      </c>
      <c r="R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 s="1">
        <v>42382</v>
      </c>
      <c r="AC3148" t="s">
        <v>53</v>
      </c>
      <c r="AD3148" t="s">
        <v>53</v>
      </c>
      <c r="AK3148">
        <v>0</v>
      </c>
      <c r="AU3148" s="6">
        <v>42040</v>
      </c>
      <c r="AV3148" s="6">
        <v>42040</v>
      </c>
      <c r="AW3148" t="s">
        <v>54</v>
      </c>
      <c r="AX3148" t="str">
        <f t="shared" si="268"/>
        <v>FOR</v>
      </c>
      <c r="AY3148" t="s">
        <v>55</v>
      </c>
    </row>
    <row r="3149" spans="1:51" hidden="1">
      <c r="A3149">
        <v>101041</v>
      </c>
      <c r="B3149" t="s">
        <v>499</v>
      </c>
      <c r="C3149" t="str">
        <f t="shared" si="269"/>
        <v>01329190621</v>
      </c>
      <c r="D3149" t="str">
        <f t="shared" si="269"/>
        <v>01329190621</v>
      </c>
      <c r="E3149" t="s">
        <v>52</v>
      </c>
      <c r="F3149">
        <v>2014</v>
      </c>
      <c r="G3149" t="s">
        <v>507</v>
      </c>
      <c r="H3149" s="1">
        <v>41948</v>
      </c>
      <c r="I3149" s="1">
        <v>41953</v>
      </c>
      <c r="J3149" s="1">
        <v>41953</v>
      </c>
      <c r="K3149" s="1">
        <v>42013</v>
      </c>
      <c r="N3149" s="5"/>
      <c r="O3149">
        <v>36.6</v>
      </c>
      <c r="P3149">
        <v>27</v>
      </c>
      <c r="Q3149">
        <v>988.2</v>
      </c>
      <c r="R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 s="1">
        <v>42382</v>
      </c>
      <c r="AC3149" t="s">
        <v>53</v>
      </c>
      <c r="AD3149" t="s">
        <v>53</v>
      </c>
      <c r="AK3149">
        <v>0</v>
      </c>
      <c r="AU3149" s="6">
        <v>42040</v>
      </c>
      <c r="AV3149" s="6">
        <v>42040</v>
      </c>
      <c r="AW3149" t="s">
        <v>54</v>
      </c>
      <c r="AX3149" t="str">
        <f t="shared" si="268"/>
        <v>FOR</v>
      </c>
      <c r="AY3149" t="s">
        <v>55</v>
      </c>
    </row>
    <row r="3150" spans="1:51" hidden="1">
      <c r="A3150">
        <v>101041</v>
      </c>
      <c r="B3150" t="s">
        <v>499</v>
      </c>
      <c r="C3150" t="str">
        <f t="shared" si="269"/>
        <v>01329190621</v>
      </c>
      <c r="D3150" t="str">
        <f t="shared" si="269"/>
        <v>01329190621</v>
      </c>
      <c r="E3150" t="s">
        <v>52</v>
      </c>
      <c r="F3150">
        <v>2014</v>
      </c>
      <c r="G3150" t="s">
        <v>508</v>
      </c>
      <c r="H3150" s="1">
        <v>41948</v>
      </c>
      <c r="I3150" s="1">
        <v>41953</v>
      </c>
      <c r="J3150" s="1">
        <v>41953</v>
      </c>
      <c r="K3150" s="1">
        <v>42013</v>
      </c>
      <c r="N3150" s="5"/>
      <c r="O3150">
        <v>42.7</v>
      </c>
      <c r="P3150">
        <v>27</v>
      </c>
      <c r="Q3150" s="2">
        <v>1152.9000000000001</v>
      </c>
      <c r="R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 s="1">
        <v>42382</v>
      </c>
      <c r="AC3150" t="s">
        <v>53</v>
      </c>
      <c r="AD3150" t="s">
        <v>53</v>
      </c>
      <c r="AK3150">
        <v>0</v>
      </c>
      <c r="AU3150" s="6">
        <v>42040</v>
      </c>
      <c r="AV3150" s="6">
        <v>42040</v>
      </c>
      <c r="AW3150" t="s">
        <v>54</v>
      </c>
      <c r="AX3150" t="str">
        <f t="shared" si="268"/>
        <v>FOR</v>
      </c>
      <c r="AY3150" t="s">
        <v>55</v>
      </c>
    </row>
    <row r="3151" spans="1:51" hidden="1">
      <c r="A3151">
        <v>101041</v>
      </c>
      <c r="B3151" t="s">
        <v>499</v>
      </c>
      <c r="C3151" t="str">
        <f t="shared" si="269"/>
        <v>01329190621</v>
      </c>
      <c r="D3151" t="str">
        <f t="shared" si="269"/>
        <v>01329190621</v>
      </c>
      <c r="E3151" t="s">
        <v>52</v>
      </c>
      <c r="F3151">
        <v>2014</v>
      </c>
      <c r="G3151" t="s">
        <v>509</v>
      </c>
      <c r="H3151" s="1">
        <v>42002</v>
      </c>
      <c r="I3151" s="1">
        <v>42025</v>
      </c>
      <c r="J3151" s="1">
        <v>42025</v>
      </c>
      <c r="K3151" s="1">
        <v>42085</v>
      </c>
      <c r="N3151" s="5"/>
      <c r="O3151">
        <v>134.19999999999999</v>
      </c>
      <c r="P3151">
        <v>38</v>
      </c>
      <c r="Q3151" s="2">
        <v>5099.6000000000004</v>
      </c>
      <c r="R3151">
        <v>0</v>
      </c>
      <c r="V3151">
        <v>0</v>
      </c>
      <c r="W3151">
        <v>0</v>
      </c>
      <c r="X3151">
        <v>0</v>
      </c>
      <c r="Y3151">
        <v>0</v>
      </c>
      <c r="Z3151">
        <v>134.19999999999999</v>
      </c>
      <c r="AA3151">
        <v>0</v>
      </c>
      <c r="AB3151" s="1">
        <v>42382</v>
      </c>
      <c r="AC3151" t="s">
        <v>53</v>
      </c>
      <c r="AD3151" t="s">
        <v>53</v>
      </c>
      <c r="AK3151">
        <v>0</v>
      </c>
      <c r="AU3151" s="6">
        <v>42123</v>
      </c>
      <c r="AV3151" s="6">
        <v>42123</v>
      </c>
      <c r="AW3151" t="s">
        <v>54</v>
      </c>
      <c r="AX3151" t="str">
        <f t="shared" si="268"/>
        <v>FOR</v>
      </c>
      <c r="AY3151" t="s">
        <v>55</v>
      </c>
    </row>
    <row r="3152" spans="1:51" hidden="1">
      <c r="A3152">
        <v>101041</v>
      </c>
      <c r="B3152" t="s">
        <v>499</v>
      </c>
      <c r="C3152" t="str">
        <f t="shared" si="269"/>
        <v>01329190621</v>
      </c>
      <c r="D3152" t="str">
        <f t="shared" si="269"/>
        <v>01329190621</v>
      </c>
      <c r="E3152" t="s">
        <v>52</v>
      </c>
      <c r="F3152">
        <v>2015</v>
      </c>
      <c r="G3152" t="s">
        <v>436</v>
      </c>
      <c r="H3152" s="1">
        <v>42019</v>
      </c>
      <c r="I3152" s="1">
        <v>42025</v>
      </c>
      <c r="J3152" s="1">
        <v>42025</v>
      </c>
      <c r="K3152" s="1">
        <v>42085</v>
      </c>
      <c r="N3152" s="5"/>
      <c r="O3152">
        <v>950</v>
      </c>
      <c r="P3152">
        <v>38</v>
      </c>
      <c r="Q3152" s="2">
        <v>36100</v>
      </c>
      <c r="R3152">
        <v>209</v>
      </c>
      <c r="V3152">
        <v>0</v>
      </c>
      <c r="W3152">
        <v>0</v>
      </c>
      <c r="X3152">
        <v>0</v>
      </c>
      <c r="Y3152" s="2">
        <v>1159</v>
      </c>
      <c r="Z3152" s="2">
        <v>1159</v>
      </c>
      <c r="AA3152" s="2">
        <v>1159</v>
      </c>
      <c r="AB3152" s="1">
        <v>42382</v>
      </c>
      <c r="AC3152" t="s">
        <v>53</v>
      </c>
      <c r="AD3152" t="s">
        <v>53</v>
      </c>
      <c r="AK3152">
        <v>209</v>
      </c>
      <c r="AU3152" s="6">
        <v>42123</v>
      </c>
      <c r="AV3152" s="6">
        <v>42123</v>
      </c>
      <c r="AW3152" t="s">
        <v>54</v>
      </c>
      <c r="AX3152" t="str">
        <f t="shared" si="268"/>
        <v>FOR</v>
      </c>
      <c r="AY3152" t="s">
        <v>55</v>
      </c>
    </row>
    <row r="3153" spans="1:51" hidden="1">
      <c r="A3153">
        <v>101041</v>
      </c>
      <c r="B3153" t="s">
        <v>499</v>
      </c>
      <c r="C3153" t="str">
        <f t="shared" si="269"/>
        <v>01329190621</v>
      </c>
      <c r="D3153" t="str">
        <f t="shared" si="269"/>
        <v>01329190621</v>
      </c>
      <c r="E3153" t="s">
        <v>52</v>
      </c>
      <c r="F3153">
        <v>2015</v>
      </c>
      <c r="G3153" t="s">
        <v>437</v>
      </c>
      <c r="H3153" s="1">
        <v>42019</v>
      </c>
      <c r="I3153" s="1">
        <v>42104</v>
      </c>
      <c r="J3153" s="1">
        <v>42104</v>
      </c>
      <c r="K3153" s="1">
        <v>42164</v>
      </c>
      <c r="N3153" s="5"/>
      <c r="O3153">
        <v>750</v>
      </c>
      <c r="P3153">
        <v>-41</v>
      </c>
      <c r="Q3153" s="2">
        <v>-30750</v>
      </c>
      <c r="R3153">
        <v>165</v>
      </c>
      <c r="V3153">
        <v>0</v>
      </c>
      <c r="W3153">
        <v>0</v>
      </c>
      <c r="X3153">
        <v>0</v>
      </c>
      <c r="Y3153">
        <v>915</v>
      </c>
      <c r="Z3153">
        <v>915</v>
      </c>
      <c r="AA3153">
        <v>915</v>
      </c>
      <c r="AB3153" s="1">
        <v>42382</v>
      </c>
      <c r="AC3153" t="s">
        <v>53</v>
      </c>
      <c r="AD3153" t="s">
        <v>53</v>
      </c>
      <c r="AK3153">
        <v>165</v>
      </c>
      <c r="AU3153" s="6">
        <v>42123</v>
      </c>
      <c r="AV3153" s="6">
        <v>42123</v>
      </c>
      <c r="AW3153" t="s">
        <v>54</v>
      </c>
      <c r="AX3153" t="str">
        <f t="shared" si="268"/>
        <v>FOR</v>
      </c>
      <c r="AY3153" t="s">
        <v>55</v>
      </c>
    </row>
    <row r="3154" spans="1:51" hidden="1">
      <c r="A3154">
        <v>101041</v>
      </c>
      <c r="B3154" t="s">
        <v>499</v>
      </c>
      <c r="C3154" t="str">
        <f t="shared" si="269"/>
        <v>01329190621</v>
      </c>
      <c r="D3154" t="str">
        <f t="shared" si="269"/>
        <v>01329190621</v>
      </c>
      <c r="E3154" t="s">
        <v>52</v>
      </c>
      <c r="F3154">
        <v>2015</v>
      </c>
      <c r="G3154" t="s">
        <v>405</v>
      </c>
      <c r="H3154" s="1">
        <v>42019</v>
      </c>
      <c r="I3154" s="1">
        <v>42025</v>
      </c>
      <c r="J3154" s="1">
        <v>42025</v>
      </c>
      <c r="K3154" s="1">
        <v>42085</v>
      </c>
      <c r="N3154" s="5"/>
      <c r="O3154">
        <v>4.5</v>
      </c>
      <c r="P3154">
        <v>38</v>
      </c>
      <c r="Q3154">
        <v>171</v>
      </c>
      <c r="R3154">
        <v>0.99</v>
      </c>
      <c r="V3154">
        <v>0</v>
      </c>
      <c r="W3154">
        <v>0</v>
      </c>
      <c r="X3154">
        <v>0</v>
      </c>
      <c r="Y3154">
        <v>5.49</v>
      </c>
      <c r="Z3154">
        <v>5.49</v>
      </c>
      <c r="AA3154">
        <v>5.49</v>
      </c>
      <c r="AB3154" s="1">
        <v>42382</v>
      </c>
      <c r="AC3154" t="s">
        <v>53</v>
      </c>
      <c r="AD3154" t="s">
        <v>53</v>
      </c>
      <c r="AK3154">
        <v>0.99</v>
      </c>
      <c r="AU3154" s="6">
        <v>42123</v>
      </c>
      <c r="AV3154" s="6">
        <v>42123</v>
      </c>
      <c r="AW3154" t="s">
        <v>54</v>
      </c>
      <c r="AX3154" t="str">
        <f t="shared" si="268"/>
        <v>FOR</v>
      </c>
      <c r="AY3154" t="s">
        <v>55</v>
      </c>
    </row>
    <row r="3155" spans="1:51" hidden="1">
      <c r="A3155">
        <v>101041</v>
      </c>
      <c r="B3155" t="s">
        <v>499</v>
      </c>
      <c r="C3155" t="str">
        <f t="shared" si="269"/>
        <v>01329190621</v>
      </c>
      <c r="D3155" t="str">
        <f t="shared" si="269"/>
        <v>01329190621</v>
      </c>
      <c r="E3155" t="s">
        <v>52</v>
      </c>
      <c r="F3155">
        <v>2015</v>
      </c>
      <c r="G3155" t="s">
        <v>451</v>
      </c>
      <c r="H3155" s="1">
        <v>42019</v>
      </c>
      <c r="I3155" s="1">
        <v>42025</v>
      </c>
      <c r="J3155" s="1">
        <v>42025</v>
      </c>
      <c r="K3155" s="1">
        <v>42085</v>
      </c>
      <c r="N3155" s="5"/>
      <c r="O3155">
        <v>175</v>
      </c>
      <c r="P3155">
        <v>38</v>
      </c>
      <c r="Q3155" s="2">
        <v>6650</v>
      </c>
      <c r="R3155">
        <v>38.5</v>
      </c>
      <c r="V3155">
        <v>0</v>
      </c>
      <c r="W3155">
        <v>0</v>
      </c>
      <c r="X3155">
        <v>0</v>
      </c>
      <c r="Y3155">
        <v>213.5</v>
      </c>
      <c r="Z3155">
        <v>213.5</v>
      </c>
      <c r="AA3155">
        <v>213.5</v>
      </c>
      <c r="AB3155" s="1">
        <v>42382</v>
      </c>
      <c r="AC3155" t="s">
        <v>53</v>
      </c>
      <c r="AD3155" t="s">
        <v>53</v>
      </c>
      <c r="AK3155">
        <v>38.5</v>
      </c>
      <c r="AU3155" s="6">
        <v>42123</v>
      </c>
      <c r="AV3155" s="6">
        <v>42123</v>
      </c>
      <c r="AW3155" t="s">
        <v>54</v>
      </c>
      <c r="AX3155" t="str">
        <f t="shared" si="268"/>
        <v>FOR</v>
      </c>
      <c r="AY3155" t="s">
        <v>55</v>
      </c>
    </row>
    <row r="3156" spans="1:51" hidden="1">
      <c r="A3156">
        <v>101041</v>
      </c>
      <c r="B3156" t="s">
        <v>499</v>
      </c>
      <c r="C3156" t="str">
        <f t="shared" si="269"/>
        <v>01329190621</v>
      </c>
      <c r="D3156" t="str">
        <f t="shared" si="269"/>
        <v>01329190621</v>
      </c>
      <c r="E3156" t="s">
        <v>52</v>
      </c>
      <c r="F3156">
        <v>2015</v>
      </c>
      <c r="G3156" t="s">
        <v>452</v>
      </c>
      <c r="H3156" s="1">
        <v>42019</v>
      </c>
      <c r="I3156" s="1">
        <v>42025</v>
      </c>
      <c r="J3156" s="1">
        <v>42025</v>
      </c>
      <c r="K3156" s="1">
        <v>42085</v>
      </c>
      <c r="N3156" s="5"/>
      <c r="O3156">
        <v>80</v>
      </c>
      <c r="P3156">
        <v>38</v>
      </c>
      <c r="Q3156" s="2">
        <v>3040</v>
      </c>
      <c r="R3156">
        <v>17.600000000000001</v>
      </c>
      <c r="V3156">
        <v>0</v>
      </c>
      <c r="W3156">
        <v>0</v>
      </c>
      <c r="X3156">
        <v>0</v>
      </c>
      <c r="Y3156">
        <v>97.6</v>
      </c>
      <c r="Z3156">
        <v>97.6</v>
      </c>
      <c r="AA3156">
        <v>97.6</v>
      </c>
      <c r="AB3156" s="1">
        <v>42382</v>
      </c>
      <c r="AC3156" t="s">
        <v>53</v>
      </c>
      <c r="AD3156" t="s">
        <v>53</v>
      </c>
      <c r="AK3156">
        <v>17.600000000000001</v>
      </c>
      <c r="AU3156" s="6">
        <v>42123</v>
      </c>
      <c r="AV3156" s="6">
        <v>42123</v>
      </c>
      <c r="AW3156" t="s">
        <v>54</v>
      </c>
      <c r="AX3156" t="str">
        <f t="shared" si="268"/>
        <v>FOR</v>
      </c>
      <c r="AY3156" t="s">
        <v>55</v>
      </c>
    </row>
    <row r="3157" spans="1:51" hidden="1">
      <c r="A3157">
        <v>101041</v>
      </c>
      <c r="B3157" t="s">
        <v>499</v>
      </c>
      <c r="C3157" t="str">
        <f t="shared" si="269"/>
        <v>01329190621</v>
      </c>
      <c r="D3157" t="str">
        <f t="shared" si="269"/>
        <v>01329190621</v>
      </c>
      <c r="E3157" t="s">
        <v>52</v>
      </c>
      <c r="F3157">
        <v>2015</v>
      </c>
      <c r="G3157" t="s">
        <v>453</v>
      </c>
      <c r="H3157" s="1">
        <v>42019</v>
      </c>
      <c r="I3157" s="1">
        <v>42025</v>
      </c>
      <c r="J3157" s="1">
        <v>42025</v>
      </c>
      <c r="K3157" s="1">
        <v>42085</v>
      </c>
      <c r="N3157" s="5"/>
      <c r="O3157">
        <v>70</v>
      </c>
      <c r="P3157">
        <v>38</v>
      </c>
      <c r="Q3157" s="2">
        <v>2660</v>
      </c>
      <c r="R3157">
        <v>15.4</v>
      </c>
      <c r="V3157">
        <v>0</v>
      </c>
      <c r="W3157">
        <v>0</v>
      </c>
      <c r="X3157">
        <v>0</v>
      </c>
      <c r="Y3157">
        <v>85.4</v>
      </c>
      <c r="Z3157">
        <v>85.4</v>
      </c>
      <c r="AA3157">
        <v>85.4</v>
      </c>
      <c r="AB3157" s="1">
        <v>42382</v>
      </c>
      <c r="AC3157" t="s">
        <v>53</v>
      </c>
      <c r="AD3157" t="s">
        <v>53</v>
      </c>
      <c r="AK3157">
        <v>15.4</v>
      </c>
      <c r="AU3157" s="6">
        <v>42123</v>
      </c>
      <c r="AV3157" s="6">
        <v>42123</v>
      </c>
      <c r="AW3157" t="s">
        <v>54</v>
      </c>
      <c r="AX3157" t="str">
        <f t="shared" si="268"/>
        <v>FOR</v>
      </c>
      <c r="AY3157" t="s">
        <v>55</v>
      </c>
    </row>
    <row r="3158" spans="1:51" hidden="1">
      <c r="A3158">
        <v>101041</v>
      </c>
      <c r="B3158" t="s">
        <v>499</v>
      </c>
      <c r="C3158" t="str">
        <f t="shared" si="269"/>
        <v>01329190621</v>
      </c>
      <c r="D3158" t="str">
        <f t="shared" si="269"/>
        <v>01329190621</v>
      </c>
      <c r="E3158" t="s">
        <v>52</v>
      </c>
      <c r="F3158">
        <v>2015</v>
      </c>
      <c r="G3158" t="s">
        <v>232</v>
      </c>
      <c r="H3158" s="1">
        <v>42019</v>
      </c>
      <c r="I3158" s="1">
        <v>42025</v>
      </c>
      <c r="J3158" s="1">
        <v>42025</v>
      </c>
      <c r="K3158" s="1">
        <v>42085</v>
      </c>
      <c r="N3158" s="5"/>
      <c r="O3158">
        <v>40</v>
      </c>
      <c r="P3158">
        <v>38</v>
      </c>
      <c r="Q3158" s="2">
        <v>1520</v>
      </c>
      <c r="R3158">
        <v>8.8000000000000007</v>
      </c>
      <c r="V3158">
        <v>0</v>
      </c>
      <c r="W3158">
        <v>0</v>
      </c>
      <c r="X3158">
        <v>0</v>
      </c>
      <c r="Y3158">
        <v>48.8</v>
      </c>
      <c r="Z3158">
        <v>48.8</v>
      </c>
      <c r="AA3158">
        <v>48.8</v>
      </c>
      <c r="AB3158" s="1">
        <v>42382</v>
      </c>
      <c r="AC3158" t="s">
        <v>53</v>
      </c>
      <c r="AD3158" t="s">
        <v>53</v>
      </c>
      <c r="AK3158">
        <v>8.8000000000000007</v>
      </c>
      <c r="AU3158" s="6">
        <v>42123</v>
      </c>
      <c r="AV3158" s="6">
        <v>42123</v>
      </c>
      <c r="AW3158" t="s">
        <v>54</v>
      </c>
      <c r="AX3158" t="str">
        <f t="shared" si="268"/>
        <v>FOR</v>
      </c>
      <c r="AY3158" t="s">
        <v>55</v>
      </c>
    </row>
    <row r="3159" spans="1:51" hidden="1">
      <c r="A3159">
        <v>101041</v>
      </c>
      <c r="B3159" t="s">
        <v>499</v>
      </c>
      <c r="C3159" t="str">
        <f t="shared" si="269"/>
        <v>01329190621</v>
      </c>
      <c r="D3159" t="str">
        <f t="shared" si="269"/>
        <v>01329190621</v>
      </c>
      <c r="E3159" t="s">
        <v>52</v>
      </c>
      <c r="F3159">
        <v>2015</v>
      </c>
      <c r="G3159" t="s">
        <v>454</v>
      </c>
      <c r="H3159" s="1">
        <v>42019</v>
      </c>
      <c r="I3159" s="1">
        <v>42025</v>
      </c>
      <c r="J3159" s="1">
        <v>42025</v>
      </c>
      <c r="K3159" s="1">
        <v>42085</v>
      </c>
      <c r="N3159" s="5"/>
      <c r="O3159">
        <v>750</v>
      </c>
      <c r="P3159">
        <v>38</v>
      </c>
      <c r="Q3159" s="2">
        <v>28500</v>
      </c>
      <c r="R3159">
        <v>165</v>
      </c>
      <c r="V3159">
        <v>0</v>
      </c>
      <c r="W3159">
        <v>0</v>
      </c>
      <c r="X3159">
        <v>0</v>
      </c>
      <c r="Y3159">
        <v>915</v>
      </c>
      <c r="Z3159">
        <v>915</v>
      </c>
      <c r="AA3159">
        <v>915</v>
      </c>
      <c r="AB3159" s="1">
        <v>42382</v>
      </c>
      <c r="AC3159" t="s">
        <v>53</v>
      </c>
      <c r="AD3159" t="s">
        <v>53</v>
      </c>
      <c r="AK3159">
        <v>165</v>
      </c>
      <c r="AU3159" s="6">
        <v>42123</v>
      </c>
      <c r="AV3159" s="6">
        <v>42123</v>
      </c>
      <c r="AW3159" t="s">
        <v>54</v>
      </c>
      <c r="AX3159" t="str">
        <f t="shared" si="268"/>
        <v>FOR</v>
      </c>
      <c r="AY3159" t="s">
        <v>55</v>
      </c>
    </row>
    <row r="3160" spans="1:51" hidden="1">
      <c r="A3160">
        <v>101041</v>
      </c>
      <c r="B3160" t="s">
        <v>499</v>
      </c>
      <c r="C3160" t="str">
        <f t="shared" si="269"/>
        <v>01329190621</v>
      </c>
      <c r="D3160" t="str">
        <f t="shared" si="269"/>
        <v>01329190621</v>
      </c>
      <c r="E3160" t="s">
        <v>52</v>
      </c>
      <c r="F3160">
        <v>2015</v>
      </c>
      <c r="G3160" t="s">
        <v>510</v>
      </c>
      <c r="H3160" s="1">
        <v>42021</v>
      </c>
      <c r="I3160" s="1">
        <v>42025</v>
      </c>
      <c r="J3160" s="1">
        <v>42025</v>
      </c>
      <c r="K3160" s="1">
        <v>42085</v>
      </c>
      <c r="N3160" s="5"/>
      <c r="O3160">
        <v>350</v>
      </c>
      <c r="P3160">
        <v>38</v>
      </c>
      <c r="Q3160" s="2">
        <v>13300</v>
      </c>
      <c r="R3160">
        <v>77</v>
      </c>
      <c r="V3160">
        <v>0</v>
      </c>
      <c r="W3160">
        <v>0</v>
      </c>
      <c r="X3160">
        <v>0</v>
      </c>
      <c r="Y3160">
        <v>427</v>
      </c>
      <c r="Z3160">
        <v>427</v>
      </c>
      <c r="AA3160">
        <v>427</v>
      </c>
      <c r="AB3160" s="1">
        <v>42382</v>
      </c>
      <c r="AC3160" t="s">
        <v>53</v>
      </c>
      <c r="AD3160" t="s">
        <v>53</v>
      </c>
      <c r="AK3160">
        <v>77</v>
      </c>
      <c r="AU3160" s="6">
        <v>42123</v>
      </c>
      <c r="AV3160" s="6">
        <v>42123</v>
      </c>
      <c r="AW3160" t="s">
        <v>54</v>
      </c>
      <c r="AX3160" t="str">
        <f t="shared" si="268"/>
        <v>FOR</v>
      </c>
      <c r="AY3160" t="s">
        <v>55</v>
      </c>
    </row>
    <row r="3161" spans="1:51" hidden="1">
      <c r="A3161">
        <v>101041</v>
      </c>
      <c r="B3161" t="s">
        <v>499</v>
      </c>
      <c r="C3161" t="str">
        <f t="shared" si="269"/>
        <v>01329190621</v>
      </c>
      <c r="D3161" t="str">
        <f t="shared" si="269"/>
        <v>01329190621</v>
      </c>
      <c r="E3161" t="s">
        <v>52</v>
      </c>
      <c r="F3161">
        <v>2015</v>
      </c>
      <c r="G3161" t="s">
        <v>442</v>
      </c>
      <c r="H3161" s="1">
        <v>42024</v>
      </c>
      <c r="I3161" s="1">
        <v>42109</v>
      </c>
      <c r="J3161" s="1">
        <v>42109</v>
      </c>
      <c r="K3161" s="1">
        <v>42169</v>
      </c>
      <c r="N3161" s="5"/>
      <c r="O3161">
        <v>660</v>
      </c>
      <c r="P3161">
        <v>15</v>
      </c>
      <c r="Q3161" s="2">
        <v>9900</v>
      </c>
      <c r="R3161">
        <v>145.19999999999999</v>
      </c>
      <c r="V3161">
        <v>0</v>
      </c>
      <c r="W3161">
        <v>0</v>
      </c>
      <c r="X3161">
        <v>0</v>
      </c>
      <c r="Y3161">
        <v>805.2</v>
      </c>
      <c r="Z3161">
        <v>805.2</v>
      </c>
      <c r="AA3161">
        <v>805.2</v>
      </c>
      <c r="AB3161" s="1">
        <v>42382</v>
      </c>
      <c r="AC3161" t="s">
        <v>53</v>
      </c>
      <c r="AD3161" t="s">
        <v>53</v>
      </c>
      <c r="AK3161">
        <v>145.19999999999999</v>
      </c>
      <c r="AU3161" s="6">
        <v>42184</v>
      </c>
      <c r="AV3161" s="6">
        <v>42184</v>
      </c>
      <c r="AW3161" t="s">
        <v>54</v>
      </c>
      <c r="AX3161" t="str">
        <f t="shared" si="268"/>
        <v>FOR</v>
      </c>
      <c r="AY3161" t="s">
        <v>55</v>
      </c>
    </row>
    <row r="3162" spans="1:51" hidden="1">
      <c r="A3162">
        <v>101041</v>
      </c>
      <c r="B3162" t="s">
        <v>499</v>
      </c>
      <c r="C3162" t="str">
        <f t="shared" ref="C3162:D3181" si="270">"01329190621"</f>
        <v>01329190621</v>
      </c>
      <c r="D3162" t="str">
        <f t="shared" si="270"/>
        <v>01329190621</v>
      </c>
      <c r="E3162" t="s">
        <v>52</v>
      </c>
      <c r="F3162">
        <v>2015</v>
      </c>
      <c r="G3162" t="s">
        <v>267</v>
      </c>
      <c r="H3162" s="1">
        <v>42024</v>
      </c>
      <c r="I3162" s="1">
        <v>42025</v>
      </c>
      <c r="J3162" s="1">
        <v>42025</v>
      </c>
      <c r="K3162" s="1">
        <v>42085</v>
      </c>
      <c r="N3162" s="5"/>
      <c r="O3162">
        <v>220</v>
      </c>
      <c r="P3162">
        <v>38</v>
      </c>
      <c r="Q3162" s="2">
        <v>8360</v>
      </c>
      <c r="R3162">
        <v>48.4</v>
      </c>
      <c r="V3162">
        <v>0</v>
      </c>
      <c r="W3162">
        <v>0</v>
      </c>
      <c r="X3162">
        <v>0</v>
      </c>
      <c r="Y3162">
        <v>268.39999999999998</v>
      </c>
      <c r="Z3162">
        <v>268.39999999999998</v>
      </c>
      <c r="AA3162">
        <v>268.39999999999998</v>
      </c>
      <c r="AB3162" s="1">
        <v>42382</v>
      </c>
      <c r="AC3162" t="s">
        <v>53</v>
      </c>
      <c r="AD3162" t="s">
        <v>53</v>
      </c>
      <c r="AK3162">
        <v>48.4</v>
      </c>
      <c r="AU3162" s="6">
        <v>42123</v>
      </c>
      <c r="AV3162" s="6">
        <v>42123</v>
      </c>
      <c r="AW3162" t="s">
        <v>54</v>
      </c>
      <c r="AX3162" t="str">
        <f t="shared" si="268"/>
        <v>FOR</v>
      </c>
      <c r="AY3162" t="s">
        <v>55</v>
      </c>
    </row>
    <row r="3163" spans="1:51" hidden="1">
      <c r="A3163">
        <v>101041</v>
      </c>
      <c r="B3163" t="s">
        <v>499</v>
      </c>
      <c r="C3163" t="str">
        <f t="shared" si="270"/>
        <v>01329190621</v>
      </c>
      <c r="D3163" t="str">
        <f t="shared" si="270"/>
        <v>01329190621</v>
      </c>
      <c r="E3163" t="s">
        <v>52</v>
      </c>
      <c r="F3163">
        <v>2015</v>
      </c>
      <c r="G3163" t="s">
        <v>446</v>
      </c>
      <c r="H3163" s="1">
        <v>42025</v>
      </c>
      <c r="I3163" s="1">
        <v>42166</v>
      </c>
      <c r="J3163" s="1">
        <v>42166</v>
      </c>
      <c r="K3163" s="1">
        <v>42226</v>
      </c>
      <c r="N3163" s="5"/>
      <c r="O3163">
        <v>300</v>
      </c>
      <c r="P3163">
        <v>-42</v>
      </c>
      <c r="Q3163" s="2">
        <v>-12600</v>
      </c>
      <c r="R3163">
        <v>66</v>
      </c>
      <c r="V3163">
        <v>0</v>
      </c>
      <c r="W3163">
        <v>0</v>
      </c>
      <c r="X3163">
        <v>0</v>
      </c>
      <c r="Y3163">
        <v>366</v>
      </c>
      <c r="Z3163">
        <v>366</v>
      </c>
      <c r="AA3163">
        <v>366</v>
      </c>
      <c r="AB3163" s="1">
        <v>42382</v>
      </c>
      <c r="AC3163" t="s">
        <v>53</v>
      </c>
      <c r="AD3163" t="s">
        <v>53</v>
      </c>
      <c r="AI3163">
        <v>66</v>
      </c>
      <c r="AK3163">
        <v>0</v>
      </c>
      <c r="AU3163" s="6">
        <v>42184</v>
      </c>
      <c r="AV3163" s="6">
        <v>42184</v>
      </c>
      <c r="AW3163" t="s">
        <v>54</v>
      </c>
      <c r="AX3163" t="str">
        <f t="shared" si="268"/>
        <v>FOR</v>
      </c>
      <c r="AY3163" t="s">
        <v>55</v>
      </c>
    </row>
    <row r="3164" spans="1:51" hidden="1">
      <c r="A3164">
        <v>101041</v>
      </c>
      <c r="B3164" t="s">
        <v>499</v>
      </c>
      <c r="C3164" t="str">
        <f t="shared" si="270"/>
        <v>01329190621</v>
      </c>
      <c r="D3164" t="str">
        <f t="shared" si="270"/>
        <v>01329190621</v>
      </c>
      <c r="E3164" t="s">
        <v>52</v>
      </c>
      <c r="F3164">
        <v>2015</v>
      </c>
      <c r="G3164" t="s">
        <v>511</v>
      </c>
      <c r="H3164" s="1">
        <v>42027</v>
      </c>
      <c r="I3164" s="1">
        <v>42166</v>
      </c>
      <c r="J3164" s="1">
        <v>42166</v>
      </c>
      <c r="K3164" s="1">
        <v>42226</v>
      </c>
      <c r="N3164" s="5"/>
      <c r="O3164">
        <v>570</v>
      </c>
      <c r="P3164">
        <v>-42</v>
      </c>
      <c r="Q3164" s="2">
        <v>-23940</v>
      </c>
      <c r="R3164">
        <v>125.4</v>
      </c>
      <c r="V3164">
        <v>0</v>
      </c>
      <c r="W3164">
        <v>0</v>
      </c>
      <c r="X3164">
        <v>0</v>
      </c>
      <c r="Y3164">
        <v>695.4</v>
      </c>
      <c r="Z3164">
        <v>695.4</v>
      </c>
      <c r="AA3164">
        <v>695.4</v>
      </c>
      <c r="AB3164" s="1">
        <v>42382</v>
      </c>
      <c r="AC3164" t="s">
        <v>53</v>
      </c>
      <c r="AD3164" t="s">
        <v>53</v>
      </c>
      <c r="AI3164">
        <v>125.4</v>
      </c>
      <c r="AK3164">
        <v>0</v>
      </c>
      <c r="AU3164" s="6">
        <v>42184</v>
      </c>
      <c r="AV3164" s="6">
        <v>42184</v>
      </c>
      <c r="AW3164" t="s">
        <v>54</v>
      </c>
      <c r="AX3164" t="str">
        <f t="shared" si="268"/>
        <v>FOR</v>
      </c>
      <c r="AY3164" t="s">
        <v>55</v>
      </c>
    </row>
    <row r="3165" spans="1:51" hidden="1">
      <c r="A3165">
        <v>101041</v>
      </c>
      <c r="B3165" t="s">
        <v>499</v>
      </c>
      <c r="C3165" t="str">
        <f t="shared" si="270"/>
        <v>01329190621</v>
      </c>
      <c r="D3165" t="str">
        <f t="shared" si="270"/>
        <v>01329190621</v>
      </c>
      <c r="E3165" t="s">
        <v>52</v>
      </c>
      <c r="F3165">
        <v>2015</v>
      </c>
      <c r="G3165" t="s">
        <v>496</v>
      </c>
      <c r="H3165" s="1">
        <v>42028</v>
      </c>
      <c r="I3165" s="1">
        <v>42171</v>
      </c>
      <c r="J3165" s="1">
        <v>42171</v>
      </c>
      <c r="K3165" s="1">
        <v>42231</v>
      </c>
      <c r="N3165" s="5"/>
      <c r="O3165">
        <v>660</v>
      </c>
      <c r="P3165">
        <v>-47</v>
      </c>
      <c r="Q3165" s="2">
        <v>-31020</v>
      </c>
      <c r="R3165">
        <v>145.19999999999999</v>
      </c>
      <c r="V3165">
        <v>0</v>
      </c>
      <c r="W3165">
        <v>0</v>
      </c>
      <c r="X3165">
        <v>0</v>
      </c>
      <c r="Y3165">
        <v>805.2</v>
      </c>
      <c r="Z3165">
        <v>805.2</v>
      </c>
      <c r="AA3165">
        <v>805.2</v>
      </c>
      <c r="AB3165" s="1">
        <v>42382</v>
      </c>
      <c r="AC3165" t="s">
        <v>53</v>
      </c>
      <c r="AD3165" t="s">
        <v>53</v>
      </c>
      <c r="AI3165">
        <v>145.19999999999999</v>
      </c>
      <c r="AK3165">
        <v>0</v>
      </c>
      <c r="AU3165" s="6">
        <v>42184</v>
      </c>
      <c r="AV3165" s="6">
        <v>42184</v>
      </c>
      <c r="AW3165" t="s">
        <v>54</v>
      </c>
      <c r="AX3165" t="str">
        <f t="shared" si="268"/>
        <v>FOR</v>
      </c>
      <c r="AY3165" t="s">
        <v>55</v>
      </c>
    </row>
    <row r="3166" spans="1:51" hidden="1">
      <c r="A3166">
        <v>101041</v>
      </c>
      <c r="B3166" t="s">
        <v>499</v>
      </c>
      <c r="C3166" t="str">
        <f t="shared" si="270"/>
        <v>01329190621</v>
      </c>
      <c r="D3166" t="str">
        <f t="shared" si="270"/>
        <v>01329190621</v>
      </c>
      <c r="E3166" t="s">
        <v>52</v>
      </c>
      <c r="F3166">
        <v>2015</v>
      </c>
      <c r="G3166" t="s">
        <v>410</v>
      </c>
      <c r="H3166" s="1">
        <v>42051</v>
      </c>
      <c r="I3166" s="1">
        <v>42053</v>
      </c>
      <c r="J3166" s="1">
        <v>42053</v>
      </c>
      <c r="K3166" s="1">
        <v>42113</v>
      </c>
      <c r="N3166" s="5"/>
      <c r="O3166">
        <v>260</v>
      </c>
      <c r="P3166">
        <v>10</v>
      </c>
      <c r="Q3166" s="2">
        <v>2600</v>
      </c>
      <c r="R3166">
        <v>57.2</v>
      </c>
      <c r="V3166">
        <v>0</v>
      </c>
      <c r="W3166">
        <v>0</v>
      </c>
      <c r="X3166">
        <v>0</v>
      </c>
      <c r="Y3166">
        <v>317.2</v>
      </c>
      <c r="Z3166">
        <v>317.2</v>
      </c>
      <c r="AA3166">
        <v>317.2</v>
      </c>
      <c r="AB3166" s="1">
        <v>42382</v>
      </c>
      <c r="AC3166" t="s">
        <v>53</v>
      </c>
      <c r="AD3166" t="s">
        <v>53</v>
      </c>
      <c r="AK3166">
        <v>57.2</v>
      </c>
      <c r="AU3166" s="6">
        <v>42123</v>
      </c>
      <c r="AV3166" s="6">
        <v>42123</v>
      </c>
      <c r="AW3166" t="s">
        <v>54</v>
      </c>
      <c r="AX3166" t="str">
        <f t="shared" si="268"/>
        <v>FOR</v>
      </c>
      <c r="AY3166" t="s">
        <v>55</v>
      </c>
    </row>
    <row r="3167" spans="1:51" hidden="1">
      <c r="A3167">
        <v>101041</v>
      </c>
      <c r="B3167" t="s">
        <v>499</v>
      </c>
      <c r="C3167" t="str">
        <f t="shared" si="270"/>
        <v>01329190621</v>
      </c>
      <c r="D3167" t="str">
        <f t="shared" si="270"/>
        <v>01329190621</v>
      </c>
      <c r="E3167" t="s">
        <v>52</v>
      </c>
      <c r="F3167">
        <v>2015</v>
      </c>
      <c r="G3167" t="s">
        <v>512</v>
      </c>
      <c r="H3167" s="1">
        <v>42051</v>
      </c>
      <c r="I3167" s="1">
        <v>42109</v>
      </c>
      <c r="J3167" s="1">
        <v>42109</v>
      </c>
      <c r="K3167" s="1">
        <v>42169</v>
      </c>
      <c r="N3167" s="5"/>
      <c r="O3167">
        <v>550</v>
      </c>
      <c r="P3167">
        <v>15</v>
      </c>
      <c r="Q3167" s="2">
        <v>8250</v>
      </c>
      <c r="R3167">
        <v>121</v>
      </c>
      <c r="V3167">
        <v>0</v>
      </c>
      <c r="W3167">
        <v>0</v>
      </c>
      <c r="X3167">
        <v>0</v>
      </c>
      <c r="Y3167">
        <v>671</v>
      </c>
      <c r="Z3167">
        <v>671</v>
      </c>
      <c r="AA3167">
        <v>671</v>
      </c>
      <c r="AB3167" s="1">
        <v>42382</v>
      </c>
      <c r="AC3167" t="s">
        <v>53</v>
      </c>
      <c r="AD3167" t="s">
        <v>53</v>
      </c>
      <c r="AK3167">
        <v>121</v>
      </c>
      <c r="AU3167" s="6">
        <v>42184</v>
      </c>
      <c r="AV3167" s="6">
        <v>42184</v>
      </c>
      <c r="AW3167" t="s">
        <v>54</v>
      </c>
      <c r="AX3167" t="str">
        <f t="shared" si="268"/>
        <v>FOR</v>
      </c>
      <c r="AY3167" t="s">
        <v>55</v>
      </c>
    </row>
    <row r="3168" spans="1:51" hidden="1">
      <c r="A3168">
        <v>101041</v>
      </c>
      <c r="B3168" t="s">
        <v>499</v>
      </c>
      <c r="C3168" t="str">
        <f t="shared" si="270"/>
        <v>01329190621</v>
      </c>
      <c r="D3168" t="str">
        <f t="shared" si="270"/>
        <v>01329190621</v>
      </c>
      <c r="E3168" t="s">
        <v>52</v>
      </c>
      <c r="F3168">
        <v>2015</v>
      </c>
      <c r="G3168" t="s">
        <v>411</v>
      </c>
      <c r="H3168" s="1">
        <v>42052</v>
      </c>
      <c r="I3168" s="1">
        <v>42109</v>
      </c>
      <c r="J3168" s="1">
        <v>42109</v>
      </c>
      <c r="K3168" s="1">
        <v>42169</v>
      </c>
      <c r="N3168" s="5"/>
      <c r="O3168">
        <v>450</v>
      </c>
      <c r="P3168">
        <v>15</v>
      </c>
      <c r="Q3168" s="2">
        <v>6750</v>
      </c>
      <c r="R3168">
        <v>99</v>
      </c>
      <c r="V3168">
        <v>0</v>
      </c>
      <c r="W3168">
        <v>0</v>
      </c>
      <c r="X3168">
        <v>0</v>
      </c>
      <c r="Y3168">
        <v>549</v>
      </c>
      <c r="Z3168">
        <v>549</v>
      </c>
      <c r="AA3168">
        <v>549</v>
      </c>
      <c r="AB3168" s="1">
        <v>42382</v>
      </c>
      <c r="AC3168" t="s">
        <v>53</v>
      </c>
      <c r="AD3168" t="s">
        <v>53</v>
      </c>
      <c r="AK3168">
        <v>99</v>
      </c>
      <c r="AU3168" s="6">
        <v>42184</v>
      </c>
      <c r="AV3168" s="6">
        <v>42184</v>
      </c>
      <c r="AW3168" t="s">
        <v>54</v>
      </c>
      <c r="AX3168" t="str">
        <f t="shared" si="268"/>
        <v>FOR</v>
      </c>
      <c r="AY3168" t="s">
        <v>55</v>
      </c>
    </row>
    <row r="3169" spans="1:51" hidden="1">
      <c r="A3169">
        <v>101041</v>
      </c>
      <c r="B3169" t="s">
        <v>499</v>
      </c>
      <c r="C3169" t="str">
        <f t="shared" si="270"/>
        <v>01329190621</v>
      </c>
      <c r="D3169" t="str">
        <f t="shared" si="270"/>
        <v>01329190621</v>
      </c>
      <c r="E3169" t="s">
        <v>52</v>
      </c>
      <c r="F3169">
        <v>2015</v>
      </c>
      <c r="G3169" t="s">
        <v>513</v>
      </c>
      <c r="H3169" s="1">
        <v>42052</v>
      </c>
      <c r="I3169" s="1">
        <v>42166</v>
      </c>
      <c r="J3169" s="1">
        <v>42166</v>
      </c>
      <c r="K3169" s="1">
        <v>42226</v>
      </c>
      <c r="N3169" s="5"/>
      <c r="O3169">
        <v>500</v>
      </c>
      <c r="P3169">
        <v>-42</v>
      </c>
      <c r="Q3169" s="2">
        <v>-21000</v>
      </c>
      <c r="R3169">
        <v>110</v>
      </c>
      <c r="V3169">
        <v>0</v>
      </c>
      <c r="W3169">
        <v>0</v>
      </c>
      <c r="X3169">
        <v>0</v>
      </c>
      <c r="Y3169">
        <v>610</v>
      </c>
      <c r="Z3169">
        <v>610</v>
      </c>
      <c r="AA3169">
        <v>610</v>
      </c>
      <c r="AB3169" s="1">
        <v>42382</v>
      </c>
      <c r="AC3169" t="s">
        <v>53</v>
      </c>
      <c r="AD3169" t="s">
        <v>53</v>
      </c>
      <c r="AI3169">
        <v>110</v>
      </c>
      <c r="AK3169">
        <v>0</v>
      </c>
      <c r="AU3169" s="6">
        <v>42184</v>
      </c>
      <c r="AV3169" s="6">
        <v>42184</v>
      </c>
      <c r="AW3169" t="s">
        <v>54</v>
      </c>
      <c r="AX3169" t="str">
        <f t="shared" si="268"/>
        <v>FOR</v>
      </c>
      <c r="AY3169" t="s">
        <v>55</v>
      </c>
    </row>
    <row r="3170" spans="1:51" hidden="1">
      <c r="A3170">
        <v>101041</v>
      </c>
      <c r="B3170" t="s">
        <v>499</v>
      </c>
      <c r="C3170" t="str">
        <f t="shared" si="270"/>
        <v>01329190621</v>
      </c>
      <c r="D3170" t="str">
        <f t="shared" si="270"/>
        <v>01329190621</v>
      </c>
      <c r="E3170" t="s">
        <v>52</v>
      </c>
      <c r="F3170">
        <v>2015</v>
      </c>
      <c r="G3170" t="s">
        <v>514</v>
      </c>
      <c r="H3170" s="1">
        <v>42052</v>
      </c>
      <c r="I3170" s="1">
        <v>42166</v>
      </c>
      <c r="J3170" s="1">
        <v>42166</v>
      </c>
      <c r="K3170" s="1">
        <v>42226</v>
      </c>
      <c r="N3170" s="5"/>
      <c r="O3170">
        <v>375</v>
      </c>
      <c r="P3170">
        <v>-42</v>
      </c>
      <c r="Q3170" s="2">
        <v>-15750</v>
      </c>
      <c r="R3170">
        <v>82.5</v>
      </c>
      <c r="V3170">
        <v>0</v>
      </c>
      <c r="W3170">
        <v>0</v>
      </c>
      <c r="X3170">
        <v>0</v>
      </c>
      <c r="Y3170">
        <v>457.5</v>
      </c>
      <c r="Z3170">
        <v>457.5</v>
      </c>
      <c r="AA3170">
        <v>457.5</v>
      </c>
      <c r="AB3170" s="1">
        <v>42382</v>
      </c>
      <c r="AC3170" t="s">
        <v>53</v>
      </c>
      <c r="AD3170" t="s">
        <v>53</v>
      </c>
      <c r="AI3170">
        <v>82.5</v>
      </c>
      <c r="AK3170">
        <v>0</v>
      </c>
      <c r="AU3170" s="6">
        <v>42184</v>
      </c>
      <c r="AV3170" s="6">
        <v>42184</v>
      </c>
      <c r="AW3170" t="s">
        <v>54</v>
      </c>
      <c r="AX3170" t="str">
        <f t="shared" si="268"/>
        <v>FOR</v>
      </c>
      <c r="AY3170" t="s">
        <v>55</v>
      </c>
    </row>
    <row r="3171" spans="1:51" hidden="1">
      <c r="A3171">
        <v>101041</v>
      </c>
      <c r="B3171" t="s">
        <v>499</v>
      </c>
      <c r="C3171" t="str">
        <f t="shared" si="270"/>
        <v>01329190621</v>
      </c>
      <c r="D3171" t="str">
        <f t="shared" si="270"/>
        <v>01329190621</v>
      </c>
      <c r="E3171" t="s">
        <v>52</v>
      </c>
      <c r="F3171">
        <v>2015</v>
      </c>
      <c r="G3171" t="s">
        <v>515</v>
      </c>
      <c r="H3171" s="1">
        <v>42054</v>
      </c>
      <c r="I3171" s="1">
        <v>42171</v>
      </c>
      <c r="J3171" s="1">
        <v>42171</v>
      </c>
      <c r="K3171" s="1">
        <v>42231</v>
      </c>
      <c r="N3171" s="5"/>
      <c r="O3171">
        <v>375</v>
      </c>
      <c r="P3171">
        <v>-47</v>
      </c>
      <c r="Q3171" s="2">
        <v>-17625</v>
      </c>
      <c r="R3171">
        <v>82.5</v>
      </c>
      <c r="V3171">
        <v>0</v>
      </c>
      <c r="W3171">
        <v>0</v>
      </c>
      <c r="X3171">
        <v>0</v>
      </c>
      <c r="Y3171">
        <v>457.5</v>
      </c>
      <c r="Z3171">
        <v>457.5</v>
      </c>
      <c r="AA3171">
        <v>457.5</v>
      </c>
      <c r="AB3171" s="1">
        <v>42382</v>
      </c>
      <c r="AC3171" t="s">
        <v>53</v>
      </c>
      <c r="AD3171" t="s">
        <v>53</v>
      </c>
      <c r="AI3171">
        <v>82.5</v>
      </c>
      <c r="AK3171">
        <v>0</v>
      </c>
      <c r="AU3171" s="6">
        <v>42184</v>
      </c>
      <c r="AV3171" s="6">
        <v>42184</v>
      </c>
      <c r="AW3171" t="s">
        <v>54</v>
      </c>
      <c r="AX3171" t="str">
        <f t="shared" si="268"/>
        <v>FOR</v>
      </c>
      <c r="AY3171" t="s">
        <v>55</v>
      </c>
    </row>
    <row r="3172" spans="1:51" hidden="1">
      <c r="A3172">
        <v>101041</v>
      </c>
      <c r="B3172" t="s">
        <v>499</v>
      </c>
      <c r="C3172" t="str">
        <f t="shared" si="270"/>
        <v>01329190621</v>
      </c>
      <c r="D3172" t="str">
        <f t="shared" si="270"/>
        <v>01329190621</v>
      </c>
      <c r="E3172" t="s">
        <v>52</v>
      </c>
      <c r="F3172">
        <v>2015</v>
      </c>
      <c r="G3172" t="s">
        <v>516</v>
      </c>
      <c r="H3172" s="1">
        <v>42054</v>
      </c>
      <c r="I3172" s="1">
        <v>42171</v>
      </c>
      <c r="J3172" s="1">
        <v>42171</v>
      </c>
      <c r="K3172" s="1">
        <v>42231</v>
      </c>
      <c r="N3172" s="5"/>
      <c r="O3172">
        <v>575</v>
      </c>
      <c r="P3172">
        <v>-47</v>
      </c>
      <c r="Q3172" s="2">
        <v>-27025</v>
      </c>
      <c r="R3172">
        <v>126.5</v>
      </c>
      <c r="V3172">
        <v>0</v>
      </c>
      <c r="W3172">
        <v>0</v>
      </c>
      <c r="X3172">
        <v>0</v>
      </c>
      <c r="Y3172">
        <v>701.5</v>
      </c>
      <c r="Z3172">
        <v>701.5</v>
      </c>
      <c r="AA3172">
        <v>701.5</v>
      </c>
      <c r="AB3172" s="1">
        <v>42382</v>
      </c>
      <c r="AC3172" t="s">
        <v>53</v>
      </c>
      <c r="AD3172" t="s">
        <v>53</v>
      </c>
      <c r="AI3172">
        <v>126.5</v>
      </c>
      <c r="AK3172">
        <v>0</v>
      </c>
      <c r="AU3172" s="6">
        <v>42184</v>
      </c>
      <c r="AV3172" s="6">
        <v>42184</v>
      </c>
      <c r="AW3172" t="s">
        <v>54</v>
      </c>
      <c r="AX3172" t="str">
        <f t="shared" si="268"/>
        <v>FOR</v>
      </c>
      <c r="AY3172" t="s">
        <v>55</v>
      </c>
    </row>
    <row r="3173" spans="1:51" hidden="1">
      <c r="A3173">
        <v>101041</v>
      </c>
      <c r="B3173" t="s">
        <v>499</v>
      </c>
      <c r="C3173" t="str">
        <f t="shared" si="270"/>
        <v>01329190621</v>
      </c>
      <c r="D3173" t="str">
        <f t="shared" si="270"/>
        <v>01329190621</v>
      </c>
      <c r="E3173" t="s">
        <v>52</v>
      </c>
      <c r="F3173">
        <v>2015</v>
      </c>
      <c r="G3173" t="s">
        <v>517</v>
      </c>
      <c r="H3173" s="1">
        <v>42055</v>
      </c>
      <c r="I3173" s="1">
        <v>42104</v>
      </c>
      <c r="J3173" s="1">
        <v>42104</v>
      </c>
      <c r="K3173" s="1">
        <v>42164</v>
      </c>
      <c r="N3173" s="5"/>
      <c r="O3173">
        <v>625</v>
      </c>
      <c r="P3173">
        <v>-41</v>
      </c>
      <c r="Q3173" s="2">
        <v>-25625</v>
      </c>
      <c r="R3173">
        <v>137.5</v>
      </c>
      <c r="V3173">
        <v>0</v>
      </c>
      <c r="W3173">
        <v>0</v>
      </c>
      <c r="X3173">
        <v>0</v>
      </c>
      <c r="Y3173">
        <v>762.5</v>
      </c>
      <c r="Z3173">
        <v>762.5</v>
      </c>
      <c r="AA3173">
        <v>762.5</v>
      </c>
      <c r="AB3173" s="1">
        <v>42382</v>
      </c>
      <c r="AC3173" t="s">
        <v>53</v>
      </c>
      <c r="AD3173" t="s">
        <v>53</v>
      </c>
      <c r="AK3173">
        <v>137.5</v>
      </c>
      <c r="AU3173" s="6">
        <v>42123</v>
      </c>
      <c r="AV3173" s="6">
        <v>42123</v>
      </c>
      <c r="AW3173" t="s">
        <v>54</v>
      </c>
      <c r="AX3173" t="str">
        <f t="shared" si="268"/>
        <v>FOR</v>
      </c>
      <c r="AY3173" t="s">
        <v>55</v>
      </c>
    </row>
    <row r="3174" spans="1:51" hidden="1">
      <c r="A3174">
        <v>101041</v>
      </c>
      <c r="B3174" t="s">
        <v>499</v>
      </c>
      <c r="C3174" t="str">
        <f t="shared" si="270"/>
        <v>01329190621</v>
      </c>
      <c r="D3174" t="str">
        <f t="shared" si="270"/>
        <v>01329190621</v>
      </c>
      <c r="E3174" t="s">
        <v>52</v>
      </c>
      <c r="F3174">
        <v>2015</v>
      </c>
      <c r="G3174" t="s">
        <v>518</v>
      </c>
      <c r="H3174" s="1">
        <v>42055</v>
      </c>
      <c r="I3174" s="1">
        <v>42171</v>
      </c>
      <c r="J3174" s="1">
        <v>42171</v>
      </c>
      <c r="K3174" s="1">
        <v>42231</v>
      </c>
      <c r="N3174" s="5"/>
      <c r="O3174">
        <v>550</v>
      </c>
      <c r="P3174">
        <v>-47</v>
      </c>
      <c r="Q3174" s="2">
        <v>-25850</v>
      </c>
      <c r="R3174">
        <v>121</v>
      </c>
      <c r="V3174">
        <v>0</v>
      </c>
      <c r="W3174">
        <v>0</v>
      </c>
      <c r="X3174">
        <v>0</v>
      </c>
      <c r="Y3174">
        <v>671</v>
      </c>
      <c r="Z3174">
        <v>671</v>
      </c>
      <c r="AA3174">
        <v>671</v>
      </c>
      <c r="AB3174" s="1">
        <v>42382</v>
      </c>
      <c r="AC3174" t="s">
        <v>53</v>
      </c>
      <c r="AD3174" t="s">
        <v>53</v>
      </c>
      <c r="AI3174">
        <v>121</v>
      </c>
      <c r="AK3174">
        <v>0</v>
      </c>
      <c r="AU3174" s="6">
        <v>42184</v>
      </c>
      <c r="AV3174" s="6">
        <v>42184</v>
      </c>
      <c r="AW3174" t="s">
        <v>54</v>
      </c>
      <c r="AX3174" t="str">
        <f t="shared" si="268"/>
        <v>FOR</v>
      </c>
      <c r="AY3174" t="s">
        <v>55</v>
      </c>
    </row>
    <row r="3175" spans="1:51" hidden="1">
      <c r="A3175">
        <v>101041</v>
      </c>
      <c r="B3175" t="s">
        <v>499</v>
      </c>
      <c r="C3175" t="str">
        <f t="shared" si="270"/>
        <v>01329190621</v>
      </c>
      <c r="D3175" t="str">
        <f t="shared" si="270"/>
        <v>01329190621</v>
      </c>
      <c r="E3175" t="s">
        <v>52</v>
      </c>
      <c r="F3175">
        <v>2015</v>
      </c>
      <c r="G3175" t="s">
        <v>519</v>
      </c>
      <c r="H3175" s="1">
        <v>42061</v>
      </c>
      <c r="I3175" s="1">
        <v>42066</v>
      </c>
      <c r="J3175" s="1">
        <v>42066</v>
      </c>
      <c r="K3175" s="1">
        <v>42126</v>
      </c>
      <c r="N3175" s="5"/>
      <c r="O3175">
        <v>220</v>
      </c>
      <c r="P3175">
        <v>-3</v>
      </c>
      <c r="Q3175">
        <v>-660</v>
      </c>
      <c r="R3175">
        <v>48.4</v>
      </c>
      <c r="V3175">
        <v>0</v>
      </c>
      <c r="W3175">
        <v>0</v>
      </c>
      <c r="X3175">
        <v>0</v>
      </c>
      <c r="Y3175">
        <v>268.39999999999998</v>
      </c>
      <c r="Z3175">
        <v>268.39999999999998</v>
      </c>
      <c r="AA3175">
        <v>268.39999999999998</v>
      </c>
      <c r="AB3175" s="1">
        <v>42382</v>
      </c>
      <c r="AC3175" t="s">
        <v>53</v>
      </c>
      <c r="AD3175" t="s">
        <v>53</v>
      </c>
      <c r="AK3175">
        <v>48.4</v>
      </c>
      <c r="AU3175" s="6">
        <v>42123</v>
      </c>
      <c r="AV3175" s="6">
        <v>42123</v>
      </c>
      <c r="AW3175" t="s">
        <v>54</v>
      </c>
      <c r="AX3175" t="str">
        <f t="shared" si="268"/>
        <v>FOR</v>
      </c>
      <c r="AY3175" t="s">
        <v>55</v>
      </c>
    </row>
    <row r="3176" spans="1:51" hidden="1">
      <c r="A3176">
        <v>101041</v>
      </c>
      <c r="B3176" t="s">
        <v>499</v>
      </c>
      <c r="C3176" t="str">
        <f t="shared" si="270"/>
        <v>01329190621</v>
      </c>
      <c r="D3176" t="str">
        <f t="shared" si="270"/>
        <v>01329190621</v>
      </c>
      <c r="E3176" t="s">
        <v>52</v>
      </c>
      <c r="F3176">
        <v>2015</v>
      </c>
      <c r="G3176" t="s">
        <v>520</v>
      </c>
      <c r="H3176" s="1">
        <v>42063</v>
      </c>
      <c r="I3176" s="1">
        <v>42066</v>
      </c>
      <c r="J3176" s="1">
        <v>42066</v>
      </c>
      <c r="K3176" s="1">
        <v>42126</v>
      </c>
      <c r="N3176" s="5"/>
      <c r="O3176">
        <v>80</v>
      </c>
      <c r="P3176">
        <v>-3</v>
      </c>
      <c r="Q3176">
        <v>-240</v>
      </c>
      <c r="R3176">
        <v>17.600000000000001</v>
      </c>
      <c r="V3176">
        <v>0</v>
      </c>
      <c r="W3176">
        <v>0</v>
      </c>
      <c r="X3176">
        <v>0</v>
      </c>
      <c r="Y3176">
        <v>97.6</v>
      </c>
      <c r="Z3176">
        <v>97.6</v>
      </c>
      <c r="AA3176">
        <v>97.6</v>
      </c>
      <c r="AB3176" s="1">
        <v>42382</v>
      </c>
      <c r="AC3176" t="s">
        <v>53</v>
      </c>
      <c r="AD3176" t="s">
        <v>53</v>
      </c>
      <c r="AK3176">
        <v>17.600000000000001</v>
      </c>
      <c r="AU3176" s="6">
        <v>42123</v>
      </c>
      <c r="AV3176" s="6">
        <v>42123</v>
      </c>
      <c r="AW3176" t="s">
        <v>54</v>
      </c>
      <c r="AX3176" t="str">
        <f t="shared" si="268"/>
        <v>FOR</v>
      </c>
      <c r="AY3176" t="s">
        <v>55</v>
      </c>
    </row>
    <row r="3177" spans="1:51" hidden="1">
      <c r="A3177">
        <v>101041</v>
      </c>
      <c r="B3177" t="s">
        <v>499</v>
      </c>
      <c r="C3177" t="str">
        <f t="shared" si="270"/>
        <v>01329190621</v>
      </c>
      <c r="D3177" t="str">
        <f t="shared" si="270"/>
        <v>01329190621</v>
      </c>
      <c r="E3177" t="s">
        <v>52</v>
      </c>
      <c r="F3177">
        <v>2015</v>
      </c>
      <c r="G3177" t="s">
        <v>521</v>
      </c>
      <c r="H3177" s="1">
        <v>42073</v>
      </c>
      <c r="I3177" s="1">
        <v>42104</v>
      </c>
      <c r="J3177" s="1">
        <v>42104</v>
      </c>
      <c r="K3177" s="1">
        <v>42164</v>
      </c>
      <c r="N3177" s="5"/>
      <c r="O3177">
        <v>665</v>
      </c>
      <c r="P3177">
        <v>-41</v>
      </c>
      <c r="Q3177" s="2">
        <v>-27265</v>
      </c>
      <c r="R3177">
        <v>146.30000000000001</v>
      </c>
      <c r="V3177">
        <v>0</v>
      </c>
      <c r="W3177">
        <v>0</v>
      </c>
      <c r="X3177">
        <v>0</v>
      </c>
      <c r="Y3177">
        <v>811.3</v>
      </c>
      <c r="Z3177">
        <v>811.3</v>
      </c>
      <c r="AA3177">
        <v>811.3</v>
      </c>
      <c r="AB3177" s="1">
        <v>42382</v>
      </c>
      <c r="AC3177" t="s">
        <v>53</v>
      </c>
      <c r="AD3177" t="s">
        <v>53</v>
      </c>
      <c r="AK3177">
        <v>146.30000000000001</v>
      </c>
      <c r="AU3177" s="6">
        <v>42123</v>
      </c>
      <c r="AV3177" s="6">
        <v>42123</v>
      </c>
      <c r="AW3177" t="s">
        <v>54</v>
      </c>
      <c r="AX3177" t="str">
        <f t="shared" si="268"/>
        <v>FOR</v>
      </c>
      <c r="AY3177" t="s">
        <v>55</v>
      </c>
    </row>
    <row r="3178" spans="1:51" hidden="1">
      <c r="A3178">
        <v>101041</v>
      </c>
      <c r="B3178" t="s">
        <v>499</v>
      </c>
      <c r="C3178" t="str">
        <f t="shared" si="270"/>
        <v>01329190621</v>
      </c>
      <c r="D3178" t="str">
        <f t="shared" si="270"/>
        <v>01329190621</v>
      </c>
      <c r="E3178" t="s">
        <v>52</v>
      </c>
      <c r="F3178">
        <v>2015</v>
      </c>
      <c r="G3178" t="s">
        <v>522</v>
      </c>
      <c r="H3178" s="1">
        <v>42088</v>
      </c>
      <c r="I3178" s="1">
        <v>42104</v>
      </c>
      <c r="J3178" s="1">
        <v>42104</v>
      </c>
      <c r="K3178" s="1">
        <v>42164</v>
      </c>
      <c r="N3178" s="5"/>
      <c r="O3178" s="2">
        <v>1148.4000000000001</v>
      </c>
      <c r="P3178">
        <v>20</v>
      </c>
      <c r="Q3178" s="2">
        <v>22968</v>
      </c>
      <c r="R3178">
        <v>252.65</v>
      </c>
      <c r="V3178">
        <v>0</v>
      </c>
      <c r="W3178">
        <v>0</v>
      </c>
      <c r="X3178">
        <v>0</v>
      </c>
      <c r="Y3178" s="2">
        <v>1401.05</v>
      </c>
      <c r="Z3178" s="2">
        <v>1401.05</v>
      </c>
      <c r="AA3178" s="2">
        <v>1401.05</v>
      </c>
      <c r="AB3178" s="1">
        <v>42382</v>
      </c>
      <c r="AC3178" t="s">
        <v>53</v>
      </c>
      <c r="AD3178" t="s">
        <v>53</v>
      </c>
      <c r="AK3178">
        <v>252.65</v>
      </c>
      <c r="AU3178" s="6">
        <v>42184</v>
      </c>
      <c r="AV3178" s="6">
        <v>42184</v>
      </c>
      <c r="AW3178" t="s">
        <v>54</v>
      </c>
      <c r="AX3178" t="str">
        <f t="shared" si="268"/>
        <v>FOR</v>
      </c>
      <c r="AY3178" t="s">
        <v>55</v>
      </c>
    </row>
    <row r="3179" spans="1:51" hidden="1">
      <c r="A3179">
        <v>101041</v>
      </c>
      <c r="B3179" t="s">
        <v>499</v>
      </c>
      <c r="C3179" t="str">
        <f t="shared" si="270"/>
        <v>01329190621</v>
      </c>
      <c r="D3179" t="str">
        <f t="shared" si="270"/>
        <v>01329190621</v>
      </c>
      <c r="E3179" t="s">
        <v>52</v>
      </c>
      <c r="F3179">
        <v>2015</v>
      </c>
      <c r="G3179" t="s">
        <v>523</v>
      </c>
      <c r="H3179" s="1">
        <v>42088</v>
      </c>
      <c r="I3179" s="1">
        <v>42109</v>
      </c>
      <c r="J3179" s="1">
        <v>42109</v>
      </c>
      <c r="K3179" s="1">
        <v>42169</v>
      </c>
      <c r="N3179" s="5"/>
      <c r="O3179">
        <v>939.6</v>
      </c>
      <c r="P3179">
        <v>15</v>
      </c>
      <c r="Q3179" s="2">
        <v>14094</v>
      </c>
      <c r="R3179">
        <v>206.71</v>
      </c>
      <c r="V3179">
        <v>0</v>
      </c>
      <c r="W3179">
        <v>0</v>
      </c>
      <c r="X3179">
        <v>0</v>
      </c>
      <c r="Y3179" s="2">
        <v>1146.31</v>
      </c>
      <c r="Z3179" s="2">
        <v>1146.31</v>
      </c>
      <c r="AA3179" s="2">
        <v>1146.31</v>
      </c>
      <c r="AB3179" s="1">
        <v>42382</v>
      </c>
      <c r="AC3179" t="s">
        <v>53</v>
      </c>
      <c r="AD3179" t="s">
        <v>53</v>
      </c>
      <c r="AK3179">
        <v>206.71</v>
      </c>
      <c r="AU3179" s="6">
        <v>42184</v>
      </c>
      <c r="AV3179" s="6">
        <v>42184</v>
      </c>
      <c r="AW3179" t="s">
        <v>54</v>
      </c>
      <c r="AX3179" t="str">
        <f t="shared" si="268"/>
        <v>FOR</v>
      </c>
      <c r="AY3179" t="s">
        <v>55</v>
      </c>
    </row>
    <row r="3180" spans="1:51" hidden="1">
      <c r="A3180">
        <v>101041</v>
      </c>
      <c r="B3180" t="s">
        <v>499</v>
      </c>
      <c r="C3180" t="str">
        <f t="shared" si="270"/>
        <v>01329190621</v>
      </c>
      <c r="D3180" t="str">
        <f t="shared" si="270"/>
        <v>01329190621</v>
      </c>
      <c r="E3180" t="s">
        <v>52</v>
      </c>
      <c r="F3180">
        <v>2015</v>
      </c>
      <c r="G3180" t="s">
        <v>524</v>
      </c>
      <c r="H3180" s="1">
        <v>42088</v>
      </c>
      <c r="I3180" s="1">
        <v>42166</v>
      </c>
      <c r="J3180" s="1">
        <v>42166</v>
      </c>
      <c r="K3180" s="1">
        <v>42226</v>
      </c>
      <c r="N3180" s="5"/>
      <c r="O3180">
        <v>740.95</v>
      </c>
      <c r="P3180">
        <v>-42</v>
      </c>
      <c r="Q3180" s="2">
        <v>-31119.9</v>
      </c>
      <c r="R3180">
        <v>163.01</v>
      </c>
      <c r="V3180">
        <v>0</v>
      </c>
      <c r="W3180">
        <v>0</v>
      </c>
      <c r="X3180">
        <v>0</v>
      </c>
      <c r="Y3180">
        <v>903.96</v>
      </c>
      <c r="Z3180">
        <v>903.96</v>
      </c>
      <c r="AA3180">
        <v>903.96</v>
      </c>
      <c r="AB3180" s="1">
        <v>42382</v>
      </c>
      <c r="AC3180" t="s">
        <v>53</v>
      </c>
      <c r="AD3180" t="s">
        <v>53</v>
      </c>
      <c r="AI3180">
        <v>163.01</v>
      </c>
      <c r="AK3180">
        <v>0</v>
      </c>
      <c r="AU3180" s="6">
        <v>42184</v>
      </c>
      <c r="AV3180" s="6">
        <v>42184</v>
      </c>
      <c r="AW3180" t="s">
        <v>54</v>
      </c>
      <c r="AX3180" t="str">
        <f t="shared" si="268"/>
        <v>FOR</v>
      </c>
      <c r="AY3180" t="s">
        <v>55</v>
      </c>
    </row>
    <row r="3181" spans="1:51" hidden="1">
      <c r="A3181">
        <v>101041</v>
      </c>
      <c r="B3181" t="s">
        <v>499</v>
      </c>
      <c r="C3181" t="str">
        <f t="shared" si="270"/>
        <v>01329190621</v>
      </c>
      <c r="D3181" t="str">
        <f t="shared" si="270"/>
        <v>01329190621</v>
      </c>
      <c r="E3181" t="s">
        <v>52</v>
      </c>
      <c r="F3181">
        <v>2015</v>
      </c>
      <c r="G3181" t="s">
        <v>525</v>
      </c>
      <c r="H3181" s="1">
        <v>42088</v>
      </c>
      <c r="I3181" s="1">
        <v>42171</v>
      </c>
      <c r="J3181" s="1">
        <v>42171</v>
      </c>
      <c r="K3181" s="1">
        <v>42231</v>
      </c>
      <c r="N3181" s="5"/>
      <c r="O3181">
        <v>720.65</v>
      </c>
      <c r="P3181">
        <v>-47</v>
      </c>
      <c r="Q3181" s="2">
        <v>-33870.550000000003</v>
      </c>
      <c r="R3181">
        <v>158.54</v>
      </c>
      <c r="V3181">
        <v>0</v>
      </c>
      <c r="W3181">
        <v>0</v>
      </c>
      <c r="X3181">
        <v>0</v>
      </c>
      <c r="Y3181">
        <v>879.19</v>
      </c>
      <c r="Z3181">
        <v>879.19</v>
      </c>
      <c r="AA3181">
        <v>879.19</v>
      </c>
      <c r="AB3181" s="1">
        <v>42382</v>
      </c>
      <c r="AC3181" t="s">
        <v>53</v>
      </c>
      <c r="AD3181" t="s">
        <v>53</v>
      </c>
      <c r="AI3181">
        <v>158.54</v>
      </c>
      <c r="AK3181">
        <v>0</v>
      </c>
      <c r="AU3181" s="6">
        <v>42184</v>
      </c>
      <c r="AV3181" s="6">
        <v>42184</v>
      </c>
      <c r="AW3181" t="s">
        <v>54</v>
      </c>
      <c r="AX3181" t="str">
        <f t="shared" si="268"/>
        <v>FOR</v>
      </c>
      <c r="AY3181" t="s">
        <v>55</v>
      </c>
    </row>
    <row r="3182" spans="1:51" hidden="1">
      <c r="A3182">
        <v>101041</v>
      </c>
      <c r="B3182" t="s">
        <v>499</v>
      </c>
      <c r="C3182" t="str">
        <f t="shared" ref="C3182:D3190" si="271">"01329190621"</f>
        <v>01329190621</v>
      </c>
      <c r="D3182" t="str">
        <f t="shared" si="271"/>
        <v>01329190621</v>
      </c>
      <c r="E3182" t="s">
        <v>52</v>
      </c>
      <c r="F3182">
        <v>2015</v>
      </c>
      <c r="G3182" t="s">
        <v>526</v>
      </c>
      <c r="H3182" s="1">
        <v>42089</v>
      </c>
      <c r="I3182" s="1">
        <v>42095</v>
      </c>
      <c r="J3182" s="1">
        <v>42095</v>
      </c>
      <c r="K3182" s="1">
        <v>42155</v>
      </c>
      <c r="N3182" s="5"/>
      <c r="O3182">
        <v>65</v>
      </c>
      <c r="P3182">
        <v>-32</v>
      </c>
      <c r="Q3182" s="2">
        <v>-2080</v>
      </c>
      <c r="R3182">
        <v>14.3</v>
      </c>
      <c r="V3182">
        <v>0</v>
      </c>
      <c r="W3182">
        <v>0</v>
      </c>
      <c r="X3182">
        <v>0</v>
      </c>
      <c r="Y3182">
        <v>79.3</v>
      </c>
      <c r="Z3182">
        <v>79.3</v>
      </c>
      <c r="AA3182">
        <v>79.3</v>
      </c>
      <c r="AB3182" s="1">
        <v>42382</v>
      </c>
      <c r="AC3182" t="s">
        <v>53</v>
      </c>
      <c r="AD3182" t="s">
        <v>53</v>
      </c>
      <c r="AK3182">
        <v>14.3</v>
      </c>
      <c r="AU3182" s="6">
        <v>42123</v>
      </c>
      <c r="AV3182" s="6">
        <v>42123</v>
      </c>
      <c r="AW3182" t="s">
        <v>54</v>
      </c>
      <c r="AX3182" t="str">
        <f t="shared" si="268"/>
        <v>FOR</v>
      </c>
      <c r="AY3182" t="s">
        <v>55</v>
      </c>
    </row>
    <row r="3183" spans="1:51">
      <c r="A3183">
        <v>101041</v>
      </c>
      <c r="B3183" t="s">
        <v>499</v>
      </c>
      <c r="C3183" t="str">
        <f t="shared" si="271"/>
        <v>01329190621</v>
      </c>
      <c r="D3183" t="str">
        <f t="shared" si="271"/>
        <v>01329190621</v>
      </c>
      <c r="E3183" t="s">
        <v>52</v>
      </c>
      <c r="F3183">
        <v>2015</v>
      </c>
      <c r="G3183">
        <v>16</v>
      </c>
      <c r="H3183" s="1">
        <v>42132</v>
      </c>
      <c r="I3183" s="1">
        <v>42272</v>
      </c>
      <c r="J3183" s="1">
        <v>42271</v>
      </c>
      <c r="K3183" s="1">
        <v>42331</v>
      </c>
      <c r="L3183" s="7">
        <v>180</v>
      </c>
      <c r="M3183" s="5">
        <v>-47</v>
      </c>
      <c r="N3183" s="7">
        <v>-8460</v>
      </c>
      <c r="O3183">
        <v>180</v>
      </c>
      <c r="P3183">
        <v>-47</v>
      </c>
      <c r="Q3183" s="2">
        <v>-8460</v>
      </c>
      <c r="R3183">
        <v>39.6</v>
      </c>
      <c r="V3183">
        <v>0</v>
      </c>
      <c r="W3183">
        <v>0</v>
      </c>
      <c r="X3183">
        <v>0</v>
      </c>
      <c r="Y3183">
        <v>219.6</v>
      </c>
      <c r="Z3183">
        <v>219.6</v>
      </c>
      <c r="AA3183">
        <v>219.6</v>
      </c>
      <c r="AB3183" s="1">
        <v>42382</v>
      </c>
      <c r="AC3183" t="s">
        <v>53</v>
      </c>
      <c r="AD3183" t="s">
        <v>53</v>
      </c>
      <c r="AF3183">
        <v>39.6</v>
      </c>
      <c r="AK3183">
        <v>0</v>
      </c>
      <c r="AU3183" s="6">
        <v>42284</v>
      </c>
      <c r="AV3183" s="6">
        <v>42284</v>
      </c>
      <c r="AW3183" t="s">
        <v>54</v>
      </c>
      <c r="AX3183" t="str">
        <f t="shared" si="268"/>
        <v>FOR</v>
      </c>
      <c r="AY3183" t="s">
        <v>55</v>
      </c>
    </row>
    <row r="3184" spans="1:51">
      <c r="A3184">
        <v>101041</v>
      </c>
      <c r="B3184" t="s">
        <v>499</v>
      </c>
      <c r="C3184" t="str">
        <f t="shared" si="271"/>
        <v>01329190621</v>
      </c>
      <c r="D3184" t="str">
        <f t="shared" si="271"/>
        <v>01329190621</v>
      </c>
      <c r="E3184" t="s">
        <v>52</v>
      </c>
      <c r="F3184">
        <v>2015</v>
      </c>
      <c r="G3184">
        <v>19</v>
      </c>
      <c r="H3184" s="1">
        <v>42159</v>
      </c>
      <c r="I3184" s="1">
        <v>42272</v>
      </c>
      <c r="J3184" s="1">
        <v>42271</v>
      </c>
      <c r="K3184" s="1">
        <v>42331</v>
      </c>
      <c r="L3184" s="7">
        <v>120</v>
      </c>
      <c r="M3184" s="5">
        <v>-47</v>
      </c>
      <c r="N3184" s="7">
        <v>-5640</v>
      </c>
      <c r="O3184">
        <v>120</v>
      </c>
      <c r="P3184">
        <v>-47</v>
      </c>
      <c r="Q3184" s="2">
        <v>-5640</v>
      </c>
      <c r="R3184">
        <v>26.4</v>
      </c>
      <c r="V3184">
        <v>0</v>
      </c>
      <c r="W3184">
        <v>0</v>
      </c>
      <c r="X3184">
        <v>0</v>
      </c>
      <c r="Y3184">
        <v>146.4</v>
      </c>
      <c r="Z3184">
        <v>146.4</v>
      </c>
      <c r="AA3184">
        <v>146.4</v>
      </c>
      <c r="AB3184" s="1">
        <v>42382</v>
      </c>
      <c r="AC3184" t="s">
        <v>53</v>
      </c>
      <c r="AD3184" t="s">
        <v>53</v>
      </c>
      <c r="AF3184">
        <v>26.4</v>
      </c>
      <c r="AK3184">
        <v>0</v>
      </c>
      <c r="AU3184" s="6">
        <v>42284</v>
      </c>
      <c r="AV3184" s="6">
        <v>42284</v>
      </c>
      <c r="AW3184" t="s">
        <v>54</v>
      </c>
      <c r="AX3184" t="str">
        <f t="shared" si="268"/>
        <v>FOR</v>
      </c>
      <c r="AY3184" t="s">
        <v>55</v>
      </c>
    </row>
    <row r="3185" spans="1:51">
      <c r="A3185">
        <v>101041</v>
      </c>
      <c r="B3185" t="s">
        <v>499</v>
      </c>
      <c r="C3185" t="str">
        <f t="shared" si="271"/>
        <v>01329190621</v>
      </c>
      <c r="D3185" t="str">
        <f t="shared" si="271"/>
        <v>01329190621</v>
      </c>
      <c r="E3185" t="s">
        <v>52</v>
      </c>
      <c r="F3185">
        <v>2015</v>
      </c>
      <c r="G3185">
        <v>29</v>
      </c>
      <c r="H3185" s="1">
        <v>42167</v>
      </c>
      <c r="I3185" s="1">
        <v>42272</v>
      </c>
      <c r="J3185" s="1">
        <v>42271</v>
      </c>
      <c r="K3185" s="1">
        <v>42331</v>
      </c>
      <c r="L3185" s="7">
        <v>800</v>
      </c>
      <c r="M3185" s="5">
        <v>-47</v>
      </c>
      <c r="N3185" s="7">
        <v>-37600</v>
      </c>
      <c r="O3185">
        <v>800</v>
      </c>
      <c r="P3185">
        <v>-47</v>
      </c>
      <c r="Q3185" s="2">
        <v>-37600</v>
      </c>
      <c r="R3185">
        <v>176</v>
      </c>
      <c r="V3185">
        <v>0</v>
      </c>
      <c r="W3185">
        <v>0</v>
      </c>
      <c r="X3185">
        <v>0</v>
      </c>
      <c r="Y3185">
        <v>976</v>
      </c>
      <c r="Z3185">
        <v>976</v>
      </c>
      <c r="AA3185">
        <v>976</v>
      </c>
      <c r="AB3185" s="1">
        <v>42382</v>
      </c>
      <c r="AC3185" t="s">
        <v>53</v>
      </c>
      <c r="AD3185" t="s">
        <v>53</v>
      </c>
      <c r="AF3185">
        <v>176</v>
      </c>
      <c r="AK3185">
        <v>0</v>
      </c>
      <c r="AU3185" s="6">
        <v>42284</v>
      </c>
      <c r="AV3185" s="6">
        <v>42284</v>
      </c>
      <c r="AW3185" t="s">
        <v>54</v>
      </c>
      <c r="AX3185" t="str">
        <f t="shared" si="268"/>
        <v>FOR</v>
      </c>
      <c r="AY3185" t="s">
        <v>55</v>
      </c>
    </row>
    <row r="3186" spans="1:51">
      <c r="A3186">
        <v>101041</v>
      </c>
      <c r="B3186" t="s">
        <v>499</v>
      </c>
      <c r="C3186" t="str">
        <f t="shared" si="271"/>
        <v>01329190621</v>
      </c>
      <c r="D3186" t="str">
        <f t="shared" si="271"/>
        <v>01329190621</v>
      </c>
      <c r="E3186" t="s">
        <v>52</v>
      </c>
      <c r="F3186">
        <v>2015</v>
      </c>
      <c r="G3186">
        <v>41</v>
      </c>
      <c r="H3186" s="1">
        <v>42202</v>
      </c>
      <c r="I3186" s="1">
        <v>42272</v>
      </c>
      <c r="J3186" s="1">
        <v>42271</v>
      </c>
      <c r="K3186" s="1">
        <v>42331</v>
      </c>
      <c r="L3186" s="7">
        <v>50</v>
      </c>
      <c r="M3186" s="5">
        <v>-47</v>
      </c>
      <c r="N3186" s="7">
        <v>-2350</v>
      </c>
      <c r="O3186">
        <v>50</v>
      </c>
      <c r="P3186">
        <v>-47</v>
      </c>
      <c r="Q3186" s="2">
        <v>-2350</v>
      </c>
      <c r="R3186">
        <v>11</v>
      </c>
      <c r="V3186">
        <v>0</v>
      </c>
      <c r="W3186">
        <v>0</v>
      </c>
      <c r="X3186">
        <v>0</v>
      </c>
      <c r="Y3186">
        <v>61</v>
      </c>
      <c r="Z3186">
        <v>61</v>
      </c>
      <c r="AA3186">
        <v>61</v>
      </c>
      <c r="AB3186" s="1">
        <v>42382</v>
      </c>
      <c r="AC3186" t="s">
        <v>53</v>
      </c>
      <c r="AD3186" t="s">
        <v>53</v>
      </c>
      <c r="AF3186">
        <v>11</v>
      </c>
      <c r="AK3186">
        <v>0</v>
      </c>
      <c r="AU3186" s="6">
        <v>42284</v>
      </c>
      <c r="AV3186" s="6">
        <v>42284</v>
      </c>
      <c r="AW3186" t="s">
        <v>54</v>
      </c>
      <c r="AX3186" t="str">
        <f t="shared" si="268"/>
        <v>FOR</v>
      </c>
      <c r="AY3186" t="s">
        <v>55</v>
      </c>
    </row>
    <row r="3187" spans="1:51">
      <c r="A3187">
        <v>101041</v>
      </c>
      <c r="B3187" t="s">
        <v>499</v>
      </c>
      <c r="C3187" t="str">
        <f t="shared" si="271"/>
        <v>01329190621</v>
      </c>
      <c r="D3187" t="str">
        <f t="shared" si="271"/>
        <v>01329190621</v>
      </c>
      <c r="E3187" t="s">
        <v>52</v>
      </c>
      <c r="F3187">
        <v>2015</v>
      </c>
      <c r="G3187">
        <v>42</v>
      </c>
      <c r="H3187" s="1">
        <v>42202</v>
      </c>
      <c r="I3187" s="1">
        <v>42272</v>
      </c>
      <c r="J3187" s="1">
        <v>42271</v>
      </c>
      <c r="K3187" s="1">
        <v>42331</v>
      </c>
      <c r="L3187" s="7">
        <v>120</v>
      </c>
      <c r="M3187" s="5">
        <v>-47</v>
      </c>
      <c r="N3187" s="7">
        <v>-5640</v>
      </c>
      <c r="O3187">
        <v>120</v>
      </c>
      <c r="P3187">
        <v>-47</v>
      </c>
      <c r="Q3187" s="2">
        <v>-5640</v>
      </c>
      <c r="R3187">
        <v>26.4</v>
      </c>
      <c r="V3187">
        <v>0</v>
      </c>
      <c r="W3187">
        <v>0</v>
      </c>
      <c r="X3187">
        <v>0</v>
      </c>
      <c r="Y3187">
        <v>146.4</v>
      </c>
      <c r="Z3187">
        <v>146.4</v>
      </c>
      <c r="AA3187">
        <v>146.4</v>
      </c>
      <c r="AB3187" s="1">
        <v>42382</v>
      </c>
      <c r="AC3187" t="s">
        <v>53</v>
      </c>
      <c r="AD3187" t="s">
        <v>53</v>
      </c>
      <c r="AF3187">
        <v>26.4</v>
      </c>
      <c r="AK3187">
        <v>0</v>
      </c>
      <c r="AU3187" s="6">
        <v>42284</v>
      </c>
      <c r="AV3187" s="6">
        <v>42284</v>
      </c>
      <c r="AW3187" t="s">
        <v>54</v>
      </c>
      <c r="AX3187" t="str">
        <f t="shared" si="268"/>
        <v>FOR</v>
      </c>
      <c r="AY3187" t="s">
        <v>55</v>
      </c>
    </row>
    <row r="3188" spans="1:51">
      <c r="A3188">
        <v>101041</v>
      </c>
      <c r="B3188" t="s">
        <v>499</v>
      </c>
      <c r="C3188" t="str">
        <f t="shared" si="271"/>
        <v>01329190621</v>
      </c>
      <c r="D3188" t="str">
        <f t="shared" si="271"/>
        <v>01329190621</v>
      </c>
      <c r="E3188" t="s">
        <v>52</v>
      </c>
      <c r="F3188">
        <v>2015</v>
      </c>
      <c r="G3188">
        <v>43</v>
      </c>
      <c r="H3188" s="1">
        <v>42202</v>
      </c>
      <c r="I3188" s="1">
        <v>42272</v>
      </c>
      <c r="J3188" s="1">
        <v>42271</v>
      </c>
      <c r="K3188" s="1">
        <v>42331</v>
      </c>
      <c r="L3188" s="7">
        <v>120</v>
      </c>
      <c r="M3188" s="5">
        <v>-47</v>
      </c>
      <c r="N3188" s="7">
        <v>-5640</v>
      </c>
      <c r="O3188">
        <v>120</v>
      </c>
      <c r="P3188">
        <v>-47</v>
      </c>
      <c r="Q3188" s="2">
        <v>-5640</v>
      </c>
      <c r="R3188">
        <v>26.4</v>
      </c>
      <c r="V3188">
        <v>0</v>
      </c>
      <c r="W3188">
        <v>0</v>
      </c>
      <c r="X3188">
        <v>0</v>
      </c>
      <c r="Y3188">
        <v>146.4</v>
      </c>
      <c r="Z3188">
        <v>146.4</v>
      </c>
      <c r="AA3188">
        <v>146.4</v>
      </c>
      <c r="AB3188" s="1">
        <v>42382</v>
      </c>
      <c r="AC3188" t="s">
        <v>53</v>
      </c>
      <c r="AD3188" t="s">
        <v>53</v>
      </c>
      <c r="AF3188">
        <v>26.4</v>
      </c>
      <c r="AK3188">
        <v>0</v>
      </c>
      <c r="AU3188" s="6">
        <v>42284</v>
      </c>
      <c r="AV3188" s="6">
        <v>42284</v>
      </c>
      <c r="AW3188" t="s">
        <v>54</v>
      </c>
      <c r="AX3188" t="str">
        <f t="shared" si="268"/>
        <v>FOR</v>
      </c>
      <c r="AY3188" t="s">
        <v>55</v>
      </c>
    </row>
    <row r="3189" spans="1:51">
      <c r="A3189">
        <v>101041</v>
      </c>
      <c r="B3189" t="s">
        <v>499</v>
      </c>
      <c r="C3189" t="str">
        <f t="shared" si="271"/>
        <v>01329190621</v>
      </c>
      <c r="D3189" t="str">
        <f t="shared" si="271"/>
        <v>01329190621</v>
      </c>
      <c r="E3189" t="s">
        <v>52</v>
      </c>
      <c r="F3189">
        <v>2015</v>
      </c>
      <c r="G3189">
        <v>46</v>
      </c>
      <c r="H3189" s="1">
        <v>42213</v>
      </c>
      <c r="I3189" s="1">
        <v>42272</v>
      </c>
      <c r="J3189" s="1">
        <v>42271</v>
      </c>
      <c r="K3189" s="1">
        <v>42331</v>
      </c>
      <c r="L3189" s="7">
        <v>120</v>
      </c>
      <c r="M3189" s="5">
        <v>-47</v>
      </c>
      <c r="N3189" s="7">
        <v>-5640</v>
      </c>
      <c r="O3189">
        <v>120</v>
      </c>
      <c r="P3189">
        <v>-47</v>
      </c>
      <c r="Q3189" s="2">
        <v>-5640</v>
      </c>
      <c r="R3189">
        <v>26.4</v>
      </c>
      <c r="V3189">
        <v>0</v>
      </c>
      <c r="W3189">
        <v>0</v>
      </c>
      <c r="X3189">
        <v>0</v>
      </c>
      <c r="Y3189">
        <v>146.4</v>
      </c>
      <c r="Z3189">
        <v>146.4</v>
      </c>
      <c r="AA3189">
        <v>146.4</v>
      </c>
      <c r="AB3189" s="1">
        <v>42382</v>
      </c>
      <c r="AC3189" t="s">
        <v>53</v>
      </c>
      <c r="AD3189" t="s">
        <v>53</v>
      </c>
      <c r="AF3189">
        <v>26.4</v>
      </c>
      <c r="AK3189">
        <v>0</v>
      </c>
      <c r="AU3189" s="6">
        <v>42284</v>
      </c>
      <c r="AV3189" s="6">
        <v>42284</v>
      </c>
      <c r="AW3189" t="s">
        <v>54</v>
      </c>
      <c r="AX3189" t="str">
        <f t="shared" si="268"/>
        <v>FOR</v>
      </c>
      <c r="AY3189" t="s">
        <v>55</v>
      </c>
    </row>
    <row r="3190" spans="1:51">
      <c r="A3190">
        <v>101041</v>
      </c>
      <c r="B3190" t="s">
        <v>499</v>
      </c>
      <c r="C3190" t="str">
        <f t="shared" si="271"/>
        <v>01329190621</v>
      </c>
      <c r="D3190" t="str">
        <f t="shared" si="271"/>
        <v>01329190621</v>
      </c>
      <c r="E3190" t="s">
        <v>52</v>
      </c>
      <c r="F3190">
        <v>2015</v>
      </c>
      <c r="G3190">
        <v>48</v>
      </c>
      <c r="H3190" s="1">
        <v>42216</v>
      </c>
      <c r="I3190" s="1">
        <v>42272</v>
      </c>
      <c r="J3190" s="1">
        <v>42271</v>
      </c>
      <c r="K3190" s="1">
        <v>42331</v>
      </c>
      <c r="L3190" s="7">
        <v>240</v>
      </c>
      <c r="M3190" s="5">
        <v>-47</v>
      </c>
      <c r="N3190" s="7">
        <v>-11280</v>
      </c>
      <c r="O3190">
        <v>240</v>
      </c>
      <c r="P3190">
        <v>-47</v>
      </c>
      <c r="Q3190" s="2">
        <v>-11280</v>
      </c>
      <c r="R3190">
        <v>52.8</v>
      </c>
      <c r="V3190">
        <v>0</v>
      </c>
      <c r="W3190">
        <v>0</v>
      </c>
      <c r="X3190">
        <v>0</v>
      </c>
      <c r="Y3190">
        <v>292.8</v>
      </c>
      <c r="Z3190">
        <v>292.8</v>
      </c>
      <c r="AA3190">
        <v>292.8</v>
      </c>
      <c r="AB3190" s="1">
        <v>42382</v>
      </c>
      <c r="AC3190" t="s">
        <v>53</v>
      </c>
      <c r="AD3190" t="s">
        <v>53</v>
      </c>
      <c r="AF3190">
        <v>52.8</v>
      </c>
      <c r="AK3190">
        <v>0</v>
      </c>
      <c r="AU3190" s="6">
        <v>42284</v>
      </c>
      <c r="AV3190" s="6">
        <v>42284</v>
      </c>
      <c r="AW3190" t="s">
        <v>54</v>
      </c>
      <c r="AX3190" t="str">
        <f t="shared" si="268"/>
        <v>FOR</v>
      </c>
      <c r="AY3190" t="s">
        <v>55</v>
      </c>
    </row>
    <row r="3191" spans="1:51" hidden="1">
      <c r="A3191">
        <v>101058</v>
      </c>
      <c r="B3191" t="s">
        <v>527</v>
      </c>
      <c r="C3191" t="str">
        <f>"01100510625"</f>
        <v>01100510625</v>
      </c>
      <c r="D3191" t="str">
        <f>"TTEGNN65H03L086E"</f>
        <v>TTEGNN65H03L086E</v>
      </c>
      <c r="E3191" t="s">
        <v>52</v>
      </c>
      <c r="F3191">
        <v>2015</v>
      </c>
      <c r="G3191">
        <v>395</v>
      </c>
      <c r="H3191" s="1">
        <v>42107</v>
      </c>
      <c r="I3191" s="1">
        <v>42108</v>
      </c>
      <c r="J3191" s="1">
        <v>42107</v>
      </c>
      <c r="K3191" s="1">
        <v>42167</v>
      </c>
      <c r="N3191" s="5"/>
      <c r="O3191">
        <v>542.5</v>
      </c>
      <c r="P3191">
        <v>17</v>
      </c>
      <c r="Q3191" s="2">
        <v>9222.5</v>
      </c>
      <c r="R3191">
        <v>119.35</v>
      </c>
      <c r="V3191">
        <v>0</v>
      </c>
      <c r="W3191">
        <v>0</v>
      </c>
      <c r="X3191">
        <v>0</v>
      </c>
      <c r="Y3191">
        <v>661.85</v>
      </c>
      <c r="Z3191">
        <v>661.85</v>
      </c>
      <c r="AA3191">
        <v>661.85</v>
      </c>
      <c r="AB3191" s="1">
        <v>42382</v>
      </c>
      <c r="AC3191" t="s">
        <v>53</v>
      </c>
      <c r="AD3191" t="s">
        <v>53</v>
      </c>
      <c r="AK3191">
        <v>119.35</v>
      </c>
      <c r="AU3191" s="6">
        <v>42184</v>
      </c>
      <c r="AV3191" s="6">
        <v>42184</v>
      </c>
      <c r="AW3191" t="s">
        <v>54</v>
      </c>
      <c r="AX3191" t="str">
        <f t="shared" si="268"/>
        <v>FOR</v>
      </c>
      <c r="AY3191" t="s">
        <v>55</v>
      </c>
    </row>
    <row r="3192" spans="1:51" hidden="1">
      <c r="A3192">
        <v>101058</v>
      </c>
      <c r="B3192" t="s">
        <v>527</v>
      </c>
      <c r="C3192" t="str">
        <f>"01100510625"</f>
        <v>01100510625</v>
      </c>
      <c r="D3192" t="str">
        <f>"TTEGNN65H03L086E"</f>
        <v>TTEGNN65H03L086E</v>
      </c>
      <c r="E3192" t="s">
        <v>52</v>
      </c>
      <c r="F3192">
        <v>2015</v>
      </c>
      <c r="G3192" t="s">
        <v>373</v>
      </c>
      <c r="H3192" s="1">
        <v>42080</v>
      </c>
      <c r="I3192" s="1">
        <v>42089</v>
      </c>
      <c r="J3192" s="1">
        <v>42089</v>
      </c>
      <c r="K3192" s="1">
        <v>42149</v>
      </c>
      <c r="N3192" s="5"/>
      <c r="O3192">
        <v>784</v>
      </c>
      <c r="P3192">
        <v>-26</v>
      </c>
      <c r="Q3192" s="2">
        <v>-20384</v>
      </c>
      <c r="R3192">
        <v>172.48</v>
      </c>
      <c r="V3192">
        <v>0</v>
      </c>
      <c r="W3192">
        <v>0</v>
      </c>
      <c r="X3192">
        <v>0</v>
      </c>
      <c r="Y3192">
        <v>956.48</v>
      </c>
      <c r="Z3192">
        <v>956.48</v>
      </c>
      <c r="AA3192">
        <v>956.48</v>
      </c>
      <c r="AB3192" s="1">
        <v>42382</v>
      </c>
      <c r="AC3192" t="s">
        <v>53</v>
      </c>
      <c r="AD3192" t="s">
        <v>53</v>
      </c>
      <c r="AK3192">
        <v>172.48</v>
      </c>
      <c r="AU3192" s="6">
        <v>42123</v>
      </c>
      <c r="AV3192" s="6">
        <v>42123</v>
      </c>
      <c r="AW3192" t="s">
        <v>54</v>
      </c>
      <c r="AX3192" t="str">
        <f t="shared" si="268"/>
        <v>FOR</v>
      </c>
      <c r="AY3192" t="s">
        <v>55</v>
      </c>
    </row>
    <row r="3193" spans="1:51" hidden="1">
      <c r="A3193">
        <v>101058</v>
      </c>
      <c r="B3193" t="s">
        <v>527</v>
      </c>
      <c r="C3193" t="str">
        <f>"01100510625"</f>
        <v>01100510625</v>
      </c>
      <c r="D3193" t="str">
        <f>"TTEGNN65H03L086E"</f>
        <v>TTEGNN65H03L086E</v>
      </c>
      <c r="E3193" t="s">
        <v>52</v>
      </c>
      <c r="F3193">
        <v>2015</v>
      </c>
      <c r="G3193" t="s">
        <v>528</v>
      </c>
      <c r="H3193" s="1">
        <v>42087</v>
      </c>
      <c r="I3193" s="1">
        <v>42089</v>
      </c>
      <c r="J3193" s="1">
        <v>42089</v>
      </c>
      <c r="K3193" s="1">
        <v>42149</v>
      </c>
      <c r="N3193" s="5"/>
      <c r="O3193">
        <v>195</v>
      </c>
      <c r="P3193">
        <v>-26</v>
      </c>
      <c r="Q3193" s="2">
        <v>-5070</v>
      </c>
      <c r="R3193">
        <v>42.9</v>
      </c>
      <c r="V3193">
        <v>0</v>
      </c>
      <c r="W3193">
        <v>0</v>
      </c>
      <c r="X3193">
        <v>0</v>
      </c>
      <c r="Y3193">
        <v>237.9</v>
      </c>
      <c r="Z3193">
        <v>237.9</v>
      </c>
      <c r="AA3193">
        <v>237.9</v>
      </c>
      <c r="AB3193" s="1">
        <v>42382</v>
      </c>
      <c r="AC3193" t="s">
        <v>53</v>
      </c>
      <c r="AD3193" t="s">
        <v>53</v>
      </c>
      <c r="AK3193">
        <v>42.9</v>
      </c>
      <c r="AU3193" s="6">
        <v>42123</v>
      </c>
      <c r="AV3193" s="6">
        <v>42123</v>
      </c>
      <c r="AW3193" t="s">
        <v>54</v>
      </c>
      <c r="AX3193" t="str">
        <f t="shared" si="268"/>
        <v>FOR</v>
      </c>
      <c r="AY3193" t="s">
        <v>55</v>
      </c>
    </row>
    <row r="3194" spans="1:51" hidden="1">
      <c r="A3194">
        <v>101059</v>
      </c>
      <c r="B3194" t="s">
        <v>529</v>
      </c>
      <c r="C3194" t="str">
        <f t="shared" ref="C3194:D3206" si="272">"09012850153"</f>
        <v>09012850153</v>
      </c>
      <c r="D3194" t="str">
        <f t="shared" si="272"/>
        <v>09012850153</v>
      </c>
      <c r="E3194" t="s">
        <v>52</v>
      </c>
      <c r="F3194">
        <v>2013</v>
      </c>
      <c r="G3194">
        <v>16661502</v>
      </c>
      <c r="H3194" s="1">
        <v>41621</v>
      </c>
      <c r="I3194" s="1">
        <v>41639</v>
      </c>
      <c r="J3194" s="1">
        <v>41639</v>
      </c>
      <c r="K3194" s="1">
        <v>41729</v>
      </c>
      <c r="N3194" s="5"/>
      <c r="O3194">
        <v>249.6</v>
      </c>
      <c r="P3194">
        <v>401</v>
      </c>
      <c r="Q3194" s="2">
        <v>100089.60000000001</v>
      </c>
      <c r="R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 s="1">
        <v>42382</v>
      </c>
      <c r="AC3194" t="s">
        <v>53</v>
      </c>
      <c r="AD3194" t="s">
        <v>53</v>
      </c>
      <c r="AK3194">
        <v>0</v>
      </c>
      <c r="AU3194" s="6">
        <v>42130</v>
      </c>
      <c r="AV3194" s="6">
        <v>42130</v>
      </c>
      <c r="AW3194" t="s">
        <v>54</v>
      </c>
      <c r="AX3194" t="str">
        <f t="shared" si="268"/>
        <v>FOR</v>
      </c>
      <c r="AY3194" t="s">
        <v>55</v>
      </c>
    </row>
    <row r="3195" spans="1:51" hidden="1">
      <c r="A3195">
        <v>101059</v>
      </c>
      <c r="B3195" t="s">
        <v>529</v>
      </c>
      <c r="C3195" t="str">
        <f t="shared" si="272"/>
        <v>09012850153</v>
      </c>
      <c r="D3195" t="str">
        <f t="shared" si="272"/>
        <v>09012850153</v>
      </c>
      <c r="E3195" t="s">
        <v>52</v>
      </c>
      <c r="F3195">
        <v>2013</v>
      </c>
      <c r="G3195">
        <v>16662955</v>
      </c>
      <c r="H3195" s="1">
        <v>41627</v>
      </c>
      <c r="I3195" s="1">
        <v>41639</v>
      </c>
      <c r="J3195" s="1">
        <v>41639</v>
      </c>
      <c r="K3195" s="1">
        <v>41729</v>
      </c>
      <c r="N3195" s="5"/>
      <c r="O3195">
        <v>193.44</v>
      </c>
      <c r="P3195">
        <v>401</v>
      </c>
      <c r="Q3195" s="2">
        <v>77569.440000000002</v>
      </c>
      <c r="R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 s="1">
        <v>42382</v>
      </c>
      <c r="AC3195" t="s">
        <v>53</v>
      </c>
      <c r="AD3195" t="s">
        <v>53</v>
      </c>
      <c r="AK3195">
        <v>0</v>
      </c>
      <c r="AU3195" s="6">
        <v>42130</v>
      </c>
      <c r="AV3195" s="6">
        <v>42130</v>
      </c>
      <c r="AW3195" t="s">
        <v>54</v>
      </c>
      <c r="AX3195" t="str">
        <f t="shared" si="268"/>
        <v>FOR</v>
      </c>
      <c r="AY3195" t="s">
        <v>55</v>
      </c>
    </row>
    <row r="3196" spans="1:51" hidden="1">
      <c r="A3196">
        <v>101059</v>
      </c>
      <c r="B3196" t="s">
        <v>529</v>
      </c>
      <c r="C3196" t="str">
        <f t="shared" si="272"/>
        <v>09012850153</v>
      </c>
      <c r="D3196" t="str">
        <f t="shared" si="272"/>
        <v>09012850153</v>
      </c>
      <c r="E3196" t="s">
        <v>52</v>
      </c>
      <c r="F3196">
        <v>2013</v>
      </c>
      <c r="G3196">
        <v>16663283</v>
      </c>
      <c r="H3196" s="1">
        <v>41628</v>
      </c>
      <c r="I3196" s="1">
        <v>41639</v>
      </c>
      <c r="J3196" s="1">
        <v>41639</v>
      </c>
      <c r="K3196" s="1">
        <v>41729</v>
      </c>
      <c r="N3196" s="5"/>
      <c r="O3196">
        <v>14.56</v>
      </c>
      <c r="P3196">
        <v>401</v>
      </c>
      <c r="Q3196" s="2">
        <v>5838.56</v>
      </c>
      <c r="R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 s="1">
        <v>42382</v>
      </c>
      <c r="AC3196" t="s">
        <v>53</v>
      </c>
      <c r="AD3196" t="s">
        <v>53</v>
      </c>
      <c r="AK3196">
        <v>0</v>
      </c>
      <c r="AU3196" s="6">
        <v>42130</v>
      </c>
      <c r="AV3196" s="6">
        <v>42130</v>
      </c>
      <c r="AW3196" t="s">
        <v>54</v>
      </c>
      <c r="AX3196" t="str">
        <f t="shared" si="268"/>
        <v>FOR</v>
      </c>
      <c r="AY3196" t="s">
        <v>55</v>
      </c>
    </row>
    <row r="3197" spans="1:51" hidden="1">
      <c r="A3197">
        <v>101059</v>
      </c>
      <c r="B3197" t="s">
        <v>529</v>
      </c>
      <c r="C3197" t="str">
        <f t="shared" si="272"/>
        <v>09012850153</v>
      </c>
      <c r="D3197" t="str">
        <f t="shared" si="272"/>
        <v>09012850153</v>
      </c>
      <c r="E3197" t="s">
        <v>52</v>
      </c>
      <c r="F3197">
        <v>2014</v>
      </c>
      <c r="G3197">
        <v>16703189</v>
      </c>
      <c r="H3197" s="1">
        <v>41662</v>
      </c>
      <c r="I3197" s="1">
        <v>41673</v>
      </c>
      <c r="J3197" s="1">
        <v>41673</v>
      </c>
      <c r="K3197" s="1">
        <v>41763</v>
      </c>
      <c r="N3197" s="5"/>
      <c r="O3197">
        <v>690.56</v>
      </c>
      <c r="P3197">
        <v>367</v>
      </c>
      <c r="Q3197" s="2">
        <v>253435.51999999999</v>
      </c>
      <c r="R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 s="1">
        <v>42382</v>
      </c>
      <c r="AC3197" t="s">
        <v>53</v>
      </c>
      <c r="AD3197" t="s">
        <v>53</v>
      </c>
      <c r="AK3197">
        <v>0</v>
      </c>
      <c r="AU3197" s="6">
        <v>42130</v>
      </c>
      <c r="AV3197" s="6">
        <v>42130</v>
      </c>
      <c r="AW3197" t="s">
        <v>54</v>
      </c>
      <c r="AX3197" t="str">
        <f t="shared" si="268"/>
        <v>FOR</v>
      </c>
      <c r="AY3197" t="s">
        <v>55</v>
      </c>
    </row>
    <row r="3198" spans="1:51" hidden="1">
      <c r="A3198">
        <v>101059</v>
      </c>
      <c r="B3198" t="s">
        <v>529</v>
      </c>
      <c r="C3198" t="str">
        <f t="shared" si="272"/>
        <v>09012850153</v>
      </c>
      <c r="D3198" t="str">
        <f t="shared" si="272"/>
        <v>09012850153</v>
      </c>
      <c r="E3198" t="s">
        <v>52</v>
      </c>
      <c r="F3198">
        <v>2014</v>
      </c>
      <c r="G3198">
        <v>16703884</v>
      </c>
      <c r="H3198" s="1">
        <v>41667</v>
      </c>
      <c r="I3198" s="1">
        <v>41680</v>
      </c>
      <c r="J3198" s="1">
        <v>41680</v>
      </c>
      <c r="K3198" s="1">
        <v>41770</v>
      </c>
      <c r="N3198" s="5"/>
      <c r="O3198">
        <v>93.6</v>
      </c>
      <c r="P3198">
        <v>360</v>
      </c>
      <c r="Q3198" s="2">
        <v>33696</v>
      </c>
      <c r="R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 s="1">
        <v>42382</v>
      </c>
      <c r="AC3198" t="s">
        <v>53</v>
      </c>
      <c r="AD3198" t="s">
        <v>53</v>
      </c>
      <c r="AK3198">
        <v>0</v>
      </c>
      <c r="AU3198" s="6">
        <v>42130</v>
      </c>
      <c r="AV3198" s="6">
        <v>42130</v>
      </c>
      <c r="AW3198" t="s">
        <v>54</v>
      </c>
      <c r="AX3198" t="str">
        <f t="shared" si="268"/>
        <v>FOR</v>
      </c>
      <c r="AY3198" t="s">
        <v>55</v>
      </c>
    </row>
    <row r="3199" spans="1:51" hidden="1">
      <c r="A3199">
        <v>101059</v>
      </c>
      <c r="B3199" t="s">
        <v>529</v>
      </c>
      <c r="C3199" t="str">
        <f t="shared" si="272"/>
        <v>09012850153</v>
      </c>
      <c r="D3199" t="str">
        <f t="shared" si="272"/>
        <v>09012850153</v>
      </c>
      <c r="E3199" t="s">
        <v>52</v>
      </c>
      <c r="F3199">
        <v>2014</v>
      </c>
      <c r="G3199">
        <v>16704134</v>
      </c>
      <c r="H3199" s="1">
        <v>41668</v>
      </c>
      <c r="I3199" s="1">
        <v>41680</v>
      </c>
      <c r="J3199" s="1">
        <v>41680</v>
      </c>
      <c r="K3199" s="1">
        <v>41770</v>
      </c>
      <c r="N3199" s="5"/>
      <c r="O3199">
        <v>6.24</v>
      </c>
      <c r="P3199">
        <v>360</v>
      </c>
      <c r="Q3199" s="2">
        <v>2246.4</v>
      </c>
      <c r="R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 s="1">
        <v>42382</v>
      </c>
      <c r="AC3199" t="s">
        <v>53</v>
      </c>
      <c r="AD3199" t="s">
        <v>53</v>
      </c>
      <c r="AK3199">
        <v>0</v>
      </c>
      <c r="AU3199" s="6">
        <v>42130</v>
      </c>
      <c r="AV3199" s="6">
        <v>42130</v>
      </c>
      <c r="AW3199" t="s">
        <v>54</v>
      </c>
      <c r="AX3199" t="str">
        <f t="shared" si="268"/>
        <v>FOR</v>
      </c>
      <c r="AY3199" t="s">
        <v>55</v>
      </c>
    </row>
    <row r="3200" spans="1:51" hidden="1">
      <c r="A3200">
        <v>101059</v>
      </c>
      <c r="B3200" t="s">
        <v>529</v>
      </c>
      <c r="C3200" t="str">
        <f t="shared" si="272"/>
        <v>09012850153</v>
      </c>
      <c r="D3200" t="str">
        <f t="shared" si="272"/>
        <v>09012850153</v>
      </c>
      <c r="E3200" t="s">
        <v>52</v>
      </c>
      <c r="F3200">
        <v>2014</v>
      </c>
      <c r="G3200">
        <v>16715185</v>
      </c>
      <c r="H3200" s="1">
        <v>41723</v>
      </c>
      <c r="I3200" s="1">
        <v>41736</v>
      </c>
      <c r="J3200" s="1">
        <v>41736</v>
      </c>
      <c r="K3200" s="1">
        <v>41826</v>
      </c>
      <c r="N3200" s="5"/>
      <c r="O3200">
        <v>624</v>
      </c>
      <c r="P3200">
        <v>304</v>
      </c>
      <c r="Q3200" s="2">
        <v>189696</v>
      </c>
      <c r="R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 s="1">
        <v>42382</v>
      </c>
      <c r="AC3200" t="s">
        <v>53</v>
      </c>
      <c r="AD3200" t="s">
        <v>53</v>
      </c>
      <c r="AK3200">
        <v>0</v>
      </c>
      <c r="AU3200" s="6">
        <v>42130</v>
      </c>
      <c r="AV3200" s="6">
        <v>42130</v>
      </c>
      <c r="AW3200" t="s">
        <v>54</v>
      </c>
      <c r="AX3200" t="str">
        <f t="shared" si="268"/>
        <v>FOR</v>
      </c>
      <c r="AY3200" t="s">
        <v>55</v>
      </c>
    </row>
    <row r="3201" spans="1:51" hidden="1">
      <c r="A3201">
        <v>101059</v>
      </c>
      <c r="B3201" t="s">
        <v>529</v>
      </c>
      <c r="C3201" t="str">
        <f t="shared" si="272"/>
        <v>09012850153</v>
      </c>
      <c r="D3201" t="str">
        <f t="shared" si="272"/>
        <v>09012850153</v>
      </c>
      <c r="E3201" t="s">
        <v>52</v>
      </c>
      <c r="F3201">
        <v>2014</v>
      </c>
      <c r="G3201">
        <v>16718026</v>
      </c>
      <c r="H3201" s="1">
        <v>41739</v>
      </c>
      <c r="I3201" s="1">
        <v>41751</v>
      </c>
      <c r="J3201" s="1">
        <v>41751</v>
      </c>
      <c r="K3201" s="1">
        <v>41841</v>
      </c>
      <c r="N3201" s="5"/>
      <c r="O3201">
        <v>93.6</v>
      </c>
      <c r="P3201">
        <v>289</v>
      </c>
      <c r="Q3201" s="2">
        <v>27050.400000000001</v>
      </c>
      <c r="R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 s="1">
        <v>42382</v>
      </c>
      <c r="AC3201" t="s">
        <v>53</v>
      </c>
      <c r="AD3201" t="s">
        <v>53</v>
      </c>
      <c r="AK3201">
        <v>0</v>
      </c>
      <c r="AU3201" s="6">
        <v>42130</v>
      </c>
      <c r="AV3201" s="6">
        <v>42130</v>
      </c>
      <c r="AW3201" t="s">
        <v>54</v>
      </c>
      <c r="AX3201" t="str">
        <f t="shared" si="268"/>
        <v>FOR</v>
      </c>
      <c r="AY3201" t="s">
        <v>55</v>
      </c>
    </row>
    <row r="3202" spans="1:51" hidden="1">
      <c r="A3202">
        <v>101059</v>
      </c>
      <c r="B3202" t="s">
        <v>529</v>
      </c>
      <c r="C3202" t="str">
        <f t="shared" si="272"/>
        <v>09012850153</v>
      </c>
      <c r="D3202" t="str">
        <f t="shared" si="272"/>
        <v>09012850153</v>
      </c>
      <c r="E3202" t="s">
        <v>52</v>
      </c>
      <c r="F3202">
        <v>2014</v>
      </c>
      <c r="G3202">
        <v>16731836</v>
      </c>
      <c r="H3202" s="1">
        <v>41809</v>
      </c>
      <c r="I3202" s="1">
        <v>41817</v>
      </c>
      <c r="J3202" s="1">
        <v>41817</v>
      </c>
      <c r="K3202" s="1">
        <v>41907</v>
      </c>
      <c r="N3202" s="5"/>
      <c r="O3202">
        <v>499.2</v>
      </c>
      <c r="P3202">
        <v>252</v>
      </c>
      <c r="Q3202" s="2">
        <v>125798.39999999999</v>
      </c>
      <c r="R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 s="1">
        <v>42382</v>
      </c>
      <c r="AC3202" t="s">
        <v>53</v>
      </c>
      <c r="AD3202" t="s">
        <v>53</v>
      </c>
      <c r="AK3202">
        <v>0</v>
      </c>
      <c r="AU3202" s="6">
        <v>42159</v>
      </c>
      <c r="AV3202" s="6">
        <v>42159</v>
      </c>
      <c r="AW3202" t="s">
        <v>54</v>
      </c>
      <c r="AX3202" t="str">
        <f t="shared" si="268"/>
        <v>FOR</v>
      </c>
      <c r="AY3202" t="s">
        <v>55</v>
      </c>
    </row>
    <row r="3203" spans="1:51" hidden="1">
      <c r="A3203">
        <v>101059</v>
      </c>
      <c r="B3203" t="s">
        <v>529</v>
      </c>
      <c r="C3203" t="str">
        <f t="shared" si="272"/>
        <v>09012850153</v>
      </c>
      <c r="D3203" t="str">
        <f t="shared" si="272"/>
        <v>09012850153</v>
      </c>
      <c r="E3203" t="s">
        <v>52</v>
      </c>
      <c r="F3203">
        <v>2014</v>
      </c>
      <c r="G3203">
        <v>16746823</v>
      </c>
      <c r="H3203" s="1">
        <v>41906</v>
      </c>
      <c r="I3203" s="1">
        <v>41915</v>
      </c>
      <c r="J3203" s="1">
        <v>41915</v>
      </c>
      <c r="K3203" s="1">
        <v>42005</v>
      </c>
      <c r="N3203" s="5"/>
      <c r="O3203">
        <v>873.6</v>
      </c>
      <c r="P3203">
        <v>244</v>
      </c>
      <c r="Q3203" s="2">
        <v>213158.39999999999</v>
      </c>
      <c r="R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 s="1">
        <v>42382</v>
      </c>
      <c r="AC3203" t="s">
        <v>53</v>
      </c>
      <c r="AD3203" t="s">
        <v>53</v>
      </c>
      <c r="AK3203">
        <v>0</v>
      </c>
      <c r="AU3203" s="6">
        <v>42249</v>
      </c>
      <c r="AV3203" s="6">
        <v>42249</v>
      </c>
      <c r="AW3203" t="s">
        <v>54</v>
      </c>
      <c r="AX3203" t="str">
        <f t="shared" ref="AX3203:AX3266" si="273">"FOR"</f>
        <v>FOR</v>
      </c>
      <c r="AY3203" t="s">
        <v>55</v>
      </c>
    </row>
    <row r="3204" spans="1:51">
      <c r="A3204">
        <v>101059</v>
      </c>
      <c r="B3204" t="s">
        <v>529</v>
      </c>
      <c r="C3204" t="str">
        <f t="shared" si="272"/>
        <v>09012850153</v>
      </c>
      <c r="D3204" t="str">
        <f t="shared" si="272"/>
        <v>09012850153</v>
      </c>
      <c r="E3204" t="s">
        <v>52</v>
      </c>
      <c r="F3204">
        <v>2014</v>
      </c>
      <c r="G3204">
        <v>16757818</v>
      </c>
      <c r="H3204" s="1">
        <v>41961</v>
      </c>
      <c r="I3204" s="1">
        <v>41974</v>
      </c>
      <c r="J3204" s="1">
        <v>41974</v>
      </c>
      <c r="K3204" s="1">
        <v>42034</v>
      </c>
      <c r="L3204" s="7">
        <v>642.72</v>
      </c>
      <c r="M3204" s="5">
        <v>270</v>
      </c>
      <c r="N3204" s="7">
        <v>173534.4</v>
      </c>
      <c r="O3204">
        <v>642.72</v>
      </c>
      <c r="P3204">
        <v>270</v>
      </c>
      <c r="Q3204" s="2">
        <v>173534.4</v>
      </c>
      <c r="R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 s="1">
        <v>42382</v>
      </c>
      <c r="AC3204" t="s">
        <v>53</v>
      </c>
      <c r="AD3204" t="s">
        <v>53</v>
      </c>
      <c r="AK3204">
        <v>0</v>
      </c>
      <c r="AU3204" s="6">
        <v>42304</v>
      </c>
      <c r="AV3204" s="6">
        <v>42304</v>
      </c>
      <c r="AW3204" t="s">
        <v>54</v>
      </c>
      <c r="AX3204" t="str">
        <f t="shared" si="273"/>
        <v>FOR</v>
      </c>
      <c r="AY3204" t="s">
        <v>55</v>
      </c>
    </row>
    <row r="3205" spans="1:51">
      <c r="A3205">
        <v>101059</v>
      </c>
      <c r="B3205" t="s">
        <v>529</v>
      </c>
      <c r="C3205" t="str">
        <f t="shared" si="272"/>
        <v>09012850153</v>
      </c>
      <c r="D3205" t="str">
        <f t="shared" si="272"/>
        <v>09012850153</v>
      </c>
      <c r="E3205" t="s">
        <v>52</v>
      </c>
      <c r="F3205">
        <v>2014</v>
      </c>
      <c r="G3205">
        <v>16758081</v>
      </c>
      <c r="H3205" s="1">
        <v>41962</v>
      </c>
      <c r="I3205" s="1">
        <v>41974</v>
      </c>
      <c r="J3205" s="1">
        <v>41974</v>
      </c>
      <c r="K3205" s="1">
        <v>42034</v>
      </c>
      <c r="L3205" s="7">
        <v>12.48</v>
      </c>
      <c r="M3205" s="5">
        <v>270</v>
      </c>
      <c r="N3205" s="7">
        <v>3369.6</v>
      </c>
      <c r="O3205">
        <v>12.48</v>
      </c>
      <c r="P3205">
        <v>270</v>
      </c>
      <c r="Q3205" s="2">
        <v>3369.6</v>
      </c>
      <c r="R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 s="1">
        <v>42382</v>
      </c>
      <c r="AC3205" t="s">
        <v>53</v>
      </c>
      <c r="AD3205" t="s">
        <v>53</v>
      </c>
      <c r="AK3205">
        <v>0</v>
      </c>
      <c r="AU3205" s="6">
        <v>42304</v>
      </c>
      <c r="AV3205" s="6">
        <v>42304</v>
      </c>
      <c r="AW3205" t="s">
        <v>54</v>
      </c>
      <c r="AX3205" t="str">
        <f t="shared" si="273"/>
        <v>FOR</v>
      </c>
      <c r="AY3205" t="s">
        <v>55</v>
      </c>
    </row>
    <row r="3206" spans="1:51">
      <c r="A3206">
        <v>101059</v>
      </c>
      <c r="B3206" t="s">
        <v>529</v>
      </c>
      <c r="C3206" t="str">
        <f t="shared" si="272"/>
        <v>09012850153</v>
      </c>
      <c r="D3206" t="str">
        <f t="shared" si="272"/>
        <v>09012850153</v>
      </c>
      <c r="E3206" t="s">
        <v>52</v>
      </c>
      <c r="F3206">
        <v>2014</v>
      </c>
      <c r="G3206">
        <v>16762521</v>
      </c>
      <c r="H3206" s="1">
        <v>41984</v>
      </c>
      <c r="I3206" s="1">
        <v>41996</v>
      </c>
      <c r="J3206" s="1">
        <v>41996</v>
      </c>
      <c r="K3206" s="1">
        <v>42056</v>
      </c>
      <c r="L3206" s="7">
        <v>31.2</v>
      </c>
      <c r="M3206" s="5">
        <v>248</v>
      </c>
      <c r="N3206" s="7">
        <v>7737.6</v>
      </c>
      <c r="O3206">
        <v>31.2</v>
      </c>
      <c r="P3206">
        <v>248</v>
      </c>
      <c r="Q3206" s="2">
        <v>7737.6</v>
      </c>
      <c r="R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 s="1">
        <v>42382</v>
      </c>
      <c r="AC3206" t="s">
        <v>53</v>
      </c>
      <c r="AD3206" t="s">
        <v>53</v>
      </c>
      <c r="AK3206">
        <v>0</v>
      </c>
      <c r="AU3206" s="6">
        <v>42304</v>
      </c>
      <c r="AV3206" s="6">
        <v>42304</v>
      </c>
      <c r="AW3206" t="s">
        <v>54</v>
      </c>
      <c r="AX3206" t="str">
        <f t="shared" si="273"/>
        <v>FOR</v>
      </c>
      <c r="AY3206" t="s">
        <v>55</v>
      </c>
    </row>
    <row r="3207" spans="1:51" hidden="1">
      <c r="A3207">
        <v>101063</v>
      </c>
      <c r="B3207" t="s">
        <v>530</v>
      </c>
      <c r="C3207" t="str">
        <f t="shared" ref="C3207:D3212" si="274">"01175980620"</f>
        <v>01175980620</v>
      </c>
      <c r="D3207" t="str">
        <f t="shared" si="274"/>
        <v>01175980620</v>
      </c>
      <c r="E3207" t="s">
        <v>52</v>
      </c>
      <c r="F3207">
        <v>2014</v>
      </c>
      <c r="G3207" t="s">
        <v>531</v>
      </c>
      <c r="H3207" s="1">
        <v>41927</v>
      </c>
      <c r="I3207" s="1">
        <v>41932</v>
      </c>
      <c r="J3207" s="1">
        <v>41932</v>
      </c>
      <c r="K3207" s="1">
        <v>41992</v>
      </c>
      <c r="N3207" s="5"/>
      <c r="O3207">
        <v>16</v>
      </c>
      <c r="P3207">
        <v>48</v>
      </c>
      <c r="Q3207">
        <v>768</v>
      </c>
      <c r="R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 s="1">
        <v>42382</v>
      </c>
      <c r="AC3207" t="s">
        <v>53</v>
      </c>
      <c r="AD3207" t="s">
        <v>53</v>
      </c>
      <c r="AK3207">
        <v>0</v>
      </c>
      <c r="AU3207" s="6">
        <v>42040</v>
      </c>
      <c r="AV3207" s="6">
        <v>42040</v>
      </c>
      <c r="AW3207" t="s">
        <v>54</v>
      </c>
      <c r="AX3207" t="str">
        <f t="shared" si="273"/>
        <v>FOR</v>
      </c>
      <c r="AY3207" t="s">
        <v>55</v>
      </c>
    </row>
    <row r="3208" spans="1:51" hidden="1">
      <c r="A3208">
        <v>101063</v>
      </c>
      <c r="B3208" t="s">
        <v>530</v>
      </c>
      <c r="C3208" t="str">
        <f t="shared" si="274"/>
        <v>01175980620</v>
      </c>
      <c r="D3208" t="str">
        <f t="shared" si="274"/>
        <v>01175980620</v>
      </c>
      <c r="E3208" t="s">
        <v>52</v>
      </c>
      <c r="F3208">
        <v>2014</v>
      </c>
      <c r="G3208" t="s">
        <v>532</v>
      </c>
      <c r="H3208" s="1">
        <v>41941</v>
      </c>
      <c r="I3208" s="1">
        <v>41942</v>
      </c>
      <c r="J3208" s="1">
        <v>41942</v>
      </c>
      <c r="K3208" s="1">
        <v>42002</v>
      </c>
      <c r="N3208" s="5"/>
      <c r="O3208">
        <v>64</v>
      </c>
      <c r="P3208">
        <v>38</v>
      </c>
      <c r="Q3208" s="2">
        <v>2432</v>
      </c>
      <c r="R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 s="1">
        <v>42382</v>
      </c>
      <c r="AC3208" t="s">
        <v>53</v>
      </c>
      <c r="AD3208" t="s">
        <v>53</v>
      </c>
      <c r="AK3208">
        <v>0</v>
      </c>
      <c r="AU3208" s="6">
        <v>42040</v>
      </c>
      <c r="AV3208" s="6">
        <v>42040</v>
      </c>
      <c r="AW3208" t="s">
        <v>54</v>
      </c>
      <c r="AX3208" t="str">
        <f t="shared" si="273"/>
        <v>FOR</v>
      </c>
      <c r="AY3208" t="s">
        <v>55</v>
      </c>
    </row>
    <row r="3209" spans="1:51" hidden="1">
      <c r="A3209">
        <v>101063</v>
      </c>
      <c r="B3209" t="s">
        <v>530</v>
      </c>
      <c r="C3209" t="str">
        <f t="shared" si="274"/>
        <v>01175980620</v>
      </c>
      <c r="D3209" t="str">
        <f t="shared" si="274"/>
        <v>01175980620</v>
      </c>
      <c r="E3209" t="s">
        <v>52</v>
      </c>
      <c r="F3209">
        <v>2014</v>
      </c>
      <c r="G3209" t="s">
        <v>533</v>
      </c>
      <c r="H3209" s="1">
        <v>41962</v>
      </c>
      <c r="I3209" s="1">
        <v>41964</v>
      </c>
      <c r="J3209" s="1">
        <v>41964</v>
      </c>
      <c r="K3209" s="1">
        <v>42024</v>
      </c>
      <c r="N3209" s="5"/>
      <c r="O3209">
        <v>30</v>
      </c>
      <c r="P3209">
        <v>16</v>
      </c>
      <c r="Q3209">
        <v>480</v>
      </c>
      <c r="R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 s="1">
        <v>42382</v>
      </c>
      <c r="AC3209" t="s">
        <v>53</v>
      </c>
      <c r="AD3209" t="s">
        <v>53</v>
      </c>
      <c r="AK3209">
        <v>0</v>
      </c>
      <c r="AU3209" s="6">
        <v>42040</v>
      </c>
      <c r="AV3209" s="6">
        <v>42040</v>
      </c>
      <c r="AW3209" t="s">
        <v>54</v>
      </c>
      <c r="AX3209" t="str">
        <f t="shared" si="273"/>
        <v>FOR</v>
      </c>
      <c r="AY3209" t="s">
        <v>55</v>
      </c>
    </row>
    <row r="3210" spans="1:51" hidden="1">
      <c r="A3210">
        <v>101063</v>
      </c>
      <c r="B3210" t="s">
        <v>530</v>
      </c>
      <c r="C3210" t="str">
        <f t="shared" si="274"/>
        <v>01175980620</v>
      </c>
      <c r="D3210" t="str">
        <f t="shared" si="274"/>
        <v>01175980620</v>
      </c>
      <c r="E3210" t="s">
        <v>52</v>
      </c>
      <c r="F3210">
        <v>2014</v>
      </c>
      <c r="G3210" t="s">
        <v>534</v>
      </c>
      <c r="H3210" s="1">
        <v>41962</v>
      </c>
      <c r="I3210" s="1">
        <v>41964</v>
      </c>
      <c r="J3210" s="1">
        <v>41964</v>
      </c>
      <c r="K3210" s="1">
        <v>42024</v>
      </c>
      <c r="N3210" s="5"/>
      <c r="O3210">
        <v>70</v>
      </c>
      <c r="P3210">
        <v>16</v>
      </c>
      <c r="Q3210" s="2">
        <v>1120</v>
      </c>
      <c r="R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 s="1">
        <v>42382</v>
      </c>
      <c r="AC3210" t="s">
        <v>53</v>
      </c>
      <c r="AD3210" t="s">
        <v>53</v>
      </c>
      <c r="AK3210">
        <v>0</v>
      </c>
      <c r="AU3210" s="6">
        <v>42040</v>
      </c>
      <c r="AV3210" s="6">
        <v>42040</v>
      </c>
      <c r="AW3210" t="s">
        <v>54</v>
      </c>
      <c r="AX3210" t="str">
        <f t="shared" si="273"/>
        <v>FOR</v>
      </c>
      <c r="AY3210" t="s">
        <v>55</v>
      </c>
    </row>
    <row r="3211" spans="1:51" hidden="1">
      <c r="A3211">
        <v>101063</v>
      </c>
      <c r="B3211" t="s">
        <v>530</v>
      </c>
      <c r="C3211" t="str">
        <f t="shared" si="274"/>
        <v>01175980620</v>
      </c>
      <c r="D3211" t="str">
        <f t="shared" si="274"/>
        <v>01175980620</v>
      </c>
      <c r="E3211" t="s">
        <v>52</v>
      </c>
      <c r="F3211">
        <v>2015</v>
      </c>
      <c r="G3211" t="s">
        <v>404</v>
      </c>
      <c r="H3211" s="1">
        <v>42047</v>
      </c>
      <c r="I3211" s="1">
        <v>42048</v>
      </c>
      <c r="J3211" s="1">
        <v>42048</v>
      </c>
      <c r="K3211" s="1">
        <v>42108</v>
      </c>
      <c r="N3211" s="5"/>
      <c r="O3211">
        <v>176</v>
      </c>
      <c r="P3211">
        <v>15</v>
      </c>
      <c r="Q3211" s="2">
        <v>2640</v>
      </c>
      <c r="R3211">
        <v>0</v>
      </c>
      <c r="V3211">
        <v>0</v>
      </c>
      <c r="W3211">
        <v>0</v>
      </c>
      <c r="X3211">
        <v>0</v>
      </c>
      <c r="Y3211">
        <v>176</v>
      </c>
      <c r="Z3211">
        <v>176</v>
      </c>
      <c r="AA3211">
        <v>176</v>
      </c>
      <c r="AB3211" s="1">
        <v>42382</v>
      </c>
      <c r="AC3211" t="s">
        <v>53</v>
      </c>
      <c r="AD3211" t="s">
        <v>53</v>
      </c>
      <c r="AK3211">
        <v>0</v>
      </c>
      <c r="AU3211" s="6">
        <v>42123</v>
      </c>
      <c r="AV3211" s="6">
        <v>42123</v>
      </c>
      <c r="AW3211" t="s">
        <v>54</v>
      </c>
      <c r="AX3211" t="str">
        <f t="shared" si="273"/>
        <v>FOR</v>
      </c>
      <c r="AY3211" t="s">
        <v>55</v>
      </c>
    </row>
    <row r="3212" spans="1:51" hidden="1">
      <c r="A3212">
        <v>101063</v>
      </c>
      <c r="B3212" t="s">
        <v>530</v>
      </c>
      <c r="C3212" t="str">
        <f t="shared" si="274"/>
        <v>01175980620</v>
      </c>
      <c r="D3212" t="str">
        <f t="shared" si="274"/>
        <v>01175980620</v>
      </c>
      <c r="E3212" t="s">
        <v>52</v>
      </c>
      <c r="F3212">
        <v>2015</v>
      </c>
      <c r="G3212" t="s">
        <v>434</v>
      </c>
      <c r="H3212" s="1">
        <v>42054</v>
      </c>
      <c r="I3212" s="1">
        <v>42055</v>
      </c>
      <c r="J3212" s="1">
        <v>42055</v>
      </c>
      <c r="K3212" s="1">
        <v>42115</v>
      </c>
      <c r="N3212" s="5"/>
      <c r="O3212">
        <v>144</v>
      </c>
      <c r="P3212">
        <v>8</v>
      </c>
      <c r="Q3212" s="2">
        <v>1152</v>
      </c>
      <c r="R3212">
        <v>0</v>
      </c>
      <c r="V3212">
        <v>0</v>
      </c>
      <c r="W3212">
        <v>0</v>
      </c>
      <c r="X3212">
        <v>0</v>
      </c>
      <c r="Y3212">
        <v>144</v>
      </c>
      <c r="Z3212">
        <v>144</v>
      </c>
      <c r="AA3212">
        <v>144</v>
      </c>
      <c r="AB3212" s="1">
        <v>42382</v>
      </c>
      <c r="AC3212" t="s">
        <v>53</v>
      </c>
      <c r="AD3212" t="s">
        <v>53</v>
      </c>
      <c r="AK3212">
        <v>0</v>
      </c>
      <c r="AU3212" s="6">
        <v>42123</v>
      </c>
      <c r="AV3212" s="6">
        <v>42123</v>
      </c>
      <c r="AW3212" t="s">
        <v>54</v>
      </c>
      <c r="AX3212" t="str">
        <f t="shared" si="273"/>
        <v>FOR</v>
      </c>
      <c r="AY3212" t="s">
        <v>55</v>
      </c>
    </row>
    <row r="3213" spans="1:51" hidden="1">
      <c r="A3213">
        <v>101066</v>
      </c>
      <c r="B3213" t="s">
        <v>535</v>
      </c>
      <c r="C3213" t="str">
        <f t="shared" ref="C3213:D3215" si="275">"13110270157"</f>
        <v>13110270157</v>
      </c>
      <c r="D3213" t="str">
        <f t="shared" si="275"/>
        <v>13110270157</v>
      </c>
      <c r="E3213" t="s">
        <v>52</v>
      </c>
      <c r="F3213">
        <v>2014</v>
      </c>
      <c r="G3213">
        <v>80140226</v>
      </c>
      <c r="H3213" s="1">
        <v>41831</v>
      </c>
      <c r="I3213" s="1">
        <v>41841</v>
      </c>
      <c r="J3213" s="1">
        <v>41841</v>
      </c>
      <c r="K3213" s="1">
        <v>41931</v>
      </c>
      <c r="N3213" s="5"/>
      <c r="O3213" s="2">
        <v>1140.46</v>
      </c>
      <c r="P3213">
        <v>318</v>
      </c>
      <c r="Q3213" s="2">
        <v>362666.28</v>
      </c>
      <c r="R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 s="1">
        <v>42382</v>
      </c>
      <c r="AC3213" t="s">
        <v>53</v>
      </c>
      <c r="AD3213" t="s">
        <v>53</v>
      </c>
      <c r="AK3213">
        <v>0</v>
      </c>
      <c r="AU3213" s="6">
        <v>42249</v>
      </c>
      <c r="AV3213" s="6">
        <v>42249</v>
      </c>
      <c r="AW3213" t="s">
        <v>54</v>
      </c>
      <c r="AX3213" t="str">
        <f t="shared" si="273"/>
        <v>FOR</v>
      </c>
      <c r="AY3213" t="s">
        <v>55</v>
      </c>
    </row>
    <row r="3214" spans="1:51">
      <c r="A3214">
        <v>101066</v>
      </c>
      <c r="B3214" t="s">
        <v>535</v>
      </c>
      <c r="C3214" t="str">
        <f t="shared" si="275"/>
        <v>13110270157</v>
      </c>
      <c r="D3214" t="str">
        <f t="shared" si="275"/>
        <v>13110270157</v>
      </c>
      <c r="E3214" t="s">
        <v>52</v>
      </c>
      <c r="F3214">
        <v>2015</v>
      </c>
      <c r="G3214">
        <v>980151726</v>
      </c>
      <c r="H3214" s="1">
        <v>42093</v>
      </c>
      <c r="I3214" s="1">
        <v>42103</v>
      </c>
      <c r="J3214" s="1">
        <v>42103</v>
      </c>
      <c r="K3214" s="1">
        <v>42163</v>
      </c>
      <c r="L3214" s="7">
        <v>934.8</v>
      </c>
      <c r="M3214" s="5">
        <v>176</v>
      </c>
      <c r="N3214" s="7">
        <v>164524.79999999999</v>
      </c>
      <c r="O3214">
        <v>934.8</v>
      </c>
      <c r="P3214">
        <v>176</v>
      </c>
      <c r="Q3214" s="2">
        <v>164524.79999999999</v>
      </c>
      <c r="R3214">
        <v>205.66</v>
      </c>
      <c r="V3214">
        <v>0</v>
      </c>
      <c r="W3214">
        <v>0</v>
      </c>
      <c r="X3214">
        <v>0</v>
      </c>
      <c r="Y3214" s="2">
        <v>1140.46</v>
      </c>
      <c r="Z3214" s="2">
        <v>1140.46</v>
      </c>
      <c r="AA3214" s="2">
        <v>1140.46</v>
      </c>
      <c r="AB3214" s="1">
        <v>42382</v>
      </c>
      <c r="AC3214" t="s">
        <v>53</v>
      </c>
      <c r="AD3214" t="s">
        <v>53</v>
      </c>
      <c r="AK3214">
        <v>205.66</v>
      </c>
      <c r="AU3214" s="6">
        <v>42339</v>
      </c>
      <c r="AV3214" s="6">
        <v>42339</v>
      </c>
      <c r="AW3214" t="s">
        <v>54</v>
      </c>
      <c r="AX3214" t="str">
        <f t="shared" si="273"/>
        <v>FOR</v>
      </c>
      <c r="AY3214" t="s">
        <v>55</v>
      </c>
    </row>
    <row r="3215" spans="1:51">
      <c r="A3215">
        <v>101066</v>
      </c>
      <c r="B3215" t="s">
        <v>535</v>
      </c>
      <c r="C3215" t="str">
        <f t="shared" si="275"/>
        <v>13110270157</v>
      </c>
      <c r="D3215" t="str">
        <f t="shared" si="275"/>
        <v>13110270157</v>
      </c>
      <c r="E3215" t="s">
        <v>52</v>
      </c>
      <c r="F3215">
        <v>2015</v>
      </c>
      <c r="G3215">
        <v>980156030</v>
      </c>
      <c r="H3215" s="1">
        <v>42187</v>
      </c>
      <c r="I3215" s="1">
        <v>42191</v>
      </c>
      <c r="J3215" s="1">
        <v>42188</v>
      </c>
      <c r="K3215" s="1">
        <v>42248</v>
      </c>
      <c r="L3215" s="7">
        <v>934.8</v>
      </c>
      <c r="M3215" s="5">
        <v>91</v>
      </c>
      <c r="N3215" s="7">
        <v>85066.8</v>
      </c>
      <c r="O3215">
        <v>934.8</v>
      </c>
      <c r="P3215">
        <v>91</v>
      </c>
      <c r="Q3215" s="2">
        <v>85066.8</v>
      </c>
      <c r="R3215">
        <v>205.66</v>
      </c>
      <c r="V3215">
        <v>0</v>
      </c>
      <c r="W3215">
        <v>0</v>
      </c>
      <c r="X3215">
        <v>0</v>
      </c>
      <c r="Y3215" s="2">
        <v>1140.46</v>
      </c>
      <c r="Z3215" s="2">
        <v>1140.46</v>
      </c>
      <c r="AA3215" s="2">
        <v>1140.46</v>
      </c>
      <c r="AB3215" s="1">
        <v>42382</v>
      </c>
      <c r="AC3215" t="s">
        <v>53</v>
      </c>
      <c r="AD3215" t="s">
        <v>53</v>
      </c>
      <c r="AH3215">
        <v>205.66</v>
      </c>
      <c r="AK3215">
        <v>0</v>
      </c>
      <c r="AU3215" s="6">
        <v>42339</v>
      </c>
      <c r="AV3215" s="6">
        <v>42339</v>
      </c>
      <c r="AW3215" t="s">
        <v>54</v>
      </c>
      <c r="AX3215" t="str">
        <f t="shared" si="273"/>
        <v>FOR</v>
      </c>
      <c r="AY3215" t="s">
        <v>55</v>
      </c>
    </row>
    <row r="3216" spans="1:51" hidden="1">
      <c r="A3216">
        <v>101070</v>
      </c>
      <c r="B3216" t="s">
        <v>536</v>
      </c>
      <c r="C3216" t="str">
        <f t="shared" ref="C3216:D3222" si="276">"04947170967"</f>
        <v>04947170967</v>
      </c>
      <c r="D3216" t="str">
        <f t="shared" si="276"/>
        <v>04947170967</v>
      </c>
      <c r="E3216" t="s">
        <v>52</v>
      </c>
      <c r="F3216">
        <v>2014</v>
      </c>
      <c r="G3216">
        <v>2015467</v>
      </c>
      <c r="H3216" s="1">
        <v>41810</v>
      </c>
      <c r="I3216" s="1">
        <v>41815</v>
      </c>
      <c r="J3216" s="1">
        <v>41815</v>
      </c>
      <c r="K3216" s="1">
        <v>41905</v>
      </c>
      <c r="N3216" s="5"/>
      <c r="O3216" s="2">
        <v>10542.84</v>
      </c>
      <c r="P3216">
        <v>258</v>
      </c>
      <c r="Q3216" s="2">
        <v>2720052.72</v>
      </c>
      <c r="R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 s="1">
        <v>42382</v>
      </c>
      <c r="AC3216" t="s">
        <v>53</v>
      </c>
      <c r="AD3216" t="s">
        <v>53</v>
      </c>
      <c r="AK3216">
        <v>0</v>
      </c>
      <c r="AU3216" s="6">
        <v>42163</v>
      </c>
      <c r="AV3216" s="6">
        <v>42163</v>
      </c>
      <c r="AW3216" t="s">
        <v>54</v>
      </c>
      <c r="AX3216" t="str">
        <f t="shared" si="273"/>
        <v>FOR</v>
      </c>
      <c r="AY3216" t="s">
        <v>55</v>
      </c>
    </row>
    <row r="3217" spans="1:51" hidden="1">
      <c r="A3217">
        <v>101070</v>
      </c>
      <c r="B3217" t="s">
        <v>536</v>
      </c>
      <c r="C3217" t="str">
        <f t="shared" si="276"/>
        <v>04947170967</v>
      </c>
      <c r="D3217" t="str">
        <f t="shared" si="276"/>
        <v>04947170967</v>
      </c>
      <c r="E3217" t="s">
        <v>52</v>
      </c>
      <c r="F3217">
        <v>2014</v>
      </c>
      <c r="G3217">
        <v>2015905</v>
      </c>
      <c r="H3217" s="1">
        <v>41816</v>
      </c>
      <c r="I3217" s="1">
        <v>41827</v>
      </c>
      <c r="J3217" s="1">
        <v>41827</v>
      </c>
      <c r="K3217" s="1">
        <v>41917</v>
      </c>
      <c r="N3217" s="5"/>
      <c r="O3217" s="2">
        <v>2432.21</v>
      </c>
      <c r="P3217">
        <v>246</v>
      </c>
      <c r="Q3217" s="2">
        <v>598323.66</v>
      </c>
      <c r="R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 s="1">
        <v>42382</v>
      </c>
      <c r="AC3217" t="s">
        <v>53</v>
      </c>
      <c r="AD3217" t="s">
        <v>53</v>
      </c>
      <c r="AK3217">
        <v>0</v>
      </c>
      <c r="AU3217" s="6">
        <v>42163</v>
      </c>
      <c r="AV3217" s="6">
        <v>42163</v>
      </c>
      <c r="AW3217" t="s">
        <v>54</v>
      </c>
      <c r="AX3217" t="str">
        <f t="shared" si="273"/>
        <v>FOR</v>
      </c>
      <c r="AY3217" t="s">
        <v>55</v>
      </c>
    </row>
    <row r="3218" spans="1:51" hidden="1">
      <c r="A3218">
        <v>101070</v>
      </c>
      <c r="B3218" t="s">
        <v>536</v>
      </c>
      <c r="C3218" t="str">
        <f t="shared" si="276"/>
        <v>04947170967</v>
      </c>
      <c r="D3218" t="str">
        <f t="shared" si="276"/>
        <v>04947170967</v>
      </c>
      <c r="E3218" t="s">
        <v>52</v>
      </c>
      <c r="F3218">
        <v>2014</v>
      </c>
      <c r="G3218">
        <v>2016419</v>
      </c>
      <c r="H3218" s="1">
        <v>41821</v>
      </c>
      <c r="I3218" s="1">
        <v>41834</v>
      </c>
      <c r="J3218" s="1">
        <v>41834</v>
      </c>
      <c r="K3218" s="1">
        <v>41924</v>
      </c>
      <c r="N3218" s="5"/>
      <c r="O3218" s="2">
        <v>10542.84</v>
      </c>
      <c r="P3218">
        <v>260</v>
      </c>
      <c r="Q3218" s="2">
        <v>2741138.4</v>
      </c>
      <c r="R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 s="1">
        <v>42382</v>
      </c>
      <c r="AC3218" t="s">
        <v>53</v>
      </c>
      <c r="AD3218" t="s">
        <v>53</v>
      </c>
      <c r="AK3218">
        <v>0</v>
      </c>
      <c r="AU3218" s="6">
        <v>42184</v>
      </c>
      <c r="AV3218" s="6">
        <v>42184</v>
      </c>
      <c r="AW3218" t="s">
        <v>54</v>
      </c>
      <c r="AX3218" t="str">
        <f t="shared" si="273"/>
        <v>FOR</v>
      </c>
      <c r="AY3218" t="s">
        <v>55</v>
      </c>
    </row>
    <row r="3219" spans="1:51" hidden="1">
      <c r="A3219">
        <v>101070</v>
      </c>
      <c r="B3219" t="s">
        <v>536</v>
      </c>
      <c r="C3219" t="str">
        <f t="shared" si="276"/>
        <v>04947170967</v>
      </c>
      <c r="D3219" t="str">
        <f t="shared" si="276"/>
        <v>04947170967</v>
      </c>
      <c r="E3219" t="s">
        <v>52</v>
      </c>
      <c r="F3219">
        <v>2014</v>
      </c>
      <c r="G3219">
        <v>2018080</v>
      </c>
      <c r="H3219" s="1">
        <v>41837</v>
      </c>
      <c r="I3219" s="1">
        <v>41844</v>
      </c>
      <c r="J3219" s="1">
        <v>41844</v>
      </c>
      <c r="K3219" s="1">
        <v>41934</v>
      </c>
      <c r="N3219" s="5"/>
      <c r="O3219" s="2">
        <v>10542.84</v>
      </c>
      <c r="P3219">
        <v>250</v>
      </c>
      <c r="Q3219" s="2">
        <v>2635710</v>
      </c>
      <c r="R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 s="1">
        <v>42382</v>
      </c>
      <c r="AC3219" t="s">
        <v>53</v>
      </c>
      <c r="AD3219" t="s">
        <v>53</v>
      </c>
      <c r="AK3219">
        <v>0</v>
      </c>
      <c r="AU3219" s="6">
        <v>42184</v>
      </c>
      <c r="AV3219" s="6">
        <v>42184</v>
      </c>
      <c r="AW3219" t="s">
        <v>54</v>
      </c>
      <c r="AX3219" t="str">
        <f t="shared" si="273"/>
        <v>FOR</v>
      </c>
      <c r="AY3219" t="s">
        <v>55</v>
      </c>
    </row>
    <row r="3220" spans="1:51" hidden="1">
      <c r="A3220">
        <v>101070</v>
      </c>
      <c r="B3220" t="s">
        <v>536</v>
      </c>
      <c r="C3220" t="str">
        <f t="shared" si="276"/>
        <v>04947170967</v>
      </c>
      <c r="D3220" t="str">
        <f t="shared" si="276"/>
        <v>04947170967</v>
      </c>
      <c r="E3220" t="s">
        <v>52</v>
      </c>
      <c r="F3220">
        <v>2014</v>
      </c>
      <c r="G3220">
        <v>2019993</v>
      </c>
      <c r="H3220" s="1">
        <v>41855</v>
      </c>
      <c r="I3220" s="1">
        <v>41877</v>
      </c>
      <c r="J3220" s="1">
        <v>41877</v>
      </c>
      <c r="K3220" s="1">
        <v>41967</v>
      </c>
      <c r="N3220" s="5"/>
      <c r="O3220" s="2">
        <v>21219.71</v>
      </c>
      <c r="P3220">
        <v>217</v>
      </c>
      <c r="Q3220" s="2">
        <v>4604677.07</v>
      </c>
      <c r="R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 s="1">
        <v>42382</v>
      </c>
      <c r="AC3220" t="s">
        <v>53</v>
      </c>
      <c r="AD3220" t="s">
        <v>53</v>
      </c>
      <c r="AK3220">
        <v>0</v>
      </c>
      <c r="AU3220" s="6">
        <v>42184</v>
      </c>
      <c r="AV3220" s="6">
        <v>42184</v>
      </c>
      <c r="AW3220" t="s">
        <v>54</v>
      </c>
      <c r="AX3220" t="str">
        <f t="shared" si="273"/>
        <v>FOR</v>
      </c>
      <c r="AY3220" t="s">
        <v>55</v>
      </c>
    </row>
    <row r="3221" spans="1:51" hidden="1">
      <c r="A3221">
        <v>101070</v>
      </c>
      <c r="B3221" t="s">
        <v>536</v>
      </c>
      <c r="C3221" t="str">
        <f t="shared" si="276"/>
        <v>04947170967</v>
      </c>
      <c r="D3221" t="str">
        <f t="shared" si="276"/>
        <v>04947170967</v>
      </c>
      <c r="E3221" t="s">
        <v>52</v>
      </c>
      <c r="F3221">
        <v>2014</v>
      </c>
      <c r="G3221">
        <v>2021953</v>
      </c>
      <c r="H3221" s="1">
        <v>41880</v>
      </c>
      <c r="I3221" s="1">
        <v>41890</v>
      </c>
      <c r="J3221" s="1">
        <v>41890</v>
      </c>
      <c r="K3221" s="1">
        <v>41980</v>
      </c>
      <c r="N3221" s="5"/>
      <c r="O3221" s="2">
        <v>16002.89</v>
      </c>
      <c r="P3221">
        <v>204</v>
      </c>
      <c r="Q3221" s="2">
        <v>3264589.56</v>
      </c>
      <c r="R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 s="1">
        <v>42382</v>
      </c>
      <c r="AC3221" t="s">
        <v>53</v>
      </c>
      <c r="AD3221" t="s">
        <v>53</v>
      </c>
      <c r="AK3221">
        <v>0</v>
      </c>
      <c r="AU3221" s="6">
        <v>42184</v>
      </c>
      <c r="AV3221" s="6">
        <v>42184</v>
      </c>
      <c r="AW3221" t="s">
        <v>54</v>
      </c>
      <c r="AX3221" t="str">
        <f t="shared" si="273"/>
        <v>FOR</v>
      </c>
      <c r="AY3221" t="s">
        <v>55</v>
      </c>
    </row>
    <row r="3222" spans="1:51" hidden="1">
      <c r="A3222">
        <v>101070</v>
      </c>
      <c r="B3222" t="s">
        <v>536</v>
      </c>
      <c r="C3222" t="str">
        <f t="shared" si="276"/>
        <v>04947170967</v>
      </c>
      <c r="D3222" t="str">
        <f t="shared" si="276"/>
        <v>04947170967</v>
      </c>
      <c r="E3222" t="s">
        <v>52</v>
      </c>
      <c r="F3222">
        <v>2014</v>
      </c>
      <c r="G3222">
        <v>2023474</v>
      </c>
      <c r="H3222" s="1">
        <v>41898</v>
      </c>
      <c r="I3222" s="1">
        <v>41911</v>
      </c>
      <c r="J3222" s="1">
        <v>41911</v>
      </c>
      <c r="K3222" s="1">
        <v>42001</v>
      </c>
      <c r="N3222" s="5"/>
      <c r="O3222" s="2">
        <v>14057.12</v>
      </c>
      <c r="P3222">
        <v>249</v>
      </c>
      <c r="Q3222" s="2">
        <v>3500222.88</v>
      </c>
      <c r="R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 s="1">
        <v>42382</v>
      </c>
      <c r="AC3222" t="s">
        <v>53</v>
      </c>
      <c r="AD3222" t="s">
        <v>53</v>
      </c>
      <c r="AK3222">
        <v>0</v>
      </c>
      <c r="AU3222" s="6">
        <v>42250</v>
      </c>
      <c r="AV3222" s="6">
        <v>42250</v>
      </c>
      <c r="AW3222" t="s">
        <v>54</v>
      </c>
      <c r="AX3222" t="str">
        <f t="shared" si="273"/>
        <v>FOR</v>
      </c>
      <c r="AY3222" t="s">
        <v>55</v>
      </c>
    </row>
    <row r="3223" spans="1:51" hidden="1">
      <c r="A3223">
        <v>101074</v>
      </c>
      <c r="B3223" t="s">
        <v>537</v>
      </c>
      <c r="C3223" t="str">
        <f t="shared" ref="C3223:D3232" si="277">"01313240424"</f>
        <v>01313240424</v>
      </c>
      <c r="D3223" t="str">
        <f t="shared" si="277"/>
        <v>01313240424</v>
      </c>
      <c r="E3223" t="s">
        <v>52</v>
      </c>
      <c r="F3223">
        <v>2014</v>
      </c>
      <c r="G3223">
        <v>2884</v>
      </c>
      <c r="H3223" s="1">
        <v>41759</v>
      </c>
      <c r="I3223" s="1">
        <v>41788</v>
      </c>
      <c r="J3223" s="1">
        <v>41788</v>
      </c>
      <c r="K3223" s="1">
        <v>41878</v>
      </c>
      <c r="N3223" s="5"/>
      <c r="O3223">
        <v>61</v>
      </c>
      <c r="P3223">
        <v>253</v>
      </c>
      <c r="Q3223" s="2">
        <v>15433</v>
      </c>
      <c r="R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 s="1">
        <v>42382</v>
      </c>
      <c r="AC3223" t="s">
        <v>53</v>
      </c>
      <c r="AD3223" t="s">
        <v>53</v>
      </c>
      <c r="AK3223">
        <v>0</v>
      </c>
      <c r="AU3223" s="6">
        <v>42131</v>
      </c>
      <c r="AV3223" s="6">
        <v>42131</v>
      </c>
      <c r="AW3223" t="s">
        <v>54</v>
      </c>
      <c r="AX3223" t="str">
        <f t="shared" si="273"/>
        <v>FOR</v>
      </c>
      <c r="AY3223" t="s">
        <v>55</v>
      </c>
    </row>
    <row r="3224" spans="1:51" hidden="1">
      <c r="A3224">
        <v>101074</v>
      </c>
      <c r="B3224" t="s">
        <v>537</v>
      </c>
      <c r="C3224" t="str">
        <f t="shared" si="277"/>
        <v>01313240424</v>
      </c>
      <c r="D3224" t="str">
        <f t="shared" si="277"/>
        <v>01313240424</v>
      </c>
      <c r="E3224" t="s">
        <v>52</v>
      </c>
      <c r="F3224">
        <v>2014</v>
      </c>
      <c r="G3224">
        <v>5292</v>
      </c>
      <c r="H3224" s="1">
        <v>41851</v>
      </c>
      <c r="I3224" s="1">
        <v>41883</v>
      </c>
      <c r="J3224" s="1">
        <v>41883</v>
      </c>
      <c r="K3224" s="1">
        <v>41973</v>
      </c>
      <c r="N3224" s="5"/>
      <c r="O3224">
        <v>244</v>
      </c>
      <c r="P3224">
        <v>158</v>
      </c>
      <c r="Q3224" s="2">
        <v>38552</v>
      </c>
      <c r="R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 s="1">
        <v>42382</v>
      </c>
      <c r="AC3224" t="s">
        <v>53</v>
      </c>
      <c r="AD3224" t="s">
        <v>53</v>
      </c>
      <c r="AK3224">
        <v>0</v>
      </c>
      <c r="AU3224" s="6">
        <v>42131</v>
      </c>
      <c r="AV3224" s="6">
        <v>42131</v>
      </c>
      <c r="AW3224" t="s">
        <v>54</v>
      </c>
      <c r="AX3224" t="str">
        <f t="shared" si="273"/>
        <v>FOR</v>
      </c>
      <c r="AY3224" t="s">
        <v>55</v>
      </c>
    </row>
    <row r="3225" spans="1:51" hidden="1">
      <c r="A3225">
        <v>101074</v>
      </c>
      <c r="B3225" t="s">
        <v>537</v>
      </c>
      <c r="C3225" t="str">
        <f t="shared" si="277"/>
        <v>01313240424</v>
      </c>
      <c r="D3225" t="str">
        <f t="shared" si="277"/>
        <v>01313240424</v>
      </c>
      <c r="E3225" t="s">
        <v>52</v>
      </c>
      <c r="F3225">
        <v>2014</v>
      </c>
      <c r="G3225">
        <v>5293</v>
      </c>
      <c r="H3225" s="1">
        <v>41851</v>
      </c>
      <c r="I3225" s="1">
        <v>41883</v>
      </c>
      <c r="J3225" s="1">
        <v>41883</v>
      </c>
      <c r="K3225" s="1">
        <v>41973</v>
      </c>
      <c r="N3225" s="5"/>
      <c r="O3225">
        <v>292.8</v>
      </c>
      <c r="P3225">
        <v>158</v>
      </c>
      <c r="Q3225" s="2">
        <v>46262.400000000001</v>
      </c>
      <c r="R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 s="1">
        <v>42382</v>
      </c>
      <c r="AC3225" t="s">
        <v>53</v>
      </c>
      <c r="AD3225" t="s">
        <v>53</v>
      </c>
      <c r="AK3225">
        <v>0</v>
      </c>
      <c r="AU3225" s="6">
        <v>42131</v>
      </c>
      <c r="AV3225" s="6">
        <v>42131</v>
      </c>
      <c r="AW3225" t="s">
        <v>54</v>
      </c>
      <c r="AX3225" t="str">
        <f t="shared" si="273"/>
        <v>FOR</v>
      </c>
      <c r="AY3225" t="s">
        <v>55</v>
      </c>
    </row>
    <row r="3226" spans="1:51" hidden="1">
      <c r="A3226">
        <v>101074</v>
      </c>
      <c r="B3226" t="s">
        <v>537</v>
      </c>
      <c r="C3226" t="str">
        <f t="shared" si="277"/>
        <v>01313240424</v>
      </c>
      <c r="D3226" t="str">
        <f t="shared" si="277"/>
        <v>01313240424</v>
      </c>
      <c r="E3226" t="s">
        <v>52</v>
      </c>
      <c r="F3226">
        <v>2014</v>
      </c>
      <c r="G3226">
        <v>5382</v>
      </c>
      <c r="H3226" s="1">
        <v>41857</v>
      </c>
      <c r="I3226" s="1">
        <v>41883</v>
      </c>
      <c r="J3226" s="1">
        <v>41883</v>
      </c>
      <c r="K3226" s="1">
        <v>41973</v>
      </c>
      <c r="N3226" s="5"/>
      <c r="O3226">
        <v>732</v>
      </c>
      <c r="P3226">
        <v>158</v>
      </c>
      <c r="Q3226" s="2">
        <v>115656</v>
      </c>
      <c r="R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 s="1">
        <v>42382</v>
      </c>
      <c r="AC3226" t="s">
        <v>53</v>
      </c>
      <c r="AD3226" t="s">
        <v>53</v>
      </c>
      <c r="AK3226">
        <v>0</v>
      </c>
      <c r="AU3226" s="6">
        <v>42131</v>
      </c>
      <c r="AV3226" s="6">
        <v>42131</v>
      </c>
      <c r="AW3226" t="s">
        <v>54</v>
      </c>
      <c r="AX3226" t="str">
        <f t="shared" si="273"/>
        <v>FOR</v>
      </c>
      <c r="AY3226" t="s">
        <v>55</v>
      </c>
    </row>
    <row r="3227" spans="1:51" hidden="1">
      <c r="A3227">
        <v>101074</v>
      </c>
      <c r="B3227" t="s">
        <v>537</v>
      </c>
      <c r="C3227" t="str">
        <f t="shared" si="277"/>
        <v>01313240424</v>
      </c>
      <c r="D3227" t="str">
        <f t="shared" si="277"/>
        <v>01313240424</v>
      </c>
      <c r="E3227" t="s">
        <v>52</v>
      </c>
      <c r="F3227">
        <v>2014</v>
      </c>
      <c r="G3227">
        <v>5639</v>
      </c>
      <c r="H3227" s="1">
        <v>41880</v>
      </c>
      <c r="I3227" s="1">
        <v>41893</v>
      </c>
      <c r="J3227" s="1">
        <v>41893</v>
      </c>
      <c r="K3227" s="1">
        <v>41983</v>
      </c>
      <c r="N3227" s="5"/>
      <c r="O3227">
        <v>292.8</v>
      </c>
      <c r="P3227">
        <v>148</v>
      </c>
      <c r="Q3227" s="2">
        <v>43334.400000000001</v>
      </c>
      <c r="R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 s="1">
        <v>42382</v>
      </c>
      <c r="AC3227" t="s">
        <v>53</v>
      </c>
      <c r="AD3227" t="s">
        <v>53</v>
      </c>
      <c r="AK3227">
        <v>0</v>
      </c>
      <c r="AU3227" s="6">
        <v>42131</v>
      </c>
      <c r="AV3227" s="6">
        <v>42131</v>
      </c>
      <c r="AW3227" t="s">
        <v>54</v>
      </c>
      <c r="AX3227" t="str">
        <f t="shared" si="273"/>
        <v>FOR</v>
      </c>
      <c r="AY3227" t="s">
        <v>55</v>
      </c>
    </row>
    <row r="3228" spans="1:51" hidden="1">
      <c r="A3228">
        <v>101074</v>
      </c>
      <c r="B3228" t="s">
        <v>537</v>
      </c>
      <c r="C3228" t="str">
        <f t="shared" si="277"/>
        <v>01313240424</v>
      </c>
      <c r="D3228" t="str">
        <f t="shared" si="277"/>
        <v>01313240424</v>
      </c>
      <c r="E3228" t="s">
        <v>52</v>
      </c>
      <c r="F3228">
        <v>2014</v>
      </c>
      <c r="G3228">
        <v>6859</v>
      </c>
      <c r="H3228" s="1">
        <v>41943</v>
      </c>
      <c r="I3228" s="1">
        <v>42002</v>
      </c>
      <c r="J3228" s="1">
        <v>42002</v>
      </c>
      <c r="K3228" s="1">
        <v>42062</v>
      </c>
      <c r="N3228" s="5"/>
      <c r="O3228">
        <v>317.2</v>
      </c>
      <c r="P3228">
        <v>69</v>
      </c>
      <c r="Q3228" s="2">
        <v>21886.799999999999</v>
      </c>
      <c r="R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 s="1">
        <v>42382</v>
      </c>
      <c r="AC3228" t="s">
        <v>53</v>
      </c>
      <c r="AD3228" t="s">
        <v>53</v>
      </c>
      <c r="AK3228">
        <v>0</v>
      </c>
      <c r="AU3228" s="6">
        <v>42131</v>
      </c>
      <c r="AV3228" s="6">
        <v>42131</v>
      </c>
      <c r="AW3228" t="s">
        <v>54</v>
      </c>
      <c r="AX3228" t="str">
        <f t="shared" si="273"/>
        <v>FOR</v>
      </c>
      <c r="AY3228" t="s">
        <v>55</v>
      </c>
    </row>
    <row r="3229" spans="1:51" hidden="1">
      <c r="A3229">
        <v>101074</v>
      </c>
      <c r="B3229" t="s">
        <v>537</v>
      </c>
      <c r="C3229" t="str">
        <f t="shared" si="277"/>
        <v>01313240424</v>
      </c>
      <c r="D3229" t="str">
        <f t="shared" si="277"/>
        <v>01313240424</v>
      </c>
      <c r="E3229" t="s">
        <v>52</v>
      </c>
      <c r="F3229">
        <v>2014</v>
      </c>
      <c r="G3229">
        <v>7931</v>
      </c>
      <c r="H3229" s="1">
        <v>42003</v>
      </c>
      <c r="I3229" s="1">
        <v>42053</v>
      </c>
      <c r="J3229" s="1">
        <v>42053</v>
      </c>
      <c r="K3229" s="1">
        <v>42113</v>
      </c>
      <c r="N3229" s="5"/>
      <c r="O3229">
        <v>610</v>
      </c>
      <c r="P3229">
        <v>18</v>
      </c>
      <c r="Q3229" s="2">
        <v>10980</v>
      </c>
      <c r="R3229">
        <v>0</v>
      </c>
      <c r="V3229">
        <v>0</v>
      </c>
      <c r="W3229">
        <v>0</v>
      </c>
      <c r="X3229">
        <v>0</v>
      </c>
      <c r="Y3229">
        <v>0</v>
      </c>
      <c r="Z3229">
        <v>610</v>
      </c>
      <c r="AA3229">
        <v>0</v>
      </c>
      <c r="AB3229" s="1">
        <v>42382</v>
      </c>
      <c r="AC3229" t="s">
        <v>53</v>
      </c>
      <c r="AD3229" t="s">
        <v>53</v>
      </c>
      <c r="AK3229">
        <v>0</v>
      </c>
      <c r="AU3229" s="6">
        <v>42131</v>
      </c>
      <c r="AV3229" s="6">
        <v>42131</v>
      </c>
      <c r="AW3229" t="s">
        <v>54</v>
      </c>
      <c r="AX3229" t="str">
        <f t="shared" si="273"/>
        <v>FOR</v>
      </c>
      <c r="AY3229" t="s">
        <v>55</v>
      </c>
    </row>
    <row r="3230" spans="1:51">
      <c r="A3230">
        <v>101074</v>
      </c>
      <c r="B3230" t="s">
        <v>537</v>
      </c>
      <c r="C3230" t="str">
        <f t="shared" si="277"/>
        <v>01313240424</v>
      </c>
      <c r="D3230" t="str">
        <f t="shared" si="277"/>
        <v>01313240424</v>
      </c>
      <c r="E3230" t="s">
        <v>52</v>
      </c>
      <c r="F3230">
        <v>2015</v>
      </c>
      <c r="G3230">
        <v>620</v>
      </c>
      <c r="H3230" s="1">
        <v>42034</v>
      </c>
      <c r="I3230" s="1">
        <v>42087</v>
      </c>
      <c r="J3230" s="1">
        <v>42087</v>
      </c>
      <c r="K3230" s="1">
        <v>42147</v>
      </c>
      <c r="L3230" s="7">
        <v>200</v>
      </c>
      <c r="M3230" s="5">
        <v>192</v>
      </c>
      <c r="N3230" s="7">
        <v>38400</v>
      </c>
      <c r="O3230">
        <v>200</v>
      </c>
      <c r="P3230">
        <v>192</v>
      </c>
      <c r="Q3230" s="2">
        <v>38400</v>
      </c>
      <c r="R3230">
        <v>44</v>
      </c>
      <c r="V3230">
        <v>0</v>
      </c>
      <c r="W3230">
        <v>0</v>
      </c>
      <c r="X3230">
        <v>0</v>
      </c>
      <c r="Y3230">
        <v>244</v>
      </c>
      <c r="Z3230">
        <v>244</v>
      </c>
      <c r="AA3230">
        <v>244</v>
      </c>
      <c r="AB3230" s="1">
        <v>42382</v>
      </c>
      <c r="AC3230" t="s">
        <v>53</v>
      </c>
      <c r="AD3230" t="s">
        <v>53</v>
      </c>
      <c r="AK3230">
        <v>44</v>
      </c>
      <c r="AU3230" s="6">
        <v>42339</v>
      </c>
      <c r="AV3230" s="6">
        <v>42339</v>
      </c>
      <c r="AW3230" t="s">
        <v>54</v>
      </c>
      <c r="AX3230" t="str">
        <f t="shared" si="273"/>
        <v>FOR</v>
      </c>
      <c r="AY3230" t="s">
        <v>55</v>
      </c>
    </row>
    <row r="3231" spans="1:51">
      <c r="A3231">
        <v>101074</v>
      </c>
      <c r="B3231" t="s">
        <v>537</v>
      </c>
      <c r="C3231" t="str">
        <f t="shared" si="277"/>
        <v>01313240424</v>
      </c>
      <c r="D3231" t="str">
        <f t="shared" si="277"/>
        <v>01313240424</v>
      </c>
      <c r="E3231" t="s">
        <v>52</v>
      </c>
      <c r="F3231">
        <v>2015</v>
      </c>
      <c r="G3231">
        <v>865</v>
      </c>
      <c r="H3231" s="1">
        <v>42051</v>
      </c>
      <c r="I3231" s="1">
        <v>42087</v>
      </c>
      <c r="J3231" s="1">
        <v>42087</v>
      </c>
      <c r="K3231" s="1">
        <v>42147</v>
      </c>
      <c r="L3231" s="7">
        <v>300</v>
      </c>
      <c r="M3231" s="5">
        <v>192</v>
      </c>
      <c r="N3231" s="7">
        <v>57600</v>
      </c>
      <c r="O3231">
        <v>300</v>
      </c>
      <c r="P3231">
        <v>192</v>
      </c>
      <c r="Q3231" s="2">
        <v>57600</v>
      </c>
      <c r="R3231">
        <v>66</v>
      </c>
      <c r="V3231">
        <v>0</v>
      </c>
      <c r="W3231">
        <v>0</v>
      </c>
      <c r="X3231">
        <v>0</v>
      </c>
      <c r="Y3231">
        <v>366</v>
      </c>
      <c r="Z3231">
        <v>366</v>
      </c>
      <c r="AA3231">
        <v>366</v>
      </c>
      <c r="AB3231" s="1">
        <v>42382</v>
      </c>
      <c r="AC3231" t="s">
        <v>53</v>
      </c>
      <c r="AD3231" t="s">
        <v>53</v>
      </c>
      <c r="AK3231">
        <v>66</v>
      </c>
      <c r="AU3231" s="6">
        <v>42339</v>
      </c>
      <c r="AV3231" s="6">
        <v>42339</v>
      </c>
      <c r="AW3231" t="s">
        <v>54</v>
      </c>
      <c r="AX3231" t="str">
        <f t="shared" si="273"/>
        <v>FOR</v>
      </c>
      <c r="AY3231" t="s">
        <v>55</v>
      </c>
    </row>
    <row r="3232" spans="1:51">
      <c r="A3232">
        <v>101074</v>
      </c>
      <c r="B3232" t="s">
        <v>537</v>
      </c>
      <c r="C3232" t="str">
        <f t="shared" si="277"/>
        <v>01313240424</v>
      </c>
      <c r="D3232" t="str">
        <f t="shared" si="277"/>
        <v>01313240424</v>
      </c>
      <c r="E3232" t="s">
        <v>52</v>
      </c>
      <c r="F3232">
        <v>2015</v>
      </c>
      <c r="G3232">
        <v>1094</v>
      </c>
      <c r="H3232" s="1">
        <v>42061</v>
      </c>
      <c r="I3232" s="1">
        <v>42097</v>
      </c>
      <c r="J3232" s="1">
        <v>42097</v>
      </c>
      <c r="K3232" s="1">
        <v>42157</v>
      </c>
      <c r="L3232" s="7">
        <v>200</v>
      </c>
      <c r="M3232" s="5">
        <v>182</v>
      </c>
      <c r="N3232" s="7">
        <v>36400</v>
      </c>
      <c r="O3232">
        <v>200</v>
      </c>
      <c r="P3232">
        <v>182</v>
      </c>
      <c r="Q3232" s="2">
        <v>36400</v>
      </c>
      <c r="R3232">
        <v>44</v>
      </c>
      <c r="V3232">
        <v>0</v>
      </c>
      <c r="W3232">
        <v>0</v>
      </c>
      <c r="X3232">
        <v>0</v>
      </c>
      <c r="Y3232">
        <v>244</v>
      </c>
      <c r="Z3232">
        <v>244</v>
      </c>
      <c r="AA3232">
        <v>244</v>
      </c>
      <c r="AB3232" s="1">
        <v>42382</v>
      </c>
      <c r="AC3232" t="s">
        <v>53</v>
      </c>
      <c r="AD3232" t="s">
        <v>53</v>
      </c>
      <c r="AK3232">
        <v>44</v>
      </c>
      <c r="AU3232" s="6">
        <v>42339</v>
      </c>
      <c r="AV3232" s="6">
        <v>42339</v>
      </c>
      <c r="AW3232" t="s">
        <v>54</v>
      </c>
      <c r="AX3232" t="str">
        <f t="shared" si="273"/>
        <v>FOR</v>
      </c>
      <c r="AY3232" t="s">
        <v>55</v>
      </c>
    </row>
    <row r="3233" spans="1:51" hidden="1">
      <c r="A3233">
        <v>101077</v>
      </c>
      <c r="B3233" t="s">
        <v>538</v>
      </c>
      <c r="C3233" t="str">
        <f t="shared" ref="C3233:D3244" si="278">"01396940627"</f>
        <v>01396940627</v>
      </c>
      <c r="D3233" t="str">
        <f t="shared" si="278"/>
        <v>01396940627</v>
      </c>
      <c r="E3233" t="s">
        <v>52</v>
      </c>
      <c r="F3233">
        <v>2014</v>
      </c>
      <c r="G3233">
        <v>14</v>
      </c>
      <c r="H3233" s="1">
        <v>41698</v>
      </c>
      <c r="I3233" s="1">
        <v>41712</v>
      </c>
      <c r="J3233" s="1">
        <v>41712</v>
      </c>
      <c r="K3233" s="1">
        <v>41802</v>
      </c>
      <c r="N3233" s="5"/>
      <c r="O3233" s="2">
        <v>9760</v>
      </c>
      <c r="P3233">
        <v>217</v>
      </c>
      <c r="Q3233" s="2">
        <v>2117920</v>
      </c>
      <c r="R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 s="1">
        <v>42382</v>
      </c>
      <c r="AC3233" t="s">
        <v>53</v>
      </c>
      <c r="AD3233" t="s">
        <v>53</v>
      </c>
      <c r="AK3233">
        <v>0</v>
      </c>
      <c r="AU3233" s="6">
        <v>42019</v>
      </c>
      <c r="AV3233" s="6">
        <v>42019</v>
      </c>
      <c r="AW3233" t="s">
        <v>54</v>
      </c>
      <c r="AX3233" t="str">
        <f t="shared" si="273"/>
        <v>FOR</v>
      </c>
      <c r="AY3233" t="s">
        <v>55</v>
      </c>
    </row>
    <row r="3234" spans="1:51" hidden="1">
      <c r="A3234">
        <v>101077</v>
      </c>
      <c r="B3234" t="s">
        <v>538</v>
      </c>
      <c r="C3234" t="str">
        <f t="shared" si="278"/>
        <v>01396940627</v>
      </c>
      <c r="D3234" t="str">
        <f t="shared" si="278"/>
        <v>01396940627</v>
      </c>
      <c r="E3234" t="s">
        <v>52</v>
      </c>
      <c r="F3234">
        <v>2014</v>
      </c>
      <c r="G3234">
        <v>16</v>
      </c>
      <c r="H3234" s="1">
        <v>41722</v>
      </c>
      <c r="I3234" s="1">
        <v>41731</v>
      </c>
      <c r="J3234" s="1">
        <v>41731</v>
      </c>
      <c r="K3234" s="1">
        <v>41821</v>
      </c>
      <c r="N3234" s="5"/>
      <c r="O3234" s="2">
        <v>9760</v>
      </c>
      <c r="P3234">
        <v>251</v>
      </c>
      <c r="Q3234" s="2">
        <v>2449760</v>
      </c>
      <c r="R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 s="1">
        <v>42382</v>
      </c>
      <c r="AC3234" t="s">
        <v>53</v>
      </c>
      <c r="AD3234" t="s">
        <v>53</v>
      </c>
      <c r="AK3234">
        <v>0</v>
      </c>
      <c r="AU3234" s="6">
        <v>42072</v>
      </c>
      <c r="AV3234" s="6">
        <v>42072</v>
      </c>
      <c r="AW3234" t="s">
        <v>54</v>
      </c>
      <c r="AX3234" t="str">
        <f t="shared" si="273"/>
        <v>FOR</v>
      </c>
      <c r="AY3234" t="s">
        <v>55</v>
      </c>
    </row>
    <row r="3235" spans="1:51" hidden="1">
      <c r="A3235">
        <v>101077</v>
      </c>
      <c r="B3235" t="s">
        <v>538</v>
      </c>
      <c r="C3235" t="str">
        <f t="shared" si="278"/>
        <v>01396940627</v>
      </c>
      <c r="D3235" t="str">
        <f t="shared" si="278"/>
        <v>01396940627</v>
      </c>
      <c r="E3235" t="s">
        <v>52</v>
      </c>
      <c r="F3235">
        <v>2014</v>
      </c>
      <c r="G3235">
        <v>21</v>
      </c>
      <c r="H3235" s="1">
        <v>41758</v>
      </c>
      <c r="I3235" s="1">
        <v>42166</v>
      </c>
      <c r="J3235" s="1">
        <v>42166</v>
      </c>
      <c r="K3235" s="1">
        <v>42226</v>
      </c>
      <c r="N3235" s="5"/>
      <c r="O3235" s="2">
        <v>9760</v>
      </c>
      <c r="P3235">
        <v>-40</v>
      </c>
      <c r="Q3235" s="2">
        <v>-390400</v>
      </c>
      <c r="R3235">
        <v>0</v>
      </c>
      <c r="V3235">
        <v>0</v>
      </c>
      <c r="W3235">
        <v>0</v>
      </c>
      <c r="X3235">
        <v>0</v>
      </c>
      <c r="Y3235">
        <v>0</v>
      </c>
      <c r="Z3235" s="2">
        <v>9760</v>
      </c>
      <c r="AA3235">
        <v>0</v>
      </c>
      <c r="AB3235" s="1">
        <v>42382</v>
      </c>
      <c r="AC3235" t="s">
        <v>53</v>
      </c>
      <c r="AD3235" t="s">
        <v>53</v>
      </c>
      <c r="AK3235">
        <v>0</v>
      </c>
      <c r="AU3235" s="6">
        <v>42186</v>
      </c>
      <c r="AV3235" s="6">
        <v>42186</v>
      </c>
      <c r="AW3235" t="s">
        <v>54</v>
      </c>
      <c r="AX3235" t="str">
        <f t="shared" si="273"/>
        <v>FOR</v>
      </c>
      <c r="AY3235" t="s">
        <v>55</v>
      </c>
    </row>
    <row r="3236" spans="1:51" hidden="1">
      <c r="A3236">
        <v>101077</v>
      </c>
      <c r="B3236" t="s">
        <v>538</v>
      </c>
      <c r="C3236" t="str">
        <f t="shared" si="278"/>
        <v>01396940627</v>
      </c>
      <c r="D3236" t="str">
        <f t="shared" si="278"/>
        <v>01396940627</v>
      </c>
      <c r="E3236" t="s">
        <v>52</v>
      </c>
      <c r="F3236">
        <v>2014</v>
      </c>
      <c r="G3236">
        <v>27</v>
      </c>
      <c r="H3236" s="1">
        <v>41785</v>
      </c>
      <c r="I3236" s="1">
        <v>42166</v>
      </c>
      <c r="J3236" s="1">
        <v>42166</v>
      </c>
      <c r="K3236" s="1">
        <v>42226</v>
      </c>
      <c r="N3236" s="5"/>
      <c r="O3236" s="2">
        <v>9760</v>
      </c>
      <c r="P3236">
        <v>-40</v>
      </c>
      <c r="Q3236" s="2">
        <v>-390400</v>
      </c>
      <c r="R3236">
        <v>0</v>
      </c>
      <c r="V3236">
        <v>0</v>
      </c>
      <c r="W3236">
        <v>0</v>
      </c>
      <c r="X3236">
        <v>0</v>
      </c>
      <c r="Y3236">
        <v>0</v>
      </c>
      <c r="Z3236" s="2">
        <v>9760</v>
      </c>
      <c r="AA3236">
        <v>0</v>
      </c>
      <c r="AB3236" s="1">
        <v>42382</v>
      </c>
      <c r="AC3236" t="s">
        <v>53</v>
      </c>
      <c r="AD3236" t="s">
        <v>53</v>
      </c>
      <c r="AK3236">
        <v>0</v>
      </c>
      <c r="AU3236" s="6">
        <v>42186</v>
      </c>
      <c r="AV3236" s="6">
        <v>42186</v>
      </c>
      <c r="AW3236" t="s">
        <v>54</v>
      </c>
      <c r="AX3236" t="str">
        <f t="shared" si="273"/>
        <v>FOR</v>
      </c>
      <c r="AY3236" t="s">
        <v>55</v>
      </c>
    </row>
    <row r="3237" spans="1:51" hidden="1">
      <c r="A3237">
        <v>101077</v>
      </c>
      <c r="B3237" t="s">
        <v>538</v>
      </c>
      <c r="C3237" t="str">
        <f t="shared" si="278"/>
        <v>01396940627</v>
      </c>
      <c r="D3237" t="str">
        <f t="shared" si="278"/>
        <v>01396940627</v>
      </c>
      <c r="E3237" t="s">
        <v>52</v>
      </c>
      <c r="F3237">
        <v>2014</v>
      </c>
      <c r="G3237">
        <v>33</v>
      </c>
      <c r="H3237" s="1">
        <v>41809</v>
      </c>
      <c r="I3237" s="1">
        <v>42166</v>
      </c>
      <c r="J3237" s="1">
        <v>42166</v>
      </c>
      <c r="K3237" s="1">
        <v>42226</v>
      </c>
      <c r="N3237" s="5"/>
      <c r="O3237" s="2">
        <v>9760</v>
      </c>
      <c r="P3237">
        <v>-40</v>
      </c>
      <c r="Q3237" s="2">
        <v>-390400</v>
      </c>
      <c r="R3237">
        <v>0</v>
      </c>
      <c r="V3237">
        <v>0</v>
      </c>
      <c r="W3237">
        <v>0</v>
      </c>
      <c r="X3237">
        <v>0</v>
      </c>
      <c r="Y3237">
        <v>0</v>
      </c>
      <c r="Z3237" s="2">
        <v>9760</v>
      </c>
      <c r="AA3237">
        <v>0</v>
      </c>
      <c r="AB3237" s="1">
        <v>42382</v>
      </c>
      <c r="AC3237" t="s">
        <v>53</v>
      </c>
      <c r="AD3237" t="s">
        <v>53</v>
      </c>
      <c r="AK3237">
        <v>0</v>
      </c>
      <c r="AU3237" s="6">
        <v>42186</v>
      </c>
      <c r="AV3237" s="6">
        <v>42186</v>
      </c>
      <c r="AW3237" t="s">
        <v>54</v>
      </c>
      <c r="AX3237" t="str">
        <f t="shared" si="273"/>
        <v>FOR</v>
      </c>
      <c r="AY3237" t="s">
        <v>55</v>
      </c>
    </row>
    <row r="3238" spans="1:51" hidden="1">
      <c r="A3238">
        <v>101077</v>
      </c>
      <c r="B3238" t="s">
        <v>538</v>
      </c>
      <c r="C3238" t="str">
        <f t="shared" si="278"/>
        <v>01396940627</v>
      </c>
      <c r="D3238" t="str">
        <f t="shared" si="278"/>
        <v>01396940627</v>
      </c>
      <c r="E3238" t="s">
        <v>52</v>
      </c>
      <c r="F3238">
        <v>2014</v>
      </c>
      <c r="G3238">
        <v>43</v>
      </c>
      <c r="H3238" s="1">
        <v>41844</v>
      </c>
      <c r="I3238" s="1">
        <v>42166</v>
      </c>
      <c r="J3238" s="1">
        <v>42166</v>
      </c>
      <c r="K3238" s="1">
        <v>42226</v>
      </c>
      <c r="N3238" s="5"/>
      <c r="O3238" s="2">
        <v>9760</v>
      </c>
      <c r="P3238">
        <v>-40</v>
      </c>
      <c r="Q3238" s="2">
        <v>-390400</v>
      </c>
      <c r="R3238">
        <v>0</v>
      </c>
      <c r="V3238">
        <v>0</v>
      </c>
      <c r="W3238">
        <v>0</v>
      </c>
      <c r="X3238">
        <v>0</v>
      </c>
      <c r="Y3238">
        <v>0</v>
      </c>
      <c r="Z3238" s="2">
        <v>9760</v>
      </c>
      <c r="AA3238">
        <v>0</v>
      </c>
      <c r="AB3238" s="1">
        <v>42382</v>
      </c>
      <c r="AC3238" t="s">
        <v>53</v>
      </c>
      <c r="AD3238" t="s">
        <v>53</v>
      </c>
      <c r="AK3238">
        <v>0</v>
      </c>
      <c r="AU3238" s="6">
        <v>42186</v>
      </c>
      <c r="AV3238" s="6">
        <v>42186</v>
      </c>
      <c r="AW3238" t="s">
        <v>54</v>
      </c>
      <c r="AX3238" t="str">
        <f t="shared" si="273"/>
        <v>FOR</v>
      </c>
      <c r="AY3238" t="s">
        <v>55</v>
      </c>
    </row>
    <row r="3239" spans="1:51" hidden="1">
      <c r="A3239">
        <v>101077</v>
      </c>
      <c r="B3239" t="s">
        <v>538</v>
      </c>
      <c r="C3239" t="str">
        <f t="shared" si="278"/>
        <v>01396940627</v>
      </c>
      <c r="D3239" t="str">
        <f t="shared" si="278"/>
        <v>01396940627</v>
      </c>
      <c r="E3239" t="s">
        <v>52</v>
      </c>
      <c r="F3239">
        <v>2014</v>
      </c>
      <c r="G3239">
        <v>47</v>
      </c>
      <c r="H3239" s="1">
        <v>41876</v>
      </c>
      <c r="I3239" s="1">
        <v>42166</v>
      </c>
      <c r="J3239" s="1">
        <v>42166</v>
      </c>
      <c r="K3239" s="1">
        <v>42226</v>
      </c>
      <c r="N3239" s="5"/>
      <c r="O3239" s="2">
        <v>9760</v>
      </c>
      <c r="P3239">
        <v>-40</v>
      </c>
      <c r="Q3239" s="2">
        <v>-390400</v>
      </c>
      <c r="R3239">
        <v>0</v>
      </c>
      <c r="V3239">
        <v>0</v>
      </c>
      <c r="W3239">
        <v>0</v>
      </c>
      <c r="X3239">
        <v>0</v>
      </c>
      <c r="Y3239">
        <v>0</v>
      </c>
      <c r="Z3239" s="2">
        <v>9760</v>
      </c>
      <c r="AA3239">
        <v>0</v>
      </c>
      <c r="AB3239" s="1">
        <v>42382</v>
      </c>
      <c r="AC3239" t="s">
        <v>53</v>
      </c>
      <c r="AD3239" t="s">
        <v>53</v>
      </c>
      <c r="AK3239">
        <v>0</v>
      </c>
      <c r="AU3239" s="6">
        <v>42186</v>
      </c>
      <c r="AV3239" s="6">
        <v>42186</v>
      </c>
      <c r="AW3239" t="s">
        <v>54</v>
      </c>
      <c r="AX3239" t="str">
        <f t="shared" si="273"/>
        <v>FOR</v>
      </c>
      <c r="AY3239" t="s">
        <v>55</v>
      </c>
    </row>
    <row r="3240" spans="1:51" hidden="1">
      <c r="A3240">
        <v>101077</v>
      </c>
      <c r="B3240" t="s">
        <v>538</v>
      </c>
      <c r="C3240" t="str">
        <f t="shared" si="278"/>
        <v>01396940627</v>
      </c>
      <c r="D3240" t="str">
        <f t="shared" si="278"/>
        <v>01396940627</v>
      </c>
      <c r="E3240" t="s">
        <v>52</v>
      </c>
      <c r="F3240">
        <v>2014</v>
      </c>
      <c r="G3240">
        <v>52</v>
      </c>
      <c r="H3240" s="1">
        <v>41912</v>
      </c>
      <c r="I3240" s="1">
        <v>42166</v>
      </c>
      <c r="J3240" s="1">
        <v>42166</v>
      </c>
      <c r="K3240" s="1">
        <v>42226</v>
      </c>
      <c r="N3240" s="5"/>
      <c r="O3240" s="2">
        <v>9760</v>
      </c>
      <c r="P3240">
        <v>-40</v>
      </c>
      <c r="Q3240" s="2">
        <v>-390400</v>
      </c>
      <c r="R3240">
        <v>0</v>
      </c>
      <c r="V3240">
        <v>0</v>
      </c>
      <c r="W3240">
        <v>0</v>
      </c>
      <c r="X3240">
        <v>0</v>
      </c>
      <c r="Y3240">
        <v>0</v>
      </c>
      <c r="Z3240" s="2">
        <v>9760</v>
      </c>
      <c r="AA3240">
        <v>0</v>
      </c>
      <c r="AB3240" s="1">
        <v>42382</v>
      </c>
      <c r="AC3240" t="s">
        <v>53</v>
      </c>
      <c r="AD3240" t="s">
        <v>53</v>
      </c>
      <c r="AK3240">
        <v>0</v>
      </c>
      <c r="AU3240" s="6">
        <v>42186</v>
      </c>
      <c r="AV3240" s="6">
        <v>42186</v>
      </c>
      <c r="AW3240" t="s">
        <v>54</v>
      </c>
      <c r="AX3240" t="str">
        <f t="shared" si="273"/>
        <v>FOR</v>
      </c>
      <c r="AY3240" t="s">
        <v>55</v>
      </c>
    </row>
    <row r="3241" spans="1:51" hidden="1">
      <c r="A3241">
        <v>101077</v>
      </c>
      <c r="B3241" t="s">
        <v>538</v>
      </c>
      <c r="C3241" t="str">
        <f t="shared" si="278"/>
        <v>01396940627</v>
      </c>
      <c r="D3241" t="str">
        <f t="shared" si="278"/>
        <v>01396940627</v>
      </c>
      <c r="E3241" t="s">
        <v>52</v>
      </c>
      <c r="F3241">
        <v>2014</v>
      </c>
      <c r="G3241">
        <v>57</v>
      </c>
      <c r="H3241" s="1">
        <v>41940</v>
      </c>
      <c r="I3241" s="1">
        <v>42166</v>
      </c>
      <c r="J3241" s="1">
        <v>42166</v>
      </c>
      <c r="K3241" s="1">
        <v>42226</v>
      </c>
      <c r="N3241" s="5"/>
      <c r="O3241" s="2">
        <v>9760</v>
      </c>
      <c r="P3241">
        <v>-40</v>
      </c>
      <c r="Q3241" s="2">
        <v>-390400</v>
      </c>
      <c r="R3241">
        <v>0</v>
      </c>
      <c r="V3241">
        <v>0</v>
      </c>
      <c r="W3241">
        <v>0</v>
      </c>
      <c r="X3241">
        <v>0</v>
      </c>
      <c r="Y3241">
        <v>0</v>
      </c>
      <c r="Z3241" s="2">
        <v>9760</v>
      </c>
      <c r="AA3241">
        <v>0</v>
      </c>
      <c r="AB3241" s="1">
        <v>42382</v>
      </c>
      <c r="AC3241" t="s">
        <v>53</v>
      </c>
      <c r="AD3241" t="s">
        <v>53</v>
      </c>
      <c r="AK3241">
        <v>0</v>
      </c>
      <c r="AU3241" s="6">
        <v>42186</v>
      </c>
      <c r="AV3241" s="6">
        <v>42186</v>
      </c>
      <c r="AW3241" t="s">
        <v>54</v>
      </c>
      <c r="AX3241" t="str">
        <f t="shared" si="273"/>
        <v>FOR</v>
      </c>
      <c r="AY3241" t="s">
        <v>55</v>
      </c>
    </row>
    <row r="3242" spans="1:51" hidden="1">
      <c r="A3242">
        <v>101077</v>
      </c>
      <c r="B3242" t="s">
        <v>538</v>
      </c>
      <c r="C3242" t="str">
        <f t="shared" si="278"/>
        <v>01396940627</v>
      </c>
      <c r="D3242" t="str">
        <f t="shared" si="278"/>
        <v>01396940627</v>
      </c>
      <c r="E3242" t="s">
        <v>52</v>
      </c>
      <c r="F3242">
        <v>2014</v>
      </c>
      <c r="G3242">
        <v>61</v>
      </c>
      <c r="H3242" s="1">
        <v>41963</v>
      </c>
      <c r="I3242" s="1">
        <v>41974</v>
      </c>
      <c r="J3242" s="1">
        <v>41974</v>
      </c>
      <c r="K3242" s="1">
        <v>42034</v>
      </c>
      <c r="N3242" s="5"/>
      <c r="O3242" s="2">
        <v>3904</v>
      </c>
      <c r="P3242">
        <v>152</v>
      </c>
      <c r="Q3242" s="2">
        <v>593408</v>
      </c>
      <c r="R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 s="1">
        <v>42382</v>
      </c>
      <c r="AC3242" t="s">
        <v>53</v>
      </c>
      <c r="AD3242" t="s">
        <v>53</v>
      </c>
      <c r="AK3242">
        <v>0</v>
      </c>
      <c r="AU3242" s="6">
        <v>42186</v>
      </c>
      <c r="AV3242" s="6">
        <v>42186</v>
      </c>
      <c r="AW3242" t="s">
        <v>54</v>
      </c>
      <c r="AX3242" t="str">
        <f t="shared" si="273"/>
        <v>FOR</v>
      </c>
      <c r="AY3242" t="s">
        <v>55</v>
      </c>
    </row>
    <row r="3243" spans="1:51" hidden="1">
      <c r="A3243">
        <v>101077</v>
      </c>
      <c r="B3243" t="s">
        <v>538</v>
      </c>
      <c r="C3243" t="str">
        <f t="shared" si="278"/>
        <v>01396940627</v>
      </c>
      <c r="D3243" t="str">
        <f t="shared" si="278"/>
        <v>01396940627</v>
      </c>
      <c r="E3243" t="s">
        <v>52</v>
      </c>
      <c r="F3243">
        <v>2014</v>
      </c>
      <c r="G3243">
        <v>62</v>
      </c>
      <c r="H3243" s="1">
        <v>41969</v>
      </c>
      <c r="I3243" s="1">
        <v>42166</v>
      </c>
      <c r="J3243" s="1">
        <v>42166</v>
      </c>
      <c r="K3243" s="1">
        <v>42226</v>
      </c>
      <c r="N3243" s="5"/>
      <c r="O3243" s="2">
        <v>9760</v>
      </c>
      <c r="P3243">
        <v>-40</v>
      </c>
      <c r="Q3243" s="2">
        <v>-390400</v>
      </c>
      <c r="R3243">
        <v>0</v>
      </c>
      <c r="V3243">
        <v>0</v>
      </c>
      <c r="W3243">
        <v>0</v>
      </c>
      <c r="X3243">
        <v>0</v>
      </c>
      <c r="Y3243">
        <v>0</v>
      </c>
      <c r="Z3243" s="2">
        <v>9760</v>
      </c>
      <c r="AA3243">
        <v>0</v>
      </c>
      <c r="AB3243" s="1">
        <v>42382</v>
      </c>
      <c r="AC3243" t="s">
        <v>53</v>
      </c>
      <c r="AD3243" t="s">
        <v>53</v>
      </c>
      <c r="AK3243">
        <v>0</v>
      </c>
      <c r="AU3243" s="6">
        <v>42186</v>
      </c>
      <c r="AV3243" s="6">
        <v>42186</v>
      </c>
      <c r="AW3243" t="s">
        <v>54</v>
      </c>
      <c r="AX3243" t="str">
        <f t="shared" si="273"/>
        <v>FOR</v>
      </c>
      <c r="AY3243" t="s">
        <v>55</v>
      </c>
    </row>
    <row r="3244" spans="1:51" hidden="1">
      <c r="A3244">
        <v>101077</v>
      </c>
      <c r="B3244" t="s">
        <v>538</v>
      </c>
      <c r="C3244" t="str">
        <f t="shared" si="278"/>
        <v>01396940627</v>
      </c>
      <c r="D3244" t="str">
        <f t="shared" si="278"/>
        <v>01396940627</v>
      </c>
      <c r="E3244" t="s">
        <v>52</v>
      </c>
      <c r="F3244">
        <v>2014</v>
      </c>
      <c r="G3244">
        <v>70</v>
      </c>
      <c r="H3244" s="1">
        <v>42004</v>
      </c>
      <c r="I3244" s="1">
        <v>42166</v>
      </c>
      <c r="J3244" s="1">
        <v>42166</v>
      </c>
      <c r="K3244" s="1">
        <v>42226</v>
      </c>
      <c r="N3244" s="5"/>
      <c r="O3244" s="2">
        <v>9760</v>
      </c>
      <c r="P3244">
        <v>-40</v>
      </c>
      <c r="Q3244" s="2">
        <v>-390400</v>
      </c>
      <c r="R3244">
        <v>0</v>
      </c>
      <c r="V3244">
        <v>0</v>
      </c>
      <c r="W3244">
        <v>0</v>
      </c>
      <c r="X3244">
        <v>0</v>
      </c>
      <c r="Y3244">
        <v>0</v>
      </c>
      <c r="Z3244" s="2">
        <v>9760</v>
      </c>
      <c r="AA3244">
        <v>0</v>
      </c>
      <c r="AB3244" s="1">
        <v>42382</v>
      </c>
      <c r="AC3244" t="s">
        <v>53</v>
      </c>
      <c r="AD3244" t="s">
        <v>53</v>
      </c>
      <c r="AK3244">
        <v>0</v>
      </c>
      <c r="AU3244" s="6">
        <v>42186</v>
      </c>
      <c r="AV3244" s="6">
        <v>42186</v>
      </c>
      <c r="AW3244" t="s">
        <v>54</v>
      </c>
      <c r="AX3244" t="str">
        <f t="shared" si="273"/>
        <v>FOR</v>
      </c>
      <c r="AY3244" t="s">
        <v>55</v>
      </c>
    </row>
    <row r="3245" spans="1:51" hidden="1">
      <c r="A3245">
        <v>101091</v>
      </c>
      <c r="B3245" t="s">
        <v>539</v>
      </c>
      <c r="C3245" t="str">
        <f>"05155791212"</f>
        <v>05155791212</v>
      </c>
      <c r="D3245" t="str">
        <f>""</f>
        <v/>
      </c>
      <c r="E3245" t="s">
        <v>52</v>
      </c>
      <c r="F3245">
        <v>2014</v>
      </c>
      <c r="G3245">
        <v>185</v>
      </c>
      <c r="H3245" s="1">
        <v>41912</v>
      </c>
      <c r="I3245" s="1">
        <v>42135</v>
      </c>
      <c r="J3245" s="1">
        <v>42135</v>
      </c>
      <c r="K3245" s="1">
        <v>42195</v>
      </c>
      <c r="N3245" s="5"/>
      <c r="O3245" s="2">
        <v>4682.97</v>
      </c>
      <c r="P3245">
        <v>-59</v>
      </c>
      <c r="Q3245" s="2">
        <v>-276295.23</v>
      </c>
      <c r="R3245">
        <v>0</v>
      </c>
      <c r="V3245">
        <v>0</v>
      </c>
      <c r="W3245">
        <v>0</v>
      </c>
      <c r="X3245">
        <v>0</v>
      </c>
      <c r="Y3245" s="2">
        <v>4682.97</v>
      </c>
      <c r="Z3245" s="2">
        <v>4682.97</v>
      </c>
      <c r="AA3245">
        <v>0</v>
      </c>
      <c r="AB3245" s="1">
        <v>42382</v>
      </c>
      <c r="AC3245" t="s">
        <v>53</v>
      </c>
      <c r="AD3245" t="s">
        <v>53</v>
      </c>
      <c r="AK3245">
        <v>0</v>
      </c>
      <c r="AU3245" s="6">
        <v>42136</v>
      </c>
      <c r="AV3245" s="6">
        <v>42136</v>
      </c>
      <c r="AW3245" t="s">
        <v>54</v>
      </c>
      <c r="AX3245" t="str">
        <f t="shared" si="273"/>
        <v>FOR</v>
      </c>
      <c r="AY3245" t="s">
        <v>55</v>
      </c>
    </row>
    <row r="3246" spans="1:51" hidden="1">
      <c r="A3246">
        <v>101092</v>
      </c>
      <c r="B3246" t="s">
        <v>540</v>
      </c>
      <c r="C3246" t="str">
        <f t="shared" ref="C3246:D3255" si="279">"09577370019"</f>
        <v>09577370019</v>
      </c>
      <c r="D3246" t="str">
        <f t="shared" si="279"/>
        <v>09577370019</v>
      </c>
      <c r="E3246" t="s">
        <v>52</v>
      </c>
      <c r="F3246">
        <v>2014</v>
      </c>
      <c r="G3246">
        <v>1679</v>
      </c>
      <c r="H3246" s="1">
        <v>41724</v>
      </c>
      <c r="I3246" s="1">
        <v>41765</v>
      </c>
      <c r="J3246" s="1">
        <v>41765</v>
      </c>
      <c r="K3246" s="1">
        <v>41855</v>
      </c>
      <c r="N3246" s="5"/>
      <c r="O3246">
        <v>126.5</v>
      </c>
      <c r="P3246">
        <v>275</v>
      </c>
      <c r="Q3246" s="2">
        <v>34787.5</v>
      </c>
      <c r="R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 s="1">
        <v>42382</v>
      </c>
      <c r="AC3246" t="s">
        <v>53</v>
      </c>
      <c r="AD3246" t="s">
        <v>53</v>
      </c>
      <c r="AK3246">
        <v>0</v>
      </c>
      <c r="AU3246" s="6">
        <v>42130</v>
      </c>
      <c r="AV3246" s="6">
        <v>42130</v>
      </c>
      <c r="AW3246" t="s">
        <v>54</v>
      </c>
      <c r="AX3246" t="str">
        <f t="shared" si="273"/>
        <v>FOR</v>
      </c>
      <c r="AY3246" t="s">
        <v>55</v>
      </c>
    </row>
    <row r="3247" spans="1:51" hidden="1">
      <c r="A3247">
        <v>101092</v>
      </c>
      <c r="B3247" t="s">
        <v>540</v>
      </c>
      <c r="C3247" t="str">
        <f t="shared" si="279"/>
        <v>09577370019</v>
      </c>
      <c r="D3247" t="str">
        <f t="shared" si="279"/>
        <v>09577370019</v>
      </c>
      <c r="E3247" t="s">
        <v>52</v>
      </c>
      <c r="F3247">
        <v>2014</v>
      </c>
      <c r="G3247">
        <v>3798</v>
      </c>
      <c r="H3247" s="1">
        <v>41858</v>
      </c>
      <c r="I3247" s="1">
        <v>41932</v>
      </c>
      <c r="J3247" s="1">
        <v>41932</v>
      </c>
      <c r="K3247" s="1">
        <v>41992</v>
      </c>
      <c r="N3247" s="5"/>
      <c r="O3247" s="2">
        <v>4240.5</v>
      </c>
      <c r="P3247">
        <v>138</v>
      </c>
      <c r="Q3247" s="2">
        <v>585189</v>
      </c>
      <c r="R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 s="1">
        <v>42382</v>
      </c>
      <c r="AC3247" t="s">
        <v>53</v>
      </c>
      <c r="AD3247" t="s">
        <v>53</v>
      </c>
      <c r="AK3247">
        <v>0</v>
      </c>
      <c r="AU3247" s="6">
        <v>42130</v>
      </c>
      <c r="AV3247" s="6">
        <v>42130</v>
      </c>
      <c r="AW3247" t="s">
        <v>54</v>
      </c>
      <c r="AX3247" t="str">
        <f t="shared" si="273"/>
        <v>FOR</v>
      </c>
      <c r="AY3247" t="s">
        <v>55</v>
      </c>
    </row>
    <row r="3248" spans="1:51" hidden="1">
      <c r="A3248">
        <v>101092</v>
      </c>
      <c r="B3248" t="s">
        <v>540</v>
      </c>
      <c r="C3248" t="str">
        <f t="shared" si="279"/>
        <v>09577370019</v>
      </c>
      <c r="D3248" t="str">
        <f t="shared" si="279"/>
        <v>09577370019</v>
      </c>
      <c r="E3248" t="s">
        <v>52</v>
      </c>
      <c r="F3248">
        <v>2014</v>
      </c>
      <c r="G3248" t="s">
        <v>541</v>
      </c>
      <c r="H3248" s="1">
        <v>41982</v>
      </c>
      <c r="I3248" s="1">
        <v>42045</v>
      </c>
      <c r="J3248" s="1">
        <v>42045</v>
      </c>
      <c r="K3248" s="1">
        <v>42105</v>
      </c>
      <c r="N3248" s="5"/>
      <c r="O3248">
        <v>119.9</v>
      </c>
      <c r="P3248">
        <v>18</v>
      </c>
      <c r="Q3248" s="2">
        <v>2158.1999999999998</v>
      </c>
      <c r="R3248">
        <v>0</v>
      </c>
      <c r="V3248">
        <v>0</v>
      </c>
      <c r="W3248">
        <v>0</v>
      </c>
      <c r="X3248">
        <v>0</v>
      </c>
      <c r="Y3248">
        <v>0</v>
      </c>
      <c r="Z3248">
        <v>119.9</v>
      </c>
      <c r="AA3248">
        <v>0</v>
      </c>
      <c r="AB3248" s="1">
        <v>42382</v>
      </c>
      <c r="AC3248" t="s">
        <v>53</v>
      </c>
      <c r="AD3248" t="s">
        <v>53</v>
      </c>
      <c r="AK3248">
        <v>0</v>
      </c>
      <c r="AU3248" s="6">
        <v>42123</v>
      </c>
      <c r="AV3248" s="6">
        <v>42123</v>
      </c>
      <c r="AW3248" t="s">
        <v>54</v>
      </c>
      <c r="AX3248" t="str">
        <f t="shared" si="273"/>
        <v>FOR</v>
      </c>
      <c r="AY3248" t="s">
        <v>55</v>
      </c>
    </row>
    <row r="3249" spans="1:51" hidden="1">
      <c r="A3249">
        <v>101092</v>
      </c>
      <c r="B3249" t="s">
        <v>540</v>
      </c>
      <c r="C3249" t="str">
        <f t="shared" si="279"/>
        <v>09577370019</v>
      </c>
      <c r="D3249" t="str">
        <f t="shared" si="279"/>
        <v>09577370019</v>
      </c>
      <c r="E3249" t="s">
        <v>52</v>
      </c>
      <c r="F3249">
        <v>2015</v>
      </c>
      <c r="G3249">
        <v>521</v>
      </c>
      <c r="H3249" s="1">
        <v>42045</v>
      </c>
      <c r="I3249" s="1">
        <v>42074</v>
      </c>
      <c r="J3249" s="1">
        <v>42074</v>
      </c>
      <c r="K3249" s="1">
        <v>42134</v>
      </c>
      <c r="N3249" s="5"/>
      <c r="O3249" s="2">
        <v>1175</v>
      </c>
      <c r="P3249">
        <v>57</v>
      </c>
      <c r="Q3249" s="2">
        <v>66975</v>
      </c>
      <c r="R3249">
        <v>0</v>
      </c>
      <c r="V3249">
        <v>0</v>
      </c>
      <c r="W3249">
        <v>0</v>
      </c>
      <c r="X3249">
        <v>0</v>
      </c>
      <c r="Y3249" s="2">
        <v>1292.5</v>
      </c>
      <c r="Z3249" s="2">
        <v>1292.5</v>
      </c>
      <c r="AA3249" s="2">
        <v>1292.5</v>
      </c>
      <c r="AB3249" s="1">
        <v>42382</v>
      </c>
      <c r="AC3249" t="s">
        <v>53</v>
      </c>
      <c r="AD3249" t="s">
        <v>53</v>
      </c>
      <c r="AK3249">
        <v>0</v>
      </c>
      <c r="AU3249" s="6">
        <v>42191</v>
      </c>
      <c r="AV3249" s="6">
        <v>42191</v>
      </c>
      <c r="AW3249" t="s">
        <v>54</v>
      </c>
      <c r="AX3249" t="str">
        <f t="shared" si="273"/>
        <v>FOR</v>
      </c>
      <c r="AY3249" t="s">
        <v>55</v>
      </c>
    </row>
    <row r="3250" spans="1:51" hidden="1">
      <c r="A3250">
        <v>101092</v>
      </c>
      <c r="B3250" t="s">
        <v>540</v>
      </c>
      <c r="C3250" t="str">
        <f t="shared" si="279"/>
        <v>09577370019</v>
      </c>
      <c r="D3250" t="str">
        <f t="shared" si="279"/>
        <v>09577370019</v>
      </c>
      <c r="E3250" t="s">
        <v>52</v>
      </c>
      <c r="F3250">
        <v>2015</v>
      </c>
      <c r="G3250">
        <v>571</v>
      </c>
      <c r="H3250" s="1">
        <v>42048</v>
      </c>
      <c r="I3250" s="1">
        <v>42067</v>
      </c>
      <c r="J3250" s="1">
        <v>42067</v>
      </c>
      <c r="K3250" s="1">
        <v>42127</v>
      </c>
      <c r="N3250" s="5"/>
      <c r="O3250">
        <v>375</v>
      </c>
      <c r="P3250">
        <v>64</v>
      </c>
      <c r="Q3250" s="2">
        <v>24000</v>
      </c>
      <c r="R3250">
        <v>0</v>
      </c>
      <c r="V3250">
        <v>0</v>
      </c>
      <c r="W3250">
        <v>0</v>
      </c>
      <c r="X3250">
        <v>0</v>
      </c>
      <c r="Y3250">
        <v>412.5</v>
      </c>
      <c r="Z3250">
        <v>412.5</v>
      </c>
      <c r="AA3250">
        <v>412.5</v>
      </c>
      <c r="AB3250" s="1">
        <v>42382</v>
      </c>
      <c r="AC3250" t="s">
        <v>53</v>
      </c>
      <c r="AD3250" t="s">
        <v>53</v>
      </c>
      <c r="AK3250">
        <v>0</v>
      </c>
      <c r="AU3250" s="6">
        <v>42191</v>
      </c>
      <c r="AV3250" s="6">
        <v>42191</v>
      </c>
      <c r="AW3250" t="s">
        <v>54</v>
      </c>
      <c r="AX3250" t="str">
        <f t="shared" si="273"/>
        <v>FOR</v>
      </c>
      <c r="AY3250" t="s">
        <v>55</v>
      </c>
    </row>
    <row r="3251" spans="1:51" hidden="1">
      <c r="A3251">
        <v>101092</v>
      </c>
      <c r="B3251" t="s">
        <v>540</v>
      </c>
      <c r="C3251" t="str">
        <f t="shared" si="279"/>
        <v>09577370019</v>
      </c>
      <c r="D3251" t="str">
        <f t="shared" si="279"/>
        <v>09577370019</v>
      </c>
      <c r="E3251" t="s">
        <v>52</v>
      </c>
      <c r="F3251">
        <v>2015</v>
      </c>
      <c r="G3251" t="s">
        <v>542</v>
      </c>
      <c r="H3251" s="1">
        <v>42012</v>
      </c>
      <c r="I3251" s="1">
        <v>42045</v>
      </c>
      <c r="J3251" s="1">
        <v>42045</v>
      </c>
      <c r="K3251" s="1">
        <v>42105</v>
      </c>
      <c r="N3251" s="5"/>
      <c r="O3251">
        <v>109</v>
      </c>
      <c r="P3251">
        <v>18</v>
      </c>
      <c r="Q3251" s="2">
        <v>1962</v>
      </c>
      <c r="R3251">
        <v>10.9</v>
      </c>
      <c r="V3251">
        <v>0</v>
      </c>
      <c r="W3251">
        <v>0</v>
      </c>
      <c r="X3251">
        <v>0</v>
      </c>
      <c r="Y3251">
        <v>119.9</v>
      </c>
      <c r="Z3251">
        <v>119.9</v>
      </c>
      <c r="AA3251">
        <v>119.9</v>
      </c>
      <c r="AB3251" s="1">
        <v>42382</v>
      </c>
      <c r="AC3251" t="s">
        <v>53</v>
      </c>
      <c r="AD3251" t="s">
        <v>53</v>
      </c>
      <c r="AK3251">
        <v>10.9</v>
      </c>
      <c r="AU3251" s="6">
        <v>42123</v>
      </c>
      <c r="AV3251" s="6">
        <v>42123</v>
      </c>
      <c r="AW3251" t="s">
        <v>54</v>
      </c>
      <c r="AX3251" t="str">
        <f t="shared" si="273"/>
        <v>FOR</v>
      </c>
      <c r="AY3251" t="s">
        <v>55</v>
      </c>
    </row>
    <row r="3252" spans="1:51">
      <c r="A3252">
        <v>101092</v>
      </c>
      <c r="B3252" t="s">
        <v>540</v>
      </c>
      <c r="C3252" t="str">
        <f t="shared" si="279"/>
        <v>09577370019</v>
      </c>
      <c r="D3252" t="str">
        <f t="shared" si="279"/>
        <v>09577370019</v>
      </c>
      <c r="E3252" t="s">
        <v>52</v>
      </c>
      <c r="F3252">
        <v>2015</v>
      </c>
      <c r="G3252">
        <v>1588</v>
      </c>
      <c r="H3252" s="1">
        <v>42166</v>
      </c>
      <c r="I3252" s="1">
        <v>42172</v>
      </c>
      <c r="J3252" s="1">
        <v>42171</v>
      </c>
      <c r="K3252" s="1">
        <v>42231</v>
      </c>
      <c r="L3252" s="7">
        <v>2680</v>
      </c>
      <c r="M3252" s="5">
        <v>68</v>
      </c>
      <c r="N3252" s="7">
        <v>182240</v>
      </c>
      <c r="O3252" s="2">
        <v>2680</v>
      </c>
      <c r="P3252">
        <v>68</v>
      </c>
      <c r="Q3252" s="2">
        <v>182240</v>
      </c>
      <c r="R3252">
        <v>0</v>
      </c>
      <c r="V3252">
        <v>0</v>
      </c>
      <c r="W3252">
        <v>0</v>
      </c>
      <c r="X3252">
        <v>0</v>
      </c>
      <c r="Y3252" s="2">
        <v>2948</v>
      </c>
      <c r="Z3252" s="2">
        <v>2948</v>
      </c>
      <c r="AA3252" s="2">
        <v>2948</v>
      </c>
      <c r="AB3252" s="1">
        <v>42382</v>
      </c>
      <c r="AC3252" t="s">
        <v>53</v>
      </c>
      <c r="AD3252" t="s">
        <v>53</v>
      </c>
      <c r="AK3252">
        <v>0</v>
      </c>
      <c r="AU3252" s="6">
        <v>42299</v>
      </c>
      <c r="AV3252" s="6">
        <v>42299</v>
      </c>
      <c r="AW3252" t="s">
        <v>54</v>
      </c>
      <c r="AX3252" t="str">
        <f t="shared" si="273"/>
        <v>FOR</v>
      </c>
      <c r="AY3252" t="s">
        <v>55</v>
      </c>
    </row>
    <row r="3253" spans="1:51">
      <c r="A3253">
        <v>101092</v>
      </c>
      <c r="B3253" t="s">
        <v>540</v>
      </c>
      <c r="C3253" t="str">
        <f t="shared" si="279"/>
        <v>09577370019</v>
      </c>
      <c r="D3253" t="str">
        <f t="shared" si="279"/>
        <v>09577370019</v>
      </c>
      <c r="E3253" t="s">
        <v>52</v>
      </c>
      <c r="F3253">
        <v>2015</v>
      </c>
      <c r="G3253">
        <v>1590</v>
      </c>
      <c r="H3253" s="1">
        <v>42166</v>
      </c>
      <c r="I3253" s="1">
        <v>42181</v>
      </c>
      <c r="J3253" s="1">
        <v>42171</v>
      </c>
      <c r="K3253" s="1">
        <v>42231</v>
      </c>
      <c r="L3253" s="7">
        <v>15</v>
      </c>
      <c r="M3253" s="5">
        <v>53</v>
      </c>
      <c r="N3253" s="7">
        <v>795</v>
      </c>
      <c r="O3253">
        <v>15</v>
      </c>
      <c r="P3253">
        <v>53</v>
      </c>
      <c r="Q3253">
        <v>795</v>
      </c>
      <c r="R3253">
        <v>1.5</v>
      </c>
      <c r="V3253">
        <v>0</v>
      </c>
      <c r="W3253">
        <v>0</v>
      </c>
      <c r="X3253">
        <v>0</v>
      </c>
      <c r="Y3253">
        <v>16.5</v>
      </c>
      <c r="Z3253">
        <v>16.5</v>
      </c>
      <c r="AA3253">
        <v>16.5</v>
      </c>
      <c r="AB3253" s="1">
        <v>42382</v>
      </c>
      <c r="AC3253" t="s">
        <v>53</v>
      </c>
      <c r="AD3253" t="s">
        <v>53</v>
      </c>
      <c r="AI3253">
        <v>1.5</v>
      </c>
      <c r="AK3253">
        <v>0</v>
      </c>
      <c r="AU3253" s="6">
        <v>42284</v>
      </c>
      <c r="AV3253" s="6">
        <v>42284</v>
      </c>
      <c r="AW3253" t="s">
        <v>54</v>
      </c>
      <c r="AX3253" t="str">
        <f t="shared" si="273"/>
        <v>FOR</v>
      </c>
      <c r="AY3253" t="s">
        <v>55</v>
      </c>
    </row>
    <row r="3254" spans="1:51">
      <c r="A3254">
        <v>101092</v>
      </c>
      <c r="B3254" t="s">
        <v>540</v>
      </c>
      <c r="C3254" t="str">
        <f t="shared" si="279"/>
        <v>09577370019</v>
      </c>
      <c r="D3254" t="str">
        <f t="shared" si="279"/>
        <v>09577370019</v>
      </c>
      <c r="E3254" t="s">
        <v>52</v>
      </c>
      <c r="F3254">
        <v>2015</v>
      </c>
      <c r="G3254">
        <v>1661</v>
      </c>
      <c r="H3254" s="1">
        <v>42172</v>
      </c>
      <c r="I3254" s="1">
        <v>42178</v>
      </c>
      <c r="J3254" s="1">
        <v>42177</v>
      </c>
      <c r="K3254" s="1">
        <v>42237</v>
      </c>
      <c r="L3254" s="7">
        <v>3800</v>
      </c>
      <c r="M3254" s="5">
        <v>62</v>
      </c>
      <c r="N3254" s="7">
        <v>235600</v>
      </c>
      <c r="O3254" s="2">
        <v>3800</v>
      </c>
      <c r="P3254">
        <v>62</v>
      </c>
      <c r="Q3254" s="2">
        <v>235600</v>
      </c>
      <c r="R3254">
        <v>0</v>
      </c>
      <c r="V3254">
        <v>0</v>
      </c>
      <c r="W3254">
        <v>0</v>
      </c>
      <c r="X3254">
        <v>0</v>
      </c>
      <c r="Y3254" s="2">
        <v>4180</v>
      </c>
      <c r="Z3254" s="2">
        <v>4180</v>
      </c>
      <c r="AA3254" s="2">
        <v>4180</v>
      </c>
      <c r="AB3254" s="1">
        <v>42382</v>
      </c>
      <c r="AC3254" t="s">
        <v>53</v>
      </c>
      <c r="AD3254" t="s">
        <v>53</v>
      </c>
      <c r="AK3254">
        <v>0</v>
      </c>
      <c r="AU3254" s="6">
        <v>42299</v>
      </c>
      <c r="AV3254" s="6">
        <v>42299</v>
      </c>
      <c r="AW3254" t="s">
        <v>54</v>
      </c>
      <c r="AX3254" t="str">
        <f t="shared" si="273"/>
        <v>FOR</v>
      </c>
      <c r="AY3254" t="s">
        <v>55</v>
      </c>
    </row>
    <row r="3255" spans="1:51">
      <c r="A3255">
        <v>101092</v>
      </c>
      <c r="B3255" t="s">
        <v>540</v>
      </c>
      <c r="C3255" t="str">
        <f t="shared" si="279"/>
        <v>09577370019</v>
      </c>
      <c r="D3255" t="str">
        <f t="shared" si="279"/>
        <v>09577370019</v>
      </c>
      <c r="E3255" t="s">
        <v>52</v>
      </c>
      <c r="F3255">
        <v>2015</v>
      </c>
      <c r="G3255">
        <v>1669</v>
      </c>
      <c r="H3255" s="1">
        <v>42172</v>
      </c>
      <c r="I3255" s="1">
        <v>42181</v>
      </c>
      <c r="J3255" s="1">
        <v>42178</v>
      </c>
      <c r="K3255" s="1">
        <v>42238</v>
      </c>
      <c r="L3255" s="7">
        <v>1840</v>
      </c>
      <c r="M3255" s="5">
        <v>61</v>
      </c>
      <c r="N3255" s="7">
        <v>112240</v>
      </c>
      <c r="O3255" s="2">
        <v>1840</v>
      </c>
      <c r="P3255">
        <v>61</v>
      </c>
      <c r="Q3255" s="2">
        <v>112240</v>
      </c>
      <c r="R3255">
        <v>0</v>
      </c>
      <c r="V3255">
        <v>0</v>
      </c>
      <c r="W3255">
        <v>0</v>
      </c>
      <c r="X3255">
        <v>0</v>
      </c>
      <c r="Y3255" s="2">
        <v>2024</v>
      </c>
      <c r="Z3255" s="2">
        <v>2024</v>
      </c>
      <c r="AA3255" s="2">
        <v>2024</v>
      </c>
      <c r="AB3255" s="1">
        <v>42382</v>
      </c>
      <c r="AC3255" t="s">
        <v>53</v>
      </c>
      <c r="AD3255" t="s">
        <v>53</v>
      </c>
      <c r="AK3255">
        <v>0</v>
      </c>
      <c r="AU3255" s="6">
        <v>42299</v>
      </c>
      <c r="AV3255" s="6">
        <v>42299</v>
      </c>
      <c r="AW3255" t="s">
        <v>54</v>
      </c>
      <c r="AX3255" t="str">
        <f t="shared" si="273"/>
        <v>FOR</v>
      </c>
      <c r="AY3255" t="s">
        <v>55</v>
      </c>
    </row>
    <row r="3256" spans="1:51" hidden="1">
      <c r="A3256">
        <v>101095</v>
      </c>
      <c r="B3256" t="s">
        <v>543</v>
      </c>
      <c r="C3256" t="str">
        <f t="shared" ref="C3256:D3258" si="280">"02173550282"</f>
        <v>02173550282</v>
      </c>
      <c r="D3256" t="str">
        <f t="shared" si="280"/>
        <v>02173550282</v>
      </c>
      <c r="E3256" t="s">
        <v>52</v>
      </c>
      <c r="F3256">
        <v>2013</v>
      </c>
      <c r="G3256">
        <v>6835</v>
      </c>
      <c r="H3256" s="1">
        <v>41486</v>
      </c>
      <c r="I3256" s="1">
        <v>41941</v>
      </c>
      <c r="J3256" s="1">
        <v>41941</v>
      </c>
      <c r="K3256" s="1">
        <v>42001</v>
      </c>
      <c r="N3256" s="5"/>
      <c r="O3256">
        <v>580.79999999999995</v>
      </c>
      <c r="P3256">
        <v>17</v>
      </c>
      <c r="Q3256" s="2">
        <v>9873.6</v>
      </c>
      <c r="R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 s="1">
        <v>42382</v>
      </c>
      <c r="AC3256" t="s">
        <v>53</v>
      </c>
      <c r="AD3256" t="s">
        <v>53</v>
      </c>
      <c r="AK3256">
        <v>0</v>
      </c>
      <c r="AU3256" s="6">
        <v>42018</v>
      </c>
      <c r="AV3256" s="6">
        <v>42018</v>
      </c>
      <c r="AW3256" t="s">
        <v>54</v>
      </c>
      <c r="AX3256" t="str">
        <f t="shared" si="273"/>
        <v>FOR</v>
      </c>
      <c r="AY3256" t="s">
        <v>55</v>
      </c>
    </row>
    <row r="3257" spans="1:51" hidden="1">
      <c r="A3257">
        <v>101095</v>
      </c>
      <c r="B3257" t="s">
        <v>543</v>
      </c>
      <c r="C3257" t="str">
        <f t="shared" si="280"/>
        <v>02173550282</v>
      </c>
      <c r="D3257" t="str">
        <f t="shared" si="280"/>
        <v>02173550282</v>
      </c>
      <c r="E3257" t="s">
        <v>52</v>
      </c>
      <c r="F3257">
        <v>2014</v>
      </c>
      <c r="G3257">
        <v>2623</v>
      </c>
      <c r="H3257" s="1">
        <v>41716</v>
      </c>
      <c r="I3257" s="1">
        <v>41941</v>
      </c>
      <c r="J3257" s="1">
        <v>41941</v>
      </c>
      <c r="K3257" s="1">
        <v>42001</v>
      </c>
      <c r="N3257" s="5"/>
      <c r="O3257" s="2">
        <v>1171.2</v>
      </c>
      <c r="P3257">
        <v>158</v>
      </c>
      <c r="Q3257" s="2">
        <v>185049.60000000001</v>
      </c>
      <c r="R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 s="1">
        <v>42382</v>
      </c>
      <c r="AC3257" t="s">
        <v>53</v>
      </c>
      <c r="AD3257" t="s">
        <v>53</v>
      </c>
      <c r="AK3257">
        <v>0</v>
      </c>
      <c r="AU3257" s="6">
        <v>42159</v>
      </c>
      <c r="AV3257" s="6">
        <v>42159</v>
      </c>
      <c r="AW3257" t="s">
        <v>54</v>
      </c>
      <c r="AX3257" t="str">
        <f t="shared" si="273"/>
        <v>FOR</v>
      </c>
      <c r="AY3257" t="s">
        <v>55</v>
      </c>
    </row>
    <row r="3258" spans="1:51" hidden="1">
      <c r="A3258">
        <v>101095</v>
      </c>
      <c r="B3258" t="s">
        <v>543</v>
      </c>
      <c r="C3258" t="str">
        <f t="shared" si="280"/>
        <v>02173550282</v>
      </c>
      <c r="D3258" t="str">
        <f t="shared" si="280"/>
        <v>02173550282</v>
      </c>
      <c r="E3258" t="s">
        <v>52</v>
      </c>
      <c r="F3258">
        <v>2014</v>
      </c>
      <c r="G3258">
        <v>12111</v>
      </c>
      <c r="H3258" s="1">
        <v>41992</v>
      </c>
      <c r="I3258" s="1">
        <v>41996</v>
      </c>
      <c r="J3258" s="1">
        <v>41996</v>
      </c>
      <c r="K3258" s="1">
        <v>42056</v>
      </c>
      <c r="N3258" s="5"/>
      <c r="O3258" s="2">
        <v>1171.2</v>
      </c>
      <c r="P3258">
        <v>103</v>
      </c>
      <c r="Q3258" s="2">
        <v>120633.60000000001</v>
      </c>
      <c r="R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 s="1">
        <v>42382</v>
      </c>
      <c r="AC3258" t="s">
        <v>53</v>
      </c>
      <c r="AD3258" t="s">
        <v>53</v>
      </c>
      <c r="AK3258">
        <v>0</v>
      </c>
      <c r="AU3258" s="6">
        <v>42159</v>
      </c>
      <c r="AV3258" s="6">
        <v>42159</v>
      </c>
      <c r="AW3258" t="s">
        <v>54</v>
      </c>
      <c r="AX3258" t="str">
        <f t="shared" si="273"/>
        <v>FOR</v>
      </c>
      <c r="AY3258" t="s">
        <v>55</v>
      </c>
    </row>
    <row r="3259" spans="1:51" hidden="1">
      <c r="A3259">
        <v>101096</v>
      </c>
      <c r="B3259" t="s">
        <v>544</v>
      </c>
      <c r="C3259" t="str">
        <f t="shared" ref="C3259:D3265" si="281">"04832360632"</f>
        <v>04832360632</v>
      </c>
      <c r="D3259" t="str">
        <f t="shared" si="281"/>
        <v>04832360632</v>
      </c>
      <c r="E3259" t="s">
        <v>52</v>
      </c>
      <c r="F3259">
        <v>2014</v>
      </c>
      <c r="G3259">
        <v>99</v>
      </c>
      <c r="H3259" s="1">
        <v>41810</v>
      </c>
      <c r="I3259" s="1">
        <v>41810</v>
      </c>
      <c r="J3259" s="1">
        <v>41810</v>
      </c>
      <c r="K3259" s="1">
        <v>41900</v>
      </c>
      <c r="N3259" s="5"/>
      <c r="O3259" s="2">
        <v>5128.88</v>
      </c>
      <c r="P3259">
        <v>232</v>
      </c>
      <c r="Q3259" s="2">
        <v>1189900.1599999999</v>
      </c>
      <c r="R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 s="1">
        <v>42382</v>
      </c>
      <c r="AC3259" t="s">
        <v>53</v>
      </c>
      <c r="AD3259" t="s">
        <v>53</v>
      </c>
      <c r="AK3259">
        <v>0</v>
      </c>
      <c r="AU3259" s="6">
        <v>42132</v>
      </c>
      <c r="AV3259" s="6">
        <v>42132</v>
      </c>
      <c r="AW3259" t="s">
        <v>54</v>
      </c>
      <c r="AX3259" t="str">
        <f t="shared" si="273"/>
        <v>FOR</v>
      </c>
      <c r="AY3259" t="s">
        <v>55</v>
      </c>
    </row>
    <row r="3260" spans="1:51" hidden="1">
      <c r="A3260">
        <v>101096</v>
      </c>
      <c r="B3260" t="s">
        <v>544</v>
      </c>
      <c r="C3260" t="str">
        <f t="shared" si="281"/>
        <v>04832360632</v>
      </c>
      <c r="D3260" t="str">
        <f t="shared" si="281"/>
        <v>04832360632</v>
      </c>
      <c r="E3260" t="s">
        <v>52</v>
      </c>
      <c r="F3260">
        <v>2014</v>
      </c>
      <c r="G3260">
        <v>100</v>
      </c>
      <c r="H3260" s="1">
        <v>41810</v>
      </c>
      <c r="I3260" s="1">
        <v>41810</v>
      </c>
      <c r="J3260" s="1">
        <v>41810</v>
      </c>
      <c r="K3260" s="1">
        <v>41900</v>
      </c>
      <c r="N3260" s="5"/>
      <c r="O3260">
        <v>500.2</v>
      </c>
      <c r="P3260">
        <v>232</v>
      </c>
      <c r="Q3260" s="2">
        <v>116046.39999999999</v>
      </c>
      <c r="R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 s="1">
        <v>42382</v>
      </c>
      <c r="AC3260" t="s">
        <v>53</v>
      </c>
      <c r="AD3260" t="s">
        <v>53</v>
      </c>
      <c r="AK3260">
        <v>0</v>
      </c>
      <c r="AU3260" s="6">
        <v>42132</v>
      </c>
      <c r="AV3260" s="6">
        <v>42132</v>
      </c>
      <c r="AW3260" t="s">
        <v>54</v>
      </c>
      <c r="AX3260" t="str">
        <f t="shared" si="273"/>
        <v>FOR</v>
      </c>
      <c r="AY3260" t="s">
        <v>55</v>
      </c>
    </row>
    <row r="3261" spans="1:51" hidden="1">
      <c r="A3261">
        <v>101096</v>
      </c>
      <c r="B3261" t="s">
        <v>544</v>
      </c>
      <c r="C3261" t="str">
        <f t="shared" si="281"/>
        <v>04832360632</v>
      </c>
      <c r="D3261" t="str">
        <f t="shared" si="281"/>
        <v>04832360632</v>
      </c>
      <c r="E3261" t="s">
        <v>52</v>
      </c>
      <c r="F3261">
        <v>2014</v>
      </c>
      <c r="G3261">
        <v>123</v>
      </c>
      <c r="H3261" s="1">
        <v>41841</v>
      </c>
      <c r="I3261" s="1">
        <v>41844</v>
      </c>
      <c r="J3261" s="1">
        <v>41844</v>
      </c>
      <c r="K3261" s="1">
        <v>41934</v>
      </c>
      <c r="N3261" s="5"/>
      <c r="O3261" s="2">
        <v>3170.78</v>
      </c>
      <c r="P3261">
        <v>198</v>
      </c>
      <c r="Q3261" s="2">
        <v>627814.43999999994</v>
      </c>
      <c r="R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 s="1">
        <v>42382</v>
      </c>
      <c r="AC3261" t="s">
        <v>53</v>
      </c>
      <c r="AD3261" t="s">
        <v>53</v>
      </c>
      <c r="AK3261">
        <v>0</v>
      </c>
      <c r="AU3261" s="6">
        <v>42132</v>
      </c>
      <c r="AV3261" s="6">
        <v>42132</v>
      </c>
      <c r="AW3261" t="s">
        <v>54</v>
      </c>
      <c r="AX3261" t="str">
        <f t="shared" si="273"/>
        <v>FOR</v>
      </c>
      <c r="AY3261" t="s">
        <v>55</v>
      </c>
    </row>
    <row r="3262" spans="1:51" hidden="1">
      <c r="A3262">
        <v>101096</v>
      </c>
      <c r="B3262" t="s">
        <v>544</v>
      </c>
      <c r="C3262" t="str">
        <f t="shared" si="281"/>
        <v>04832360632</v>
      </c>
      <c r="D3262" t="str">
        <f t="shared" si="281"/>
        <v>04832360632</v>
      </c>
      <c r="E3262" t="s">
        <v>52</v>
      </c>
      <c r="F3262">
        <v>2014</v>
      </c>
      <c r="G3262">
        <v>153</v>
      </c>
      <c r="H3262" s="1">
        <v>41911</v>
      </c>
      <c r="I3262" s="1">
        <v>41913</v>
      </c>
      <c r="J3262" s="1">
        <v>41913</v>
      </c>
      <c r="K3262" s="1">
        <v>42003</v>
      </c>
      <c r="N3262" s="5"/>
      <c r="O3262" s="2">
        <v>4262.92</v>
      </c>
      <c r="P3262">
        <v>129</v>
      </c>
      <c r="Q3262" s="2">
        <v>549916.68000000005</v>
      </c>
      <c r="R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 s="1">
        <v>42382</v>
      </c>
      <c r="AC3262" t="s">
        <v>53</v>
      </c>
      <c r="AD3262" t="s">
        <v>53</v>
      </c>
      <c r="AK3262">
        <v>0</v>
      </c>
      <c r="AU3262" s="6">
        <v>42132</v>
      </c>
      <c r="AV3262" s="6">
        <v>42132</v>
      </c>
      <c r="AW3262" t="s">
        <v>54</v>
      </c>
      <c r="AX3262" t="str">
        <f t="shared" si="273"/>
        <v>FOR</v>
      </c>
      <c r="AY3262" t="s">
        <v>55</v>
      </c>
    </row>
    <row r="3263" spans="1:51">
      <c r="A3263">
        <v>101096</v>
      </c>
      <c r="B3263" t="s">
        <v>544</v>
      </c>
      <c r="C3263" t="str">
        <f t="shared" si="281"/>
        <v>04832360632</v>
      </c>
      <c r="D3263" t="str">
        <f t="shared" si="281"/>
        <v>04832360632</v>
      </c>
      <c r="E3263" t="s">
        <v>52</v>
      </c>
      <c r="F3263">
        <v>2015</v>
      </c>
      <c r="G3263">
        <v>28</v>
      </c>
      <c r="H3263" s="1">
        <v>42059</v>
      </c>
      <c r="I3263" s="1">
        <v>42066</v>
      </c>
      <c r="J3263" s="1">
        <v>42066</v>
      </c>
      <c r="K3263" s="1">
        <v>42126</v>
      </c>
      <c r="L3263" s="7">
        <v>1930</v>
      </c>
      <c r="M3263" s="5">
        <v>156</v>
      </c>
      <c r="N3263" s="7">
        <v>301080</v>
      </c>
      <c r="O3263" s="2">
        <v>1930</v>
      </c>
      <c r="P3263">
        <v>156</v>
      </c>
      <c r="Q3263" s="2">
        <v>301080</v>
      </c>
      <c r="R3263">
        <v>0</v>
      </c>
      <c r="V3263">
        <v>0</v>
      </c>
      <c r="W3263">
        <v>0</v>
      </c>
      <c r="X3263">
        <v>0</v>
      </c>
      <c r="Y3263" s="2">
        <v>2354.6</v>
      </c>
      <c r="Z3263" s="2">
        <v>2354.6</v>
      </c>
      <c r="AA3263" s="2">
        <v>2354.6</v>
      </c>
      <c r="AB3263" s="1">
        <v>42382</v>
      </c>
      <c r="AC3263" t="s">
        <v>53</v>
      </c>
      <c r="AD3263" t="s">
        <v>53</v>
      </c>
      <c r="AK3263">
        <v>0</v>
      </c>
      <c r="AU3263" s="6">
        <v>42282</v>
      </c>
      <c r="AV3263" s="6">
        <v>42282</v>
      </c>
      <c r="AW3263" t="s">
        <v>54</v>
      </c>
      <c r="AX3263" t="str">
        <f t="shared" si="273"/>
        <v>FOR</v>
      </c>
      <c r="AY3263" t="s">
        <v>55</v>
      </c>
    </row>
    <row r="3264" spans="1:51">
      <c r="A3264">
        <v>101096</v>
      </c>
      <c r="B3264" t="s">
        <v>544</v>
      </c>
      <c r="C3264" t="str">
        <f t="shared" si="281"/>
        <v>04832360632</v>
      </c>
      <c r="D3264" t="str">
        <f t="shared" si="281"/>
        <v>04832360632</v>
      </c>
      <c r="E3264" t="s">
        <v>52</v>
      </c>
      <c r="F3264">
        <v>2015</v>
      </c>
      <c r="G3264">
        <v>38</v>
      </c>
      <c r="H3264" s="1">
        <v>42074</v>
      </c>
      <c r="I3264" s="1">
        <v>42095</v>
      </c>
      <c r="J3264" s="1">
        <v>42095</v>
      </c>
      <c r="K3264" s="1">
        <v>42155</v>
      </c>
      <c r="L3264" s="7">
        <v>3976</v>
      </c>
      <c r="M3264" s="5">
        <v>127</v>
      </c>
      <c r="N3264" s="7">
        <v>504952</v>
      </c>
      <c r="O3264" s="2">
        <v>3976</v>
      </c>
      <c r="P3264">
        <v>127</v>
      </c>
      <c r="Q3264" s="2">
        <v>504952</v>
      </c>
      <c r="R3264">
        <v>0</v>
      </c>
      <c r="V3264">
        <v>0</v>
      </c>
      <c r="W3264">
        <v>0</v>
      </c>
      <c r="X3264">
        <v>0</v>
      </c>
      <c r="Y3264" s="2">
        <v>4850.72</v>
      </c>
      <c r="Z3264" s="2">
        <v>4850.72</v>
      </c>
      <c r="AA3264" s="2">
        <v>4850.72</v>
      </c>
      <c r="AB3264" s="1">
        <v>42382</v>
      </c>
      <c r="AC3264" t="s">
        <v>53</v>
      </c>
      <c r="AD3264" t="s">
        <v>53</v>
      </c>
      <c r="AK3264">
        <v>0</v>
      </c>
      <c r="AU3264" s="6">
        <v>42282</v>
      </c>
      <c r="AV3264" s="6">
        <v>42282</v>
      </c>
      <c r="AW3264" t="s">
        <v>54</v>
      </c>
      <c r="AX3264" t="str">
        <f t="shared" si="273"/>
        <v>FOR</v>
      </c>
      <c r="AY3264" t="s">
        <v>55</v>
      </c>
    </row>
    <row r="3265" spans="1:51">
      <c r="A3265">
        <v>101096</v>
      </c>
      <c r="B3265" t="s">
        <v>544</v>
      </c>
      <c r="C3265" t="str">
        <f t="shared" si="281"/>
        <v>04832360632</v>
      </c>
      <c r="D3265" t="str">
        <f t="shared" si="281"/>
        <v>04832360632</v>
      </c>
      <c r="E3265" t="s">
        <v>52</v>
      </c>
      <c r="F3265">
        <v>2015</v>
      </c>
      <c r="G3265" t="s">
        <v>545</v>
      </c>
      <c r="H3265" s="1">
        <v>42214</v>
      </c>
      <c r="I3265" s="1">
        <v>42262</v>
      </c>
      <c r="J3265" s="1">
        <v>42262</v>
      </c>
      <c r="K3265" s="1">
        <v>42322</v>
      </c>
      <c r="L3265" s="7">
        <v>4011.6</v>
      </c>
      <c r="M3265" s="5">
        <v>33</v>
      </c>
      <c r="N3265" s="7">
        <v>132382.79999999999</v>
      </c>
      <c r="O3265" s="2">
        <v>4011.6</v>
      </c>
      <c r="P3265">
        <v>33</v>
      </c>
      <c r="Q3265" s="2">
        <v>132382.79999999999</v>
      </c>
      <c r="R3265">
        <v>882.55</v>
      </c>
      <c r="V3265">
        <v>0</v>
      </c>
      <c r="W3265">
        <v>0</v>
      </c>
      <c r="X3265">
        <v>0</v>
      </c>
      <c r="Y3265" s="2">
        <v>4894.1499999999996</v>
      </c>
      <c r="Z3265" s="2">
        <v>4894.1499999999996</v>
      </c>
      <c r="AA3265" s="2">
        <v>4894.1499999999996</v>
      </c>
      <c r="AB3265" s="1">
        <v>42382</v>
      </c>
      <c r="AC3265" t="s">
        <v>53</v>
      </c>
      <c r="AD3265" t="s">
        <v>53</v>
      </c>
      <c r="AF3265">
        <v>882.55</v>
      </c>
      <c r="AK3265">
        <v>0</v>
      </c>
      <c r="AU3265" s="6">
        <v>42355</v>
      </c>
      <c r="AV3265" s="6">
        <v>42355</v>
      </c>
      <c r="AW3265" t="s">
        <v>54</v>
      </c>
      <c r="AX3265" t="str">
        <f t="shared" si="273"/>
        <v>FOR</v>
      </c>
      <c r="AY3265" t="s">
        <v>55</v>
      </c>
    </row>
    <row r="3266" spans="1:51" hidden="1">
      <c r="A3266">
        <v>101119</v>
      </c>
      <c r="B3266" t="s">
        <v>546</v>
      </c>
      <c r="C3266" t="str">
        <f t="shared" ref="C3266:C3272" si="282">"06399341210"</f>
        <v>06399341210</v>
      </c>
      <c r="D3266" t="str">
        <f t="shared" ref="D3266:D3272" si="283">"DLRMHL78P06L259V"</f>
        <v>DLRMHL78P06L259V</v>
      </c>
      <c r="E3266" t="s">
        <v>52</v>
      </c>
      <c r="F3266">
        <v>2015</v>
      </c>
      <c r="G3266">
        <v>1</v>
      </c>
      <c r="H3266" s="1">
        <v>42046</v>
      </c>
      <c r="I3266" s="1">
        <v>42047</v>
      </c>
      <c r="J3266" s="1">
        <v>42047</v>
      </c>
      <c r="K3266" s="1">
        <v>42107</v>
      </c>
      <c r="N3266" s="5"/>
      <c r="O3266" s="2">
        <v>2024.92</v>
      </c>
      <c r="P3266">
        <v>-45</v>
      </c>
      <c r="Q3266" s="2">
        <v>-91121.4</v>
      </c>
      <c r="R3266">
        <v>0</v>
      </c>
      <c r="V3266">
        <v>0</v>
      </c>
      <c r="W3266">
        <v>0</v>
      </c>
      <c r="X3266">
        <v>0</v>
      </c>
      <c r="Y3266">
        <v>-505.72</v>
      </c>
      <c r="Z3266" s="2">
        <v>2024.92</v>
      </c>
      <c r="AA3266" s="2">
        <v>2024.92</v>
      </c>
      <c r="AB3266" s="1">
        <v>42382</v>
      </c>
      <c r="AC3266" t="s">
        <v>53</v>
      </c>
      <c r="AD3266" t="s">
        <v>53</v>
      </c>
      <c r="AK3266">
        <v>0</v>
      </c>
      <c r="AU3266" s="6">
        <v>42062</v>
      </c>
      <c r="AV3266" s="6">
        <v>42062</v>
      </c>
      <c r="AW3266" t="s">
        <v>54</v>
      </c>
      <c r="AX3266" t="str">
        <f t="shared" si="273"/>
        <v>FOR</v>
      </c>
      <c r="AY3266" t="s">
        <v>55</v>
      </c>
    </row>
    <row r="3267" spans="1:51" hidden="1">
      <c r="A3267">
        <v>101119</v>
      </c>
      <c r="B3267" t="s">
        <v>546</v>
      </c>
      <c r="C3267" t="str">
        <f t="shared" si="282"/>
        <v>06399341210</v>
      </c>
      <c r="D3267" t="str">
        <f t="shared" si="283"/>
        <v>DLRMHL78P06L259V</v>
      </c>
      <c r="E3267" t="s">
        <v>52</v>
      </c>
      <c r="F3267">
        <v>2015</v>
      </c>
      <c r="G3267">
        <v>2</v>
      </c>
      <c r="H3267" s="1">
        <v>42046</v>
      </c>
      <c r="I3267" s="1">
        <v>42047</v>
      </c>
      <c r="J3267" s="1">
        <v>42047</v>
      </c>
      <c r="K3267" s="1">
        <v>42107</v>
      </c>
      <c r="N3267" s="5"/>
      <c r="O3267" s="2">
        <v>2109.1999999999998</v>
      </c>
      <c r="P3267">
        <v>-45</v>
      </c>
      <c r="Q3267" s="2">
        <v>-94914</v>
      </c>
      <c r="R3267">
        <v>0</v>
      </c>
      <c r="V3267">
        <v>0</v>
      </c>
      <c r="W3267">
        <v>0</v>
      </c>
      <c r="X3267">
        <v>0</v>
      </c>
      <c r="Y3267" s="2">
        <v>2109.1999999999998</v>
      </c>
      <c r="Z3267" s="2">
        <v>2109.1999999999998</v>
      </c>
      <c r="AA3267" s="2">
        <v>2109.1999999999998</v>
      </c>
      <c r="AB3267" s="1">
        <v>42382</v>
      </c>
      <c r="AC3267" t="s">
        <v>53</v>
      </c>
      <c r="AD3267" t="s">
        <v>53</v>
      </c>
      <c r="AK3267">
        <v>0</v>
      </c>
      <c r="AU3267" s="6">
        <v>42062</v>
      </c>
      <c r="AV3267" s="6">
        <v>42062</v>
      </c>
      <c r="AW3267" t="s">
        <v>54</v>
      </c>
      <c r="AX3267" t="str">
        <f t="shared" ref="AX3267:AX3330" si="284">"FOR"</f>
        <v>FOR</v>
      </c>
      <c r="AY3267" t="s">
        <v>55</v>
      </c>
    </row>
    <row r="3268" spans="1:51" hidden="1">
      <c r="A3268">
        <v>101119</v>
      </c>
      <c r="B3268" t="s">
        <v>546</v>
      </c>
      <c r="C3268" t="str">
        <f t="shared" si="282"/>
        <v>06399341210</v>
      </c>
      <c r="D3268" t="str">
        <f t="shared" si="283"/>
        <v>DLRMHL78P06L259V</v>
      </c>
      <c r="E3268" t="s">
        <v>52</v>
      </c>
      <c r="F3268">
        <v>2015</v>
      </c>
      <c r="G3268">
        <v>5</v>
      </c>
      <c r="H3268" s="1">
        <v>42093</v>
      </c>
      <c r="I3268" s="1">
        <v>42094</v>
      </c>
      <c r="J3268" s="1">
        <v>42094</v>
      </c>
      <c r="K3268" s="1">
        <v>42154</v>
      </c>
      <c r="N3268" s="5"/>
      <c r="O3268">
        <v>347.55</v>
      </c>
      <c r="P3268">
        <v>-59</v>
      </c>
      <c r="Q3268" s="2">
        <v>-20505.45</v>
      </c>
      <c r="R3268">
        <v>0</v>
      </c>
      <c r="V3268">
        <v>0</v>
      </c>
      <c r="W3268">
        <v>0</v>
      </c>
      <c r="X3268">
        <v>0</v>
      </c>
      <c r="Y3268">
        <v>347.55</v>
      </c>
      <c r="Z3268">
        <v>347.55</v>
      </c>
      <c r="AA3268">
        <v>347.55</v>
      </c>
      <c r="AB3268" s="1">
        <v>42382</v>
      </c>
      <c r="AC3268" t="s">
        <v>53</v>
      </c>
      <c r="AD3268" t="s">
        <v>53</v>
      </c>
      <c r="AK3268">
        <v>0</v>
      </c>
      <c r="AU3268" s="6">
        <v>42095</v>
      </c>
      <c r="AV3268" s="6">
        <v>42095</v>
      </c>
      <c r="AW3268" t="s">
        <v>54</v>
      </c>
      <c r="AX3268" t="str">
        <f t="shared" si="284"/>
        <v>FOR</v>
      </c>
      <c r="AY3268" t="s">
        <v>55</v>
      </c>
    </row>
    <row r="3269" spans="1:51" hidden="1">
      <c r="A3269">
        <v>101119</v>
      </c>
      <c r="B3269" t="s">
        <v>546</v>
      </c>
      <c r="C3269" t="str">
        <f t="shared" si="282"/>
        <v>06399341210</v>
      </c>
      <c r="D3269" t="str">
        <f t="shared" si="283"/>
        <v>DLRMHL78P06L259V</v>
      </c>
      <c r="E3269" t="s">
        <v>52</v>
      </c>
      <c r="F3269">
        <v>2015</v>
      </c>
      <c r="G3269">
        <v>6</v>
      </c>
      <c r="H3269" s="1">
        <v>42093</v>
      </c>
      <c r="I3269" s="1">
        <v>42094</v>
      </c>
      <c r="J3269" s="1">
        <v>42094</v>
      </c>
      <c r="K3269" s="1">
        <v>42154</v>
      </c>
      <c r="N3269" s="5"/>
      <c r="O3269" s="2">
        <v>2024.91</v>
      </c>
      <c r="P3269">
        <v>-59</v>
      </c>
      <c r="Q3269" s="2">
        <v>-119469.69</v>
      </c>
      <c r="R3269">
        <v>0</v>
      </c>
      <c r="V3269">
        <v>0</v>
      </c>
      <c r="W3269">
        <v>0</v>
      </c>
      <c r="X3269">
        <v>0</v>
      </c>
      <c r="Y3269" s="2">
        <v>2024.91</v>
      </c>
      <c r="Z3269" s="2">
        <v>2024.91</v>
      </c>
      <c r="AA3269" s="2">
        <v>2024.91</v>
      </c>
      <c r="AB3269" s="1">
        <v>42382</v>
      </c>
      <c r="AC3269" t="s">
        <v>53</v>
      </c>
      <c r="AD3269" t="s">
        <v>53</v>
      </c>
      <c r="AK3269">
        <v>0</v>
      </c>
      <c r="AU3269" s="6">
        <v>42095</v>
      </c>
      <c r="AV3269" s="6">
        <v>42095</v>
      </c>
      <c r="AW3269" t="s">
        <v>54</v>
      </c>
      <c r="AX3269" t="str">
        <f t="shared" si="284"/>
        <v>FOR</v>
      </c>
      <c r="AY3269" t="s">
        <v>55</v>
      </c>
    </row>
    <row r="3270" spans="1:51" hidden="1">
      <c r="A3270">
        <v>101119</v>
      </c>
      <c r="B3270" t="s">
        <v>546</v>
      </c>
      <c r="C3270" t="str">
        <f t="shared" si="282"/>
        <v>06399341210</v>
      </c>
      <c r="D3270" t="str">
        <f t="shared" si="283"/>
        <v>DLRMHL78P06L259V</v>
      </c>
      <c r="E3270" t="s">
        <v>52</v>
      </c>
      <c r="F3270">
        <v>2015</v>
      </c>
      <c r="G3270">
        <v>7</v>
      </c>
      <c r="H3270" s="1">
        <v>42093</v>
      </c>
      <c r="I3270" s="1">
        <v>42096</v>
      </c>
      <c r="J3270" s="1">
        <v>42096</v>
      </c>
      <c r="K3270" s="1">
        <v>42156</v>
      </c>
      <c r="N3270" s="5"/>
      <c r="O3270" s="2">
        <v>2193.48</v>
      </c>
      <c r="P3270">
        <v>-55</v>
      </c>
      <c r="Q3270" s="2">
        <v>-120641.4</v>
      </c>
      <c r="R3270">
        <v>0</v>
      </c>
      <c r="V3270">
        <v>0</v>
      </c>
      <c r="W3270">
        <v>0</v>
      </c>
      <c r="X3270">
        <v>0</v>
      </c>
      <c r="Y3270" s="2">
        <v>2193.48</v>
      </c>
      <c r="Z3270" s="2">
        <v>2193.48</v>
      </c>
      <c r="AA3270" s="2">
        <v>2193.48</v>
      </c>
      <c r="AB3270" s="1">
        <v>42382</v>
      </c>
      <c r="AC3270" t="s">
        <v>53</v>
      </c>
      <c r="AD3270" t="s">
        <v>53</v>
      </c>
      <c r="AK3270">
        <v>0</v>
      </c>
      <c r="AU3270" s="6">
        <v>42101</v>
      </c>
      <c r="AV3270" s="6">
        <v>42101</v>
      </c>
      <c r="AW3270" t="s">
        <v>54</v>
      </c>
      <c r="AX3270" t="str">
        <f t="shared" si="284"/>
        <v>FOR</v>
      </c>
      <c r="AY3270" t="s">
        <v>55</v>
      </c>
    </row>
    <row r="3271" spans="1:51" hidden="1">
      <c r="A3271">
        <v>101119</v>
      </c>
      <c r="B3271" t="s">
        <v>546</v>
      </c>
      <c r="C3271" t="str">
        <f t="shared" si="282"/>
        <v>06399341210</v>
      </c>
      <c r="D3271" t="str">
        <f t="shared" si="283"/>
        <v>DLRMHL78P06L259V</v>
      </c>
      <c r="E3271" t="s">
        <v>52</v>
      </c>
      <c r="F3271">
        <v>2015</v>
      </c>
      <c r="G3271" t="s">
        <v>547</v>
      </c>
      <c r="H3271" s="1">
        <v>42193</v>
      </c>
      <c r="I3271" s="1">
        <v>42193</v>
      </c>
      <c r="J3271" s="1">
        <v>42193</v>
      </c>
      <c r="K3271" s="1">
        <v>42253</v>
      </c>
      <c r="N3271" s="5"/>
      <c r="O3271" s="2">
        <v>4132.1099999999997</v>
      </c>
      <c r="P3271">
        <v>-45</v>
      </c>
      <c r="Q3271" s="2">
        <v>-185944.95</v>
      </c>
      <c r="R3271">
        <v>0</v>
      </c>
      <c r="V3271">
        <v>0</v>
      </c>
      <c r="W3271">
        <v>0</v>
      </c>
      <c r="X3271">
        <v>0</v>
      </c>
      <c r="Y3271" s="2">
        <v>4132.1099999999997</v>
      </c>
      <c r="Z3271" s="2">
        <v>4132.1099999999997</v>
      </c>
      <c r="AA3271" s="2">
        <v>4132.1099999999997</v>
      </c>
      <c r="AB3271" s="1">
        <v>42382</v>
      </c>
      <c r="AC3271" t="s">
        <v>53</v>
      </c>
      <c r="AD3271" t="s">
        <v>53</v>
      </c>
      <c r="AK3271">
        <v>0</v>
      </c>
      <c r="AU3271" s="6">
        <v>42208</v>
      </c>
      <c r="AV3271" s="6">
        <v>42208</v>
      </c>
      <c r="AW3271" t="s">
        <v>54</v>
      </c>
      <c r="AX3271" t="str">
        <f t="shared" si="284"/>
        <v>FOR</v>
      </c>
      <c r="AY3271" t="s">
        <v>55</v>
      </c>
    </row>
    <row r="3272" spans="1:51" hidden="1">
      <c r="A3272">
        <v>101119</v>
      </c>
      <c r="B3272" t="s">
        <v>546</v>
      </c>
      <c r="C3272" t="str">
        <f t="shared" si="282"/>
        <v>06399341210</v>
      </c>
      <c r="D3272" t="str">
        <f t="shared" si="283"/>
        <v>DLRMHL78P06L259V</v>
      </c>
      <c r="E3272" t="s">
        <v>52</v>
      </c>
      <c r="F3272">
        <v>2015</v>
      </c>
      <c r="G3272" t="s">
        <v>548</v>
      </c>
      <c r="H3272" s="1">
        <v>42193</v>
      </c>
      <c r="I3272" s="1">
        <v>42193</v>
      </c>
      <c r="J3272" s="1">
        <v>42193</v>
      </c>
      <c r="K3272" s="1">
        <v>42253</v>
      </c>
      <c r="N3272" s="5"/>
      <c r="O3272" s="2">
        <v>1415.1</v>
      </c>
      <c r="P3272">
        <v>-45</v>
      </c>
      <c r="Q3272" s="2">
        <v>-63679.5</v>
      </c>
      <c r="R3272">
        <v>0</v>
      </c>
      <c r="V3272">
        <v>0</v>
      </c>
      <c r="W3272">
        <v>0</v>
      </c>
      <c r="X3272">
        <v>0</v>
      </c>
      <c r="Y3272" s="2">
        <v>1415.1</v>
      </c>
      <c r="Z3272" s="2">
        <v>1415.1</v>
      </c>
      <c r="AA3272" s="2">
        <v>1415.1</v>
      </c>
      <c r="AB3272" s="1">
        <v>42382</v>
      </c>
      <c r="AC3272" t="s">
        <v>53</v>
      </c>
      <c r="AD3272" t="s">
        <v>53</v>
      </c>
      <c r="AK3272">
        <v>0</v>
      </c>
      <c r="AU3272" s="6">
        <v>42208</v>
      </c>
      <c r="AV3272" s="6">
        <v>42208</v>
      </c>
      <c r="AW3272" t="s">
        <v>54</v>
      </c>
      <c r="AX3272" t="str">
        <f t="shared" si="284"/>
        <v>FOR</v>
      </c>
      <c r="AY3272" t="s">
        <v>55</v>
      </c>
    </row>
    <row r="3273" spans="1:51">
      <c r="A3273">
        <v>101125</v>
      </c>
      <c r="B3273" t="s">
        <v>549</v>
      </c>
      <c r="C3273" t="str">
        <f>"00167450626"</f>
        <v>00167450626</v>
      </c>
      <c r="D3273" t="str">
        <f>"00167450626"</f>
        <v>00167450626</v>
      </c>
      <c r="E3273" t="s">
        <v>52</v>
      </c>
      <c r="F3273">
        <v>2014</v>
      </c>
      <c r="G3273">
        <v>17</v>
      </c>
      <c r="H3273" s="1">
        <v>41675</v>
      </c>
      <c r="I3273" s="1">
        <v>41681</v>
      </c>
      <c r="J3273" s="1">
        <v>41681</v>
      </c>
      <c r="K3273" s="1">
        <v>41771</v>
      </c>
      <c r="L3273" s="7">
        <v>427</v>
      </c>
      <c r="M3273" s="5">
        <v>529</v>
      </c>
      <c r="N3273" s="7">
        <v>225883</v>
      </c>
      <c r="O3273">
        <v>427</v>
      </c>
      <c r="P3273">
        <v>529</v>
      </c>
      <c r="Q3273" s="2">
        <v>225883</v>
      </c>
      <c r="R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 s="1">
        <v>42382</v>
      </c>
      <c r="AC3273" t="s">
        <v>53</v>
      </c>
      <c r="AD3273" t="s">
        <v>53</v>
      </c>
      <c r="AK3273">
        <v>0</v>
      </c>
      <c r="AU3273" s="6">
        <v>42300</v>
      </c>
      <c r="AV3273" s="6">
        <v>42300</v>
      </c>
      <c r="AW3273" t="s">
        <v>54</v>
      </c>
      <c r="AX3273" t="str">
        <f t="shared" si="284"/>
        <v>FOR</v>
      </c>
      <c r="AY3273" t="s">
        <v>55</v>
      </c>
    </row>
    <row r="3274" spans="1:51" hidden="1">
      <c r="A3274">
        <v>101130</v>
      </c>
      <c r="B3274" t="s">
        <v>550</v>
      </c>
      <c r="C3274" t="str">
        <f t="shared" ref="C3274:D3293" si="285">"09238800156"</f>
        <v>09238800156</v>
      </c>
      <c r="D3274" t="str">
        <f t="shared" si="285"/>
        <v>09238800156</v>
      </c>
      <c r="E3274" t="s">
        <v>52</v>
      </c>
      <c r="F3274">
        <v>2014</v>
      </c>
      <c r="G3274">
        <v>23404091</v>
      </c>
      <c r="H3274" s="1">
        <v>41654</v>
      </c>
      <c r="I3274" s="1">
        <v>41689</v>
      </c>
      <c r="J3274" s="1">
        <v>41689</v>
      </c>
      <c r="K3274" s="1">
        <v>41779</v>
      </c>
      <c r="N3274" s="5"/>
      <c r="O3274">
        <v>62.59</v>
      </c>
      <c r="P3274">
        <v>245</v>
      </c>
      <c r="Q3274" s="2">
        <v>15334.55</v>
      </c>
      <c r="R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 s="1">
        <v>42382</v>
      </c>
      <c r="AC3274" t="s">
        <v>53</v>
      </c>
      <c r="AD3274" t="s">
        <v>53</v>
      </c>
      <c r="AK3274">
        <v>0</v>
      </c>
      <c r="AU3274" s="6">
        <v>42024</v>
      </c>
      <c r="AV3274" s="6">
        <v>42024</v>
      </c>
      <c r="AW3274" t="s">
        <v>54</v>
      </c>
      <c r="AX3274" t="str">
        <f t="shared" si="284"/>
        <v>FOR</v>
      </c>
      <c r="AY3274" t="s">
        <v>55</v>
      </c>
    </row>
    <row r="3275" spans="1:51" hidden="1">
      <c r="A3275">
        <v>101130</v>
      </c>
      <c r="B3275" t="s">
        <v>550</v>
      </c>
      <c r="C3275" t="str">
        <f t="shared" si="285"/>
        <v>09238800156</v>
      </c>
      <c r="D3275" t="str">
        <f t="shared" si="285"/>
        <v>09238800156</v>
      </c>
      <c r="E3275" t="s">
        <v>52</v>
      </c>
      <c r="F3275">
        <v>2014</v>
      </c>
      <c r="G3275">
        <v>23404093</v>
      </c>
      <c r="H3275" s="1">
        <v>41654</v>
      </c>
      <c r="I3275" s="1">
        <v>41689</v>
      </c>
      <c r="J3275" s="1">
        <v>41689</v>
      </c>
      <c r="K3275" s="1">
        <v>41779</v>
      </c>
      <c r="N3275" s="5"/>
      <c r="O3275">
        <v>62.59</v>
      </c>
      <c r="P3275">
        <v>245</v>
      </c>
      <c r="Q3275" s="2">
        <v>15334.55</v>
      </c>
      <c r="R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 s="1">
        <v>42382</v>
      </c>
      <c r="AC3275" t="s">
        <v>53</v>
      </c>
      <c r="AD3275" t="s">
        <v>53</v>
      </c>
      <c r="AK3275">
        <v>0</v>
      </c>
      <c r="AU3275" s="6">
        <v>42024</v>
      </c>
      <c r="AV3275" s="6">
        <v>42024</v>
      </c>
      <c r="AW3275" t="s">
        <v>54</v>
      </c>
      <c r="AX3275" t="str">
        <f t="shared" si="284"/>
        <v>FOR</v>
      </c>
      <c r="AY3275" t="s">
        <v>55</v>
      </c>
    </row>
    <row r="3276" spans="1:51" hidden="1">
      <c r="A3276">
        <v>101130</v>
      </c>
      <c r="B3276" t="s">
        <v>550</v>
      </c>
      <c r="C3276" t="str">
        <f t="shared" si="285"/>
        <v>09238800156</v>
      </c>
      <c r="D3276" t="str">
        <f t="shared" si="285"/>
        <v>09238800156</v>
      </c>
      <c r="E3276" t="s">
        <v>52</v>
      </c>
      <c r="F3276">
        <v>2014</v>
      </c>
      <c r="G3276">
        <v>23404094</v>
      </c>
      <c r="H3276" s="1">
        <v>41654</v>
      </c>
      <c r="I3276" s="1">
        <v>41689</v>
      </c>
      <c r="J3276" s="1">
        <v>41689</v>
      </c>
      <c r="K3276" s="1">
        <v>41779</v>
      </c>
      <c r="N3276" s="5"/>
      <c r="O3276">
        <v>62.59</v>
      </c>
      <c r="P3276">
        <v>245</v>
      </c>
      <c r="Q3276" s="2">
        <v>15334.55</v>
      </c>
      <c r="R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 s="1">
        <v>42382</v>
      </c>
      <c r="AC3276" t="s">
        <v>53</v>
      </c>
      <c r="AD3276" t="s">
        <v>53</v>
      </c>
      <c r="AK3276">
        <v>0</v>
      </c>
      <c r="AU3276" s="6">
        <v>42024</v>
      </c>
      <c r="AV3276" s="6">
        <v>42024</v>
      </c>
      <c r="AW3276" t="s">
        <v>54</v>
      </c>
      <c r="AX3276" t="str">
        <f t="shared" si="284"/>
        <v>FOR</v>
      </c>
      <c r="AY3276" t="s">
        <v>55</v>
      </c>
    </row>
    <row r="3277" spans="1:51" hidden="1">
      <c r="A3277">
        <v>101130</v>
      </c>
      <c r="B3277" t="s">
        <v>550</v>
      </c>
      <c r="C3277" t="str">
        <f t="shared" si="285"/>
        <v>09238800156</v>
      </c>
      <c r="D3277" t="str">
        <f t="shared" si="285"/>
        <v>09238800156</v>
      </c>
      <c r="E3277" t="s">
        <v>52</v>
      </c>
      <c r="F3277">
        <v>2014</v>
      </c>
      <c r="G3277">
        <v>23404095</v>
      </c>
      <c r="H3277" s="1">
        <v>41654</v>
      </c>
      <c r="I3277" s="1">
        <v>41702</v>
      </c>
      <c r="J3277" s="1">
        <v>41702</v>
      </c>
      <c r="K3277" s="1">
        <v>41792</v>
      </c>
      <c r="N3277" s="5"/>
      <c r="O3277">
        <v>404.98</v>
      </c>
      <c r="P3277">
        <v>232</v>
      </c>
      <c r="Q3277" s="2">
        <v>93955.36</v>
      </c>
      <c r="R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 s="1">
        <v>42382</v>
      </c>
      <c r="AC3277" t="s">
        <v>53</v>
      </c>
      <c r="AD3277" t="s">
        <v>53</v>
      </c>
      <c r="AK3277">
        <v>0</v>
      </c>
      <c r="AU3277" s="6">
        <v>42024</v>
      </c>
      <c r="AV3277" s="6">
        <v>42024</v>
      </c>
      <c r="AW3277" t="s">
        <v>54</v>
      </c>
      <c r="AX3277" t="str">
        <f t="shared" si="284"/>
        <v>FOR</v>
      </c>
      <c r="AY3277" t="s">
        <v>55</v>
      </c>
    </row>
    <row r="3278" spans="1:51" hidden="1">
      <c r="A3278">
        <v>101130</v>
      </c>
      <c r="B3278" t="s">
        <v>550</v>
      </c>
      <c r="C3278" t="str">
        <f t="shared" si="285"/>
        <v>09238800156</v>
      </c>
      <c r="D3278" t="str">
        <f t="shared" si="285"/>
        <v>09238800156</v>
      </c>
      <c r="E3278" t="s">
        <v>52</v>
      </c>
      <c r="F3278">
        <v>2014</v>
      </c>
      <c r="G3278">
        <v>23404096</v>
      </c>
      <c r="H3278" s="1">
        <v>41654</v>
      </c>
      <c r="I3278" s="1">
        <v>41689</v>
      </c>
      <c r="J3278" s="1">
        <v>41689</v>
      </c>
      <c r="K3278" s="1">
        <v>41779</v>
      </c>
      <c r="N3278" s="5"/>
      <c r="O3278">
        <v>62.59</v>
      </c>
      <c r="P3278">
        <v>245</v>
      </c>
      <c r="Q3278" s="2">
        <v>15334.55</v>
      </c>
      <c r="R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 s="1">
        <v>42382</v>
      </c>
      <c r="AC3278" t="s">
        <v>53</v>
      </c>
      <c r="AD3278" t="s">
        <v>53</v>
      </c>
      <c r="AK3278">
        <v>0</v>
      </c>
      <c r="AU3278" s="6">
        <v>42024</v>
      </c>
      <c r="AV3278" s="6">
        <v>42024</v>
      </c>
      <c r="AW3278" t="s">
        <v>54</v>
      </c>
      <c r="AX3278" t="str">
        <f t="shared" si="284"/>
        <v>FOR</v>
      </c>
      <c r="AY3278" t="s">
        <v>55</v>
      </c>
    </row>
    <row r="3279" spans="1:51" hidden="1">
      <c r="A3279">
        <v>101130</v>
      </c>
      <c r="B3279" t="s">
        <v>550</v>
      </c>
      <c r="C3279" t="str">
        <f t="shared" si="285"/>
        <v>09238800156</v>
      </c>
      <c r="D3279" t="str">
        <f t="shared" si="285"/>
        <v>09238800156</v>
      </c>
      <c r="E3279" t="s">
        <v>52</v>
      </c>
      <c r="F3279">
        <v>2014</v>
      </c>
      <c r="G3279">
        <v>23408611</v>
      </c>
      <c r="H3279" s="1">
        <v>41663</v>
      </c>
      <c r="I3279" s="1">
        <v>41687</v>
      </c>
      <c r="J3279" s="1">
        <v>41687</v>
      </c>
      <c r="K3279" s="1">
        <v>41777</v>
      </c>
      <c r="N3279" s="5"/>
      <c r="O3279" s="2">
        <v>3173.12</v>
      </c>
      <c r="P3279">
        <v>247</v>
      </c>
      <c r="Q3279" s="2">
        <v>783760.64</v>
      </c>
      <c r="R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 s="1">
        <v>42382</v>
      </c>
      <c r="AC3279" t="s">
        <v>53</v>
      </c>
      <c r="AD3279" t="s">
        <v>53</v>
      </c>
      <c r="AK3279">
        <v>0</v>
      </c>
      <c r="AU3279" s="6">
        <v>42024</v>
      </c>
      <c r="AV3279" s="6">
        <v>42024</v>
      </c>
      <c r="AW3279" t="s">
        <v>54</v>
      </c>
      <c r="AX3279" t="str">
        <f t="shared" si="284"/>
        <v>FOR</v>
      </c>
      <c r="AY3279" t="s">
        <v>55</v>
      </c>
    </row>
    <row r="3280" spans="1:51" hidden="1">
      <c r="A3280">
        <v>101130</v>
      </c>
      <c r="B3280" t="s">
        <v>550</v>
      </c>
      <c r="C3280" t="str">
        <f t="shared" si="285"/>
        <v>09238800156</v>
      </c>
      <c r="D3280" t="str">
        <f t="shared" si="285"/>
        <v>09238800156</v>
      </c>
      <c r="E3280" t="s">
        <v>52</v>
      </c>
      <c r="F3280">
        <v>2014</v>
      </c>
      <c r="G3280">
        <v>23410563</v>
      </c>
      <c r="H3280" s="1">
        <v>41668</v>
      </c>
      <c r="I3280" s="1">
        <v>41697</v>
      </c>
      <c r="J3280" s="1">
        <v>41697</v>
      </c>
      <c r="K3280" s="1">
        <v>41787</v>
      </c>
      <c r="N3280" s="5"/>
      <c r="O3280" s="2">
        <v>4630.76</v>
      </c>
      <c r="P3280">
        <v>237</v>
      </c>
      <c r="Q3280" s="2">
        <v>1097490.1200000001</v>
      </c>
      <c r="R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 s="1">
        <v>42382</v>
      </c>
      <c r="AC3280" t="s">
        <v>53</v>
      </c>
      <c r="AD3280" t="s">
        <v>53</v>
      </c>
      <c r="AK3280">
        <v>0</v>
      </c>
      <c r="AU3280" s="6">
        <v>42024</v>
      </c>
      <c r="AV3280" s="6">
        <v>42024</v>
      </c>
      <c r="AW3280" t="s">
        <v>54</v>
      </c>
      <c r="AX3280" t="str">
        <f t="shared" si="284"/>
        <v>FOR</v>
      </c>
      <c r="AY3280" t="s">
        <v>55</v>
      </c>
    </row>
    <row r="3281" spans="1:51" hidden="1">
      <c r="A3281">
        <v>101130</v>
      </c>
      <c r="B3281" t="s">
        <v>550</v>
      </c>
      <c r="C3281" t="str">
        <f t="shared" si="285"/>
        <v>09238800156</v>
      </c>
      <c r="D3281" t="str">
        <f t="shared" si="285"/>
        <v>09238800156</v>
      </c>
      <c r="E3281" t="s">
        <v>52</v>
      </c>
      <c r="F3281">
        <v>2014</v>
      </c>
      <c r="G3281">
        <v>23412798</v>
      </c>
      <c r="H3281" s="1">
        <v>41674</v>
      </c>
      <c r="I3281" s="1">
        <v>41697</v>
      </c>
      <c r="J3281" s="1">
        <v>41697</v>
      </c>
      <c r="K3281" s="1">
        <v>41787</v>
      </c>
      <c r="N3281" s="5"/>
      <c r="O3281" s="2">
        <v>2835.98</v>
      </c>
      <c r="P3281">
        <v>254</v>
      </c>
      <c r="Q3281" s="2">
        <v>720338.92</v>
      </c>
      <c r="R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 s="1">
        <v>42382</v>
      </c>
      <c r="AC3281" t="s">
        <v>53</v>
      </c>
      <c r="AD3281" t="s">
        <v>53</v>
      </c>
      <c r="AK3281">
        <v>0</v>
      </c>
      <c r="AU3281" s="6">
        <v>42041</v>
      </c>
      <c r="AV3281" s="6">
        <v>42041</v>
      </c>
      <c r="AW3281" t="s">
        <v>54</v>
      </c>
      <c r="AX3281" t="str">
        <f t="shared" si="284"/>
        <v>FOR</v>
      </c>
      <c r="AY3281" t="s">
        <v>55</v>
      </c>
    </row>
    <row r="3282" spans="1:51" hidden="1">
      <c r="A3282">
        <v>101130</v>
      </c>
      <c r="B3282" t="s">
        <v>550</v>
      </c>
      <c r="C3282" t="str">
        <f t="shared" si="285"/>
        <v>09238800156</v>
      </c>
      <c r="D3282" t="str">
        <f t="shared" si="285"/>
        <v>09238800156</v>
      </c>
      <c r="E3282" t="s">
        <v>52</v>
      </c>
      <c r="F3282">
        <v>2014</v>
      </c>
      <c r="G3282">
        <v>23412799</v>
      </c>
      <c r="H3282" s="1">
        <v>41674</v>
      </c>
      <c r="I3282" s="1">
        <v>41695</v>
      </c>
      <c r="J3282" s="1">
        <v>41695</v>
      </c>
      <c r="K3282" s="1">
        <v>41785</v>
      </c>
      <c r="N3282" s="5"/>
      <c r="O3282" s="2">
        <v>2835.98</v>
      </c>
      <c r="P3282">
        <v>256</v>
      </c>
      <c r="Q3282" s="2">
        <v>726010.88</v>
      </c>
      <c r="R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 s="1">
        <v>42382</v>
      </c>
      <c r="AC3282" t="s">
        <v>53</v>
      </c>
      <c r="AD3282" t="s">
        <v>53</v>
      </c>
      <c r="AK3282">
        <v>0</v>
      </c>
      <c r="AU3282" s="6">
        <v>42041</v>
      </c>
      <c r="AV3282" s="6">
        <v>42041</v>
      </c>
      <c r="AW3282" t="s">
        <v>54</v>
      </c>
      <c r="AX3282" t="str">
        <f t="shared" si="284"/>
        <v>FOR</v>
      </c>
      <c r="AY3282" t="s">
        <v>55</v>
      </c>
    </row>
    <row r="3283" spans="1:51" hidden="1">
      <c r="A3283">
        <v>101130</v>
      </c>
      <c r="B3283" t="s">
        <v>550</v>
      </c>
      <c r="C3283" t="str">
        <f t="shared" si="285"/>
        <v>09238800156</v>
      </c>
      <c r="D3283" t="str">
        <f t="shared" si="285"/>
        <v>09238800156</v>
      </c>
      <c r="E3283" t="s">
        <v>52</v>
      </c>
      <c r="F3283">
        <v>2014</v>
      </c>
      <c r="G3283">
        <v>23419201</v>
      </c>
      <c r="H3283" s="1">
        <v>41689</v>
      </c>
      <c r="I3283" s="1">
        <v>41711</v>
      </c>
      <c r="J3283" s="1">
        <v>41711</v>
      </c>
      <c r="K3283" s="1">
        <v>41801</v>
      </c>
      <c r="N3283" s="5"/>
      <c r="O3283" s="2">
        <v>26443.040000000001</v>
      </c>
      <c r="P3283">
        <v>240</v>
      </c>
      <c r="Q3283" s="2">
        <v>6346329.5999999996</v>
      </c>
      <c r="R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 s="1">
        <v>42382</v>
      </c>
      <c r="AC3283" t="s">
        <v>53</v>
      </c>
      <c r="AD3283" t="s">
        <v>53</v>
      </c>
      <c r="AK3283">
        <v>0</v>
      </c>
      <c r="AU3283" s="6">
        <v>42041</v>
      </c>
      <c r="AV3283" s="6">
        <v>42041</v>
      </c>
      <c r="AW3283" t="s">
        <v>54</v>
      </c>
      <c r="AX3283" t="str">
        <f t="shared" si="284"/>
        <v>FOR</v>
      </c>
      <c r="AY3283" t="s">
        <v>55</v>
      </c>
    </row>
    <row r="3284" spans="1:51" hidden="1">
      <c r="A3284">
        <v>101130</v>
      </c>
      <c r="B3284" t="s">
        <v>550</v>
      </c>
      <c r="C3284" t="str">
        <f t="shared" si="285"/>
        <v>09238800156</v>
      </c>
      <c r="D3284" t="str">
        <f t="shared" si="285"/>
        <v>09238800156</v>
      </c>
      <c r="E3284" t="s">
        <v>52</v>
      </c>
      <c r="F3284">
        <v>2014</v>
      </c>
      <c r="G3284">
        <v>23428702</v>
      </c>
      <c r="H3284" s="1">
        <v>41711</v>
      </c>
      <c r="I3284" s="1">
        <v>41722</v>
      </c>
      <c r="J3284" s="1">
        <v>41722</v>
      </c>
      <c r="K3284" s="1">
        <v>41812</v>
      </c>
      <c r="N3284" s="5"/>
      <c r="O3284" s="2">
        <v>8967</v>
      </c>
      <c r="P3284">
        <v>225</v>
      </c>
      <c r="Q3284" s="2">
        <v>2017575</v>
      </c>
      <c r="R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 s="1">
        <v>42382</v>
      </c>
      <c r="AC3284" t="s">
        <v>53</v>
      </c>
      <c r="AD3284" t="s">
        <v>53</v>
      </c>
      <c r="AK3284">
        <v>0</v>
      </c>
      <c r="AU3284" s="6">
        <v>42037</v>
      </c>
      <c r="AV3284" s="6">
        <v>42037</v>
      </c>
      <c r="AW3284" t="s">
        <v>54</v>
      </c>
      <c r="AX3284" t="str">
        <f t="shared" si="284"/>
        <v>FOR</v>
      </c>
      <c r="AY3284" t="s">
        <v>55</v>
      </c>
    </row>
    <row r="3285" spans="1:51" hidden="1">
      <c r="A3285">
        <v>101130</v>
      </c>
      <c r="B3285" t="s">
        <v>550</v>
      </c>
      <c r="C3285" t="str">
        <f t="shared" si="285"/>
        <v>09238800156</v>
      </c>
      <c r="D3285" t="str">
        <f t="shared" si="285"/>
        <v>09238800156</v>
      </c>
      <c r="E3285" t="s">
        <v>52</v>
      </c>
      <c r="F3285">
        <v>2014</v>
      </c>
      <c r="G3285">
        <v>23428703</v>
      </c>
      <c r="H3285" s="1">
        <v>41711</v>
      </c>
      <c r="I3285" s="1">
        <v>41722</v>
      </c>
      <c r="J3285" s="1">
        <v>41722</v>
      </c>
      <c r="K3285" s="1">
        <v>41812</v>
      </c>
      <c r="N3285" s="5"/>
      <c r="O3285">
        <v>100.65</v>
      </c>
      <c r="P3285">
        <v>262</v>
      </c>
      <c r="Q3285" s="2">
        <v>26370.3</v>
      </c>
      <c r="R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 s="1">
        <v>42382</v>
      </c>
      <c r="AC3285" t="s">
        <v>53</v>
      </c>
      <c r="AD3285" t="s">
        <v>53</v>
      </c>
      <c r="AK3285">
        <v>0</v>
      </c>
      <c r="AU3285" s="6">
        <v>42074</v>
      </c>
      <c r="AV3285" s="6">
        <v>42074</v>
      </c>
      <c r="AW3285" t="s">
        <v>54</v>
      </c>
      <c r="AX3285" t="str">
        <f t="shared" si="284"/>
        <v>FOR</v>
      </c>
      <c r="AY3285" t="s">
        <v>55</v>
      </c>
    </row>
    <row r="3286" spans="1:51" hidden="1">
      <c r="A3286">
        <v>101130</v>
      </c>
      <c r="B3286" t="s">
        <v>550</v>
      </c>
      <c r="C3286" t="str">
        <f t="shared" si="285"/>
        <v>09238800156</v>
      </c>
      <c r="D3286" t="str">
        <f t="shared" si="285"/>
        <v>09238800156</v>
      </c>
      <c r="E3286" t="s">
        <v>52</v>
      </c>
      <c r="F3286">
        <v>2014</v>
      </c>
      <c r="G3286">
        <v>23429527</v>
      </c>
      <c r="H3286" s="1">
        <v>41712</v>
      </c>
      <c r="I3286" s="1">
        <v>41731</v>
      </c>
      <c r="J3286" s="1">
        <v>41731</v>
      </c>
      <c r="K3286" s="1">
        <v>41821</v>
      </c>
      <c r="N3286" s="5"/>
      <c r="O3286" s="2">
        <v>5880.4</v>
      </c>
      <c r="P3286">
        <v>253</v>
      </c>
      <c r="Q3286" s="2">
        <v>1487741.2</v>
      </c>
      <c r="R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 s="1">
        <v>42382</v>
      </c>
      <c r="AC3286" t="s">
        <v>53</v>
      </c>
      <c r="AD3286" t="s">
        <v>53</v>
      </c>
      <c r="AK3286">
        <v>0</v>
      </c>
      <c r="AU3286" s="6">
        <v>42074</v>
      </c>
      <c r="AV3286" s="6">
        <v>42074</v>
      </c>
      <c r="AW3286" t="s">
        <v>54</v>
      </c>
      <c r="AX3286" t="str">
        <f t="shared" si="284"/>
        <v>FOR</v>
      </c>
      <c r="AY3286" t="s">
        <v>55</v>
      </c>
    </row>
    <row r="3287" spans="1:51" hidden="1">
      <c r="A3287">
        <v>101130</v>
      </c>
      <c r="B3287" t="s">
        <v>550</v>
      </c>
      <c r="C3287" t="str">
        <f t="shared" si="285"/>
        <v>09238800156</v>
      </c>
      <c r="D3287" t="str">
        <f t="shared" si="285"/>
        <v>09238800156</v>
      </c>
      <c r="E3287" t="s">
        <v>52</v>
      </c>
      <c r="F3287">
        <v>2014</v>
      </c>
      <c r="G3287">
        <v>23431101</v>
      </c>
      <c r="H3287" s="1">
        <v>41717</v>
      </c>
      <c r="I3287" s="1">
        <v>41736</v>
      </c>
      <c r="J3287" s="1">
        <v>41736</v>
      </c>
      <c r="K3287" s="1">
        <v>41826</v>
      </c>
      <c r="N3287" s="5"/>
      <c r="O3287" s="2">
        <v>8344.7999999999993</v>
      </c>
      <c r="P3287">
        <v>248</v>
      </c>
      <c r="Q3287" s="2">
        <v>2069510.4</v>
      </c>
      <c r="R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 s="1">
        <v>42382</v>
      </c>
      <c r="AC3287" t="s">
        <v>53</v>
      </c>
      <c r="AD3287" t="s">
        <v>53</v>
      </c>
      <c r="AK3287">
        <v>0</v>
      </c>
      <c r="AU3287" s="6">
        <v>42074</v>
      </c>
      <c r="AV3287" s="6">
        <v>42074</v>
      </c>
      <c r="AW3287" t="s">
        <v>54</v>
      </c>
      <c r="AX3287" t="str">
        <f t="shared" si="284"/>
        <v>FOR</v>
      </c>
      <c r="AY3287" t="s">
        <v>55</v>
      </c>
    </row>
    <row r="3288" spans="1:51" hidden="1">
      <c r="A3288">
        <v>101130</v>
      </c>
      <c r="B3288" t="s">
        <v>550</v>
      </c>
      <c r="C3288" t="str">
        <f t="shared" si="285"/>
        <v>09238800156</v>
      </c>
      <c r="D3288" t="str">
        <f t="shared" si="285"/>
        <v>09238800156</v>
      </c>
      <c r="E3288" t="s">
        <v>52</v>
      </c>
      <c r="F3288">
        <v>2014</v>
      </c>
      <c r="G3288">
        <v>23432225</v>
      </c>
      <c r="H3288" s="1">
        <v>41719</v>
      </c>
      <c r="I3288" s="1">
        <v>41731</v>
      </c>
      <c r="J3288" s="1">
        <v>41731</v>
      </c>
      <c r="K3288" s="1">
        <v>41821</v>
      </c>
      <c r="N3288" s="5"/>
      <c r="O3288">
        <v>201.3</v>
      </c>
      <c r="P3288">
        <v>253</v>
      </c>
      <c r="Q3288" s="2">
        <v>50928.9</v>
      </c>
      <c r="R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 s="1">
        <v>42382</v>
      </c>
      <c r="AC3288" t="s">
        <v>53</v>
      </c>
      <c r="AD3288" t="s">
        <v>53</v>
      </c>
      <c r="AK3288">
        <v>0</v>
      </c>
      <c r="AU3288" s="6">
        <v>42074</v>
      </c>
      <c r="AV3288" s="6">
        <v>42074</v>
      </c>
      <c r="AW3288" t="s">
        <v>54</v>
      </c>
      <c r="AX3288" t="str">
        <f t="shared" si="284"/>
        <v>FOR</v>
      </c>
      <c r="AY3288" t="s">
        <v>55</v>
      </c>
    </row>
    <row r="3289" spans="1:51" hidden="1">
      <c r="A3289">
        <v>101130</v>
      </c>
      <c r="B3289" t="s">
        <v>550</v>
      </c>
      <c r="C3289" t="str">
        <f t="shared" si="285"/>
        <v>09238800156</v>
      </c>
      <c r="D3289" t="str">
        <f t="shared" si="285"/>
        <v>09238800156</v>
      </c>
      <c r="E3289" t="s">
        <v>52</v>
      </c>
      <c r="F3289">
        <v>2014</v>
      </c>
      <c r="G3289">
        <v>23435658</v>
      </c>
      <c r="H3289" s="1">
        <v>41726</v>
      </c>
      <c r="I3289" s="1">
        <v>41739</v>
      </c>
      <c r="J3289" s="1">
        <v>41739</v>
      </c>
      <c r="K3289" s="1">
        <v>41829</v>
      </c>
      <c r="N3289" s="5"/>
      <c r="O3289">
        <v>201.3</v>
      </c>
      <c r="P3289">
        <v>245</v>
      </c>
      <c r="Q3289" s="2">
        <v>49318.5</v>
      </c>
      <c r="R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 s="1">
        <v>42382</v>
      </c>
      <c r="AC3289" t="s">
        <v>53</v>
      </c>
      <c r="AD3289" t="s">
        <v>53</v>
      </c>
      <c r="AK3289">
        <v>0</v>
      </c>
      <c r="AU3289" s="6">
        <v>42074</v>
      </c>
      <c r="AV3289" s="6">
        <v>42074</v>
      </c>
      <c r="AW3289" t="s">
        <v>54</v>
      </c>
      <c r="AX3289" t="str">
        <f t="shared" si="284"/>
        <v>FOR</v>
      </c>
      <c r="AY3289" t="s">
        <v>55</v>
      </c>
    </row>
    <row r="3290" spans="1:51" hidden="1">
      <c r="A3290">
        <v>101130</v>
      </c>
      <c r="B3290" t="s">
        <v>550</v>
      </c>
      <c r="C3290" t="str">
        <f t="shared" si="285"/>
        <v>09238800156</v>
      </c>
      <c r="D3290" t="str">
        <f t="shared" si="285"/>
        <v>09238800156</v>
      </c>
      <c r="E3290" t="s">
        <v>52</v>
      </c>
      <c r="F3290">
        <v>2014</v>
      </c>
      <c r="G3290">
        <v>23441745</v>
      </c>
      <c r="H3290" s="1">
        <v>41740</v>
      </c>
      <c r="I3290" s="1">
        <v>41752</v>
      </c>
      <c r="J3290" s="1">
        <v>41752</v>
      </c>
      <c r="K3290" s="1">
        <v>41842</v>
      </c>
      <c r="N3290" s="5"/>
      <c r="O3290" s="2">
        <v>11671.13</v>
      </c>
      <c r="P3290">
        <v>260</v>
      </c>
      <c r="Q3290" s="2">
        <v>3034493.8</v>
      </c>
      <c r="R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 s="1">
        <v>42382</v>
      </c>
      <c r="AC3290" t="s">
        <v>53</v>
      </c>
      <c r="AD3290" t="s">
        <v>53</v>
      </c>
      <c r="AK3290">
        <v>0</v>
      </c>
      <c r="AU3290" s="6">
        <v>42102</v>
      </c>
      <c r="AV3290" s="6">
        <v>42102</v>
      </c>
      <c r="AW3290" t="s">
        <v>54</v>
      </c>
      <c r="AX3290" t="str">
        <f t="shared" si="284"/>
        <v>FOR</v>
      </c>
      <c r="AY3290" t="s">
        <v>55</v>
      </c>
    </row>
    <row r="3291" spans="1:51" hidden="1">
      <c r="A3291">
        <v>101130</v>
      </c>
      <c r="B3291" t="s">
        <v>550</v>
      </c>
      <c r="C3291" t="str">
        <f t="shared" si="285"/>
        <v>09238800156</v>
      </c>
      <c r="D3291" t="str">
        <f t="shared" si="285"/>
        <v>09238800156</v>
      </c>
      <c r="E3291" t="s">
        <v>52</v>
      </c>
      <c r="F3291">
        <v>2014</v>
      </c>
      <c r="G3291">
        <v>23441746</v>
      </c>
      <c r="H3291" s="1">
        <v>41740</v>
      </c>
      <c r="I3291" s="1">
        <v>41753</v>
      </c>
      <c r="J3291" s="1">
        <v>41753</v>
      </c>
      <c r="K3291" s="1">
        <v>41843</v>
      </c>
      <c r="N3291" s="5"/>
      <c r="O3291" s="2">
        <v>7228</v>
      </c>
      <c r="P3291">
        <v>259</v>
      </c>
      <c r="Q3291" s="2">
        <v>1872052</v>
      </c>
      <c r="R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 s="1">
        <v>42382</v>
      </c>
      <c r="AC3291" t="s">
        <v>53</v>
      </c>
      <c r="AD3291" t="s">
        <v>53</v>
      </c>
      <c r="AK3291">
        <v>0</v>
      </c>
      <c r="AU3291" s="6">
        <v>42102</v>
      </c>
      <c r="AV3291" s="6">
        <v>42102</v>
      </c>
      <c r="AW3291" t="s">
        <v>54</v>
      </c>
      <c r="AX3291" t="str">
        <f t="shared" si="284"/>
        <v>FOR</v>
      </c>
      <c r="AY3291" t="s">
        <v>55</v>
      </c>
    </row>
    <row r="3292" spans="1:51" hidden="1">
      <c r="A3292">
        <v>101130</v>
      </c>
      <c r="B3292" t="s">
        <v>550</v>
      </c>
      <c r="C3292" t="str">
        <f t="shared" si="285"/>
        <v>09238800156</v>
      </c>
      <c r="D3292" t="str">
        <f t="shared" si="285"/>
        <v>09238800156</v>
      </c>
      <c r="E3292" t="s">
        <v>52</v>
      </c>
      <c r="F3292">
        <v>2014</v>
      </c>
      <c r="G3292">
        <v>23442292</v>
      </c>
      <c r="H3292" s="1">
        <v>41743</v>
      </c>
      <c r="I3292" s="1">
        <v>41752</v>
      </c>
      <c r="J3292" s="1">
        <v>41752</v>
      </c>
      <c r="K3292" s="1">
        <v>41842</v>
      </c>
      <c r="N3292" s="5"/>
      <c r="O3292">
        <v>62.59</v>
      </c>
      <c r="P3292">
        <v>260</v>
      </c>
      <c r="Q3292" s="2">
        <v>16273.4</v>
      </c>
      <c r="R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 s="1">
        <v>42382</v>
      </c>
      <c r="AC3292" t="s">
        <v>53</v>
      </c>
      <c r="AD3292" t="s">
        <v>53</v>
      </c>
      <c r="AK3292">
        <v>0</v>
      </c>
      <c r="AU3292" s="6">
        <v>42102</v>
      </c>
      <c r="AV3292" s="6">
        <v>42102</v>
      </c>
      <c r="AW3292" t="s">
        <v>54</v>
      </c>
      <c r="AX3292" t="str">
        <f t="shared" si="284"/>
        <v>FOR</v>
      </c>
      <c r="AY3292" t="s">
        <v>55</v>
      </c>
    </row>
    <row r="3293" spans="1:51" hidden="1">
      <c r="A3293">
        <v>101130</v>
      </c>
      <c r="B3293" t="s">
        <v>550</v>
      </c>
      <c r="C3293" t="str">
        <f t="shared" si="285"/>
        <v>09238800156</v>
      </c>
      <c r="D3293" t="str">
        <f t="shared" si="285"/>
        <v>09238800156</v>
      </c>
      <c r="E3293" t="s">
        <v>52</v>
      </c>
      <c r="F3293">
        <v>2014</v>
      </c>
      <c r="G3293">
        <v>23442293</v>
      </c>
      <c r="H3293" s="1">
        <v>41743</v>
      </c>
      <c r="I3293" s="1">
        <v>41752</v>
      </c>
      <c r="J3293" s="1">
        <v>41752</v>
      </c>
      <c r="K3293" s="1">
        <v>41842</v>
      </c>
      <c r="N3293" s="5"/>
      <c r="O3293">
        <v>62.59</v>
      </c>
      <c r="P3293">
        <v>260</v>
      </c>
      <c r="Q3293" s="2">
        <v>16273.4</v>
      </c>
      <c r="R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 s="1">
        <v>42382</v>
      </c>
      <c r="AC3293" t="s">
        <v>53</v>
      </c>
      <c r="AD3293" t="s">
        <v>53</v>
      </c>
      <c r="AK3293">
        <v>0</v>
      </c>
      <c r="AU3293" s="6">
        <v>42102</v>
      </c>
      <c r="AV3293" s="6">
        <v>42102</v>
      </c>
      <c r="AW3293" t="s">
        <v>54</v>
      </c>
      <c r="AX3293" t="str">
        <f t="shared" si="284"/>
        <v>FOR</v>
      </c>
      <c r="AY3293" t="s">
        <v>55</v>
      </c>
    </row>
    <row r="3294" spans="1:51" hidden="1">
      <c r="A3294">
        <v>101130</v>
      </c>
      <c r="B3294" t="s">
        <v>550</v>
      </c>
      <c r="C3294" t="str">
        <f t="shared" ref="C3294:D3313" si="286">"09238800156"</f>
        <v>09238800156</v>
      </c>
      <c r="D3294" t="str">
        <f t="shared" si="286"/>
        <v>09238800156</v>
      </c>
      <c r="E3294" t="s">
        <v>52</v>
      </c>
      <c r="F3294">
        <v>2014</v>
      </c>
      <c r="G3294">
        <v>23442294</v>
      </c>
      <c r="H3294" s="1">
        <v>41743</v>
      </c>
      <c r="I3294" s="1">
        <v>41752</v>
      </c>
      <c r="J3294" s="1">
        <v>41752</v>
      </c>
      <c r="K3294" s="1">
        <v>41842</v>
      </c>
      <c r="N3294" s="5"/>
      <c r="O3294">
        <v>62.59</v>
      </c>
      <c r="P3294">
        <v>260</v>
      </c>
      <c r="Q3294" s="2">
        <v>16273.4</v>
      </c>
      <c r="R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 s="1">
        <v>42382</v>
      </c>
      <c r="AC3294" t="s">
        <v>53</v>
      </c>
      <c r="AD3294" t="s">
        <v>53</v>
      </c>
      <c r="AK3294">
        <v>0</v>
      </c>
      <c r="AU3294" s="6">
        <v>42102</v>
      </c>
      <c r="AV3294" s="6">
        <v>42102</v>
      </c>
      <c r="AW3294" t="s">
        <v>54</v>
      </c>
      <c r="AX3294" t="str">
        <f t="shared" si="284"/>
        <v>FOR</v>
      </c>
      <c r="AY3294" t="s">
        <v>55</v>
      </c>
    </row>
    <row r="3295" spans="1:51" hidden="1">
      <c r="A3295">
        <v>101130</v>
      </c>
      <c r="B3295" t="s">
        <v>550</v>
      </c>
      <c r="C3295" t="str">
        <f t="shared" si="286"/>
        <v>09238800156</v>
      </c>
      <c r="D3295" t="str">
        <f t="shared" si="286"/>
        <v>09238800156</v>
      </c>
      <c r="E3295" t="s">
        <v>52</v>
      </c>
      <c r="F3295">
        <v>2014</v>
      </c>
      <c r="G3295">
        <v>23442295</v>
      </c>
      <c r="H3295" s="1">
        <v>41743</v>
      </c>
      <c r="I3295" s="1">
        <v>41752</v>
      </c>
      <c r="J3295" s="1">
        <v>41752</v>
      </c>
      <c r="K3295" s="1">
        <v>41842</v>
      </c>
      <c r="N3295" s="5"/>
      <c r="O3295">
        <v>62.59</v>
      </c>
      <c r="P3295">
        <v>260</v>
      </c>
      <c r="Q3295" s="2">
        <v>16273.4</v>
      </c>
      <c r="R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 s="1">
        <v>42382</v>
      </c>
      <c r="AC3295" t="s">
        <v>53</v>
      </c>
      <c r="AD3295" t="s">
        <v>53</v>
      </c>
      <c r="AK3295">
        <v>0</v>
      </c>
      <c r="AU3295" s="6">
        <v>42102</v>
      </c>
      <c r="AV3295" s="6">
        <v>42102</v>
      </c>
      <c r="AW3295" t="s">
        <v>54</v>
      </c>
      <c r="AX3295" t="str">
        <f t="shared" si="284"/>
        <v>FOR</v>
      </c>
      <c r="AY3295" t="s">
        <v>55</v>
      </c>
    </row>
    <row r="3296" spans="1:51" hidden="1">
      <c r="A3296">
        <v>101130</v>
      </c>
      <c r="B3296" t="s">
        <v>550</v>
      </c>
      <c r="C3296" t="str">
        <f t="shared" si="286"/>
        <v>09238800156</v>
      </c>
      <c r="D3296" t="str">
        <f t="shared" si="286"/>
        <v>09238800156</v>
      </c>
      <c r="E3296" t="s">
        <v>52</v>
      </c>
      <c r="F3296">
        <v>2014</v>
      </c>
      <c r="G3296">
        <v>23443713</v>
      </c>
      <c r="H3296" s="1">
        <v>41745</v>
      </c>
      <c r="I3296" s="1">
        <v>41757</v>
      </c>
      <c r="J3296" s="1">
        <v>41757</v>
      </c>
      <c r="K3296" s="1">
        <v>41847</v>
      </c>
      <c r="N3296" s="5"/>
      <c r="O3296">
        <v>404.98</v>
      </c>
      <c r="P3296">
        <v>255</v>
      </c>
      <c r="Q3296" s="2">
        <v>103269.9</v>
      </c>
      <c r="R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 s="1">
        <v>42382</v>
      </c>
      <c r="AC3296" t="s">
        <v>53</v>
      </c>
      <c r="AD3296" t="s">
        <v>53</v>
      </c>
      <c r="AK3296">
        <v>0</v>
      </c>
      <c r="AU3296" s="6">
        <v>42102</v>
      </c>
      <c r="AV3296" s="6">
        <v>42102</v>
      </c>
      <c r="AW3296" t="s">
        <v>54</v>
      </c>
      <c r="AX3296" t="str">
        <f t="shared" si="284"/>
        <v>FOR</v>
      </c>
      <c r="AY3296" t="s">
        <v>55</v>
      </c>
    </row>
    <row r="3297" spans="1:51" hidden="1">
      <c r="A3297">
        <v>101130</v>
      </c>
      <c r="B3297" t="s">
        <v>550</v>
      </c>
      <c r="C3297" t="str">
        <f t="shared" si="286"/>
        <v>09238800156</v>
      </c>
      <c r="D3297" t="str">
        <f t="shared" si="286"/>
        <v>09238800156</v>
      </c>
      <c r="E3297" t="s">
        <v>52</v>
      </c>
      <c r="F3297">
        <v>2014</v>
      </c>
      <c r="G3297">
        <v>23446304</v>
      </c>
      <c r="H3297" s="1">
        <v>41752</v>
      </c>
      <c r="I3297" s="1">
        <v>41764</v>
      </c>
      <c r="J3297" s="1">
        <v>41764</v>
      </c>
      <c r="K3297" s="1">
        <v>41854</v>
      </c>
      <c r="N3297" s="5"/>
      <c r="O3297" s="2">
        <v>3042.32</v>
      </c>
      <c r="P3297">
        <v>248</v>
      </c>
      <c r="Q3297" s="2">
        <v>754495.36</v>
      </c>
      <c r="R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 s="1">
        <v>42382</v>
      </c>
      <c r="AC3297" t="s">
        <v>53</v>
      </c>
      <c r="AD3297" t="s">
        <v>53</v>
      </c>
      <c r="AK3297">
        <v>0</v>
      </c>
      <c r="AU3297" s="6">
        <v>42102</v>
      </c>
      <c r="AV3297" s="6">
        <v>42102</v>
      </c>
      <c r="AW3297" t="s">
        <v>54</v>
      </c>
      <c r="AX3297" t="str">
        <f t="shared" si="284"/>
        <v>FOR</v>
      </c>
      <c r="AY3297" t="s">
        <v>55</v>
      </c>
    </row>
    <row r="3298" spans="1:51" hidden="1">
      <c r="A3298">
        <v>101130</v>
      </c>
      <c r="B3298" t="s">
        <v>550</v>
      </c>
      <c r="C3298" t="str">
        <f t="shared" si="286"/>
        <v>09238800156</v>
      </c>
      <c r="D3298" t="str">
        <f t="shared" si="286"/>
        <v>09238800156</v>
      </c>
      <c r="E3298" t="s">
        <v>52</v>
      </c>
      <c r="F3298">
        <v>2014</v>
      </c>
      <c r="G3298">
        <v>23449361</v>
      </c>
      <c r="H3298" s="1">
        <v>41759</v>
      </c>
      <c r="I3298" s="1">
        <v>41771</v>
      </c>
      <c r="J3298" s="1">
        <v>41771</v>
      </c>
      <c r="K3298" s="1">
        <v>41861</v>
      </c>
      <c r="N3298" s="5"/>
      <c r="O3298" s="2">
        <v>16006.45</v>
      </c>
      <c r="P3298">
        <v>241</v>
      </c>
      <c r="Q3298" s="2">
        <v>3857554.45</v>
      </c>
      <c r="R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 s="1">
        <v>42382</v>
      </c>
      <c r="AC3298" t="s">
        <v>53</v>
      </c>
      <c r="AD3298" t="s">
        <v>53</v>
      </c>
      <c r="AK3298">
        <v>0</v>
      </c>
      <c r="AU3298" s="6">
        <v>42102</v>
      </c>
      <c r="AV3298" s="6">
        <v>42102</v>
      </c>
      <c r="AW3298" t="s">
        <v>54</v>
      </c>
      <c r="AX3298" t="str">
        <f t="shared" si="284"/>
        <v>FOR</v>
      </c>
      <c r="AY3298" t="s">
        <v>55</v>
      </c>
    </row>
    <row r="3299" spans="1:51" hidden="1">
      <c r="A3299">
        <v>101130</v>
      </c>
      <c r="B3299" t="s">
        <v>550</v>
      </c>
      <c r="C3299" t="str">
        <f t="shared" si="286"/>
        <v>09238800156</v>
      </c>
      <c r="D3299" t="str">
        <f t="shared" si="286"/>
        <v>09238800156</v>
      </c>
      <c r="E3299" t="s">
        <v>52</v>
      </c>
      <c r="F3299">
        <v>2014</v>
      </c>
      <c r="G3299">
        <v>23451040</v>
      </c>
      <c r="H3299" s="1">
        <v>41766</v>
      </c>
      <c r="I3299" s="1">
        <v>41778</v>
      </c>
      <c r="J3299" s="1">
        <v>41778</v>
      </c>
      <c r="K3299" s="1">
        <v>41868</v>
      </c>
      <c r="N3299" s="5"/>
      <c r="O3299" s="2">
        <v>1889.06</v>
      </c>
      <c r="P3299">
        <v>262</v>
      </c>
      <c r="Q3299" s="2">
        <v>494933.72</v>
      </c>
      <c r="R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 s="1">
        <v>42382</v>
      </c>
      <c r="AC3299" t="s">
        <v>53</v>
      </c>
      <c r="AD3299" t="s">
        <v>53</v>
      </c>
      <c r="AK3299">
        <v>0</v>
      </c>
      <c r="AU3299" s="6">
        <v>42130</v>
      </c>
      <c r="AV3299" s="6">
        <v>42130</v>
      </c>
      <c r="AW3299" t="s">
        <v>54</v>
      </c>
      <c r="AX3299" t="str">
        <f t="shared" si="284"/>
        <v>FOR</v>
      </c>
      <c r="AY3299" t="s">
        <v>55</v>
      </c>
    </row>
    <row r="3300" spans="1:51" hidden="1">
      <c r="A3300">
        <v>101130</v>
      </c>
      <c r="B3300" t="s">
        <v>550</v>
      </c>
      <c r="C3300" t="str">
        <f t="shared" si="286"/>
        <v>09238800156</v>
      </c>
      <c r="D3300" t="str">
        <f t="shared" si="286"/>
        <v>09238800156</v>
      </c>
      <c r="E3300" t="s">
        <v>52</v>
      </c>
      <c r="F3300">
        <v>2014</v>
      </c>
      <c r="G3300">
        <v>23454309</v>
      </c>
      <c r="H3300" s="1">
        <v>41774</v>
      </c>
      <c r="I3300" s="1">
        <v>41782</v>
      </c>
      <c r="J3300" s="1">
        <v>41782</v>
      </c>
      <c r="K3300" s="1">
        <v>41872</v>
      </c>
      <c r="N3300" s="5"/>
      <c r="O3300" s="2">
        <v>2835.98</v>
      </c>
      <c r="P3300">
        <v>258</v>
      </c>
      <c r="Q3300" s="2">
        <v>731682.84</v>
      </c>
      <c r="R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 s="1">
        <v>42382</v>
      </c>
      <c r="AC3300" t="s">
        <v>53</v>
      </c>
      <c r="AD3300" t="s">
        <v>53</v>
      </c>
      <c r="AK3300">
        <v>0</v>
      </c>
      <c r="AU3300" s="6">
        <v>42130</v>
      </c>
      <c r="AV3300" s="6">
        <v>42130</v>
      </c>
      <c r="AW3300" t="s">
        <v>54</v>
      </c>
      <c r="AX3300" t="str">
        <f t="shared" si="284"/>
        <v>FOR</v>
      </c>
      <c r="AY3300" t="s">
        <v>55</v>
      </c>
    </row>
    <row r="3301" spans="1:51" hidden="1">
      <c r="A3301">
        <v>101130</v>
      </c>
      <c r="B3301" t="s">
        <v>550</v>
      </c>
      <c r="C3301" t="str">
        <f t="shared" si="286"/>
        <v>09238800156</v>
      </c>
      <c r="D3301" t="str">
        <f t="shared" si="286"/>
        <v>09238800156</v>
      </c>
      <c r="E3301" t="s">
        <v>52</v>
      </c>
      <c r="F3301">
        <v>2014</v>
      </c>
      <c r="G3301">
        <v>23455342</v>
      </c>
      <c r="H3301" s="1">
        <v>41778</v>
      </c>
      <c r="I3301" s="1">
        <v>41788</v>
      </c>
      <c r="J3301" s="1">
        <v>41788</v>
      </c>
      <c r="K3301" s="1">
        <v>41878</v>
      </c>
      <c r="N3301" s="5"/>
      <c r="O3301">
        <v>603.9</v>
      </c>
      <c r="P3301">
        <v>252</v>
      </c>
      <c r="Q3301" s="2">
        <v>152182.79999999999</v>
      </c>
      <c r="R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 s="1">
        <v>42382</v>
      </c>
      <c r="AC3301" t="s">
        <v>53</v>
      </c>
      <c r="AD3301" t="s">
        <v>53</v>
      </c>
      <c r="AK3301">
        <v>0</v>
      </c>
      <c r="AU3301" s="6">
        <v>42130</v>
      </c>
      <c r="AV3301" s="6">
        <v>42130</v>
      </c>
      <c r="AW3301" t="s">
        <v>54</v>
      </c>
      <c r="AX3301" t="str">
        <f t="shared" si="284"/>
        <v>FOR</v>
      </c>
      <c r="AY3301" t="s">
        <v>55</v>
      </c>
    </row>
    <row r="3302" spans="1:51" hidden="1">
      <c r="A3302">
        <v>101130</v>
      </c>
      <c r="B3302" t="s">
        <v>550</v>
      </c>
      <c r="C3302" t="str">
        <f t="shared" si="286"/>
        <v>09238800156</v>
      </c>
      <c r="D3302" t="str">
        <f t="shared" si="286"/>
        <v>09238800156</v>
      </c>
      <c r="E3302" t="s">
        <v>52</v>
      </c>
      <c r="F3302">
        <v>2014</v>
      </c>
      <c r="G3302">
        <v>23467527</v>
      </c>
      <c r="H3302" s="1">
        <v>41809</v>
      </c>
      <c r="I3302" s="1">
        <v>41827</v>
      </c>
      <c r="J3302" s="1">
        <v>41827</v>
      </c>
      <c r="K3302" s="1">
        <v>41917</v>
      </c>
      <c r="N3302" s="5"/>
      <c r="O3302" s="2">
        <v>8967</v>
      </c>
      <c r="P3302">
        <v>214</v>
      </c>
      <c r="Q3302" s="2">
        <v>1918938</v>
      </c>
      <c r="R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 s="1">
        <v>42382</v>
      </c>
      <c r="AC3302" t="s">
        <v>53</v>
      </c>
      <c r="AD3302" t="s">
        <v>53</v>
      </c>
      <c r="AK3302">
        <v>0</v>
      </c>
      <c r="AU3302" s="6">
        <v>42131</v>
      </c>
      <c r="AV3302" s="6">
        <v>42131</v>
      </c>
      <c r="AW3302" t="s">
        <v>54</v>
      </c>
      <c r="AX3302" t="str">
        <f t="shared" si="284"/>
        <v>FOR</v>
      </c>
      <c r="AY3302" t="s">
        <v>55</v>
      </c>
    </row>
    <row r="3303" spans="1:51" hidden="1">
      <c r="A3303">
        <v>101130</v>
      </c>
      <c r="B3303" t="s">
        <v>550</v>
      </c>
      <c r="C3303" t="str">
        <f t="shared" si="286"/>
        <v>09238800156</v>
      </c>
      <c r="D3303" t="str">
        <f t="shared" si="286"/>
        <v>09238800156</v>
      </c>
      <c r="E3303" t="s">
        <v>52</v>
      </c>
      <c r="F3303">
        <v>2014</v>
      </c>
      <c r="G3303">
        <v>23472128</v>
      </c>
      <c r="H3303" s="1">
        <v>41820</v>
      </c>
      <c r="I3303" s="1">
        <v>41842</v>
      </c>
      <c r="J3303" s="1">
        <v>41842</v>
      </c>
      <c r="K3303" s="1">
        <v>41932</v>
      </c>
      <c r="N3303" s="5"/>
      <c r="O3303" s="2">
        <v>1713.23</v>
      </c>
      <c r="P3303">
        <v>227</v>
      </c>
      <c r="Q3303" s="2">
        <v>388903.21</v>
      </c>
      <c r="R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 s="1">
        <v>42382</v>
      </c>
      <c r="AC3303" t="s">
        <v>53</v>
      </c>
      <c r="AD3303" t="s">
        <v>53</v>
      </c>
      <c r="AK3303">
        <v>0</v>
      </c>
      <c r="AU3303" s="6">
        <v>42159</v>
      </c>
      <c r="AV3303" s="6">
        <v>42159</v>
      </c>
      <c r="AW3303" t="s">
        <v>54</v>
      </c>
      <c r="AX3303" t="str">
        <f t="shared" si="284"/>
        <v>FOR</v>
      </c>
      <c r="AY3303" t="s">
        <v>55</v>
      </c>
    </row>
    <row r="3304" spans="1:51" hidden="1">
      <c r="A3304">
        <v>101130</v>
      </c>
      <c r="B3304" t="s">
        <v>550</v>
      </c>
      <c r="C3304" t="str">
        <f t="shared" si="286"/>
        <v>09238800156</v>
      </c>
      <c r="D3304" t="str">
        <f t="shared" si="286"/>
        <v>09238800156</v>
      </c>
      <c r="E3304" t="s">
        <v>52</v>
      </c>
      <c r="F3304">
        <v>2014</v>
      </c>
      <c r="G3304">
        <v>23478121</v>
      </c>
      <c r="H3304" s="1">
        <v>41834</v>
      </c>
      <c r="I3304" s="1">
        <v>41844</v>
      </c>
      <c r="J3304" s="1">
        <v>41844</v>
      </c>
      <c r="K3304" s="1">
        <v>41934</v>
      </c>
      <c r="N3304" s="5"/>
      <c r="O3304" s="2">
        <v>6954</v>
      </c>
      <c r="P3304">
        <v>250</v>
      </c>
      <c r="Q3304" s="2">
        <v>1738500</v>
      </c>
      <c r="R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 s="1">
        <v>42382</v>
      </c>
      <c r="AC3304" t="s">
        <v>53</v>
      </c>
      <c r="AD3304" t="s">
        <v>53</v>
      </c>
      <c r="AK3304">
        <v>0</v>
      </c>
      <c r="AU3304" s="6">
        <v>42184</v>
      </c>
      <c r="AV3304" s="6">
        <v>42184</v>
      </c>
      <c r="AW3304" t="s">
        <v>54</v>
      </c>
      <c r="AX3304" t="str">
        <f t="shared" si="284"/>
        <v>FOR</v>
      </c>
      <c r="AY3304" t="s">
        <v>55</v>
      </c>
    </row>
    <row r="3305" spans="1:51" hidden="1">
      <c r="A3305">
        <v>101130</v>
      </c>
      <c r="B3305" t="s">
        <v>550</v>
      </c>
      <c r="C3305" t="str">
        <f t="shared" si="286"/>
        <v>09238800156</v>
      </c>
      <c r="D3305" t="str">
        <f t="shared" si="286"/>
        <v>09238800156</v>
      </c>
      <c r="E3305" t="s">
        <v>52</v>
      </c>
      <c r="F3305">
        <v>2014</v>
      </c>
      <c r="G3305">
        <v>23480358</v>
      </c>
      <c r="H3305" s="1">
        <v>41838</v>
      </c>
      <c r="I3305" s="1">
        <v>41844</v>
      </c>
      <c r="J3305" s="1">
        <v>41844</v>
      </c>
      <c r="K3305" s="1">
        <v>41934</v>
      </c>
      <c r="N3305" s="5"/>
      <c r="O3305" s="2">
        <v>5370.68</v>
      </c>
      <c r="P3305">
        <v>250</v>
      </c>
      <c r="Q3305" s="2">
        <v>1342670</v>
      </c>
      <c r="R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 s="1">
        <v>42382</v>
      </c>
      <c r="AC3305" t="s">
        <v>53</v>
      </c>
      <c r="AD3305" t="s">
        <v>53</v>
      </c>
      <c r="AK3305">
        <v>0</v>
      </c>
      <c r="AU3305" s="6">
        <v>42184</v>
      </c>
      <c r="AV3305" s="6">
        <v>42184</v>
      </c>
      <c r="AW3305" t="s">
        <v>54</v>
      </c>
      <c r="AX3305" t="str">
        <f t="shared" si="284"/>
        <v>FOR</v>
      </c>
      <c r="AY3305" t="s">
        <v>55</v>
      </c>
    </row>
    <row r="3306" spans="1:51" hidden="1">
      <c r="A3306">
        <v>101130</v>
      </c>
      <c r="B3306" t="s">
        <v>550</v>
      </c>
      <c r="C3306" t="str">
        <f t="shared" si="286"/>
        <v>09238800156</v>
      </c>
      <c r="D3306" t="str">
        <f t="shared" si="286"/>
        <v>09238800156</v>
      </c>
      <c r="E3306" t="s">
        <v>52</v>
      </c>
      <c r="F3306">
        <v>2014</v>
      </c>
      <c r="G3306">
        <v>23481069</v>
      </c>
      <c r="H3306" s="1">
        <v>41841</v>
      </c>
      <c r="I3306" s="1">
        <v>41876</v>
      </c>
      <c r="J3306" s="1">
        <v>41876</v>
      </c>
      <c r="K3306" s="1">
        <v>41966</v>
      </c>
      <c r="N3306" s="5"/>
      <c r="O3306" s="2">
        <v>11798.62</v>
      </c>
      <c r="P3306">
        <v>218</v>
      </c>
      <c r="Q3306" s="2">
        <v>2572099.16</v>
      </c>
      <c r="R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 s="1">
        <v>42382</v>
      </c>
      <c r="AC3306" t="s">
        <v>53</v>
      </c>
      <c r="AD3306" t="s">
        <v>53</v>
      </c>
      <c r="AK3306">
        <v>0</v>
      </c>
      <c r="AU3306" s="6">
        <v>42184</v>
      </c>
      <c r="AV3306" s="6">
        <v>42184</v>
      </c>
      <c r="AW3306" t="s">
        <v>54</v>
      </c>
      <c r="AX3306" t="str">
        <f t="shared" si="284"/>
        <v>FOR</v>
      </c>
      <c r="AY3306" t="s">
        <v>55</v>
      </c>
    </row>
    <row r="3307" spans="1:51" hidden="1">
      <c r="A3307">
        <v>101130</v>
      </c>
      <c r="B3307" t="s">
        <v>550</v>
      </c>
      <c r="C3307" t="str">
        <f t="shared" si="286"/>
        <v>09238800156</v>
      </c>
      <c r="D3307" t="str">
        <f t="shared" si="286"/>
        <v>09238800156</v>
      </c>
      <c r="E3307" t="s">
        <v>52</v>
      </c>
      <c r="F3307">
        <v>2014</v>
      </c>
      <c r="G3307">
        <v>23485346</v>
      </c>
      <c r="H3307" s="1">
        <v>41848</v>
      </c>
      <c r="I3307" s="1">
        <v>41873</v>
      </c>
      <c r="J3307" s="1">
        <v>41873</v>
      </c>
      <c r="K3307" s="1">
        <v>41963</v>
      </c>
      <c r="N3307" s="5"/>
      <c r="O3307" s="2">
        <v>1107.1500000000001</v>
      </c>
      <c r="P3307">
        <v>221</v>
      </c>
      <c r="Q3307" s="2">
        <v>244680.15</v>
      </c>
      <c r="R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 s="1">
        <v>42382</v>
      </c>
      <c r="AC3307" t="s">
        <v>53</v>
      </c>
      <c r="AD3307" t="s">
        <v>53</v>
      </c>
      <c r="AK3307">
        <v>0</v>
      </c>
      <c r="AU3307" s="6">
        <v>42184</v>
      </c>
      <c r="AV3307" s="6">
        <v>42184</v>
      </c>
      <c r="AW3307" t="s">
        <v>54</v>
      </c>
      <c r="AX3307" t="str">
        <f t="shared" si="284"/>
        <v>FOR</v>
      </c>
      <c r="AY3307" t="s">
        <v>55</v>
      </c>
    </row>
    <row r="3308" spans="1:51" hidden="1">
      <c r="A3308">
        <v>101130</v>
      </c>
      <c r="B3308" t="s">
        <v>550</v>
      </c>
      <c r="C3308" t="str">
        <f t="shared" si="286"/>
        <v>09238800156</v>
      </c>
      <c r="D3308" t="str">
        <f t="shared" si="286"/>
        <v>09238800156</v>
      </c>
      <c r="E3308" t="s">
        <v>52</v>
      </c>
      <c r="F3308">
        <v>2014</v>
      </c>
      <c r="G3308">
        <v>23489459</v>
      </c>
      <c r="H3308" s="1">
        <v>41859</v>
      </c>
      <c r="I3308" s="1">
        <v>41879</v>
      </c>
      <c r="J3308" s="1">
        <v>41879</v>
      </c>
      <c r="K3308" s="1">
        <v>41969</v>
      </c>
      <c r="N3308" s="5"/>
      <c r="O3308">
        <v>353.6</v>
      </c>
      <c r="P3308">
        <v>215</v>
      </c>
      <c r="Q3308" s="2">
        <v>76024</v>
      </c>
      <c r="R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 s="1">
        <v>42382</v>
      </c>
      <c r="AC3308" t="s">
        <v>53</v>
      </c>
      <c r="AD3308" t="s">
        <v>53</v>
      </c>
      <c r="AK3308">
        <v>0</v>
      </c>
      <c r="AU3308" s="6">
        <v>42184</v>
      </c>
      <c r="AV3308" s="6">
        <v>42184</v>
      </c>
      <c r="AW3308" t="s">
        <v>54</v>
      </c>
      <c r="AX3308" t="str">
        <f t="shared" si="284"/>
        <v>FOR</v>
      </c>
      <c r="AY3308" t="s">
        <v>55</v>
      </c>
    </row>
    <row r="3309" spans="1:51" hidden="1">
      <c r="A3309">
        <v>101130</v>
      </c>
      <c r="B3309" t="s">
        <v>550</v>
      </c>
      <c r="C3309" t="str">
        <f t="shared" si="286"/>
        <v>09238800156</v>
      </c>
      <c r="D3309" t="str">
        <f t="shared" si="286"/>
        <v>09238800156</v>
      </c>
      <c r="E3309" t="s">
        <v>52</v>
      </c>
      <c r="F3309">
        <v>2014</v>
      </c>
      <c r="G3309">
        <v>23493771</v>
      </c>
      <c r="H3309" s="1">
        <v>41880</v>
      </c>
      <c r="I3309" s="1">
        <v>41907</v>
      </c>
      <c r="J3309" s="1">
        <v>41907</v>
      </c>
      <c r="K3309" s="1">
        <v>41997</v>
      </c>
      <c r="N3309" s="5"/>
      <c r="O3309" s="2">
        <v>14456</v>
      </c>
      <c r="P3309">
        <v>187</v>
      </c>
      <c r="Q3309" s="2">
        <v>2703272</v>
      </c>
      <c r="R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 s="1">
        <v>42382</v>
      </c>
      <c r="AC3309" t="s">
        <v>53</v>
      </c>
      <c r="AD3309" t="s">
        <v>53</v>
      </c>
      <c r="AK3309">
        <v>0</v>
      </c>
      <c r="AU3309" s="6">
        <v>42184</v>
      </c>
      <c r="AV3309" s="6">
        <v>42184</v>
      </c>
      <c r="AW3309" t="s">
        <v>54</v>
      </c>
      <c r="AX3309" t="str">
        <f t="shared" si="284"/>
        <v>FOR</v>
      </c>
      <c r="AY3309" t="s">
        <v>55</v>
      </c>
    </row>
    <row r="3310" spans="1:51" hidden="1">
      <c r="A3310">
        <v>101130</v>
      </c>
      <c r="B3310" t="s">
        <v>550</v>
      </c>
      <c r="C3310" t="str">
        <f t="shared" si="286"/>
        <v>09238800156</v>
      </c>
      <c r="D3310" t="str">
        <f t="shared" si="286"/>
        <v>09238800156</v>
      </c>
      <c r="E3310" t="s">
        <v>52</v>
      </c>
      <c r="F3310">
        <v>2014</v>
      </c>
      <c r="G3310">
        <v>23493772</v>
      </c>
      <c r="H3310" s="1">
        <v>41880</v>
      </c>
      <c r="I3310" s="1">
        <v>41911</v>
      </c>
      <c r="J3310" s="1">
        <v>41911</v>
      </c>
      <c r="K3310" s="1">
        <v>42001</v>
      </c>
      <c r="N3310" s="5"/>
      <c r="O3310" s="2">
        <v>7228</v>
      </c>
      <c r="P3310">
        <v>183</v>
      </c>
      <c r="Q3310" s="2">
        <v>1322724</v>
      </c>
      <c r="R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 s="1">
        <v>42382</v>
      </c>
      <c r="AC3310" t="s">
        <v>53</v>
      </c>
      <c r="AD3310" t="s">
        <v>53</v>
      </c>
      <c r="AK3310">
        <v>0</v>
      </c>
      <c r="AU3310" s="6">
        <v>42184</v>
      </c>
      <c r="AV3310" s="6">
        <v>42184</v>
      </c>
      <c r="AW3310" t="s">
        <v>54</v>
      </c>
      <c r="AX3310" t="str">
        <f t="shared" si="284"/>
        <v>FOR</v>
      </c>
      <c r="AY3310" t="s">
        <v>55</v>
      </c>
    </row>
    <row r="3311" spans="1:51" hidden="1">
      <c r="A3311">
        <v>101130</v>
      </c>
      <c r="B3311" t="s">
        <v>550</v>
      </c>
      <c r="C3311" t="str">
        <f t="shared" si="286"/>
        <v>09238800156</v>
      </c>
      <c r="D3311" t="str">
        <f t="shared" si="286"/>
        <v>09238800156</v>
      </c>
      <c r="E3311" t="s">
        <v>52</v>
      </c>
      <c r="F3311">
        <v>2014</v>
      </c>
      <c r="G3311">
        <v>23494911</v>
      </c>
      <c r="H3311" s="1">
        <v>41885</v>
      </c>
      <c r="I3311" s="1">
        <v>41907</v>
      </c>
      <c r="J3311" s="1">
        <v>41907</v>
      </c>
      <c r="K3311" s="1">
        <v>41997</v>
      </c>
      <c r="N3311" s="5"/>
      <c r="O3311" s="2">
        <v>2727.63</v>
      </c>
      <c r="P3311">
        <v>253</v>
      </c>
      <c r="Q3311" s="2">
        <v>690090.39</v>
      </c>
      <c r="R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 s="1">
        <v>42382</v>
      </c>
      <c r="AC3311" t="s">
        <v>53</v>
      </c>
      <c r="AD3311" t="s">
        <v>53</v>
      </c>
      <c r="AK3311">
        <v>0</v>
      </c>
      <c r="AU3311" s="6">
        <v>42250</v>
      </c>
      <c r="AV3311" s="6">
        <v>42250</v>
      </c>
      <c r="AW3311" t="s">
        <v>54</v>
      </c>
      <c r="AX3311" t="str">
        <f t="shared" si="284"/>
        <v>FOR</v>
      </c>
      <c r="AY3311" t="s">
        <v>55</v>
      </c>
    </row>
    <row r="3312" spans="1:51" hidden="1">
      <c r="A3312">
        <v>101130</v>
      </c>
      <c r="B3312" t="s">
        <v>550</v>
      </c>
      <c r="C3312" t="str">
        <f t="shared" si="286"/>
        <v>09238800156</v>
      </c>
      <c r="D3312" t="str">
        <f t="shared" si="286"/>
        <v>09238800156</v>
      </c>
      <c r="E3312" t="s">
        <v>52</v>
      </c>
      <c r="F3312">
        <v>2014</v>
      </c>
      <c r="G3312">
        <v>23494912</v>
      </c>
      <c r="H3312" s="1">
        <v>41885</v>
      </c>
      <c r="I3312" s="1">
        <v>41911</v>
      </c>
      <c r="J3312" s="1">
        <v>41911</v>
      </c>
      <c r="K3312" s="1">
        <v>42001</v>
      </c>
      <c r="N3312" s="5"/>
      <c r="O3312" s="2">
        <v>7347.6</v>
      </c>
      <c r="P3312">
        <v>249</v>
      </c>
      <c r="Q3312" s="2">
        <v>1829552.4</v>
      </c>
      <c r="R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 s="1">
        <v>42382</v>
      </c>
      <c r="AC3312" t="s">
        <v>53</v>
      </c>
      <c r="AD3312" t="s">
        <v>53</v>
      </c>
      <c r="AK3312">
        <v>0</v>
      </c>
      <c r="AU3312" s="6">
        <v>42250</v>
      </c>
      <c r="AV3312" s="6">
        <v>42250</v>
      </c>
      <c r="AW3312" t="s">
        <v>54</v>
      </c>
      <c r="AX3312" t="str">
        <f t="shared" si="284"/>
        <v>FOR</v>
      </c>
      <c r="AY3312" t="s">
        <v>55</v>
      </c>
    </row>
    <row r="3313" spans="1:51" hidden="1">
      <c r="A3313">
        <v>101130</v>
      </c>
      <c r="B3313" t="s">
        <v>550</v>
      </c>
      <c r="C3313" t="str">
        <f t="shared" si="286"/>
        <v>09238800156</v>
      </c>
      <c r="D3313" t="str">
        <f t="shared" si="286"/>
        <v>09238800156</v>
      </c>
      <c r="E3313" t="s">
        <v>52</v>
      </c>
      <c r="F3313">
        <v>2014</v>
      </c>
      <c r="G3313">
        <v>23497567</v>
      </c>
      <c r="H3313" s="1">
        <v>41893</v>
      </c>
      <c r="I3313" s="1">
        <v>41911</v>
      </c>
      <c r="J3313" s="1">
        <v>41911</v>
      </c>
      <c r="K3313" s="1">
        <v>42001</v>
      </c>
      <c r="N3313" s="5"/>
      <c r="O3313" s="2">
        <v>1107.1500000000001</v>
      </c>
      <c r="P3313">
        <v>249</v>
      </c>
      <c r="Q3313" s="2">
        <v>275680.34999999998</v>
      </c>
      <c r="R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 s="1">
        <v>42382</v>
      </c>
      <c r="AC3313" t="s">
        <v>53</v>
      </c>
      <c r="AD3313" t="s">
        <v>53</v>
      </c>
      <c r="AK3313">
        <v>0</v>
      </c>
      <c r="AU3313" s="6">
        <v>42250</v>
      </c>
      <c r="AV3313" s="6">
        <v>42250</v>
      </c>
      <c r="AW3313" t="s">
        <v>54</v>
      </c>
      <c r="AX3313" t="str">
        <f t="shared" si="284"/>
        <v>FOR</v>
      </c>
      <c r="AY3313" t="s">
        <v>55</v>
      </c>
    </row>
    <row r="3314" spans="1:51" hidden="1">
      <c r="A3314">
        <v>101130</v>
      </c>
      <c r="B3314" t="s">
        <v>550</v>
      </c>
      <c r="C3314" t="str">
        <f t="shared" ref="C3314:D3333" si="287">"09238800156"</f>
        <v>09238800156</v>
      </c>
      <c r="D3314" t="str">
        <f t="shared" si="287"/>
        <v>09238800156</v>
      </c>
      <c r="E3314" t="s">
        <v>52</v>
      </c>
      <c r="F3314">
        <v>2014</v>
      </c>
      <c r="G3314">
        <v>23498945</v>
      </c>
      <c r="H3314" s="1">
        <v>41898</v>
      </c>
      <c r="I3314" s="1">
        <v>41911</v>
      </c>
      <c r="J3314" s="1">
        <v>41911</v>
      </c>
      <c r="K3314" s="1">
        <v>42001</v>
      </c>
      <c r="N3314" s="5"/>
      <c r="O3314" s="2">
        <v>3029.83</v>
      </c>
      <c r="P3314">
        <v>249</v>
      </c>
      <c r="Q3314" s="2">
        <v>754427.67</v>
      </c>
      <c r="R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 s="1">
        <v>42382</v>
      </c>
      <c r="AC3314" t="s">
        <v>53</v>
      </c>
      <c r="AD3314" t="s">
        <v>53</v>
      </c>
      <c r="AK3314">
        <v>0</v>
      </c>
      <c r="AU3314" s="6">
        <v>42250</v>
      </c>
      <c r="AV3314" s="6">
        <v>42250</v>
      </c>
      <c r="AW3314" t="s">
        <v>54</v>
      </c>
      <c r="AX3314" t="str">
        <f t="shared" si="284"/>
        <v>FOR</v>
      </c>
      <c r="AY3314" t="s">
        <v>55</v>
      </c>
    </row>
    <row r="3315" spans="1:51" hidden="1">
      <c r="A3315">
        <v>101130</v>
      </c>
      <c r="B3315" t="s">
        <v>550</v>
      </c>
      <c r="C3315" t="str">
        <f t="shared" si="287"/>
        <v>09238800156</v>
      </c>
      <c r="D3315" t="str">
        <f t="shared" si="287"/>
        <v>09238800156</v>
      </c>
      <c r="E3315" t="s">
        <v>52</v>
      </c>
      <c r="F3315">
        <v>2014</v>
      </c>
      <c r="G3315">
        <v>23498946</v>
      </c>
      <c r="H3315" s="1">
        <v>41898</v>
      </c>
      <c r="I3315" s="1">
        <v>41914</v>
      </c>
      <c r="J3315" s="1">
        <v>41914</v>
      </c>
      <c r="K3315" s="1">
        <v>42004</v>
      </c>
      <c r="N3315" s="5"/>
      <c r="O3315">
        <v>404.98</v>
      </c>
      <c r="P3315">
        <v>246</v>
      </c>
      <c r="Q3315" s="2">
        <v>99625.08</v>
      </c>
      <c r="R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 s="1">
        <v>42382</v>
      </c>
      <c r="AC3315" t="s">
        <v>53</v>
      </c>
      <c r="AD3315" t="s">
        <v>53</v>
      </c>
      <c r="AK3315">
        <v>0</v>
      </c>
      <c r="AU3315" s="6">
        <v>42250</v>
      </c>
      <c r="AV3315" s="6">
        <v>42250</v>
      </c>
      <c r="AW3315" t="s">
        <v>54</v>
      </c>
      <c r="AX3315" t="str">
        <f t="shared" si="284"/>
        <v>FOR</v>
      </c>
      <c r="AY3315" t="s">
        <v>55</v>
      </c>
    </row>
    <row r="3316" spans="1:51" hidden="1">
      <c r="A3316">
        <v>101130</v>
      </c>
      <c r="B3316" t="s">
        <v>550</v>
      </c>
      <c r="C3316" t="str">
        <f t="shared" si="287"/>
        <v>09238800156</v>
      </c>
      <c r="D3316" t="str">
        <f t="shared" si="287"/>
        <v>09238800156</v>
      </c>
      <c r="E3316" t="s">
        <v>52</v>
      </c>
      <c r="F3316">
        <v>2014</v>
      </c>
      <c r="G3316">
        <v>23498947</v>
      </c>
      <c r="H3316" s="1">
        <v>41898</v>
      </c>
      <c r="I3316" s="1">
        <v>41911</v>
      </c>
      <c r="J3316" s="1">
        <v>41911</v>
      </c>
      <c r="K3316" s="1">
        <v>42001</v>
      </c>
      <c r="N3316" s="5"/>
      <c r="O3316">
        <v>62.59</v>
      </c>
      <c r="P3316">
        <v>249</v>
      </c>
      <c r="Q3316" s="2">
        <v>15584.91</v>
      </c>
      <c r="R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 s="1">
        <v>42382</v>
      </c>
      <c r="AC3316" t="s">
        <v>53</v>
      </c>
      <c r="AD3316" t="s">
        <v>53</v>
      </c>
      <c r="AK3316">
        <v>0</v>
      </c>
      <c r="AU3316" s="6">
        <v>42250</v>
      </c>
      <c r="AV3316" s="6">
        <v>42250</v>
      </c>
      <c r="AW3316" t="s">
        <v>54</v>
      </c>
      <c r="AX3316" t="str">
        <f t="shared" si="284"/>
        <v>FOR</v>
      </c>
      <c r="AY3316" t="s">
        <v>55</v>
      </c>
    </row>
    <row r="3317" spans="1:51" hidden="1">
      <c r="A3317">
        <v>101130</v>
      </c>
      <c r="B3317" t="s">
        <v>550</v>
      </c>
      <c r="C3317" t="str">
        <f t="shared" si="287"/>
        <v>09238800156</v>
      </c>
      <c r="D3317" t="str">
        <f t="shared" si="287"/>
        <v>09238800156</v>
      </c>
      <c r="E3317" t="s">
        <v>52</v>
      </c>
      <c r="F3317">
        <v>2014</v>
      </c>
      <c r="G3317">
        <v>23498948</v>
      </c>
      <c r="H3317" s="1">
        <v>41898</v>
      </c>
      <c r="I3317" s="1">
        <v>41920</v>
      </c>
      <c r="J3317" s="1">
        <v>41920</v>
      </c>
      <c r="K3317" s="1">
        <v>42010</v>
      </c>
      <c r="N3317" s="5"/>
      <c r="O3317">
        <v>62.59</v>
      </c>
      <c r="P3317">
        <v>240</v>
      </c>
      <c r="Q3317" s="2">
        <v>15021.6</v>
      </c>
      <c r="R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 s="1">
        <v>42382</v>
      </c>
      <c r="AC3317" t="s">
        <v>53</v>
      </c>
      <c r="AD3317" t="s">
        <v>53</v>
      </c>
      <c r="AK3317">
        <v>0</v>
      </c>
      <c r="AU3317" s="6">
        <v>42250</v>
      </c>
      <c r="AV3317" s="6">
        <v>42250</v>
      </c>
      <c r="AW3317" t="s">
        <v>54</v>
      </c>
      <c r="AX3317" t="str">
        <f t="shared" si="284"/>
        <v>FOR</v>
      </c>
      <c r="AY3317" t="s">
        <v>55</v>
      </c>
    </row>
    <row r="3318" spans="1:51" hidden="1">
      <c r="A3318">
        <v>101130</v>
      </c>
      <c r="B3318" t="s">
        <v>550</v>
      </c>
      <c r="C3318" t="str">
        <f t="shared" si="287"/>
        <v>09238800156</v>
      </c>
      <c r="D3318" t="str">
        <f t="shared" si="287"/>
        <v>09238800156</v>
      </c>
      <c r="E3318" t="s">
        <v>52</v>
      </c>
      <c r="F3318">
        <v>2014</v>
      </c>
      <c r="G3318">
        <v>23498949</v>
      </c>
      <c r="H3318" s="1">
        <v>41898</v>
      </c>
      <c r="I3318" s="1">
        <v>41920</v>
      </c>
      <c r="J3318" s="1">
        <v>41920</v>
      </c>
      <c r="K3318" s="1">
        <v>42010</v>
      </c>
      <c r="N3318" s="5"/>
      <c r="O3318">
        <v>62.59</v>
      </c>
      <c r="P3318">
        <v>240</v>
      </c>
      <c r="Q3318" s="2">
        <v>15021.6</v>
      </c>
      <c r="R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 s="1">
        <v>42382</v>
      </c>
      <c r="AC3318" t="s">
        <v>53</v>
      </c>
      <c r="AD3318" t="s">
        <v>53</v>
      </c>
      <c r="AK3318">
        <v>0</v>
      </c>
      <c r="AU3318" s="6">
        <v>42250</v>
      </c>
      <c r="AV3318" s="6">
        <v>42250</v>
      </c>
      <c r="AW3318" t="s">
        <v>54</v>
      </c>
      <c r="AX3318" t="str">
        <f t="shared" si="284"/>
        <v>FOR</v>
      </c>
      <c r="AY3318" t="s">
        <v>55</v>
      </c>
    </row>
    <row r="3319" spans="1:51" hidden="1">
      <c r="A3319">
        <v>101130</v>
      </c>
      <c r="B3319" t="s">
        <v>550</v>
      </c>
      <c r="C3319" t="str">
        <f t="shared" si="287"/>
        <v>09238800156</v>
      </c>
      <c r="D3319" t="str">
        <f t="shared" si="287"/>
        <v>09238800156</v>
      </c>
      <c r="E3319" t="s">
        <v>52</v>
      </c>
      <c r="F3319">
        <v>2014</v>
      </c>
      <c r="G3319">
        <v>23498950</v>
      </c>
      <c r="H3319" s="1">
        <v>41898</v>
      </c>
      <c r="I3319" s="1">
        <v>41920</v>
      </c>
      <c r="J3319" s="1">
        <v>41920</v>
      </c>
      <c r="K3319" s="1">
        <v>42010</v>
      </c>
      <c r="N3319" s="5"/>
      <c r="O3319">
        <v>62.59</v>
      </c>
      <c r="P3319">
        <v>240</v>
      </c>
      <c r="Q3319" s="2">
        <v>15021.6</v>
      </c>
      <c r="R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 s="1">
        <v>42382</v>
      </c>
      <c r="AC3319" t="s">
        <v>53</v>
      </c>
      <c r="AD3319" t="s">
        <v>53</v>
      </c>
      <c r="AK3319">
        <v>0</v>
      </c>
      <c r="AU3319" s="6">
        <v>42250</v>
      </c>
      <c r="AV3319" s="6">
        <v>42250</v>
      </c>
      <c r="AW3319" t="s">
        <v>54</v>
      </c>
      <c r="AX3319" t="str">
        <f t="shared" si="284"/>
        <v>FOR</v>
      </c>
      <c r="AY3319" t="s">
        <v>55</v>
      </c>
    </row>
    <row r="3320" spans="1:51" hidden="1">
      <c r="A3320">
        <v>101130</v>
      </c>
      <c r="B3320" t="s">
        <v>550</v>
      </c>
      <c r="C3320" t="str">
        <f t="shared" si="287"/>
        <v>09238800156</v>
      </c>
      <c r="D3320" t="str">
        <f t="shared" si="287"/>
        <v>09238800156</v>
      </c>
      <c r="E3320" t="s">
        <v>52</v>
      </c>
      <c r="F3320">
        <v>2014</v>
      </c>
      <c r="G3320">
        <v>23498951</v>
      </c>
      <c r="H3320" s="1">
        <v>41898</v>
      </c>
      <c r="I3320" s="1">
        <v>41911</v>
      </c>
      <c r="J3320" s="1">
        <v>41911</v>
      </c>
      <c r="K3320" s="1">
        <v>42001</v>
      </c>
      <c r="N3320" s="5"/>
      <c r="O3320" s="2">
        <v>4299.6099999999997</v>
      </c>
      <c r="P3320">
        <v>249</v>
      </c>
      <c r="Q3320" s="2">
        <v>1070602.8899999999</v>
      </c>
      <c r="R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 s="1">
        <v>42382</v>
      </c>
      <c r="AC3320" t="s">
        <v>53</v>
      </c>
      <c r="AD3320" t="s">
        <v>53</v>
      </c>
      <c r="AK3320">
        <v>0</v>
      </c>
      <c r="AU3320" s="6">
        <v>42250</v>
      </c>
      <c r="AV3320" s="6">
        <v>42250</v>
      </c>
      <c r="AW3320" t="s">
        <v>54</v>
      </c>
      <c r="AX3320" t="str">
        <f t="shared" si="284"/>
        <v>FOR</v>
      </c>
      <c r="AY3320" t="s">
        <v>55</v>
      </c>
    </row>
    <row r="3321" spans="1:51" hidden="1">
      <c r="A3321">
        <v>101130</v>
      </c>
      <c r="B3321" t="s">
        <v>550</v>
      </c>
      <c r="C3321" t="str">
        <f t="shared" si="287"/>
        <v>09238800156</v>
      </c>
      <c r="D3321" t="str">
        <f t="shared" si="287"/>
        <v>09238800156</v>
      </c>
      <c r="E3321" t="s">
        <v>52</v>
      </c>
      <c r="F3321">
        <v>2014</v>
      </c>
      <c r="G3321">
        <v>23499872</v>
      </c>
      <c r="H3321" s="1">
        <v>41900</v>
      </c>
      <c r="I3321" s="1">
        <v>41919</v>
      </c>
      <c r="J3321" s="1">
        <v>41919</v>
      </c>
      <c r="K3321" s="1">
        <v>42009</v>
      </c>
      <c r="N3321" s="5"/>
      <c r="O3321" s="2">
        <v>8967</v>
      </c>
      <c r="P3321">
        <v>241</v>
      </c>
      <c r="Q3321" s="2">
        <v>2161047</v>
      </c>
      <c r="R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 s="1">
        <v>42382</v>
      </c>
      <c r="AC3321" t="s">
        <v>53</v>
      </c>
      <c r="AD3321" t="s">
        <v>53</v>
      </c>
      <c r="AK3321">
        <v>0</v>
      </c>
      <c r="AU3321" s="6">
        <v>42250</v>
      </c>
      <c r="AV3321" s="6">
        <v>42250</v>
      </c>
      <c r="AW3321" t="s">
        <v>54</v>
      </c>
      <c r="AX3321" t="str">
        <f t="shared" si="284"/>
        <v>FOR</v>
      </c>
      <c r="AY3321" t="s">
        <v>55</v>
      </c>
    </row>
    <row r="3322" spans="1:51">
      <c r="A3322">
        <v>101130</v>
      </c>
      <c r="B3322" t="s">
        <v>550</v>
      </c>
      <c r="C3322" t="str">
        <f t="shared" si="287"/>
        <v>09238800156</v>
      </c>
      <c r="D3322" t="str">
        <f t="shared" si="287"/>
        <v>09238800156</v>
      </c>
      <c r="E3322" t="s">
        <v>52</v>
      </c>
      <c r="F3322">
        <v>2014</v>
      </c>
      <c r="G3322">
        <v>23505546</v>
      </c>
      <c r="H3322" s="1">
        <v>41914</v>
      </c>
      <c r="I3322" s="1">
        <v>41932</v>
      </c>
      <c r="J3322" s="1">
        <v>41932</v>
      </c>
      <c r="K3322" s="1">
        <v>41992</v>
      </c>
      <c r="L3322" s="7">
        <v>13908</v>
      </c>
      <c r="M3322" s="5">
        <v>286</v>
      </c>
      <c r="N3322" s="7">
        <v>3977688</v>
      </c>
      <c r="O3322" s="2">
        <v>13908</v>
      </c>
      <c r="P3322">
        <v>286</v>
      </c>
      <c r="Q3322" s="2">
        <v>3977688</v>
      </c>
      <c r="R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 s="1">
        <v>42382</v>
      </c>
      <c r="AC3322" t="s">
        <v>53</v>
      </c>
      <c r="AD3322" t="s">
        <v>53</v>
      </c>
      <c r="AK3322">
        <v>0</v>
      </c>
      <c r="AU3322" s="6">
        <v>42278</v>
      </c>
      <c r="AV3322" s="6">
        <v>42278</v>
      </c>
      <c r="AW3322" t="s">
        <v>54</v>
      </c>
      <c r="AX3322" t="str">
        <f t="shared" si="284"/>
        <v>FOR</v>
      </c>
      <c r="AY3322" t="s">
        <v>55</v>
      </c>
    </row>
    <row r="3323" spans="1:51">
      <c r="A3323">
        <v>101130</v>
      </c>
      <c r="B3323" t="s">
        <v>550</v>
      </c>
      <c r="C3323" t="str">
        <f t="shared" si="287"/>
        <v>09238800156</v>
      </c>
      <c r="D3323" t="str">
        <f t="shared" si="287"/>
        <v>09238800156</v>
      </c>
      <c r="E3323" t="s">
        <v>52</v>
      </c>
      <c r="F3323">
        <v>2014</v>
      </c>
      <c r="G3323">
        <v>23505547</v>
      </c>
      <c r="H3323" s="1">
        <v>41914</v>
      </c>
      <c r="I3323" s="1">
        <v>41932</v>
      </c>
      <c r="J3323" s="1">
        <v>41932</v>
      </c>
      <c r="K3323" s="1">
        <v>41992</v>
      </c>
      <c r="L3323" s="7">
        <v>2080</v>
      </c>
      <c r="M3323" s="5">
        <v>286</v>
      </c>
      <c r="N3323" s="7">
        <v>594880</v>
      </c>
      <c r="O3323" s="2">
        <v>2080</v>
      </c>
      <c r="P3323">
        <v>286</v>
      </c>
      <c r="Q3323" s="2">
        <v>594880</v>
      </c>
      <c r="R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 s="1">
        <v>42382</v>
      </c>
      <c r="AC3323" t="s">
        <v>53</v>
      </c>
      <c r="AD3323" t="s">
        <v>53</v>
      </c>
      <c r="AK3323">
        <v>0</v>
      </c>
      <c r="AU3323" s="6">
        <v>42278</v>
      </c>
      <c r="AV3323" s="6">
        <v>42278</v>
      </c>
      <c r="AW3323" t="s">
        <v>54</v>
      </c>
      <c r="AX3323" t="str">
        <f t="shared" si="284"/>
        <v>FOR</v>
      </c>
      <c r="AY3323" t="s">
        <v>55</v>
      </c>
    </row>
    <row r="3324" spans="1:51">
      <c r="A3324">
        <v>101130</v>
      </c>
      <c r="B3324" t="s">
        <v>550</v>
      </c>
      <c r="C3324" t="str">
        <f t="shared" si="287"/>
        <v>09238800156</v>
      </c>
      <c r="D3324" t="str">
        <f t="shared" si="287"/>
        <v>09238800156</v>
      </c>
      <c r="E3324" t="s">
        <v>52</v>
      </c>
      <c r="F3324">
        <v>2014</v>
      </c>
      <c r="G3324">
        <v>23521731</v>
      </c>
      <c r="H3324" s="1">
        <v>41956</v>
      </c>
      <c r="I3324" s="1">
        <v>41983</v>
      </c>
      <c r="J3324" s="1">
        <v>41983</v>
      </c>
      <c r="K3324" s="1">
        <v>42043</v>
      </c>
      <c r="L3324" s="7">
        <v>603.9</v>
      </c>
      <c r="M3324" s="5">
        <v>261</v>
      </c>
      <c r="N3324" s="7">
        <v>157617.9</v>
      </c>
      <c r="O3324">
        <v>603.9</v>
      </c>
      <c r="P3324">
        <v>261</v>
      </c>
      <c r="Q3324" s="2">
        <v>157617.9</v>
      </c>
      <c r="R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 s="1">
        <v>42382</v>
      </c>
      <c r="AC3324" t="s">
        <v>53</v>
      </c>
      <c r="AD3324" t="s">
        <v>53</v>
      </c>
      <c r="AK3324">
        <v>0</v>
      </c>
      <c r="AU3324" s="6">
        <v>42304</v>
      </c>
      <c r="AV3324" s="6">
        <v>42304</v>
      </c>
      <c r="AW3324" t="s">
        <v>54</v>
      </c>
      <c r="AX3324" t="str">
        <f t="shared" si="284"/>
        <v>FOR</v>
      </c>
      <c r="AY3324" t="s">
        <v>55</v>
      </c>
    </row>
    <row r="3325" spans="1:51">
      <c r="A3325">
        <v>101130</v>
      </c>
      <c r="B3325" t="s">
        <v>550</v>
      </c>
      <c r="C3325" t="str">
        <f t="shared" si="287"/>
        <v>09238800156</v>
      </c>
      <c r="D3325" t="str">
        <f t="shared" si="287"/>
        <v>09238800156</v>
      </c>
      <c r="E3325" t="s">
        <v>52</v>
      </c>
      <c r="F3325">
        <v>2014</v>
      </c>
      <c r="G3325">
        <v>23526683</v>
      </c>
      <c r="H3325" s="1">
        <v>41969</v>
      </c>
      <c r="I3325" s="1">
        <v>42004</v>
      </c>
      <c r="J3325" s="1">
        <v>42004</v>
      </c>
      <c r="K3325" s="1">
        <v>42064</v>
      </c>
      <c r="L3325" s="7">
        <v>704.55</v>
      </c>
      <c r="M3325" s="5">
        <v>240</v>
      </c>
      <c r="N3325" s="7">
        <v>169092</v>
      </c>
      <c r="O3325">
        <v>704.55</v>
      </c>
      <c r="P3325">
        <v>240</v>
      </c>
      <c r="Q3325" s="2">
        <v>169092</v>
      </c>
      <c r="R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 s="1">
        <v>42382</v>
      </c>
      <c r="AC3325" t="s">
        <v>53</v>
      </c>
      <c r="AD3325" t="s">
        <v>53</v>
      </c>
      <c r="AK3325">
        <v>0</v>
      </c>
      <c r="AU3325" s="6">
        <v>42304</v>
      </c>
      <c r="AV3325" s="6">
        <v>42304</v>
      </c>
      <c r="AW3325" t="s">
        <v>54</v>
      </c>
      <c r="AX3325" t="str">
        <f t="shared" si="284"/>
        <v>FOR</v>
      </c>
      <c r="AY3325" t="s">
        <v>55</v>
      </c>
    </row>
    <row r="3326" spans="1:51">
      <c r="A3326">
        <v>101130</v>
      </c>
      <c r="B3326" t="s">
        <v>550</v>
      </c>
      <c r="C3326" t="str">
        <f t="shared" si="287"/>
        <v>09238800156</v>
      </c>
      <c r="D3326" t="str">
        <f t="shared" si="287"/>
        <v>09238800156</v>
      </c>
      <c r="E3326" t="s">
        <v>52</v>
      </c>
      <c r="F3326">
        <v>2014</v>
      </c>
      <c r="G3326">
        <v>23528213</v>
      </c>
      <c r="H3326" s="1">
        <v>41974</v>
      </c>
      <c r="I3326" s="1">
        <v>42004</v>
      </c>
      <c r="J3326" s="1">
        <v>42004</v>
      </c>
      <c r="K3326" s="1">
        <v>42064</v>
      </c>
      <c r="L3326" s="7">
        <v>11856</v>
      </c>
      <c r="M3326" s="5">
        <v>276</v>
      </c>
      <c r="N3326" s="7">
        <v>3272256</v>
      </c>
      <c r="O3326" s="2">
        <v>11856</v>
      </c>
      <c r="P3326">
        <v>276</v>
      </c>
      <c r="Q3326" s="2">
        <v>3272256</v>
      </c>
      <c r="R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 s="1">
        <v>42382</v>
      </c>
      <c r="AC3326" t="s">
        <v>53</v>
      </c>
      <c r="AD3326" t="s">
        <v>53</v>
      </c>
      <c r="AK3326">
        <v>0</v>
      </c>
      <c r="AU3326" s="6">
        <v>42340</v>
      </c>
      <c r="AV3326" s="6">
        <v>42340</v>
      </c>
      <c r="AW3326" t="s">
        <v>54</v>
      </c>
      <c r="AX3326" t="str">
        <f t="shared" si="284"/>
        <v>FOR</v>
      </c>
      <c r="AY3326" t="s">
        <v>55</v>
      </c>
    </row>
    <row r="3327" spans="1:51">
      <c r="A3327">
        <v>101130</v>
      </c>
      <c r="B3327" t="s">
        <v>550</v>
      </c>
      <c r="C3327" t="str">
        <f t="shared" si="287"/>
        <v>09238800156</v>
      </c>
      <c r="D3327" t="str">
        <f t="shared" si="287"/>
        <v>09238800156</v>
      </c>
      <c r="E3327" t="s">
        <v>52</v>
      </c>
      <c r="F3327">
        <v>2014</v>
      </c>
      <c r="G3327">
        <v>23528214</v>
      </c>
      <c r="H3327" s="1">
        <v>41974</v>
      </c>
      <c r="I3327" s="1">
        <v>42004</v>
      </c>
      <c r="J3327" s="1">
        <v>42004</v>
      </c>
      <c r="K3327" s="1">
        <v>42064</v>
      </c>
      <c r="L3327" s="7">
        <v>1040</v>
      </c>
      <c r="M3327" s="5">
        <v>276</v>
      </c>
      <c r="N3327" s="7">
        <v>287040</v>
      </c>
      <c r="O3327" s="2">
        <v>1040</v>
      </c>
      <c r="P3327">
        <v>276</v>
      </c>
      <c r="Q3327" s="2">
        <v>287040</v>
      </c>
      <c r="R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 s="1">
        <v>42382</v>
      </c>
      <c r="AC3327" t="s">
        <v>53</v>
      </c>
      <c r="AD3327" t="s">
        <v>53</v>
      </c>
      <c r="AK3327">
        <v>0</v>
      </c>
      <c r="AU3327" s="6">
        <v>42340</v>
      </c>
      <c r="AV3327" s="6">
        <v>42340</v>
      </c>
      <c r="AW3327" t="s">
        <v>54</v>
      </c>
      <c r="AX3327" t="str">
        <f t="shared" si="284"/>
        <v>FOR</v>
      </c>
      <c r="AY3327" t="s">
        <v>55</v>
      </c>
    </row>
    <row r="3328" spans="1:51">
      <c r="A3328">
        <v>101130</v>
      </c>
      <c r="B3328" t="s">
        <v>550</v>
      </c>
      <c r="C3328" t="str">
        <f t="shared" si="287"/>
        <v>09238800156</v>
      </c>
      <c r="D3328" t="str">
        <f t="shared" si="287"/>
        <v>09238800156</v>
      </c>
      <c r="E3328" t="s">
        <v>52</v>
      </c>
      <c r="F3328">
        <v>2014</v>
      </c>
      <c r="G3328">
        <v>23528215</v>
      </c>
      <c r="H3328" s="1">
        <v>41974</v>
      </c>
      <c r="I3328" s="1">
        <v>42004</v>
      </c>
      <c r="J3328" s="1">
        <v>42004</v>
      </c>
      <c r="K3328" s="1">
        <v>42064</v>
      </c>
      <c r="L3328" s="7">
        <v>18564</v>
      </c>
      <c r="M3328" s="5">
        <v>276</v>
      </c>
      <c r="N3328" s="7">
        <v>5123664</v>
      </c>
      <c r="O3328" s="2">
        <v>18564</v>
      </c>
      <c r="P3328">
        <v>276</v>
      </c>
      <c r="Q3328" s="2">
        <v>5123664</v>
      </c>
      <c r="R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 s="1">
        <v>42382</v>
      </c>
      <c r="AC3328" t="s">
        <v>53</v>
      </c>
      <c r="AD3328" t="s">
        <v>53</v>
      </c>
      <c r="AK3328">
        <v>0</v>
      </c>
      <c r="AU3328" s="6">
        <v>42340</v>
      </c>
      <c r="AV3328" s="6">
        <v>42340</v>
      </c>
      <c r="AW3328" t="s">
        <v>54</v>
      </c>
      <c r="AX3328" t="str">
        <f t="shared" si="284"/>
        <v>FOR</v>
      </c>
      <c r="AY3328" t="s">
        <v>55</v>
      </c>
    </row>
    <row r="3329" spans="1:51">
      <c r="A3329">
        <v>101130</v>
      </c>
      <c r="B3329" t="s">
        <v>550</v>
      </c>
      <c r="C3329" t="str">
        <f t="shared" si="287"/>
        <v>09238800156</v>
      </c>
      <c r="D3329" t="str">
        <f t="shared" si="287"/>
        <v>09238800156</v>
      </c>
      <c r="E3329" t="s">
        <v>52</v>
      </c>
      <c r="F3329">
        <v>2014</v>
      </c>
      <c r="G3329">
        <v>23528216</v>
      </c>
      <c r="H3329" s="1">
        <v>41974</v>
      </c>
      <c r="I3329" s="1">
        <v>42004</v>
      </c>
      <c r="J3329" s="1">
        <v>42004</v>
      </c>
      <c r="K3329" s="1">
        <v>42064</v>
      </c>
      <c r="L3329" s="7">
        <v>1040</v>
      </c>
      <c r="M3329" s="5">
        <v>276</v>
      </c>
      <c r="N3329" s="7">
        <v>287040</v>
      </c>
      <c r="O3329" s="2">
        <v>1040</v>
      </c>
      <c r="P3329">
        <v>276</v>
      </c>
      <c r="Q3329" s="2">
        <v>287040</v>
      </c>
      <c r="R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 s="1">
        <v>42382</v>
      </c>
      <c r="AC3329" t="s">
        <v>53</v>
      </c>
      <c r="AD3329" t="s">
        <v>53</v>
      </c>
      <c r="AK3329">
        <v>0</v>
      </c>
      <c r="AU3329" s="6">
        <v>42340</v>
      </c>
      <c r="AV3329" s="6">
        <v>42340</v>
      </c>
      <c r="AW3329" t="s">
        <v>54</v>
      </c>
      <c r="AX3329" t="str">
        <f t="shared" si="284"/>
        <v>FOR</v>
      </c>
      <c r="AY3329" t="s">
        <v>55</v>
      </c>
    </row>
    <row r="3330" spans="1:51">
      <c r="A3330">
        <v>101130</v>
      </c>
      <c r="B3330" t="s">
        <v>550</v>
      </c>
      <c r="C3330" t="str">
        <f t="shared" si="287"/>
        <v>09238800156</v>
      </c>
      <c r="D3330" t="str">
        <f t="shared" si="287"/>
        <v>09238800156</v>
      </c>
      <c r="E3330" t="s">
        <v>52</v>
      </c>
      <c r="F3330">
        <v>2014</v>
      </c>
      <c r="G3330">
        <v>23528674</v>
      </c>
      <c r="H3330" s="1">
        <v>41975</v>
      </c>
      <c r="I3330" s="1">
        <v>42004</v>
      </c>
      <c r="J3330" s="1">
        <v>42004</v>
      </c>
      <c r="K3330" s="1">
        <v>42064</v>
      </c>
      <c r="L3330" s="7">
        <v>520</v>
      </c>
      <c r="M3330" s="5">
        <v>276</v>
      </c>
      <c r="N3330" s="7">
        <v>143520</v>
      </c>
      <c r="O3330">
        <v>520</v>
      </c>
      <c r="P3330">
        <v>276</v>
      </c>
      <c r="Q3330" s="2">
        <v>143520</v>
      </c>
      <c r="R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 s="1">
        <v>42382</v>
      </c>
      <c r="AC3330" t="s">
        <v>53</v>
      </c>
      <c r="AD3330" t="s">
        <v>53</v>
      </c>
      <c r="AK3330">
        <v>0</v>
      </c>
      <c r="AU3330" s="6">
        <v>42340</v>
      </c>
      <c r="AV3330" s="6">
        <v>42340</v>
      </c>
      <c r="AW3330" t="s">
        <v>54</v>
      </c>
      <c r="AX3330" t="str">
        <f t="shared" si="284"/>
        <v>FOR</v>
      </c>
      <c r="AY3330" t="s">
        <v>55</v>
      </c>
    </row>
    <row r="3331" spans="1:51">
      <c r="A3331">
        <v>101130</v>
      </c>
      <c r="B3331" t="s">
        <v>550</v>
      </c>
      <c r="C3331" t="str">
        <f t="shared" si="287"/>
        <v>09238800156</v>
      </c>
      <c r="D3331" t="str">
        <f t="shared" si="287"/>
        <v>09238800156</v>
      </c>
      <c r="E3331" t="s">
        <v>52</v>
      </c>
      <c r="F3331">
        <v>2014</v>
      </c>
      <c r="G3331">
        <v>23529304</v>
      </c>
      <c r="H3331" s="1">
        <v>41976</v>
      </c>
      <c r="I3331" s="1">
        <v>42004</v>
      </c>
      <c r="J3331" s="1">
        <v>42004</v>
      </c>
      <c r="K3331" s="1">
        <v>42064</v>
      </c>
      <c r="L3331" s="7">
        <v>62.59</v>
      </c>
      <c r="M3331" s="5">
        <v>276</v>
      </c>
      <c r="N3331" s="7">
        <v>17274.84</v>
      </c>
      <c r="O3331">
        <v>62.59</v>
      </c>
      <c r="P3331">
        <v>276</v>
      </c>
      <c r="Q3331" s="2">
        <v>17274.84</v>
      </c>
      <c r="R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 s="1">
        <v>42382</v>
      </c>
      <c r="AC3331" t="s">
        <v>53</v>
      </c>
      <c r="AD3331" t="s">
        <v>53</v>
      </c>
      <c r="AK3331">
        <v>0</v>
      </c>
      <c r="AU3331" s="6">
        <v>42340</v>
      </c>
      <c r="AV3331" s="6">
        <v>42340</v>
      </c>
      <c r="AW3331" t="s">
        <v>54</v>
      </c>
      <c r="AX3331" t="str">
        <f t="shared" ref="AX3331:AX3394" si="288">"FOR"</f>
        <v>FOR</v>
      </c>
      <c r="AY3331" t="s">
        <v>55</v>
      </c>
    </row>
    <row r="3332" spans="1:51">
      <c r="A3332">
        <v>101130</v>
      </c>
      <c r="B3332" t="s">
        <v>550</v>
      </c>
      <c r="C3332" t="str">
        <f t="shared" si="287"/>
        <v>09238800156</v>
      </c>
      <c r="D3332" t="str">
        <f t="shared" si="287"/>
        <v>09238800156</v>
      </c>
      <c r="E3332" t="s">
        <v>52</v>
      </c>
      <c r="F3332">
        <v>2014</v>
      </c>
      <c r="G3332">
        <v>23529305</v>
      </c>
      <c r="H3332" s="1">
        <v>41976</v>
      </c>
      <c r="I3332" s="1">
        <v>42004</v>
      </c>
      <c r="J3332" s="1">
        <v>42004</v>
      </c>
      <c r="K3332" s="1">
        <v>42064</v>
      </c>
      <c r="L3332" s="7">
        <v>62.59</v>
      </c>
      <c r="M3332" s="5">
        <v>276</v>
      </c>
      <c r="N3332" s="7">
        <v>17274.84</v>
      </c>
      <c r="O3332">
        <v>62.59</v>
      </c>
      <c r="P3332">
        <v>276</v>
      </c>
      <c r="Q3332" s="2">
        <v>17274.84</v>
      </c>
      <c r="R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 s="1">
        <v>42382</v>
      </c>
      <c r="AC3332" t="s">
        <v>53</v>
      </c>
      <c r="AD3332" t="s">
        <v>53</v>
      </c>
      <c r="AK3332">
        <v>0</v>
      </c>
      <c r="AU3332" s="6">
        <v>42340</v>
      </c>
      <c r="AV3332" s="6">
        <v>42340</v>
      </c>
      <c r="AW3332" t="s">
        <v>54</v>
      </c>
      <c r="AX3332" t="str">
        <f t="shared" si="288"/>
        <v>FOR</v>
      </c>
      <c r="AY3332" t="s">
        <v>55</v>
      </c>
    </row>
    <row r="3333" spans="1:51">
      <c r="A3333">
        <v>101130</v>
      </c>
      <c r="B3333" t="s">
        <v>550</v>
      </c>
      <c r="C3333" t="str">
        <f t="shared" si="287"/>
        <v>09238800156</v>
      </c>
      <c r="D3333" t="str">
        <f t="shared" si="287"/>
        <v>09238800156</v>
      </c>
      <c r="E3333" t="s">
        <v>52</v>
      </c>
      <c r="F3333">
        <v>2014</v>
      </c>
      <c r="G3333">
        <v>23529306</v>
      </c>
      <c r="H3333" s="1">
        <v>41976</v>
      </c>
      <c r="I3333" s="1">
        <v>42004</v>
      </c>
      <c r="J3333" s="1">
        <v>42004</v>
      </c>
      <c r="K3333" s="1">
        <v>42064</v>
      </c>
      <c r="L3333" s="7">
        <v>62.59</v>
      </c>
      <c r="M3333" s="5">
        <v>276</v>
      </c>
      <c r="N3333" s="7">
        <v>17274.84</v>
      </c>
      <c r="O3333">
        <v>62.59</v>
      </c>
      <c r="P3333">
        <v>276</v>
      </c>
      <c r="Q3333" s="2">
        <v>17274.84</v>
      </c>
      <c r="R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 s="1">
        <v>42382</v>
      </c>
      <c r="AC3333" t="s">
        <v>53</v>
      </c>
      <c r="AD3333" t="s">
        <v>53</v>
      </c>
      <c r="AK3333">
        <v>0</v>
      </c>
      <c r="AU3333" s="6">
        <v>42340</v>
      </c>
      <c r="AV3333" s="6">
        <v>42340</v>
      </c>
      <c r="AW3333" t="s">
        <v>54</v>
      </c>
      <c r="AX3333" t="str">
        <f t="shared" si="288"/>
        <v>FOR</v>
      </c>
      <c r="AY3333" t="s">
        <v>55</v>
      </c>
    </row>
    <row r="3334" spans="1:51">
      <c r="A3334">
        <v>101130</v>
      </c>
      <c r="B3334" t="s">
        <v>550</v>
      </c>
      <c r="C3334" t="str">
        <f t="shared" ref="C3334:D3356" si="289">"09238800156"</f>
        <v>09238800156</v>
      </c>
      <c r="D3334" t="str">
        <f t="shared" si="289"/>
        <v>09238800156</v>
      </c>
      <c r="E3334" t="s">
        <v>52</v>
      </c>
      <c r="F3334">
        <v>2014</v>
      </c>
      <c r="G3334">
        <v>23529307</v>
      </c>
      <c r="H3334" s="1">
        <v>41976</v>
      </c>
      <c r="I3334" s="1">
        <v>42004</v>
      </c>
      <c r="J3334" s="1">
        <v>42004</v>
      </c>
      <c r="K3334" s="1">
        <v>42064</v>
      </c>
      <c r="L3334" s="7">
        <v>62.59</v>
      </c>
      <c r="M3334" s="5">
        <v>276</v>
      </c>
      <c r="N3334" s="7">
        <v>17274.84</v>
      </c>
      <c r="O3334">
        <v>62.59</v>
      </c>
      <c r="P3334">
        <v>276</v>
      </c>
      <c r="Q3334" s="2">
        <v>17274.84</v>
      </c>
      <c r="R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 s="1">
        <v>42382</v>
      </c>
      <c r="AC3334" t="s">
        <v>53</v>
      </c>
      <c r="AD3334" t="s">
        <v>53</v>
      </c>
      <c r="AK3334">
        <v>0</v>
      </c>
      <c r="AU3334" s="6">
        <v>42340</v>
      </c>
      <c r="AV3334" s="6">
        <v>42340</v>
      </c>
      <c r="AW3334" t="s">
        <v>54</v>
      </c>
      <c r="AX3334" t="str">
        <f t="shared" si="288"/>
        <v>FOR</v>
      </c>
      <c r="AY3334" t="s">
        <v>55</v>
      </c>
    </row>
    <row r="3335" spans="1:51">
      <c r="A3335">
        <v>101130</v>
      </c>
      <c r="B3335" t="s">
        <v>550</v>
      </c>
      <c r="C3335" t="str">
        <f t="shared" si="289"/>
        <v>09238800156</v>
      </c>
      <c r="D3335" t="str">
        <f t="shared" si="289"/>
        <v>09238800156</v>
      </c>
      <c r="E3335" t="s">
        <v>52</v>
      </c>
      <c r="F3335">
        <v>2014</v>
      </c>
      <c r="G3335">
        <v>23529308</v>
      </c>
      <c r="H3335" s="1">
        <v>41976</v>
      </c>
      <c r="I3335" s="1">
        <v>42004</v>
      </c>
      <c r="J3335" s="1">
        <v>42004</v>
      </c>
      <c r="K3335" s="1">
        <v>42064</v>
      </c>
      <c r="L3335" s="7">
        <v>404.98</v>
      </c>
      <c r="M3335" s="5">
        <v>276</v>
      </c>
      <c r="N3335" s="7">
        <v>111774.48</v>
      </c>
      <c r="O3335">
        <v>404.98</v>
      </c>
      <c r="P3335">
        <v>276</v>
      </c>
      <c r="Q3335" s="2">
        <v>111774.48</v>
      </c>
      <c r="R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 s="1">
        <v>42382</v>
      </c>
      <c r="AC3335" t="s">
        <v>53</v>
      </c>
      <c r="AD3335" t="s">
        <v>53</v>
      </c>
      <c r="AK3335">
        <v>0</v>
      </c>
      <c r="AU3335" s="6">
        <v>42340</v>
      </c>
      <c r="AV3335" s="6">
        <v>42340</v>
      </c>
      <c r="AW3335" t="s">
        <v>54</v>
      </c>
      <c r="AX3335" t="str">
        <f t="shared" si="288"/>
        <v>FOR</v>
      </c>
      <c r="AY3335" t="s">
        <v>55</v>
      </c>
    </row>
    <row r="3336" spans="1:51">
      <c r="A3336">
        <v>101130</v>
      </c>
      <c r="B3336" t="s">
        <v>550</v>
      </c>
      <c r="C3336" t="str">
        <f t="shared" si="289"/>
        <v>09238800156</v>
      </c>
      <c r="D3336" t="str">
        <f t="shared" si="289"/>
        <v>09238800156</v>
      </c>
      <c r="E3336" t="s">
        <v>52</v>
      </c>
      <c r="F3336">
        <v>2014</v>
      </c>
      <c r="G3336">
        <v>23530426</v>
      </c>
      <c r="H3336" s="1">
        <v>41978</v>
      </c>
      <c r="I3336" s="1">
        <v>42019</v>
      </c>
      <c r="J3336" s="1">
        <v>42019</v>
      </c>
      <c r="K3336" s="1">
        <v>42079</v>
      </c>
      <c r="L3336" s="7">
        <v>2835.98</v>
      </c>
      <c r="M3336" s="5">
        <v>261</v>
      </c>
      <c r="N3336" s="7">
        <v>740190.78</v>
      </c>
      <c r="O3336" s="2">
        <v>2835.98</v>
      </c>
      <c r="P3336">
        <v>261</v>
      </c>
      <c r="Q3336" s="2">
        <v>740190.78</v>
      </c>
      <c r="R3336">
        <v>0</v>
      </c>
      <c r="V3336">
        <v>0</v>
      </c>
      <c r="W3336">
        <v>0</v>
      </c>
      <c r="X3336">
        <v>0</v>
      </c>
      <c r="Y3336">
        <v>0</v>
      </c>
      <c r="Z3336" s="2">
        <v>2835.98</v>
      </c>
      <c r="AA3336">
        <v>0</v>
      </c>
      <c r="AB3336" s="1">
        <v>42382</v>
      </c>
      <c r="AC3336" t="s">
        <v>53</v>
      </c>
      <c r="AD3336" t="s">
        <v>53</v>
      </c>
      <c r="AK3336">
        <v>0</v>
      </c>
      <c r="AU3336" s="6">
        <v>42340</v>
      </c>
      <c r="AV3336" s="6">
        <v>42340</v>
      </c>
      <c r="AW3336" t="s">
        <v>54</v>
      </c>
      <c r="AX3336" t="str">
        <f t="shared" si="288"/>
        <v>FOR</v>
      </c>
      <c r="AY3336" t="s">
        <v>55</v>
      </c>
    </row>
    <row r="3337" spans="1:51">
      <c r="A3337">
        <v>101130</v>
      </c>
      <c r="B3337" t="s">
        <v>550</v>
      </c>
      <c r="C3337" t="str">
        <f t="shared" si="289"/>
        <v>09238800156</v>
      </c>
      <c r="D3337" t="str">
        <f t="shared" si="289"/>
        <v>09238800156</v>
      </c>
      <c r="E3337" t="s">
        <v>52</v>
      </c>
      <c r="F3337">
        <v>2014</v>
      </c>
      <c r="G3337">
        <v>23532899</v>
      </c>
      <c r="H3337" s="1">
        <v>41988</v>
      </c>
      <c r="I3337" s="1">
        <v>42047</v>
      </c>
      <c r="J3337" s="1">
        <v>42047</v>
      </c>
      <c r="K3337" s="1">
        <v>42107</v>
      </c>
      <c r="L3337" s="7">
        <v>8967</v>
      </c>
      <c r="M3337" s="5">
        <v>197</v>
      </c>
      <c r="N3337" s="7">
        <v>1766499</v>
      </c>
      <c r="O3337" s="2">
        <v>8967</v>
      </c>
      <c r="P3337">
        <v>197</v>
      </c>
      <c r="Q3337" s="2">
        <v>1766499</v>
      </c>
      <c r="R3337">
        <v>0</v>
      </c>
      <c r="V3337">
        <v>0</v>
      </c>
      <c r="W3337">
        <v>0</v>
      </c>
      <c r="X3337">
        <v>0</v>
      </c>
      <c r="Y3337">
        <v>0</v>
      </c>
      <c r="Z3337" s="2">
        <v>8967</v>
      </c>
      <c r="AA3337">
        <v>0</v>
      </c>
      <c r="AB3337" s="1">
        <v>42382</v>
      </c>
      <c r="AC3337" t="s">
        <v>53</v>
      </c>
      <c r="AD3337" t="s">
        <v>53</v>
      </c>
      <c r="AK3337">
        <v>0</v>
      </c>
      <c r="AU3337" s="6">
        <v>42304</v>
      </c>
      <c r="AV3337" s="6">
        <v>42304</v>
      </c>
      <c r="AW3337" t="s">
        <v>54</v>
      </c>
      <c r="AX3337" t="str">
        <f t="shared" si="288"/>
        <v>FOR</v>
      </c>
      <c r="AY3337" t="s">
        <v>55</v>
      </c>
    </row>
    <row r="3338" spans="1:51">
      <c r="A3338">
        <v>101130</v>
      </c>
      <c r="B3338" t="s">
        <v>550</v>
      </c>
      <c r="C3338" t="str">
        <f t="shared" si="289"/>
        <v>09238800156</v>
      </c>
      <c r="D3338" t="str">
        <f t="shared" si="289"/>
        <v>09238800156</v>
      </c>
      <c r="E3338" t="s">
        <v>52</v>
      </c>
      <c r="F3338">
        <v>2014</v>
      </c>
      <c r="G3338">
        <v>23534128</v>
      </c>
      <c r="H3338" s="1">
        <v>41990</v>
      </c>
      <c r="I3338" s="1">
        <v>42031</v>
      </c>
      <c r="J3338" s="1">
        <v>42031</v>
      </c>
      <c r="K3338" s="1">
        <v>42091</v>
      </c>
      <c r="L3338" s="7">
        <v>2835.98</v>
      </c>
      <c r="M3338" s="5">
        <v>249</v>
      </c>
      <c r="N3338" s="7">
        <v>706159.02</v>
      </c>
      <c r="O3338" s="2">
        <v>2835.98</v>
      </c>
      <c r="P3338">
        <v>249</v>
      </c>
      <c r="Q3338" s="2">
        <v>706159.02</v>
      </c>
      <c r="R3338">
        <v>0</v>
      </c>
      <c r="V3338">
        <v>0</v>
      </c>
      <c r="W3338">
        <v>0</v>
      </c>
      <c r="X3338">
        <v>0</v>
      </c>
      <c r="Y3338">
        <v>0</v>
      </c>
      <c r="Z3338" s="2">
        <v>2835.98</v>
      </c>
      <c r="AA3338">
        <v>0</v>
      </c>
      <c r="AB3338" s="1">
        <v>42382</v>
      </c>
      <c r="AC3338" t="s">
        <v>53</v>
      </c>
      <c r="AD3338" t="s">
        <v>53</v>
      </c>
      <c r="AK3338">
        <v>0</v>
      </c>
      <c r="AU3338" s="6">
        <v>42340</v>
      </c>
      <c r="AV3338" s="6">
        <v>42340</v>
      </c>
      <c r="AW3338" t="s">
        <v>54</v>
      </c>
      <c r="AX3338" t="str">
        <f t="shared" si="288"/>
        <v>FOR</v>
      </c>
      <c r="AY3338" t="s">
        <v>55</v>
      </c>
    </row>
    <row r="3339" spans="1:51">
      <c r="A3339">
        <v>101130</v>
      </c>
      <c r="B3339" t="s">
        <v>550</v>
      </c>
      <c r="C3339" t="str">
        <f t="shared" si="289"/>
        <v>09238800156</v>
      </c>
      <c r="D3339" t="str">
        <f t="shared" si="289"/>
        <v>09238800156</v>
      </c>
      <c r="E3339" t="s">
        <v>52</v>
      </c>
      <c r="F3339">
        <v>2014</v>
      </c>
      <c r="G3339">
        <v>23536166</v>
      </c>
      <c r="H3339" s="1">
        <v>41995</v>
      </c>
      <c r="I3339" s="1">
        <v>42031</v>
      </c>
      <c r="J3339" s="1">
        <v>42031</v>
      </c>
      <c r="K3339" s="1">
        <v>42091</v>
      </c>
      <c r="L3339" s="7">
        <v>404.98</v>
      </c>
      <c r="M3339" s="5">
        <v>249</v>
      </c>
      <c r="N3339" s="7">
        <v>100840.02</v>
      </c>
      <c r="O3339">
        <v>404.98</v>
      </c>
      <c r="P3339">
        <v>249</v>
      </c>
      <c r="Q3339" s="2">
        <v>100840.02</v>
      </c>
      <c r="R3339">
        <v>0</v>
      </c>
      <c r="V3339">
        <v>0</v>
      </c>
      <c r="W3339">
        <v>0</v>
      </c>
      <c r="X3339">
        <v>0</v>
      </c>
      <c r="Y3339">
        <v>0</v>
      </c>
      <c r="Z3339">
        <v>404.98</v>
      </c>
      <c r="AA3339">
        <v>0</v>
      </c>
      <c r="AB3339" s="1">
        <v>42382</v>
      </c>
      <c r="AC3339" t="s">
        <v>53</v>
      </c>
      <c r="AD3339" t="s">
        <v>53</v>
      </c>
      <c r="AK3339">
        <v>0</v>
      </c>
      <c r="AU3339" s="6">
        <v>42340</v>
      </c>
      <c r="AV3339" s="6">
        <v>42340</v>
      </c>
      <c r="AW3339" t="s">
        <v>54</v>
      </c>
      <c r="AX3339" t="str">
        <f t="shared" si="288"/>
        <v>FOR</v>
      </c>
      <c r="AY3339" t="s">
        <v>55</v>
      </c>
    </row>
    <row r="3340" spans="1:51">
      <c r="A3340">
        <v>101130</v>
      </c>
      <c r="B3340" t="s">
        <v>550</v>
      </c>
      <c r="C3340" t="str">
        <f t="shared" si="289"/>
        <v>09238800156</v>
      </c>
      <c r="D3340" t="str">
        <f t="shared" si="289"/>
        <v>09238800156</v>
      </c>
      <c r="E3340" t="s">
        <v>52</v>
      </c>
      <c r="F3340">
        <v>2014</v>
      </c>
      <c r="G3340">
        <v>23536167</v>
      </c>
      <c r="H3340" s="1">
        <v>41995</v>
      </c>
      <c r="I3340" s="1">
        <v>42031</v>
      </c>
      <c r="J3340" s="1">
        <v>42031</v>
      </c>
      <c r="K3340" s="1">
        <v>42091</v>
      </c>
      <c r="L3340" s="7">
        <v>62.59</v>
      </c>
      <c r="M3340" s="5">
        <v>249</v>
      </c>
      <c r="N3340" s="7">
        <v>15584.91</v>
      </c>
      <c r="O3340">
        <v>62.59</v>
      </c>
      <c r="P3340">
        <v>249</v>
      </c>
      <c r="Q3340" s="2">
        <v>15584.91</v>
      </c>
      <c r="R3340">
        <v>0</v>
      </c>
      <c r="V3340">
        <v>0</v>
      </c>
      <c r="W3340">
        <v>0</v>
      </c>
      <c r="X3340">
        <v>0</v>
      </c>
      <c r="Y3340">
        <v>0</v>
      </c>
      <c r="Z3340">
        <v>62.59</v>
      </c>
      <c r="AA3340">
        <v>0</v>
      </c>
      <c r="AB3340" s="1">
        <v>42382</v>
      </c>
      <c r="AC3340" t="s">
        <v>53</v>
      </c>
      <c r="AD3340" t="s">
        <v>53</v>
      </c>
      <c r="AK3340">
        <v>0</v>
      </c>
      <c r="AU3340" s="6">
        <v>42340</v>
      </c>
      <c r="AV3340" s="6">
        <v>42340</v>
      </c>
      <c r="AW3340" t="s">
        <v>54</v>
      </c>
      <c r="AX3340" t="str">
        <f t="shared" si="288"/>
        <v>FOR</v>
      </c>
      <c r="AY3340" t="s">
        <v>55</v>
      </c>
    </row>
    <row r="3341" spans="1:51">
      <c r="A3341">
        <v>101130</v>
      </c>
      <c r="B3341" t="s">
        <v>550</v>
      </c>
      <c r="C3341" t="str">
        <f t="shared" si="289"/>
        <v>09238800156</v>
      </c>
      <c r="D3341" t="str">
        <f t="shared" si="289"/>
        <v>09238800156</v>
      </c>
      <c r="E3341" t="s">
        <v>52</v>
      </c>
      <c r="F3341">
        <v>2014</v>
      </c>
      <c r="G3341">
        <v>23536168</v>
      </c>
      <c r="H3341" s="1">
        <v>41995</v>
      </c>
      <c r="I3341" s="1">
        <v>42031</v>
      </c>
      <c r="J3341" s="1">
        <v>42031</v>
      </c>
      <c r="K3341" s="1">
        <v>42091</v>
      </c>
      <c r="L3341" s="7">
        <v>62.59</v>
      </c>
      <c r="M3341" s="5">
        <v>249</v>
      </c>
      <c r="N3341" s="7">
        <v>15584.91</v>
      </c>
      <c r="O3341">
        <v>62.59</v>
      </c>
      <c r="P3341">
        <v>249</v>
      </c>
      <c r="Q3341" s="2">
        <v>15584.91</v>
      </c>
      <c r="R3341">
        <v>0</v>
      </c>
      <c r="V3341">
        <v>0</v>
      </c>
      <c r="W3341">
        <v>0</v>
      </c>
      <c r="X3341">
        <v>0</v>
      </c>
      <c r="Y3341">
        <v>0</v>
      </c>
      <c r="Z3341">
        <v>62.59</v>
      </c>
      <c r="AA3341">
        <v>0</v>
      </c>
      <c r="AB3341" s="1">
        <v>42382</v>
      </c>
      <c r="AC3341" t="s">
        <v>53</v>
      </c>
      <c r="AD3341" t="s">
        <v>53</v>
      </c>
      <c r="AK3341">
        <v>0</v>
      </c>
      <c r="AU3341" s="6">
        <v>42340</v>
      </c>
      <c r="AV3341" s="6">
        <v>42340</v>
      </c>
      <c r="AW3341" t="s">
        <v>54</v>
      </c>
      <c r="AX3341" t="str">
        <f t="shared" si="288"/>
        <v>FOR</v>
      </c>
      <c r="AY3341" t="s">
        <v>55</v>
      </c>
    </row>
    <row r="3342" spans="1:51">
      <c r="A3342">
        <v>101130</v>
      </c>
      <c r="B3342" t="s">
        <v>550</v>
      </c>
      <c r="C3342" t="str">
        <f t="shared" si="289"/>
        <v>09238800156</v>
      </c>
      <c r="D3342" t="str">
        <f t="shared" si="289"/>
        <v>09238800156</v>
      </c>
      <c r="E3342" t="s">
        <v>52</v>
      </c>
      <c r="F3342">
        <v>2014</v>
      </c>
      <c r="G3342">
        <v>23536169</v>
      </c>
      <c r="H3342" s="1">
        <v>41995</v>
      </c>
      <c r="I3342" s="1">
        <v>42031</v>
      </c>
      <c r="J3342" s="1">
        <v>42031</v>
      </c>
      <c r="K3342" s="1">
        <v>42091</v>
      </c>
      <c r="L3342" s="7">
        <v>62.59</v>
      </c>
      <c r="M3342" s="5">
        <v>249</v>
      </c>
      <c r="N3342" s="7">
        <v>15584.91</v>
      </c>
      <c r="O3342">
        <v>62.59</v>
      </c>
      <c r="P3342">
        <v>249</v>
      </c>
      <c r="Q3342" s="2">
        <v>15584.91</v>
      </c>
      <c r="R3342">
        <v>0</v>
      </c>
      <c r="V3342">
        <v>0</v>
      </c>
      <c r="W3342">
        <v>0</v>
      </c>
      <c r="X3342">
        <v>0</v>
      </c>
      <c r="Y3342">
        <v>0</v>
      </c>
      <c r="Z3342">
        <v>62.59</v>
      </c>
      <c r="AA3342">
        <v>0</v>
      </c>
      <c r="AB3342" s="1">
        <v>42382</v>
      </c>
      <c r="AC3342" t="s">
        <v>53</v>
      </c>
      <c r="AD3342" t="s">
        <v>53</v>
      </c>
      <c r="AK3342">
        <v>0</v>
      </c>
      <c r="AU3342" s="6">
        <v>42340</v>
      </c>
      <c r="AV3342" s="6">
        <v>42340</v>
      </c>
      <c r="AW3342" t="s">
        <v>54</v>
      </c>
      <c r="AX3342" t="str">
        <f t="shared" si="288"/>
        <v>FOR</v>
      </c>
      <c r="AY3342" t="s">
        <v>55</v>
      </c>
    </row>
    <row r="3343" spans="1:51">
      <c r="A3343">
        <v>101130</v>
      </c>
      <c r="B3343" t="s">
        <v>550</v>
      </c>
      <c r="C3343" t="str">
        <f t="shared" si="289"/>
        <v>09238800156</v>
      </c>
      <c r="D3343" t="str">
        <f t="shared" si="289"/>
        <v>09238800156</v>
      </c>
      <c r="E3343" t="s">
        <v>52</v>
      </c>
      <c r="F3343">
        <v>2014</v>
      </c>
      <c r="G3343">
        <v>23536170</v>
      </c>
      <c r="H3343" s="1">
        <v>41995</v>
      </c>
      <c r="I3343" s="1">
        <v>42031</v>
      </c>
      <c r="J3343" s="1">
        <v>42031</v>
      </c>
      <c r="K3343" s="1">
        <v>42091</v>
      </c>
      <c r="L3343" s="7">
        <v>62.59</v>
      </c>
      <c r="M3343" s="5">
        <v>249</v>
      </c>
      <c r="N3343" s="7">
        <v>15584.91</v>
      </c>
      <c r="O3343">
        <v>62.59</v>
      </c>
      <c r="P3343">
        <v>249</v>
      </c>
      <c r="Q3343" s="2">
        <v>15584.91</v>
      </c>
      <c r="R3343">
        <v>0</v>
      </c>
      <c r="V3343">
        <v>0</v>
      </c>
      <c r="W3343">
        <v>0</v>
      </c>
      <c r="X3343">
        <v>0</v>
      </c>
      <c r="Y3343">
        <v>0</v>
      </c>
      <c r="Z3343">
        <v>62.59</v>
      </c>
      <c r="AA3343">
        <v>0</v>
      </c>
      <c r="AB3343" s="1">
        <v>42382</v>
      </c>
      <c r="AC3343" t="s">
        <v>53</v>
      </c>
      <c r="AD3343" t="s">
        <v>53</v>
      </c>
      <c r="AK3343">
        <v>0</v>
      </c>
      <c r="AU3343" s="6">
        <v>42340</v>
      </c>
      <c r="AV3343" s="6">
        <v>42340</v>
      </c>
      <c r="AW3343" t="s">
        <v>54</v>
      </c>
      <c r="AX3343" t="str">
        <f t="shared" si="288"/>
        <v>FOR</v>
      </c>
      <c r="AY3343" t="s">
        <v>55</v>
      </c>
    </row>
    <row r="3344" spans="1:51">
      <c r="A3344">
        <v>101130</v>
      </c>
      <c r="B3344" t="s">
        <v>550</v>
      </c>
      <c r="C3344" t="str">
        <f t="shared" si="289"/>
        <v>09238800156</v>
      </c>
      <c r="D3344" t="str">
        <f t="shared" si="289"/>
        <v>09238800156</v>
      </c>
      <c r="E3344" t="s">
        <v>52</v>
      </c>
      <c r="F3344">
        <v>2014</v>
      </c>
      <c r="G3344">
        <v>23536171</v>
      </c>
      <c r="H3344" s="1">
        <v>41995</v>
      </c>
      <c r="I3344" s="1">
        <v>42031</v>
      </c>
      <c r="J3344" s="1">
        <v>42031</v>
      </c>
      <c r="K3344" s="1">
        <v>42091</v>
      </c>
      <c r="L3344" s="7">
        <v>404.98</v>
      </c>
      <c r="M3344" s="5">
        <v>249</v>
      </c>
      <c r="N3344" s="7">
        <v>100840.02</v>
      </c>
      <c r="O3344">
        <v>404.98</v>
      </c>
      <c r="P3344">
        <v>249</v>
      </c>
      <c r="Q3344" s="2">
        <v>100840.02</v>
      </c>
      <c r="R3344">
        <v>0</v>
      </c>
      <c r="V3344">
        <v>0</v>
      </c>
      <c r="W3344">
        <v>0</v>
      </c>
      <c r="X3344">
        <v>0</v>
      </c>
      <c r="Y3344">
        <v>0</v>
      </c>
      <c r="Z3344">
        <v>404.98</v>
      </c>
      <c r="AA3344">
        <v>0</v>
      </c>
      <c r="AB3344" s="1">
        <v>42382</v>
      </c>
      <c r="AC3344" t="s">
        <v>53</v>
      </c>
      <c r="AD3344" t="s">
        <v>53</v>
      </c>
      <c r="AK3344">
        <v>0</v>
      </c>
      <c r="AU3344" s="6">
        <v>42340</v>
      </c>
      <c r="AV3344" s="6">
        <v>42340</v>
      </c>
      <c r="AW3344" t="s">
        <v>54</v>
      </c>
      <c r="AX3344" t="str">
        <f t="shared" si="288"/>
        <v>FOR</v>
      </c>
      <c r="AY3344" t="s">
        <v>55</v>
      </c>
    </row>
    <row r="3345" spans="1:51">
      <c r="A3345">
        <v>101130</v>
      </c>
      <c r="B3345" t="s">
        <v>550</v>
      </c>
      <c r="C3345" t="str">
        <f t="shared" si="289"/>
        <v>09238800156</v>
      </c>
      <c r="D3345" t="str">
        <f t="shared" si="289"/>
        <v>09238800156</v>
      </c>
      <c r="E3345" t="s">
        <v>52</v>
      </c>
      <c r="F3345">
        <v>2014</v>
      </c>
      <c r="G3345">
        <v>23536172</v>
      </c>
      <c r="H3345" s="1">
        <v>41995</v>
      </c>
      <c r="I3345" s="1">
        <v>42031</v>
      </c>
      <c r="J3345" s="1">
        <v>42031</v>
      </c>
      <c r="K3345" s="1">
        <v>42091</v>
      </c>
      <c r="L3345" s="7">
        <v>404.98</v>
      </c>
      <c r="M3345" s="5">
        <v>249</v>
      </c>
      <c r="N3345" s="7">
        <v>100840.02</v>
      </c>
      <c r="O3345">
        <v>404.98</v>
      </c>
      <c r="P3345">
        <v>249</v>
      </c>
      <c r="Q3345" s="2">
        <v>100840.02</v>
      </c>
      <c r="R3345">
        <v>0</v>
      </c>
      <c r="V3345">
        <v>0</v>
      </c>
      <c r="W3345">
        <v>0</v>
      </c>
      <c r="X3345">
        <v>0</v>
      </c>
      <c r="Y3345">
        <v>0</v>
      </c>
      <c r="Z3345">
        <v>404.98</v>
      </c>
      <c r="AA3345">
        <v>0</v>
      </c>
      <c r="AB3345" s="1">
        <v>42382</v>
      </c>
      <c r="AC3345" t="s">
        <v>53</v>
      </c>
      <c r="AD3345" t="s">
        <v>53</v>
      </c>
      <c r="AK3345">
        <v>0</v>
      </c>
      <c r="AU3345" s="6">
        <v>42340</v>
      </c>
      <c r="AV3345" s="6">
        <v>42340</v>
      </c>
      <c r="AW3345" t="s">
        <v>54</v>
      </c>
      <c r="AX3345" t="str">
        <f t="shared" si="288"/>
        <v>FOR</v>
      </c>
      <c r="AY3345" t="s">
        <v>55</v>
      </c>
    </row>
    <row r="3346" spans="1:51">
      <c r="A3346">
        <v>101130</v>
      </c>
      <c r="B3346" t="s">
        <v>550</v>
      </c>
      <c r="C3346" t="str">
        <f t="shared" si="289"/>
        <v>09238800156</v>
      </c>
      <c r="D3346" t="str">
        <f t="shared" si="289"/>
        <v>09238800156</v>
      </c>
      <c r="E3346" t="s">
        <v>52</v>
      </c>
      <c r="F3346">
        <v>2014</v>
      </c>
      <c r="G3346">
        <v>23536173</v>
      </c>
      <c r="H3346" s="1">
        <v>41995</v>
      </c>
      <c r="I3346" s="1">
        <v>42031</v>
      </c>
      <c r="J3346" s="1">
        <v>42031</v>
      </c>
      <c r="K3346" s="1">
        <v>42091</v>
      </c>
      <c r="L3346" s="7">
        <v>62.59</v>
      </c>
      <c r="M3346" s="5">
        <v>249</v>
      </c>
      <c r="N3346" s="7">
        <v>15584.91</v>
      </c>
      <c r="O3346">
        <v>62.59</v>
      </c>
      <c r="P3346">
        <v>249</v>
      </c>
      <c r="Q3346" s="2">
        <v>15584.91</v>
      </c>
      <c r="R3346">
        <v>0</v>
      </c>
      <c r="V3346">
        <v>0</v>
      </c>
      <c r="W3346">
        <v>0</v>
      </c>
      <c r="X3346">
        <v>0</v>
      </c>
      <c r="Y3346">
        <v>0</v>
      </c>
      <c r="Z3346">
        <v>62.59</v>
      </c>
      <c r="AA3346">
        <v>0</v>
      </c>
      <c r="AB3346" s="1">
        <v>42382</v>
      </c>
      <c r="AC3346" t="s">
        <v>53</v>
      </c>
      <c r="AD3346" t="s">
        <v>53</v>
      </c>
      <c r="AK3346">
        <v>0</v>
      </c>
      <c r="AU3346" s="6">
        <v>42340</v>
      </c>
      <c r="AV3346" s="6">
        <v>42340</v>
      </c>
      <c r="AW3346" t="s">
        <v>54</v>
      </c>
      <c r="AX3346" t="str">
        <f t="shared" si="288"/>
        <v>FOR</v>
      </c>
      <c r="AY3346" t="s">
        <v>55</v>
      </c>
    </row>
    <row r="3347" spans="1:51">
      <c r="A3347">
        <v>101130</v>
      </c>
      <c r="B3347" t="s">
        <v>550</v>
      </c>
      <c r="C3347" t="str">
        <f t="shared" si="289"/>
        <v>09238800156</v>
      </c>
      <c r="D3347" t="str">
        <f t="shared" si="289"/>
        <v>09238800156</v>
      </c>
      <c r="E3347" t="s">
        <v>52</v>
      </c>
      <c r="F3347">
        <v>2014</v>
      </c>
      <c r="G3347">
        <v>23536174</v>
      </c>
      <c r="H3347" s="1">
        <v>41995</v>
      </c>
      <c r="I3347" s="1">
        <v>42031</v>
      </c>
      <c r="J3347" s="1">
        <v>42031</v>
      </c>
      <c r="K3347" s="1">
        <v>42091</v>
      </c>
      <c r="L3347" s="7">
        <v>62.59</v>
      </c>
      <c r="M3347" s="5">
        <v>249</v>
      </c>
      <c r="N3347" s="7">
        <v>15584.91</v>
      </c>
      <c r="O3347">
        <v>62.59</v>
      </c>
      <c r="P3347">
        <v>249</v>
      </c>
      <c r="Q3347" s="2">
        <v>15584.91</v>
      </c>
      <c r="R3347">
        <v>0</v>
      </c>
      <c r="V3347">
        <v>0</v>
      </c>
      <c r="W3347">
        <v>0</v>
      </c>
      <c r="X3347">
        <v>0</v>
      </c>
      <c r="Y3347">
        <v>0</v>
      </c>
      <c r="Z3347">
        <v>62.59</v>
      </c>
      <c r="AA3347">
        <v>0</v>
      </c>
      <c r="AB3347" s="1">
        <v>42382</v>
      </c>
      <c r="AC3347" t="s">
        <v>53</v>
      </c>
      <c r="AD3347" t="s">
        <v>53</v>
      </c>
      <c r="AK3347">
        <v>0</v>
      </c>
      <c r="AU3347" s="6">
        <v>42340</v>
      </c>
      <c r="AV3347" s="6">
        <v>42340</v>
      </c>
      <c r="AW3347" t="s">
        <v>54</v>
      </c>
      <c r="AX3347" t="str">
        <f t="shared" si="288"/>
        <v>FOR</v>
      </c>
      <c r="AY3347" t="s">
        <v>55</v>
      </c>
    </row>
    <row r="3348" spans="1:51">
      <c r="A3348">
        <v>101130</v>
      </c>
      <c r="B3348" t="s">
        <v>550</v>
      </c>
      <c r="C3348" t="str">
        <f t="shared" si="289"/>
        <v>09238800156</v>
      </c>
      <c r="D3348" t="str">
        <f t="shared" si="289"/>
        <v>09238800156</v>
      </c>
      <c r="E3348" t="s">
        <v>52</v>
      </c>
      <c r="F3348">
        <v>2014</v>
      </c>
      <c r="G3348">
        <v>23536175</v>
      </c>
      <c r="H3348" s="1">
        <v>41995</v>
      </c>
      <c r="I3348" s="1">
        <v>42031</v>
      </c>
      <c r="J3348" s="1">
        <v>42031</v>
      </c>
      <c r="K3348" s="1">
        <v>42091</v>
      </c>
      <c r="L3348" s="7">
        <v>62.59</v>
      </c>
      <c r="M3348" s="5">
        <v>249</v>
      </c>
      <c r="N3348" s="7">
        <v>15584.91</v>
      </c>
      <c r="O3348">
        <v>62.59</v>
      </c>
      <c r="P3348">
        <v>249</v>
      </c>
      <c r="Q3348" s="2">
        <v>15584.91</v>
      </c>
      <c r="R3348">
        <v>0</v>
      </c>
      <c r="V3348">
        <v>0</v>
      </c>
      <c r="W3348">
        <v>0</v>
      </c>
      <c r="X3348">
        <v>0</v>
      </c>
      <c r="Y3348">
        <v>0</v>
      </c>
      <c r="Z3348">
        <v>62.59</v>
      </c>
      <c r="AA3348">
        <v>0</v>
      </c>
      <c r="AB3348" s="1">
        <v>42382</v>
      </c>
      <c r="AC3348" t="s">
        <v>53</v>
      </c>
      <c r="AD3348" t="s">
        <v>53</v>
      </c>
      <c r="AK3348">
        <v>0</v>
      </c>
      <c r="AU3348" s="6">
        <v>42340</v>
      </c>
      <c r="AV3348" s="6">
        <v>42340</v>
      </c>
      <c r="AW3348" t="s">
        <v>54</v>
      </c>
      <c r="AX3348" t="str">
        <f t="shared" si="288"/>
        <v>FOR</v>
      </c>
      <c r="AY3348" t="s">
        <v>55</v>
      </c>
    </row>
    <row r="3349" spans="1:51">
      <c r="A3349">
        <v>101130</v>
      </c>
      <c r="B3349" t="s">
        <v>550</v>
      </c>
      <c r="C3349" t="str">
        <f t="shared" si="289"/>
        <v>09238800156</v>
      </c>
      <c r="D3349" t="str">
        <f t="shared" si="289"/>
        <v>09238800156</v>
      </c>
      <c r="E3349" t="s">
        <v>52</v>
      </c>
      <c r="F3349">
        <v>2014</v>
      </c>
      <c r="G3349">
        <v>23536176</v>
      </c>
      <c r="H3349" s="1">
        <v>41995</v>
      </c>
      <c r="I3349" s="1">
        <v>42031</v>
      </c>
      <c r="J3349" s="1">
        <v>42031</v>
      </c>
      <c r="K3349" s="1">
        <v>42091</v>
      </c>
      <c r="L3349" s="7">
        <v>62.59</v>
      </c>
      <c r="M3349" s="5">
        <v>249</v>
      </c>
      <c r="N3349" s="7">
        <v>15584.91</v>
      </c>
      <c r="O3349">
        <v>62.59</v>
      </c>
      <c r="P3349">
        <v>249</v>
      </c>
      <c r="Q3349" s="2">
        <v>15584.91</v>
      </c>
      <c r="R3349">
        <v>0</v>
      </c>
      <c r="V3349">
        <v>0</v>
      </c>
      <c r="W3349">
        <v>0</v>
      </c>
      <c r="X3349">
        <v>0</v>
      </c>
      <c r="Y3349">
        <v>0</v>
      </c>
      <c r="Z3349">
        <v>62.59</v>
      </c>
      <c r="AA3349">
        <v>0</v>
      </c>
      <c r="AB3349" s="1">
        <v>42382</v>
      </c>
      <c r="AC3349" t="s">
        <v>53</v>
      </c>
      <c r="AD3349" t="s">
        <v>53</v>
      </c>
      <c r="AK3349">
        <v>0</v>
      </c>
      <c r="AU3349" s="6">
        <v>42340</v>
      </c>
      <c r="AV3349" s="6">
        <v>42340</v>
      </c>
      <c r="AW3349" t="s">
        <v>54</v>
      </c>
      <c r="AX3349" t="str">
        <f t="shared" si="288"/>
        <v>FOR</v>
      </c>
      <c r="AY3349" t="s">
        <v>55</v>
      </c>
    </row>
    <row r="3350" spans="1:51">
      <c r="A3350">
        <v>101130</v>
      </c>
      <c r="B3350" t="s">
        <v>550</v>
      </c>
      <c r="C3350" t="str">
        <f t="shared" si="289"/>
        <v>09238800156</v>
      </c>
      <c r="D3350" t="str">
        <f t="shared" si="289"/>
        <v>09238800156</v>
      </c>
      <c r="E3350" t="s">
        <v>52</v>
      </c>
      <c r="F3350">
        <v>2014</v>
      </c>
      <c r="G3350">
        <v>23537436</v>
      </c>
      <c r="H3350" s="1">
        <v>41997</v>
      </c>
      <c r="I3350" s="1">
        <v>42047</v>
      </c>
      <c r="J3350" s="1">
        <v>42047</v>
      </c>
      <c r="K3350" s="1">
        <v>42107</v>
      </c>
      <c r="L3350" s="7">
        <v>655.32000000000005</v>
      </c>
      <c r="M3350" s="5">
        <v>233</v>
      </c>
      <c r="N3350" s="7">
        <v>152689.56</v>
      </c>
      <c r="O3350">
        <v>655.32000000000005</v>
      </c>
      <c r="P3350">
        <v>233</v>
      </c>
      <c r="Q3350" s="2">
        <v>152689.56</v>
      </c>
      <c r="R3350">
        <v>0</v>
      </c>
      <c r="V3350">
        <v>0</v>
      </c>
      <c r="W3350">
        <v>0</v>
      </c>
      <c r="X3350">
        <v>0</v>
      </c>
      <c r="Y3350">
        <v>0</v>
      </c>
      <c r="Z3350">
        <v>655.32000000000005</v>
      </c>
      <c r="AA3350">
        <v>0</v>
      </c>
      <c r="AB3350" s="1">
        <v>42382</v>
      </c>
      <c r="AC3350" t="s">
        <v>53</v>
      </c>
      <c r="AD3350" t="s">
        <v>53</v>
      </c>
      <c r="AK3350">
        <v>0</v>
      </c>
      <c r="AU3350" s="6">
        <v>42340</v>
      </c>
      <c r="AV3350" s="6">
        <v>42340</v>
      </c>
      <c r="AW3350" t="s">
        <v>54</v>
      </c>
      <c r="AX3350" t="str">
        <f t="shared" si="288"/>
        <v>FOR</v>
      </c>
      <c r="AY3350" t="s">
        <v>55</v>
      </c>
    </row>
    <row r="3351" spans="1:51">
      <c r="A3351">
        <v>101130</v>
      </c>
      <c r="B3351" t="s">
        <v>550</v>
      </c>
      <c r="C3351" t="str">
        <f t="shared" si="289"/>
        <v>09238800156</v>
      </c>
      <c r="D3351" t="str">
        <f t="shared" si="289"/>
        <v>09238800156</v>
      </c>
      <c r="E3351" t="s">
        <v>52</v>
      </c>
      <c r="F3351">
        <v>2015</v>
      </c>
      <c r="G3351">
        <v>1023602829</v>
      </c>
      <c r="H3351" s="1">
        <v>42035</v>
      </c>
      <c r="I3351" s="1">
        <v>42094</v>
      </c>
      <c r="J3351" s="1">
        <v>42094</v>
      </c>
      <c r="K3351" s="1">
        <v>42154</v>
      </c>
      <c r="L3351" s="7">
        <v>1706.58</v>
      </c>
      <c r="M3351" s="5">
        <v>201</v>
      </c>
      <c r="N3351" s="7">
        <v>343022.58</v>
      </c>
      <c r="O3351" s="2">
        <v>1706.58</v>
      </c>
      <c r="P3351">
        <v>201</v>
      </c>
      <c r="Q3351" s="2">
        <v>343022.58</v>
      </c>
      <c r="R3351">
        <v>68.260000000000005</v>
      </c>
      <c r="V3351">
        <v>0</v>
      </c>
      <c r="W3351">
        <v>0</v>
      </c>
      <c r="X3351">
        <v>0</v>
      </c>
      <c r="Y3351">
        <v>0</v>
      </c>
      <c r="Z3351" s="2">
        <v>1774.84</v>
      </c>
      <c r="AA3351" s="2">
        <v>1774.84</v>
      </c>
      <c r="AB3351" s="1">
        <v>42382</v>
      </c>
      <c r="AC3351" t="s">
        <v>53</v>
      </c>
      <c r="AD3351" t="s">
        <v>53</v>
      </c>
      <c r="AK3351">
        <v>68.260000000000005</v>
      </c>
      <c r="AU3351" s="6">
        <v>42355</v>
      </c>
      <c r="AV3351" s="6">
        <v>42355</v>
      </c>
      <c r="AW3351" t="s">
        <v>54</v>
      </c>
      <c r="AX3351" t="str">
        <f t="shared" si="288"/>
        <v>FOR</v>
      </c>
      <c r="AY3351" t="s">
        <v>55</v>
      </c>
    </row>
    <row r="3352" spans="1:51">
      <c r="A3352">
        <v>101130</v>
      </c>
      <c r="B3352" t="s">
        <v>550</v>
      </c>
      <c r="C3352" t="str">
        <f t="shared" si="289"/>
        <v>09238800156</v>
      </c>
      <c r="D3352" t="str">
        <f t="shared" si="289"/>
        <v>09238800156</v>
      </c>
      <c r="E3352" t="s">
        <v>52</v>
      </c>
      <c r="F3352">
        <v>2015</v>
      </c>
      <c r="G3352">
        <v>1023613038</v>
      </c>
      <c r="H3352" s="1">
        <v>42038</v>
      </c>
      <c r="I3352" s="1">
        <v>42094</v>
      </c>
      <c r="J3352" s="1">
        <v>42094</v>
      </c>
      <c r="K3352" s="1">
        <v>42154</v>
      </c>
      <c r="L3352" s="7">
        <v>742.5</v>
      </c>
      <c r="M3352" s="5">
        <v>201</v>
      </c>
      <c r="N3352" s="7">
        <v>149242.5</v>
      </c>
      <c r="O3352">
        <v>742.5</v>
      </c>
      <c r="P3352">
        <v>201</v>
      </c>
      <c r="Q3352" s="2">
        <v>149242.5</v>
      </c>
      <c r="R3352">
        <v>163.35</v>
      </c>
      <c r="V3352">
        <v>0</v>
      </c>
      <c r="W3352">
        <v>0</v>
      </c>
      <c r="X3352">
        <v>0</v>
      </c>
      <c r="Y3352">
        <v>905.85</v>
      </c>
      <c r="Z3352">
        <v>905.85</v>
      </c>
      <c r="AA3352">
        <v>905.85</v>
      </c>
      <c r="AB3352" s="1">
        <v>42382</v>
      </c>
      <c r="AC3352" t="s">
        <v>53</v>
      </c>
      <c r="AD3352" t="s">
        <v>53</v>
      </c>
      <c r="AK3352">
        <v>163.35</v>
      </c>
      <c r="AU3352" s="6">
        <v>42355</v>
      </c>
      <c r="AV3352" s="6">
        <v>42355</v>
      </c>
      <c r="AW3352" t="s">
        <v>54</v>
      </c>
      <c r="AX3352" t="str">
        <f t="shared" si="288"/>
        <v>FOR</v>
      </c>
      <c r="AY3352" t="s">
        <v>55</v>
      </c>
    </row>
    <row r="3353" spans="1:51">
      <c r="A3353">
        <v>101130</v>
      </c>
      <c r="B3353" t="s">
        <v>550</v>
      </c>
      <c r="C3353" t="str">
        <f t="shared" si="289"/>
        <v>09238800156</v>
      </c>
      <c r="D3353" t="str">
        <f t="shared" si="289"/>
        <v>09238800156</v>
      </c>
      <c r="E3353" t="s">
        <v>52</v>
      </c>
      <c r="F3353">
        <v>2015</v>
      </c>
      <c r="G3353">
        <v>1023613039</v>
      </c>
      <c r="H3353" s="1">
        <v>42038</v>
      </c>
      <c r="I3353" s="1">
        <v>42094</v>
      </c>
      <c r="J3353" s="1">
        <v>42094</v>
      </c>
      <c r="K3353" s="1">
        <v>42154</v>
      </c>
      <c r="L3353" s="7">
        <v>7376.64</v>
      </c>
      <c r="M3353" s="5">
        <v>201</v>
      </c>
      <c r="N3353" s="7">
        <v>1482704.64</v>
      </c>
      <c r="O3353" s="2">
        <v>7376.64</v>
      </c>
      <c r="P3353">
        <v>201</v>
      </c>
      <c r="Q3353" s="2">
        <v>1482704.64</v>
      </c>
      <c r="R3353">
        <v>295.07</v>
      </c>
      <c r="V3353">
        <v>0</v>
      </c>
      <c r="W3353">
        <v>0</v>
      </c>
      <c r="X3353">
        <v>0</v>
      </c>
      <c r="Y3353" s="2">
        <v>7671.71</v>
      </c>
      <c r="Z3353" s="2">
        <v>7671.71</v>
      </c>
      <c r="AA3353" s="2">
        <v>7671.71</v>
      </c>
      <c r="AB3353" s="1">
        <v>42382</v>
      </c>
      <c r="AC3353" t="s">
        <v>53</v>
      </c>
      <c r="AD3353" t="s">
        <v>53</v>
      </c>
      <c r="AK3353">
        <v>295.07</v>
      </c>
      <c r="AU3353" s="6">
        <v>42355</v>
      </c>
      <c r="AV3353" s="6">
        <v>42355</v>
      </c>
      <c r="AW3353" t="s">
        <v>54</v>
      </c>
      <c r="AX3353" t="str">
        <f t="shared" si="288"/>
        <v>FOR</v>
      </c>
      <c r="AY3353" t="s">
        <v>55</v>
      </c>
    </row>
    <row r="3354" spans="1:51">
      <c r="A3354">
        <v>101130</v>
      </c>
      <c r="B3354" t="s">
        <v>550</v>
      </c>
      <c r="C3354" t="str">
        <f t="shared" si="289"/>
        <v>09238800156</v>
      </c>
      <c r="D3354" t="str">
        <f t="shared" si="289"/>
        <v>09238800156</v>
      </c>
      <c r="E3354" t="s">
        <v>52</v>
      </c>
      <c r="F3354">
        <v>2015</v>
      </c>
      <c r="G3354">
        <v>1023623894</v>
      </c>
      <c r="H3354" s="1">
        <v>42062</v>
      </c>
      <c r="I3354" s="1">
        <v>42072</v>
      </c>
      <c r="J3354" s="1">
        <v>42072</v>
      </c>
      <c r="K3354" s="1">
        <v>42132</v>
      </c>
      <c r="L3354" s="7">
        <v>13350</v>
      </c>
      <c r="M3354" s="5">
        <v>223</v>
      </c>
      <c r="N3354" s="7">
        <v>2977050</v>
      </c>
      <c r="O3354" s="2">
        <v>13350</v>
      </c>
      <c r="P3354">
        <v>223</v>
      </c>
      <c r="Q3354" s="2">
        <v>2977050</v>
      </c>
      <c r="R3354">
        <v>534</v>
      </c>
      <c r="V3354">
        <v>0</v>
      </c>
      <c r="W3354">
        <v>0</v>
      </c>
      <c r="X3354">
        <v>0</v>
      </c>
      <c r="Y3354">
        <v>0</v>
      </c>
      <c r="Z3354" s="2">
        <v>13884</v>
      </c>
      <c r="AA3354" s="2">
        <v>13884</v>
      </c>
      <c r="AB3354" s="1">
        <v>42382</v>
      </c>
      <c r="AC3354" t="s">
        <v>53</v>
      </c>
      <c r="AD3354" t="s">
        <v>53</v>
      </c>
      <c r="AK3354">
        <v>534</v>
      </c>
      <c r="AU3354" s="6">
        <v>42355</v>
      </c>
      <c r="AV3354" s="6">
        <v>42355</v>
      </c>
      <c r="AW3354" t="s">
        <v>54</v>
      </c>
      <c r="AX3354" t="str">
        <f t="shared" si="288"/>
        <v>FOR</v>
      </c>
      <c r="AY3354" t="s">
        <v>55</v>
      </c>
    </row>
    <row r="3355" spans="1:51">
      <c r="A3355">
        <v>101130</v>
      </c>
      <c r="B3355" t="s">
        <v>550</v>
      </c>
      <c r="C3355" t="str">
        <f t="shared" si="289"/>
        <v>09238800156</v>
      </c>
      <c r="D3355" t="str">
        <f t="shared" si="289"/>
        <v>09238800156</v>
      </c>
      <c r="E3355" t="s">
        <v>52</v>
      </c>
      <c r="F3355">
        <v>2015</v>
      </c>
      <c r="G3355">
        <v>1023623895</v>
      </c>
      <c r="H3355" s="1">
        <v>42062</v>
      </c>
      <c r="I3355" s="1">
        <v>42072</v>
      </c>
      <c r="J3355" s="1">
        <v>42072</v>
      </c>
      <c r="K3355" s="1">
        <v>42132</v>
      </c>
      <c r="L3355" s="7">
        <v>13150</v>
      </c>
      <c r="M3355" s="5">
        <v>223</v>
      </c>
      <c r="N3355" s="7">
        <v>2932450</v>
      </c>
      <c r="O3355" s="2">
        <v>13150</v>
      </c>
      <c r="P3355">
        <v>223</v>
      </c>
      <c r="Q3355" s="2">
        <v>2932450</v>
      </c>
      <c r="R3355">
        <v>526</v>
      </c>
      <c r="V3355">
        <v>0</v>
      </c>
      <c r="W3355">
        <v>0</v>
      </c>
      <c r="X3355">
        <v>0</v>
      </c>
      <c r="Y3355">
        <v>0</v>
      </c>
      <c r="Z3355" s="2">
        <v>13676</v>
      </c>
      <c r="AA3355" s="2">
        <v>13676</v>
      </c>
      <c r="AB3355" s="1">
        <v>42382</v>
      </c>
      <c r="AC3355" t="s">
        <v>53</v>
      </c>
      <c r="AD3355" t="s">
        <v>53</v>
      </c>
      <c r="AK3355">
        <v>526</v>
      </c>
      <c r="AU3355" s="6">
        <v>42355</v>
      </c>
      <c r="AV3355" s="6">
        <v>42355</v>
      </c>
      <c r="AW3355" t="s">
        <v>54</v>
      </c>
      <c r="AX3355" t="str">
        <f t="shared" si="288"/>
        <v>FOR</v>
      </c>
      <c r="AY3355" t="s">
        <v>55</v>
      </c>
    </row>
    <row r="3356" spans="1:51">
      <c r="A3356">
        <v>101130</v>
      </c>
      <c r="B3356" t="s">
        <v>550</v>
      </c>
      <c r="C3356" t="str">
        <f t="shared" si="289"/>
        <v>09238800156</v>
      </c>
      <c r="D3356" t="str">
        <f t="shared" si="289"/>
        <v>09238800156</v>
      </c>
      <c r="E3356" t="s">
        <v>52</v>
      </c>
      <c r="F3356">
        <v>2015</v>
      </c>
      <c r="G3356">
        <v>1023623896</v>
      </c>
      <c r="H3356" s="1">
        <v>42062</v>
      </c>
      <c r="I3356" s="1">
        <v>42072</v>
      </c>
      <c r="J3356" s="1">
        <v>42072</v>
      </c>
      <c r="K3356" s="1">
        <v>42132</v>
      </c>
      <c r="L3356" s="7">
        <v>2600</v>
      </c>
      <c r="M3356" s="5">
        <v>223</v>
      </c>
      <c r="N3356" s="7">
        <v>579800</v>
      </c>
      <c r="O3356" s="2">
        <v>2600</v>
      </c>
      <c r="P3356">
        <v>223</v>
      </c>
      <c r="Q3356" s="2">
        <v>579800</v>
      </c>
      <c r="R3356">
        <v>572</v>
      </c>
      <c r="V3356">
        <v>0</v>
      </c>
      <c r="W3356">
        <v>0</v>
      </c>
      <c r="X3356">
        <v>0</v>
      </c>
      <c r="Y3356" s="2">
        <v>3172</v>
      </c>
      <c r="Z3356" s="2">
        <v>3172</v>
      </c>
      <c r="AA3356" s="2">
        <v>3172</v>
      </c>
      <c r="AB3356" s="1">
        <v>42382</v>
      </c>
      <c r="AC3356" t="s">
        <v>53</v>
      </c>
      <c r="AD3356" t="s">
        <v>53</v>
      </c>
      <c r="AK3356">
        <v>572</v>
      </c>
      <c r="AU3356" s="6">
        <v>42355</v>
      </c>
      <c r="AV3356" s="6">
        <v>42355</v>
      </c>
      <c r="AW3356" t="s">
        <v>54</v>
      </c>
      <c r="AX3356" t="str">
        <f t="shared" si="288"/>
        <v>FOR</v>
      </c>
      <c r="AY3356" t="s">
        <v>55</v>
      </c>
    </row>
    <row r="3357" spans="1:51" hidden="1">
      <c r="A3357">
        <v>101139</v>
      </c>
      <c r="B3357" t="s">
        <v>551</v>
      </c>
      <c r="C3357" t="str">
        <f>"01260981004"</f>
        <v>01260981004</v>
      </c>
      <c r="D3357" t="str">
        <f>"03918040589"</f>
        <v>03918040589</v>
      </c>
      <c r="E3357" t="s">
        <v>52</v>
      </c>
      <c r="F3357">
        <v>2014</v>
      </c>
      <c r="G3357">
        <v>491843</v>
      </c>
      <c r="H3357" s="1">
        <v>41773</v>
      </c>
      <c r="I3357" s="1">
        <v>41800</v>
      </c>
      <c r="J3357" s="1">
        <v>41800</v>
      </c>
      <c r="K3357" s="1">
        <v>41890</v>
      </c>
      <c r="N3357" s="5"/>
      <c r="O3357">
        <v>697.4</v>
      </c>
      <c r="P3357">
        <v>128</v>
      </c>
      <c r="Q3357" s="2">
        <v>89267.199999999997</v>
      </c>
      <c r="R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 s="1">
        <v>42382</v>
      </c>
      <c r="AC3357" t="s">
        <v>53</v>
      </c>
      <c r="AD3357" t="s">
        <v>53</v>
      </c>
      <c r="AK3357">
        <v>0</v>
      </c>
      <c r="AU3357" s="6">
        <v>42018</v>
      </c>
      <c r="AV3357" s="6">
        <v>42018</v>
      </c>
      <c r="AW3357" t="s">
        <v>54</v>
      </c>
      <c r="AX3357" t="str">
        <f t="shared" si="288"/>
        <v>FOR</v>
      </c>
      <c r="AY3357" t="s">
        <v>55</v>
      </c>
    </row>
    <row r="3358" spans="1:51" hidden="1">
      <c r="A3358">
        <v>101139</v>
      </c>
      <c r="B3358" t="s">
        <v>551</v>
      </c>
      <c r="C3358" t="str">
        <f>"01260981004"</f>
        <v>01260981004</v>
      </c>
      <c r="D3358" t="str">
        <f>"03918040589"</f>
        <v>03918040589</v>
      </c>
      <c r="E3358" t="s">
        <v>52</v>
      </c>
      <c r="F3358">
        <v>2014</v>
      </c>
      <c r="G3358">
        <v>496092</v>
      </c>
      <c r="H3358" s="1">
        <v>41815</v>
      </c>
      <c r="I3358" s="1">
        <v>41829</v>
      </c>
      <c r="J3358" s="1">
        <v>41829</v>
      </c>
      <c r="K3358" s="1">
        <v>41919</v>
      </c>
      <c r="N3358" s="5"/>
      <c r="O3358">
        <v>697.4</v>
      </c>
      <c r="P3358">
        <v>99</v>
      </c>
      <c r="Q3358" s="2">
        <v>69042.600000000006</v>
      </c>
      <c r="R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 s="1">
        <v>42382</v>
      </c>
      <c r="AC3358" t="s">
        <v>53</v>
      </c>
      <c r="AD3358" t="s">
        <v>53</v>
      </c>
      <c r="AK3358">
        <v>0</v>
      </c>
      <c r="AU3358" s="6">
        <v>42018</v>
      </c>
      <c r="AV3358" s="6">
        <v>42018</v>
      </c>
      <c r="AW3358" t="s">
        <v>54</v>
      </c>
      <c r="AX3358" t="str">
        <f t="shared" si="288"/>
        <v>FOR</v>
      </c>
      <c r="AY3358" t="s">
        <v>55</v>
      </c>
    </row>
    <row r="3359" spans="1:51" hidden="1">
      <c r="A3359">
        <v>101139</v>
      </c>
      <c r="B3359" t="s">
        <v>551</v>
      </c>
      <c r="C3359" t="str">
        <f>"01260981004"</f>
        <v>01260981004</v>
      </c>
      <c r="D3359" t="str">
        <f>"03918040589"</f>
        <v>03918040589</v>
      </c>
      <c r="E3359" t="s">
        <v>52</v>
      </c>
      <c r="F3359">
        <v>2014</v>
      </c>
      <c r="G3359">
        <v>502579</v>
      </c>
      <c r="H3359" s="1">
        <v>41897</v>
      </c>
      <c r="I3359" s="1">
        <v>41911</v>
      </c>
      <c r="J3359" s="1">
        <v>41911</v>
      </c>
      <c r="K3359" s="1">
        <v>42001</v>
      </c>
      <c r="N3359" s="5"/>
      <c r="O3359">
        <v>697.4</v>
      </c>
      <c r="P3359">
        <v>17</v>
      </c>
      <c r="Q3359" s="2">
        <v>11855.8</v>
      </c>
      <c r="R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 s="1">
        <v>42382</v>
      </c>
      <c r="AC3359" t="s">
        <v>53</v>
      </c>
      <c r="AD3359" t="s">
        <v>53</v>
      </c>
      <c r="AK3359">
        <v>0</v>
      </c>
      <c r="AU3359" s="6">
        <v>42018</v>
      </c>
      <c r="AV3359" s="6">
        <v>42018</v>
      </c>
      <c r="AW3359" t="s">
        <v>54</v>
      </c>
      <c r="AX3359" t="str">
        <f t="shared" si="288"/>
        <v>FOR</v>
      </c>
      <c r="AY3359" t="s">
        <v>55</v>
      </c>
    </row>
    <row r="3360" spans="1:51" hidden="1">
      <c r="A3360">
        <v>101150</v>
      </c>
      <c r="B3360" t="s">
        <v>552</v>
      </c>
      <c r="C3360" t="str">
        <f t="shared" ref="C3360:C3385" si="290">"01696821006"</f>
        <v>01696821006</v>
      </c>
      <c r="D3360" t="str">
        <f t="shared" ref="D3360:D3385" si="291">"07146020586"</f>
        <v>07146020586</v>
      </c>
      <c r="E3360" t="s">
        <v>52</v>
      </c>
      <c r="F3360">
        <v>2014</v>
      </c>
      <c r="G3360">
        <v>5413732</v>
      </c>
      <c r="H3360" s="1">
        <v>41710</v>
      </c>
      <c r="I3360" s="1">
        <v>41722</v>
      </c>
      <c r="J3360" s="1">
        <v>41722</v>
      </c>
      <c r="K3360" s="1">
        <v>41812</v>
      </c>
      <c r="N3360" s="5"/>
      <c r="O3360">
        <v>434.56</v>
      </c>
      <c r="P3360">
        <v>250</v>
      </c>
      <c r="Q3360" s="2">
        <v>108640</v>
      </c>
      <c r="R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 s="1">
        <v>42382</v>
      </c>
      <c r="AC3360" t="s">
        <v>53</v>
      </c>
      <c r="AD3360" t="s">
        <v>53</v>
      </c>
      <c r="AK3360">
        <v>0</v>
      </c>
      <c r="AU3360" s="6">
        <v>42062</v>
      </c>
      <c r="AV3360" s="6">
        <v>42062</v>
      </c>
      <c r="AW3360" t="s">
        <v>54</v>
      </c>
      <c r="AX3360" t="str">
        <f t="shared" si="288"/>
        <v>FOR</v>
      </c>
      <c r="AY3360" t="s">
        <v>55</v>
      </c>
    </row>
    <row r="3361" spans="1:51" hidden="1">
      <c r="A3361">
        <v>101150</v>
      </c>
      <c r="B3361" t="s">
        <v>552</v>
      </c>
      <c r="C3361" t="str">
        <f t="shared" si="290"/>
        <v>01696821006</v>
      </c>
      <c r="D3361" t="str">
        <f t="shared" si="291"/>
        <v>07146020586</v>
      </c>
      <c r="E3361" t="s">
        <v>52</v>
      </c>
      <c r="F3361">
        <v>2014</v>
      </c>
      <c r="G3361">
        <v>5417173</v>
      </c>
      <c r="H3361" s="1">
        <v>41726</v>
      </c>
      <c r="I3361" s="1">
        <v>41830</v>
      </c>
      <c r="J3361" s="1">
        <v>41830</v>
      </c>
      <c r="K3361" s="1">
        <v>41920</v>
      </c>
      <c r="N3361" s="5"/>
      <c r="O3361">
        <v>671</v>
      </c>
      <c r="P3361">
        <v>114</v>
      </c>
      <c r="Q3361" s="2">
        <v>76494</v>
      </c>
      <c r="R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 s="1">
        <v>42382</v>
      </c>
      <c r="AC3361" t="s">
        <v>53</v>
      </c>
      <c r="AD3361" t="s">
        <v>53</v>
      </c>
      <c r="AK3361">
        <v>0</v>
      </c>
      <c r="AU3361" s="6">
        <v>42034</v>
      </c>
      <c r="AV3361" s="6">
        <v>42034</v>
      </c>
      <c r="AW3361" t="s">
        <v>54</v>
      </c>
      <c r="AX3361" t="str">
        <f t="shared" si="288"/>
        <v>FOR</v>
      </c>
      <c r="AY3361" t="s">
        <v>55</v>
      </c>
    </row>
    <row r="3362" spans="1:51" hidden="1">
      <c r="A3362">
        <v>101150</v>
      </c>
      <c r="B3362" t="s">
        <v>552</v>
      </c>
      <c r="C3362" t="str">
        <f t="shared" si="290"/>
        <v>01696821006</v>
      </c>
      <c r="D3362" t="str">
        <f t="shared" si="291"/>
        <v>07146020586</v>
      </c>
      <c r="E3362" t="s">
        <v>52</v>
      </c>
      <c r="F3362">
        <v>2014</v>
      </c>
      <c r="G3362">
        <v>5417752</v>
      </c>
      <c r="H3362" s="1">
        <v>41726</v>
      </c>
      <c r="I3362" s="1">
        <v>41830</v>
      </c>
      <c r="J3362" s="1">
        <v>41830</v>
      </c>
      <c r="K3362" s="1">
        <v>41920</v>
      </c>
      <c r="N3362" s="5"/>
      <c r="O3362">
        <v>122</v>
      </c>
      <c r="P3362">
        <v>114</v>
      </c>
      <c r="Q3362" s="2">
        <v>13908</v>
      </c>
      <c r="R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 s="1">
        <v>42382</v>
      </c>
      <c r="AC3362" t="s">
        <v>53</v>
      </c>
      <c r="AD3362" t="s">
        <v>53</v>
      </c>
      <c r="AK3362">
        <v>0</v>
      </c>
      <c r="AU3362" s="6">
        <v>42034</v>
      </c>
      <c r="AV3362" s="6">
        <v>42034</v>
      </c>
      <c r="AW3362" t="s">
        <v>54</v>
      </c>
      <c r="AX3362" t="str">
        <f t="shared" si="288"/>
        <v>FOR</v>
      </c>
      <c r="AY3362" t="s">
        <v>55</v>
      </c>
    </row>
    <row r="3363" spans="1:51" hidden="1">
      <c r="A3363">
        <v>101150</v>
      </c>
      <c r="B3363" t="s">
        <v>552</v>
      </c>
      <c r="C3363" t="str">
        <f t="shared" si="290"/>
        <v>01696821006</v>
      </c>
      <c r="D3363" t="str">
        <f t="shared" si="291"/>
        <v>07146020586</v>
      </c>
      <c r="E3363" t="s">
        <v>52</v>
      </c>
      <c r="F3363">
        <v>2014</v>
      </c>
      <c r="G3363">
        <v>5423061</v>
      </c>
      <c r="H3363" s="1">
        <v>41753</v>
      </c>
      <c r="I3363" s="1">
        <v>41773</v>
      </c>
      <c r="J3363" s="1">
        <v>41773</v>
      </c>
      <c r="K3363" s="1">
        <v>41863</v>
      </c>
      <c r="N3363" s="5"/>
      <c r="O3363">
        <v>122</v>
      </c>
      <c r="P3363">
        <v>199</v>
      </c>
      <c r="Q3363" s="2">
        <v>24278</v>
      </c>
      <c r="R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 s="1">
        <v>42382</v>
      </c>
      <c r="AC3363" t="s">
        <v>53</v>
      </c>
      <c r="AD3363" t="s">
        <v>53</v>
      </c>
      <c r="AK3363">
        <v>0</v>
      </c>
      <c r="AU3363" s="6">
        <v>42062</v>
      </c>
      <c r="AV3363" s="6">
        <v>42062</v>
      </c>
      <c r="AW3363" t="s">
        <v>54</v>
      </c>
      <c r="AX3363" t="str">
        <f t="shared" si="288"/>
        <v>FOR</v>
      </c>
      <c r="AY3363" t="s">
        <v>55</v>
      </c>
    </row>
    <row r="3364" spans="1:51" hidden="1">
      <c r="A3364">
        <v>101150</v>
      </c>
      <c r="B3364" t="s">
        <v>552</v>
      </c>
      <c r="C3364" t="str">
        <f t="shared" si="290"/>
        <v>01696821006</v>
      </c>
      <c r="D3364" t="str">
        <f t="shared" si="291"/>
        <v>07146020586</v>
      </c>
      <c r="E3364" t="s">
        <v>52</v>
      </c>
      <c r="F3364">
        <v>2014</v>
      </c>
      <c r="G3364">
        <v>5423216</v>
      </c>
      <c r="H3364" s="1">
        <v>41753</v>
      </c>
      <c r="I3364" s="1">
        <v>41773</v>
      </c>
      <c r="J3364" s="1">
        <v>41773</v>
      </c>
      <c r="K3364" s="1">
        <v>41863</v>
      </c>
      <c r="N3364" s="5"/>
      <c r="O3364">
        <v>671</v>
      </c>
      <c r="P3364">
        <v>199</v>
      </c>
      <c r="Q3364" s="2">
        <v>133529</v>
      </c>
      <c r="R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 s="1">
        <v>42382</v>
      </c>
      <c r="AC3364" t="s">
        <v>53</v>
      </c>
      <c r="AD3364" t="s">
        <v>53</v>
      </c>
      <c r="AK3364">
        <v>0</v>
      </c>
      <c r="AU3364" s="6">
        <v>42062</v>
      </c>
      <c r="AV3364" s="6">
        <v>42062</v>
      </c>
      <c r="AW3364" t="s">
        <v>54</v>
      </c>
      <c r="AX3364" t="str">
        <f t="shared" si="288"/>
        <v>FOR</v>
      </c>
      <c r="AY3364" t="s">
        <v>55</v>
      </c>
    </row>
    <row r="3365" spans="1:51" hidden="1">
      <c r="A3365">
        <v>101150</v>
      </c>
      <c r="B3365" t="s">
        <v>552</v>
      </c>
      <c r="C3365" t="str">
        <f t="shared" si="290"/>
        <v>01696821006</v>
      </c>
      <c r="D3365" t="str">
        <f t="shared" si="291"/>
        <v>07146020586</v>
      </c>
      <c r="E3365" t="s">
        <v>52</v>
      </c>
      <c r="F3365">
        <v>2014</v>
      </c>
      <c r="G3365">
        <v>5428115</v>
      </c>
      <c r="H3365" s="1">
        <v>41782</v>
      </c>
      <c r="I3365" s="1">
        <v>41799</v>
      </c>
      <c r="J3365" s="1">
        <v>41799</v>
      </c>
      <c r="K3365" s="1">
        <v>41889</v>
      </c>
      <c r="N3365" s="5"/>
      <c r="O3365">
        <v>671</v>
      </c>
      <c r="P3365">
        <v>207</v>
      </c>
      <c r="Q3365" s="2">
        <v>138897</v>
      </c>
      <c r="R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 s="1">
        <v>42382</v>
      </c>
      <c r="AC3365" t="s">
        <v>53</v>
      </c>
      <c r="AD3365" t="s">
        <v>53</v>
      </c>
      <c r="AK3365">
        <v>0</v>
      </c>
      <c r="AU3365" s="6">
        <v>42096</v>
      </c>
      <c r="AV3365" s="6">
        <v>42096</v>
      </c>
      <c r="AW3365" t="s">
        <v>54</v>
      </c>
      <c r="AX3365" t="str">
        <f t="shared" si="288"/>
        <v>FOR</v>
      </c>
      <c r="AY3365" t="s">
        <v>55</v>
      </c>
    </row>
    <row r="3366" spans="1:51" hidden="1">
      <c r="A3366">
        <v>101150</v>
      </c>
      <c r="B3366" t="s">
        <v>552</v>
      </c>
      <c r="C3366" t="str">
        <f t="shared" si="290"/>
        <v>01696821006</v>
      </c>
      <c r="D3366" t="str">
        <f t="shared" si="291"/>
        <v>07146020586</v>
      </c>
      <c r="E3366" t="s">
        <v>52</v>
      </c>
      <c r="F3366">
        <v>2014</v>
      </c>
      <c r="G3366">
        <v>5428276</v>
      </c>
      <c r="H3366" s="1">
        <v>41782</v>
      </c>
      <c r="I3366" s="1">
        <v>41799</v>
      </c>
      <c r="J3366" s="1">
        <v>41799</v>
      </c>
      <c r="K3366" s="1">
        <v>41889</v>
      </c>
      <c r="N3366" s="5"/>
      <c r="O3366">
        <v>122</v>
      </c>
      <c r="P3366">
        <v>207</v>
      </c>
      <c r="Q3366" s="2">
        <v>25254</v>
      </c>
      <c r="R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 s="1">
        <v>42382</v>
      </c>
      <c r="AC3366" t="s">
        <v>53</v>
      </c>
      <c r="AD3366" t="s">
        <v>53</v>
      </c>
      <c r="AK3366">
        <v>0</v>
      </c>
      <c r="AU3366" s="6">
        <v>42096</v>
      </c>
      <c r="AV3366" s="6">
        <v>42096</v>
      </c>
      <c r="AW3366" t="s">
        <v>54</v>
      </c>
      <c r="AX3366" t="str">
        <f t="shared" si="288"/>
        <v>FOR</v>
      </c>
      <c r="AY3366" t="s">
        <v>55</v>
      </c>
    </row>
    <row r="3367" spans="1:51" hidden="1">
      <c r="A3367">
        <v>101150</v>
      </c>
      <c r="B3367" t="s">
        <v>552</v>
      </c>
      <c r="C3367" t="str">
        <f t="shared" si="290"/>
        <v>01696821006</v>
      </c>
      <c r="D3367" t="str">
        <f t="shared" si="291"/>
        <v>07146020586</v>
      </c>
      <c r="E3367" t="s">
        <v>52</v>
      </c>
      <c r="F3367">
        <v>2014</v>
      </c>
      <c r="G3367">
        <v>5428607</v>
      </c>
      <c r="H3367" s="1">
        <v>41782</v>
      </c>
      <c r="I3367" s="1">
        <v>41796</v>
      </c>
      <c r="J3367" s="1">
        <v>41796</v>
      </c>
      <c r="K3367" s="1">
        <v>41886</v>
      </c>
      <c r="N3367" s="5"/>
      <c r="O3367">
        <v>536.63</v>
      </c>
      <c r="P3367">
        <v>244</v>
      </c>
      <c r="Q3367" s="2">
        <v>130937.72</v>
      </c>
      <c r="R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 s="1">
        <v>42382</v>
      </c>
      <c r="AC3367" t="s">
        <v>53</v>
      </c>
      <c r="AD3367" t="s">
        <v>53</v>
      </c>
      <c r="AK3367">
        <v>0</v>
      </c>
      <c r="AU3367" s="6">
        <v>42130</v>
      </c>
      <c r="AV3367" s="6">
        <v>42130</v>
      </c>
      <c r="AW3367" t="s">
        <v>54</v>
      </c>
      <c r="AX3367" t="str">
        <f t="shared" si="288"/>
        <v>FOR</v>
      </c>
      <c r="AY3367" t="s">
        <v>55</v>
      </c>
    </row>
    <row r="3368" spans="1:51" hidden="1">
      <c r="A3368">
        <v>101150</v>
      </c>
      <c r="B3368" t="s">
        <v>552</v>
      </c>
      <c r="C3368" t="str">
        <f t="shared" si="290"/>
        <v>01696821006</v>
      </c>
      <c r="D3368" t="str">
        <f t="shared" si="291"/>
        <v>07146020586</v>
      </c>
      <c r="E3368" t="s">
        <v>52</v>
      </c>
      <c r="F3368">
        <v>2014</v>
      </c>
      <c r="G3368">
        <v>5435864</v>
      </c>
      <c r="H3368" s="1">
        <v>41817</v>
      </c>
      <c r="I3368" s="1">
        <v>41834</v>
      </c>
      <c r="J3368" s="1">
        <v>41834</v>
      </c>
      <c r="K3368" s="1">
        <v>41924</v>
      </c>
      <c r="N3368" s="5"/>
      <c r="O3368">
        <v>671</v>
      </c>
      <c r="P3368">
        <v>207</v>
      </c>
      <c r="Q3368" s="2">
        <v>138897</v>
      </c>
      <c r="R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 s="1">
        <v>42382</v>
      </c>
      <c r="AC3368" t="s">
        <v>53</v>
      </c>
      <c r="AD3368" t="s">
        <v>53</v>
      </c>
      <c r="AK3368">
        <v>0</v>
      </c>
      <c r="AU3368" s="6">
        <v>42131</v>
      </c>
      <c r="AV3368" s="6">
        <v>42131</v>
      </c>
      <c r="AW3368" t="s">
        <v>54</v>
      </c>
      <c r="AX3368" t="str">
        <f t="shared" si="288"/>
        <v>FOR</v>
      </c>
      <c r="AY3368" t="s">
        <v>55</v>
      </c>
    </row>
    <row r="3369" spans="1:51" hidden="1">
      <c r="A3369">
        <v>101150</v>
      </c>
      <c r="B3369" t="s">
        <v>552</v>
      </c>
      <c r="C3369" t="str">
        <f t="shared" si="290"/>
        <v>01696821006</v>
      </c>
      <c r="D3369" t="str">
        <f t="shared" si="291"/>
        <v>07146020586</v>
      </c>
      <c r="E3369" t="s">
        <v>52</v>
      </c>
      <c r="F3369">
        <v>2014</v>
      </c>
      <c r="G3369">
        <v>5436486</v>
      </c>
      <c r="H3369" s="1">
        <v>41817</v>
      </c>
      <c r="I3369" s="1">
        <v>41834</v>
      </c>
      <c r="J3369" s="1">
        <v>41834</v>
      </c>
      <c r="K3369" s="1">
        <v>41924</v>
      </c>
      <c r="N3369" s="5"/>
      <c r="O3369">
        <v>122</v>
      </c>
      <c r="P3369">
        <v>207</v>
      </c>
      <c r="Q3369" s="2">
        <v>25254</v>
      </c>
      <c r="R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 s="1">
        <v>42382</v>
      </c>
      <c r="AC3369" t="s">
        <v>53</v>
      </c>
      <c r="AD3369" t="s">
        <v>53</v>
      </c>
      <c r="AK3369">
        <v>0</v>
      </c>
      <c r="AU3369" s="6">
        <v>42131</v>
      </c>
      <c r="AV3369" s="6">
        <v>42131</v>
      </c>
      <c r="AW3369" t="s">
        <v>54</v>
      </c>
      <c r="AX3369" t="str">
        <f t="shared" si="288"/>
        <v>FOR</v>
      </c>
      <c r="AY3369" t="s">
        <v>55</v>
      </c>
    </row>
    <row r="3370" spans="1:51" hidden="1">
      <c r="A3370">
        <v>101150</v>
      </c>
      <c r="B3370" t="s">
        <v>552</v>
      </c>
      <c r="C3370" t="str">
        <f t="shared" si="290"/>
        <v>01696821006</v>
      </c>
      <c r="D3370" t="str">
        <f t="shared" si="291"/>
        <v>07146020586</v>
      </c>
      <c r="E3370" t="s">
        <v>52</v>
      </c>
      <c r="F3370">
        <v>2014</v>
      </c>
      <c r="G3370">
        <v>5440476</v>
      </c>
      <c r="H3370" s="1">
        <v>41837</v>
      </c>
      <c r="I3370" s="1">
        <v>41852</v>
      </c>
      <c r="J3370" s="1">
        <v>41852</v>
      </c>
      <c r="K3370" s="1">
        <v>41942</v>
      </c>
      <c r="N3370" s="5"/>
      <c r="O3370">
        <v>671</v>
      </c>
      <c r="P3370">
        <v>217</v>
      </c>
      <c r="Q3370" s="2">
        <v>145607</v>
      </c>
      <c r="R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 s="1">
        <v>42382</v>
      </c>
      <c r="AC3370" t="s">
        <v>53</v>
      </c>
      <c r="AD3370" t="s">
        <v>53</v>
      </c>
      <c r="AK3370">
        <v>0</v>
      </c>
      <c r="AU3370" s="6">
        <v>42159</v>
      </c>
      <c r="AV3370" s="6">
        <v>42159</v>
      </c>
      <c r="AW3370" t="s">
        <v>54</v>
      </c>
      <c r="AX3370" t="str">
        <f t="shared" si="288"/>
        <v>FOR</v>
      </c>
      <c r="AY3370" t="s">
        <v>55</v>
      </c>
    </row>
    <row r="3371" spans="1:51" hidden="1">
      <c r="A3371">
        <v>101150</v>
      </c>
      <c r="B3371" t="s">
        <v>552</v>
      </c>
      <c r="C3371" t="str">
        <f t="shared" si="290"/>
        <v>01696821006</v>
      </c>
      <c r="D3371" t="str">
        <f t="shared" si="291"/>
        <v>07146020586</v>
      </c>
      <c r="E3371" t="s">
        <v>52</v>
      </c>
      <c r="F3371">
        <v>2014</v>
      </c>
      <c r="G3371">
        <v>5440625</v>
      </c>
      <c r="H3371" s="1">
        <v>41837</v>
      </c>
      <c r="I3371" s="1">
        <v>41852</v>
      </c>
      <c r="J3371" s="1">
        <v>41852</v>
      </c>
      <c r="K3371" s="1">
        <v>41942</v>
      </c>
      <c r="N3371" s="5"/>
      <c r="O3371">
        <v>122</v>
      </c>
      <c r="P3371">
        <v>217</v>
      </c>
      <c r="Q3371" s="2">
        <v>26474</v>
      </c>
      <c r="R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 s="1">
        <v>42382</v>
      </c>
      <c r="AC3371" t="s">
        <v>53</v>
      </c>
      <c r="AD3371" t="s">
        <v>53</v>
      </c>
      <c r="AK3371">
        <v>0</v>
      </c>
      <c r="AU3371" s="6">
        <v>42159</v>
      </c>
      <c r="AV3371" s="6">
        <v>42159</v>
      </c>
      <c r="AW3371" t="s">
        <v>54</v>
      </c>
      <c r="AX3371" t="str">
        <f t="shared" si="288"/>
        <v>FOR</v>
      </c>
      <c r="AY3371" t="s">
        <v>55</v>
      </c>
    </row>
    <row r="3372" spans="1:51" hidden="1">
      <c r="A3372">
        <v>101150</v>
      </c>
      <c r="B3372" t="s">
        <v>552</v>
      </c>
      <c r="C3372" t="str">
        <f t="shared" si="290"/>
        <v>01696821006</v>
      </c>
      <c r="D3372" t="str">
        <f t="shared" si="291"/>
        <v>07146020586</v>
      </c>
      <c r="E3372" t="s">
        <v>52</v>
      </c>
      <c r="F3372">
        <v>2014</v>
      </c>
      <c r="G3372">
        <v>5443506</v>
      </c>
      <c r="H3372" s="1">
        <v>41850</v>
      </c>
      <c r="I3372" s="1">
        <v>42075</v>
      </c>
      <c r="J3372" s="1">
        <v>42075</v>
      </c>
      <c r="K3372" s="1">
        <v>42135</v>
      </c>
      <c r="N3372" s="5"/>
      <c r="O3372">
        <v>901.35</v>
      </c>
      <c r="P3372">
        <v>24</v>
      </c>
      <c r="Q3372" s="2">
        <v>21632.400000000001</v>
      </c>
      <c r="R3372">
        <v>0</v>
      </c>
      <c r="V3372">
        <v>0</v>
      </c>
      <c r="W3372">
        <v>0</v>
      </c>
      <c r="X3372">
        <v>0</v>
      </c>
      <c r="Y3372">
        <v>0</v>
      </c>
      <c r="Z3372">
        <v>901.35</v>
      </c>
      <c r="AA3372">
        <v>0</v>
      </c>
      <c r="AB3372" s="1">
        <v>42382</v>
      </c>
      <c r="AC3372" t="s">
        <v>53</v>
      </c>
      <c r="AD3372" t="s">
        <v>53</v>
      </c>
      <c r="AK3372">
        <v>0</v>
      </c>
      <c r="AU3372" s="6">
        <v>42159</v>
      </c>
      <c r="AV3372" s="6">
        <v>42159</v>
      </c>
      <c r="AW3372" t="s">
        <v>54</v>
      </c>
      <c r="AX3372" t="str">
        <f t="shared" si="288"/>
        <v>FOR</v>
      </c>
      <c r="AY3372" t="s">
        <v>55</v>
      </c>
    </row>
    <row r="3373" spans="1:51" hidden="1">
      <c r="A3373">
        <v>101150</v>
      </c>
      <c r="B3373" t="s">
        <v>552</v>
      </c>
      <c r="C3373" t="str">
        <f t="shared" si="290"/>
        <v>01696821006</v>
      </c>
      <c r="D3373" t="str">
        <f t="shared" si="291"/>
        <v>07146020586</v>
      </c>
      <c r="E3373" t="s">
        <v>52</v>
      </c>
      <c r="F3373">
        <v>2014</v>
      </c>
      <c r="G3373">
        <v>5443959</v>
      </c>
      <c r="H3373" s="1">
        <v>41850</v>
      </c>
      <c r="I3373" s="1">
        <v>42075</v>
      </c>
      <c r="J3373" s="1">
        <v>42075</v>
      </c>
      <c r="K3373" s="1">
        <v>42135</v>
      </c>
      <c r="N3373" s="5"/>
      <c r="O3373">
        <v>204.13</v>
      </c>
      <c r="P3373">
        <v>24</v>
      </c>
      <c r="Q3373" s="2">
        <v>4899.12</v>
      </c>
      <c r="R3373">
        <v>0</v>
      </c>
      <c r="V3373">
        <v>0</v>
      </c>
      <c r="W3373">
        <v>0</v>
      </c>
      <c r="X3373">
        <v>0</v>
      </c>
      <c r="Y3373">
        <v>0</v>
      </c>
      <c r="Z3373">
        <v>204.13</v>
      </c>
      <c r="AA3373">
        <v>0</v>
      </c>
      <c r="AB3373" s="1">
        <v>42382</v>
      </c>
      <c r="AC3373" t="s">
        <v>53</v>
      </c>
      <c r="AD3373" t="s">
        <v>53</v>
      </c>
      <c r="AK3373">
        <v>0</v>
      </c>
      <c r="AU3373" s="6">
        <v>42159</v>
      </c>
      <c r="AV3373" s="6">
        <v>42159</v>
      </c>
      <c r="AW3373" t="s">
        <v>54</v>
      </c>
      <c r="AX3373" t="str">
        <f t="shared" si="288"/>
        <v>FOR</v>
      </c>
      <c r="AY3373" t="s">
        <v>55</v>
      </c>
    </row>
    <row r="3374" spans="1:51" hidden="1">
      <c r="A3374">
        <v>101150</v>
      </c>
      <c r="B3374" t="s">
        <v>552</v>
      </c>
      <c r="C3374" t="str">
        <f t="shared" si="290"/>
        <v>01696821006</v>
      </c>
      <c r="D3374" t="str">
        <f t="shared" si="291"/>
        <v>07146020586</v>
      </c>
      <c r="E3374" t="s">
        <v>52</v>
      </c>
      <c r="F3374">
        <v>2014</v>
      </c>
      <c r="G3374">
        <v>5445521</v>
      </c>
      <c r="H3374" s="1">
        <v>41878</v>
      </c>
      <c r="I3374" s="1">
        <v>41897</v>
      </c>
      <c r="J3374" s="1">
        <v>41897</v>
      </c>
      <c r="K3374" s="1">
        <v>41987</v>
      </c>
      <c r="N3374" s="5"/>
      <c r="O3374">
        <v>122</v>
      </c>
      <c r="P3374">
        <v>197</v>
      </c>
      <c r="Q3374" s="2">
        <v>24034</v>
      </c>
      <c r="R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 s="1">
        <v>42382</v>
      </c>
      <c r="AC3374" t="s">
        <v>53</v>
      </c>
      <c r="AD3374" t="s">
        <v>53</v>
      </c>
      <c r="AK3374">
        <v>0</v>
      </c>
      <c r="AU3374" s="6">
        <v>42184</v>
      </c>
      <c r="AV3374" s="6">
        <v>42184</v>
      </c>
      <c r="AW3374" t="s">
        <v>54</v>
      </c>
      <c r="AX3374" t="str">
        <f t="shared" si="288"/>
        <v>FOR</v>
      </c>
      <c r="AY3374" t="s">
        <v>55</v>
      </c>
    </row>
    <row r="3375" spans="1:51" hidden="1">
      <c r="A3375">
        <v>101150</v>
      </c>
      <c r="B3375" t="s">
        <v>552</v>
      </c>
      <c r="C3375" t="str">
        <f t="shared" si="290"/>
        <v>01696821006</v>
      </c>
      <c r="D3375" t="str">
        <f t="shared" si="291"/>
        <v>07146020586</v>
      </c>
      <c r="E3375" t="s">
        <v>52</v>
      </c>
      <c r="F3375">
        <v>2014</v>
      </c>
      <c r="G3375">
        <v>5445685</v>
      </c>
      <c r="H3375" s="1">
        <v>41878</v>
      </c>
      <c r="I3375" s="1">
        <v>41897</v>
      </c>
      <c r="J3375" s="1">
        <v>41897</v>
      </c>
      <c r="K3375" s="1">
        <v>41987</v>
      </c>
      <c r="N3375" s="5"/>
      <c r="O3375">
        <v>671</v>
      </c>
      <c r="P3375">
        <v>197</v>
      </c>
      <c r="Q3375" s="2">
        <v>132187</v>
      </c>
      <c r="R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 s="1">
        <v>42382</v>
      </c>
      <c r="AC3375" t="s">
        <v>53</v>
      </c>
      <c r="AD3375" t="s">
        <v>53</v>
      </c>
      <c r="AK3375">
        <v>0</v>
      </c>
      <c r="AU3375" s="6">
        <v>42184</v>
      </c>
      <c r="AV3375" s="6">
        <v>42184</v>
      </c>
      <c r="AW3375" t="s">
        <v>54</v>
      </c>
      <c r="AX3375" t="str">
        <f t="shared" si="288"/>
        <v>FOR</v>
      </c>
      <c r="AY3375" t="s">
        <v>55</v>
      </c>
    </row>
    <row r="3376" spans="1:51" hidden="1">
      <c r="A3376">
        <v>101150</v>
      </c>
      <c r="B3376" t="s">
        <v>552</v>
      </c>
      <c r="C3376" t="str">
        <f t="shared" si="290"/>
        <v>01696821006</v>
      </c>
      <c r="D3376" t="str">
        <f t="shared" si="291"/>
        <v>07146020586</v>
      </c>
      <c r="E3376" t="s">
        <v>52</v>
      </c>
      <c r="F3376">
        <v>2014</v>
      </c>
      <c r="G3376">
        <v>5452263</v>
      </c>
      <c r="H3376" s="1">
        <v>41908</v>
      </c>
      <c r="I3376" s="1">
        <v>41929</v>
      </c>
      <c r="J3376" s="1">
        <v>41929</v>
      </c>
      <c r="K3376" s="1">
        <v>41989</v>
      </c>
      <c r="N3376" s="5"/>
      <c r="O3376">
        <v>671</v>
      </c>
      <c r="P3376">
        <v>260</v>
      </c>
      <c r="Q3376" s="2">
        <v>174460</v>
      </c>
      <c r="R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 s="1">
        <v>42382</v>
      </c>
      <c r="AC3376" t="s">
        <v>53</v>
      </c>
      <c r="AD3376" t="s">
        <v>53</v>
      </c>
      <c r="AK3376">
        <v>0</v>
      </c>
      <c r="AU3376" s="6">
        <v>42249</v>
      </c>
      <c r="AV3376" s="6">
        <v>42249</v>
      </c>
      <c r="AW3376" t="s">
        <v>54</v>
      </c>
      <c r="AX3376" t="str">
        <f t="shared" si="288"/>
        <v>FOR</v>
      </c>
      <c r="AY3376" t="s">
        <v>55</v>
      </c>
    </row>
    <row r="3377" spans="1:51" hidden="1">
      <c r="A3377">
        <v>101150</v>
      </c>
      <c r="B3377" t="s">
        <v>552</v>
      </c>
      <c r="C3377" t="str">
        <f t="shared" si="290"/>
        <v>01696821006</v>
      </c>
      <c r="D3377" t="str">
        <f t="shared" si="291"/>
        <v>07146020586</v>
      </c>
      <c r="E3377" t="s">
        <v>52</v>
      </c>
      <c r="F3377">
        <v>2014</v>
      </c>
      <c r="G3377">
        <v>5452474</v>
      </c>
      <c r="H3377" s="1">
        <v>41908</v>
      </c>
      <c r="I3377" s="1">
        <v>41929</v>
      </c>
      <c r="J3377" s="1">
        <v>41929</v>
      </c>
      <c r="K3377" s="1">
        <v>41989</v>
      </c>
      <c r="N3377" s="5"/>
      <c r="O3377">
        <v>122</v>
      </c>
      <c r="P3377">
        <v>260</v>
      </c>
      <c r="Q3377" s="2">
        <v>31720</v>
      </c>
      <c r="R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 s="1">
        <v>42382</v>
      </c>
      <c r="AC3377" t="s">
        <v>53</v>
      </c>
      <c r="AD3377" t="s">
        <v>53</v>
      </c>
      <c r="AK3377">
        <v>0</v>
      </c>
      <c r="AU3377" s="6">
        <v>42249</v>
      </c>
      <c r="AV3377" s="6">
        <v>42249</v>
      </c>
      <c r="AW3377" t="s">
        <v>54</v>
      </c>
      <c r="AX3377" t="str">
        <f t="shared" si="288"/>
        <v>FOR</v>
      </c>
      <c r="AY3377" t="s">
        <v>55</v>
      </c>
    </row>
    <row r="3378" spans="1:51">
      <c r="A3378">
        <v>101150</v>
      </c>
      <c r="B3378" t="s">
        <v>552</v>
      </c>
      <c r="C3378" t="str">
        <f t="shared" si="290"/>
        <v>01696821006</v>
      </c>
      <c r="D3378" t="str">
        <f t="shared" si="291"/>
        <v>07146020586</v>
      </c>
      <c r="E3378" t="s">
        <v>52</v>
      </c>
      <c r="F3378">
        <v>2014</v>
      </c>
      <c r="G3378">
        <v>5455845</v>
      </c>
      <c r="H3378" s="1">
        <v>41929</v>
      </c>
      <c r="I3378" s="1">
        <v>41955</v>
      </c>
      <c r="J3378" s="1">
        <v>41955</v>
      </c>
      <c r="K3378" s="1">
        <v>42015</v>
      </c>
      <c r="L3378" s="7">
        <v>671</v>
      </c>
      <c r="M3378" s="5">
        <v>267</v>
      </c>
      <c r="N3378" s="7">
        <v>179157</v>
      </c>
      <c r="O3378">
        <v>671</v>
      </c>
      <c r="P3378">
        <v>267</v>
      </c>
      <c r="Q3378" s="2">
        <v>179157</v>
      </c>
      <c r="R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 s="1">
        <v>42382</v>
      </c>
      <c r="AC3378" t="s">
        <v>53</v>
      </c>
      <c r="AD3378" t="s">
        <v>53</v>
      </c>
      <c r="AK3378">
        <v>0</v>
      </c>
      <c r="AU3378" s="6">
        <v>42282</v>
      </c>
      <c r="AV3378" s="6">
        <v>42282</v>
      </c>
      <c r="AW3378" t="s">
        <v>54</v>
      </c>
      <c r="AX3378" t="str">
        <f t="shared" si="288"/>
        <v>FOR</v>
      </c>
      <c r="AY3378" t="s">
        <v>55</v>
      </c>
    </row>
    <row r="3379" spans="1:51">
      <c r="A3379">
        <v>101150</v>
      </c>
      <c r="B3379" t="s">
        <v>552</v>
      </c>
      <c r="C3379" t="str">
        <f t="shared" si="290"/>
        <v>01696821006</v>
      </c>
      <c r="D3379" t="str">
        <f t="shared" si="291"/>
        <v>07146020586</v>
      </c>
      <c r="E3379" t="s">
        <v>52</v>
      </c>
      <c r="F3379">
        <v>2014</v>
      </c>
      <c r="G3379">
        <v>5456017</v>
      </c>
      <c r="H3379" s="1">
        <v>41929</v>
      </c>
      <c r="I3379" s="1">
        <v>41955</v>
      </c>
      <c r="J3379" s="1">
        <v>41955</v>
      </c>
      <c r="K3379" s="1">
        <v>42015</v>
      </c>
      <c r="L3379" s="7">
        <v>122</v>
      </c>
      <c r="M3379" s="5">
        <v>267</v>
      </c>
      <c r="N3379" s="7">
        <v>32574</v>
      </c>
      <c r="O3379">
        <v>122</v>
      </c>
      <c r="P3379">
        <v>267</v>
      </c>
      <c r="Q3379" s="2">
        <v>32574</v>
      </c>
      <c r="R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 s="1">
        <v>42382</v>
      </c>
      <c r="AC3379" t="s">
        <v>53</v>
      </c>
      <c r="AD3379" t="s">
        <v>53</v>
      </c>
      <c r="AK3379">
        <v>0</v>
      </c>
      <c r="AU3379" s="6">
        <v>42282</v>
      </c>
      <c r="AV3379" s="6">
        <v>42282</v>
      </c>
      <c r="AW3379" t="s">
        <v>54</v>
      </c>
      <c r="AX3379" t="str">
        <f t="shared" si="288"/>
        <v>FOR</v>
      </c>
      <c r="AY3379" t="s">
        <v>55</v>
      </c>
    </row>
    <row r="3380" spans="1:51">
      <c r="A3380">
        <v>101150</v>
      </c>
      <c r="B3380" t="s">
        <v>552</v>
      </c>
      <c r="C3380" t="str">
        <f t="shared" si="290"/>
        <v>01696821006</v>
      </c>
      <c r="D3380" t="str">
        <f t="shared" si="291"/>
        <v>07146020586</v>
      </c>
      <c r="E3380" t="s">
        <v>52</v>
      </c>
      <c r="F3380">
        <v>2014</v>
      </c>
      <c r="G3380">
        <v>5457347</v>
      </c>
      <c r="H3380" s="1">
        <v>41929</v>
      </c>
      <c r="I3380" s="1">
        <v>41955</v>
      </c>
      <c r="J3380" s="1">
        <v>41955</v>
      </c>
      <c r="K3380" s="1">
        <v>42015</v>
      </c>
      <c r="L3380" s="7">
        <v>1077.1600000000001</v>
      </c>
      <c r="M3380" s="5">
        <v>267</v>
      </c>
      <c r="N3380" s="7">
        <v>287601.71999999997</v>
      </c>
      <c r="O3380" s="2">
        <v>1077.1600000000001</v>
      </c>
      <c r="P3380">
        <v>267</v>
      </c>
      <c r="Q3380" s="2">
        <v>287601.71999999997</v>
      </c>
      <c r="R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 s="1">
        <v>42382</v>
      </c>
      <c r="AC3380" t="s">
        <v>53</v>
      </c>
      <c r="AD3380" t="s">
        <v>53</v>
      </c>
      <c r="AK3380">
        <v>0</v>
      </c>
      <c r="AU3380" s="6">
        <v>42282</v>
      </c>
      <c r="AV3380" s="6">
        <v>42282</v>
      </c>
      <c r="AW3380" t="s">
        <v>54</v>
      </c>
      <c r="AX3380" t="str">
        <f t="shared" si="288"/>
        <v>FOR</v>
      </c>
      <c r="AY3380" t="s">
        <v>55</v>
      </c>
    </row>
    <row r="3381" spans="1:51">
      <c r="A3381">
        <v>101150</v>
      </c>
      <c r="B3381" t="s">
        <v>552</v>
      </c>
      <c r="C3381" t="str">
        <f t="shared" si="290"/>
        <v>01696821006</v>
      </c>
      <c r="D3381" t="str">
        <f t="shared" si="291"/>
        <v>07146020586</v>
      </c>
      <c r="E3381" t="s">
        <v>52</v>
      </c>
      <c r="F3381">
        <v>2014</v>
      </c>
      <c r="G3381">
        <v>20004935</v>
      </c>
      <c r="H3381" s="1">
        <v>41971</v>
      </c>
      <c r="I3381" s="1">
        <v>42165</v>
      </c>
      <c r="J3381" s="1">
        <v>42165</v>
      </c>
      <c r="K3381" s="1">
        <v>42225</v>
      </c>
      <c r="L3381" s="7">
        <v>671</v>
      </c>
      <c r="M3381" s="5">
        <v>57</v>
      </c>
      <c r="N3381" s="7">
        <v>38247</v>
      </c>
      <c r="O3381">
        <v>671</v>
      </c>
      <c r="P3381">
        <v>57</v>
      </c>
      <c r="Q3381" s="2">
        <v>38247</v>
      </c>
      <c r="R3381">
        <v>0</v>
      </c>
      <c r="V3381">
        <v>0</v>
      </c>
      <c r="W3381">
        <v>0</v>
      </c>
      <c r="X3381">
        <v>0</v>
      </c>
      <c r="Y3381">
        <v>0</v>
      </c>
      <c r="Z3381">
        <v>671</v>
      </c>
      <c r="AA3381">
        <v>0</v>
      </c>
      <c r="AB3381" s="1">
        <v>42382</v>
      </c>
      <c r="AC3381" t="s">
        <v>53</v>
      </c>
      <c r="AD3381" t="s">
        <v>53</v>
      </c>
      <c r="AK3381">
        <v>0</v>
      </c>
      <c r="AU3381" s="6">
        <v>42282</v>
      </c>
      <c r="AV3381" s="6">
        <v>42282</v>
      </c>
      <c r="AW3381" t="s">
        <v>54</v>
      </c>
      <c r="AX3381" t="str">
        <f t="shared" si="288"/>
        <v>FOR</v>
      </c>
      <c r="AY3381" t="s">
        <v>55</v>
      </c>
    </row>
    <row r="3382" spans="1:51">
      <c r="A3382">
        <v>101150</v>
      </c>
      <c r="B3382" t="s">
        <v>552</v>
      </c>
      <c r="C3382" t="str">
        <f t="shared" si="290"/>
        <v>01696821006</v>
      </c>
      <c r="D3382" t="str">
        <f t="shared" si="291"/>
        <v>07146020586</v>
      </c>
      <c r="E3382" t="s">
        <v>52</v>
      </c>
      <c r="F3382">
        <v>2014</v>
      </c>
      <c r="G3382">
        <v>20004936</v>
      </c>
      <c r="H3382" s="1">
        <v>41971</v>
      </c>
      <c r="I3382" s="1">
        <v>42165</v>
      </c>
      <c r="J3382" s="1">
        <v>42165</v>
      </c>
      <c r="K3382" s="1">
        <v>42225</v>
      </c>
      <c r="L3382" s="7">
        <v>122</v>
      </c>
      <c r="M3382" s="5">
        <v>57</v>
      </c>
      <c r="N3382" s="7">
        <v>6954</v>
      </c>
      <c r="O3382">
        <v>122</v>
      </c>
      <c r="P3382">
        <v>57</v>
      </c>
      <c r="Q3382" s="2">
        <v>6954</v>
      </c>
      <c r="R3382">
        <v>0</v>
      </c>
      <c r="V3382">
        <v>0</v>
      </c>
      <c r="W3382">
        <v>0</v>
      </c>
      <c r="X3382">
        <v>0</v>
      </c>
      <c r="Y3382">
        <v>0</v>
      </c>
      <c r="Z3382">
        <v>122</v>
      </c>
      <c r="AA3382">
        <v>0</v>
      </c>
      <c r="AB3382" s="1">
        <v>42382</v>
      </c>
      <c r="AC3382" t="s">
        <v>53</v>
      </c>
      <c r="AD3382" t="s">
        <v>53</v>
      </c>
      <c r="AK3382">
        <v>0</v>
      </c>
      <c r="AU3382" s="6">
        <v>42282</v>
      </c>
      <c r="AV3382" s="6">
        <v>42282</v>
      </c>
      <c r="AW3382" t="s">
        <v>54</v>
      </c>
      <c r="AX3382" t="str">
        <f t="shared" si="288"/>
        <v>FOR</v>
      </c>
      <c r="AY3382" t="s">
        <v>55</v>
      </c>
    </row>
    <row r="3383" spans="1:51">
      <c r="A3383">
        <v>101150</v>
      </c>
      <c r="B3383" t="s">
        <v>552</v>
      </c>
      <c r="C3383" t="str">
        <f t="shared" si="290"/>
        <v>01696821006</v>
      </c>
      <c r="D3383" t="str">
        <f t="shared" si="291"/>
        <v>07146020586</v>
      </c>
      <c r="E3383" t="s">
        <v>52</v>
      </c>
      <c r="F3383">
        <v>2014</v>
      </c>
      <c r="G3383">
        <v>20009985</v>
      </c>
      <c r="H3383" s="1">
        <v>41991</v>
      </c>
      <c r="I3383" s="1">
        <v>42066</v>
      </c>
      <c r="J3383" s="1">
        <v>42066</v>
      </c>
      <c r="K3383" s="1">
        <v>42126</v>
      </c>
      <c r="L3383" s="7">
        <v>671</v>
      </c>
      <c r="M3383" s="5">
        <v>215</v>
      </c>
      <c r="N3383" s="7">
        <v>144265</v>
      </c>
      <c r="O3383">
        <v>671</v>
      </c>
      <c r="P3383">
        <v>215</v>
      </c>
      <c r="Q3383" s="2">
        <v>144265</v>
      </c>
      <c r="R3383">
        <v>0</v>
      </c>
      <c r="V3383">
        <v>0</v>
      </c>
      <c r="W3383">
        <v>0</v>
      </c>
      <c r="X3383">
        <v>0</v>
      </c>
      <c r="Y3383">
        <v>0</v>
      </c>
      <c r="Z3383">
        <v>671</v>
      </c>
      <c r="AA3383">
        <v>0</v>
      </c>
      <c r="AB3383" s="1">
        <v>42382</v>
      </c>
      <c r="AC3383" t="s">
        <v>53</v>
      </c>
      <c r="AD3383" t="s">
        <v>53</v>
      </c>
      <c r="AK3383">
        <v>0</v>
      </c>
      <c r="AU3383" s="6">
        <v>42341</v>
      </c>
      <c r="AV3383" s="6">
        <v>42341</v>
      </c>
      <c r="AW3383" t="s">
        <v>54</v>
      </c>
      <c r="AX3383" t="str">
        <f t="shared" si="288"/>
        <v>FOR</v>
      </c>
      <c r="AY3383" t="s">
        <v>55</v>
      </c>
    </row>
    <row r="3384" spans="1:51">
      <c r="A3384">
        <v>101150</v>
      </c>
      <c r="B3384" t="s">
        <v>552</v>
      </c>
      <c r="C3384" t="str">
        <f t="shared" si="290"/>
        <v>01696821006</v>
      </c>
      <c r="D3384" t="str">
        <f t="shared" si="291"/>
        <v>07146020586</v>
      </c>
      <c r="E3384" t="s">
        <v>52</v>
      </c>
      <c r="F3384">
        <v>2014</v>
      </c>
      <c r="G3384">
        <v>20011457</v>
      </c>
      <c r="H3384" s="1">
        <v>41996</v>
      </c>
      <c r="I3384" s="1">
        <v>42027</v>
      </c>
      <c r="J3384" s="1">
        <v>42027</v>
      </c>
      <c r="K3384" s="1">
        <v>42087</v>
      </c>
      <c r="L3384" s="7">
        <v>122</v>
      </c>
      <c r="M3384" s="5">
        <v>254</v>
      </c>
      <c r="N3384" s="7">
        <v>30988</v>
      </c>
      <c r="O3384">
        <v>122</v>
      </c>
      <c r="P3384">
        <v>254</v>
      </c>
      <c r="Q3384" s="2">
        <v>30988</v>
      </c>
      <c r="R3384">
        <v>0</v>
      </c>
      <c r="V3384">
        <v>0</v>
      </c>
      <c r="W3384">
        <v>0</v>
      </c>
      <c r="X3384">
        <v>0</v>
      </c>
      <c r="Y3384">
        <v>0</v>
      </c>
      <c r="Z3384">
        <v>122</v>
      </c>
      <c r="AA3384">
        <v>0</v>
      </c>
      <c r="AB3384" s="1">
        <v>42382</v>
      </c>
      <c r="AC3384" t="s">
        <v>53</v>
      </c>
      <c r="AD3384" t="s">
        <v>53</v>
      </c>
      <c r="AK3384">
        <v>0</v>
      </c>
      <c r="AU3384" s="6">
        <v>42341</v>
      </c>
      <c r="AV3384" s="6">
        <v>42341</v>
      </c>
      <c r="AW3384" t="s">
        <v>54</v>
      </c>
      <c r="AX3384" t="str">
        <f t="shared" si="288"/>
        <v>FOR</v>
      </c>
      <c r="AY3384" t="s">
        <v>55</v>
      </c>
    </row>
    <row r="3385" spans="1:51">
      <c r="A3385">
        <v>101150</v>
      </c>
      <c r="B3385" t="s">
        <v>552</v>
      </c>
      <c r="C3385" t="str">
        <f t="shared" si="290"/>
        <v>01696821006</v>
      </c>
      <c r="D3385" t="str">
        <f t="shared" si="291"/>
        <v>07146020586</v>
      </c>
      <c r="E3385" t="s">
        <v>52</v>
      </c>
      <c r="F3385">
        <v>2014</v>
      </c>
      <c r="G3385">
        <v>20011823</v>
      </c>
      <c r="H3385" s="1">
        <v>41996</v>
      </c>
      <c r="I3385" s="1">
        <v>42025</v>
      </c>
      <c r="J3385" s="1">
        <v>42025</v>
      </c>
      <c r="K3385" s="1">
        <v>42085</v>
      </c>
      <c r="L3385" s="7">
        <v>217.28</v>
      </c>
      <c r="M3385" s="5">
        <v>256</v>
      </c>
      <c r="N3385" s="7">
        <v>55623.68</v>
      </c>
      <c r="O3385">
        <v>217.28</v>
      </c>
      <c r="P3385">
        <v>256</v>
      </c>
      <c r="Q3385" s="2">
        <v>55623.68</v>
      </c>
      <c r="R3385">
        <v>0</v>
      </c>
      <c r="V3385">
        <v>0</v>
      </c>
      <c r="W3385">
        <v>0</v>
      </c>
      <c r="X3385">
        <v>0</v>
      </c>
      <c r="Y3385">
        <v>0</v>
      </c>
      <c r="Z3385">
        <v>217.28</v>
      </c>
      <c r="AA3385">
        <v>0</v>
      </c>
      <c r="AB3385" s="1">
        <v>42382</v>
      </c>
      <c r="AC3385" t="s">
        <v>53</v>
      </c>
      <c r="AD3385" t="s">
        <v>53</v>
      </c>
      <c r="AK3385">
        <v>0</v>
      </c>
      <c r="AU3385" s="6">
        <v>42341</v>
      </c>
      <c r="AV3385" s="6">
        <v>42341</v>
      </c>
      <c r="AW3385" t="s">
        <v>54</v>
      </c>
      <c r="AX3385" t="str">
        <f t="shared" si="288"/>
        <v>FOR</v>
      </c>
      <c r="AY3385" t="s">
        <v>55</v>
      </c>
    </row>
    <row r="3386" spans="1:51" hidden="1">
      <c r="A3386">
        <v>101152</v>
      </c>
      <c r="B3386" t="s">
        <v>553</v>
      </c>
      <c r="C3386" t="str">
        <f>"01811530649"</f>
        <v>01811530649</v>
      </c>
      <c r="D3386" t="str">
        <f>"01811530649"</f>
        <v>01811530649</v>
      </c>
      <c r="E3386" t="s">
        <v>52</v>
      </c>
      <c r="F3386">
        <v>2014</v>
      </c>
      <c r="G3386">
        <v>113</v>
      </c>
      <c r="H3386" s="1">
        <v>42004</v>
      </c>
      <c r="I3386" s="1">
        <v>42108</v>
      </c>
      <c r="J3386" s="1">
        <v>42108</v>
      </c>
      <c r="K3386" s="1">
        <v>42168</v>
      </c>
      <c r="N3386" s="5"/>
      <c r="O3386">
        <v>488</v>
      </c>
      <c r="P3386">
        <v>-45</v>
      </c>
      <c r="Q3386" s="2">
        <v>-21960</v>
      </c>
      <c r="R3386">
        <v>0</v>
      </c>
      <c r="V3386">
        <v>0</v>
      </c>
      <c r="W3386">
        <v>0</v>
      </c>
      <c r="X3386">
        <v>0</v>
      </c>
      <c r="Y3386">
        <v>0</v>
      </c>
      <c r="Z3386">
        <v>488</v>
      </c>
      <c r="AA3386">
        <v>0</v>
      </c>
      <c r="AB3386" s="1">
        <v>42382</v>
      </c>
      <c r="AC3386" t="s">
        <v>53</v>
      </c>
      <c r="AD3386" t="s">
        <v>53</v>
      </c>
      <c r="AK3386">
        <v>0</v>
      </c>
      <c r="AU3386" s="6">
        <v>42123</v>
      </c>
      <c r="AV3386" s="6">
        <v>42123</v>
      </c>
      <c r="AW3386" t="s">
        <v>54</v>
      </c>
      <c r="AX3386" t="str">
        <f t="shared" si="288"/>
        <v>FOR</v>
      </c>
      <c r="AY3386" t="s">
        <v>55</v>
      </c>
    </row>
    <row r="3387" spans="1:51" hidden="1">
      <c r="A3387">
        <v>101162</v>
      </c>
      <c r="B3387" t="s">
        <v>554</v>
      </c>
      <c r="C3387" t="str">
        <f>"00348170101"</f>
        <v>00348170101</v>
      </c>
      <c r="D3387" t="str">
        <f>"00348170101"</f>
        <v>00348170101</v>
      </c>
      <c r="E3387" t="s">
        <v>52</v>
      </c>
      <c r="F3387">
        <v>2015</v>
      </c>
      <c r="G3387">
        <v>200004944</v>
      </c>
      <c r="H3387" s="1">
        <v>42080</v>
      </c>
      <c r="I3387" s="1">
        <v>42356</v>
      </c>
      <c r="J3387" s="1">
        <v>42356</v>
      </c>
      <c r="K3387" s="1">
        <v>42416</v>
      </c>
      <c r="L3387" s="7">
        <v>50239</v>
      </c>
      <c r="M3387" s="5">
        <v>-60</v>
      </c>
      <c r="N3387" s="7">
        <v>-3014340</v>
      </c>
      <c r="O3387" s="2">
        <v>50239</v>
      </c>
      <c r="P3387">
        <v>-60</v>
      </c>
      <c r="Q3387" s="2">
        <v>-3014340</v>
      </c>
      <c r="R3387">
        <v>0</v>
      </c>
      <c r="V3387">
        <v>0</v>
      </c>
      <c r="W3387" s="2">
        <v>50239</v>
      </c>
      <c r="X3387">
        <v>0</v>
      </c>
      <c r="Y3387" s="2">
        <v>50239</v>
      </c>
      <c r="Z3387" s="2">
        <v>50239</v>
      </c>
      <c r="AA3387" s="2">
        <v>50239</v>
      </c>
      <c r="AB3387" s="1">
        <v>42382</v>
      </c>
      <c r="AC3387" t="s">
        <v>53</v>
      </c>
      <c r="AD3387" t="s">
        <v>53</v>
      </c>
      <c r="AK3387">
        <v>0</v>
      </c>
      <c r="AU3387" s="6">
        <v>42356</v>
      </c>
      <c r="AV3387" s="6">
        <v>42356</v>
      </c>
      <c r="AW3387" t="s">
        <v>54</v>
      </c>
      <c r="AX3387" t="str">
        <f t="shared" si="288"/>
        <v>FOR</v>
      </c>
      <c r="AY3387" t="s">
        <v>55</v>
      </c>
    </row>
    <row r="3388" spans="1:51" hidden="1">
      <c r="A3388">
        <v>101170</v>
      </c>
      <c r="B3388" t="s">
        <v>555</v>
      </c>
      <c r="C3388" t="str">
        <f t="shared" ref="C3388:D3407" si="292">"00527500540"</f>
        <v>00527500540</v>
      </c>
      <c r="D3388" t="str">
        <f t="shared" si="292"/>
        <v>00527500540</v>
      </c>
      <c r="E3388" t="s">
        <v>52</v>
      </c>
      <c r="F3388">
        <v>2014</v>
      </c>
      <c r="G3388">
        <v>600385</v>
      </c>
      <c r="H3388" s="1">
        <v>41694</v>
      </c>
      <c r="I3388" s="1">
        <v>41730</v>
      </c>
      <c r="J3388" s="1">
        <v>41730</v>
      </c>
      <c r="K3388" s="1">
        <v>41820</v>
      </c>
      <c r="N3388" s="5"/>
      <c r="O3388">
        <v>658.8</v>
      </c>
      <c r="P3388">
        <v>256</v>
      </c>
      <c r="Q3388" s="2">
        <v>168652.79999999999</v>
      </c>
      <c r="R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 s="1">
        <v>42382</v>
      </c>
      <c r="AC3388" t="s">
        <v>53</v>
      </c>
      <c r="AD3388" t="s">
        <v>53</v>
      </c>
      <c r="AK3388">
        <v>0</v>
      </c>
      <c r="AU3388" s="6">
        <v>42076</v>
      </c>
      <c r="AV3388" s="6">
        <v>42076</v>
      </c>
      <c r="AW3388" t="s">
        <v>54</v>
      </c>
      <c r="AX3388" t="str">
        <f t="shared" si="288"/>
        <v>FOR</v>
      </c>
      <c r="AY3388" t="s">
        <v>55</v>
      </c>
    </row>
    <row r="3389" spans="1:51" hidden="1">
      <c r="A3389">
        <v>101170</v>
      </c>
      <c r="B3389" t="s">
        <v>555</v>
      </c>
      <c r="C3389" t="str">
        <f t="shared" si="292"/>
        <v>00527500540</v>
      </c>
      <c r="D3389" t="str">
        <f t="shared" si="292"/>
        <v>00527500540</v>
      </c>
      <c r="E3389" t="s">
        <v>52</v>
      </c>
      <c r="F3389">
        <v>2014</v>
      </c>
      <c r="G3389">
        <v>600404</v>
      </c>
      <c r="H3389" s="1">
        <v>41694</v>
      </c>
      <c r="I3389" s="1">
        <v>41730</v>
      </c>
      <c r="J3389" s="1">
        <v>41730</v>
      </c>
      <c r="K3389" s="1">
        <v>41820</v>
      </c>
      <c r="N3389" s="5"/>
      <c r="O3389">
        <v>524.6</v>
      </c>
      <c r="P3389">
        <v>256</v>
      </c>
      <c r="Q3389" s="2">
        <v>134297.60000000001</v>
      </c>
      <c r="R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 s="1">
        <v>42382</v>
      </c>
      <c r="AC3389" t="s">
        <v>53</v>
      </c>
      <c r="AD3389" t="s">
        <v>53</v>
      </c>
      <c r="AK3389">
        <v>0</v>
      </c>
      <c r="AU3389" s="6">
        <v>42076</v>
      </c>
      <c r="AV3389" s="6">
        <v>42076</v>
      </c>
      <c r="AW3389" t="s">
        <v>54</v>
      </c>
      <c r="AX3389" t="str">
        <f t="shared" si="288"/>
        <v>FOR</v>
      </c>
      <c r="AY3389" t="s">
        <v>55</v>
      </c>
    </row>
    <row r="3390" spans="1:51" hidden="1">
      <c r="A3390">
        <v>101170</v>
      </c>
      <c r="B3390" t="s">
        <v>555</v>
      </c>
      <c r="C3390" t="str">
        <f t="shared" si="292"/>
        <v>00527500540</v>
      </c>
      <c r="D3390" t="str">
        <f t="shared" si="292"/>
        <v>00527500540</v>
      </c>
      <c r="E3390" t="s">
        <v>52</v>
      </c>
      <c r="F3390">
        <v>2014</v>
      </c>
      <c r="G3390">
        <v>600409</v>
      </c>
      <c r="H3390" s="1">
        <v>41694</v>
      </c>
      <c r="I3390" s="1">
        <v>41730</v>
      </c>
      <c r="J3390" s="1">
        <v>41730</v>
      </c>
      <c r="K3390" s="1">
        <v>41820</v>
      </c>
      <c r="N3390" s="5"/>
      <c r="O3390">
        <v>488</v>
      </c>
      <c r="P3390">
        <v>256</v>
      </c>
      <c r="Q3390" s="2">
        <v>124928</v>
      </c>
      <c r="R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 s="1">
        <v>42382</v>
      </c>
      <c r="AC3390" t="s">
        <v>53</v>
      </c>
      <c r="AD3390" t="s">
        <v>53</v>
      </c>
      <c r="AK3390">
        <v>0</v>
      </c>
      <c r="AU3390" s="6">
        <v>42076</v>
      </c>
      <c r="AV3390" s="6">
        <v>42076</v>
      </c>
      <c r="AW3390" t="s">
        <v>54</v>
      </c>
      <c r="AX3390" t="str">
        <f t="shared" si="288"/>
        <v>FOR</v>
      </c>
      <c r="AY3390" t="s">
        <v>55</v>
      </c>
    </row>
    <row r="3391" spans="1:51" hidden="1">
      <c r="A3391">
        <v>101170</v>
      </c>
      <c r="B3391" t="s">
        <v>555</v>
      </c>
      <c r="C3391" t="str">
        <f t="shared" si="292"/>
        <v>00527500540</v>
      </c>
      <c r="D3391" t="str">
        <f t="shared" si="292"/>
        <v>00527500540</v>
      </c>
      <c r="E3391" t="s">
        <v>52</v>
      </c>
      <c r="F3391">
        <v>2014</v>
      </c>
      <c r="G3391">
        <v>600466</v>
      </c>
      <c r="H3391" s="1">
        <v>41696</v>
      </c>
      <c r="I3391" s="1">
        <v>41730</v>
      </c>
      <c r="J3391" s="1">
        <v>41730</v>
      </c>
      <c r="K3391" s="1">
        <v>41820</v>
      </c>
      <c r="N3391" s="5"/>
      <c r="O3391">
        <v>237.9</v>
      </c>
      <c r="P3391">
        <v>256</v>
      </c>
      <c r="Q3391" s="2">
        <v>60902.400000000001</v>
      </c>
      <c r="R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 s="1">
        <v>42382</v>
      </c>
      <c r="AC3391" t="s">
        <v>53</v>
      </c>
      <c r="AD3391" t="s">
        <v>53</v>
      </c>
      <c r="AK3391">
        <v>0</v>
      </c>
      <c r="AU3391" s="6">
        <v>42076</v>
      </c>
      <c r="AV3391" s="6">
        <v>42076</v>
      </c>
      <c r="AW3391" t="s">
        <v>54</v>
      </c>
      <c r="AX3391" t="str">
        <f t="shared" si="288"/>
        <v>FOR</v>
      </c>
      <c r="AY3391" t="s">
        <v>55</v>
      </c>
    </row>
    <row r="3392" spans="1:51" hidden="1">
      <c r="A3392">
        <v>101170</v>
      </c>
      <c r="B3392" t="s">
        <v>555</v>
      </c>
      <c r="C3392" t="str">
        <f t="shared" si="292"/>
        <v>00527500540</v>
      </c>
      <c r="D3392" t="str">
        <f t="shared" si="292"/>
        <v>00527500540</v>
      </c>
      <c r="E3392" t="s">
        <v>52</v>
      </c>
      <c r="F3392">
        <v>2014</v>
      </c>
      <c r="G3392">
        <v>600467</v>
      </c>
      <c r="H3392" s="1">
        <v>41696</v>
      </c>
      <c r="I3392" s="1">
        <v>41730</v>
      </c>
      <c r="J3392" s="1">
        <v>41730</v>
      </c>
      <c r="K3392" s="1">
        <v>41820</v>
      </c>
      <c r="N3392" s="5"/>
      <c r="O3392">
        <v>237.9</v>
      </c>
      <c r="P3392">
        <v>256</v>
      </c>
      <c r="Q3392" s="2">
        <v>60902.400000000001</v>
      </c>
      <c r="R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 s="1">
        <v>42382</v>
      </c>
      <c r="AC3392" t="s">
        <v>53</v>
      </c>
      <c r="AD3392" t="s">
        <v>53</v>
      </c>
      <c r="AK3392">
        <v>0</v>
      </c>
      <c r="AU3392" s="6">
        <v>42076</v>
      </c>
      <c r="AV3392" s="6">
        <v>42076</v>
      </c>
      <c r="AW3392" t="s">
        <v>54</v>
      </c>
      <c r="AX3392" t="str">
        <f t="shared" si="288"/>
        <v>FOR</v>
      </c>
      <c r="AY3392" t="s">
        <v>55</v>
      </c>
    </row>
    <row r="3393" spans="1:51" hidden="1">
      <c r="A3393">
        <v>101170</v>
      </c>
      <c r="B3393" t="s">
        <v>555</v>
      </c>
      <c r="C3393" t="str">
        <f t="shared" si="292"/>
        <v>00527500540</v>
      </c>
      <c r="D3393" t="str">
        <f t="shared" si="292"/>
        <v>00527500540</v>
      </c>
      <c r="E3393" t="s">
        <v>52</v>
      </c>
      <c r="F3393">
        <v>2014</v>
      </c>
      <c r="G3393">
        <v>600511</v>
      </c>
      <c r="H3393" s="1">
        <v>41698</v>
      </c>
      <c r="I3393" s="1">
        <v>41730</v>
      </c>
      <c r="J3393" s="1">
        <v>41730</v>
      </c>
      <c r="K3393" s="1">
        <v>41820</v>
      </c>
      <c r="N3393" s="5"/>
      <c r="O3393">
        <v>122</v>
      </c>
      <c r="P3393">
        <v>256</v>
      </c>
      <c r="Q3393" s="2">
        <v>31232</v>
      </c>
      <c r="R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 s="1">
        <v>42382</v>
      </c>
      <c r="AC3393" t="s">
        <v>53</v>
      </c>
      <c r="AD3393" t="s">
        <v>53</v>
      </c>
      <c r="AK3393">
        <v>0</v>
      </c>
      <c r="AU3393" s="6">
        <v>42076</v>
      </c>
      <c r="AV3393" s="6">
        <v>42076</v>
      </c>
      <c r="AW3393" t="s">
        <v>54</v>
      </c>
      <c r="AX3393" t="str">
        <f t="shared" si="288"/>
        <v>FOR</v>
      </c>
      <c r="AY3393" t="s">
        <v>55</v>
      </c>
    </row>
    <row r="3394" spans="1:51" hidden="1">
      <c r="A3394">
        <v>101170</v>
      </c>
      <c r="B3394" t="s">
        <v>555</v>
      </c>
      <c r="C3394" t="str">
        <f t="shared" si="292"/>
        <v>00527500540</v>
      </c>
      <c r="D3394" t="str">
        <f t="shared" si="292"/>
        <v>00527500540</v>
      </c>
      <c r="E3394" t="s">
        <v>52</v>
      </c>
      <c r="F3394">
        <v>2014</v>
      </c>
      <c r="G3394">
        <v>600565</v>
      </c>
      <c r="H3394" s="1">
        <v>41698</v>
      </c>
      <c r="I3394" s="1">
        <v>41730</v>
      </c>
      <c r="J3394" s="1">
        <v>41730</v>
      </c>
      <c r="K3394" s="1">
        <v>41820</v>
      </c>
      <c r="N3394" s="5"/>
      <c r="O3394" s="2">
        <v>5124</v>
      </c>
      <c r="P3394">
        <v>256</v>
      </c>
      <c r="Q3394" s="2">
        <v>1311744</v>
      </c>
      <c r="R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 s="1">
        <v>42382</v>
      </c>
      <c r="AC3394" t="s">
        <v>53</v>
      </c>
      <c r="AD3394" t="s">
        <v>53</v>
      </c>
      <c r="AK3394">
        <v>0</v>
      </c>
      <c r="AU3394" s="6">
        <v>42076</v>
      </c>
      <c r="AV3394" s="6">
        <v>42076</v>
      </c>
      <c r="AW3394" t="s">
        <v>54</v>
      </c>
      <c r="AX3394" t="str">
        <f t="shared" si="288"/>
        <v>FOR</v>
      </c>
      <c r="AY3394" t="s">
        <v>55</v>
      </c>
    </row>
    <row r="3395" spans="1:51" hidden="1">
      <c r="A3395">
        <v>101170</v>
      </c>
      <c r="B3395" t="s">
        <v>555</v>
      </c>
      <c r="C3395" t="str">
        <f t="shared" si="292"/>
        <v>00527500540</v>
      </c>
      <c r="D3395" t="str">
        <f t="shared" si="292"/>
        <v>00527500540</v>
      </c>
      <c r="E3395" t="s">
        <v>52</v>
      </c>
      <c r="F3395">
        <v>2014</v>
      </c>
      <c r="G3395">
        <v>600566</v>
      </c>
      <c r="H3395" s="1">
        <v>41698</v>
      </c>
      <c r="I3395" s="1">
        <v>41730</v>
      </c>
      <c r="J3395" s="1">
        <v>41730</v>
      </c>
      <c r="K3395" s="1">
        <v>41820</v>
      </c>
      <c r="N3395" s="5"/>
      <c r="O3395" s="2">
        <v>4331</v>
      </c>
      <c r="P3395">
        <v>256</v>
      </c>
      <c r="Q3395" s="2">
        <v>1108736</v>
      </c>
      <c r="R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 s="1">
        <v>42382</v>
      </c>
      <c r="AC3395" t="s">
        <v>53</v>
      </c>
      <c r="AD3395" t="s">
        <v>53</v>
      </c>
      <c r="AK3395">
        <v>0</v>
      </c>
      <c r="AU3395" s="6">
        <v>42076</v>
      </c>
      <c r="AV3395" s="6">
        <v>42076</v>
      </c>
      <c r="AW3395" t="s">
        <v>54</v>
      </c>
      <c r="AX3395" t="str">
        <f t="shared" ref="AX3395:AX3458" si="293">"FOR"</f>
        <v>FOR</v>
      </c>
      <c r="AY3395" t="s">
        <v>55</v>
      </c>
    </row>
    <row r="3396" spans="1:51" hidden="1">
      <c r="A3396">
        <v>101170</v>
      </c>
      <c r="B3396" t="s">
        <v>555</v>
      </c>
      <c r="C3396" t="str">
        <f t="shared" si="292"/>
        <v>00527500540</v>
      </c>
      <c r="D3396" t="str">
        <f t="shared" si="292"/>
        <v>00527500540</v>
      </c>
      <c r="E3396" t="s">
        <v>52</v>
      </c>
      <c r="F3396">
        <v>2014</v>
      </c>
      <c r="G3396">
        <v>600567</v>
      </c>
      <c r="H3396" s="1">
        <v>41698</v>
      </c>
      <c r="I3396" s="1">
        <v>41730</v>
      </c>
      <c r="J3396" s="1">
        <v>41730</v>
      </c>
      <c r="K3396" s="1">
        <v>41820</v>
      </c>
      <c r="N3396" s="5"/>
      <c r="O3396" s="2">
        <v>5124</v>
      </c>
      <c r="P3396">
        <v>256</v>
      </c>
      <c r="Q3396" s="2">
        <v>1311744</v>
      </c>
      <c r="R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 s="1">
        <v>42382</v>
      </c>
      <c r="AC3396" t="s">
        <v>53</v>
      </c>
      <c r="AD3396" t="s">
        <v>53</v>
      </c>
      <c r="AK3396">
        <v>0</v>
      </c>
      <c r="AU3396" s="6">
        <v>42076</v>
      </c>
      <c r="AV3396" s="6">
        <v>42076</v>
      </c>
      <c r="AW3396" t="s">
        <v>54</v>
      </c>
      <c r="AX3396" t="str">
        <f t="shared" si="293"/>
        <v>FOR</v>
      </c>
      <c r="AY3396" t="s">
        <v>55</v>
      </c>
    </row>
    <row r="3397" spans="1:51" hidden="1">
      <c r="A3397">
        <v>101170</v>
      </c>
      <c r="B3397" t="s">
        <v>555</v>
      </c>
      <c r="C3397" t="str">
        <f t="shared" si="292"/>
        <v>00527500540</v>
      </c>
      <c r="D3397" t="str">
        <f t="shared" si="292"/>
        <v>00527500540</v>
      </c>
      <c r="E3397" t="s">
        <v>52</v>
      </c>
      <c r="F3397">
        <v>2014</v>
      </c>
      <c r="G3397">
        <v>600808</v>
      </c>
      <c r="H3397" s="1">
        <v>41698</v>
      </c>
      <c r="I3397" s="1">
        <v>41730</v>
      </c>
      <c r="J3397" s="1">
        <v>41730</v>
      </c>
      <c r="K3397" s="1">
        <v>41820</v>
      </c>
      <c r="N3397" s="5"/>
      <c r="O3397" s="2">
        <v>4744.58</v>
      </c>
      <c r="P3397">
        <v>256</v>
      </c>
      <c r="Q3397" s="2">
        <v>1214612.48</v>
      </c>
      <c r="R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 s="1">
        <v>42382</v>
      </c>
      <c r="AC3397" t="s">
        <v>53</v>
      </c>
      <c r="AD3397" t="s">
        <v>53</v>
      </c>
      <c r="AK3397">
        <v>0</v>
      </c>
      <c r="AU3397" s="6">
        <v>42076</v>
      </c>
      <c r="AV3397" s="6">
        <v>42076</v>
      </c>
      <c r="AW3397" t="s">
        <v>54</v>
      </c>
      <c r="AX3397" t="str">
        <f t="shared" si="293"/>
        <v>FOR</v>
      </c>
      <c r="AY3397" t="s">
        <v>55</v>
      </c>
    </row>
    <row r="3398" spans="1:51" hidden="1">
      <c r="A3398">
        <v>101170</v>
      </c>
      <c r="B3398" t="s">
        <v>555</v>
      </c>
      <c r="C3398" t="str">
        <f t="shared" si="292"/>
        <v>00527500540</v>
      </c>
      <c r="D3398" t="str">
        <f t="shared" si="292"/>
        <v>00527500540</v>
      </c>
      <c r="E3398" t="s">
        <v>52</v>
      </c>
      <c r="F3398">
        <v>2014</v>
      </c>
      <c r="G3398">
        <v>600810</v>
      </c>
      <c r="H3398" s="1">
        <v>41698</v>
      </c>
      <c r="I3398" s="1">
        <v>41730</v>
      </c>
      <c r="J3398" s="1">
        <v>41730</v>
      </c>
      <c r="K3398" s="1">
        <v>41820</v>
      </c>
      <c r="N3398" s="5"/>
      <c r="O3398" s="2">
        <v>3202.5</v>
      </c>
      <c r="P3398">
        <v>256</v>
      </c>
      <c r="Q3398" s="2">
        <v>819840</v>
      </c>
      <c r="R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 s="1">
        <v>42382</v>
      </c>
      <c r="AC3398" t="s">
        <v>53</v>
      </c>
      <c r="AD3398" t="s">
        <v>53</v>
      </c>
      <c r="AK3398">
        <v>0</v>
      </c>
      <c r="AU3398" s="6">
        <v>42076</v>
      </c>
      <c r="AV3398" s="6">
        <v>42076</v>
      </c>
      <c r="AW3398" t="s">
        <v>54</v>
      </c>
      <c r="AX3398" t="str">
        <f t="shared" si="293"/>
        <v>FOR</v>
      </c>
      <c r="AY3398" t="s">
        <v>55</v>
      </c>
    </row>
    <row r="3399" spans="1:51" hidden="1">
      <c r="A3399">
        <v>101170</v>
      </c>
      <c r="B3399" t="s">
        <v>555</v>
      </c>
      <c r="C3399" t="str">
        <f t="shared" si="292"/>
        <v>00527500540</v>
      </c>
      <c r="D3399" t="str">
        <f t="shared" si="292"/>
        <v>00527500540</v>
      </c>
      <c r="E3399" t="s">
        <v>52</v>
      </c>
      <c r="F3399">
        <v>2014</v>
      </c>
      <c r="G3399">
        <v>600811</v>
      </c>
      <c r="H3399" s="1">
        <v>41698</v>
      </c>
      <c r="I3399" s="1">
        <v>41730</v>
      </c>
      <c r="J3399" s="1">
        <v>41730</v>
      </c>
      <c r="K3399" s="1">
        <v>41820</v>
      </c>
      <c r="N3399" s="5"/>
      <c r="O3399" s="2">
        <v>3202.5</v>
      </c>
      <c r="P3399">
        <v>256</v>
      </c>
      <c r="Q3399" s="2">
        <v>819840</v>
      </c>
      <c r="R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 s="1">
        <v>42382</v>
      </c>
      <c r="AC3399" t="s">
        <v>53</v>
      </c>
      <c r="AD3399" t="s">
        <v>53</v>
      </c>
      <c r="AK3399">
        <v>0</v>
      </c>
      <c r="AU3399" s="6">
        <v>42076</v>
      </c>
      <c r="AV3399" s="6">
        <v>42076</v>
      </c>
      <c r="AW3399" t="s">
        <v>54</v>
      </c>
      <c r="AX3399" t="str">
        <f t="shared" si="293"/>
        <v>FOR</v>
      </c>
      <c r="AY3399" t="s">
        <v>55</v>
      </c>
    </row>
    <row r="3400" spans="1:51" hidden="1">
      <c r="A3400">
        <v>101170</v>
      </c>
      <c r="B3400" t="s">
        <v>555</v>
      </c>
      <c r="C3400" t="str">
        <f t="shared" si="292"/>
        <v>00527500540</v>
      </c>
      <c r="D3400" t="str">
        <f t="shared" si="292"/>
        <v>00527500540</v>
      </c>
      <c r="E3400" t="s">
        <v>52</v>
      </c>
      <c r="F3400">
        <v>2014</v>
      </c>
      <c r="G3400">
        <v>600814</v>
      </c>
      <c r="H3400" s="1">
        <v>41698</v>
      </c>
      <c r="I3400" s="1">
        <v>41730</v>
      </c>
      <c r="J3400" s="1">
        <v>41730</v>
      </c>
      <c r="K3400" s="1">
        <v>41820</v>
      </c>
      <c r="N3400" s="5"/>
      <c r="O3400" s="2">
        <v>1586</v>
      </c>
      <c r="P3400">
        <v>256</v>
      </c>
      <c r="Q3400" s="2">
        <v>406016</v>
      </c>
      <c r="R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 s="1">
        <v>42382</v>
      </c>
      <c r="AC3400" t="s">
        <v>53</v>
      </c>
      <c r="AD3400" t="s">
        <v>53</v>
      </c>
      <c r="AK3400">
        <v>0</v>
      </c>
      <c r="AU3400" s="6">
        <v>42076</v>
      </c>
      <c r="AV3400" s="6">
        <v>42076</v>
      </c>
      <c r="AW3400" t="s">
        <v>54</v>
      </c>
      <c r="AX3400" t="str">
        <f t="shared" si="293"/>
        <v>FOR</v>
      </c>
      <c r="AY3400" t="s">
        <v>55</v>
      </c>
    </row>
    <row r="3401" spans="1:51" hidden="1">
      <c r="A3401">
        <v>101170</v>
      </c>
      <c r="B3401" t="s">
        <v>555</v>
      </c>
      <c r="C3401" t="str">
        <f t="shared" si="292"/>
        <v>00527500540</v>
      </c>
      <c r="D3401" t="str">
        <f t="shared" si="292"/>
        <v>00527500540</v>
      </c>
      <c r="E3401" t="s">
        <v>52</v>
      </c>
      <c r="F3401">
        <v>2014</v>
      </c>
      <c r="G3401">
        <v>600816</v>
      </c>
      <c r="H3401" s="1">
        <v>41698</v>
      </c>
      <c r="I3401" s="1">
        <v>41730</v>
      </c>
      <c r="J3401" s="1">
        <v>41730</v>
      </c>
      <c r="K3401" s="1">
        <v>41820</v>
      </c>
      <c r="N3401" s="5"/>
      <c r="O3401" s="2">
        <v>1305.4000000000001</v>
      </c>
      <c r="P3401">
        <v>256</v>
      </c>
      <c r="Q3401" s="2">
        <v>334182.40000000002</v>
      </c>
      <c r="R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 s="1">
        <v>42382</v>
      </c>
      <c r="AC3401" t="s">
        <v>53</v>
      </c>
      <c r="AD3401" t="s">
        <v>53</v>
      </c>
      <c r="AK3401">
        <v>0</v>
      </c>
      <c r="AU3401" s="6">
        <v>42076</v>
      </c>
      <c r="AV3401" s="6">
        <v>42076</v>
      </c>
      <c r="AW3401" t="s">
        <v>54</v>
      </c>
      <c r="AX3401" t="str">
        <f t="shared" si="293"/>
        <v>FOR</v>
      </c>
      <c r="AY3401" t="s">
        <v>55</v>
      </c>
    </row>
    <row r="3402" spans="1:51" hidden="1">
      <c r="A3402">
        <v>101170</v>
      </c>
      <c r="B3402" t="s">
        <v>555</v>
      </c>
      <c r="C3402" t="str">
        <f t="shared" si="292"/>
        <v>00527500540</v>
      </c>
      <c r="D3402" t="str">
        <f t="shared" si="292"/>
        <v>00527500540</v>
      </c>
      <c r="E3402" t="s">
        <v>52</v>
      </c>
      <c r="F3402">
        <v>2014</v>
      </c>
      <c r="G3402">
        <v>600868</v>
      </c>
      <c r="H3402" s="1">
        <v>41719</v>
      </c>
      <c r="I3402" s="1">
        <v>41751</v>
      </c>
      <c r="J3402" s="1">
        <v>41751</v>
      </c>
      <c r="K3402" s="1">
        <v>41841</v>
      </c>
      <c r="N3402" s="5"/>
      <c r="O3402">
        <v>174.46</v>
      </c>
      <c r="P3402">
        <v>235</v>
      </c>
      <c r="Q3402" s="2">
        <v>40998.1</v>
      </c>
      <c r="R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 s="1">
        <v>42382</v>
      </c>
      <c r="AC3402" t="s">
        <v>53</v>
      </c>
      <c r="AD3402" t="s">
        <v>53</v>
      </c>
      <c r="AK3402">
        <v>0</v>
      </c>
      <c r="AU3402" s="6">
        <v>42076</v>
      </c>
      <c r="AV3402" s="6">
        <v>42076</v>
      </c>
      <c r="AW3402" t="s">
        <v>54</v>
      </c>
      <c r="AX3402" t="str">
        <f t="shared" si="293"/>
        <v>FOR</v>
      </c>
      <c r="AY3402" t="s">
        <v>55</v>
      </c>
    </row>
    <row r="3403" spans="1:51" hidden="1">
      <c r="A3403">
        <v>101170</v>
      </c>
      <c r="B3403" t="s">
        <v>555</v>
      </c>
      <c r="C3403" t="str">
        <f t="shared" si="292"/>
        <v>00527500540</v>
      </c>
      <c r="D3403" t="str">
        <f t="shared" si="292"/>
        <v>00527500540</v>
      </c>
      <c r="E3403" t="s">
        <v>52</v>
      </c>
      <c r="F3403">
        <v>2014</v>
      </c>
      <c r="G3403">
        <v>600869</v>
      </c>
      <c r="H3403" s="1">
        <v>41719</v>
      </c>
      <c r="I3403" s="1">
        <v>41751</v>
      </c>
      <c r="J3403" s="1">
        <v>41751</v>
      </c>
      <c r="K3403" s="1">
        <v>41841</v>
      </c>
      <c r="N3403" s="5"/>
      <c r="O3403">
        <v>976</v>
      </c>
      <c r="P3403">
        <v>235</v>
      </c>
      <c r="Q3403" s="2">
        <v>229360</v>
      </c>
      <c r="R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 s="1">
        <v>42382</v>
      </c>
      <c r="AC3403" t="s">
        <v>53</v>
      </c>
      <c r="AD3403" t="s">
        <v>53</v>
      </c>
      <c r="AK3403">
        <v>0</v>
      </c>
      <c r="AU3403" s="6">
        <v>42076</v>
      </c>
      <c r="AV3403" s="6">
        <v>42076</v>
      </c>
      <c r="AW3403" t="s">
        <v>54</v>
      </c>
      <c r="AX3403" t="str">
        <f t="shared" si="293"/>
        <v>FOR</v>
      </c>
      <c r="AY3403" t="s">
        <v>55</v>
      </c>
    </row>
    <row r="3404" spans="1:51" hidden="1">
      <c r="A3404">
        <v>101170</v>
      </c>
      <c r="B3404" t="s">
        <v>555</v>
      </c>
      <c r="C3404" t="str">
        <f t="shared" si="292"/>
        <v>00527500540</v>
      </c>
      <c r="D3404" t="str">
        <f t="shared" si="292"/>
        <v>00527500540</v>
      </c>
      <c r="E3404" t="s">
        <v>52</v>
      </c>
      <c r="F3404">
        <v>2014</v>
      </c>
      <c r="G3404">
        <v>600870</v>
      </c>
      <c r="H3404" s="1">
        <v>41719</v>
      </c>
      <c r="I3404" s="1">
        <v>41751</v>
      </c>
      <c r="J3404" s="1">
        <v>41751</v>
      </c>
      <c r="K3404" s="1">
        <v>41841</v>
      </c>
      <c r="N3404" s="5"/>
      <c r="O3404">
        <v>314.76</v>
      </c>
      <c r="P3404">
        <v>235</v>
      </c>
      <c r="Q3404" s="2">
        <v>73968.600000000006</v>
      </c>
      <c r="R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 s="1">
        <v>42382</v>
      </c>
      <c r="AC3404" t="s">
        <v>53</v>
      </c>
      <c r="AD3404" t="s">
        <v>53</v>
      </c>
      <c r="AK3404">
        <v>0</v>
      </c>
      <c r="AU3404" s="6">
        <v>42076</v>
      </c>
      <c r="AV3404" s="6">
        <v>42076</v>
      </c>
      <c r="AW3404" t="s">
        <v>54</v>
      </c>
      <c r="AX3404" t="str">
        <f t="shared" si="293"/>
        <v>FOR</v>
      </c>
      <c r="AY3404" t="s">
        <v>55</v>
      </c>
    </row>
    <row r="3405" spans="1:51" hidden="1">
      <c r="A3405">
        <v>101170</v>
      </c>
      <c r="B3405" t="s">
        <v>555</v>
      </c>
      <c r="C3405" t="str">
        <f t="shared" si="292"/>
        <v>00527500540</v>
      </c>
      <c r="D3405" t="str">
        <f t="shared" si="292"/>
        <v>00527500540</v>
      </c>
      <c r="E3405" t="s">
        <v>52</v>
      </c>
      <c r="F3405">
        <v>2014</v>
      </c>
      <c r="G3405">
        <v>600871</v>
      </c>
      <c r="H3405" s="1">
        <v>41719</v>
      </c>
      <c r="I3405" s="1">
        <v>41751</v>
      </c>
      <c r="J3405" s="1">
        <v>41751</v>
      </c>
      <c r="K3405" s="1">
        <v>41841</v>
      </c>
      <c r="N3405" s="5"/>
      <c r="O3405" s="2">
        <v>4270</v>
      </c>
      <c r="P3405">
        <v>235</v>
      </c>
      <c r="Q3405" s="2">
        <v>1003450</v>
      </c>
      <c r="R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 s="1">
        <v>42382</v>
      </c>
      <c r="AC3405" t="s">
        <v>53</v>
      </c>
      <c r="AD3405" t="s">
        <v>53</v>
      </c>
      <c r="AK3405">
        <v>0</v>
      </c>
      <c r="AU3405" s="6">
        <v>42076</v>
      </c>
      <c r="AV3405" s="6">
        <v>42076</v>
      </c>
      <c r="AW3405" t="s">
        <v>54</v>
      </c>
      <c r="AX3405" t="str">
        <f t="shared" si="293"/>
        <v>FOR</v>
      </c>
      <c r="AY3405" t="s">
        <v>55</v>
      </c>
    </row>
    <row r="3406" spans="1:51" hidden="1">
      <c r="A3406">
        <v>101170</v>
      </c>
      <c r="B3406" t="s">
        <v>555</v>
      </c>
      <c r="C3406" t="str">
        <f t="shared" si="292"/>
        <v>00527500540</v>
      </c>
      <c r="D3406" t="str">
        <f t="shared" si="292"/>
        <v>00527500540</v>
      </c>
      <c r="E3406" t="s">
        <v>52</v>
      </c>
      <c r="F3406">
        <v>2014</v>
      </c>
      <c r="G3406">
        <v>600872</v>
      </c>
      <c r="H3406" s="1">
        <v>41719</v>
      </c>
      <c r="I3406" s="1">
        <v>41751</v>
      </c>
      <c r="J3406" s="1">
        <v>41751</v>
      </c>
      <c r="K3406" s="1">
        <v>41841</v>
      </c>
      <c r="N3406" s="5"/>
      <c r="O3406">
        <v>366</v>
      </c>
      <c r="P3406">
        <v>235</v>
      </c>
      <c r="Q3406" s="2">
        <v>86010</v>
      </c>
      <c r="R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 s="1">
        <v>42382</v>
      </c>
      <c r="AC3406" t="s">
        <v>53</v>
      </c>
      <c r="AD3406" t="s">
        <v>53</v>
      </c>
      <c r="AK3406">
        <v>0</v>
      </c>
      <c r="AU3406" s="6">
        <v>42076</v>
      </c>
      <c r="AV3406" s="6">
        <v>42076</v>
      </c>
      <c r="AW3406" t="s">
        <v>54</v>
      </c>
      <c r="AX3406" t="str">
        <f t="shared" si="293"/>
        <v>FOR</v>
      </c>
      <c r="AY3406" t="s">
        <v>55</v>
      </c>
    </row>
    <row r="3407" spans="1:51" hidden="1">
      <c r="A3407">
        <v>101170</v>
      </c>
      <c r="B3407" t="s">
        <v>555</v>
      </c>
      <c r="C3407" t="str">
        <f t="shared" si="292"/>
        <v>00527500540</v>
      </c>
      <c r="D3407" t="str">
        <f t="shared" si="292"/>
        <v>00527500540</v>
      </c>
      <c r="E3407" t="s">
        <v>52</v>
      </c>
      <c r="F3407">
        <v>2014</v>
      </c>
      <c r="G3407">
        <v>600873</v>
      </c>
      <c r="H3407" s="1">
        <v>41719</v>
      </c>
      <c r="I3407" s="1">
        <v>41751</v>
      </c>
      <c r="J3407" s="1">
        <v>41751</v>
      </c>
      <c r="K3407" s="1">
        <v>41841</v>
      </c>
      <c r="N3407" s="5"/>
      <c r="O3407">
        <v>427</v>
      </c>
      <c r="P3407">
        <v>235</v>
      </c>
      <c r="Q3407" s="2">
        <v>100345</v>
      </c>
      <c r="R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 s="1">
        <v>42382</v>
      </c>
      <c r="AC3407" t="s">
        <v>53</v>
      </c>
      <c r="AD3407" t="s">
        <v>53</v>
      </c>
      <c r="AK3407">
        <v>0</v>
      </c>
      <c r="AU3407" s="6">
        <v>42076</v>
      </c>
      <c r="AV3407" s="6">
        <v>42076</v>
      </c>
      <c r="AW3407" t="s">
        <v>54</v>
      </c>
      <c r="AX3407" t="str">
        <f t="shared" si="293"/>
        <v>FOR</v>
      </c>
      <c r="AY3407" t="s">
        <v>55</v>
      </c>
    </row>
    <row r="3408" spans="1:51" hidden="1">
      <c r="A3408">
        <v>101170</v>
      </c>
      <c r="B3408" t="s">
        <v>555</v>
      </c>
      <c r="C3408" t="str">
        <f t="shared" ref="C3408:D3427" si="294">"00527500540"</f>
        <v>00527500540</v>
      </c>
      <c r="D3408" t="str">
        <f t="shared" si="294"/>
        <v>00527500540</v>
      </c>
      <c r="E3408" t="s">
        <v>52</v>
      </c>
      <c r="F3408">
        <v>2014</v>
      </c>
      <c r="G3408">
        <v>600887</v>
      </c>
      <c r="H3408" s="1">
        <v>41719</v>
      </c>
      <c r="I3408" s="1">
        <v>41751</v>
      </c>
      <c r="J3408" s="1">
        <v>41751</v>
      </c>
      <c r="K3408" s="1">
        <v>41841</v>
      </c>
      <c r="N3408" s="5"/>
      <c r="O3408" s="2">
        <v>5124</v>
      </c>
      <c r="P3408">
        <v>235</v>
      </c>
      <c r="Q3408" s="2">
        <v>1204140</v>
      </c>
      <c r="R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 s="1">
        <v>42382</v>
      </c>
      <c r="AC3408" t="s">
        <v>53</v>
      </c>
      <c r="AD3408" t="s">
        <v>53</v>
      </c>
      <c r="AK3408">
        <v>0</v>
      </c>
      <c r="AU3408" s="6">
        <v>42076</v>
      </c>
      <c r="AV3408" s="6">
        <v>42076</v>
      </c>
      <c r="AW3408" t="s">
        <v>54</v>
      </c>
      <c r="AX3408" t="str">
        <f t="shared" si="293"/>
        <v>FOR</v>
      </c>
      <c r="AY3408" t="s">
        <v>55</v>
      </c>
    </row>
    <row r="3409" spans="1:51" hidden="1">
      <c r="A3409">
        <v>101170</v>
      </c>
      <c r="B3409" t="s">
        <v>555</v>
      </c>
      <c r="C3409" t="str">
        <f t="shared" si="294"/>
        <v>00527500540</v>
      </c>
      <c r="D3409" t="str">
        <f t="shared" si="294"/>
        <v>00527500540</v>
      </c>
      <c r="E3409" t="s">
        <v>52</v>
      </c>
      <c r="F3409">
        <v>2014</v>
      </c>
      <c r="G3409">
        <v>601301</v>
      </c>
      <c r="H3409" s="1">
        <v>41744</v>
      </c>
      <c r="I3409" s="1">
        <v>41815</v>
      </c>
      <c r="J3409" s="1">
        <v>41815</v>
      </c>
      <c r="K3409" s="1">
        <v>41905</v>
      </c>
      <c r="N3409" s="5"/>
      <c r="O3409" s="2">
        <v>20740</v>
      </c>
      <c r="P3409">
        <v>171</v>
      </c>
      <c r="Q3409" s="2">
        <v>3546540</v>
      </c>
      <c r="R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 s="1">
        <v>42382</v>
      </c>
      <c r="AC3409" t="s">
        <v>53</v>
      </c>
      <c r="AD3409" t="s">
        <v>53</v>
      </c>
      <c r="AK3409">
        <v>0</v>
      </c>
      <c r="AU3409" s="6">
        <v>42076</v>
      </c>
      <c r="AV3409" s="6">
        <v>42076</v>
      </c>
      <c r="AW3409" t="s">
        <v>54</v>
      </c>
      <c r="AX3409" t="str">
        <f t="shared" si="293"/>
        <v>FOR</v>
      </c>
      <c r="AY3409" t="s">
        <v>55</v>
      </c>
    </row>
    <row r="3410" spans="1:51" hidden="1">
      <c r="A3410">
        <v>101170</v>
      </c>
      <c r="B3410" t="s">
        <v>555</v>
      </c>
      <c r="C3410" t="str">
        <f t="shared" si="294"/>
        <v>00527500540</v>
      </c>
      <c r="D3410" t="str">
        <f t="shared" si="294"/>
        <v>00527500540</v>
      </c>
      <c r="E3410" t="s">
        <v>52</v>
      </c>
      <c r="F3410">
        <v>2014</v>
      </c>
      <c r="G3410">
        <v>601302</v>
      </c>
      <c r="H3410" s="1">
        <v>41744</v>
      </c>
      <c r="I3410" s="1">
        <v>41815</v>
      </c>
      <c r="J3410" s="1">
        <v>41815</v>
      </c>
      <c r="K3410" s="1">
        <v>41905</v>
      </c>
      <c r="N3410" s="5"/>
      <c r="O3410" s="2">
        <v>5124</v>
      </c>
      <c r="P3410">
        <v>171</v>
      </c>
      <c r="Q3410" s="2">
        <v>876204</v>
      </c>
      <c r="R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 s="1">
        <v>42382</v>
      </c>
      <c r="AC3410" t="s">
        <v>53</v>
      </c>
      <c r="AD3410" t="s">
        <v>53</v>
      </c>
      <c r="AK3410">
        <v>0</v>
      </c>
      <c r="AU3410" s="6">
        <v>42076</v>
      </c>
      <c r="AV3410" s="6">
        <v>42076</v>
      </c>
      <c r="AW3410" t="s">
        <v>54</v>
      </c>
      <c r="AX3410" t="str">
        <f t="shared" si="293"/>
        <v>FOR</v>
      </c>
      <c r="AY3410" t="s">
        <v>55</v>
      </c>
    </row>
    <row r="3411" spans="1:51" hidden="1">
      <c r="A3411">
        <v>101170</v>
      </c>
      <c r="B3411" t="s">
        <v>555</v>
      </c>
      <c r="C3411" t="str">
        <f t="shared" si="294"/>
        <v>00527500540</v>
      </c>
      <c r="D3411" t="str">
        <f t="shared" si="294"/>
        <v>00527500540</v>
      </c>
      <c r="E3411" t="s">
        <v>52</v>
      </c>
      <c r="F3411">
        <v>2014</v>
      </c>
      <c r="G3411">
        <v>601303</v>
      </c>
      <c r="H3411" s="1">
        <v>41744</v>
      </c>
      <c r="I3411" s="1">
        <v>41815</v>
      </c>
      <c r="J3411" s="1">
        <v>41815</v>
      </c>
      <c r="K3411" s="1">
        <v>41905</v>
      </c>
      <c r="N3411" s="5"/>
      <c r="O3411" s="2">
        <v>5124</v>
      </c>
      <c r="P3411">
        <v>171</v>
      </c>
      <c r="Q3411" s="2">
        <v>876204</v>
      </c>
      <c r="R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 s="1">
        <v>42382</v>
      </c>
      <c r="AC3411" t="s">
        <v>53</v>
      </c>
      <c r="AD3411" t="s">
        <v>53</v>
      </c>
      <c r="AK3411">
        <v>0</v>
      </c>
      <c r="AU3411" s="6">
        <v>42076</v>
      </c>
      <c r="AV3411" s="6">
        <v>42076</v>
      </c>
      <c r="AW3411" t="s">
        <v>54</v>
      </c>
      <c r="AX3411" t="str">
        <f t="shared" si="293"/>
        <v>FOR</v>
      </c>
      <c r="AY3411" t="s">
        <v>55</v>
      </c>
    </row>
    <row r="3412" spans="1:51" hidden="1">
      <c r="A3412">
        <v>101170</v>
      </c>
      <c r="B3412" t="s">
        <v>555</v>
      </c>
      <c r="C3412" t="str">
        <f t="shared" si="294"/>
        <v>00527500540</v>
      </c>
      <c r="D3412" t="str">
        <f t="shared" si="294"/>
        <v>00527500540</v>
      </c>
      <c r="E3412" t="s">
        <v>52</v>
      </c>
      <c r="F3412">
        <v>2014</v>
      </c>
      <c r="G3412">
        <v>601304</v>
      </c>
      <c r="H3412" s="1">
        <v>41744</v>
      </c>
      <c r="I3412" s="1">
        <v>41815</v>
      </c>
      <c r="J3412" s="1">
        <v>41815</v>
      </c>
      <c r="K3412" s="1">
        <v>41905</v>
      </c>
      <c r="N3412" s="5"/>
      <c r="O3412">
        <v>817.4</v>
      </c>
      <c r="P3412">
        <v>171</v>
      </c>
      <c r="Q3412" s="2">
        <v>139775.4</v>
      </c>
      <c r="R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 s="1">
        <v>42382</v>
      </c>
      <c r="AC3412" t="s">
        <v>53</v>
      </c>
      <c r="AD3412" t="s">
        <v>53</v>
      </c>
      <c r="AK3412">
        <v>0</v>
      </c>
      <c r="AU3412" s="6">
        <v>42076</v>
      </c>
      <c r="AV3412" s="6">
        <v>42076</v>
      </c>
      <c r="AW3412" t="s">
        <v>54</v>
      </c>
      <c r="AX3412" t="str">
        <f t="shared" si="293"/>
        <v>FOR</v>
      </c>
      <c r="AY3412" t="s">
        <v>55</v>
      </c>
    </row>
    <row r="3413" spans="1:51" hidden="1">
      <c r="A3413">
        <v>101170</v>
      </c>
      <c r="B3413" t="s">
        <v>555</v>
      </c>
      <c r="C3413" t="str">
        <f t="shared" si="294"/>
        <v>00527500540</v>
      </c>
      <c r="D3413" t="str">
        <f t="shared" si="294"/>
        <v>00527500540</v>
      </c>
      <c r="E3413" t="s">
        <v>52</v>
      </c>
      <c r="F3413">
        <v>2014</v>
      </c>
      <c r="G3413">
        <v>601305</v>
      </c>
      <c r="H3413" s="1">
        <v>41745</v>
      </c>
      <c r="I3413" s="1">
        <v>41815</v>
      </c>
      <c r="J3413" s="1">
        <v>41815</v>
      </c>
      <c r="K3413" s="1">
        <v>41905</v>
      </c>
      <c r="N3413" s="5"/>
      <c r="O3413">
        <v>976</v>
      </c>
      <c r="P3413">
        <v>171</v>
      </c>
      <c r="Q3413" s="2">
        <v>166896</v>
      </c>
      <c r="R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 s="1">
        <v>42382</v>
      </c>
      <c r="AC3413" t="s">
        <v>53</v>
      </c>
      <c r="AD3413" t="s">
        <v>53</v>
      </c>
      <c r="AK3413">
        <v>0</v>
      </c>
      <c r="AU3413" s="6">
        <v>42076</v>
      </c>
      <c r="AV3413" s="6">
        <v>42076</v>
      </c>
      <c r="AW3413" t="s">
        <v>54</v>
      </c>
      <c r="AX3413" t="str">
        <f t="shared" si="293"/>
        <v>FOR</v>
      </c>
      <c r="AY3413" t="s">
        <v>55</v>
      </c>
    </row>
    <row r="3414" spans="1:51" hidden="1">
      <c r="A3414">
        <v>101170</v>
      </c>
      <c r="B3414" t="s">
        <v>555</v>
      </c>
      <c r="C3414" t="str">
        <f t="shared" si="294"/>
        <v>00527500540</v>
      </c>
      <c r="D3414" t="str">
        <f t="shared" si="294"/>
        <v>00527500540</v>
      </c>
      <c r="E3414" t="s">
        <v>52</v>
      </c>
      <c r="F3414">
        <v>2014</v>
      </c>
      <c r="G3414">
        <v>601306</v>
      </c>
      <c r="H3414" s="1">
        <v>41745</v>
      </c>
      <c r="I3414" s="1">
        <v>41815</v>
      </c>
      <c r="J3414" s="1">
        <v>41815</v>
      </c>
      <c r="K3414" s="1">
        <v>41905</v>
      </c>
      <c r="N3414" s="5"/>
      <c r="O3414" s="2">
        <v>1073.5999999999999</v>
      </c>
      <c r="P3414">
        <v>171</v>
      </c>
      <c r="Q3414" s="2">
        <v>183585.6</v>
      </c>
      <c r="R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 s="1">
        <v>42382</v>
      </c>
      <c r="AC3414" t="s">
        <v>53</v>
      </c>
      <c r="AD3414" t="s">
        <v>53</v>
      </c>
      <c r="AK3414">
        <v>0</v>
      </c>
      <c r="AU3414" s="6">
        <v>42076</v>
      </c>
      <c r="AV3414" s="6">
        <v>42076</v>
      </c>
      <c r="AW3414" t="s">
        <v>54</v>
      </c>
      <c r="AX3414" t="str">
        <f t="shared" si="293"/>
        <v>FOR</v>
      </c>
      <c r="AY3414" t="s">
        <v>55</v>
      </c>
    </row>
    <row r="3415" spans="1:51" hidden="1">
      <c r="A3415">
        <v>101170</v>
      </c>
      <c r="B3415" t="s">
        <v>555</v>
      </c>
      <c r="C3415" t="str">
        <f t="shared" si="294"/>
        <v>00527500540</v>
      </c>
      <c r="D3415" t="str">
        <f t="shared" si="294"/>
        <v>00527500540</v>
      </c>
      <c r="E3415" t="s">
        <v>52</v>
      </c>
      <c r="F3415">
        <v>2014</v>
      </c>
      <c r="G3415">
        <v>601307</v>
      </c>
      <c r="H3415" s="1">
        <v>41745</v>
      </c>
      <c r="I3415" s="1">
        <v>41815</v>
      </c>
      <c r="J3415" s="1">
        <v>41815</v>
      </c>
      <c r="K3415" s="1">
        <v>41905</v>
      </c>
      <c r="N3415" s="5"/>
      <c r="O3415">
        <v>610</v>
      </c>
      <c r="P3415">
        <v>171</v>
      </c>
      <c r="Q3415" s="2">
        <v>104310</v>
      </c>
      <c r="R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 s="1">
        <v>42382</v>
      </c>
      <c r="AC3415" t="s">
        <v>53</v>
      </c>
      <c r="AD3415" t="s">
        <v>53</v>
      </c>
      <c r="AK3415">
        <v>0</v>
      </c>
      <c r="AU3415" s="6">
        <v>42076</v>
      </c>
      <c r="AV3415" s="6">
        <v>42076</v>
      </c>
      <c r="AW3415" t="s">
        <v>54</v>
      </c>
      <c r="AX3415" t="str">
        <f t="shared" si="293"/>
        <v>FOR</v>
      </c>
      <c r="AY3415" t="s">
        <v>55</v>
      </c>
    </row>
    <row r="3416" spans="1:51" hidden="1">
      <c r="A3416">
        <v>101170</v>
      </c>
      <c r="B3416" t="s">
        <v>555</v>
      </c>
      <c r="C3416" t="str">
        <f t="shared" si="294"/>
        <v>00527500540</v>
      </c>
      <c r="D3416" t="str">
        <f t="shared" si="294"/>
        <v>00527500540</v>
      </c>
      <c r="E3416" t="s">
        <v>52</v>
      </c>
      <c r="F3416">
        <v>2014</v>
      </c>
      <c r="G3416">
        <v>601308</v>
      </c>
      <c r="H3416" s="1">
        <v>41745</v>
      </c>
      <c r="I3416" s="1">
        <v>41815</v>
      </c>
      <c r="J3416" s="1">
        <v>41815</v>
      </c>
      <c r="K3416" s="1">
        <v>41905</v>
      </c>
      <c r="N3416" s="5"/>
      <c r="O3416">
        <v>174.46</v>
      </c>
      <c r="P3416">
        <v>171</v>
      </c>
      <c r="Q3416" s="2">
        <v>29832.66</v>
      </c>
      <c r="R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 s="1">
        <v>42382</v>
      </c>
      <c r="AC3416" t="s">
        <v>53</v>
      </c>
      <c r="AD3416" t="s">
        <v>53</v>
      </c>
      <c r="AK3416">
        <v>0</v>
      </c>
      <c r="AU3416" s="6">
        <v>42076</v>
      </c>
      <c r="AV3416" s="6">
        <v>42076</v>
      </c>
      <c r="AW3416" t="s">
        <v>54</v>
      </c>
      <c r="AX3416" t="str">
        <f t="shared" si="293"/>
        <v>FOR</v>
      </c>
      <c r="AY3416" t="s">
        <v>55</v>
      </c>
    </row>
    <row r="3417" spans="1:51" hidden="1">
      <c r="A3417">
        <v>101170</v>
      </c>
      <c r="B3417" t="s">
        <v>555</v>
      </c>
      <c r="C3417" t="str">
        <f t="shared" si="294"/>
        <v>00527500540</v>
      </c>
      <c r="D3417" t="str">
        <f t="shared" si="294"/>
        <v>00527500540</v>
      </c>
      <c r="E3417" t="s">
        <v>52</v>
      </c>
      <c r="F3417">
        <v>2014</v>
      </c>
      <c r="G3417">
        <v>601654</v>
      </c>
      <c r="H3417" s="1">
        <v>41787</v>
      </c>
      <c r="I3417" s="1">
        <v>41815</v>
      </c>
      <c r="J3417" s="1">
        <v>41815</v>
      </c>
      <c r="K3417" s="1">
        <v>41905</v>
      </c>
      <c r="N3417" s="5"/>
      <c r="O3417" s="2">
        <v>3965</v>
      </c>
      <c r="P3417">
        <v>197</v>
      </c>
      <c r="Q3417" s="2">
        <v>781105</v>
      </c>
      <c r="R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 s="1">
        <v>42382</v>
      </c>
      <c r="AC3417" t="s">
        <v>53</v>
      </c>
      <c r="AD3417" t="s">
        <v>53</v>
      </c>
      <c r="AK3417">
        <v>0</v>
      </c>
      <c r="AU3417" s="6">
        <v>42102</v>
      </c>
      <c r="AV3417" s="6">
        <v>42102</v>
      </c>
      <c r="AW3417" t="s">
        <v>54</v>
      </c>
      <c r="AX3417" t="str">
        <f t="shared" si="293"/>
        <v>FOR</v>
      </c>
      <c r="AY3417" t="s">
        <v>55</v>
      </c>
    </row>
    <row r="3418" spans="1:51" hidden="1">
      <c r="A3418">
        <v>101170</v>
      </c>
      <c r="B3418" t="s">
        <v>555</v>
      </c>
      <c r="C3418" t="str">
        <f t="shared" si="294"/>
        <v>00527500540</v>
      </c>
      <c r="D3418" t="str">
        <f t="shared" si="294"/>
        <v>00527500540</v>
      </c>
      <c r="E3418" t="s">
        <v>52</v>
      </c>
      <c r="F3418">
        <v>2014</v>
      </c>
      <c r="G3418">
        <v>601655</v>
      </c>
      <c r="H3418" s="1">
        <v>41787</v>
      </c>
      <c r="I3418" s="1">
        <v>41815</v>
      </c>
      <c r="J3418" s="1">
        <v>41815</v>
      </c>
      <c r="K3418" s="1">
        <v>41905</v>
      </c>
      <c r="N3418" s="5"/>
      <c r="O3418">
        <v>951.6</v>
      </c>
      <c r="P3418">
        <v>197</v>
      </c>
      <c r="Q3418" s="2">
        <v>187465.2</v>
      </c>
      <c r="R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 s="1">
        <v>42382</v>
      </c>
      <c r="AC3418" t="s">
        <v>53</v>
      </c>
      <c r="AD3418" t="s">
        <v>53</v>
      </c>
      <c r="AK3418">
        <v>0</v>
      </c>
      <c r="AU3418" s="6">
        <v>42102</v>
      </c>
      <c r="AV3418" s="6">
        <v>42102</v>
      </c>
      <c r="AW3418" t="s">
        <v>54</v>
      </c>
      <c r="AX3418" t="str">
        <f t="shared" si="293"/>
        <v>FOR</v>
      </c>
      <c r="AY3418" t="s">
        <v>55</v>
      </c>
    </row>
    <row r="3419" spans="1:51" hidden="1">
      <c r="A3419">
        <v>101170</v>
      </c>
      <c r="B3419" t="s">
        <v>555</v>
      </c>
      <c r="C3419" t="str">
        <f t="shared" si="294"/>
        <v>00527500540</v>
      </c>
      <c r="D3419" t="str">
        <f t="shared" si="294"/>
        <v>00527500540</v>
      </c>
      <c r="E3419" t="s">
        <v>52</v>
      </c>
      <c r="F3419">
        <v>2014</v>
      </c>
      <c r="G3419">
        <v>601656</v>
      </c>
      <c r="H3419" s="1">
        <v>41787</v>
      </c>
      <c r="I3419" s="1">
        <v>41815</v>
      </c>
      <c r="J3419" s="1">
        <v>41815</v>
      </c>
      <c r="K3419" s="1">
        <v>41905</v>
      </c>
      <c r="N3419" s="5"/>
      <c r="O3419" s="2">
        <v>4782.3999999999996</v>
      </c>
      <c r="P3419">
        <v>197</v>
      </c>
      <c r="Q3419" s="2">
        <v>942132.8</v>
      </c>
      <c r="R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 s="1">
        <v>42382</v>
      </c>
      <c r="AC3419" t="s">
        <v>53</v>
      </c>
      <c r="AD3419" t="s">
        <v>53</v>
      </c>
      <c r="AK3419">
        <v>0</v>
      </c>
      <c r="AU3419" s="6">
        <v>42102</v>
      </c>
      <c r="AV3419" s="6">
        <v>42102</v>
      </c>
      <c r="AW3419" t="s">
        <v>54</v>
      </c>
      <c r="AX3419" t="str">
        <f t="shared" si="293"/>
        <v>FOR</v>
      </c>
      <c r="AY3419" t="s">
        <v>55</v>
      </c>
    </row>
    <row r="3420" spans="1:51" hidden="1">
      <c r="A3420">
        <v>101170</v>
      </c>
      <c r="B3420" t="s">
        <v>555</v>
      </c>
      <c r="C3420" t="str">
        <f t="shared" si="294"/>
        <v>00527500540</v>
      </c>
      <c r="D3420" t="str">
        <f t="shared" si="294"/>
        <v>00527500540</v>
      </c>
      <c r="E3420" t="s">
        <v>52</v>
      </c>
      <c r="F3420">
        <v>2014</v>
      </c>
      <c r="G3420">
        <v>601657</v>
      </c>
      <c r="H3420" s="1">
        <v>41787</v>
      </c>
      <c r="I3420" s="1">
        <v>41815</v>
      </c>
      <c r="J3420" s="1">
        <v>41815</v>
      </c>
      <c r="K3420" s="1">
        <v>41905</v>
      </c>
      <c r="N3420" s="5"/>
      <c r="O3420" s="2">
        <v>5124</v>
      </c>
      <c r="P3420">
        <v>197</v>
      </c>
      <c r="Q3420" s="2">
        <v>1009428</v>
      </c>
      <c r="R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 s="1">
        <v>42382</v>
      </c>
      <c r="AC3420" t="s">
        <v>53</v>
      </c>
      <c r="AD3420" t="s">
        <v>53</v>
      </c>
      <c r="AK3420">
        <v>0</v>
      </c>
      <c r="AU3420" s="6">
        <v>42102</v>
      </c>
      <c r="AV3420" s="6">
        <v>42102</v>
      </c>
      <c r="AW3420" t="s">
        <v>54</v>
      </c>
      <c r="AX3420" t="str">
        <f t="shared" si="293"/>
        <v>FOR</v>
      </c>
      <c r="AY3420" t="s">
        <v>55</v>
      </c>
    </row>
    <row r="3421" spans="1:51" hidden="1">
      <c r="A3421">
        <v>101170</v>
      </c>
      <c r="B3421" t="s">
        <v>555</v>
      </c>
      <c r="C3421" t="str">
        <f t="shared" si="294"/>
        <v>00527500540</v>
      </c>
      <c r="D3421" t="str">
        <f t="shared" si="294"/>
        <v>00527500540</v>
      </c>
      <c r="E3421" t="s">
        <v>52</v>
      </c>
      <c r="F3421">
        <v>2014</v>
      </c>
      <c r="G3421">
        <v>601658</v>
      </c>
      <c r="H3421" s="1">
        <v>41787</v>
      </c>
      <c r="I3421" s="1">
        <v>41815</v>
      </c>
      <c r="J3421" s="1">
        <v>41815</v>
      </c>
      <c r="K3421" s="1">
        <v>41905</v>
      </c>
      <c r="N3421" s="5"/>
      <c r="O3421">
        <v>366</v>
      </c>
      <c r="P3421">
        <v>197</v>
      </c>
      <c r="Q3421" s="2">
        <v>72102</v>
      </c>
      <c r="R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 s="1">
        <v>42382</v>
      </c>
      <c r="AC3421" t="s">
        <v>53</v>
      </c>
      <c r="AD3421" t="s">
        <v>53</v>
      </c>
      <c r="AK3421">
        <v>0</v>
      </c>
      <c r="AU3421" s="6">
        <v>42102</v>
      </c>
      <c r="AV3421" s="6">
        <v>42102</v>
      </c>
      <c r="AW3421" t="s">
        <v>54</v>
      </c>
      <c r="AX3421" t="str">
        <f t="shared" si="293"/>
        <v>FOR</v>
      </c>
      <c r="AY3421" t="s">
        <v>55</v>
      </c>
    </row>
    <row r="3422" spans="1:51" hidden="1">
      <c r="A3422">
        <v>101170</v>
      </c>
      <c r="B3422" t="s">
        <v>555</v>
      </c>
      <c r="C3422" t="str">
        <f t="shared" si="294"/>
        <v>00527500540</v>
      </c>
      <c r="D3422" t="str">
        <f t="shared" si="294"/>
        <v>00527500540</v>
      </c>
      <c r="E3422" t="s">
        <v>52</v>
      </c>
      <c r="F3422">
        <v>2014</v>
      </c>
      <c r="G3422">
        <v>601659</v>
      </c>
      <c r="H3422" s="1">
        <v>41787</v>
      </c>
      <c r="I3422" s="1">
        <v>41815</v>
      </c>
      <c r="J3422" s="1">
        <v>41815</v>
      </c>
      <c r="K3422" s="1">
        <v>41905</v>
      </c>
      <c r="N3422" s="5"/>
      <c r="O3422">
        <v>390.4</v>
      </c>
      <c r="P3422">
        <v>197</v>
      </c>
      <c r="Q3422" s="2">
        <v>76908.800000000003</v>
      </c>
      <c r="R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 s="1">
        <v>42382</v>
      </c>
      <c r="AC3422" t="s">
        <v>53</v>
      </c>
      <c r="AD3422" t="s">
        <v>53</v>
      </c>
      <c r="AK3422">
        <v>0</v>
      </c>
      <c r="AU3422" s="6">
        <v>42102</v>
      </c>
      <c r="AV3422" s="6">
        <v>42102</v>
      </c>
      <c r="AW3422" t="s">
        <v>54</v>
      </c>
      <c r="AX3422" t="str">
        <f t="shared" si="293"/>
        <v>FOR</v>
      </c>
      <c r="AY3422" t="s">
        <v>55</v>
      </c>
    </row>
    <row r="3423" spans="1:51" hidden="1">
      <c r="A3423">
        <v>101170</v>
      </c>
      <c r="B3423" t="s">
        <v>555</v>
      </c>
      <c r="C3423" t="str">
        <f t="shared" si="294"/>
        <v>00527500540</v>
      </c>
      <c r="D3423" t="str">
        <f t="shared" si="294"/>
        <v>00527500540</v>
      </c>
      <c r="E3423" t="s">
        <v>52</v>
      </c>
      <c r="F3423">
        <v>2014</v>
      </c>
      <c r="G3423">
        <v>601660</v>
      </c>
      <c r="H3423" s="1">
        <v>41787</v>
      </c>
      <c r="I3423" s="1">
        <v>41815</v>
      </c>
      <c r="J3423" s="1">
        <v>41815</v>
      </c>
      <c r="K3423" s="1">
        <v>41905</v>
      </c>
      <c r="N3423" s="5"/>
      <c r="O3423" s="2">
        <v>4782.3999999999996</v>
      </c>
      <c r="P3423">
        <v>197</v>
      </c>
      <c r="Q3423" s="2">
        <v>942132.8</v>
      </c>
      <c r="R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 s="1">
        <v>42382</v>
      </c>
      <c r="AC3423" t="s">
        <v>53</v>
      </c>
      <c r="AD3423" t="s">
        <v>53</v>
      </c>
      <c r="AK3423">
        <v>0</v>
      </c>
      <c r="AU3423" s="6">
        <v>42102</v>
      </c>
      <c r="AV3423" s="6">
        <v>42102</v>
      </c>
      <c r="AW3423" t="s">
        <v>54</v>
      </c>
      <c r="AX3423" t="str">
        <f t="shared" si="293"/>
        <v>FOR</v>
      </c>
      <c r="AY3423" t="s">
        <v>55</v>
      </c>
    </row>
    <row r="3424" spans="1:51" hidden="1">
      <c r="A3424">
        <v>101170</v>
      </c>
      <c r="B3424" t="s">
        <v>555</v>
      </c>
      <c r="C3424" t="str">
        <f t="shared" si="294"/>
        <v>00527500540</v>
      </c>
      <c r="D3424" t="str">
        <f t="shared" si="294"/>
        <v>00527500540</v>
      </c>
      <c r="E3424" t="s">
        <v>52</v>
      </c>
      <c r="F3424">
        <v>2014</v>
      </c>
      <c r="G3424">
        <v>601661</v>
      </c>
      <c r="H3424" s="1">
        <v>41787</v>
      </c>
      <c r="I3424" s="1">
        <v>41815</v>
      </c>
      <c r="J3424" s="1">
        <v>41815</v>
      </c>
      <c r="K3424" s="1">
        <v>41905</v>
      </c>
      <c r="N3424" s="5"/>
      <c r="O3424">
        <v>610</v>
      </c>
      <c r="P3424">
        <v>197</v>
      </c>
      <c r="Q3424" s="2">
        <v>120170</v>
      </c>
      <c r="R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 s="1">
        <v>42382</v>
      </c>
      <c r="AC3424" t="s">
        <v>53</v>
      </c>
      <c r="AD3424" t="s">
        <v>53</v>
      </c>
      <c r="AK3424">
        <v>0</v>
      </c>
      <c r="AU3424" s="6">
        <v>42102</v>
      </c>
      <c r="AV3424" s="6">
        <v>42102</v>
      </c>
      <c r="AW3424" t="s">
        <v>54</v>
      </c>
      <c r="AX3424" t="str">
        <f t="shared" si="293"/>
        <v>FOR</v>
      </c>
      <c r="AY3424" t="s">
        <v>55</v>
      </c>
    </row>
    <row r="3425" spans="1:51" hidden="1">
      <c r="A3425">
        <v>101170</v>
      </c>
      <c r="B3425" t="s">
        <v>555</v>
      </c>
      <c r="C3425" t="str">
        <f t="shared" si="294"/>
        <v>00527500540</v>
      </c>
      <c r="D3425" t="str">
        <f t="shared" si="294"/>
        <v>00527500540</v>
      </c>
      <c r="E3425" t="s">
        <v>52</v>
      </c>
      <c r="F3425">
        <v>2014</v>
      </c>
      <c r="G3425">
        <v>602151</v>
      </c>
      <c r="H3425" s="1">
        <v>41820</v>
      </c>
      <c r="I3425" s="1">
        <v>41831</v>
      </c>
      <c r="J3425" s="1">
        <v>41831</v>
      </c>
      <c r="K3425" s="1">
        <v>41920</v>
      </c>
      <c r="N3425" s="5"/>
      <c r="O3425" s="2">
        <v>5124</v>
      </c>
      <c r="P3425">
        <v>210</v>
      </c>
      <c r="Q3425" s="2">
        <v>1076040</v>
      </c>
      <c r="R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 s="1">
        <v>42382</v>
      </c>
      <c r="AC3425" t="s">
        <v>53</v>
      </c>
      <c r="AD3425" t="s">
        <v>53</v>
      </c>
      <c r="AK3425">
        <v>0</v>
      </c>
      <c r="AU3425" s="6">
        <v>42130</v>
      </c>
      <c r="AV3425" s="6">
        <v>42130</v>
      </c>
      <c r="AW3425" t="s">
        <v>54</v>
      </c>
      <c r="AX3425" t="str">
        <f t="shared" si="293"/>
        <v>FOR</v>
      </c>
      <c r="AY3425" t="s">
        <v>55</v>
      </c>
    </row>
    <row r="3426" spans="1:51" hidden="1">
      <c r="A3426">
        <v>101170</v>
      </c>
      <c r="B3426" t="s">
        <v>555</v>
      </c>
      <c r="C3426" t="str">
        <f t="shared" si="294"/>
        <v>00527500540</v>
      </c>
      <c r="D3426" t="str">
        <f t="shared" si="294"/>
        <v>00527500540</v>
      </c>
      <c r="E3426" t="s">
        <v>52</v>
      </c>
      <c r="F3426">
        <v>2014</v>
      </c>
      <c r="G3426">
        <v>602152</v>
      </c>
      <c r="H3426" s="1">
        <v>41820</v>
      </c>
      <c r="I3426" s="1">
        <v>41831</v>
      </c>
      <c r="J3426" s="1">
        <v>41831</v>
      </c>
      <c r="K3426" s="1">
        <v>41920</v>
      </c>
      <c r="N3426" s="5"/>
      <c r="O3426" s="2">
        <v>5124</v>
      </c>
      <c r="P3426">
        <v>210</v>
      </c>
      <c r="Q3426" s="2">
        <v>1076040</v>
      </c>
      <c r="R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 s="1">
        <v>42382</v>
      </c>
      <c r="AC3426" t="s">
        <v>53</v>
      </c>
      <c r="AD3426" t="s">
        <v>53</v>
      </c>
      <c r="AK3426">
        <v>0</v>
      </c>
      <c r="AU3426" s="6">
        <v>42130</v>
      </c>
      <c r="AV3426" s="6">
        <v>42130</v>
      </c>
      <c r="AW3426" t="s">
        <v>54</v>
      </c>
      <c r="AX3426" t="str">
        <f t="shared" si="293"/>
        <v>FOR</v>
      </c>
      <c r="AY3426" t="s">
        <v>55</v>
      </c>
    </row>
    <row r="3427" spans="1:51" hidden="1">
      <c r="A3427">
        <v>101170</v>
      </c>
      <c r="B3427" t="s">
        <v>555</v>
      </c>
      <c r="C3427" t="str">
        <f t="shared" si="294"/>
        <v>00527500540</v>
      </c>
      <c r="D3427" t="str">
        <f t="shared" si="294"/>
        <v>00527500540</v>
      </c>
      <c r="E3427" t="s">
        <v>52</v>
      </c>
      <c r="F3427">
        <v>2014</v>
      </c>
      <c r="G3427">
        <v>602156</v>
      </c>
      <c r="H3427" s="1">
        <v>41820</v>
      </c>
      <c r="I3427" s="1">
        <v>41831</v>
      </c>
      <c r="J3427" s="1">
        <v>41831</v>
      </c>
      <c r="K3427" s="1">
        <v>41920</v>
      </c>
      <c r="N3427" s="5"/>
      <c r="O3427" s="2">
        <v>4880</v>
      </c>
      <c r="P3427">
        <v>210</v>
      </c>
      <c r="Q3427" s="2">
        <v>1024800</v>
      </c>
      <c r="R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 s="1">
        <v>42382</v>
      </c>
      <c r="AC3427" t="s">
        <v>53</v>
      </c>
      <c r="AD3427" t="s">
        <v>53</v>
      </c>
      <c r="AK3427">
        <v>0</v>
      </c>
      <c r="AU3427" s="6">
        <v>42130</v>
      </c>
      <c r="AV3427" s="6">
        <v>42130</v>
      </c>
      <c r="AW3427" t="s">
        <v>54</v>
      </c>
      <c r="AX3427" t="str">
        <f t="shared" si="293"/>
        <v>FOR</v>
      </c>
      <c r="AY3427" t="s">
        <v>55</v>
      </c>
    </row>
    <row r="3428" spans="1:51" hidden="1">
      <c r="A3428">
        <v>101170</v>
      </c>
      <c r="B3428" t="s">
        <v>555</v>
      </c>
      <c r="C3428" t="str">
        <f t="shared" ref="C3428:D3447" si="295">"00527500540"</f>
        <v>00527500540</v>
      </c>
      <c r="D3428" t="str">
        <f t="shared" si="295"/>
        <v>00527500540</v>
      </c>
      <c r="E3428" t="s">
        <v>52</v>
      </c>
      <c r="F3428">
        <v>2014</v>
      </c>
      <c r="G3428">
        <v>602157</v>
      </c>
      <c r="H3428" s="1">
        <v>41820</v>
      </c>
      <c r="I3428" s="1">
        <v>41831</v>
      </c>
      <c r="J3428" s="1">
        <v>41831</v>
      </c>
      <c r="K3428" s="1">
        <v>41920</v>
      </c>
      <c r="N3428" s="5"/>
      <c r="O3428" s="2">
        <v>4782.3999999999996</v>
      </c>
      <c r="P3428">
        <v>210</v>
      </c>
      <c r="Q3428" s="2">
        <v>1004304</v>
      </c>
      <c r="R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 s="1">
        <v>42382</v>
      </c>
      <c r="AC3428" t="s">
        <v>53</v>
      </c>
      <c r="AD3428" t="s">
        <v>53</v>
      </c>
      <c r="AK3428">
        <v>0</v>
      </c>
      <c r="AU3428" s="6">
        <v>42130</v>
      </c>
      <c r="AV3428" s="6">
        <v>42130</v>
      </c>
      <c r="AW3428" t="s">
        <v>54</v>
      </c>
      <c r="AX3428" t="str">
        <f t="shared" si="293"/>
        <v>FOR</v>
      </c>
      <c r="AY3428" t="s">
        <v>55</v>
      </c>
    </row>
    <row r="3429" spans="1:51" hidden="1">
      <c r="A3429">
        <v>101170</v>
      </c>
      <c r="B3429" t="s">
        <v>555</v>
      </c>
      <c r="C3429" t="str">
        <f t="shared" si="295"/>
        <v>00527500540</v>
      </c>
      <c r="D3429" t="str">
        <f t="shared" si="295"/>
        <v>00527500540</v>
      </c>
      <c r="E3429" t="s">
        <v>52</v>
      </c>
      <c r="F3429">
        <v>2014</v>
      </c>
      <c r="G3429">
        <v>602158</v>
      </c>
      <c r="H3429" s="1">
        <v>41820</v>
      </c>
      <c r="I3429" s="1">
        <v>41831</v>
      </c>
      <c r="J3429" s="1">
        <v>41831</v>
      </c>
      <c r="K3429" s="1">
        <v>41920</v>
      </c>
      <c r="N3429" s="5"/>
      <c r="O3429" s="2">
        <v>4782.3999999999996</v>
      </c>
      <c r="P3429">
        <v>210</v>
      </c>
      <c r="Q3429" s="2">
        <v>1004304</v>
      </c>
      <c r="R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 s="1">
        <v>42382</v>
      </c>
      <c r="AC3429" t="s">
        <v>53</v>
      </c>
      <c r="AD3429" t="s">
        <v>53</v>
      </c>
      <c r="AK3429">
        <v>0</v>
      </c>
      <c r="AU3429" s="6">
        <v>42130</v>
      </c>
      <c r="AV3429" s="6">
        <v>42130</v>
      </c>
      <c r="AW3429" t="s">
        <v>54</v>
      </c>
      <c r="AX3429" t="str">
        <f t="shared" si="293"/>
        <v>FOR</v>
      </c>
      <c r="AY3429" t="s">
        <v>55</v>
      </c>
    </row>
    <row r="3430" spans="1:51" hidden="1">
      <c r="A3430">
        <v>101170</v>
      </c>
      <c r="B3430" t="s">
        <v>555</v>
      </c>
      <c r="C3430" t="str">
        <f t="shared" si="295"/>
        <v>00527500540</v>
      </c>
      <c r="D3430" t="str">
        <f t="shared" si="295"/>
        <v>00527500540</v>
      </c>
      <c r="E3430" t="s">
        <v>52</v>
      </c>
      <c r="F3430">
        <v>2014</v>
      </c>
      <c r="G3430">
        <v>602160</v>
      </c>
      <c r="H3430" s="1">
        <v>41820</v>
      </c>
      <c r="I3430" s="1">
        <v>41831</v>
      </c>
      <c r="J3430" s="1">
        <v>41831</v>
      </c>
      <c r="K3430" s="1">
        <v>41920</v>
      </c>
      <c r="N3430" s="5"/>
      <c r="O3430" s="2">
        <v>4611.6000000000004</v>
      </c>
      <c r="P3430">
        <v>210</v>
      </c>
      <c r="Q3430" s="2">
        <v>968436</v>
      </c>
      <c r="R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 s="1">
        <v>42382</v>
      </c>
      <c r="AC3430" t="s">
        <v>53</v>
      </c>
      <c r="AD3430" t="s">
        <v>53</v>
      </c>
      <c r="AK3430">
        <v>0</v>
      </c>
      <c r="AU3430" s="6">
        <v>42130</v>
      </c>
      <c r="AV3430" s="6">
        <v>42130</v>
      </c>
      <c r="AW3430" t="s">
        <v>54</v>
      </c>
      <c r="AX3430" t="str">
        <f t="shared" si="293"/>
        <v>FOR</v>
      </c>
      <c r="AY3430" t="s">
        <v>55</v>
      </c>
    </row>
    <row r="3431" spans="1:51" hidden="1">
      <c r="A3431">
        <v>101170</v>
      </c>
      <c r="B3431" t="s">
        <v>555</v>
      </c>
      <c r="C3431" t="str">
        <f t="shared" si="295"/>
        <v>00527500540</v>
      </c>
      <c r="D3431" t="str">
        <f t="shared" si="295"/>
        <v>00527500540</v>
      </c>
      <c r="E3431" t="s">
        <v>52</v>
      </c>
      <c r="F3431">
        <v>2014</v>
      </c>
      <c r="G3431">
        <v>602161</v>
      </c>
      <c r="H3431" s="1">
        <v>41820</v>
      </c>
      <c r="I3431" s="1">
        <v>41831</v>
      </c>
      <c r="J3431" s="1">
        <v>41831</v>
      </c>
      <c r="K3431" s="1">
        <v>41920</v>
      </c>
      <c r="N3431" s="5"/>
      <c r="O3431" s="2">
        <v>4611.6000000000004</v>
      </c>
      <c r="P3431">
        <v>210</v>
      </c>
      <c r="Q3431" s="2">
        <v>968436</v>
      </c>
      <c r="R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 s="1">
        <v>42382</v>
      </c>
      <c r="AC3431" t="s">
        <v>53</v>
      </c>
      <c r="AD3431" t="s">
        <v>53</v>
      </c>
      <c r="AK3431">
        <v>0</v>
      </c>
      <c r="AU3431" s="6">
        <v>42130</v>
      </c>
      <c r="AV3431" s="6">
        <v>42130</v>
      </c>
      <c r="AW3431" t="s">
        <v>54</v>
      </c>
      <c r="AX3431" t="str">
        <f t="shared" si="293"/>
        <v>FOR</v>
      </c>
      <c r="AY3431" t="s">
        <v>55</v>
      </c>
    </row>
    <row r="3432" spans="1:51" hidden="1">
      <c r="A3432">
        <v>101170</v>
      </c>
      <c r="B3432" t="s">
        <v>555</v>
      </c>
      <c r="C3432" t="str">
        <f t="shared" si="295"/>
        <v>00527500540</v>
      </c>
      <c r="D3432" t="str">
        <f t="shared" si="295"/>
        <v>00527500540</v>
      </c>
      <c r="E3432" t="s">
        <v>52</v>
      </c>
      <c r="F3432">
        <v>2014</v>
      </c>
      <c r="G3432">
        <v>602165</v>
      </c>
      <c r="H3432" s="1">
        <v>41820</v>
      </c>
      <c r="I3432" s="1">
        <v>41831</v>
      </c>
      <c r="J3432" s="1">
        <v>41831</v>
      </c>
      <c r="K3432" s="1">
        <v>41921</v>
      </c>
      <c r="N3432" s="5"/>
      <c r="O3432" s="2">
        <v>3965</v>
      </c>
      <c r="P3432">
        <v>209</v>
      </c>
      <c r="Q3432" s="2">
        <v>828685</v>
      </c>
      <c r="R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 s="1">
        <v>42382</v>
      </c>
      <c r="AC3432" t="s">
        <v>53</v>
      </c>
      <c r="AD3432" t="s">
        <v>53</v>
      </c>
      <c r="AK3432">
        <v>0</v>
      </c>
      <c r="AU3432" s="6">
        <v>42130</v>
      </c>
      <c r="AV3432" s="6">
        <v>42130</v>
      </c>
      <c r="AW3432" t="s">
        <v>54</v>
      </c>
      <c r="AX3432" t="str">
        <f t="shared" si="293"/>
        <v>FOR</v>
      </c>
      <c r="AY3432" t="s">
        <v>55</v>
      </c>
    </row>
    <row r="3433" spans="1:51" hidden="1">
      <c r="A3433">
        <v>101170</v>
      </c>
      <c r="B3433" t="s">
        <v>555</v>
      </c>
      <c r="C3433" t="str">
        <f t="shared" si="295"/>
        <v>00527500540</v>
      </c>
      <c r="D3433" t="str">
        <f t="shared" si="295"/>
        <v>00527500540</v>
      </c>
      <c r="E3433" t="s">
        <v>52</v>
      </c>
      <c r="F3433">
        <v>2014</v>
      </c>
      <c r="G3433">
        <v>602197</v>
      </c>
      <c r="H3433" s="1">
        <v>41827</v>
      </c>
      <c r="I3433" s="1">
        <v>41876</v>
      </c>
      <c r="J3433" s="1">
        <v>41876</v>
      </c>
      <c r="K3433" s="1">
        <v>41966</v>
      </c>
      <c r="N3433" s="5"/>
      <c r="O3433" s="2">
        <v>1525</v>
      </c>
      <c r="P3433">
        <v>197</v>
      </c>
      <c r="Q3433" s="2">
        <v>300425</v>
      </c>
      <c r="R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 s="1">
        <v>42382</v>
      </c>
      <c r="AC3433" t="s">
        <v>53</v>
      </c>
      <c r="AD3433" t="s">
        <v>53</v>
      </c>
      <c r="AK3433">
        <v>0</v>
      </c>
      <c r="AU3433" s="6">
        <v>42163</v>
      </c>
      <c r="AV3433" s="6">
        <v>42163</v>
      </c>
      <c r="AW3433" t="s">
        <v>54</v>
      </c>
      <c r="AX3433" t="str">
        <f t="shared" si="293"/>
        <v>FOR</v>
      </c>
      <c r="AY3433" t="s">
        <v>55</v>
      </c>
    </row>
    <row r="3434" spans="1:51" hidden="1">
      <c r="A3434">
        <v>101170</v>
      </c>
      <c r="B3434" t="s">
        <v>555</v>
      </c>
      <c r="C3434" t="str">
        <f t="shared" si="295"/>
        <v>00527500540</v>
      </c>
      <c r="D3434" t="str">
        <f t="shared" si="295"/>
        <v>00527500540</v>
      </c>
      <c r="E3434" t="s">
        <v>52</v>
      </c>
      <c r="F3434">
        <v>2014</v>
      </c>
      <c r="G3434">
        <v>602198</v>
      </c>
      <c r="H3434" s="1">
        <v>41827</v>
      </c>
      <c r="I3434" s="1">
        <v>41876</v>
      </c>
      <c r="J3434" s="1">
        <v>41876</v>
      </c>
      <c r="K3434" s="1">
        <v>41966</v>
      </c>
      <c r="N3434" s="5"/>
      <c r="O3434" s="2">
        <v>1525</v>
      </c>
      <c r="P3434">
        <v>197</v>
      </c>
      <c r="Q3434" s="2">
        <v>300425</v>
      </c>
      <c r="R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 s="1">
        <v>42382</v>
      </c>
      <c r="AC3434" t="s">
        <v>53</v>
      </c>
      <c r="AD3434" t="s">
        <v>53</v>
      </c>
      <c r="AK3434">
        <v>0</v>
      </c>
      <c r="AU3434" s="6">
        <v>42163</v>
      </c>
      <c r="AV3434" s="6">
        <v>42163</v>
      </c>
      <c r="AW3434" t="s">
        <v>54</v>
      </c>
      <c r="AX3434" t="str">
        <f t="shared" si="293"/>
        <v>FOR</v>
      </c>
      <c r="AY3434" t="s">
        <v>55</v>
      </c>
    </row>
    <row r="3435" spans="1:51" hidden="1">
      <c r="A3435">
        <v>101170</v>
      </c>
      <c r="B3435" t="s">
        <v>555</v>
      </c>
      <c r="C3435" t="str">
        <f t="shared" si="295"/>
        <v>00527500540</v>
      </c>
      <c r="D3435" t="str">
        <f t="shared" si="295"/>
        <v>00527500540</v>
      </c>
      <c r="E3435" t="s">
        <v>52</v>
      </c>
      <c r="F3435">
        <v>2014</v>
      </c>
      <c r="G3435">
        <v>602199</v>
      </c>
      <c r="H3435" s="1">
        <v>41827</v>
      </c>
      <c r="I3435" s="1">
        <v>41876</v>
      </c>
      <c r="J3435" s="1">
        <v>41876</v>
      </c>
      <c r="K3435" s="1">
        <v>41966</v>
      </c>
      <c r="N3435" s="5"/>
      <c r="O3435" s="2">
        <v>1525</v>
      </c>
      <c r="P3435">
        <v>197</v>
      </c>
      <c r="Q3435" s="2">
        <v>300425</v>
      </c>
      <c r="R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 s="1">
        <v>42382</v>
      </c>
      <c r="AC3435" t="s">
        <v>53</v>
      </c>
      <c r="AD3435" t="s">
        <v>53</v>
      </c>
      <c r="AK3435">
        <v>0</v>
      </c>
      <c r="AU3435" s="6">
        <v>42163</v>
      </c>
      <c r="AV3435" s="6">
        <v>42163</v>
      </c>
      <c r="AW3435" t="s">
        <v>54</v>
      </c>
      <c r="AX3435" t="str">
        <f t="shared" si="293"/>
        <v>FOR</v>
      </c>
      <c r="AY3435" t="s">
        <v>55</v>
      </c>
    </row>
    <row r="3436" spans="1:51" hidden="1">
      <c r="A3436">
        <v>101170</v>
      </c>
      <c r="B3436" t="s">
        <v>555</v>
      </c>
      <c r="C3436" t="str">
        <f t="shared" si="295"/>
        <v>00527500540</v>
      </c>
      <c r="D3436" t="str">
        <f t="shared" si="295"/>
        <v>00527500540</v>
      </c>
      <c r="E3436" t="s">
        <v>52</v>
      </c>
      <c r="F3436">
        <v>2014</v>
      </c>
      <c r="G3436">
        <v>602206</v>
      </c>
      <c r="H3436" s="1">
        <v>41827</v>
      </c>
      <c r="I3436" s="1">
        <v>41876</v>
      </c>
      <c r="J3436" s="1">
        <v>41876</v>
      </c>
      <c r="K3436" s="1">
        <v>41966</v>
      </c>
      <c r="N3436" s="5"/>
      <c r="O3436" s="2">
        <v>1323.7</v>
      </c>
      <c r="P3436">
        <v>197</v>
      </c>
      <c r="Q3436" s="2">
        <v>260768.9</v>
      </c>
      <c r="R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 s="1">
        <v>42382</v>
      </c>
      <c r="AC3436" t="s">
        <v>53</v>
      </c>
      <c r="AD3436" t="s">
        <v>53</v>
      </c>
      <c r="AK3436">
        <v>0</v>
      </c>
      <c r="AU3436" s="6">
        <v>42163</v>
      </c>
      <c r="AV3436" s="6">
        <v>42163</v>
      </c>
      <c r="AW3436" t="s">
        <v>54</v>
      </c>
      <c r="AX3436" t="str">
        <f t="shared" si="293"/>
        <v>FOR</v>
      </c>
      <c r="AY3436" t="s">
        <v>55</v>
      </c>
    </row>
    <row r="3437" spans="1:51" hidden="1">
      <c r="A3437">
        <v>101170</v>
      </c>
      <c r="B3437" t="s">
        <v>555</v>
      </c>
      <c r="C3437" t="str">
        <f t="shared" si="295"/>
        <v>00527500540</v>
      </c>
      <c r="D3437" t="str">
        <f t="shared" si="295"/>
        <v>00527500540</v>
      </c>
      <c r="E3437" t="s">
        <v>52</v>
      </c>
      <c r="F3437">
        <v>2014</v>
      </c>
      <c r="G3437">
        <v>602227</v>
      </c>
      <c r="H3437" s="1">
        <v>41830</v>
      </c>
      <c r="I3437" s="1">
        <v>41876</v>
      </c>
      <c r="J3437" s="1">
        <v>41876</v>
      </c>
      <c r="K3437" s="1">
        <v>41966</v>
      </c>
      <c r="N3437" s="5"/>
      <c r="O3437">
        <v>646.6</v>
      </c>
      <c r="P3437">
        <v>197</v>
      </c>
      <c r="Q3437" s="2">
        <v>127380.2</v>
      </c>
      <c r="R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 s="1">
        <v>42382</v>
      </c>
      <c r="AC3437" t="s">
        <v>53</v>
      </c>
      <c r="AD3437" t="s">
        <v>53</v>
      </c>
      <c r="AK3437">
        <v>0</v>
      </c>
      <c r="AU3437" s="6">
        <v>42163</v>
      </c>
      <c r="AV3437" s="6">
        <v>42163</v>
      </c>
      <c r="AW3437" t="s">
        <v>54</v>
      </c>
      <c r="AX3437" t="str">
        <f t="shared" si="293"/>
        <v>FOR</v>
      </c>
      <c r="AY3437" t="s">
        <v>55</v>
      </c>
    </row>
    <row r="3438" spans="1:51" hidden="1">
      <c r="A3438">
        <v>101170</v>
      </c>
      <c r="B3438" t="s">
        <v>555</v>
      </c>
      <c r="C3438" t="str">
        <f t="shared" si="295"/>
        <v>00527500540</v>
      </c>
      <c r="D3438" t="str">
        <f t="shared" si="295"/>
        <v>00527500540</v>
      </c>
      <c r="E3438" t="s">
        <v>52</v>
      </c>
      <c r="F3438">
        <v>2014</v>
      </c>
      <c r="G3438">
        <v>602228</v>
      </c>
      <c r="H3438" s="1">
        <v>41830</v>
      </c>
      <c r="I3438" s="1">
        <v>41876</v>
      </c>
      <c r="J3438" s="1">
        <v>41876</v>
      </c>
      <c r="K3438" s="1">
        <v>41966</v>
      </c>
      <c r="N3438" s="5"/>
      <c r="O3438" s="2">
        <v>1159</v>
      </c>
      <c r="P3438">
        <v>197</v>
      </c>
      <c r="Q3438" s="2">
        <v>228323</v>
      </c>
      <c r="R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 s="1">
        <v>42382</v>
      </c>
      <c r="AC3438" t="s">
        <v>53</v>
      </c>
      <c r="AD3438" t="s">
        <v>53</v>
      </c>
      <c r="AK3438">
        <v>0</v>
      </c>
      <c r="AU3438" s="6">
        <v>42163</v>
      </c>
      <c r="AV3438" s="6">
        <v>42163</v>
      </c>
      <c r="AW3438" t="s">
        <v>54</v>
      </c>
      <c r="AX3438" t="str">
        <f t="shared" si="293"/>
        <v>FOR</v>
      </c>
      <c r="AY3438" t="s">
        <v>55</v>
      </c>
    </row>
    <row r="3439" spans="1:51" hidden="1">
      <c r="A3439">
        <v>101170</v>
      </c>
      <c r="B3439" t="s">
        <v>555</v>
      </c>
      <c r="C3439" t="str">
        <f t="shared" si="295"/>
        <v>00527500540</v>
      </c>
      <c r="D3439" t="str">
        <f t="shared" si="295"/>
        <v>00527500540</v>
      </c>
      <c r="E3439" t="s">
        <v>52</v>
      </c>
      <c r="F3439">
        <v>2014</v>
      </c>
      <c r="G3439">
        <v>602229</v>
      </c>
      <c r="H3439" s="1">
        <v>41830</v>
      </c>
      <c r="I3439" s="1">
        <v>41876</v>
      </c>
      <c r="J3439" s="1">
        <v>41876</v>
      </c>
      <c r="K3439" s="1">
        <v>41966</v>
      </c>
      <c r="N3439" s="5"/>
      <c r="O3439">
        <v>330.62</v>
      </c>
      <c r="P3439">
        <v>197</v>
      </c>
      <c r="Q3439" s="2">
        <v>65132.14</v>
      </c>
      <c r="R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 s="1">
        <v>42382</v>
      </c>
      <c r="AC3439" t="s">
        <v>53</v>
      </c>
      <c r="AD3439" t="s">
        <v>53</v>
      </c>
      <c r="AK3439">
        <v>0</v>
      </c>
      <c r="AU3439" s="6">
        <v>42163</v>
      </c>
      <c r="AV3439" s="6">
        <v>42163</v>
      </c>
      <c r="AW3439" t="s">
        <v>54</v>
      </c>
      <c r="AX3439" t="str">
        <f t="shared" si="293"/>
        <v>FOR</v>
      </c>
      <c r="AY3439" t="s">
        <v>55</v>
      </c>
    </row>
    <row r="3440" spans="1:51" hidden="1">
      <c r="A3440">
        <v>101170</v>
      </c>
      <c r="B3440" t="s">
        <v>555</v>
      </c>
      <c r="C3440" t="str">
        <f t="shared" si="295"/>
        <v>00527500540</v>
      </c>
      <c r="D3440" t="str">
        <f t="shared" si="295"/>
        <v>00527500540</v>
      </c>
      <c r="E3440" t="s">
        <v>52</v>
      </c>
      <c r="F3440">
        <v>2014</v>
      </c>
      <c r="G3440">
        <v>602230</v>
      </c>
      <c r="H3440" s="1">
        <v>41830</v>
      </c>
      <c r="I3440" s="1">
        <v>41876</v>
      </c>
      <c r="J3440" s="1">
        <v>41876</v>
      </c>
      <c r="K3440" s="1">
        <v>41966</v>
      </c>
      <c r="N3440" s="5"/>
      <c r="O3440">
        <v>283.04000000000002</v>
      </c>
      <c r="P3440">
        <v>197</v>
      </c>
      <c r="Q3440" s="2">
        <v>55758.879999999997</v>
      </c>
      <c r="R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 s="1">
        <v>42382</v>
      </c>
      <c r="AC3440" t="s">
        <v>53</v>
      </c>
      <c r="AD3440" t="s">
        <v>53</v>
      </c>
      <c r="AK3440">
        <v>0</v>
      </c>
      <c r="AU3440" s="6">
        <v>42163</v>
      </c>
      <c r="AV3440" s="6">
        <v>42163</v>
      </c>
      <c r="AW3440" t="s">
        <v>54</v>
      </c>
      <c r="AX3440" t="str">
        <f t="shared" si="293"/>
        <v>FOR</v>
      </c>
      <c r="AY3440" t="s">
        <v>55</v>
      </c>
    </row>
    <row r="3441" spans="1:51" hidden="1">
      <c r="A3441">
        <v>101170</v>
      </c>
      <c r="B3441" t="s">
        <v>555</v>
      </c>
      <c r="C3441" t="str">
        <f t="shared" si="295"/>
        <v>00527500540</v>
      </c>
      <c r="D3441" t="str">
        <f t="shared" si="295"/>
        <v>00527500540</v>
      </c>
      <c r="E3441" t="s">
        <v>52</v>
      </c>
      <c r="F3441">
        <v>2014</v>
      </c>
      <c r="G3441">
        <v>602231</v>
      </c>
      <c r="H3441" s="1">
        <v>41830</v>
      </c>
      <c r="I3441" s="1">
        <v>41876</v>
      </c>
      <c r="J3441" s="1">
        <v>41876</v>
      </c>
      <c r="K3441" s="1">
        <v>41966</v>
      </c>
      <c r="N3441" s="5"/>
      <c r="O3441" s="2">
        <v>1037</v>
      </c>
      <c r="P3441">
        <v>197</v>
      </c>
      <c r="Q3441" s="2">
        <v>204289</v>
      </c>
      <c r="R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 s="1">
        <v>42382</v>
      </c>
      <c r="AC3441" t="s">
        <v>53</v>
      </c>
      <c r="AD3441" t="s">
        <v>53</v>
      </c>
      <c r="AK3441">
        <v>0</v>
      </c>
      <c r="AU3441" s="6">
        <v>42163</v>
      </c>
      <c r="AV3441" s="6">
        <v>42163</v>
      </c>
      <c r="AW3441" t="s">
        <v>54</v>
      </c>
      <c r="AX3441" t="str">
        <f t="shared" si="293"/>
        <v>FOR</v>
      </c>
      <c r="AY3441" t="s">
        <v>55</v>
      </c>
    </row>
    <row r="3442" spans="1:51" hidden="1">
      <c r="A3442">
        <v>101170</v>
      </c>
      <c r="B3442" t="s">
        <v>555</v>
      </c>
      <c r="C3442" t="str">
        <f t="shared" si="295"/>
        <v>00527500540</v>
      </c>
      <c r="D3442" t="str">
        <f t="shared" si="295"/>
        <v>00527500540</v>
      </c>
      <c r="E3442" t="s">
        <v>52</v>
      </c>
      <c r="F3442">
        <v>2014</v>
      </c>
      <c r="G3442">
        <v>602232</v>
      </c>
      <c r="H3442" s="1">
        <v>41830</v>
      </c>
      <c r="I3442" s="1">
        <v>41876</v>
      </c>
      <c r="J3442" s="1">
        <v>41876</v>
      </c>
      <c r="K3442" s="1">
        <v>41966</v>
      </c>
      <c r="N3442" s="5"/>
      <c r="O3442">
        <v>573.4</v>
      </c>
      <c r="P3442">
        <v>197</v>
      </c>
      <c r="Q3442" s="2">
        <v>112959.8</v>
      </c>
      <c r="R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 s="1">
        <v>42382</v>
      </c>
      <c r="AC3442" t="s">
        <v>53</v>
      </c>
      <c r="AD3442" t="s">
        <v>53</v>
      </c>
      <c r="AK3442">
        <v>0</v>
      </c>
      <c r="AU3442" s="6">
        <v>42163</v>
      </c>
      <c r="AV3442" s="6">
        <v>42163</v>
      </c>
      <c r="AW3442" t="s">
        <v>54</v>
      </c>
      <c r="AX3442" t="str">
        <f t="shared" si="293"/>
        <v>FOR</v>
      </c>
      <c r="AY3442" t="s">
        <v>55</v>
      </c>
    </row>
    <row r="3443" spans="1:51" hidden="1">
      <c r="A3443">
        <v>101170</v>
      </c>
      <c r="B3443" t="s">
        <v>555</v>
      </c>
      <c r="C3443" t="str">
        <f t="shared" si="295"/>
        <v>00527500540</v>
      </c>
      <c r="D3443" t="str">
        <f t="shared" si="295"/>
        <v>00527500540</v>
      </c>
      <c r="E3443" t="s">
        <v>52</v>
      </c>
      <c r="F3443">
        <v>2014</v>
      </c>
      <c r="G3443">
        <v>602233</v>
      </c>
      <c r="H3443" s="1">
        <v>41830</v>
      </c>
      <c r="I3443" s="1">
        <v>41876</v>
      </c>
      <c r="J3443" s="1">
        <v>41876</v>
      </c>
      <c r="K3443" s="1">
        <v>41966</v>
      </c>
      <c r="N3443" s="5"/>
      <c r="O3443">
        <v>174.46</v>
      </c>
      <c r="P3443">
        <v>197</v>
      </c>
      <c r="Q3443" s="2">
        <v>34368.620000000003</v>
      </c>
      <c r="R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 s="1">
        <v>42382</v>
      </c>
      <c r="AC3443" t="s">
        <v>53</v>
      </c>
      <c r="AD3443" t="s">
        <v>53</v>
      </c>
      <c r="AK3443">
        <v>0</v>
      </c>
      <c r="AU3443" s="6">
        <v>42163</v>
      </c>
      <c r="AV3443" s="6">
        <v>42163</v>
      </c>
      <c r="AW3443" t="s">
        <v>54</v>
      </c>
      <c r="AX3443" t="str">
        <f t="shared" si="293"/>
        <v>FOR</v>
      </c>
      <c r="AY3443" t="s">
        <v>55</v>
      </c>
    </row>
    <row r="3444" spans="1:51" hidden="1">
      <c r="A3444">
        <v>101170</v>
      </c>
      <c r="B3444" t="s">
        <v>555</v>
      </c>
      <c r="C3444" t="str">
        <f t="shared" si="295"/>
        <v>00527500540</v>
      </c>
      <c r="D3444" t="str">
        <f t="shared" si="295"/>
        <v>00527500540</v>
      </c>
      <c r="E3444" t="s">
        <v>52</v>
      </c>
      <c r="F3444">
        <v>2014</v>
      </c>
      <c r="G3444">
        <v>602234</v>
      </c>
      <c r="H3444" s="1">
        <v>41830</v>
      </c>
      <c r="I3444" s="1">
        <v>41876</v>
      </c>
      <c r="J3444" s="1">
        <v>41876</v>
      </c>
      <c r="K3444" s="1">
        <v>41966</v>
      </c>
      <c r="N3444" s="5"/>
      <c r="O3444">
        <v>122</v>
      </c>
      <c r="P3444">
        <v>197</v>
      </c>
      <c r="Q3444" s="2">
        <v>24034</v>
      </c>
      <c r="R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 s="1">
        <v>42382</v>
      </c>
      <c r="AC3444" t="s">
        <v>53</v>
      </c>
      <c r="AD3444" t="s">
        <v>53</v>
      </c>
      <c r="AK3444">
        <v>0</v>
      </c>
      <c r="AU3444" s="6">
        <v>42163</v>
      </c>
      <c r="AV3444" s="6">
        <v>42163</v>
      </c>
      <c r="AW3444" t="s">
        <v>54</v>
      </c>
      <c r="AX3444" t="str">
        <f t="shared" si="293"/>
        <v>FOR</v>
      </c>
      <c r="AY3444" t="s">
        <v>55</v>
      </c>
    </row>
    <row r="3445" spans="1:51" hidden="1">
      <c r="A3445">
        <v>101170</v>
      </c>
      <c r="B3445" t="s">
        <v>555</v>
      </c>
      <c r="C3445" t="str">
        <f t="shared" si="295"/>
        <v>00527500540</v>
      </c>
      <c r="D3445" t="str">
        <f t="shared" si="295"/>
        <v>00527500540</v>
      </c>
      <c r="E3445" t="s">
        <v>52</v>
      </c>
      <c r="F3445">
        <v>2014</v>
      </c>
      <c r="G3445">
        <v>602235</v>
      </c>
      <c r="H3445" s="1">
        <v>41830</v>
      </c>
      <c r="I3445" s="1">
        <v>41876</v>
      </c>
      <c r="J3445" s="1">
        <v>41876</v>
      </c>
      <c r="K3445" s="1">
        <v>41966</v>
      </c>
      <c r="N3445" s="5"/>
      <c r="O3445">
        <v>976</v>
      </c>
      <c r="P3445">
        <v>197</v>
      </c>
      <c r="Q3445" s="2">
        <v>192272</v>
      </c>
      <c r="R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 s="1">
        <v>42382</v>
      </c>
      <c r="AC3445" t="s">
        <v>53</v>
      </c>
      <c r="AD3445" t="s">
        <v>53</v>
      </c>
      <c r="AK3445">
        <v>0</v>
      </c>
      <c r="AU3445" s="6">
        <v>42163</v>
      </c>
      <c r="AV3445" s="6">
        <v>42163</v>
      </c>
      <c r="AW3445" t="s">
        <v>54</v>
      </c>
      <c r="AX3445" t="str">
        <f t="shared" si="293"/>
        <v>FOR</v>
      </c>
      <c r="AY3445" t="s">
        <v>55</v>
      </c>
    </row>
    <row r="3446" spans="1:51" hidden="1">
      <c r="A3446">
        <v>101170</v>
      </c>
      <c r="B3446" t="s">
        <v>555</v>
      </c>
      <c r="C3446" t="str">
        <f t="shared" si="295"/>
        <v>00527500540</v>
      </c>
      <c r="D3446" t="str">
        <f t="shared" si="295"/>
        <v>00527500540</v>
      </c>
      <c r="E3446" t="s">
        <v>52</v>
      </c>
      <c r="F3446">
        <v>2014</v>
      </c>
      <c r="G3446">
        <v>602236</v>
      </c>
      <c r="H3446" s="1">
        <v>41830</v>
      </c>
      <c r="I3446" s="1">
        <v>41876</v>
      </c>
      <c r="J3446" s="1">
        <v>41876</v>
      </c>
      <c r="K3446" s="1">
        <v>41966</v>
      </c>
      <c r="N3446" s="5"/>
      <c r="O3446">
        <v>311.10000000000002</v>
      </c>
      <c r="P3446">
        <v>197</v>
      </c>
      <c r="Q3446" s="2">
        <v>61286.7</v>
      </c>
      <c r="R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 s="1">
        <v>42382</v>
      </c>
      <c r="AC3446" t="s">
        <v>53</v>
      </c>
      <c r="AD3446" t="s">
        <v>53</v>
      </c>
      <c r="AK3446">
        <v>0</v>
      </c>
      <c r="AU3446" s="6">
        <v>42163</v>
      </c>
      <c r="AV3446" s="6">
        <v>42163</v>
      </c>
      <c r="AW3446" t="s">
        <v>54</v>
      </c>
      <c r="AX3446" t="str">
        <f t="shared" si="293"/>
        <v>FOR</v>
      </c>
      <c r="AY3446" t="s">
        <v>55</v>
      </c>
    </row>
    <row r="3447" spans="1:51" hidden="1">
      <c r="A3447">
        <v>101170</v>
      </c>
      <c r="B3447" t="s">
        <v>555</v>
      </c>
      <c r="C3447" t="str">
        <f t="shared" si="295"/>
        <v>00527500540</v>
      </c>
      <c r="D3447" t="str">
        <f t="shared" si="295"/>
        <v>00527500540</v>
      </c>
      <c r="E3447" t="s">
        <v>52</v>
      </c>
      <c r="F3447">
        <v>2014</v>
      </c>
      <c r="G3447">
        <v>602237</v>
      </c>
      <c r="H3447" s="1">
        <v>41830</v>
      </c>
      <c r="I3447" s="1">
        <v>41876</v>
      </c>
      <c r="J3447" s="1">
        <v>41876</v>
      </c>
      <c r="K3447" s="1">
        <v>41966</v>
      </c>
      <c r="N3447" s="5"/>
      <c r="O3447">
        <v>387.96</v>
      </c>
      <c r="P3447">
        <v>197</v>
      </c>
      <c r="Q3447" s="2">
        <v>76428.12</v>
      </c>
      <c r="R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 s="1">
        <v>42382</v>
      </c>
      <c r="AC3447" t="s">
        <v>53</v>
      </c>
      <c r="AD3447" t="s">
        <v>53</v>
      </c>
      <c r="AK3447">
        <v>0</v>
      </c>
      <c r="AU3447" s="6">
        <v>42163</v>
      </c>
      <c r="AV3447" s="6">
        <v>42163</v>
      </c>
      <c r="AW3447" t="s">
        <v>54</v>
      </c>
      <c r="AX3447" t="str">
        <f t="shared" si="293"/>
        <v>FOR</v>
      </c>
      <c r="AY3447" t="s">
        <v>55</v>
      </c>
    </row>
    <row r="3448" spans="1:51" hidden="1">
      <c r="A3448">
        <v>101170</v>
      </c>
      <c r="B3448" t="s">
        <v>555</v>
      </c>
      <c r="C3448" t="str">
        <f t="shared" ref="C3448:D3467" si="296">"00527500540"</f>
        <v>00527500540</v>
      </c>
      <c r="D3448" t="str">
        <f t="shared" si="296"/>
        <v>00527500540</v>
      </c>
      <c r="E3448" t="s">
        <v>52</v>
      </c>
      <c r="F3448">
        <v>2014</v>
      </c>
      <c r="G3448">
        <v>602238</v>
      </c>
      <c r="H3448" s="1">
        <v>41830</v>
      </c>
      <c r="I3448" s="1">
        <v>41876</v>
      </c>
      <c r="J3448" s="1">
        <v>41876</v>
      </c>
      <c r="K3448" s="1">
        <v>41966</v>
      </c>
      <c r="N3448" s="5"/>
      <c r="O3448">
        <v>201.3</v>
      </c>
      <c r="P3448">
        <v>197</v>
      </c>
      <c r="Q3448" s="2">
        <v>39656.1</v>
      </c>
      <c r="R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 s="1">
        <v>42382</v>
      </c>
      <c r="AC3448" t="s">
        <v>53</v>
      </c>
      <c r="AD3448" t="s">
        <v>53</v>
      </c>
      <c r="AK3448">
        <v>0</v>
      </c>
      <c r="AU3448" s="6">
        <v>42163</v>
      </c>
      <c r="AV3448" s="6">
        <v>42163</v>
      </c>
      <c r="AW3448" t="s">
        <v>54</v>
      </c>
      <c r="AX3448" t="str">
        <f t="shared" si="293"/>
        <v>FOR</v>
      </c>
      <c r="AY3448" t="s">
        <v>55</v>
      </c>
    </row>
    <row r="3449" spans="1:51" hidden="1">
      <c r="A3449">
        <v>101170</v>
      </c>
      <c r="B3449" t="s">
        <v>555</v>
      </c>
      <c r="C3449" t="str">
        <f t="shared" si="296"/>
        <v>00527500540</v>
      </c>
      <c r="D3449" t="str">
        <f t="shared" si="296"/>
        <v>00527500540</v>
      </c>
      <c r="E3449" t="s">
        <v>52</v>
      </c>
      <c r="F3449">
        <v>2014</v>
      </c>
      <c r="G3449">
        <v>602239</v>
      </c>
      <c r="H3449" s="1">
        <v>41830</v>
      </c>
      <c r="I3449" s="1">
        <v>41876</v>
      </c>
      <c r="J3449" s="1">
        <v>41876</v>
      </c>
      <c r="K3449" s="1">
        <v>41966</v>
      </c>
      <c r="N3449" s="5"/>
      <c r="O3449">
        <v>854</v>
      </c>
      <c r="P3449">
        <v>197</v>
      </c>
      <c r="Q3449" s="2">
        <v>168238</v>
      </c>
      <c r="R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 s="1">
        <v>42382</v>
      </c>
      <c r="AC3449" t="s">
        <v>53</v>
      </c>
      <c r="AD3449" t="s">
        <v>53</v>
      </c>
      <c r="AK3449">
        <v>0</v>
      </c>
      <c r="AU3449" s="6">
        <v>42163</v>
      </c>
      <c r="AV3449" s="6">
        <v>42163</v>
      </c>
      <c r="AW3449" t="s">
        <v>54</v>
      </c>
      <c r="AX3449" t="str">
        <f t="shared" si="293"/>
        <v>FOR</v>
      </c>
      <c r="AY3449" t="s">
        <v>55</v>
      </c>
    </row>
    <row r="3450" spans="1:51" hidden="1">
      <c r="A3450">
        <v>101170</v>
      </c>
      <c r="B3450" t="s">
        <v>555</v>
      </c>
      <c r="C3450" t="str">
        <f t="shared" si="296"/>
        <v>00527500540</v>
      </c>
      <c r="D3450" t="str">
        <f t="shared" si="296"/>
        <v>00527500540</v>
      </c>
      <c r="E3450" t="s">
        <v>52</v>
      </c>
      <c r="F3450">
        <v>2014</v>
      </c>
      <c r="G3450">
        <v>602240</v>
      </c>
      <c r="H3450" s="1">
        <v>41830</v>
      </c>
      <c r="I3450" s="1">
        <v>41876</v>
      </c>
      <c r="J3450" s="1">
        <v>41876</v>
      </c>
      <c r="K3450" s="1">
        <v>41966</v>
      </c>
      <c r="N3450" s="5"/>
      <c r="O3450">
        <v>305</v>
      </c>
      <c r="P3450">
        <v>197</v>
      </c>
      <c r="Q3450" s="2">
        <v>60085</v>
      </c>
      <c r="R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 s="1">
        <v>42382</v>
      </c>
      <c r="AC3450" t="s">
        <v>53</v>
      </c>
      <c r="AD3450" t="s">
        <v>53</v>
      </c>
      <c r="AK3450">
        <v>0</v>
      </c>
      <c r="AU3450" s="6">
        <v>42163</v>
      </c>
      <c r="AV3450" s="6">
        <v>42163</v>
      </c>
      <c r="AW3450" t="s">
        <v>54</v>
      </c>
      <c r="AX3450" t="str">
        <f t="shared" si="293"/>
        <v>FOR</v>
      </c>
      <c r="AY3450" t="s">
        <v>55</v>
      </c>
    </row>
    <row r="3451" spans="1:51" hidden="1">
      <c r="A3451">
        <v>101170</v>
      </c>
      <c r="B3451" t="s">
        <v>555</v>
      </c>
      <c r="C3451" t="str">
        <f t="shared" si="296"/>
        <v>00527500540</v>
      </c>
      <c r="D3451" t="str">
        <f t="shared" si="296"/>
        <v>00527500540</v>
      </c>
      <c r="E3451" t="s">
        <v>52</v>
      </c>
      <c r="F3451">
        <v>2014</v>
      </c>
      <c r="G3451">
        <v>602725</v>
      </c>
      <c r="H3451" s="1">
        <v>41877</v>
      </c>
      <c r="I3451" s="1">
        <v>41893</v>
      </c>
      <c r="J3451" s="1">
        <v>41893</v>
      </c>
      <c r="K3451" s="1">
        <v>41983</v>
      </c>
      <c r="N3451" s="5"/>
      <c r="O3451" s="2">
        <v>5124</v>
      </c>
      <c r="P3451">
        <v>205</v>
      </c>
      <c r="Q3451" s="2">
        <v>1050420</v>
      </c>
      <c r="R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 s="1">
        <v>42382</v>
      </c>
      <c r="AC3451" t="s">
        <v>53</v>
      </c>
      <c r="AD3451" t="s">
        <v>53</v>
      </c>
      <c r="AK3451">
        <v>0</v>
      </c>
      <c r="AU3451" s="6">
        <v>42188</v>
      </c>
      <c r="AV3451" s="6">
        <v>42188</v>
      </c>
      <c r="AW3451" t="s">
        <v>54</v>
      </c>
      <c r="AX3451" t="str">
        <f t="shared" si="293"/>
        <v>FOR</v>
      </c>
      <c r="AY3451" t="s">
        <v>55</v>
      </c>
    </row>
    <row r="3452" spans="1:51" hidden="1">
      <c r="A3452">
        <v>101170</v>
      </c>
      <c r="B3452" t="s">
        <v>555</v>
      </c>
      <c r="C3452" t="str">
        <f t="shared" si="296"/>
        <v>00527500540</v>
      </c>
      <c r="D3452" t="str">
        <f t="shared" si="296"/>
        <v>00527500540</v>
      </c>
      <c r="E3452" t="s">
        <v>52</v>
      </c>
      <c r="F3452">
        <v>2014</v>
      </c>
      <c r="G3452">
        <v>602726</v>
      </c>
      <c r="H3452" s="1">
        <v>41877</v>
      </c>
      <c r="I3452" s="1">
        <v>41893</v>
      </c>
      <c r="J3452" s="1">
        <v>41893</v>
      </c>
      <c r="K3452" s="1">
        <v>41983</v>
      </c>
      <c r="N3452" s="5"/>
      <c r="O3452" s="2">
        <v>5124</v>
      </c>
      <c r="P3452">
        <v>205</v>
      </c>
      <c r="Q3452" s="2">
        <v>1050420</v>
      </c>
      <c r="R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 s="1">
        <v>42382</v>
      </c>
      <c r="AC3452" t="s">
        <v>53</v>
      </c>
      <c r="AD3452" t="s">
        <v>53</v>
      </c>
      <c r="AK3452">
        <v>0</v>
      </c>
      <c r="AU3452" s="6">
        <v>42188</v>
      </c>
      <c r="AV3452" s="6">
        <v>42188</v>
      </c>
      <c r="AW3452" t="s">
        <v>54</v>
      </c>
      <c r="AX3452" t="str">
        <f t="shared" si="293"/>
        <v>FOR</v>
      </c>
      <c r="AY3452" t="s">
        <v>55</v>
      </c>
    </row>
    <row r="3453" spans="1:51" hidden="1">
      <c r="A3453">
        <v>101170</v>
      </c>
      <c r="B3453" t="s">
        <v>555</v>
      </c>
      <c r="C3453" t="str">
        <f t="shared" si="296"/>
        <v>00527500540</v>
      </c>
      <c r="D3453" t="str">
        <f t="shared" si="296"/>
        <v>00527500540</v>
      </c>
      <c r="E3453" t="s">
        <v>52</v>
      </c>
      <c r="F3453">
        <v>2014</v>
      </c>
      <c r="G3453">
        <v>602727</v>
      </c>
      <c r="H3453" s="1">
        <v>41877</v>
      </c>
      <c r="I3453" s="1">
        <v>41893</v>
      </c>
      <c r="J3453" s="1">
        <v>41893</v>
      </c>
      <c r="K3453" s="1">
        <v>41983</v>
      </c>
      <c r="N3453" s="5"/>
      <c r="O3453">
        <v>472.14</v>
      </c>
      <c r="P3453">
        <v>205</v>
      </c>
      <c r="Q3453" s="2">
        <v>96788.7</v>
      </c>
      <c r="R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 s="1">
        <v>42382</v>
      </c>
      <c r="AC3453" t="s">
        <v>53</v>
      </c>
      <c r="AD3453" t="s">
        <v>53</v>
      </c>
      <c r="AK3453">
        <v>0</v>
      </c>
      <c r="AU3453" s="6">
        <v>42188</v>
      </c>
      <c r="AV3453" s="6">
        <v>42188</v>
      </c>
      <c r="AW3453" t="s">
        <v>54</v>
      </c>
      <c r="AX3453" t="str">
        <f t="shared" si="293"/>
        <v>FOR</v>
      </c>
      <c r="AY3453" t="s">
        <v>55</v>
      </c>
    </row>
    <row r="3454" spans="1:51" hidden="1">
      <c r="A3454">
        <v>101170</v>
      </c>
      <c r="B3454" t="s">
        <v>555</v>
      </c>
      <c r="C3454" t="str">
        <f t="shared" si="296"/>
        <v>00527500540</v>
      </c>
      <c r="D3454" t="str">
        <f t="shared" si="296"/>
        <v>00527500540</v>
      </c>
      <c r="E3454" t="s">
        <v>52</v>
      </c>
      <c r="F3454">
        <v>2014</v>
      </c>
      <c r="G3454">
        <v>602728</v>
      </c>
      <c r="H3454" s="1">
        <v>41877</v>
      </c>
      <c r="I3454" s="1">
        <v>41893</v>
      </c>
      <c r="J3454" s="1">
        <v>41893</v>
      </c>
      <c r="K3454" s="1">
        <v>41983</v>
      </c>
      <c r="N3454" s="5"/>
      <c r="O3454" s="2">
        <v>1110.2</v>
      </c>
      <c r="P3454">
        <v>205</v>
      </c>
      <c r="Q3454" s="2">
        <v>227591</v>
      </c>
      <c r="R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 s="1">
        <v>42382</v>
      </c>
      <c r="AC3454" t="s">
        <v>53</v>
      </c>
      <c r="AD3454" t="s">
        <v>53</v>
      </c>
      <c r="AK3454">
        <v>0</v>
      </c>
      <c r="AU3454" s="6">
        <v>42188</v>
      </c>
      <c r="AV3454" s="6">
        <v>42188</v>
      </c>
      <c r="AW3454" t="s">
        <v>54</v>
      </c>
      <c r="AX3454" t="str">
        <f t="shared" si="293"/>
        <v>FOR</v>
      </c>
      <c r="AY3454" t="s">
        <v>55</v>
      </c>
    </row>
    <row r="3455" spans="1:51" hidden="1">
      <c r="A3455">
        <v>101170</v>
      </c>
      <c r="B3455" t="s">
        <v>555</v>
      </c>
      <c r="C3455" t="str">
        <f t="shared" si="296"/>
        <v>00527500540</v>
      </c>
      <c r="D3455" t="str">
        <f t="shared" si="296"/>
        <v>00527500540</v>
      </c>
      <c r="E3455" t="s">
        <v>52</v>
      </c>
      <c r="F3455">
        <v>2014</v>
      </c>
      <c r="G3455">
        <v>602729</v>
      </c>
      <c r="H3455" s="1">
        <v>41877</v>
      </c>
      <c r="I3455" s="1">
        <v>41893</v>
      </c>
      <c r="J3455" s="1">
        <v>41893</v>
      </c>
      <c r="K3455" s="1">
        <v>41983</v>
      </c>
      <c r="N3455" s="5"/>
      <c r="O3455" s="2">
        <v>5124</v>
      </c>
      <c r="P3455">
        <v>205</v>
      </c>
      <c r="Q3455" s="2">
        <v>1050420</v>
      </c>
      <c r="R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 s="1">
        <v>42382</v>
      </c>
      <c r="AC3455" t="s">
        <v>53</v>
      </c>
      <c r="AD3455" t="s">
        <v>53</v>
      </c>
      <c r="AK3455">
        <v>0</v>
      </c>
      <c r="AU3455" s="6">
        <v>42188</v>
      </c>
      <c r="AV3455" s="6">
        <v>42188</v>
      </c>
      <c r="AW3455" t="s">
        <v>54</v>
      </c>
      <c r="AX3455" t="str">
        <f t="shared" si="293"/>
        <v>FOR</v>
      </c>
      <c r="AY3455" t="s">
        <v>55</v>
      </c>
    </row>
    <row r="3456" spans="1:51" hidden="1">
      <c r="A3456">
        <v>101170</v>
      </c>
      <c r="B3456" t="s">
        <v>555</v>
      </c>
      <c r="C3456" t="str">
        <f t="shared" si="296"/>
        <v>00527500540</v>
      </c>
      <c r="D3456" t="str">
        <f t="shared" si="296"/>
        <v>00527500540</v>
      </c>
      <c r="E3456" t="s">
        <v>52</v>
      </c>
      <c r="F3456">
        <v>2014</v>
      </c>
      <c r="G3456">
        <v>602730</v>
      </c>
      <c r="H3456" s="1">
        <v>41877</v>
      </c>
      <c r="I3456" s="1">
        <v>41893</v>
      </c>
      <c r="J3456" s="1">
        <v>41893</v>
      </c>
      <c r="K3456" s="1">
        <v>41983</v>
      </c>
      <c r="N3456" s="5"/>
      <c r="O3456">
        <v>524.6</v>
      </c>
      <c r="P3456">
        <v>205</v>
      </c>
      <c r="Q3456" s="2">
        <v>107543</v>
      </c>
      <c r="R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 s="1">
        <v>42382</v>
      </c>
      <c r="AC3456" t="s">
        <v>53</v>
      </c>
      <c r="AD3456" t="s">
        <v>53</v>
      </c>
      <c r="AK3456">
        <v>0</v>
      </c>
      <c r="AU3456" s="6">
        <v>42188</v>
      </c>
      <c r="AV3456" s="6">
        <v>42188</v>
      </c>
      <c r="AW3456" t="s">
        <v>54</v>
      </c>
      <c r="AX3456" t="str">
        <f t="shared" si="293"/>
        <v>FOR</v>
      </c>
      <c r="AY3456" t="s">
        <v>55</v>
      </c>
    </row>
    <row r="3457" spans="1:51" hidden="1">
      <c r="A3457">
        <v>101170</v>
      </c>
      <c r="B3457" t="s">
        <v>555</v>
      </c>
      <c r="C3457" t="str">
        <f t="shared" si="296"/>
        <v>00527500540</v>
      </c>
      <c r="D3457" t="str">
        <f t="shared" si="296"/>
        <v>00527500540</v>
      </c>
      <c r="E3457" t="s">
        <v>52</v>
      </c>
      <c r="F3457">
        <v>2014</v>
      </c>
      <c r="G3457">
        <v>602731</v>
      </c>
      <c r="H3457" s="1">
        <v>41877</v>
      </c>
      <c r="I3457" s="1">
        <v>41893</v>
      </c>
      <c r="J3457" s="1">
        <v>41893</v>
      </c>
      <c r="K3457" s="1">
        <v>41983</v>
      </c>
      <c r="N3457" s="5"/>
      <c r="O3457" s="2">
        <v>1083.3800000000001</v>
      </c>
      <c r="P3457">
        <v>205</v>
      </c>
      <c r="Q3457" s="2">
        <v>222092.9</v>
      </c>
      <c r="R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 s="1">
        <v>42382</v>
      </c>
      <c r="AC3457" t="s">
        <v>53</v>
      </c>
      <c r="AD3457" t="s">
        <v>53</v>
      </c>
      <c r="AK3457">
        <v>0</v>
      </c>
      <c r="AU3457" s="6">
        <v>42188</v>
      </c>
      <c r="AV3457" s="6">
        <v>42188</v>
      </c>
      <c r="AW3457" t="s">
        <v>54</v>
      </c>
      <c r="AX3457" t="str">
        <f t="shared" si="293"/>
        <v>FOR</v>
      </c>
      <c r="AY3457" t="s">
        <v>55</v>
      </c>
    </row>
    <row r="3458" spans="1:51" hidden="1">
      <c r="A3458">
        <v>101170</v>
      </c>
      <c r="B3458" t="s">
        <v>555</v>
      </c>
      <c r="C3458" t="str">
        <f t="shared" si="296"/>
        <v>00527500540</v>
      </c>
      <c r="D3458" t="str">
        <f t="shared" si="296"/>
        <v>00527500540</v>
      </c>
      <c r="E3458" t="s">
        <v>52</v>
      </c>
      <c r="F3458">
        <v>2014</v>
      </c>
      <c r="G3458">
        <v>602732</v>
      </c>
      <c r="H3458" s="1">
        <v>41877</v>
      </c>
      <c r="I3458" s="1">
        <v>41893</v>
      </c>
      <c r="J3458" s="1">
        <v>41893</v>
      </c>
      <c r="K3458" s="1">
        <v>41983</v>
      </c>
      <c r="N3458" s="5"/>
      <c r="O3458">
        <v>573.4</v>
      </c>
      <c r="P3458">
        <v>205</v>
      </c>
      <c r="Q3458" s="2">
        <v>117547</v>
      </c>
      <c r="R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 s="1">
        <v>42382</v>
      </c>
      <c r="AC3458" t="s">
        <v>53</v>
      </c>
      <c r="AD3458" t="s">
        <v>53</v>
      </c>
      <c r="AK3458">
        <v>0</v>
      </c>
      <c r="AU3458" s="6">
        <v>42188</v>
      </c>
      <c r="AV3458" s="6">
        <v>42188</v>
      </c>
      <c r="AW3458" t="s">
        <v>54</v>
      </c>
      <c r="AX3458" t="str">
        <f t="shared" si="293"/>
        <v>FOR</v>
      </c>
      <c r="AY3458" t="s">
        <v>55</v>
      </c>
    </row>
    <row r="3459" spans="1:51" hidden="1">
      <c r="A3459">
        <v>101170</v>
      </c>
      <c r="B3459" t="s">
        <v>555</v>
      </c>
      <c r="C3459" t="str">
        <f t="shared" si="296"/>
        <v>00527500540</v>
      </c>
      <c r="D3459" t="str">
        <f t="shared" si="296"/>
        <v>00527500540</v>
      </c>
      <c r="E3459" t="s">
        <v>52</v>
      </c>
      <c r="F3459">
        <v>2014</v>
      </c>
      <c r="G3459">
        <v>602733</v>
      </c>
      <c r="H3459" s="1">
        <v>41877</v>
      </c>
      <c r="I3459" s="1">
        <v>41893</v>
      </c>
      <c r="J3459" s="1">
        <v>41893</v>
      </c>
      <c r="K3459" s="1">
        <v>41983</v>
      </c>
      <c r="N3459" s="5"/>
      <c r="O3459">
        <v>174.46</v>
      </c>
      <c r="P3459">
        <v>205</v>
      </c>
      <c r="Q3459" s="2">
        <v>35764.300000000003</v>
      </c>
      <c r="R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 s="1">
        <v>42382</v>
      </c>
      <c r="AC3459" t="s">
        <v>53</v>
      </c>
      <c r="AD3459" t="s">
        <v>53</v>
      </c>
      <c r="AK3459">
        <v>0</v>
      </c>
      <c r="AU3459" s="6">
        <v>42188</v>
      </c>
      <c r="AV3459" s="6">
        <v>42188</v>
      </c>
      <c r="AW3459" t="s">
        <v>54</v>
      </c>
      <c r="AX3459" t="str">
        <f t="shared" ref="AX3459:AX3522" si="297">"FOR"</f>
        <v>FOR</v>
      </c>
      <c r="AY3459" t="s">
        <v>55</v>
      </c>
    </row>
    <row r="3460" spans="1:51" hidden="1">
      <c r="A3460">
        <v>101170</v>
      </c>
      <c r="B3460" t="s">
        <v>555</v>
      </c>
      <c r="C3460" t="str">
        <f t="shared" si="296"/>
        <v>00527500540</v>
      </c>
      <c r="D3460" t="str">
        <f t="shared" si="296"/>
        <v>00527500540</v>
      </c>
      <c r="E3460" t="s">
        <v>52</v>
      </c>
      <c r="F3460">
        <v>2014</v>
      </c>
      <c r="G3460">
        <v>602734</v>
      </c>
      <c r="H3460" s="1">
        <v>41877</v>
      </c>
      <c r="I3460" s="1">
        <v>41893</v>
      </c>
      <c r="J3460" s="1">
        <v>41893</v>
      </c>
      <c r="K3460" s="1">
        <v>41983</v>
      </c>
      <c r="N3460" s="5"/>
      <c r="O3460" s="2">
        <v>1656.76</v>
      </c>
      <c r="P3460">
        <v>205</v>
      </c>
      <c r="Q3460" s="2">
        <v>339635.8</v>
      </c>
      <c r="R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 s="1">
        <v>42382</v>
      </c>
      <c r="AC3460" t="s">
        <v>53</v>
      </c>
      <c r="AD3460" t="s">
        <v>53</v>
      </c>
      <c r="AK3460">
        <v>0</v>
      </c>
      <c r="AU3460" s="6">
        <v>42188</v>
      </c>
      <c r="AV3460" s="6">
        <v>42188</v>
      </c>
      <c r="AW3460" t="s">
        <v>54</v>
      </c>
      <c r="AX3460" t="str">
        <f t="shared" si="297"/>
        <v>FOR</v>
      </c>
      <c r="AY3460" t="s">
        <v>55</v>
      </c>
    </row>
    <row r="3461" spans="1:51" hidden="1">
      <c r="A3461">
        <v>101170</v>
      </c>
      <c r="B3461" t="s">
        <v>555</v>
      </c>
      <c r="C3461" t="str">
        <f t="shared" si="296"/>
        <v>00527500540</v>
      </c>
      <c r="D3461" t="str">
        <f t="shared" si="296"/>
        <v>00527500540</v>
      </c>
      <c r="E3461" t="s">
        <v>52</v>
      </c>
      <c r="F3461">
        <v>2014</v>
      </c>
      <c r="G3461">
        <v>602735</v>
      </c>
      <c r="H3461" s="1">
        <v>41877</v>
      </c>
      <c r="I3461" s="1">
        <v>41893</v>
      </c>
      <c r="J3461" s="1">
        <v>41893</v>
      </c>
      <c r="K3461" s="1">
        <v>41983</v>
      </c>
      <c r="N3461" s="5"/>
      <c r="O3461" s="2">
        <v>4751.8999999999996</v>
      </c>
      <c r="P3461">
        <v>205</v>
      </c>
      <c r="Q3461" s="2">
        <v>974139.5</v>
      </c>
      <c r="R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 s="1">
        <v>42382</v>
      </c>
      <c r="AC3461" t="s">
        <v>53</v>
      </c>
      <c r="AD3461" t="s">
        <v>53</v>
      </c>
      <c r="AK3461">
        <v>0</v>
      </c>
      <c r="AU3461" s="6">
        <v>42188</v>
      </c>
      <c r="AV3461" s="6">
        <v>42188</v>
      </c>
      <c r="AW3461" t="s">
        <v>54</v>
      </c>
      <c r="AX3461" t="str">
        <f t="shared" si="297"/>
        <v>FOR</v>
      </c>
      <c r="AY3461" t="s">
        <v>55</v>
      </c>
    </row>
    <row r="3462" spans="1:51" hidden="1">
      <c r="A3462">
        <v>101170</v>
      </c>
      <c r="B3462" t="s">
        <v>555</v>
      </c>
      <c r="C3462" t="str">
        <f t="shared" si="296"/>
        <v>00527500540</v>
      </c>
      <c r="D3462" t="str">
        <f t="shared" si="296"/>
        <v>00527500540</v>
      </c>
      <c r="E3462" t="s">
        <v>52</v>
      </c>
      <c r="F3462">
        <v>2014</v>
      </c>
      <c r="G3462">
        <v>602736</v>
      </c>
      <c r="H3462" s="1">
        <v>41877</v>
      </c>
      <c r="I3462" s="1">
        <v>41893</v>
      </c>
      <c r="J3462" s="1">
        <v>41893</v>
      </c>
      <c r="K3462" s="1">
        <v>41983</v>
      </c>
      <c r="N3462" s="5"/>
      <c r="O3462">
        <v>122</v>
      </c>
      <c r="P3462">
        <v>205</v>
      </c>
      <c r="Q3462" s="2">
        <v>25010</v>
      </c>
      <c r="R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 s="1">
        <v>42382</v>
      </c>
      <c r="AC3462" t="s">
        <v>53</v>
      </c>
      <c r="AD3462" t="s">
        <v>53</v>
      </c>
      <c r="AK3462">
        <v>0</v>
      </c>
      <c r="AU3462" s="6">
        <v>42188</v>
      </c>
      <c r="AV3462" s="6">
        <v>42188</v>
      </c>
      <c r="AW3462" t="s">
        <v>54</v>
      </c>
      <c r="AX3462" t="str">
        <f t="shared" si="297"/>
        <v>FOR</v>
      </c>
      <c r="AY3462" t="s">
        <v>55</v>
      </c>
    </row>
    <row r="3463" spans="1:51" hidden="1">
      <c r="A3463">
        <v>101170</v>
      </c>
      <c r="B3463" t="s">
        <v>555</v>
      </c>
      <c r="C3463" t="str">
        <f t="shared" si="296"/>
        <v>00527500540</v>
      </c>
      <c r="D3463" t="str">
        <f t="shared" si="296"/>
        <v>00527500540</v>
      </c>
      <c r="E3463" t="s">
        <v>52</v>
      </c>
      <c r="F3463">
        <v>2014</v>
      </c>
      <c r="G3463">
        <v>602737</v>
      </c>
      <c r="H3463" s="1">
        <v>41877</v>
      </c>
      <c r="I3463" s="1">
        <v>41893</v>
      </c>
      <c r="J3463" s="1">
        <v>41893</v>
      </c>
      <c r="K3463" s="1">
        <v>41983</v>
      </c>
      <c r="N3463" s="5"/>
      <c r="O3463" s="2">
        <v>1464</v>
      </c>
      <c r="P3463">
        <v>205</v>
      </c>
      <c r="Q3463" s="2">
        <v>300120</v>
      </c>
      <c r="R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 s="1">
        <v>42382</v>
      </c>
      <c r="AC3463" t="s">
        <v>53</v>
      </c>
      <c r="AD3463" t="s">
        <v>53</v>
      </c>
      <c r="AK3463">
        <v>0</v>
      </c>
      <c r="AU3463" s="6">
        <v>42188</v>
      </c>
      <c r="AV3463" s="6">
        <v>42188</v>
      </c>
      <c r="AW3463" t="s">
        <v>54</v>
      </c>
      <c r="AX3463" t="str">
        <f t="shared" si="297"/>
        <v>FOR</v>
      </c>
      <c r="AY3463" t="s">
        <v>55</v>
      </c>
    </row>
    <row r="3464" spans="1:51" hidden="1">
      <c r="A3464">
        <v>101170</v>
      </c>
      <c r="B3464" t="s">
        <v>555</v>
      </c>
      <c r="C3464" t="str">
        <f t="shared" si="296"/>
        <v>00527500540</v>
      </c>
      <c r="D3464" t="str">
        <f t="shared" si="296"/>
        <v>00527500540</v>
      </c>
      <c r="E3464" t="s">
        <v>52</v>
      </c>
      <c r="F3464">
        <v>2014</v>
      </c>
      <c r="G3464">
        <v>602738</v>
      </c>
      <c r="H3464" s="1">
        <v>41877</v>
      </c>
      <c r="I3464" s="1">
        <v>41893</v>
      </c>
      <c r="J3464" s="1">
        <v>41893</v>
      </c>
      <c r="K3464" s="1">
        <v>41983</v>
      </c>
      <c r="N3464" s="5"/>
      <c r="O3464" s="2">
        <v>3202.5</v>
      </c>
      <c r="P3464">
        <v>205</v>
      </c>
      <c r="Q3464" s="2">
        <v>656512.5</v>
      </c>
      <c r="R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 s="1">
        <v>42382</v>
      </c>
      <c r="AC3464" t="s">
        <v>53</v>
      </c>
      <c r="AD3464" t="s">
        <v>53</v>
      </c>
      <c r="AK3464">
        <v>0</v>
      </c>
      <c r="AU3464" s="6">
        <v>42188</v>
      </c>
      <c r="AV3464" s="6">
        <v>42188</v>
      </c>
      <c r="AW3464" t="s">
        <v>54</v>
      </c>
      <c r="AX3464" t="str">
        <f t="shared" si="297"/>
        <v>FOR</v>
      </c>
      <c r="AY3464" t="s">
        <v>55</v>
      </c>
    </row>
    <row r="3465" spans="1:51" hidden="1">
      <c r="A3465">
        <v>101170</v>
      </c>
      <c r="B3465" t="s">
        <v>555</v>
      </c>
      <c r="C3465" t="str">
        <f t="shared" si="296"/>
        <v>00527500540</v>
      </c>
      <c r="D3465" t="str">
        <f t="shared" si="296"/>
        <v>00527500540</v>
      </c>
      <c r="E3465" t="s">
        <v>52</v>
      </c>
      <c r="F3465">
        <v>2014</v>
      </c>
      <c r="G3465">
        <v>602739</v>
      </c>
      <c r="H3465" s="1">
        <v>41877</v>
      </c>
      <c r="I3465" s="1">
        <v>41893</v>
      </c>
      <c r="J3465" s="1">
        <v>41893</v>
      </c>
      <c r="K3465" s="1">
        <v>41983</v>
      </c>
      <c r="N3465" s="5"/>
      <c r="O3465" s="2">
        <v>2684</v>
      </c>
      <c r="P3465">
        <v>205</v>
      </c>
      <c r="Q3465" s="2">
        <v>550220</v>
      </c>
      <c r="R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 s="1">
        <v>42382</v>
      </c>
      <c r="AC3465" t="s">
        <v>53</v>
      </c>
      <c r="AD3465" t="s">
        <v>53</v>
      </c>
      <c r="AK3465">
        <v>0</v>
      </c>
      <c r="AU3465" s="6">
        <v>42188</v>
      </c>
      <c r="AV3465" s="6">
        <v>42188</v>
      </c>
      <c r="AW3465" t="s">
        <v>54</v>
      </c>
      <c r="AX3465" t="str">
        <f t="shared" si="297"/>
        <v>FOR</v>
      </c>
      <c r="AY3465" t="s">
        <v>55</v>
      </c>
    </row>
    <row r="3466" spans="1:51" hidden="1">
      <c r="A3466">
        <v>101170</v>
      </c>
      <c r="B3466" t="s">
        <v>555</v>
      </c>
      <c r="C3466" t="str">
        <f t="shared" si="296"/>
        <v>00527500540</v>
      </c>
      <c r="D3466" t="str">
        <f t="shared" si="296"/>
        <v>00527500540</v>
      </c>
      <c r="E3466" t="s">
        <v>52</v>
      </c>
      <c r="F3466">
        <v>2014</v>
      </c>
      <c r="G3466">
        <v>603152</v>
      </c>
      <c r="H3466" s="1">
        <v>41907</v>
      </c>
      <c r="I3466" s="1">
        <v>41922</v>
      </c>
      <c r="J3466" s="1">
        <v>41922</v>
      </c>
      <c r="K3466" s="1">
        <v>42012</v>
      </c>
      <c r="N3466" s="5"/>
      <c r="O3466" s="2">
        <v>3703.37</v>
      </c>
      <c r="P3466">
        <v>236</v>
      </c>
      <c r="Q3466" s="2">
        <v>873995.32</v>
      </c>
      <c r="R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 s="1">
        <v>42382</v>
      </c>
      <c r="AC3466" t="s">
        <v>53</v>
      </c>
      <c r="AD3466" t="s">
        <v>53</v>
      </c>
      <c r="AK3466">
        <v>0</v>
      </c>
      <c r="AU3466" s="6">
        <v>42248</v>
      </c>
      <c r="AV3466" s="6">
        <v>42248</v>
      </c>
      <c r="AW3466" t="s">
        <v>54</v>
      </c>
      <c r="AX3466" t="str">
        <f t="shared" si="297"/>
        <v>FOR</v>
      </c>
      <c r="AY3466" t="s">
        <v>55</v>
      </c>
    </row>
    <row r="3467" spans="1:51" hidden="1">
      <c r="A3467">
        <v>101170</v>
      </c>
      <c r="B3467" t="s">
        <v>555</v>
      </c>
      <c r="C3467" t="str">
        <f t="shared" si="296"/>
        <v>00527500540</v>
      </c>
      <c r="D3467" t="str">
        <f t="shared" si="296"/>
        <v>00527500540</v>
      </c>
      <c r="E3467" t="s">
        <v>52</v>
      </c>
      <c r="F3467">
        <v>2014</v>
      </c>
      <c r="G3467">
        <v>603153</v>
      </c>
      <c r="H3467" s="1">
        <v>41907</v>
      </c>
      <c r="I3467" s="1">
        <v>41922</v>
      </c>
      <c r="J3467" s="1">
        <v>41922</v>
      </c>
      <c r="K3467" s="1">
        <v>42012</v>
      </c>
      <c r="N3467" s="5"/>
      <c r="O3467" s="2">
        <v>3703.37</v>
      </c>
      <c r="P3467">
        <v>236</v>
      </c>
      <c r="Q3467" s="2">
        <v>873995.32</v>
      </c>
      <c r="R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 s="1">
        <v>42382</v>
      </c>
      <c r="AC3467" t="s">
        <v>53</v>
      </c>
      <c r="AD3467" t="s">
        <v>53</v>
      </c>
      <c r="AK3467">
        <v>0</v>
      </c>
      <c r="AU3467" s="6">
        <v>42248</v>
      </c>
      <c r="AV3467" s="6">
        <v>42248</v>
      </c>
      <c r="AW3467" t="s">
        <v>54</v>
      </c>
      <c r="AX3467" t="str">
        <f t="shared" si="297"/>
        <v>FOR</v>
      </c>
      <c r="AY3467" t="s">
        <v>55</v>
      </c>
    </row>
    <row r="3468" spans="1:51" hidden="1">
      <c r="A3468">
        <v>101170</v>
      </c>
      <c r="B3468" t="s">
        <v>555</v>
      </c>
      <c r="C3468" t="str">
        <f t="shared" ref="C3468:D3487" si="298">"00527500540"</f>
        <v>00527500540</v>
      </c>
      <c r="D3468" t="str">
        <f t="shared" si="298"/>
        <v>00527500540</v>
      </c>
      <c r="E3468" t="s">
        <v>52</v>
      </c>
      <c r="F3468">
        <v>2014</v>
      </c>
      <c r="G3468">
        <v>603159</v>
      </c>
      <c r="H3468" s="1">
        <v>41907</v>
      </c>
      <c r="I3468" s="1">
        <v>41922</v>
      </c>
      <c r="J3468" s="1">
        <v>41922</v>
      </c>
      <c r="K3468" s="1">
        <v>42012</v>
      </c>
      <c r="N3468" s="5"/>
      <c r="O3468" s="2">
        <v>2635.2</v>
      </c>
      <c r="P3468">
        <v>236</v>
      </c>
      <c r="Q3468" s="2">
        <v>621907.19999999995</v>
      </c>
      <c r="R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 s="1">
        <v>42382</v>
      </c>
      <c r="AC3468" t="s">
        <v>53</v>
      </c>
      <c r="AD3468" t="s">
        <v>53</v>
      </c>
      <c r="AK3468">
        <v>0</v>
      </c>
      <c r="AU3468" s="6">
        <v>42248</v>
      </c>
      <c r="AV3468" s="6">
        <v>42248</v>
      </c>
      <c r="AW3468" t="s">
        <v>54</v>
      </c>
      <c r="AX3468" t="str">
        <f t="shared" si="297"/>
        <v>FOR</v>
      </c>
      <c r="AY3468" t="s">
        <v>55</v>
      </c>
    </row>
    <row r="3469" spans="1:51" hidden="1">
      <c r="A3469">
        <v>101170</v>
      </c>
      <c r="B3469" t="s">
        <v>555</v>
      </c>
      <c r="C3469" t="str">
        <f t="shared" si="298"/>
        <v>00527500540</v>
      </c>
      <c r="D3469" t="str">
        <f t="shared" si="298"/>
        <v>00527500540</v>
      </c>
      <c r="E3469" t="s">
        <v>52</v>
      </c>
      <c r="F3469">
        <v>2014</v>
      </c>
      <c r="G3469">
        <v>603161</v>
      </c>
      <c r="H3469" s="1">
        <v>41907</v>
      </c>
      <c r="I3469" s="1">
        <v>41922</v>
      </c>
      <c r="J3469" s="1">
        <v>41922</v>
      </c>
      <c r="K3469" s="1">
        <v>42012</v>
      </c>
      <c r="N3469" s="5"/>
      <c r="O3469" s="2">
        <v>2468.91</v>
      </c>
      <c r="P3469">
        <v>236</v>
      </c>
      <c r="Q3469" s="2">
        <v>582662.76</v>
      </c>
      <c r="R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 s="1">
        <v>42382</v>
      </c>
      <c r="AC3469" t="s">
        <v>53</v>
      </c>
      <c r="AD3469" t="s">
        <v>53</v>
      </c>
      <c r="AK3469">
        <v>0</v>
      </c>
      <c r="AU3469" s="6">
        <v>42248</v>
      </c>
      <c r="AV3469" s="6">
        <v>42248</v>
      </c>
      <c r="AW3469" t="s">
        <v>54</v>
      </c>
      <c r="AX3469" t="str">
        <f t="shared" si="297"/>
        <v>FOR</v>
      </c>
      <c r="AY3469" t="s">
        <v>55</v>
      </c>
    </row>
    <row r="3470" spans="1:51" hidden="1">
      <c r="A3470">
        <v>101170</v>
      </c>
      <c r="B3470" t="s">
        <v>555</v>
      </c>
      <c r="C3470" t="str">
        <f t="shared" si="298"/>
        <v>00527500540</v>
      </c>
      <c r="D3470" t="str">
        <f t="shared" si="298"/>
        <v>00527500540</v>
      </c>
      <c r="E3470" t="s">
        <v>52</v>
      </c>
      <c r="F3470">
        <v>2014</v>
      </c>
      <c r="G3470">
        <v>603175</v>
      </c>
      <c r="H3470" s="1">
        <v>41907</v>
      </c>
      <c r="I3470" s="1">
        <v>41922</v>
      </c>
      <c r="J3470" s="1">
        <v>41922</v>
      </c>
      <c r="K3470" s="1">
        <v>42012</v>
      </c>
      <c r="N3470" s="5"/>
      <c r="O3470" s="2">
        <v>1656.76</v>
      </c>
      <c r="P3470">
        <v>236</v>
      </c>
      <c r="Q3470" s="2">
        <v>390995.36</v>
      </c>
      <c r="R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 s="1">
        <v>42382</v>
      </c>
      <c r="AC3470" t="s">
        <v>53</v>
      </c>
      <c r="AD3470" t="s">
        <v>53</v>
      </c>
      <c r="AK3470">
        <v>0</v>
      </c>
      <c r="AU3470" s="6">
        <v>42248</v>
      </c>
      <c r="AV3470" s="6">
        <v>42248</v>
      </c>
      <c r="AW3470" t="s">
        <v>54</v>
      </c>
      <c r="AX3470" t="str">
        <f t="shared" si="297"/>
        <v>FOR</v>
      </c>
      <c r="AY3470" t="s">
        <v>55</v>
      </c>
    </row>
    <row r="3471" spans="1:51" hidden="1">
      <c r="A3471">
        <v>101170</v>
      </c>
      <c r="B3471" t="s">
        <v>555</v>
      </c>
      <c r="C3471" t="str">
        <f t="shared" si="298"/>
        <v>00527500540</v>
      </c>
      <c r="D3471" t="str">
        <f t="shared" si="298"/>
        <v>00527500540</v>
      </c>
      <c r="E3471" t="s">
        <v>52</v>
      </c>
      <c r="F3471">
        <v>2014</v>
      </c>
      <c r="G3471">
        <v>603176</v>
      </c>
      <c r="H3471" s="1">
        <v>41907</v>
      </c>
      <c r="I3471" s="1">
        <v>41922</v>
      </c>
      <c r="J3471" s="1">
        <v>41922</v>
      </c>
      <c r="K3471" s="1">
        <v>42012</v>
      </c>
      <c r="N3471" s="5"/>
      <c r="O3471" s="2">
        <v>1621.38</v>
      </c>
      <c r="P3471">
        <v>236</v>
      </c>
      <c r="Q3471" s="2">
        <v>382645.68</v>
      </c>
      <c r="R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 s="1">
        <v>42382</v>
      </c>
      <c r="AC3471" t="s">
        <v>53</v>
      </c>
      <c r="AD3471" t="s">
        <v>53</v>
      </c>
      <c r="AK3471">
        <v>0</v>
      </c>
      <c r="AU3471" s="6">
        <v>42248</v>
      </c>
      <c r="AV3471" s="6">
        <v>42248</v>
      </c>
      <c r="AW3471" t="s">
        <v>54</v>
      </c>
      <c r="AX3471" t="str">
        <f t="shared" si="297"/>
        <v>FOR</v>
      </c>
      <c r="AY3471" t="s">
        <v>55</v>
      </c>
    </row>
    <row r="3472" spans="1:51" hidden="1">
      <c r="A3472">
        <v>101170</v>
      </c>
      <c r="B3472" t="s">
        <v>555</v>
      </c>
      <c r="C3472" t="str">
        <f t="shared" si="298"/>
        <v>00527500540</v>
      </c>
      <c r="D3472" t="str">
        <f t="shared" si="298"/>
        <v>00527500540</v>
      </c>
      <c r="E3472" t="s">
        <v>52</v>
      </c>
      <c r="F3472">
        <v>2014</v>
      </c>
      <c r="G3472">
        <v>603179</v>
      </c>
      <c r="H3472" s="1">
        <v>41907</v>
      </c>
      <c r="I3472" s="1">
        <v>41922</v>
      </c>
      <c r="J3472" s="1">
        <v>41922</v>
      </c>
      <c r="K3472" s="1">
        <v>42012</v>
      </c>
      <c r="N3472" s="5"/>
      <c r="O3472" s="2">
        <v>1256.5999999999999</v>
      </c>
      <c r="P3472">
        <v>236</v>
      </c>
      <c r="Q3472" s="2">
        <v>296557.59999999998</v>
      </c>
      <c r="R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 s="1">
        <v>42382</v>
      </c>
      <c r="AC3472" t="s">
        <v>53</v>
      </c>
      <c r="AD3472" t="s">
        <v>53</v>
      </c>
      <c r="AK3472">
        <v>0</v>
      </c>
      <c r="AU3472" s="6">
        <v>42248</v>
      </c>
      <c r="AV3472" s="6">
        <v>42248</v>
      </c>
      <c r="AW3472" t="s">
        <v>54</v>
      </c>
      <c r="AX3472" t="str">
        <f t="shared" si="297"/>
        <v>FOR</v>
      </c>
      <c r="AY3472" t="s">
        <v>55</v>
      </c>
    </row>
    <row r="3473" spans="1:51" hidden="1">
      <c r="A3473">
        <v>101170</v>
      </c>
      <c r="B3473" t="s">
        <v>555</v>
      </c>
      <c r="C3473" t="str">
        <f t="shared" si="298"/>
        <v>00527500540</v>
      </c>
      <c r="D3473" t="str">
        <f t="shared" si="298"/>
        <v>00527500540</v>
      </c>
      <c r="E3473" t="s">
        <v>52</v>
      </c>
      <c r="F3473">
        <v>2014</v>
      </c>
      <c r="G3473">
        <v>603194</v>
      </c>
      <c r="H3473" s="1">
        <v>41908</v>
      </c>
      <c r="I3473" s="1">
        <v>41922</v>
      </c>
      <c r="J3473" s="1">
        <v>41922</v>
      </c>
      <c r="K3473" s="1">
        <v>42012</v>
      </c>
      <c r="N3473" s="5"/>
      <c r="O3473">
        <v>817.4</v>
      </c>
      <c r="P3473">
        <v>236</v>
      </c>
      <c r="Q3473" s="2">
        <v>192906.4</v>
      </c>
      <c r="R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 s="1">
        <v>42382</v>
      </c>
      <c r="AC3473" t="s">
        <v>53</v>
      </c>
      <c r="AD3473" t="s">
        <v>53</v>
      </c>
      <c r="AK3473">
        <v>0</v>
      </c>
      <c r="AU3473" s="6">
        <v>42248</v>
      </c>
      <c r="AV3473" s="6">
        <v>42248</v>
      </c>
      <c r="AW3473" t="s">
        <v>54</v>
      </c>
      <c r="AX3473" t="str">
        <f t="shared" si="297"/>
        <v>FOR</v>
      </c>
      <c r="AY3473" t="s">
        <v>55</v>
      </c>
    </row>
    <row r="3474" spans="1:51" hidden="1">
      <c r="A3474">
        <v>101170</v>
      </c>
      <c r="B3474" t="s">
        <v>555</v>
      </c>
      <c r="C3474" t="str">
        <f t="shared" si="298"/>
        <v>00527500540</v>
      </c>
      <c r="D3474" t="str">
        <f t="shared" si="298"/>
        <v>00527500540</v>
      </c>
      <c r="E3474" t="s">
        <v>52</v>
      </c>
      <c r="F3474">
        <v>2014</v>
      </c>
      <c r="G3474">
        <v>603196</v>
      </c>
      <c r="H3474" s="1">
        <v>41908</v>
      </c>
      <c r="I3474" s="1">
        <v>41922</v>
      </c>
      <c r="J3474" s="1">
        <v>41922</v>
      </c>
      <c r="K3474" s="1">
        <v>42012</v>
      </c>
      <c r="N3474" s="5"/>
      <c r="O3474">
        <v>778.36</v>
      </c>
      <c r="P3474">
        <v>236</v>
      </c>
      <c r="Q3474" s="2">
        <v>183692.96</v>
      </c>
      <c r="R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 s="1">
        <v>42382</v>
      </c>
      <c r="AC3474" t="s">
        <v>53</v>
      </c>
      <c r="AD3474" t="s">
        <v>53</v>
      </c>
      <c r="AK3474">
        <v>0</v>
      </c>
      <c r="AU3474" s="6">
        <v>42248</v>
      </c>
      <c r="AV3474" s="6">
        <v>42248</v>
      </c>
      <c r="AW3474" t="s">
        <v>54</v>
      </c>
      <c r="AX3474" t="str">
        <f t="shared" si="297"/>
        <v>FOR</v>
      </c>
      <c r="AY3474" t="s">
        <v>55</v>
      </c>
    </row>
    <row r="3475" spans="1:51" hidden="1">
      <c r="A3475">
        <v>101170</v>
      </c>
      <c r="B3475" t="s">
        <v>555</v>
      </c>
      <c r="C3475" t="str">
        <f t="shared" si="298"/>
        <v>00527500540</v>
      </c>
      <c r="D3475" t="str">
        <f t="shared" si="298"/>
        <v>00527500540</v>
      </c>
      <c r="E3475" t="s">
        <v>52</v>
      </c>
      <c r="F3475">
        <v>2014</v>
      </c>
      <c r="G3475">
        <v>603206</v>
      </c>
      <c r="H3475" s="1">
        <v>41908</v>
      </c>
      <c r="I3475" s="1">
        <v>41922</v>
      </c>
      <c r="J3475" s="1">
        <v>41922</v>
      </c>
      <c r="K3475" s="1">
        <v>42012</v>
      </c>
      <c r="N3475" s="5"/>
      <c r="O3475">
        <v>475.8</v>
      </c>
      <c r="P3475">
        <v>236</v>
      </c>
      <c r="Q3475" s="2">
        <v>112288.8</v>
      </c>
      <c r="R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 s="1">
        <v>42382</v>
      </c>
      <c r="AC3475" t="s">
        <v>53</v>
      </c>
      <c r="AD3475" t="s">
        <v>53</v>
      </c>
      <c r="AK3475">
        <v>0</v>
      </c>
      <c r="AU3475" s="6">
        <v>42248</v>
      </c>
      <c r="AV3475" s="6">
        <v>42248</v>
      </c>
      <c r="AW3475" t="s">
        <v>54</v>
      </c>
      <c r="AX3475" t="str">
        <f t="shared" si="297"/>
        <v>FOR</v>
      </c>
      <c r="AY3475" t="s">
        <v>55</v>
      </c>
    </row>
    <row r="3476" spans="1:51" hidden="1">
      <c r="A3476">
        <v>101170</v>
      </c>
      <c r="B3476" t="s">
        <v>555</v>
      </c>
      <c r="C3476" t="str">
        <f t="shared" si="298"/>
        <v>00527500540</v>
      </c>
      <c r="D3476" t="str">
        <f t="shared" si="298"/>
        <v>00527500540</v>
      </c>
      <c r="E3476" t="s">
        <v>52</v>
      </c>
      <c r="F3476">
        <v>2014</v>
      </c>
      <c r="G3476">
        <v>603235</v>
      </c>
      <c r="H3476" s="1">
        <v>41911</v>
      </c>
      <c r="I3476" s="1">
        <v>41922</v>
      </c>
      <c r="J3476" s="1">
        <v>41922</v>
      </c>
      <c r="K3476" s="1">
        <v>42012</v>
      </c>
      <c r="N3476" s="5"/>
      <c r="O3476">
        <v>250.1</v>
      </c>
      <c r="P3476">
        <v>236</v>
      </c>
      <c r="Q3476" s="2">
        <v>59023.6</v>
      </c>
      <c r="R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 s="1">
        <v>42382</v>
      </c>
      <c r="AC3476" t="s">
        <v>53</v>
      </c>
      <c r="AD3476" t="s">
        <v>53</v>
      </c>
      <c r="AK3476">
        <v>0</v>
      </c>
      <c r="AU3476" s="6">
        <v>42248</v>
      </c>
      <c r="AV3476" s="6">
        <v>42248</v>
      </c>
      <c r="AW3476" t="s">
        <v>54</v>
      </c>
      <c r="AX3476" t="str">
        <f t="shared" si="297"/>
        <v>FOR</v>
      </c>
      <c r="AY3476" t="s">
        <v>55</v>
      </c>
    </row>
    <row r="3477" spans="1:51" hidden="1">
      <c r="A3477">
        <v>101170</v>
      </c>
      <c r="B3477" t="s">
        <v>555</v>
      </c>
      <c r="C3477" t="str">
        <f t="shared" si="298"/>
        <v>00527500540</v>
      </c>
      <c r="D3477" t="str">
        <f t="shared" si="298"/>
        <v>00527500540</v>
      </c>
      <c r="E3477" t="s">
        <v>52</v>
      </c>
      <c r="F3477">
        <v>2014</v>
      </c>
      <c r="G3477">
        <v>603276</v>
      </c>
      <c r="H3477" s="1">
        <v>41912</v>
      </c>
      <c r="I3477" s="1">
        <v>41922</v>
      </c>
      <c r="J3477" s="1">
        <v>41922</v>
      </c>
      <c r="K3477" s="1">
        <v>42012</v>
      </c>
      <c r="N3477" s="5"/>
      <c r="O3477" s="2">
        <v>5124</v>
      </c>
      <c r="P3477">
        <v>236</v>
      </c>
      <c r="Q3477" s="2">
        <v>1209264</v>
      </c>
      <c r="R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 s="1">
        <v>42382</v>
      </c>
      <c r="AC3477" t="s">
        <v>53</v>
      </c>
      <c r="AD3477" t="s">
        <v>53</v>
      </c>
      <c r="AK3477">
        <v>0</v>
      </c>
      <c r="AU3477" s="6">
        <v>42248</v>
      </c>
      <c r="AV3477" s="6">
        <v>42248</v>
      </c>
      <c r="AW3477" t="s">
        <v>54</v>
      </c>
      <c r="AX3477" t="str">
        <f t="shared" si="297"/>
        <v>FOR</v>
      </c>
      <c r="AY3477" t="s">
        <v>55</v>
      </c>
    </row>
    <row r="3478" spans="1:51" hidden="1">
      <c r="A3478">
        <v>101170</v>
      </c>
      <c r="B3478" t="s">
        <v>555</v>
      </c>
      <c r="C3478" t="str">
        <f t="shared" si="298"/>
        <v>00527500540</v>
      </c>
      <c r="D3478" t="str">
        <f t="shared" si="298"/>
        <v>00527500540</v>
      </c>
      <c r="E3478" t="s">
        <v>52</v>
      </c>
      <c r="F3478">
        <v>2014</v>
      </c>
      <c r="G3478">
        <v>603277</v>
      </c>
      <c r="H3478" s="1">
        <v>41912</v>
      </c>
      <c r="I3478" s="1">
        <v>41922</v>
      </c>
      <c r="J3478" s="1">
        <v>41922</v>
      </c>
      <c r="K3478" s="1">
        <v>42012</v>
      </c>
      <c r="N3478" s="5"/>
      <c r="O3478" s="2">
        <v>4782.3999999999996</v>
      </c>
      <c r="P3478">
        <v>236</v>
      </c>
      <c r="Q3478" s="2">
        <v>1128646.3999999999</v>
      </c>
      <c r="R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 s="1">
        <v>42382</v>
      </c>
      <c r="AC3478" t="s">
        <v>53</v>
      </c>
      <c r="AD3478" t="s">
        <v>53</v>
      </c>
      <c r="AK3478">
        <v>0</v>
      </c>
      <c r="AU3478" s="6">
        <v>42248</v>
      </c>
      <c r="AV3478" s="6">
        <v>42248</v>
      </c>
      <c r="AW3478" t="s">
        <v>54</v>
      </c>
      <c r="AX3478" t="str">
        <f t="shared" si="297"/>
        <v>FOR</v>
      </c>
      <c r="AY3478" t="s">
        <v>55</v>
      </c>
    </row>
    <row r="3479" spans="1:51">
      <c r="A3479">
        <v>101170</v>
      </c>
      <c r="B3479" t="s">
        <v>555</v>
      </c>
      <c r="C3479" t="str">
        <f t="shared" si="298"/>
        <v>00527500540</v>
      </c>
      <c r="D3479" t="str">
        <f t="shared" si="298"/>
        <v>00527500540</v>
      </c>
      <c r="E3479" t="s">
        <v>52</v>
      </c>
      <c r="F3479">
        <v>2014</v>
      </c>
      <c r="G3479">
        <v>603852</v>
      </c>
      <c r="H3479" s="1">
        <v>41962</v>
      </c>
      <c r="I3479" s="1">
        <v>41983</v>
      </c>
      <c r="J3479" s="1">
        <v>41983</v>
      </c>
      <c r="K3479" s="1">
        <v>42043</v>
      </c>
      <c r="L3479" s="7">
        <v>2576.64</v>
      </c>
      <c r="M3479" s="5">
        <v>235</v>
      </c>
      <c r="N3479" s="7">
        <v>605510.40000000002</v>
      </c>
      <c r="O3479" s="2">
        <v>2576.64</v>
      </c>
      <c r="P3479">
        <v>235</v>
      </c>
      <c r="Q3479" s="2">
        <v>605510.40000000002</v>
      </c>
      <c r="R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 s="1">
        <v>42382</v>
      </c>
      <c r="AC3479" t="s">
        <v>53</v>
      </c>
      <c r="AD3479" t="s">
        <v>53</v>
      </c>
      <c r="AK3479">
        <v>0</v>
      </c>
      <c r="AU3479" s="6">
        <v>42278</v>
      </c>
      <c r="AV3479" s="6">
        <v>42278</v>
      </c>
      <c r="AW3479" t="s">
        <v>54</v>
      </c>
      <c r="AX3479" t="str">
        <f t="shared" si="297"/>
        <v>FOR</v>
      </c>
      <c r="AY3479" t="s">
        <v>55</v>
      </c>
    </row>
    <row r="3480" spans="1:51">
      <c r="A3480">
        <v>101170</v>
      </c>
      <c r="B3480" t="s">
        <v>555</v>
      </c>
      <c r="C3480" t="str">
        <f t="shared" si="298"/>
        <v>00527500540</v>
      </c>
      <c r="D3480" t="str">
        <f t="shared" si="298"/>
        <v>00527500540</v>
      </c>
      <c r="E3480" t="s">
        <v>52</v>
      </c>
      <c r="F3480">
        <v>2014</v>
      </c>
      <c r="G3480">
        <v>603853</v>
      </c>
      <c r="H3480" s="1">
        <v>41962</v>
      </c>
      <c r="I3480" s="1">
        <v>41983</v>
      </c>
      <c r="J3480" s="1">
        <v>41983</v>
      </c>
      <c r="K3480" s="1">
        <v>42043</v>
      </c>
      <c r="L3480" s="7">
        <v>957.7</v>
      </c>
      <c r="M3480" s="5">
        <v>239</v>
      </c>
      <c r="N3480" s="7">
        <v>228890.3</v>
      </c>
      <c r="O3480">
        <v>957.7</v>
      </c>
      <c r="P3480">
        <v>239</v>
      </c>
      <c r="Q3480" s="2">
        <v>228890.3</v>
      </c>
      <c r="R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 s="1">
        <v>42382</v>
      </c>
      <c r="AC3480" t="s">
        <v>53</v>
      </c>
      <c r="AD3480" t="s">
        <v>53</v>
      </c>
      <c r="AK3480">
        <v>0</v>
      </c>
      <c r="AU3480" s="6">
        <v>42282</v>
      </c>
      <c r="AV3480" s="6">
        <v>42282</v>
      </c>
      <c r="AW3480" t="s">
        <v>54</v>
      </c>
      <c r="AX3480" t="str">
        <f t="shared" si="297"/>
        <v>FOR</v>
      </c>
      <c r="AY3480" t="s">
        <v>55</v>
      </c>
    </row>
    <row r="3481" spans="1:51">
      <c r="A3481">
        <v>101170</v>
      </c>
      <c r="B3481" t="s">
        <v>555</v>
      </c>
      <c r="C3481" t="str">
        <f t="shared" si="298"/>
        <v>00527500540</v>
      </c>
      <c r="D3481" t="str">
        <f t="shared" si="298"/>
        <v>00527500540</v>
      </c>
      <c r="E3481" t="s">
        <v>52</v>
      </c>
      <c r="F3481">
        <v>2014</v>
      </c>
      <c r="G3481">
        <v>603854</v>
      </c>
      <c r="H3481" s="1">
        <v>41962</v>
      </c>
      <c r="I3481" s="1">
        <v>41983</v>
      </c>
      <c r="J3481" s="1">
        <v>41983</v>
      </c>
      <c r="K3481" s="1">
        <v>42043</v>
      </c>
      <c r="L3481" s="7">
        <v>5124</v>
      </c>
      <c r="M3481" s="5">
        <v>235</v>
      </c>
      <c r="N3481" s="7">
        <v>1204140</v>
      </c>
      <c r="O3481" s="2">
        <v>5124</v>
      </c>
      <c r="P3481">
        <v>235</v>
      </c>
      <c r="Q3481" s="2">
        <v>1204140</v>
      </c>
      <c r="R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 s="1">
        <v>42382</v>
      </c>
      <c r="AC3481" t="s">
        <v>53</v>
      </c>
      <c r="AD3481" t="s">
        <v>53</v>
      </c>
      <c r="AK3481">
        <v>0</v>
      </c>
      <c r="AU3481" s="6">
        <v>42278</v>
      </c>
      <c r="AV3481" s="6">
        <v>42278</v>
      </c>
      <c r="AW3481" t="s">
        <v>54</v>
      </c>
      <c r="AX3481" t="str">
        <f t="shared" si="297"/>
        <v>FOR</v>
      </c>
      <c r="AY3481" t="s">
        <v>55</v>
      </c>
    </row>
    <row r="3482" spans="1:51">
      <c r="A3482">
        <v>101170</v>
      </c>
      <c r="B3482" t="s">
        <v>555</v>
      </c>
      <c r="C3482" t="str">
        <f t="shared" si="298"/>
        <v>00527500540</v>
      </c>
      <c r="D3482" t="str">
        <f t="shared" si="298"/>
        <v>00527500540</v>
      </c>
      <c r="E3482" t="s">
        <v>52</v>
      </c>
      <c r="F3482">
        <v>2014</v>
      </c>
      <c r="G3482">
        <v>603855</v>
      </c>
      <c r="H3482" s="1">
        <v>41962</v>
      </c>
      <c r="I3482" s="1">
        <v>41983</v>
      </c>
      <c r="J3482" s="1">
        <v>41983</v>
      </c>
      <c r="K3482" s="1">
        <v>42043</v>
      </c>
      <c r="L3482" s="7">
        <v>5124</v>
      </c>
      <c r="M3482" s="5">
        <v>235</v>
      </c>
      <c r="N3482" s="7">
        <v>1204140</v>
      </c>
      <c r="O3482" s="2">
        <v>5124</v>
      </c>
      <c r="P3482">
        <v>235</v>
      </c>
      <c r="Q3482" s="2">
        <v>1204140</v>
      </c>
      <c r="R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 s="1">
        <v>42382</v>
      </c>
      <c r="AC3482" t="s">
        <v>53</v>
      </c>
      <c r="AD3482" t="s">
        <v>53</v>
      </c>
      <c r="AK3482">
        <v>0</v>
      </c>
      <c r="AU3482" s="6">
        <v>42278</v>
      </c>
      <c r="AV3482" s="6">
        <v>42278</v>
      </c>
      <c r="AW3482" t="s">
        <v>54</v>
      </c>
      <c r="AX3482" t="str">
        <f t="shared" si="297"/>
        <v>FOR</v>
      </c>
      <c r="AY3482" t="s">
        <v>55</v>
      </c>
    </row>
    <row r="3483" spans="1:51">
      <c r="A3483">
        <v>101170</v>
      </c>
      <c r="B3483" t="s">
        <v>555</v>
      </c>
      <c r="C3483" t="str">
        <f t="shared" si="298"/>
        <v>00527500540</v>
      </c>
      <c r="D3483" t="str">
        <f t="shared" si="298"/>
        <v>00527500540</v>
      </c>
      <c r="E3483" t="s">
        <v>52</v>
      </c>
      <c r="F3483">
        <v>2014</v>
      </c>
      <c r="G3483">
        <v>603856</v>
      </c>
      <c r="H3483" s="1">
        <v>41962</v>
      </c>
      <c r="I3483" s="1">
        <v>41983</v>
      </c>
      <c r="J3483" s="1">
        <v>41983</v>
      </c>
      <c r="K3483" s="1">
        <v>42043</v>
      </c>
      <c r="L3483" s="7">
        <v>4782.3999999999996</v>
      </c>
      <c r="M3483" s="5">
        <v>235</v>
      </c>
      <c r="N3483" s="7">
        <v>1123864</v>
      </c>
      <c r="O3483" s="2">
        <v>4782.3999999999996</v>
      </c>
      <c r="P3483">
        <v>235</v>
      </c>
      <c r="Q3483" s="2">
        <v>1123864</v>
      </c>
      <c r="R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 s="1">
        <v>42382</v>
      </c>
      <c r="AC3483" t="s">
        <v>53</v>
      </c>
      <c r="AD3483" t="s">
        <v>53</v>
      </c>
      <c r="AK3483">
        <v>0</v>
      </c>
      <c r="AU3483" s="6">
        <v>42278</v>
      </c>
      <c r="AV3483" s="6">
        <v>42278</v>
      </c>
      <c r="AW3483" t="s">
        <v>54</v>
      </c>
      <c r="AX3483" t="str">
        <f t="shared" si="297"/>
        <v>FOR</v>
      </c>
      <c r="AY3483" t="s">
        <v>55</v>
      </c>
    </row>
    <row r="3484" spans="1:51">
      <c r="A3484">
        <v>101170</v>
      </c>
      <c r="B3484" t="s">
        <v>555</v>
      </c>
      <c r="C3484" t="str">
        <f t="shared" si="298"/>
        <v>00527500540</v>
      </c>
      <c r="D3484" t="str">
        <f t="shared" si="298"/>
        <v>00527500540</v>
      </c>
      <c r="E3484" t="s">
        <v>52</v>
      </c>
      <c r="F3484">
        <v>2014</v>
      </c>
      <c r="G3484">
        <v>603857</v>
      </c>
      <c r="H3484" s="1">
        <v>41962</v>
      </c>
      <c r="I3484" s="1">
        <v>41983</v>
      </c>
      <c r="J3484" s="1">
        <v>41983</v>
      </c>
      <c r="K3484" s="1">
        <v>42043</v>
      </c>
      <c r="L3484" s="7">
        <v>951.6</v>
      </c>
      <c r="M3484" s="5">
        <v>239</v>
      </c>
      <c r="N3484" s="7">
        <v>227432.4</v>
      </c>
      <c r="O3484">
        <v>951.6</v>
      </c>
      <c r="P3484">
        <v>239</v>
      </c>
      <c r="Q3484" s="2">
        <v>227432.4</v>
      </c>
      <c r="R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 s="1">
        <v>42382</v>
      </c>
      <c r="AC3484" t="s">
        <v>53</v>
      </c>
      <c r="AD3484" t="s">
        <v>53</v>
      </c>
      <c r="AK3484">
        <v>0</v>
      </c>
      <c r="AU3484" s="6">
        <v>42282</v>
      </c>
      <c r="AV3484" s="6">
        <v>42282</v>
      </c>
      <c r="AW3484" t="s">
        <v>54</v>
      </c>
      <c r="AX3484" t="str">
        <f t="shared" si="297"/>
        <v>FOR</v>
      </c>
      <c r="AY3484" t="s">
        <v>55</v>
      </c>
    </row>
    <row r="3485" spans="1:51">
      <c r="A3485">
        <v>101170</v>
      </c>
      <c r="B3485" t="s">
        <v>555</v>
      </c>
      <c r="C3485" t="str">
        <f t="shared" si="298"/>
        <v>00527500540</v>
      </c>
      <c r="D3485" t="str">
        <f t="shared" si="298"/>
        <v>00527500540</v>
      </c>
      <c r="E3485" t="s">
        <v>52</v>
      </c>
      <c r="F3485">
        <v>2014</v>
      </c>
      <c r="G3485">
        <v>603858</v>
      </c>
      <c r="H3485" s="1">
        <v>41962</v>
      </c>
      <c r="I3485" s="1">
        <v>41983</v>
      </c>
      <c r="J3485" s="1">
        <v>41983</v>
      </c>
      <c r="K3485" s="1">
        <v>42043</v>
      </c>
      <c r="L3485" s="7">
        <v>4001.6</v>
      </c>
      <c r="M3485" s="5">
        <v>235</v>
      </c>
      <c r="N3485" s="7">
        <v>940376</v>
      </c>
      <c r="O3485" s="2">
        <v>4001.6</v>
      </c>
      <c r="P3485">
        <v>235</v>
      </c>
      <c r="Q3485" s="2">
        <v>940376</v>
      </c>
      <c r="R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 s="1">
        <v>42382</v>
      </c>
      <c r="AC3485" t="s">
        <v>53</v>
      </c>
      <c r="AD3485" t="s">
        <v>53</v>
      </c>
      <c r="AK3485">
        <v>0</v>
      </c>
      <c r="AU3485" s="6">
        <v>42278</v>
      </c>
      <c r="AV3485" s="6">
        <v>42278</v>
      </c>
      <c r="AW3485" t="s">
        <v>54</v>
      </c>
      <c r="AX3485" t="str">
        <f t="shared" si="297"/>
        <v>FOR</v>
      </c>
      <c r="AY3485" t="s">
        <v>55</v>
      </c>
    </row>
    <row r="3486" spans="1:51">
      <c r="A3486">
        <v>101170</v>
      </c>
      <c r="B3486" t="s">
        <v>555</v>
      </c>
      <c r="C3486" t="str">
        <f t="shared" si="298"/>
        <v>00527500540</v>
      </c>
      <c r="D3486" t="str">
        <f t="shared" si="298"/>
        <v>00527500540</v>
      </c>
      <c r="E3486" t="s">
        <v>52</v>
      </c>
      <c r="F3486">
        <v>2014</v>
      </c>
      <c r="G3486">
        <v>603859</v>
      </c>
      <c r="H3486" s="1">
        <v>41962</v>
      </c>
      <c r="I3486" s="1">
        <v>41983</v>
      </c>
      <c r="J3486" s="1">
        <v>41983</v>
      </c>
      <c r="K3486" s="1">
        <v>42043</v>
      </c>
      <c r="L3486" s="7">
        <v>2824.3</v>
      </c>
      <c r="M3486" s="5">
        <v>235</v>
      </c>
      <c r="N3486" s="7">
        <v>663710.5</v>
      </c>
      <c r="O3486" s="2">
        <v>2824.3</v>
      </c>
      <c r="P3486">
        <v>235</v>
      </c>
      <c r="Q3486" s="2">
        <v>663710.5</v>
      </c>
      <c r="R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 s="1">
        <v>42382</v>
      </c>
      <c r="AC3486" t="s">
        <v>53</v>
      </c>
      <c r="AD3486" t="s">
        <v>53</v>
      </c>
      <c r="AK3486">
        <v>0</v>
      </c>
      <c r="AU3486" s="6">
        <v>42278</v>
      </c>
      <c r="AV3486" s="6">
        <v>42278</v>
      </c>
      <c r="AW3486" t="s">
        <v>54</v>
      </c>
      <c r="AX3486" t="str">
        <f t="shared" si="297"/>
        <v>FOR</v>
      </c>
      <c r="AY3486" t="s">
        <v>55</v>
      </c>
    </row>
    <row r="3487" spans="1:51">
      <c r="A3487">
        <v>101170</v>
      </c>
      <c r="B3487" t="s">
        <v>555</v>
      </c>
      <c r="C3487" t="str">
        <f t="shared" si="298"/>
        <v>00527500540</v>
      </c>
      <c r="D3487" t="str">
        <f t="shared" si="298"/>
        <v>00527500540</v>
      </c>
      <c r="E3487" t="s">
        <v>52</v>
      </c>
      <c r="F3487">
        <v>2014</v>
      </c>
      <c r="G3487">
        <v>603860</v>
      </c>
      <c r="H3487" s="1">
        <v>41962</v>
      </c>
      <c r="I3487" s="1">
        <v>41983</v>
      </c>
      <c r="J3487" s="1">
        <v>41983</v>
      </c>
      <c r="K3487" s="1">
        <v>42043</v>
      </c>
      <c r="L3487" s="7">
        <v>1360.3</v>
      </c>
      <c r="M3487" s="5">
        <v>235</v>
      </c>
      <c r="N3487" s="7">
        <v>319670.5</v>
      </c>
      <c r="O3487" s="2">
        <v>1360.3</v>
      </c>
      <c r="P3487">
        <v>235</v>
      </c>
      <c r="Q3487" s="2">
        <v>319670.5</v>
      </c>
      <c r="R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 s="1">
        <v>42382</v>
      </c>
      <c r="AC3487" t="s">
        <v>53</v>
      </c>
      <c r="AD3487" t="s">
        <v>53</v>
      </c>
      <c r="AK3487">
        <v>0</v>
      </c>
      <c r="AU3487" s="6">
        <v>42278</v>
      </c>
      <c r="AV3487" s="6">
        <v>42278</v>
      </c>
      <c r="AW3487" t="s">
        <v>54</v>
      </c>
      <c r="AX3487" t="str">
        <f t="shared" si="297"/>
        <v>FOR</v>
      </c>
      <c r="AY3487" t="s">
        <v>55</v>
      </c>
    </row>
    <row r="3488" spans="1:51">
      <c r="A3488">
        <v>101170</v>
      </c>
      <c r="B3488" t="s">
        <v>555</v>
      </c>
      <c r="C3488" t="str">
        <f t="shared" ref="C3488:D3507" si="299">"00527500540"</f>
        <v>00527500540</v>
      </c>
      <c r="D3488" t="str">
        <f t="shared" si="299"/>
        <v>00527500540</v>
      </c>
      <c r="E3488" t="s">
        <v>52</v>
      </c>
      <c r="F3488">
        <v>2014</v>
      </c>
      <c r="G3488">
        <v>603861</v>
      </c>
      <c r="H3488" s="1">
        <v>41962</v>
      </c>
      <c r="I3488" s="1">
        <v>41983</v>
      </c>
      <c r="J3488" s="1">
        <v>41983</v>
      </c>
      <c r="K3488" s="1">
        <v>42043</v>
      </c>
      <c r="L3488" s="7">
        <v>183</v>
      </c>
      <c r="M3488" s="5">
        <v>239</v>
      </c>
      <c r="N3488" s="7">
        <v>43737</v>
      </c>
      <c r="O3488">
        <v>183</v>
      </c>
      <c r="P3488">
        <v>239</v>
      </c>
      <c r="Q3488" s="2">
        <v>43737</v>
      </c>
      <c r="R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 s="1">
        <v>42382</v>
      </c>
      <c r="AC3488" t="s">
        <v>53</v>
      </c>
      <c r="AD3488" t="s">
        <v>53</v>
      </c>
      <c r="AK3488">
        <v>0</v>
      </c>
      <c r="AU3488" s="6">
        <v>42282</v>
      </c>
      <c r="AV3488" s="6">
        <v>42282</v>
      </c>
      <c r="AW3488" t="s">
        <v>54</v>
      </c>
      <c r="AX3488" t="str">
        <f t="shared" si="297"/>
        <v>FOR</v>
      </c>
      <c r="AY3488" t="s">
        <v>55</v>
      </c>
    </row>
    <row r="3489" spans="1:51">
      <c r="A3489">
        <v>101170</v>
      </c>
      <c r="B3489" t="s">
        <v>555</v>
      </c>
      <c r="C3489" t="str">
        <f t="shared" si="299"/>
        <v>00527500540</v>
      </c>
      <c r="D3489" t="str">
        <f t="shared" si="299"/>
        <v>00527500540</v>
      </c>
      <c r="E3489" t="s">
        <v>52</v>
      </c>
      <c r="F3489">
        <v>2014</v>
      </c>
      <c r="G3489">
        <v>603862</v>
      </c>
      <c r="H3489" s="1">
        <v>41962</v>
      </c>
      <c r="I3489" s="1">
        <v>41983</v>
      </c>
      <c r="J3489" s="1">
        <v>41983</v>
      </c>
      <c r="K3489" s="1">
        <v>42043</v>
      </c>
      <c r="L3489" s="7">
        <v>573.4</v>
      </c>
      <c r="M3489" s="5">
        <v>239</v>
      </c>
      <c r="N3489" s="7">
        <v>137042.6</v>
      </c>
      <c r="O3489">
        <v>573.4</v>
      </c>
      <c r="P3489">
        <v>239</v>
      </c>
      <c r="Q3489" s="2">
        <v>137042.6</v>
      </c>
      <c r="R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 s="1">
        <v>42382</v>
      </c>
      <c r="AC3489" t="s">
        <v>53</v>
      </c>
      <c r="AD3489" t="s">
        <v>53</v>
      </c>
      <c r="AK3489">
        <v>0</v>
      </c>
      <c r="AU3489" s="6">
        <v>42282</v>
      </c>
      <c r="AV3489" s="6">
        <v>42282</v>
      </c>
      <c r="AW3489" t="s">
        <v>54</v>
      </c>
      <c r="AX3489" t="str">
        <f t="shared" si="297"/>
        <v>FOR</v>
      </c>
      <c r="AY3489" t="s">
        <v>55</v>
      </c>
    </row>
    <row r="3490" spans="1:51">
      <c r="A3490">
        <v>101170</v>
      </c>
      <c r="B3490" t="s">
        <v>555</v>
      </c>
      <c r="C3490" t="str">
        <f t="shared" si="299"/>
        <v>00527500540</v>
      </c>
      <c r="D3490" t="str">
        <f t="shared" si="299"/>
        <v>00527500540</v>
      </c>
      <c r="E3490" t="s">
        <v>52</v>
      </c>
      <c r="F3490">
        <v>2014</v>
      </c>
      <c r="G3490">
        <v>603863</v>
      </c>
      <c r="H3490" s="1">
        <v>41962</v>
      </c>
      <c r="I3490" s="1">
        <v>41983</v>
      </c>
      <c r="J3490" s="1">
        <v>41983</v>
      </c>
      <c r="K3490" s="1">
        <v>42043</v>
      </c>
      <c r="L3490" s="7">
        <v>183</v>
      </c>
      <c r="M3490" s="5">
        <v>239</v>
      </c>
      <c r="N3490" s="7">
        <v>43737</v>
      </c>
      <c r="O3490">
        <v>183</v>
      </c>
      <c r="P3490">
        <v>239</v>
      </c>
      <c r="Q3490" s="2">
        <v>43737</v>
      </c>
      <c r="R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 s="1">
        <v>42382</v>
      </c>
      <c r="AC3490" t="s">
        <v>53</v>
      </c>
      <c r="AD3490" t="s">
        <v>53</v>
      </c>
      <c r="AK3490">
        <v>0</v>
      </c>
      <c r="AU3490" s="6">
        <v>42282</v>
      </c>
      <c r="AV3490" s="6">
        <v>42282</v>
      </c>
      <c r="AW3490" t="s">
        <v>54</v>
      </c>
      <c r="AX3490" t="str">
        <f t="shared" si="297"/>
        <v>FOR</v>
      </c>
      <c r="AY3490" t="s">
        <v>55</v>
      </c>
    </row>
    <row r="3491" spans="1:51">
      <c r="A3491">
        <v>101170</v>
      </c>
      <c r="B3491" t="s">
        <v>555</v>
      </c>
      <c r="C3491" t="str">
        <f t="shared" si="299"/>
        <v>00527500540</v>
      </c>
      <c r="D3491" t="str">
        <f t="shared" si="299"/>
        <v>00527500540</v>
      </c>
      <c r="E3491" t="s">
        <v>52</v>
      </c>
      <c r="F3491">
        <v>2014</v>
      </c>
      <c r="G3491">
        <v>603864</v>
      </c>
      <c r="H3491" s="1">
        <v>41962</v>
      </c>
      <c r="I3491" s="1">
        <v>41983</v>
      </c>
      <c r="J3491" s="1">
        <v>41983</v>
      </c>
      <c r="K3491" s="1">
        <v>42043</v>
      </c>
      <c r="L3491" s="7">
        <v>1403</v>
      </c>
      <c r="M3491" s="5">
        <v>235</v>
      </c>
      <c r="N3491" s="7">
        <v>329705</v>
      </c>
      <c r="O3491" s="2">
        <v>1403</v>
      </c>
      <c r="P3491">
        <v>235</v>
      </c>
      <c r="Q3491" s="2">
        <v>329705</v>
      </c>
      <c r="R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 s="1">
        <v>42382</v>
      </c>
      <c r="AC3491" t="s">
        <v>53</v>
      </c>
      <c r="AD3491" t="s">
        <v>53</v>
      </c>
      <c r="AK3491">
        <v>0</v>
      </c>
      <c r="AU3491" s="6">
        <v>42278</v>
      </c>
      <c r="AV3491" s="6">
        <v>42278</v>
      </c>
      <c r="AW3491" t="s">
        <v>54</v>
      </c>
      <c r="AX3491" t="str">
        <f t="shared" si="297"/>
        <v>FOR</v>
      </c>
      <c r="AY3491" t="s">
        <v>55</v>
      </c>
    </row>
    <row r="3492" spans="1:51">
      <c r="A3492">
        <v>101170</v>
      </c>
      <c r="B3492" t="s">
        <v>555</v>
      </c>
      <c r="C3492" t="str">
        <f t="shared" si="299"/>
        <v>00527500540</v>
      </c>
      <c r="D3492" t="str">
        <f t="shared" si="299"/>
        <v>00527500540</v>
      </c>
      <c r="E3492" t="s">
        <v>52</v>
      </c>
      <c r="F3492">
        <v>2014</v>
      </c>
      <c r="G3492">
        <v>603865</v>
      </c>
      <c r="H3492" s="1">
        <v>41962</v>
      </c>
      <c r="I3492" s="1">
        <v>41983</v>
      </c>
      <c r="J3492" s="1">
        <v>41983</v>
      </c>
      <c r="K3492" s="1">
        <v>42043</v>
      </c>
      <c r="L3492" s="7">
        <v>1464</v>
      </c>
      <c r="M3492" s="5">
        <v>235</v>
      </c>
      <c r="N3492" s="7">
        <v>344040</v>
      </c>
      <c r="O3492" s="2">
        <v>1464</v>
      </c>
      <c r="P3492">
        <v>235</v>
      </c>
      <c r="Q3492" s="2">
        <v>344040</v>
      </c>
      <c r="R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 s="1">
        <v>42382</v>
      </c>
      <c r="AC3492" t="s">
        <v>53</v>
      </c>
      <c r="AD3492" t="s">
        <v>53</v>
      </c>
      <c r="AK3492">
        <v>0</v>
      </c>
      <c r="AU3492" s="6">
        <v>42278</v>
      </c>
      <c r="AV3492" s="6">
        <v>42278</v>
      </c>
      <c r="AW3492" t="s">
        <v>54</v>
      </c>
      <c r="AX3492" t="str">
        <f t="shared" si="297"/>
        <v>FOR</v>
      </c>
      <c r="AY3492" t="s">
        <v>55</v>
      </c>
    </row>
    <row r="3493" spans="1:51">
      <c r="A3493">
        <v>101170</v>
      </c>
      <c r="B3493" t="s">
        <v>555</v>
      </c>
      <c r="C3493" t="str">
        <f t="shared" si="299"/>
        <v>00527500540</v>
      </c>
      <c r="D3493" t="str">
        <f t="shared" si="299"/>
        <v>00527500540</v>
      </c>
      <c r="E3493" t="s">
        <v>52</v>
      </c>
      <c r="F3493">
        <v>2014</v>
      </c>
      <c r="G3493">
        <v>604068</v>
      </c>
      <c r="H3493" s="1">
        <v>41970</v>
      </c>
      <c r="I3493" s="1">
        <v>41983</v>
      </c>
      <c r="J3493" s="1">
        <v>41983</v>
      </c>
      <c r="K3493" s="1">
        <v>42043</v>
      </c>
      <c r="L3493" s="7">
        <v>671</v>
      </c>
      <c r="M3493" s="5">
        <v>239</v>
      </c>
      <c r="N3493" s="7">
        <v>160369</v>
      </c>
      <c r="O3493">
        <v>671</v>
      </c>
      <c r="P3493">
        <v>239</v>
      </c>
      <c r="Q3493" s="2">
        <v>160369</v>
      </c>
      <c r="R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 s="1">
        <v>42382</v>
      </c>
      <c r="AC3493" t="s">
        <v>53</v>
      </c>
      <c r="AD3493" t="s">
        <v>53</v>
      </c>
      <c r="AK3493">
        <v>0</v>
      </c>
      <c r="AU3493" s="6">
        <v>42282</v>
      </c>
      <c r="AV3493" s="6">
        <v>42282</v>
      </c>
      <c r="AW3493" t="s">
        <v>54</v>
      </c>
      <c r="AX3493" t="str">
        <f t="shared" si="297"/>
        <v>FOR</v>
      </c>
      <c r="AY3493" t="s">
        <v>55</v>
      </c>
    </row>
    <row r="3494" spans="1:51">
      <c r="A3494">
        <v>101170</v>
      </c>
      <c r="B3494" t="s">
        <v>555</v>
      </c>
      <c r="C3494" t="str">
        <f t="shared" si="299"/>
        <v>00527500540</v>
      </c>
      <c r="D3494" t="str">
        <f t="shared" si="299"/>
        <v>00527500540</v>
      </c>
      <c r="E3494" t="s">
        <v>52</v>
      </c>
      <c r="F3494">
        <v>2014</v>
      </c>
      <c r="G3494">
        <v>604069</v>
      </c>
      <c r="H3494" s="1">
        <v>41970</v>
      </c>
      <c r="I3494" s="1">
        <v>41983</v>
      </c>
      <c r="J3494" s="1">
        <v>41983</v>
      </c>
      <c r="K3494" s="1">
        <v>42043</v>
      </c>
      <c r="L3494" s="7">
        <v>3904</v>
      </c>
      <c r="M3494" s="5">
        <v>239</v>
      </c>
      <c r="N3494" s="7">
        <v>933056</v>
      </c>
      <c r="O3494" s="2">
        <v>3904</v>
      </c>
      <c r="P3494">
        <v>239</v>
      </c>
      <c r="Q3494" s="2">
        <v>933056</v>
      </c>
      <c r="R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 s="1">
        <v>42382</v>
      </c>
      <c r="AC3494" t="s">
        <v>53</v>
      </c>
      <c r="AD3494" t="s">
        <v>53</v>
      </c>
      <c r="AK3494">
        <v>0</v>
      </c>
      <c r="AU3494" s="6">
        <v>42282</v>
      </c>
      <c r="AV3494" s="6">
        <v>42282</v>
      </c>
      <c r="AW3494" t="s">
        <v>54</v>
      </c>
      <c r="AX3494" t="str">
        <f t="shared" si="297"/>
        <v>FOR</v>
      </c>
      <c r="AY3494" t="s">
        <v>55</v>
      </c>
    </row>
    <row r="3495" spans="1:51">
      <c r="A3495">
        <v>101170</v>
      </c>
      <c r="B3495" t="s">
        <v>555</v>
      </c>
      <c r="C3495" t="str">
        <f t="shared" si="299"/>
        <v>00527500540</v>
      </c>
      <c r="D3495" t="str">
        <f t="shared" si="299"/>
        <v>00527500540</v>
      </c>
      <c r="E3495" t="s">
        <v>52</v>
      </c>
      <c r="F3495">
        <v>2014</v>
      </c>
      <c r="G3495">
        <v>604207</v>
      </c>
      <c r="H3495" s="1">
        <v>41982</v>
      </c>
      <c r="I3495" s="1">
        <v>42026</v>
      </c>
      <c r="J3495" s="1">
        <v>42026</v>
      </c>
      <c r="K3495" s="1">
        <v>42086</v>
      </c>
      <c r="L3495" s="7">
        <v>5124</v>
      </c>
      <c r="M3495" s="5">
        <v>218</v>
      </c>
      <c r="N3495" s="7">
        <v>1117032</v>
      </c>
      <c r="O3495" s="2">
        <v>5124</v>
      </c>
      <c r="P3495">
        <v>218</v>
      </c>
      <c r="Q3495" s="2">
        <v>1117032</v>
      </c>
      <c r="R3495">
        <v>0</v>
      </c>
      <c r="V3495">
        <v>0</v>
      </c>
      <c r="W3495">
        <v>0</v>
      </c>
      <c r="X3495">
        <v>0</v>
      </c>
      <c r="Y3495">
        <v>0</v>
      </c>
      <c r="Z3495" s="2">
        <v>5124</v>
      </c>
      <c r="AA3495">
        <v>0</v>
      </c>
      <c r="AB3495" s="1">
        <v>42382</v>
      </c>
      <c r="AC3495" t="s">
        <v>53</v>
      </c>
      <c r="AD3495" t="s">
        <v>53</v>
      </c>
      <c r="AK3495">
        <v>0</v>
      </c>
      <c r="AU3495" s="6">
        <v>42304</v>
      </c>
      <c r="AV3495" s="6">
        <v>42304</v>
      </c>
      <c r="AW3495" t="s">
        <v>54</v>
      </c>
      <c r="AX3495" t="str">
        <f t="shared" si="297"/>
        <v>FOR</v>
      </c>
      <c r="AY3495" t="s">
        <v>55</v>
      </c>
    </row>
    <row r="3496" spans="1:51">
      <c r="A3496">
        <v>101170</v>
      </c>
      <c r="B3496" t="s">
        <v>555</v>
      </c>
      <c r="C3496" t="str">
        <f t="shared" si="299"/>
        <v>00527500540</v>
      </c>
      <c r="D3496" t="str">
        <f t="shared" si="299"/>
        <v>00527500540</v>
      </c>
      <c r="E3496" t="s">
        <v>52</v>
      </c>
      <c r="F3496">
        <v>2014</v>
      </c>
      <c r="G3496">
        <v>604208</v>
      </c>
      <c r="H3496" s="1">
        <v>41982</v>
      </c>
      <c r="I3496" s="1">
        <v>42026</v>
      </c>
      <c r="J3496" s="1">
        <v>42026</v>
      </c>
      <c r="K3496" s="1">
        <v>42086</v>
      </c>
      <c r="L3496" s="7">
        <v>5124</v>
      </c>
      <c r="M3496" s="5">
        <v>218</v>
      </c>
      <c r="N3496" s="7">
        <v>1117032</v>
      </c>
      <c r="O3496" s="2">
        <v>5124</v>
      </c>
      <c r="P3496">
        <v>218</v>
      </c>
      <c r="Q3496" s="2">
        <v>1117032</v>
      </c>
      <c r="R3496">
        <v>0</v>
      </c>
      <c r="V3496">
        <v>0</v>
      </c>
      <c r="W3496">
        <v>0</v>
      </c>
      <c r="X3496">
        <v>0</v>
      </c>
      <c r="Y3496">
        <v>0</v>
      </c>
      <c r="Z3496" s="2">
        <v>5124</v>
      </c>
      <c r="AA3496">
        <v>0</v>
      </c>
      <c r="AB3496" s="1">
        <v>42382</v>
      </c>
      <c r="AC3496" t="s">
        <v>53</v>
      </c>
      <c r="AD3496" t="s">
        <v>53</v>
      </c>
      <c r="AK3496">
        <v>0</v>
      </c>
      <c r="AU3496" s="6">
        <v>42304</v>
      </c>
      <c r="AV3496" s="6">
        <v>42304</v>
      </c>
      <c r="AW3496" t="s">
        <v>54</v>
      </c>
      <c r="AX3496" t="str">
        <f t="shared" si="297"/>
        <v>FOR</v>
      </c>
      <c r="AY3496" t="s">
        <v>55</v>
      </c>
    </row>
    <row r="3497" spans="1:51">
      <c r="A3497">
        <v>101170</v>
      </c>
      <c r="B3497" t="s">
        <v>555</v>
      </c>
      <c r="C3497" t="str">
        <f t="shared" si="299"/>
        <v>00527500540</v>
      </c>
      <c r="D3497" t="str">
        <f t="shared" si="299"/>
        <v>00527500540</v>
      </c>
      <c r="E3497" t="s">
        <v>52</v>
      </c>
      <c r="F3497">
        <v>2014</v>
      </c>
      <c r="G3497">
        <v>604209</v>
      </c>
      <c r="H3497" s="1">
        <v>41982</v>
      </c>
      <c r="I3497" s="1">
        <v>42026</v>
      </c>
      <c r="J3497" s="1">
        <v>42026</v>
      </c>
      <c r="K3497" s="1">
        <v>42086</v>
      </c>
      <c r="L3497" s="7">
        <v>2928</v>
      </c>
      <c r="M3497" s="5">
        <v>218</v>
      </c>
      <c r="N3497" s="7">
        <v>638304</v>
      </c>
      <c r="O3497" s="2">
        <v>2928</v>
      </c>
      <c r="P3497">
        <v>218</v>
      </c>
      <c r="Q3497" s="2">
        <v>638304</v>
      </c>
      <c r="R3497">
        <v>0</v>
      </c>
      <c r="V3497">
        <v>0</v>
      </c>
      <c r="W3497">
        <v>0</v>
      </c>
      <c r="X3497">
        <v>0</v>
      </c>
      <c r="Y3497">
        <v>0</v>
      </c>
      <c r="Z3497" s="2">
        <v>2928</v>
      </c>
      <c r="AA3497">
        <v>0</v>
      </c>
      <c r="AB3497" s="1">
        <v>42382</v>
      </c>
      <c r="AC3497" t="s">
        <v>53</v>
      </c>
      <c r="AD3497" t="s">
        <v>53</v>
      </c>
      <c r="AK3497">
        <v>0</v>
      </c>
      <c r="AU3497" s="6">
        <v>42304</v>
      </c>
      <c r="AV3497" s="6">
        <v>42304</v>
      </c>
      <c r="AW3497" t="s">
        <v>54</v>
      </c>
      <c r="AX3497" t="str">
        <f t="shared" si="297"/>
        <v>FOR</v>
      </c>
      <c r="AY3497" t="s">
        <v>55</v>
      </c>
    </row>
    <row r="3498" spans="1:51">
      <c r="A3498">
        <v>101170</v>
      </c>
      <c r="B3498" t="s">
        <v>555</v>
      </c>
      <c r="C3498" t="str">
        <f t="shared" si="299"/>
        <v>00527500540</v>
      </c>
      <c r="D3498" t="str">
        <f t="shared" si="299"/>
        <v>00527500540</v>
      </c>
      <c r="E3498" t="s">
        <v>52</v>
      </c>
      <c r="F3498">
        <v>2014</v>
      </c>
      <c r="G3498">
        <v>604210</v>
      </c>
      <c r="H3498" s="1">
        <v>41982</v>
      </c>
      <c r="I3498" s="1">
        <v>42026</v>
      </c>
      <c r="J3498" s="1">
        <v>42026</v>
      </c>
      <c r="K3498" s="1">
        <v>42086</v>
      </c>
      <c r="L3498" s="7">
        <v>5124</v>
      </c>
      <c r="M3498" s="5">
        <v>218</v>
      </c>
      <c r="N3498" s="7">
        <v>1117032</v>
      </c>
      <c r="O3498" s="2">
        <v>5124</v>
      </c>
      <c r="P3498">
        <v>218</v>
      </c>
      <c r="Q3498" s="2">
        <v>1117032</v>
      </c>
      <c r="R3498">
        <v>0</v>
      </c>
      <c r="V3498">
        <v>0</v>
      </c>
      <c r="W3498">
        <v>0</v>
      </c>
      <c r="X3498">
        <v>0</v>
      </c>
      <c r="Y3498">
        <v>0</v>
      </c>
      <c r="Z3498" s="2">
        <v>5124</v>
      </c>
      <c r="AA3498">
        <v>0</v>
      </c>
      <c r="AB3498" s="1">
        <v>42382</v>
      </c>
      <c r="AC3498" t="s">
        <v>53</v>
      </c>
      <c r="AD3498" t="s">
        <v>53</v>
      </c>
      <c r="AK3498">
        <v>0</v>
      </c>
      <c r="AU3498" s="6">
        <v>42304</v>
      </c>
      <c r="AV3498" s="6">
        <v>42304</v>
      </c>
      <c r="AW3498" t="s">
        <v>54</v>
      </c>
      <c r="AX3498" t="str">
        <f t="shared" si="297"/>
        <v>FOR</v>
      </c>
      <c r="AY3498" t="s">
        <v>55</v>
      </c>
    </row>
    <row r="3499" spans="1:51">
      <c r="A3499">
        <v>101170</v>
      </c>
      <c r="B3499" t="s">
        <v>555</v>
      </c>
      <c r="C3499" t="str">
        <f t="shared" si="299"/>
        <v>00527500540</v>
      </c>
      <c r="D3499" t="str">
        <f t="shared" si="299"/>
        <v>00527500540</v>
      </c>
      <c r="E3499" t="s">
        <v>52</v>
      </c>
      <c r="F3499">
        <v>2014</v>
      </c>
      <c r="G3499">
        <v>604211</v>
      </c>
      <c r="H3499" s="1">
        <v>41982</v>
      </c>
      <c r="I3499" s="1">
        <v>42026</v>
      </c>
      <c r="J3499" s="1">
        <v>42026</v>
      </c>
      <c r="K3499" s="1">
        <v>42086</v>
      </c>
      <c r="L3499" s="7">
        <v>512.4</v>
      </c>
      <c r="M3499" s="5">
        <v>218</v>
      </c>
      <c r="N3499" s="7">
        <v>111703.2</v>
      </c>
      <c r="O3499">
        <v>512.4</v>
      </c>
      <c r="P3499">
        <v>218</v>
      </c>
      <c r="Q3499" s="2">
        <v>111703.2</v>
      </c>
      <c r="R3499">
        <v>0</v>
      </c>
      <c r="V3499">
        <v>0</v>
      </c>
      <c r="W3499">
        <v>0</v>
      </c>
      <c r="X3499">
        <v>0</v>
      </c>
      <c r="Y3499">
        <v>0</v>
      </c>
      <c r="Z3499">
        <v>512.4</v>
      </c>
      <c r="AA3499">
        <v>0</v>
      </c>
      <c r="AB3499" s="1">
        <v>42382</v>
      </c>
      <c r="AC3499" t="s">
        <v>53</v>
      </c>
      <c r="AD3499" t="s">
        <v>53</v>
      </c>
      <c r="AK3499">
        <v>0</v>
      </c>
      <c r="AU3499" s="6">
        <v>42304</v>
      </c>
      <c r="AV3499" s="6">
        <v>42304</v>
      </c>
      <c r="AW3499" t="s">
        <v>54</v>
      </c>
      <c r="AX3499" t="str">
        <f t="shared" si="297"/>
        <v>FOR</v>
      </c>
      <c r="AY3499" t="s">
        <v>55</v>
      </c>
    </row>
    <row r="3500" spans="1:51">
      <c r="A3500">
        <v>101170</v>
      </c>
      <c r="B3500" t="s">
        <v>555</v>
      </c>
      <c r="C3500" t="str">
        <f t="shared" si="299"/>
        <v>00527500540</v>
      </c>
      <c r="D3500" t="str">
        <f t="shared" si="299"/>
        <v>00527500540</v>
      </c>
      <c r="E3500" t="s">
        <v>52</v>
      </c>
      <c r="F3500">
        <v>2014</v>
      </c>
      <c r="G3500">
        <v>604212</v>
      </c>
      <c r="H3500" s="1">
        <v>41982</v>
      </c>
      <c r="I3500" s="1">
        <v>42026</v>
      </c>
      <c r="J3500" s="1">
        <v>42026</v>
      </c>
      <c r="K3500" s="1">
        <v>42086</v>
      </c>
      <c r="L3500" s="7">
        <v>174.46</v>
      </c>
      <c r="M3500" s="5">
        <v>218</v>
      </c>
      <c r="N3500" s="7">
        <v>38032.28</v>
      </c>
      <c r="O3500">
        <v>174.46</v>
      </c>
      <c r="P3500">
        <v>218</v>
      </c>
      <c r="Q3500" s="2">
        <v>38032.28</v>
      </c>
      <c r="R3500">
        <v>0</v>
      </c>
      <c r="V3500">
        <v>0</v>
      </c>
      <c r="W3500">
        <v>0</v>
      </c>
      <c r="X3500">
        <v>0</v>
      </c>
      <c r="Y3500">
        <v>0</v>
      </c>
      <c r="Z3500">
        <v>174.46</v>
      </c>
      <c r="AA3500">
        <v>0</v>
      </c>
      <c r="AB3500" s="1">
        <v>42382</v>
      </c>
      <c r="AC3500" t="s">
        <v>53</v>
      </c>
      <c r="AD3500" t="s">
        <v>53</v>
      </c>
      <c r="AK3500">
        <v>0</v>
      </c>
      <c r="AU3500" s="6">
        <v>42304</v>
      </c>
      <c r="AV3500" s="6">
        <v>42304</v>
      </c>
      <c r="AW3500" t="s">
        <v>54</v>
      </c>
      <c r="AX3500" t="str">
        <f t="shared" si="297"/>
        <v>FOR</v>
      </c>
      <c r="AY3500" t="s">
        <v>55</v>
      </c>
    </row>
    <row r="3501" spans="1:51">
      <c r="A3501">
        <v>101170</v>
      </c>
      <c r="B3501" t="s">
        <v>555</v>
      </c>
      <c r="C3501" t="str">
        <f t="shared" si="299"/>
        <v>00527500540</v>
      </c>
      <c r="D3501" t="str">
        <f t="shared" si="299"/>
        <v>00527500540</v>
      </c>
      <c r="E3501" t="s">
        <v>52</v>
      </c>
      <c r="F3501">
        <v>2014</v>
      </c>
      <c r="G3501">
        <v>604213</v>
      </c>
      <c r="H3501" s="1">
        <v>41982</v>
      </c>
      <c r="I3501" s="1">
        <v>42026</v>
      </c>
      <c r="J3501" s="1">
        <v>42026</v>
      </c>
      <c r="K3501" s="1">
        <v>42086</v>
      </c>
      <c r="L3501" s="7">
        <v>5490</v>
      </c>
      <c r="M3501" s="5">
        <v>218</v>
      </c>
      <c r="N3501" s="7">
        <v>1196820</v>
      </c>
      <c r="O3501" s="2">
        <v>5490</v>
      </c>
      <c r="P3501">
        <v>218</v>
      </c>
      <c r="Q3501" s="2">
        <v>1196820</v>
      </c>
      <c r="R3501">
        <v>0</v>
      </c>
      <c r="V3501">
        <v>0</v>
      </c>
      <c r="W3501">
        <v>0</v>
      </c>
      <c r="X3501">
        <v>0</v>
      </c>
      <c r="Y3501">
        <v>0</v>
      </c>
      <c r="Z3501" s="2">
        <v>5490</v>
      </c>
      <c r="AA3501">
        <v>0</v>
      </c>
      <c r="AB3501" s="1">
        <v>42382</v>
      </c>
      <c r="AC3501" t="s">
        <v>53</v>
      </c>
      <c r="AD3501" t="s">
        <v>53</v>
      </c>
      <c r="AK3501">
        <v>0</v>
      </c>
      <c r="AU3501" s="6">
        <v>42304</v>
      </c>
      <c r="AV3501" s="6">
        <v>42304</v>
      </c>
      <c r="AW3501" t="s">
        <v>54</v>
      </c>
      <c r="AX3501" t="str">
        <f t="shared" si="297"/>
        <v>FOR</v>
      </c>
      <c r="AY3501" t="s">
        <v>55</v>
      </c>
    </row>
    <row r="3502" spans="1:51">
      <c r="A3502">
        <v>101170</v>
      </c>
      <c r="B3502" t="s">
        <v>555</v>
      </c>
      <c r="C3502" t="str">
        <f t="shared" si="299"/>
        <v>00527500540</v>
      </c>
      <c r="D3502" t="str">
        <f t="shared" si="299"/>
        <v>00527500540</v>
      </c>
      <c r="E3502" t="s">
        <v>52</v>
      </c>
      <c r="F3502">
        <v>2014</v>
      </c>
      <c r="G3502">
        <v>604214</v>
      </c>
      <c r="H3502" s="1">
        <v>41982</v>
      </c>
      <c r="I3502" s="1">
        <v>42026</v>
      </c>
      <c r="J3502" s="1">
        <v>42026</v>
      </c>
      <c r="K3502" s="1">
        <v>42086</v>
      </c>
      <c r="L3502" s="7">
        <v>3202.5</v>
      </c>
      <c r="M3502" s="5">
        <v>218</v>
      </c>
      <c r="N3502" s="7">
        <v>698145</v>
      </c>
      <c r="O3502" s="2">
        <v>3202.5</v>
      </c>
      <c r="P3502">
        <v>218</v>
      </c>
      <c r="Q3502" s="2">
        <v>698145</v>
      </c>
      <c r="R3502">
        <v>0</v>
      </c>
      <c r="V3502">
        <v>0</v>
      </c>
      <c r="W3502">
        <v>0</v>
      </c>
      <c r="X3502">
        <v>0</v>
      </c>
      <c r="Y3502">
        <v>0</v>
      </c>
      <c r="Z3502" s="2">
        <v>3202.5</v>
      </c>
      <c r="AA3502">
        <v>0</v>
      </c>
      <c r="AB3502" s="1">
        <v>42382</v>
      </c>
      <c r="AC3502" t="s">
        <v>53</v>
      </c>
      <c r="AD3502" t="s">
        <v>53</v>
      </c>
      <c r="AK3502">
        <v>0</v>
      </c>
      <c r="AU3502" s="6">
        <v>42304</v>
      </c>
      <c r="AV3502" s="6">
        <v>42304</v>
      </c>
      <c r="AW3502" t="s">
        <v>54</v>
      </c>
      <c r="AX3502" t="str">
        <f t="shared" si="297"/>
        <v>FOR</v>
      </c>
      <c r="AY3502" t="s">
        <v>55</v>
      </c>
    </row>
    <row r="3503" spans="1:51">
      <c r="A3503">
        <v>101170</v>
      </c>
      <c r="B3503" t="s">
        <v>555</v>
      </c>
      <c r="C3503" t="str">
        <f t="shared" si="299"/>
        <v>00527500540</v>
      </c>
      <c r="D3503" t="str">
        <f t="shared" si="299"/>
        <v>00527500540</v>
      </c>
      <c r="E3503" t="s">
        <v>52</v>
      </c>
      <c r="F3503">
        <v>2014</v>
      </c>
      <c r="G3503">
        <v>604215</v>
      </c>
      <c r="H3503" s="1">
        <v>41982</v>
      </c>
      <c r="I3503" s="1">
        <v>42026</v>
      </c>
      <c r="J3503" s="1">
        <v>42026</v>
      </c>
      <c r="K3503" s="1">
        <v>42086</v>
      </c>
      <c r="L3503" s="7">
        <v>1171.2</v>
      </c>
      <c r="M3503" s="5">
        <v>218</v>
      </c>
      <c r="N3503" s="7">
        <v>255321.60000000001</v>
      </c>
      <c r="O3503" s="2">
        <v>1171.2</v>
      </c>
      <c r="P3503">
        <v>218</v>
      </c>
      <c r="Q3503" s="2">
        <v>255321.60000000001</v>
      </c>
      <c r="R3503">
        <v>0</v>
      </c>
      <c r="V3503">
        <v>0</v>
      </c>
      <c r="W3503">
        <v>0</v>
      </c>
      <c r="X3503">
        <v>0</v>
      </c>
      <c r="Y3503">
        <v>0</v>
      </c>
      <c r="Z3503" s="2">
        <v>1171.2</v>
      </c>
      <c r="AA3503">
        <v>0</v>
      </c>
      <c r="AB3503" s="1">
        <v>42382</v>
      </c>
      <c r="AC3503" t="s">
        <v>53</v>
      </c>
      <c r="AD3503" t="s">
        <v>53</v>
      </c>
      <c r="AK3503">
        <v>0</v>
      </c>
      <c r="AU3503" s="6">
        <v>42304</v>
      </c>
      <c r="AV3503" s="6">
        <v>42304</v>
      </c>
      <c r="AW3503" t="s">
        <v>54</v>
      </c>
      <c r="AX3503" t="str">
        <f t="shared" si="297"/>
        <v>FOR</v>
      </c>
      <c r="AY3503" t="s">
        <v>55</v>
      </c>
    </row>
    <row r="3504" spans="1:51">
      <c r="A3504">
        <v>101170</v>
      </c>
      <c r="B3504" t="s">
        <v>555</v>
      </c>
      <c r="C3504" t="str">
        <f t="shared" si="299"/>
        <v>00527500540</v>
      </c>
      <c r="D3504" t="str">
        <f t="shared" si="299"/>
        <v>00527500540</v>
      </c>
      <c r="E3504" t="s">
        <v>52</v>
      </c>
      <c r="F3504">
        <v>2014</v>
      </c>
      <c r="G3504">
        <v>604216</v>
      </c>
      <c r="H3504" s="1">
        <v>41982</v>
      </c>
      <c r="I3504" s="1">
        <v>42026</v>
      </c>
      <c r="J3504" s="1">
        <v>42026</v>
      </c>
      <c r="K3504" s="1">
        <v>42086</v>
      </c>
      <c r="L3504" s="7">
        <v>1073.5999999999999</v>
      </c>
      <c r="M3504" s="5">
        <v>218</v>
      </c>
      <c r="N3504" s="7">
        <v>234044.79999999999</v>
      </c>
      <c r="O3504" s="2">
        <v>1073.5999999999999</v>
      </c>
      <c r="P3504">
        <v>218</v>
      </c>
      <c r="Q3504" s="2">
        <v>234044.79999999999</v>
      </c>
      <c r="R3504">
        <v>0</v>
      </c>
      <c r="V3504">
        <v>0</v>
      </c>
      <c r="W3504">
        <v>0</v>
      </c>
      <c r="X3504">
        <v>0</v>
      </c>
      <c r="Y3504">
        <v>0</v>
      </c>
      <c r="Z3504" s="2">
        <v>1073.5999999999999</v>
      </c>
      <c r="AA3504">
        <v>0</v>
      </c>
      <c r="AB3504" s="1">
        <v>42382</v>
      </c>
      <c r="AC3504" t="s">
        <v>53</v>
      </c>
      <c r="AD3504" t="s">
        <v>53</v>
      </c>
      <c r="AK3504">
        <v>0</v>
      </c>
      <c r="AU3504" s="6">
        <v>42304</v>
      </c>
      <c r="AV3504" s="6">
        <v>42304</v>
      </c>
      <c r="AW3504" t="s">
        <v>54</v>
      </c>
      <c r="AX3504" t="str">
        <f t="shared" si="297"/>
        <v>FOR</v>
      </c>
      <c r="AY3504" t="s">
        <v>55</v>
      </c>
    </row>
    <row r="3505" spans="1:51">
      <c r="A3505">
        <v>101170</v>
      </c>
      <c r="B3505" t="s">
        <v>555</v>
      </c>
      <c r="C3505" t="str">
        <f t="shared" si="299"/>
        <v>00527500540</v>
      </c>
      <c r="D3505" t="str">
        <f t="shared" si="299"/>
        <v>00527500540</v>
      </c>
      <c r="E3505" t="s">
        <v>52</v>
      </c>
      <c r="F3505">
        <v>2014</v>
      </c>
      <c r="G3505">
        <v>604217</v>
      </c>
      <c r="H3505" s="1">
        <v>41982</v>
      </c>
      <c r="I3505" s="1">
        <v>42026</v>
      </c>
      <c r="J3505" s="1">
        <v>42026</v>
      </c>
      <c r="K3505" s="1">
        <v>42086</v>
      </c>
      <c r="L3505" s="7">
        <v>402.6</v>
      </c>
      <c r="M3505" s="5">
        <v>218</v>
      </c>
      <c r="N3505" s="7">
        <v>87766.8</v>
      </c>
      <c r="O3505">
        <v>402.6</v>
      </c>
      <c r="P3505">
        <v>218</v>
      </c>
      <c r="Q3505" s="2">
        <v>87766.8</v>
      </c>
      <c r="R3505">
        <v>0</v>
      </c>
      <c r="V3505">
        <v>0</v>
      </c>
      <c r="W3505">
        <v>0</v>
      </c>
      <c r="X3505">
        <v>0</v>
      </c>
      <c r="Y3505">
        <v>0</v>
      </c>
      <c r="Z3505">
        <v>402.6</v>
      </c>
      <c r="AA3505">
        <v>0</v>
      </c>
      <c r="AB3505" s="1">
        <v>42382</v>
      </c>
      <c r="AC3505" t="s">
        <v>53</v>
      </c>
      <c r="AD3505" t="s">
        <v>53</v>
      </c>
      <c r="AK3505">
        <v>0</v>
      </c>
      <c r="AU3505" s="6">
        <v>42304</v>
      </c>
      <c r="AV3505" s="6">
        <v>42304</v>
      </c>
      <c r="AW3505" t="s">
        <v>54</v>
      </c>
      <c r="AX3505" t="str">
        <f t="shared" si="297"/>
        <v>FOR</v>
      </c>
      <c r="AY3505" t="s">
        <v>55</v>
      </c>
    </row>
    <row r="3506" spans="1:51">
      <c r="A3506">
        <v>101170</v>
      </c>
      <c r="B3506" t="s">
        <v>555</v>
      </c>
      <c r="C3506" t="str">
        <f t="shared" si="299"/>
        <v>00527500540</v>
      </c>
      <c r="D3506" t="str">
        <f t="shared" si="299"/>
        <v>00527500540</v>
      </c>
      <c r="E3506" t="s">
        <v>52</v>
      </c>
      <c r="F3506">
        <v>2014</v>
      </c>
      <c r="G3506">
        <v>604218</v>
      </c>
      <c r="H3506" s="1">
        <v>41982</v>
      </c>
      <c r="I3506" s="1">
        <v>42026</v>
      </c>
      <c r="J3506" s="1">
        <v>42026</v>
      </c>
      <c r="K3506" s="1">
        <v>42086</v>
      </c>
      <c r="L3506" s="7">
        <v>231.8</v>
      </c>
      <c r="M3506" s="5">
        <v>218</v>
      </c>
      <c r="N3506" s="7">
        <v>50532.4</v>
      </c>
      <c r="O3506">
        <v>231.8</v>
      </c>
      <c r="P3506">
        <v>218</v>
      </c>
      <c r="Q3506" s="2">
        <v>50532.4</v>
      </c>
      <c r="R3506">
        <v>0</v>
      </c>
      <c r="V3506">
        <v>0</v>
      </c>
      <c r="W3506">
        <v>0</v>
      </c>
      <c r="X3506">
        <v>0</v>
      </c>
      <c r="Y3506">
        <v>0</v>
      </c>
      <c r="Z3506">
        <v>231.8</v>
      </c>
      <c r="AA3506">
        <v>0</v>
      </c>
      <c r="AB3506" s="1">
        <v>42382</v>
      </c>
      <c r="AC3506" t="s">
        <v>53</v>
      </c>
      <c r="AD3506" t="s">
        <v>53</v>
      </c>
      <c r="AK3506">
        <v>0</v>
      </c>
      <c r="AU3506" s="6">
        <v>42304</v>
      </c>
      <c r="AV3506" s="6">
        <v>42304</v>
      </c>
      <c r="AW3506" t="s">
        <v>54</v>
      </c>
      <c r="AX3506" t="str">
        <f t="shared" si="297"/>
        <v>FOR</v>
      </c>
      <c r="AY3506" t="s">
        <v>55</v>
      </c>
    </row>
    <row r="3507" spans="1:51">
      <c r="A3507">
        <v>101170</v>
      </c>
      <c r="B3507" t="s">
        <v>555</v>
      </c>
      <c r="C3507" t="str">
        <f t="shared" si="299"/>
        <v>00527500540</v>
      </c>
      <c r="D3507" t="str">
        <f t="shared" si="299"/>
        <v>00527500540</v>
      </c>
      <c r="E3507" t="s">
        <v>52</v>
      </c>
      <c r="F3507">
        <v>2014</v>
      </c>
      <c r="G3507">
        <v>604219</v>
      </c>
      <c r="H3507" s="1">
        <v>41982</v>
      </c>
      <c r="I3507" s="1">
        <v>42026</v>
      </c>
      <c r="J3507" s="1">
        <v>42026</v>
      </c>
      <c r="K3507" s="1">
        <v>42086</v>
      </c>
      <c r="L3507" s="7">
        <v>1073.5999999999999</v>
      </c>
      <c r="M3507" s="5">
        <v>218</v>
      </c>
      <c r="N3507" s="7">
        <v>234044.79999999999</v>
      </c>
      <c r="O3507" s="2">
        <v>1073.5999999999999</v>
      </c>
      <c r="P3507">
        <v>218</v>
      </c>
      <c r="Q3507" s="2">
        <v>234044.79999999999</v>
      </c>
      <c r="R3507">
        <v>0</v>
      </c>
      <c r="V3507">
        <v>0</v>
      </c>
      <c r="W3507">
        <v>0</v>
      </c>
      <c r="X3507">
        <v>0</v>
      </c>
      <c r="Y3507">
        <v>0</v>
      </c>
      <c r="Z3507" s="2">
        <v>1073.5999999999999</v>
      </c>
      <c r="AA3507">
        <v>0</v>
      </c>
      <c r="AB3507" s="1">
        <v>42382</v>
      </c>
      <c r="AC3507" t="s">
        <v>53</v>
      </c>
      <c r="AD3507" t="s">
        <v>53</v>
      </c>
      <c r="AK3507">
        <v>0</v>
      </c>
      <c r="AU3507" s="6">
        <v>42304</v>
      </c>
      <c r="AV3507" s="6">
        <v>42304</v>
      </c>
      <c r="AW3507" t="s">
        <v>54</v>
      </c>
      <c r="AX3507" t="str">
        <f t="shared" si="297"/>
        <v>FOR</v>
      </c>
      <c r="AY3507" t="s">
        <v>55</v>
      </c>
    </row>
    <row r="3508" spans="1:51">
      <c r="A3508">
        <v>101170</v>
      </c>
      <c r="B3508" t="s">
        <v>555</v>
      </c>
      <c r="C3508" t="str">
        <f t="shared" ref="C3508:D3527" si="300">"00527500540"</f>
        <v>00527500540</v>
      </c>
      <c r="D3508" t="str">
        <f t="shared" si="300"/>
        <v>00527500540</v>
      </c>
      <c r="E3508" t="s">
        <v>52</v>
      </c>
      <c r="F3508">
        <v>2014</v>
      </c>
      <c r="G3508">
        <v>604637</v>
      </c>
      <c r="H3508" s="1">
        <v>42002</v>
      </c>
      <c r="I3508" s="1">
        <v>42026</v>
      </c>
      <c r="J3508" s="1">
        <v>42026</v>
      </c>
      <c r="K3508" s="1">
        <v>42086</v>
      </c>
      <c r="L3508" s="7">
        <v>13420</v>
      </c>
      <c r="M3508" s="5">
        <v>218</v>
      </c>
      <c r="N3508" s="7">
        <v>2925560</v>
      </c>
      <c r="O3508" s="2">
        <v>13420</v>
      </c>
      <c r="P3508">
        <v>218</v>
      </c>
      <c r="Q3508" s="2">
        <v>2925560</v>
      </c>
      <c r="R3508">
        <v>0</v>
      </c>
      <c r="V3508">
        <v>0</v>
      </c>
      <c r="W3508">
        <v>0</v>
      </c>
      <c r="X3508">
        <v>0</v>
      </c>
      <c r="Y3508">
        <v>0</v>
      </c>
      <c r="Z3508" s="2">
        <v>13420</v>
      </c>
      <c r="AA3508">
        <v>0</v>
      </c>
      <c r="AB3508" s="1">
        <v>42382</v>
      </c>
      <c r="AC3508" t="s">
        <v>53</v>
      </c>
      <c r="AD3508" t="s">
        <v>53</v>
      </c>
      <c r="AK3508">
        <v>0</v>
      </c>
      <c r="AU3508" s="6">
        <v>42304</v>
      </c>
      <c r="AV3508" s="6">
        <v>42304</v>
      </c>
      <c r="AW3508" t="s">
        <v>54</v>
      </c>
      <c r="AX3508" t="str">
        <f t="shared" si="297"/>
        <v>FOR</v>
      </c>
      <c r="AY3508" t="s">
        <v>55</v>
      </c>
    </row>
    <row r="3509" spans="1:51">
      <c r="A3509">
        <v>101170</v>
      </c>
      <c r="B3509" t="s">
        <v>555</v>
      </c>
      <c r="C3509" t="str">
        <f t="shared" si="300"/>
        <v>00527500540</v>
      </c>
      <c r="D3509" t="str">
        <f t="shared" si="300"/>
        <v>00527500540</v>
      </c>
      <c r="E3509" t="s">
        <v>52</v>
      </c>
      <c r="F3509">
        <v>2014</v>
      </c>
      <c r="G3509">
        <v>604638</v>
      </c>
      <c r="H3509" s="1">
        <v>42002</v>
      </c>
      <c r="I3509" s="1">
        <v>42026</v>
      </c>
      <c r="J3509" s="1">
        <v>42026</v>
      </c>
      <c r="K3509" s="1">
        <v>42086</v>
      </c>
      <c r="L3509" s="7">
        <v>3191.52</v>
      </c>
      <c r="M3509" s="5">
        <v>218</v>
      </c>
      <c r="N3509" s="7">
        <v>695751.36</v>
      </c>
      <c r="O3509" s="2">
        <v>3191.52</v>
      </c>
      <c r="P3509">
        <v>218</v>
      </c>
      <c r="Q3509" s="2">
        <v>695751.36</v>
      </c>
      <c r="R3509">
        <v>0</v>
      </c>
      <c r="V3509">
        <v>0</v>
      </c>
      <c r="W3509">
        <v>0</v>
      </c>
      <c r="X3509">
        <v>0</v>
      </c>
      <c r="Y3509">
        <v>0</v>
      </c>
      <c r="Z3509" s="2">
        <v>3191.52</v>
      </c>
      <c r="AA3509">
        <v>0</v>
      </c>
      <c r="AB3509" s="1">
        <v>42382</v>
      </c>
      <c r="AC3509" t="s">
        <v>53</v>
      </c>
      <c r="AD3509" t="s">
        <v>53</v>
      </c>
      <c r="AK3509">
        <v>0</v>
      </c>
      <c r="AU3509" s="6">
        <v>42304</v>
      </c>
      <c r="AV3509" s="6">
        <v>42304</v>
      </c>
      <c r="AW3509" t="s">
        <v>54</v>
      </c>
      <c r="AX3509" t="str">
        <f t="shared" si="297"/>
        <v>FOR</v>
      </c>
      <c r="AY3509" t="s">
        <v>55</v>
      </c>
    </row>
    <row r="3510" spans="1:51">
      <c r="A3510">
        <v>101170</v>
      </c>
      <c r="B3510" t="s">
        <v>555</v>
      </c>
      <c r="C3510" t="str">
        <f t="shared" si="300"/>
        <v>00527500540</v>
      </c>
      <c r="D3510" t="str">
        <f t="shared" si="300"/>
        <v>00527500540</v>
      </c>
      <c r="E3510" t="s">
        <v>52</v>
      </c>
      <c r="F3510">
        <v>2014</v>
      </c>
      <c r="G3510">
        <v>604639</v>
      </c>
      <c r="H3510" s="1">
        <v>42002</v>
      </c>
      <c r="I3510" s="1">
        <v>42026</v>
      </c>
      <c r="J3510" s="1">
        <v>42026</v>
      </c>
      <c r="K3510" s="1">
        <v>42086</v>
      </c>
      <c r="L3510" s="7">
        <v>219.6</v>
      </c>
      <c r="M3510" s="5">
        <v>218</v>
      </c>
      <c r="N3510" s="7">
        <v>47872.800000000003</v>
      </c>
      <c r="O3510">
        <v>219.6</v>
      </c>
      <c r="P3510">
        <v>218</v>
      </c>
      <c r="Q3510" s="2">
        <v>47872.800000000003</v>
      </c>
      <c r="R3510">
        <v>0</v>
      </c>
      <c r="V3510">
        <v>0</v>
      </c>
      <c r="W3510">
        <v>0</v>
      </c>
      <c r="X3510">
        <v>0</v>
      </c>
      <c r="Y3510">
        <v>0</v>
      </c>
      <c r="Z3510">
        <v>219.6</v>
      </c>
      <c r="AA3510">
        <v>0</v>
      </c>
      <c r="AB3510" s="1">
        <v>42382</v>
      </c>
      <c r="AC3510" t="s">
        <v>53</v>
      </c>
      <c r="AD3510" t="s">
        <v>53</v>
      </c>
      <c r="AK3510">
        <v>0</v>
      </c>
      <c r="AU3510" s="6">
        <v>42304</v>
      </c>
      <c r="AV3510" s="6">
        <v>42304</v>
      </c>
      <c r="AW3510" t="s">
        <v>54</v>
      </c>
      <c r="AX3510" t="str">
        <f t="shared" si="297"/>
        <v>FOR</v>
      </c>
      <c r="AY3510" t="s">
        <v>55</v>
      </c>
    </row>
    <row r="3511" spans="1:51">
      <c r="A3511">
        <v>101170</v>
      </c>
      <c r="B3511" t="s">
        <v>555</v>
      </c>
      <c r="C3511" t="str">
        <f t="shared" si="300"/>
        <v>00527500540</v>
      </c>
      <c r="D3511" t="str">
        <f t="shared" si="300"/>
        <v>00527500540</v>
      </c>
      <c r="E3511" t="s">
        <v>52</v>
      </c>
      <c r="F3511">
        <v>2014</v>
      </c>
      <c r="G3511">
        <v>604640</v>
      </c>
      <c r="H3511" s="1">
        <v>42002</v>
      </c>
      <c r="I3511" s="1">
        <v>42026</v>
      </c>
      <c r="J3511" s="1">
        <v>42026</v>
      </c>
      <c r="K3511" s="1">
        <v>42086</v>
      </c>
      <c r="L3511" s="7">
        <v>1830</v>
      </c>
      <c r="M3511" s="5">
        <v>218</v>
      </c>
      <c r="N3511" s="7">
        <v>398940</v>
      </c>
      <c r="O3511" s="2">
        <v>1830</v>
      </c>
      <c r="P3511">
        <v>218</v>
      </c>
      <c r="Q3511" s="2">
        <v>398940</v>
      </c>
      <c r="R3511">
        <v>0</v>
      </c>
      <c r="V3511">
        <v>0</v>
      </c>
      <c r="W3511">
        <v>0</v>
      </c>
      <c r="X3511">
        <v>0</v>
      </c>
      <c r="Y3511">
        <v>0</v>
      </c>
      <c r="Z3511" s="2">
        <v>1830</v>
      </c>
      <c r="AA3511">
        <v>0</v>
      </c>
      <c r="AB3511" s="1">
        <v>42382</v>
      </c>
      <c r="AC3511" t="s">
        <v>53</v>
      </c>
      <c r="AD3511" t="s">
        <v>53</v>
      </c>
      <c r="AK3511">
        <v>0</v>
      </c>
      <c r="AU3511" s="6">
        <v>42304</v>
      </c>
      <c r="AV3511" s="6">
        <v>42304</v>
      </c>
      <c r="AW3511" t="s">
        <v>54</v>
      </c>
      <c r="AX3511" t="str">
        <f t="shared" si="297"/>
        <v>FOR</v>
      </c>
      <c r="AY3511" t="s">
        <v>55</v>
      </c>
    </row>
    <row r="3512" spans="1:51">
      <c r="A3512">
        <v>101170</v>
      </c>
      <c r="B3512" t="s">
        <v>555</v>
      </c>
      <c r="C3512" t="str">
        <f t="shared" si="300"/>
        <v>00527500540</v>
      </c>
      <c r="D3512" t="str">
        <f t="shared" si="300"/>
        <v>00527500540</v>
      </c>
      <c r="E3512" t="s">
        <v>52</v>
      </c>
      <c r="F3512">
        <v>2014</v>
      </c>
      <c r="G3512">
        <v>604641</v>
      </c>
      <c r="H3512" s="1">
        <v>42002</v>
      </c>
      <c r="I3512" s="1">
        <v>42026</v>
      </c>
      <c r="J3512" s="1">
        <v>42026</v>
      </c>
      <c r="K3512" s="1">
        <v>42086</v>
      </c>
      <c r="L3512" s="7">
        <v>1830</v>
      </c>
      <c r="M3512" s="5">
        <v>218</v>
      </c>
      <c r="N3512" s="7">
        <v>398940</v>
      </c>
      <c r="O3512" s="2">
        <v>1830</v>
      </c>
      <c r="P3512">
        <v>218</v>
      </c>
      <c r="Q3512" s="2">
        <v>398940</v>
      </c>
      <c r="R3512">
        <v>0</v>
      </c>
      <c r="V3512">
        <v>0</v>
      </c>
      <c r="W3512">
        <v>0</v>
      </c>
      <c r="X3512">
        <v>0</v>
      </c>
      <c r="Y3512">
        <v>0</v>
      </c>
      <c r="Z3512" s="2">
        <v>1830</v>
      </c>
      <c r="AA3512">
        <v>0</v>
      </c>
      <c r="AB3512" s="1">
        <v>42382</v>
      </c>
      <c r="AC3512" t="s">
        <v>53</v>
      </c>
      <c r="AD3512" t="s">
        <v>53</v>
      </c>
      <c r="AK3512">
        <v>0</v>
      </c>
      <c r="AU3512" s="6">
        <v>42304</v>
      </c>
      <c r="AV3512" s="6">
        <v>42304</v>
      </c>
      <c r="AW3512" t="s">
        <v>54</v>
      </c>
      <c r="AX3512" t="str">
        <f t="shared" si="297"/>
        <v>FOR</v>
      </c>
      <c r="AY3512" t="s">
        <v>55</v>
      </c>
    </row>
    <row r="3513" spans="1:51">
      <c r="A3513">
        <v>101170</v>
      </c>
      <c r="B3513" t="s">
        <v>555</v>
      </c>
      <c r="C3513" t="str">
        <f t="shared" si="300"/>
        <v>00527500540</v>
      </c>
      <c r="D3513" t="str">
        <f t="shared" si="300"/>
        <v>00527500540</v>
      </c>
      <c r="E3513" t="s">
        <v>52</v>
      </c>
      <c r="F3513">
        <v>2014</v>
      </c>
      <c r="G3513">
        <v>604642</v>
      </c>
      <c r="H3513" s="1">
        <v>42002</v>
      </c>
      <c r="I3513" s="1">
        <v>42026</v>
      </c>
      <c r="J3513" s="1">
        <v>42026</v>
      </c>
      <c r="K3513" s="1">
        <v>42086</v>
      </c>
      <c r="L3513" s="7">
        <v>2562</v>
      </c>
      <c r="M3513" s="5">
        <v>218</v>
      </c>
      <c r="N3513" s="7">
        <v>558516</v>
      </c>
      <c r="O3513" s="2">
        <v>2562</v>
      </c>
      <c r="P3513">
        <v>218</v>
      </c>
      <c r="Q3513" s="2">
        <v>558516</v>
      </c>
      <c r="R3513">
        <v>0</v>
      </c>
      <c r="V3513">
        <v>0</v>
      </c>
      <c r="W3513">
        <v>0</v>
      </c>
      <c r="X3513">
        <v>0</v>
      </c>
      <c r="Y3513">
        <v>0</v>
      </c>
      <c r="Z3513" s="2">
        <v>2562</v>
      </c>
      <c r="AA3513">
        <v>0</v>
      </c>
      <c r="AB3513" s="1">
        <v>42382</v>
      </c>
      <c r="AC3513" t="s">
        <v>53</v>
      </c>
      <c r="AD3513" t="s">
        <v>53</v>
      </c>
      <c r="AK3513">
        <v>0</v>
      </c>
      <c r="AU3513" s="6">
        <v>42304</v>
      </c>
      <c r="AV3513" s="6">
        <v>42304</v>
      </c>
      <c r="AW3513" t="s">
        <v>54</v>
      </c>
      <c r="AX3513" t="str">
        <f t="shared" si="297"/>
        <v>FOR</v>
      </c>
      <c r="AY3513" t="s">
        <v>55</v>
      </c>
    </row>
    <row r="3514" spans="1:51">
      <c r="A3514">
        <v>101170</v>
      </c>
      <c r="B3514" t="s">
        <v>555</v>
      </c>
      <c r="C3514" t="str">
        <f t="shared" si="300"/>
        <v>00527500540</v>
      </c>
      <c r="D3514" t="str">
        <f t="shared" si="300"/>
        <v>00527500540</v>
      </c>
      <c r="E3514" t="s">
        <v>52</v>
      </c>
      <c r="F3514">
        <v>2014</v>
      </c>
      <c r="G3514">
        <v>604643</v>
      </c>
      <c r="H3514" s="1">
        <v>42002</v>
      </c>
      <c r="I3514" s="1">
        <v>42026</v>
      </c>
      <c r="J3514" s="1">
        <v>42026</v>
      </c>
      <c r="K3514" s="1">
        <v>42086</v>
      </c>
      <c r="L3514" s="7">
        <v>219.6</v>
      </c>
      <c r="M3514" s="5">
        <v>218</v>
      </c>
      <c r="N3514" s="7">
        <v>47872.800000000003</v>
      </c>
      <c r="O3514">
        <v>219.6</v>
      </c>
      <c r="P3514">
        <v>218</v>
      </c>
      <c r="Q3514" s="2">
        <v>47872.800000000003</v>
      </c>
      <c r="R3514">
        <v>0</v>
      </c>
      <c r="V3514">
        <v>0</v>
      </c>
      <c r="W3514">
        <v>0</v>
      </c>
      <c r="X3514">
        <v>0</v>
      </c>
      <c r="Y3514">
        <v>0</v>
      </c>
      <c r="Z3514">
        <v>219.6</v>
      </c>
      <c r="AA3514">
        <v>0</v>
      </c>
      <c r="AB3514" s="1">
        <v>42382</v>
      </c>
      <c r="AC3514" t="s">
        <v>53</v>
      </c>
      <c r="AD3514" t="s">
        <v>53</v>
      </c>
      <c r="AK3514">
        <v>0</v>
      </c>
      <c r="AU3514" s="6">
        <v>42304</v>
      </c>
      <c r="AV3514" s="6">
        <v>42304</v>
      </c>
      <c r="AW3514" t="s">
        <v>54</v>
      </c>
      <c r="AX3514" t="str">
        <f t="shared" si="297"/>
        <v>FOR</v>
      </c>
      <c r="AY3514" t="s">
        <v>55</v>
      </c>
    </row>
    <row r="3515" spans="1:51">
      <c r="A3515">
        <v>101170</v>
      </c>
      <c r="B3515" t="s">
        <v>555</v>
      </c>
      <c r="C3515" t="str">
        <f t="shared" si="300"/>
        <v>00527500540</v>
      </c>
      <c r="D3515" t="str">
        <f t="shared" si="300"/>
        <v>00527500540</v>
      </c>
      <c r="E3515" t="s">
        <v>52</v>
      </c>
      <c r="F3515">
        <v>2014</v>
      </c>
      <c r="G3515">
        <v>604644</v>
      </c>
      <c r="H3515" s="1">
        <v>42002</v>
      </c>
      <c r="I3515" s="1">
        <v>42026</v>
      </c>
      <c r="J3515" s="1">
        <v>42026</v>
      </c>
      <c r="K3515" s="1">
        <v>42086</v>
      </c>
      <c r="L3515" s="7">
        <v>1488.4</v>
      </c>
      <c r="M3515" s="5">
        <v>218</v>
      </c>
      <c r="N3515" s="7">
        <v>324471.2</v>
      </c>
      <c r="O3515" s="2">
        <v>1488.4</v>
      </c>
      <c r="P3515">
        <v>218</v>
      </c>
      <c r="Q3515" s="2">
        <v>324471.2</v>
      </c>
      <c r="R3515">
        <v>0</v>
      </c>
      <c r="V3515">
        <v>0</v>
      </c>
      <c r="W3515">
        <v>0</v>
      </c>
      <c r="X3515">
        <v>0</v>
      </c>
      <c r="Y3515">
        <v>0</v>
      </c>
      <c r="Z3515" s="2">
        <v>1488.4</v>
      </c>
      <c r="AA3515">
        <v>0</v>
      </c>
      <c r="AB3515" s="1">
        <v>42382</v>
      </c>
      <c r="AC3515" t="s">
        <v>53</v>
      </c>
      <c r="AD3515" t="s">
        <v>53</v>
      </c>
      <c r="AK3515">
        <v>0</v>
      </c>
      <c r="AU3515" s="6">
        <v>42304</v>
      </c>
      <c r="AV3515" s="6">
        <v>42304</v>
      </c>
      <c r="AW3515" t="s">
        <v>54</v>
      </c>
      <c r="AX3515" t="str">
        <f t="shared" si="297"/>
        <v>FOR</v>
      </c>
      <c r="AY3515" t="s">
        <v>55</v>
      </c>
    </row>
    <row r="3516" spans="1:51">
      <c r="A3516">
        <v>101170</v>
      </c>
      <c r="B3516" t="s">
        <v>555</v>
      </c>
      <c r="C3516" t="str">
        <f t="shared" si="300"/>
        <v>00527500540</v>
      </c>
      <c r="D3516" t="str">
        <f t="shared" si="300"/>
        <v>00527500540</v>
      </c>
      <c r="E3516" t="s">
        <v>52</v>
      </c>
      <c r="F3516">
        <v>2014</v>
      </c>
      <c r="G3516">
        <v>604645</v>
      </c>
      <c r="H3516" s="1">
        <v>42002</v>
      </c>
      <c r="I3516" s="1">
        <v>42026</v>
      </c>
      <c r="J3516" s="1">
        <v>42026</v>
      </c>
      <c r="K3516" s="1">
        <v>42086</v>
      </c>
      <c r="L3516" s="7">
        <v>381.4</v>
      </c>
      <c r="M3516" s="5">
        <v>218</v>
      </c>
      <c r="N3516" s="7">
        <v>83145.2</v>
      </c>
      <c r="O3516">
        <v>381.4</v>
      </c>
      <c r="P3516">
        <v>218</v>
      </c>
      <c r="Q3516" s="2">
        <v>83145.2</v>
      </c>
      <c r="R3516">
        <v>0</v>
      </c>
      <c r="V3516">
        <v>0</v>
      </c>
      <c r="W3516">
        <v>0</v>
      </c>
      <c r="X3516">
        <v>0</v>
      </c>
      <c r="Y3516">
        <v>0</v>
      </c>
      <c r="Z3516">
        <v>381.4</v>
      </c>
      <c r="AA3516">
        <v>0</v>
      </c>
      <c r="AB3516" s="1">
        <v>42382</v>
      </c>
      <c r="AC3516" t="s">
        <v>53</v>
      </c>
      <c r="AD3516" t="s">
        <v>53</v>
      </c>
      <c r="AK3516">
        <v>0</v>
      </c>
      <c r="AU3516" s="6">
        <v>42304</v>
      </c>
      <c r="AV3516" s="6">
        <v>42304</v>
      </c>
      <c r="AW3516" t="s">
        <v>54</v>
      </c>
      <c r="AX3516" t="str">
        <f t="shared" si="297"/>
        <v>FOR</v>
      </c>
      <c r="AY3516" t="s">
        <v>55</v>
      </c>
    </row>
    <row r="3517" spans="1:51">
      <c r="A3517">
        <v>101170</v>
      </c>
      <c r="B3517" t="s">
        <v>555</v>
      </c>
      <c r="C3517" t="str">
        <f t="shared" si="300"/>
        <v>00527500540</v>
      </c>
      <c r="D3517" t="str">
        <f t="shared" si="300"/>
        <v>00527500540</v>
      </c>
      <c r="E3517" t="s">
        <v>52</v>
      </c>
      <c r="F3517">
        <v>2014</v>
      </c>
      <c r="G3517">
        <v>604646</v>
      </c>
      <c r="H3517" s="1">
        <v>42002</v>
      </c>
      <c r="I3517" s="1">
        <v>42026</v>
      </c>
      <c r="J3517" s="1">
        <v>42026</v>
      </c>
      <c r="K3517" s="1">
        <v>42086</v>
      </c>
      <c r="L3517" s="7">
        <v>381.4</v>
      </c>
      <c r="M3517" s="5">
        <v>218</v>
      </c>
      <c r="N3517" s="7">
        <v>83145.2</v>
      </c>
      <c r="O3517">
        <v>381.4</v>
      </c>
      <c r="P3517">
        <v>218</v>
      </c>
      <c r="Q3517" s="2">
        <v>83145.2</v>
      </c>
      <c r="R3517">
        <v>0</v>
      </c>
      <c r="V3517">
        <v>0</v>
      </c>
      <c r="W3517">
        <v>0</v>
      </c>
      <c r="X3517">
        <v>0</v>
      </c>
      <c r="Y3517">
        <v>0</v>
      </c>
      <c r="Z3517">
        <v>381.4</v>
      </c>
      <c r="AA3517">
        <v>0</v>
      </c>
      <c r="AB3517" s="1">
        <v>42382</v>
      </c>
      <c r="AC3517" t="s">
        <v>53</v>
      </c>
      <c r="AD3517" t="s">
        <v>53</v>
      </c>
      <c r="AK3517">
        <v>0</v>
      </c>
      <c r="AU3517" s="6">
        <v>42304</v>
      </c>
      <c r="AV3517" s="6">
        <v>42304</v>
      </c>
      <c r="AW3517" t="s">
        <v>54</v>
      </c>
      <c r="AX3517" t="str">
        <f t="shared" si="297"/>
        <v>FOR</v>
      </c>
      <c r="AY3517" t="s">
        <v>55</v>
      </c>
    </row>
    <row r="3518" spans="1:51">
      <c r="A3518">
        <v>101170</v>
      </c>
      <c r="B3518" t="s">
        <v>555</v>
      </c>
      <c r="C3518" t="str">
        <f t="shared" si="300"/>
        <v>00527500540</v>
      </c>
      <c r="D3518" t="str">
        <f t="shared" si="300"/>
        <v>00527500540</v>
      </c>
      <c r="E3518" t="s">
        <v>52</v>
      </c>
      <c r="F3518">
        <v>2014</v>
      </c>
      <c r="G3518">
        <v>604647</v>
      </c>
      <c r="H3518" s="1">
        <v>42002</v>
      </c>
      <c r="I3518" s="1">
        <v>42026</v>
      </c>
      <c r="J3518" s="1">
        <v>42026</v>
      </c>
      <c r="K3518" s="1">
        <v>42086</v>
      </c>
      <c r="L3518" s="7">
        <v>447.74</v>
      </c>
      <c r="M3518" s="5">
        <v>218</v>
      </c>
      <c r="N3518" s="7">
        <v>97607.32</v>
      </c>
      <c r="O3518">
        <v>447.74</v>
      </c>
      <c r="P3518">
        <v>218</v>
      </c>
      <c r="Q3518" s="2">
        <v>97607.32</v>
      </c>
      <c r="R3518">
        <v>0</v>
      </c>
      <c r="V3518">
        <v>0</v>
      </c>
      <c r="W3518">
        <v>0</v>
      </c>
      <c r="X3518">
        <v>0</v>
      </c>
      <c r="Y3518">
        <v>0</v>
      </c>
      <c r="Z3518">
        <v>447.74</v>
      </c>
      <c r="AA3518">
        <v>0</v>
      </c>
      <c r="AB3518" s="1">
        <v>42382</v>
      </c>
      <c r="AC3518" t="s">
        <v>53</v>
      </c>
      <c r="AD3518" t="s">
        <v>53</v>
      </c>
      <c r="AK3518">
        <v>0</v>
      </c>
      <c r="AU3518" s="6">
        <v>42304</v>
      </c>
      <c r="AV3518" s="6">
        <v>42304</v>
      </c>
      <c r="AW3518" t="s">
        <v>54</v>
      </c>
      <c r="AX3518" t="str">
        <f t="shared" si="297"/>
        <v>FOR</v>
      </c>
      <c r="AY3518" t="s">
        <v>55</v>
      </c>
    </row>
    <row r="3519" spans="1:51">
      <c r="A3519">
        <v>101170</v>
      </c>
      <c r="B3519" t="s">
        <v>555</v>
      </c>
      <c r="C3519" t="str">
        <f t="shared" si="300"/>
        <v>00527500540</v>
      </c>
      <c r="D3519" t="str">
        <f t="shared" si="300"/>
        <v>00527500540</v>
      </c>
      <c r="E3519" t="s">
        <v>52</v>
      </c>
      <c r="F3519">
        <v>2014</v>
      </c>
      <c r="G3519">
        <v>604648</v>
      </c>
      <c r="H3519" s="1">
        <v>42002</v>
      </c>
      <c r="I3519" s="1">
        <v>42026</v>
      </c>
      <c r="J3519" s="1">
        <v>42026</v>
      </c>
      <c r="K3519" s="1">
        <v>42086</v>
      </c>
      <c r="L3519" s="7">
        <v>976</v>
      </c>
      <c r="M3519" s="5">
        <v>218</v>
      </c>
      <c r="N3519" s="7">
        <v>212768</v>
      </c>
      <c r="O3519">
        <v>976</v>
      </c>
      <c r="P3519">
        <v>218</v>
      </c>
      <c r="Q3519" s="2">
        <v>212768</v>
      </c>
      <c r="R3519">
        <v>0</v>
      </c>
      <c r="V3519">
        <v>0</v>
      </c>
      <c r="W3519">
        <v>0</v>
      </c>
      <c r="X3519">
        <v>0</v>
      </c>
      <c r="Y3519">
        <v>0</v>
      </c>
      <c r="Z3519">
        <v>976</v>
      </c>
      <c r="AA3519">
        <v>0</v>
      </c>
      <c r="AB3519" s="1">
        <v>42382</v>
      </c>
      <c r="AC3519" t="s">
        <v>53</v>
      </c>
      <c r="AD3519" t="s">
        <v>53</v>
      </c>
      <c r="AK3519">
        <v>0</v>
      </c>
      <c r="AU3519" s="6">
        <v>42304</v>
      </c>
      <c r="AV3519" s="6">
        <v>42304</v>
      </c>
      <c r="AW3519" t="s">
        <v>54</v>
      </c>
      <c r="AX3519" t="str">
        <f t="shared" si="297"/>
        <v>FOR</v>
      </c>
      <c r="AY3519" t="s">
        <v>55</v>
      </c>
    </row>
    <row r="3520" spans="1:51">
      <c r="A3520">
        <v>101170</v>
      </c>
      <c r="B3520" t="s">
        <v>555</v>
      </c>
      <c r="C3520" t="str">
        <f t="shared" si="300"/>
        <v>00527500540</v>
      </c>
      <c r="D3520" t="str">
        <f t="shared" si="300"/>
        <v>00527500540</v>
      </c>
      <c r="E3520" t="s">
        <v>52</v>
      </c>
      <c r="F3520">
        <v>2015</v>
      </c>
      <c r="G3520">
        <v>100010</v>
      </c>
      <c r="H3520" s="1">
        <v>42035</v>
      </c>
      <c r="I3520" s="1">
        <v>42192</v>
      </c>
      <c r="J3520" s="1">
        <v>42192</v>
      </c>
      <c r="K3520" s="1">
        <v>42252</v>
      </c>
      <c r="L3520" s="7">
        <v>35214.699999999997</v>
      </c>
      <c r="M3520" s="5">
        <v>104</v>
      </c>
      <c r="N3520" s="7">
        <v>3662328.8</v>
      </c>
      <c r="O3520" s="2">
        <v>35214.699999999997</v>
      </c>
      <c r="P3520">
        <v>104</v>
      </c>
      <c r="Q3520" s="2">
        <v>3662328.8</v>
      </c>
      <c r="R3520" s="2">
        <v>7747.23</v>
      </c>
      <c r="V3520">
        <v>0</v>
      </c>
      <c r="W3520">
        <v>0</v>
      </c>
      <c r="X3520">
        <v>0</v>
      </c>
      <c r="Y3520" s="2">
        <v>42961.93</v>
      </c>
      <c r="Z3520" s="2">
        <v>42961.93</v>
      </c>
      <c r="AA3520" s="2">
        <v>42961.93</v>
      </c>
      <c r="AB3520" s="1">
        <v>42382</v>
      </c>
      <c r="AC3520" t="s">
        <v>53</v>
      </c>
      <c r="AD3520" t="s">
        <v>53</v>
      </c>
      <c r="AH3520" s="2">
        <v>7747.23</v>
      </c>
      <c r="AK3520">
        <v>0</v>
      </c>
      <c r="AU3520" s="6">
        <v>42356</v>
      </c>
      <c r="AV3520" s="6">
        <v>42356</v>
      </c>
      <c r="AW3520" t="s">
        <v>54</v>
      </c>
      <c r="AX3520" t="str">
        <f t="shared" si="297"/>
        <v>FOR</v>
      </c>
      <c r="AY3520" t="s">
        <v>55</v>
      </c>
    </row>
    <row r="3521" spans="1:51">
      <c r="A3521">
        <v>101170</v>
      </c>
      <c r="B3521" t="s">
        <v>555</v>
      </c>
      <c r="C3521" t="str">
        <f t="shared" si="300"/>
        <v>00527500540</v>
      </c>
      <c r="D3521" t="str">
        <f t="shared" si="300"/>
        <v>00527500540</v>
      </c>
      <c r="E3521" t="s">
        <v>52</v>
      </c>
      <c r="F3521">
        <v>2015</v>
      </c>
      <c r="G3521">
        <v>100129</v>
      </c>
      <c r="H3521" s="1">
        <v>42055</v>
      </c>
      <c r="I3521" s="1">
        <v>42061</v>
      </c>
      <c r="J3521" s="1">
        <v>42061</v>
      </c>
      <c r="K3521" s="1">
        <v>42121</v>
      </c>
      <c r="L3521" s="7">
        <v>4200</v>
      </c>
      <c r="M3521" s="5">
        <v>219</v>
      </c>
      <c r="N3521" s="7">
        <v>919800</v>
      </c>
      <c r="O3521" s="2">
        <v>4200</v>
      </c>
      <c r="P3521">
        <v>219</v>
      </c>
      <c r="Q3521" s="2">
        <v>919800</v>
      </c>
      <c r="R3521">
        <v>924</v>
      </c>
      <c r="V3521">
        <v>0</v>
      </c>
      <c r="W3521">
        <v>0</v>
      </c>
      <c r="X3521">
        <v>0</v>
      </c>
      <c r="Y3521">
        <v>0</v>
      </c>
      <c r="Z3521" s="2">
        <v>5124</v>
      </c>
      <c r="AA3521" s="2">
        <v>5124</v>
      </c>
      <c r="AB3521" s="1">
        <v>42382</v>
      </c>
      <c r="AC3521" t="s">
        <v>53</v>
      </c>
      <c r="AD3521" t="s">
        <v>53</v>
      </c>
      <c r="AK3521">
        <v>924</v>
      </c>
      <c r="AU3521" s="6">
        <v>42340</v>
      </c>
      <c r="AV3521" s="6">
        <v>42340</v>
      </c>
      <c r="AW3521" t="s">
        <v>54</v>
      </c>
      <c r="AX3521" t="str">
        <f t="shared" si="297"/>
        <v>FOR</v>
      </c>
      <c r="AY3521" t="s">
        <v>55</v>
      </c>
    </row>
    <row r="3522" spans="1:51">
      <c r="A3522">
        <v>101170</v>
      </c>
      <c r="B3522" t="s">
        <v>555</v>
      </c>
      <c r="C3522" t="str">
        <f t="shared" si="300"/>
        <v>00527500540</v>
      </c>
      <c r="D3522" t="str">
        <f t="shared" si="300"/>
        <v>00527500540</v>
      </c>
      <c r="E3522" t="s">
        <v>52</v>
      </c>
      <c r="F3522">
        <v>2015</v>
      </c>
      <c r="G3522">
        <v>100132</v>
      </c>
      <c r="H3522" s="1">
        <v>42055</v>
      </c>
      <c r="I3522" s="1">
        <v>42061</v>
      </c>
      <c r="J3522" s="1">
        <v>42061</v>
      </c>
      <c r="K3522" s="1">
        <v>42121</v>
      </c>
      <c r="L3522" s="7">
        <v>420</v>
      </c>
      <c r="M3522" s="5">
        <v>219</v>
      </c>
      <c r="N3522" s="7">
        <v>91980</v>
      </c>
      <c r="O3522">
        <v>420</v>
      </c>
      <c r="P3522">
        <v>219</v>
      </c>
      <c r="Q3522" s="2">
        <v>91980</v>
      </c>
      <c r="R3522">
        <v>92.4</v>
      </c>
      <c r="V3522">
        <v>0</v>
      </c>
      <c r="W3522">
        <v>0</v>
      </c>
      <c r="X3522">
        <v>0</v>
      </c>
      <c r="Y3522">
        <v>0</v>
      </c>
      <c r="Z3522">
        <v>512.4</v>
      </c>
      <c r="AA3522">
        <v>512.4</v>
      </c>
      <c r="AB3522" s="1">
        <v>42382</v>
      </c>
      <c r="AC3522" t="s">
        <v>53</v>
      </c>
      <c r="AD3522" t="s">
        <v>53</v>
      </c>
      <c r="AK3522">
        <v>92.4</v>
      </c>
      <c r="AU3522" s="6">
        <v>42340</v>
      </c>
      <c r="AV3522" s="6">
        <v>42340</v>
      </c>
      <c r="AW3522" t="s">
        <v>54</v>
      </c>
      <c r="AX3522" t="str">
        <f t="shared" si="297"/>
        <v>FOR</v>
      </c>
      <c r="AY3522" t="s">
        <v>55</v>
      </c>
    </row>
    <row r="3523" spans="1:51">
      <c r="A3523">
        <v>101170</v>
      </c>
      <c r="B3523" t="s">
        <v>555</v>
      </c>
      <c r="C3523" t="str">
        <f t="shared" si="300"/>
        <v>00527500540</v>
      </c>
      <c r="D3523" t="str">
        <f t="shared" si="300"/>
        <v>00527500540</v>
      </c>
      <c r="E3523" t="s">
        <v>52</v>
      </c>
      <c r="F3523">
        <v>2015</v>
      </c>
      <c r="G3523">
        <v>100133</v>
      </c>
      <c r="H3523" s="1">
        <v>42055</v>
      </c>
      <c r="I3523" s="1">
        <v>42061</v>
      </c>
      <c r="J3523" s="1">
        <v>42061</v>
      </c>
      <c r="K3523" s="1">
        <v>42121</v>
      </c>
      <c r="L3523" s="7">
        <v>1600</v>
      </c>
      <c r="M3523" s="5">
        <v>219</v>
      </c>
      <c r="N3523" s="7">
        <v>350400</v>
      </c>
      <c r="O3523" s="2">
        <v>1600</v>
      </c>
      <c r="P3523">
        <v>219</v>
      </c>
      <c r="Q3523" s="2">
        <v>350400</v>
      </c>
      <c r="R3523">
        <v>352</v>
      </c>
      <c r="V3523">
        <v>0</v>
      </c>
      <c r="W3523">
        <v>0</v>
      </c>
      <c r="X3523">
        <v>0</v>
      </c>
      <c r="Y3523">
        <v>0</v>
      </c>
      <c r="Z3523" s="2">
        <v>1952</v>
      </c>
      <c r="AA3523" s="2">
        <v>1952</v>
      </c>
      <c r="AB3523" s="1">
        <v>42382</v>
      </c>
      <c r="AC3523" t="s">
        <v>53</v>
      </c>
      <c r="AD3523" t="s">
        <v>53</v>
      </c>
      <c r="AK3523">
        <v>352</v>
      </c>
      <c r="AU3523" s="6">
        <v>42340</v>
      </c>
      <c r="AV3523" s="6">
        <v>42340</v>
      </c>
      <c r="AW3523" t="s">
        <v>54</v>
      </c>
      <c r="AX3523" t="str">
        <f t="shared" ref="AX3523:AX3586" si="301">"FOR"</f>
        <v>FOR</v>
      </c>
      <c r="AY3523" t="s">
        <v>55</v>
      </c>
    </row>
    <row r="3524" spans="1:51">
      <c r="A3524">
        <v>101170</v>
      </c>
      <c r="B3524" t="s">
        <v>555</v>
      </c>
      <c r="C3524" t="str">
        <f t="shared" si="300"/>
        <v>00527500540</v>
      </c>
      <c r="D3524" t="str">
        <f t="shared" si="300"/>
        <v>00527500540</v>
      </c>
      <c r="E3524" t="s">
        <v>52</v>
      </c>
      <c r="F3524">
        <v>2015</v>
      </c>
      <c r="G3524">
        <v>100134</v>
      </c>
      <c r="H3524" s="1">
        <v>42055</v>
      </c>
      <c r="I3524" s="1">
        <v>42061</v>
      </c>
      <c r="J3524" s="1">
        <v>42061</v>
      </c>
      <c r="K3524" s="1">
        <v>42121</v>
      </c>
      <c r="L3524" s="7">
        <v>1519.84</v>
      </c>
      <c r="M3524" s="5">
        <v>219</v>
      </c>
      <c r="N3524" s="7">
        <v>332844.96000000002</v>
      </c>
      <c r="O3524" s="2">
        <v>1519.84</v>
      </c>
      <c r="P3524">
        <v>219</v>
      </c>
      <c r="Q3524" s="2">
        <v>332844.96000000002</v>
      </c>
      <c r="R3524">
        <v>334.36</v>
      </c>
      <c r="V3524">
        <v>0</v>
      </c>
      <c r="W3524">
        <v>0</v>
      </c>
      <c r="X3524">
        <v>0</v>
      </c>
      <c r="Y3524">
        <v>0</v>
      </c>
      <c r="Z3524" s="2">
        <v>1854.2</v>
      </c>
      <c r="AA3524" s="2">
        <v>1854.2</v>
      </c>
      <c r="AB3524" s="1">
        <v>42382</v>
      </c>
      <c r="AC3524" t="s">
        <v>53</v>
      </c>
      <c r="AD3524" t="s">
        <v>53</v>
      </c>
      <c r="AK3524">
        <v>334.36</v>
      </c>
      <c r="AU3524" s="6">
        <v>42340</v>
      </c>
      <c r="AV3524" s="6">
        <v>42340</v>
      </c>
      <c r="AW3524" t="s">
        <v>54</v>
      </c>
      <c r="AX3524" t="str">
        <f t="shared" si="301"/>
        <v>FOR</v>
      </c>
      <c r="AY3524" t="s">
        <v>55</v>
      </c>
    </row>
    <row r="3525" spans="1:51">
      <c r="A3525">
        <v>101170</v>
      </c>
      <c r="B3525" t="s">
        <v>555</v>
      </c>
      <c r="C3525" t="str">
        <f t="shared" si="300"/>
        <v>00527500540</v>
      </c>
      <c r="D3525" t="str">
        <f t="shared" si="300"/>
        <v>00527500540</v>
      </c>
      <c r="E3525" t="s">
        <v>52</v>
      </c>
      <c r="F3525">
        <v>2015</v>
      </c>
      <c r="G3525">
        <v>100135</v>
      </c>
      <c r="H3525" s="1">
        <v>42055</v>
      </c>
      <c r="I3525" s="1">
        <v>42061</v>
      </c>
      <c r="J3525" s="1">
        <v>42061</v>
      </c>
      <c r="K3525" s="1">
        <v>42121</v>
      </c>
      <c r="L3525" s="7">
        <v>4560</v>
      </c>
      <c r="M3525" s="5">
        <v>219</v>
      </c>
      <c r="N3525" s="7">
        <v>998640</v>
      </c>
      <c r="O3525" s="2">
        <v>4560</v>
      </c>
      <c r="P3525">
        <v>219</v>
      </c>
      <c r="Q3525" s="2">
        <v>998640</v>
      </c>
      <c r="R3525" s="2">
        <v>1003.2</v>
      </c>
      <c r="V3525">
        <v>0</v>
      </c>
      <c r="W3525">
        <v>0</v>
      </c>
      <c r="X3525">
        <v>0</v>
      </c>
      <c r="Y3525" s="2">
        <v>5563.2</v>
      </c>
      <c r="Z3525" s="2">
        <v>5563.2</v>
      </c>
      <c r="AA3525" s="2">
        <v>5563.2</v>
      </c>
      <c r="AB3525" s="1">
        <v>42382</v>
      </c>
      <c r="AC3525" t="s">
        <v>53</v>
      </c>
      <c r="AD3525" t="s">
        <v>53</v>
      </c>
      <c r="AK3525" s="2">
        <v>1003.2</v>
      </c>
      <c r="AU3525" s="6">
        <v>42340</v>
      </c>
      <c r="AV3525" s="6">
        <v>42340</v>
      </c>
      <c r="AW3525" t="s">
        <v>54</v>
      </c>
      <c r="AX3525" t="str">
        <f t="shared" si="301"/>
        <v>FOR</v>
      </c>
      <c r="AY3525" t="s">
        <v>55</v>
      </c>
    </row>
    <row r="3526" spans="1:51">
      <c r="A3526">
        <v>101170</v>
      </c>
      <c r="B3526" t="s">
        <v>555</v>
      </c>
      <c r="C3526" t="str">
        <f t="shared" si="300"/>
        <v>00527500540</v>
      </c>
      <c r="D3526" t="str">
        <f t="shared" si="300"/>
        <v>00527500540</v>
      </c>
      <c r="E3526" t="s">
        <v>52</v>
      </c>
      <c r="F3526">
        <v>2015</v>
      </c>
      <c r="G3526">
        <v>100136</v>
      </c>
      <c r="H3526" s="1">
        <v>42055</v>
      </c>
      <c r="I3526" s="1">
        <v>42061</v>
      </c>
      <c r="J3526" s="1">
        <v>42061</v>
      </c>
      <c r="K3526" s="1">
        <v>42121</v>
      </c>
      <c r="L3526" s="7">
        <v>1100</v>
      </c>
      <c r="M3526" s="5">
        <v>219</v>
      </c>
      <c r="N3526" s="7">
        <v>240900</v>
      </c>
      <c r="O3526" s="2">
        <v>1100</v>
      </c>
      <c r="P3526">
        <v>219</v>
      </c>
      <c r="Q3526" s="2">
        <v>240900</v>
      </c>
      <c r="R3526">
        <v>242</v>
      </c>
      <c r="V3526">
        <v>0</v>
      </c>
      <c r="W3526">
        <v>0</v>
      </c>
      <c r="X3526">
        <v>0</v>
      </c>
      <c r="Y3526" s="2">
        <v>1342</v>
      </c>
      <c r="Z3526" s="2">
        <v>1342</v>
      </c>
      <c r="AA3526" s="2">
        <v>1342</v>
      </c>
      <c r="AB3526" s="1">
        <v>42382</v>
      </c>
      <c r="AC3526" t="s">
        <v>53</v>
      </c>
      <c r="AD3526" t="s">
        <v>53</v>
      </c>
      <c r="AK3526">
        <v>242</v>
      </c>
      <c r="AU3526" s="6">
        <v>42340</v>
      </c>
      <c r="AV3526" s="6">
        <v>42340</v>
      </c>
      <c r="AW3526" t="s">
        <v>54</v>
      </c>
      <c r="AX3526" t="str">
        <f t="shared" si="301"/>
        <v>FOR</v>
      </c>
      <c r="AY3526" t="s">
        <v>55</v>
      </c>
    </row>
    <row r="3527" spans="1:51">
      <c r="A3527">
        <v>101170</v>
      </c>
      <c r="B3527" t="s">
        <v>555</v>
      </c>
      <c r="C3527" t="str">
        <f t="shared" si="300"/>
        <v>00527500540</v>
      </c>
      <c r="D3527" t="str">
        <f t="shared" si="300"/>
        <v>00527500540</v>
      </c>
      <c r="E3527" t="s">
        <v>52</v>
      </c>
      <c r="F3527">
        <v>2015</v>
      </c>
      <c r="G3527">
        <v>100137</v>
      </c>
      <c r="H3527" s="1">
        <v>42055</v>
      </c>
      <c r="I3527" s="1">
        <v>42061</v>
      </c>
      <c r="J3527" s="1">
        <v>42061</v>
      </c>
      <c r="K3527" s="1">
        <v>42121</v>
      </c>
      <c r="L3527" s="7">
        <v>1231.69</v>
      </c>
      <c r="M3527" s="5">
        <v>219</v>
      </c>
      <c r="N3527" s="7">
        <v>269740.11</v>
      </c>
      <c r="O3527" s="2">
        <v>1231.69</v>
      </c>
      <c r="P3527">
        <v>219</v>
      </c>
      <c r="Q3527" s="2">
        <v>269740.11</v>
      </c>
      <c r="R3527">
        <v>270.97000000000003</v>
      </c>
      <c r="V3527">
        <v>0</v>
      </c>
      <c r="W3527">
        <v>0</v>
      </c>
      <c r="X3527">
        <v>0</v>
      </c>
      <c r="Y3527" s="2">
        <v>1502.66</v>
      </c>
      <c r="Z3527" s="2">
        <v>1502.66</v>
      </c>
      <c r="AA3527" s="2">
        <v>1502.66</v>
      </c>
      <c r="AB3527" s="1">
        <v>42382</v>
      </c>
      <c r="AC3527" t="s">
        <v>53</v>
      </c>
      <c r="AD3527" t="s">
        <v>53</v>
      </c>
      <c r="AK3527">
        <v>270.97000000000003</v>
      </c>
      <c r="AU3527" s="6">
        <v>42340</v>
      </c>
      <c r="AV3527" s="6">
        <v>42340</v>
      </c>
      <c r="AW3527" t="s">
        <v>54</v>
      </c>
      <c r="AX3527" t="str">
        <f t="shared" si="301"/>
        <v>FOR</v>
      </c>
      <c r="AY3527" t="s">
        <v>55</v>
      </c>
    </row>
    <row r="3528" spans="1:51">
      <c r="A3528">
        <v>101170</v>
      </c>
      <c r="B3528" t="s">
        <v>555</v>
      </c>
      <c r="C3528" t="str">
        <f t="shared" ref="C3528:D3543" si="302">"00527500540"</f>
        <v>00527500540</v>
      </c>
      <c r="D3528" t="str">
        <f t="shared" si="302"/>
        <v>00527500540</v>
      </c>
      <c r="E3528" t="s">
        <v>52</v>
      </c>
      <c r="F3528">
        <v>2015</v>
      </c>
      <c r="G3528">
        <v>100138</v>
      </c>
      <c r="H3528" s="1">
        <v>42055</v>
      </c>
      <c r="I3528" s="1">
        <v>42061</v>
      </c>
      <c r="J3528" s="1">
        <v>42061</v>
      </c>
      <c r="K3528" s="1">
        <v>42121</v>
      </c>
      <c r="L3528" s="7">
        <v>2567.21</v>
      </c>
      <c r="M3528" s="5">
        <v>219</v>
      </c>
      <c r="N3528" s="7">
        <v>562218.99</v>
      </c>
      <c r="O3528" s="2">
        <v>2567.21</v>
      </c>
      <c r="P3528">
        <v>219</v>
      </c>
      <c r="Q3528" s="2">
        <v>562218.99</v>
      </c>
      <c r="R3528">
        <v>564.79</v>
      </c>
      <c r="V3528">
        <v>0</v>
      </c>
      <c r="W3528">
        <v>0</v>
      </c>
      <c r="X3528">
        <v>0</v>
      </c>
      <c r="Y3528">
        <v>0</v>
      </c>
      <c r="Z3528" s="2">
        <v>3132</v>
      </c>
      <c r="AA3528" s="2">
        <v>3132</v>
      </c>
      <c r="AB3528" s="1">
        <v>42382</v>
      </c>
      <c r="AC3528" t="s">
        <v>53</v>
      </c>
      <c r="AD3528" t="s">
        <v>53</v>
      </c>
      <c r="AK3528">
        <v>564.79</v>
      </c>
      <c r="AU3528" s="6">
        <v>42340</v>
      </c>
      <c r="AV3528" s="6">
        <v>42340</v>
      </c>
      <c r="AW3528" t="s">
        <v>54</v>
      </c>
      <c r="AX3528" t="str">
        <f t="shared" si="301"/>
        <v>FOR</v>
      </c>
      <c r="AY3528" t="s">
        <v>55</v>
      </c>
    </row>
    <row r="3529" spans="1:51">
      <c r="A3529">
        <v>101170</v>
      </c>
      <c r="B3529" t="s">
        <v>555</v>
      </c>
      <c r="C3529" t="str">
        <f t="shared" si="302"/>
        <v>00527500540</v>
      </c>
      <c r="D3529" t="str">
        <f t="shared" si="302"/>
        <v>00527500540</v>
      </c>
      <c r="E3529" t="s">
        <v>52</v>
      </c>
      <c r="F3529">
        <v>2015</v>
      </c>
      <c r="G3529">
        <v>100270</v>
      </c>
      <c r="H3529" s="1">
        <v>42063</v>
      </c>
      <c r="I3529" s="1">
        <v>42192</v>
      </c>
      <c r="J3529" s="1">
        <v>42192</v>
      </c>
      <c r="K3529" s="1">
        <v>42252</v>
      </c>
      <c r="L3529" s="7">
        <v>35214.699999999997</v>
      </c>
      <c r="M3529" s="5">
        <v>104</v>
      </c>
      <c r="N3529" s="7">
        <v>3662328.8</v>
      </c>
      <c r="O3529" s="2">
        <v>35214.699999999997</v>
      </c>
      <c r="P3529">
        <v>104</v>
      </c>
      <c r="Q3529" s="2">
        <v>3662328.8</v>
      </c>
      <c r="R3529" s="2">
        <v>7747.23</v>
      </c>
      <c r="V3529">
        <v>0</v>
      </c>
      <c r="W3529">
        <v>0</v>
      </c>
      <c r="X3529">
        <v>0</v>
      </c>
      <c r="Y3529" s="2">
        <v>42961.93</v>
      </c>
      <c r="Z3529" s="2">
        <v>42961.93</v>
      </c>
      <c r="AA3529" s="2">
        <v>42961.93</v>
      </c>
      <c r="AB3529" s="1">
        <v>42382</v>
      </c>
      <c r="AC3529" t="s">
        <v>53</v>
      </c>
      <c r="AD3529" t="s">
        <v>53</v>
      </c>
      <c r="AH3529" s="2">
        <v>7747.23</v>
      </c>
      <c r="AK3529">
        <v>0</v>
      </c>
      <c r="AU3529" s="6">
        <v>42356</v>
      </c>
      <c r="AV3529" s="6">
        <v>42356</v>
      </c>
      <c r="AW3529" t="s">
        <v>54</v>
      </c>
      <c r="AX3529" t="str">
        <f t="shared" si="301"/>
        <v>FOR</v>
      </c>
      <c r="AY3529" t="s">
        <v>55</v>
      </c>
    </row>
    <row r="3530" spans="1:51">
      <c r="A3530">
        <v>101170</v>
      </c>
      <c r="B3530" t="s">
        <v>555</v>
      </c>
      <c r="C3530" t="str">
        <f t="shared" si="302"/>
        <v>00527500540</v>
      </c>
      <c r="D3530" t="str">
        <f t="shared" si="302"/>
        <v>00527500540</v>
      </c>
      <c r="E3530" t="s">
        <v>52</v>
      </c>
      <c r="F3530">
        <v>2015</v>
      </c>
      <c r="G3530">
        <v>200006</v>
      </c>
      <c r="H3530" s="1">
        <v>42063</v>
      </c>
      <c r="I3530" s="1">
        <v>42088</v>
      </c>
      <c r="J3530" s="1">
        <v>42088</v>
      </c>
      <c r="K3530" s="1">
        <v>42148</v>
      </c>
      <c r="L3530" s="7">
        <v>4200</v>
      </c>
      <c r="M3530" s="5">
        <v>192</v>
      </c>
      <c r="N3530" s="7">
        <v>806400</v>
      </c>
      <c r="O3530" s="2">
        <v>4200</v>
      </c>
      <c r="P3530">
        <v>192</v>
      </c>
      <c r="Q3530" s="2">
        <v>806400</v>
      </c>
      <c r="R3530">
        <v>924</v>
      </c>
      <c r="V3530">
        <v>0</v>
      </c>
      <c r="W3530">
        <v>0</v>
      </c>
      <c r="X3530">
        <v>0</v>
      </c>
      <c r="Y3530">
        <v>0</v>
      </c>
      <c r="Z3530" s="2">
        <v>5124</v>
      </c>
      <c r="AA3530" s="2">
        <v>5124</v>
      </c>
      <c r="AB3530" s="1">
        <v>42382</v>
      </c>
      <c r="AC3530" t="s">
        <v>53</v>
      </c>
      <c r="AD3530" t="s">
        <v>53</v>
      </c>
      <c r="AK3530">
        <v>924</v>
      </c>
      <c r="AU3530" s="6">
        <v>42340</v>
      </c>
      <c r="AV3530" s="6">
        <v>42340</v>
      </c>
      <c r="AW3530" t="s">
        <v>54</v>
      </c>
      <c r="AX3530" t="str">
        <f t="shared" si="301"/>
        <v>FOR</v>
      </c>
      <c r="AY3530" t="s">
        <v>55</v>
      </c>
    </row>
    <row r="3531" spans="1:51">
      <c r="A3531">
        <v>101170</v>
      </c>
      <c r="B3531" t="s">
        <v>555</v>
      </c>
      <c r="C3531" t="str">
        <f t="shared" si="302"/>
        <v>00527500540</v>
      </c>
      <c r="D3531" t="str">
        <f t="shared" si="302"/>
        <v>00527500540</v>
      </c>
      <c r="E3531" t="s">
        <v>52</v>
      </c>
      <c r="F3531">
        <v>2015</v>
      </c>
      <c r="G3531">
        <v>200007</v>
      </c>
      <c r="H3531" s="1">
        <v>42063</v>
      </c>
      <c r="I3531" s="1">
        <v>42088</v>
      </c>
      <c r="J3531" s="1">
        <v>42088</v>
      </c>
      <c r="K3531" s="1">
        <v>42148</v>
      </c>
      <c r="L3531" s="7">
        <v>4200</v>
      </c>
      <c r="M3531" s="5">
        <v>192</v>
      </c>
      <c r="N3531" s="7">
        <v>806400</v>
      </c>
      <c r="O3531" s="2">
        <v>4200</v>
      </c>
      <c r="P3531">
        <v>192</v>
      </c>
      <c r="Q3531" s="2">
        <v>806400</v>
      </c>
      <c r="R3531">
        <v>924</v>
      </c>
      <c r="V3531">
        <v>0</v>
      </c>
      <c r="W3531">
        <v>0</v>
      </c>
      <c r="X3531">
        <v>0</v>
      </c>
      <c r="Y3531" s="2">
        <v>5124</v>
      </c>
      <c r="Z3531" s="2">
        <v>5124</v>
      </c>
      <c r="AA3531" s="2">
        <v>5124</v>
      </c>
      <c r="AB3531" s="1">
        <v>42382</v>
      </c>
      <c r="AC3531" t="s">
        <v>53</v>
      </c>
      <c r="AD3531" t="s">
        <v>53</v>
      </c>
      <c r="AK3531">
        <v>924</v>
      </c>
      <c r="AU3531" s="6">
        <v>42340</v>
      </c>
      <c r="AV3531" s="6">
        <v>42340</v>
      </c>
      <c r="AW3531" t="s">
        <v>54</v>
      </c>
      <c r="AX3531" t="str">
        <f t="shared" si="301"/>
        <v>FOR</v>
      </c>
      <c r="AY3531" t="s">
        <v>55</v>
      </c>
    </row>
    <row r="3532" spans="1:51">
      <c r="A3532">
        <v>101170</v>
      </c>
      <c r="B3532" t="s">
        <v>555</v>
      </c>
      <c r="C3532" t="str">
        <f t="shared" si="302"/>
        <v>00527500540</v>
      </c>
      <c r="D3532" t="str">
        <f t="shared" si="302"/>
        <v>00527500540</v>
      </c>
      <c r="E3532" t="s">
        <v>52</v>
      </c>
      <c r="F3532">
        <v>2015</v>
      </c>
      <c r="G3532">
        <v>200011</v>
      </c>
      <c r="H3532" s="1">
        <v>42063</v>
      </c>
      <c r="I3532" s="1">
        <v>42089</v>
      </c>
      <c r="J3532" s="1">
        <v>42089</v>
      </c>
      <c r="K3532" s="1">
        <v>42149</v>
      </c>
      <c r="L3532" s="7">
        <v>2562</v>
      </c>
      <c r="M3532" s="5">
        <v>191</v>
      </c>
      <c r="N3532" s="7">
        <v>489342</v>
      </c>
      <c r="O3532" s="2">
        <v>2562</v>
      </c>
      <c r="P3532">
        <v>191</v>
      </c>
      <c r="Q3532" s="2">
        <v>489342</v>
      </c>
      <c r="R3532">
        <v>563.64</v>
      </c>
      <c r="V3532">
        <v>0</v>
      </c>
      <c r="W3532">
        <v>0</v>
      </c>
      <c r="X3532">
        <v>0</v>
      </c>
      <c r="Y3532" s="2">
        <v>3125.64</v>
      </c>
      <c r="Z3532" s="2">
        <v>3125.64</v>
      </c>
      <c r="AA3532" s="2">
        <v>3125.64</v>
      </c>
      <c r="AB3532" s="1">
        <v>42382</v>
      </c>
      <c r="AC3532" t="s">
        <v>53</v>
      </c>
      <c r="AD3532" t="s">
        <v>53</v>
      </c>
      <c r="AK3532">
        <v>563.64</v>
      </c>
      <c r="AU3532" s="6">
        <v>42340</v>
      </c>
      <c r="AV3532" s="6">
        <v>42340</v>
      </c>
      <c r="AW3532" t="s">
        <v>54</v>
      </c>
      <c r="AX3532" t="str">
        <f t="shared" si="301"/>
        <v>FOR</v>
      </c>
      <c r="AY3532" t="s">
        <v>55</v>
      </c>
    </row>
    <row r="3533" spans="1:51">
      <c r="A3533">
        <v>101170</v>
      </c>
      <c r="B3533" t="s">
        <v>555</v>
      </c>
      <c r="C3533" t="str">
        <f t="shared" si="302"/>
        <v>00527500540</v>
      </c>
      <c r="D3533" t="str">
        <f t="shared" si="302"/>
        <v>00527500540</v>
      </c>
      <c r="E3533" t="s">
        <v>52</v>
      </c>
      <c r="F3533">
        <v>2015</v>
      </c>
      <c r="G3533">
        <v>200012</v>
      </c>
      <c r="H3533" s="1">
        <v>42063</v>
      </c>
      <c r="I3533" s="1">
        <v>42089</v>
      </c>
      <c r="J3533" s="1">
        <v>42089</v>
      </c>
      <c r="K3533" s="1">
        <v>42149</v>
      </c>
      <c r="L3533" s="7">
        <v>2200</v>
      </c>
      <c r="M3533" s="5">
        <v>191</v>
      </c>
      <c r="N3533" s="7">
        <v>420200</v>
      </c>
      <c r="O3533" s="2">
        <v>2200</v>
      </c>
      <c r="P3533">
        <v>191</v>
      </c>
      <c r="Q3533" s="2">
        <v>420200</v>
      </c>
      <c r="R3533">
        <v>484</v>
      </c>
      <c r="V3533">
        <v>0</v>
      </c>
      <c r="W3533">
        <v>0</v>
      </c>
      <c r="X3533">
        <v>0</v>
      </c>
      <c r="Y3533" s="2">
        <v>2684</v>
      </c>
      <c r="Z3533" s="2">
        <v>2684</v>
      </c>
      <c r="AA3533" s="2">
        <v>2684</v>
      </c>
      <c r="AB3533" s="1">
        <v>42382</v>
      </c>
      <c r="AC3533" t="s">
        <v>53</v>
      </c>
      <c r="AD3533" t="s">
        <v>53</v>
      </c>
      <c r="AK3533">
        <v>484</v>
      </c>
      <c r="AU3533" s="6">
        <v>42340</v>
      </c>
      <c r="AV3533" s="6">
        <v>42340</v>
      </c>
      <c r="AW3533" t="s">
        <v>54</v>
      </c>
      <c r="AX3533" t="str">
        <f t="shared" si="301"/>
        <v>FOR</v>
      </c>
      <c r="AY3533" t="s">
        <v>55</v>
      </c>
    </row>
    <row r="3534" spans="1:51">
      <c r="A3534">
        <v>101170</v>
      </c>
      <c r="B3534" t="s">
        <v>555</v>
      </c>
      <c r="C3534" t="str">
        <f t="shared" si="302"/>
        <v>00527500540</v>
      </c>
      <c r="D3534" t="str">
        <f t="shared" si="302"/>
        <v>00527500540</v>
      </c>
      <c r="E3534" t="s">
        <v>52</v>
      </c>
      <c r="F3534">
        <v>2015</v>
      </c>
      <c r="G3534">
        <v>200014</v>
      </c>
      <c r="H3534" s="1">
        <v>42063</v>
      </c>
      <c r="I3534" s="1">
        <v>42089</v>
      </c>
      <c r="J3534" s="1">
        <v>42089</v>
      </c>
      <c r="K3534" s="1">
        <v>42149</v>
      </c>
      <c r="L3534" s="7">
        <v>1946.3</v>
      </c>
      <c r="M3534" s="5">
        <v>191</v>
      </c>
      <c r="N3534" s="7">
        <v>371743.3</v>
      </c>
      <c r="O3534" s="2">
        <v>1946.3</v>
      </c>
      <c r="P3534">
        <v>191</v>
      </c>
      <c r="Q3534" s="2">
        <v>371743.3</v>
      </c>
      <c r="R3534">
        <v>428.19</v>
      </c>
      <c r="V3534">
        <v>0</v>
      </c>
      <c r="W3534">
        <v>0</v>
      </c>
      <c r="X3534">
        <v>0</v>
      </c>
      <c r="Y3534" s="2">
        <v>2374.4899999999998</v>
      </c>
      <c r="Z3534" s="2">
        <v>2374.4899999999998</v>
      </c>
      <c r="AA3534" s="2">
        <v>2374.4899999999998</v>
      </c>
      <c r="AB3534" s="1">
        <v>42382</v>
      </c>
      <c r="AC3534" t="s">
        <v>53</v>
      </c>
      <c r="AD3534" t="s">
        <v>53</v>
      </c>
      <c r="AK3534">
        <v>428.19</v>
      </c>
      <c r="AU3534" s="6">
        <v>42340</v>
      </c>
      <c r="AV3534" s="6">
        <v>42340</v>
      </c>
      <c r="AW3534" t="s">
        <v>54</v>
      </c>
      <c r="AX3534" t="str">
        <f t="shared" si="301"/>
        <v>FOR</v>
      </c>
      <c r="AY3534" t="s">
        <v>55</v>
      </c>
    </row>
    <row r="3535" spans="1:51">
      <c r="A3535">
        <v>101170</v>
      </c>
      <c r="B3535" t="s">
        <v>555</v>
      </c>
      <c r="C3535" t="str">
        <f t="shared" si="302"/>
        <v>00527500540</v>
      </c>
      <c r="D3535" t="str">
        <f t="shared" si="302"/>
        <v>00527500540</v>
      </c>
      <c r="E3535" t="s">
        <v>52</v>
      </c>
      <c r="F3535">
        <v>2015</v>
      </c>
      <c r="G3535">
        <v>200025</v>
      </c>
      <c r="H3535" s="1">
        <v>42063</v>
      </c>
      <c r="I3535" s="1">
        <v>42089</v>
      </c>
      <c r="J3535" s="1">
        <v>42089</v>
      </c>
      <c r="K3535" s="1">
        <v>42149</v>
      </c>
      <c r="L3535" s="7">
        <v>480</v>
      </c>
      <c r="M3535" s="5">
        <v>191</v>
      </c>
      <c r="N3535" s="7">
        <v>91680</v>
      </c>
      <c r="O3535">
        <v>480</v>
      </c>
      <c r="P3535">
        <v>191</v>
      </c>
      <c r="Q3535" s="2">
        <v>91680</v>
      </c>
      <c r="R3535">
        <v>105.6</v>
      </c>
      <c r="V3535">
        <v>0</v>
      </c>
      <c r="W3535">
        <v>0</v>
      </c>
      <c r="X3535">
        <v>0</v>
      </c>
      <c r="Y3535">
        <v>0</v>
      </c>
      <c r="Z3535">
        <v>585.6</v>
      </c>
      <c r="AA3535">
        <v>585.6</v>
      </c>
      <c r="AB3535" s="1">
        <v>42382</v>
      </c>
      <c r="AC3535" t="s">
        <v>53</v>
      </c>
      <c r="AD3535" t="s">
        <v>53</v>
      </c>
      <c r="AK3535">
        <v>105.6</v>
      </c>
      <c r="AU3535" s="6">
        <v>42340</v>
      </c>
      <c r="AV3535" s="6">
        <v>42340</v>
      </c>
      <c r="AW3535" t="s">
        <v>54</v>
      </c>
      <c r="AX3535" t="str">
        <f t="shared" si="301"/>
        <v>FOR</v>
      </c>
      <c r="AY3535" t="s">
        <v>55</v>
      </c>
    </row>
    <row r="3536" spans="1:51">
      <c r="A3536">
        <v>101170</v>
      </c>
      <c r="B3536" t="s">
        <v>555</v>
      </c>
      <c r="C3536" t="str">
        <f t="shared" si="302"/>
        <v>00527500540</v>
      </c>
      <c r="D3536" t="str">
        <f t="shared" si="302"/>
        <v>00527500540</v>
      </c>
      <c r="E3536" t="s">
        <v>52</v>
      </c>
      <c r="F3536">
        <v>2015</v>
      </c>
      <c r="G3536">
        <v>200029</v>
      </c>
      <c r="H3536" s="1">
        <v>42063</v>
      </c>
      <c r="I3536" s="1">
        <v>42089</v>
      </c>
      <c r="J3536" s="1">
        <v>42089</v>
      </c>
      <c r="K3536" s="1">
        <v>42149</v>
      </c>
      <c r="L3536" s="7">
        <v>390</v>
      </c>
      <c r="M3536" s="5">
        <v>191</v>
      </c>
      <c r="N3536" s="7">
        <v>74490</v>
      </c>
      <c r="O3536">
        <v>390</v>
      </c>
      <c r="P3536">
        <v>191</v>
      </c>
      <c r="Q3536" s="2">
        <v>74490</v>
      </c>
      <c r="R3536">
        <v>85.8</v>
      </c>
      <c r="V3536">
        <v>0</v>
      </c>
      <c r="W3536">
        <v>0</v>
      </c>
      <c r="X3536">
        <v>0</v>
      </c>
      <c r="Y3536">
        <v>475.8</v>
      </c>
      <c r="Z3536">
        <v>475.8</v>
      </c>
      <c r="AA3536">
        <v>475.8</v>
      </c>
      <c r="AB3536" s="1">
        <v>42382</v>
      </c>
      <c r="AC3536" t="s">
        <v>53</v>
      </c>
      <c r="AD3536" t="s">
        <v>53</v>
      </c>
      <c r="AK3536">
        <v>85.8</v>
      </c>
      <c r="AU3536" s="6">
        <v>42340</v>
      </c>
      <c r="AV3536" s="6">
        <v>42340</v>
      </c>
      <c r="AW3536" t="s">
        <v>54</v>
      </c>
      <c r="AX3536" t="str">
        <f t="shared" si="301"/>
        <v>FOR</v>
      </c>
      <c r="AY3536" t="s">
        <v>55</v>
      </c>
    </row>
    <row r="3537" spans="1:51">
      <c r="A3537">
        <v>101170</v>
      </c>
      <c r="B3537" t="s">
        <v>555</v>
      </c>
      <c r="C3537" t="str">
        <f t="shared" si="302"/>
        <v>00527500540</v>
      </c>
      <c r="D3537" t="str">
        <f t="shared" si="302"/>
        <v>00527500540</v>
      </c>
      <c r="E3537" t="s">
        <v>52</v>
      </c>
      <c r="F3537">
        <v>2015</v>
      </c>
      <c r="G3537">
        <v>200031</v>
      </c>
      <c r="H3537" s="1">
        <v>42063</v>
      </c>
      <c r="I3537" s="1">
        <v>42089</v>
      </c>
      <c r="J3537" s="1">
        <v>42089</v>
      </c>
      <c r="K3537" s="1">
        <v>42149</v>
      </c>
      <c r="L3537" s="7">
        <v>360</v>
      </c>
      <c r="M3537" s="5">
        <v>191</v>
      </c>
      <c r="N3537" s="7">
        <v>68760</v>
      </c>
      <c r="O3537">
        <v>360</v>
      </c>
      <c r="P3537">
        <v>191</v>
      </c>
      <c r="Q3537" s="2">
        <v>68760</v>
      </c>
      <c r="R3537">
        <v>79.2</v>
      </c>
      <c r="V3537">
        <v>0</v>
      </c>
      <c r="W3537">
        <v>0</v>
      </c>
      <c r="X3537">
        <v>0</v>
      </c>
      <c r="Y3537">
        <v>439.2</v>
      </c>
      <c r="Z3537">
        <v>439.2</v>
      </c>
      <c r="AA3537">
        <v>439.2</v>
      </c>
      <c r="AB3537" s="1">
        <v>42382</v>
      </c>
      <c r="AC3537" t="s">
        <v>53</v>
      </c>
      <c r="AD3537" t="s">
        <v>53</v>
      </c>
      <c r="AK3537">
        <v>79.2</v>
      </c>
      <c r="AU3537" s="6">
        <v>42340</v>
      </c>
      <c r="AV3537" s="6">
        <v>42340</v>
      </c>
      <c r="AW3537" t="s">
        <v>54</v>
      </c>
      <c r="AX3537" t="str">
        <f t="shared" si="301"/>
        <v>FOR</v>
      </c>
      <c r="AY3537" t="s">
        <v>55</v>
      </c>
    </row>
    <row r="3538" spans="1:51">
      <c r="A3538">
        <v>101170</v>
      </c>
      <c r="B3538" t="s">
        <v>555</v>
      </c>
      <c r="C3538" t="str">
        <f t="shared" si="302"/>
        <v>00527500540</v>
      </c>
      <c r="D3538" t="str">
        <f t="shared" si="302"/>
        <v>00527500540</v>
      </c>
      <c r="E3538" t="s">
        <v>52</v>
      </c>
      <c r="F3538">
        <v>2015</v>
      </c>
      <c r="G3538">
        <v>200033</v>
      </c>
      <c r="H3538" s="1">
        <v>42063</v>
      </c>
      <c r="I3538" s="1">
        <v>42089</v>
      </c>
      <c r="J3538" s="1">
        <v>42089</v>
      </c>
      <c r="K3538" s="1">
        <v>42149</v>
      </c>
      <c r="L3538" s="7">
        <v>312.62</v>
      </c>
      <c r="M3538" s="5">
        <v>191</v>
      </c>
      <c r="N3538" s="7">
        <v>59710.42</v>
      </c>
      <c r="O3538">
        <v>312.62</v>
      </c>
      <c r="P3538">
        <v>191</v>
      </c>
      <c r="Q3538" s="2">
        <v>59710.42</v>
      </c>
      <c r="R3538">
        <v>68.78</v>
      </c>
      <c r="V3538">
        <v>0</v>
      </c>
      <c r="W3538">
        <v>0</v>
      </c>
      <c r="X3538">
        <v>0</v>
      </c>
      <c r="Y3538">
        <v>381.4</v>
      </c>
      <c r="Z3538">
        <v>381.4</v>
      </c>
      <c r="AA3538">
        <v>381.4</v>
      </c>
      <c r="AB3538" s="1">
        <v>42382</v>
      </c>
      <c r="AC3538" t="s">
        <v>53</v>
      </c>
      <c r="AD3538" t="s">
        <v>53</v>
      </c>
      <c r="AK3538">
        <v>68.78</v>
      </c>
      <c r="AU3538" s="6">
        <v>42340</v>
      </c>
      <c r="AV3538" s="6">
        <v>42340</v>
      </c>
      <c r="AW3538" t="s">
        <v>54</v>
      </c>
      <c r="AX3538" t="str">
        <f t="shared" si="301"/>
        <v>FOR</v>
      </c>
      <c r="AY3538" t="s">
        <v>55</v>
      </c>
    </row>
    <row r="3539" spans="1:51">
      <c r="A3539">
        <v>101170</v>
      </c>
      <c r="B3539" t="s">
        <v>555</v>
      </c>
      <c r="C3539" t="str">
        <f t="shared" si="302"/>
        <v>00527500540</v>
      </c>
      <c r="D3539" t="str">
        <f t="shared" si="302"/>
        <v>00527500540</v>
      </c>
      <c r="E3539" t="s">
        <v>52</v>
      </c>
      <c r="F3539">
        <v>2015</v>
      </c>
      <c r="G3539">
        <v>200036</v>
      </c>
      <c r="H3539" s="1">
        <v>42063</v>
      </c>
      <c r="I3539" s="1">
        <v>42089</v>
      </c>
      <c r="J3539" s="1">
        <v>42089</v>
      </c>
      <c r="K3539" s="1">
        <v>42149</v>
      </c>
      <c r="L3539" s="7">
        <v>300</v>
      </c>
      <c r="M3539" s="5">
        <v>191</v>
      </c>
      <c r="N3539" s="7">
        <v>57300</v>
      </c>
      <c r="O3539">
        <v>300</v>
      </c>
      <c r="P3539">
        <v>191</v>
      </c>
      <c r="Q3539" s="2">
        <v>57300</v>
      </c>
      <c r="R3539">
        <v>66</v>
      </c>
      <c r="V3539">
        <v>0</v>
      </c>
      <c r="W3539">
        <v>0</v>
      </c>
      <c r="X3539">
        <v>0</v>
      </c>
      <c r="Y3539">
        <v>366</v>
      </c>
      <c r="Z3539">
        <v>366</v>
      </c>
      <c r="AA3539">
        <v>366</v>
      </c>
      <c r="AB3539" s="1">
        <v>42382</v>
      </c>
      <c r="AC3539" t="s">
        <v>53</v>
      </c>
      <c r="AD3539" t="s">
        <v>53</v>
      </c>
      <c r="AK3539">
        <v>66</v>
      </c>
      <c r="AU3539" s="6">
        <v>42340</v>
      </c>
      <c r="AV3539" s="6">
        <v>42340</v>
      </c>
      <c r="AW3539" t="s">
        <v>54</v>
      </c>
      <c r="AX3539" t="str">
        <f t="shared" si="301"/>
        <v>FOR</v>
      </c>
      <c r="AY3539" t="s">
        <v>55</v>
      </c>
    </row>
    <row r="3540" spans="1:51">
      <c r="A3540">
        <v>101170</v>
      </c>
      <c r="B3540" t="s">
        <v>555</v>
      </c>
      <c r="C3540" t="str">
        <f t="shared" si="302"/>
        <v>00527500540</v>
      </c>
      <c r="D3540" t="str">
        <f t="shared" si="302"/>
        <v>00527500540</v>
      </c>
      <c r="E3540" t="s">
        <v>52</v>
      </c>
      <c r="F3540">
        <v>2015</v>
      </c>
      <c r="G3540">
        <v>200037</v>
      </c>
      <c r="H3540" s="1">
        <v>42063</v>
      </c>
      <c r="I3540" s="1">
        <v>42089</v>
      </c>
      <c r="J3540" s="1">
        <v>42089</v>
      </c>
      <c r="K3540" s="1">
        <v>42149</v>
      </c>
      <c r="L3540" s="7">
        <v>300</v>
      </c>
      <c r="M3540" s="5">
        <v>191</v>
      </c>
      <c r="N3540" s="7">
        <v>57300</v>
      </c>
      <c r="O3540">
        <v>300</v>
      </c>
      <c r="P3540">
        <v>191</v>
      </c>
      <c r="Q3540" s="2">
        <v>57300</v>
      </c>
      <c r="R3540">
        <v>66</v>
      </c>
      <c r="V3540">
        <v>0</v>
      </c>
      <c r="W3540">
        <v>0</v>
      </c>
      <c r="X3540">
        <v>0</v>
      </c>
      <c r="Y3540">
        <v>366</v>
      </c>
      <c r="Z3540">
        <v>366</v>
      </c>
      <c r="AA3540">
        <v>366</v>
      </c>
      <c r="AB3540" s="1">
        <v>42382</v>
      </c>
      <c r="AC3540" t="s">
        <v>53</v>
      </c>
      <c r="AD3540" t="s">
        <v>53</v>
      </c>
      <c r="AK3540">
        <v>66</v>
      </c>
      <c r="AU3540" s="6">
        <v>42340</v>
      </c>
      <c r="AV3540" s="6">
        <v>42340</v>
      </c>
      <c r="AW3540" t="s">
        <v>54</v>
      </c>
      <c r="AX3540" t="str">
        <f t="shared" si="301"/>
        <v>FOR</v>
      </c>
      <c r="AY3540" t="s">
        <v>55</v>
      </c>
    </row>
    <row r="3541" spans="1:51">
      <c r="A3541">
        <v>101170</v>
      </c>
      <c r="B3541" t="s">
        <v>555</v>
      </c>
      <c r="C3541" t="str">
        <f t="shared" si="302"/>
        <v>00527500540</v>
      </c>
      <c r="D3541" t="str">
        <f t="shared" si="302"/>
        <v>00527500540</v>
      </c>
      <c r="E3541" t="s">
        <v>52</v>
      </c>
      <c r="F3541">
        <v>2015</v>
      </c>
      <c r="G3541">
        <v>200038</v>
      </c>
      <c r="H3541" s="1">
        <v>42063</v>
      </c>
      <c r="I3541" s="1">
        <v>42089</v>
      </c>
      <c r="J3541" s="1">
        <v>42089</v>
      </c>
      <c r="K3541" s="1">
        <v>42149</v>
      </c>
      <c r="L3541" s="7">
        <v>280</v>
      </c>
      <c r="M3541" s="5">
        <v>191</v>
      </c>
      <c r="N3541" s="7">
        <v>53480</v>
      </c>
      <c r="O3541">
        <v>280</v>
      </c>
      <c r="P3541">
        <v>191</v>
      </c>
      <c r="Q3541" s="2">
        <v>53480</v>
      </c>
      <c r="R3541">
        <v>61.6</v>
      </c>
      <c r="V3541">
        <v>0</v>
      </c>
      <c r="W3541">
        <v>0</v>
      </c>
      <c r="X3541">
        <v>0</v>
      </c>
      <c r="Y3541">
        <v>341.6</v>
      </c>
      <c r="Z3541">
        <v>341.6</v>
      </c>
      <c r="AA3541">
        <v>341.6</v>
      </c>
      <c r="AB3541" s="1">
        <v>42382</v>
      </c>
      <c r="AC3541" t="s">
        <v>53</v>
      </c>
      <c r="AD3541" t="s">
        <v>53</v>
      </c>
      <c r="AK3541">
        <v>61.6</v>
      </c>
      <c r="AU3541" s="6">
        <v>42340</v>
      </c>
      <c r="AV3541" s="6">
        <v>42340</v>
      </c>
      <c r="AW3541" t="s">
        <v>54</v>
      </c>
      <c r="AX3541" t="str">
        <f t="shared" si="301"/>
        <v>FOR</v>
      </c>
      <c r="AY3541" t="s">
        <v>55</v>
      </c>
    </row>
    <row r="3542" spans="1:51">
      <c r="A3542">
        <v>101170</v>
      </c>
      <c r="B3542" t="s">
        <v>555</v>
      </c>
      <c r="C3542" t="str">
        <f t="shared" si="302"/>
        <v>00527500540</v>
      </c>
      <c r="D3542" t="str">
        <f t="shared" si="302"/>
        <v>00527500540</v>
      </c>
      <c r="E3542" t="s">
        <v>52</v>
      </c>
      <c r="F3542">
        <v>2015</v>
      </c>
      <c r="G3542">
        <v>200039</v>
      </c>
      <c r="H3542" s="1">
        <v>42063</v>
      </c>
      <c r="I3542" s="1">
        <v>42089</v>
      </c>
      <c r="J3542" s="1">
        <v>42089</v>
      </c>
      <c r="K3542" s="1">
        <v>42149</v>
      </c>
      <c r="L3542" s="7">
        <v>250</v>
      </c>
      <c r="M3542" s="5">
        <v>191</v>
      </c>
      <c r="N3542" s="7">
        <v>47750</v>
      </c>
      <c r="O3542">
        <v>250</v>
      </c>
      <c r="P3542">
        <v>191</v>
      </c>
      <c r="Q3542" s="2">
        <v>47750</v>
      </c>
      <c r="R3542">
        <v>55</v>
      </c>
      <c r="V3542">
        <v>0</v>
      </c>
      <c r="W3542">
        <v>0</v>
      </c>
      <c r="X3542">
        <v>0</v>
      </c>
      <c r="Y3542">
        <v>305</v>
      </c>
      <c r="Z3542">
        <v>305</v>
      </c>
      <c r="AA3542">
        <v>305</v>
      </c>
      <c r="AB3542" s="1">
        <v>42382</v>
      </c>
      <c r="AC3542" t="s">
        <v>53</v>
      </c>
      <c r="AD3542" t="s">
        <v>53</v>
      </c>
      <c r="AK3542">
        <v>55</v>
      </c>
      <c r="AU3542" s="6">
        <v>42340</v>
      </c>
      <c r="AV3542" s="6">
        <v>42340</v>
      </c>
      <c r="AW3542" t="s">
        <v>54</v>
      </c>
      <c r="AX3542" t="str">
        <f t="shared" si="301"/>
        <v>FOR</v>
      </c>
      <c r="AY3542" t="s">
        <v>55</v>
      </c>
    </row>
    <row r="3543" spans="1:51">
      <c r="A3543">
        <v>101170</v>
      </c>
      <c r="B3543" t="s">
        <v>555</v>
      </c>
      <c r="C3543" t="str">
        <f t="shared" si="302"/>
        <v>00527500540</v>
      </c>
      <c r="D3543" t="str">
        <f t="shared" si="302"/>
        <v>00527500540</v>
      </c>
      <c r="E3543" t="s">
        <v>52</v>
      </c>
      <c r="F3543">
        <v>2015</v>
      </c>
      <c r="G3543">
        <v>200043</v>
      </c>
      <c r="H3543" s="1">
        <v>42063</v>
      </c>
      <c r="I3543" s="1">
        <v>42089</v>
      </c>
      <c r="J3543" s="1">
        <v>42089</v>
      </c>
      <c r="K3543" s="1">
        <v>42149</v>
      </c>
      <c r="L3543" s="7">
        <v>140</v>
      </c>
      <c r="M3543" s="5">
        <v>191</v>
      </c>
      <c r="N3543" s="7">
        <v>26740</v>
      </c>
      <c r="O3543">
        <v>140</v>
      </c>
      <c r="P3543">
        <v>191</v>
      </c>
      <c r="Q3543" s="2">
        <v>26740</v>
      </c>
      <c r="R3543">
        <v>30.8</v>
      </c>
      <c r="V3543">
        <v>0</v>
      </c>
      <c r="W3543">
        <v>0</v>
      </c>
      <c r="X3543">
        <v>0</v>
      </c>
      <c r="Y3543">
        <v>170.8</v>
      </c>
      <c r="Z3543">
        <v>170.8</v>
      </c>
      <c r="AA3543">
        <v>170.8</v>
      </c>
      <c r="AB3543" s="1">
        <v>42382</v>
      </c>
      <c r="AC3543" t="s">
        <v>53</v>
      </c>
      <c r="AD3543" t="s">
        <v>53</v>
      </c>
      <c r="AK3543">
        <v>30.8</v>
      </c>
      <c r="AU3543" s="6">
        <v>42340</v>
      </c>
      <c r="AV3543" s="6">
        <v>42340</v>
      </c>
      <c r="AW3543" t="s">
        <v>54</v>
      </c>
      <c r="AX3543" t="str">
        <f t="shared" si="301"/>
        <v>FOR</v>
      </c>
      <c r="AY3543" t="s">
        <v>55</v>
      </c>
    </row>
    <row r="3544" spans="1:51" hidden="1">
      <c r="A3544">
        <v>101172</v>
      </c>
      <c r="B3544" t="s">
        <v>556</v>
      </c>
      <c r="C3544" t="str">
        <f>"00556990620"</f>
        <v>00556990620</v>
      </c>
      <c r="D3544" t="str">
        <f>"00556990620"</f>
        <v>00556990620</v>
      </c>
      <c r="E3544" t="s">
        <v>52</v>
      </c>
      <c r="F3544">
        <v>2014</v>
      </c>
      <c r="G3544" t="s">
        <v>557</v>
      </c>
      <c r="H3544" s="1">
        <v>41918</v>
      </c>
      <c r="I3544" s="1">
        <v>41920</v>
      </c>
      <c r="J3544" s="1">
        <v>41920</v>
      </c>
      <c r="K3544" s="1">
        <v>42010</v>
      </c>
      <c r="N3544" s="5"/>
      <c r="O3544">
        <v>76</v>
      </c>
      <c r="P3544">
        <v>30</v>
      </c>
      <c r="Q3544" s="2">
        <v>2280</v>
      </c>
      <c r="R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 s="1">
        <v>42382</v>
      </c>
      <c r="AC3544" t="s">
        <v>53</v>
      </c>
      <c r="AD3544" t="s">
        <v>53</v>
      </c>
      <c r="AK3544">
        <v>0</v>
      </c>
      <c r="AU3544" s="6">
        <v>42040</v>
      </c>
      <c r="AV3544" s="6">
        <v>42040</v>
      </c>
      <c r="AW3544" t="s">
        <v>54</v>
      </c>
      <c r="AX3544" t="str">
        <f t="shared" si="301"/>
        <v>FOR</v>
      </c>
      <c r="AY3544" t="s">
        <v>55</v>
      </c>
    </row>
    <row r="3545" spans="1:51" hidden="1">
      <c r="A3545">
        <v>101178</v>
      </c>
      <c r="B3545" t="s">
        <v>558</v>
      </c>
      <c r="C3545" t="str">
        <f t="shared" ref="C3545:D3554" si="303">"01985020518"</f>
        <v>01985020518</v>
      </c>
      <c r="D3545" t="str">
        <f t="shared" si="303"/>
        <v>01985020518</v>
      </c>
      <c r="E3545" t="s">
        <v>52</v>
      </c>
      <c r="F3545">
        <v>2014</v>
      </c>
      <c r="G3545">
        <v>56</v>
      </c>
      <c r="H3545" s="1">
        <v>41709</v>
      </c>
      <c r="I3545" s="1">
        <v>41715</v>
      </c>
      <c r="J3545" s="1">
        <v>41715</v>
      </c>
      <c r="K3545" s="1">
        <v>41805</v>
      </c>
      <c r="N3545" s="5"/>
      <c r="O3545" s="2">
        <v>3355</v>
      </c>
      <c r="P3545">
        <v>232</v>
      </c>
      <c r="Q3545" s="2">
        <v>778360</v>
      </c>
      <c r="R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 s="1">
        <v>42382</v>
      </c>
      <c r="AC3545" t="s">
        <v>53</v>
      </c>
      <c r="AD3545" t="s">
        <v>53</v>
      </c>
      <c r="AK3545">
        <v>0</v>
      </c>
      <c r="AU3545" s="6">
        <v>42037</v>
      </c>
      <c r="AV3545" s="6">
        <v>42037</v>
      </c>
      <c r="AW3545" t="s">
        <v>54</v>
      </c>
      <c r="AX3545" t="str">
        <f t="shared" si="301"/>
        <v>FOR</v>
      </c>
      <c r="AY3545" t="s">
        <v>55</v>
      </c>
    </row>
    <row r="3546" spans="1:51" hidden="1">
      <c r="A3546">
        <v>101178</v>
      </c>
      <c r="B3546" t="s">
        <v>558</v>
      </c>
      <c r="C3546" t="str">
        <f t="shared" si="303"/>
        <v>01985020518</v>
      </c>
      <c r="D3546" t="str">
        <f t="shared" si="303"/>
        <v>01985020518</v>
      </c>
      <c r="E3546" t="s">
        <v>52</v>
      </c>
      <c r="F3546">
        <v>2014</v>
      </c>
      <c r="G3546">
        <v>68</v>
      </c>
      <c r="H3546" s="1">
        <v>41724</v>
      </c>
      <c r="I3546" s="1">
        <v>41733</v>
      </c>
      <c r="J3546" s="1">
        <v>41733</v>
      </c>
      <c r="K3546" s="1">
        <v>41823</v>
      </c>
      <c r="N3546" s="5"/>
      <c r="O3546">
        <v>214.72</v>
      </c>
      <c r="P3546">
        <v>214</v>
      </c>
      <c r="Q3546" s="2">
        <v>45950.080000000002</v>
      </c>
      <c r="R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 s="1">
        <v>42382</v>
      </c>
      <c r="AC3546" t="s">
        <v>53</v>
      </c>
      <c r="AD3546" t="s">
        <v>53</v>
      </c>
      <c r="AK3546">
        <v>0</v>
      </c>
      <c r="AU3546" s="6">
        <v>42037</v>
      </c>
      <c r="AV3546" s="6">
        <v>42037</v>
      </c>
      <c r="AW3546" t="s">
        <v>54</v>
      </c>
      <c r="AX3546" t="str">
        <f t="shared" si="301"/>
        <v>FOR</v>
      </c>
      <c r="AY3546" t="s">
        <v>55</v>
      </c>
    </row>
    <row r="3547" spans="1:51" hidden="1">
      <c r="A3547">
        <v>101178</v>
      </c>
      <c r="B3547" t="s">
        <v>558</v>
      </c>
      <c r="C3547" t="str">
        <f t="shared" si="303"/>
        <v>01985020518</v>
      </c>
      <c r="D3547" t="str">
        <f t="shared" si="303"/>
        <v>01985020518</v>
      </c>
      <c r="E3547" t="s">
        <v>52</v>
      </c>
      <c r="F3547">
        <v>2014</v>
      </c>
      <c r="G3547">
        <v>74</v>
      </c>
      <c r="H3547" s="1">
        <v>41729</v>
      </c>
      <c r="I3547" s="1">
        <v>41733</v>
      </c>
      <c r="J3547" s="1">
        <v>41733</v>
      </c>
      <c r="K3547" s="1">
        <v>41823</v>
      </c>
      <c r="N3547" s="5"/>
      <c r="O3547" s="2">
        <v>3355</v>
      </c>
      <c r="P3547">
        <v>214</v>
      </c>
      <c r="Q3547" s="2">
        <v>717970</v>
      </c>
      <c r="R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 s="1">
        <v>42382</v>
      </c>
      <c r="AC3547" t="s">
        <v>53</v>
      </c>
      <c r="AD3547" t="s">
        <v>53</v>
      </c>
      <c r="AK3547">
        <v>0</v>
      </c>
      <c r="AU3547" s="6">
        <v>42037</v>
      </c>
      <c r="AV3547" s="6">
        <v>42037</v>
      </c>
      <c r="AW3547" t="s">
        <v>54</v>
      </c>
      <c r="AX3547" t="str">
        <f t="shared" si="301"/>
        <v>FOR</v>
      </c>
      <c r="AY3547" t="s">
        <v>55</v>
      </c>
    </row>
    <row r="3548" spans="1:51" hidden="1">
      <c r="A3548">
        <v>101178</v>
      </c>
      <c r="B3548" t="s">
        <v>558</v>
      </c>
      <c r="C3548" t="str">
        <f t="shared" si="303"/>
        <v>01985020518</v>
      </c>
      <c r="D3548" t="str">
        <f t="shared" si="303"/>
        <v>01985020518</v>
      </c>
      <c r="E3548" t="s">
        <v>52</v>
      </c>
      <c r="F3548">
        <v>2014</v>
      </c>
      <c r="G3548">
        <v>121</v>
      </c>
      <c r="H3548" s="1">
        <v>41782</v>
      </c>
      <c r="I3548" s="1">
        <v>41789</v>
      </c>
      <c r="J3548" s="1">
        <v>41789</v>
      </c>
      <c r="K3548" s="1">
        <v>41879</v>
      </c>
      <c r="N3548" s="5"/>
      <c r="O3548">
        <v>963.31</v>
      </c>
      <c r="P3548">
        <v>251</v>
      </c>
      <c r="Q3548" s="2">
        <v>241790.81</v>
      </c>
      <c r="R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 s="1">
        <v>42382</v>
      </c>
      <c r="AC3548" t="s">
        <v>53</v>
      </c>
      <c r="AD3548" t="s">
        <v>53</v>
      </c>
      <c r="AK3548">
        <v>0</v>
      </c>
      <c r="AU3548" s="6">
        <v>42130</v>
      </c>
      <c r="AV3548" s="6">
        <v>42130</v>
      </c>
      <c r="AW3548" t="s">
        <v>54</v>
      </c>
      <c r="AX3548" t="str">
        <f t="shared" si="301"/>
        <v>FOR</v>
      </c>
      <c r="AY3548" t="s">
        <v>55</v>
      </c>
    </row>
    <row r="3549" spans="1:51" hidden="1">
      <c r="A3549">
        <v>101178</v>
      </c>
      <c r="B3549" t="s">
        <v>558</v>
      </c>
      <c r="C3549" t="str">
        <f t="shared" si="303"/>
        <v>01985020518</v>
      </c>
      <c r="D3549" t="str">
        <f t="shared" si="303"/>
        <v>01985020518</v>
      </c>
      <c r="E3549" t="s">
        <v>52</v>
      </c>
      <c r="F3549">
        <v>2014</v>
      </c>
      <c r="G3549">
        <v>166</v>
      </c>
      <c r="H3549" s="1">
        <v>41820</v>
      </c>
      <c r="I3549" s="1">
        <v>41834</v>
      </c>
      <c r="J3549" s="1">
        <v>41834</v>
      </c>
      <c r="K3549" s="1">
        <v>41924</v>
      </c>
      <c r="N3549" s="5"/>
      <c r="O3549" s="2">
        <v>3355</v>
      </c>
      <c r="P3549">
        <v>206</v>
      </c>
      <c r="Q3549" s="2">
        <v>691130</v>
      </c>
      <c r="R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 s="1">
        <v>42382</v>
      </c>
      <c r="AC3549" t="s">
        <v>53</v>
      </c>
      <c r="AD3549" t="s">
        <v>53</v>
      </c>
      <c r="AK3549">
        <v>0</v>
      </c>
      <c r="AU3549" s="6">
        <v>42130</v>
      </c>
      <c r="AV3549" s="6">
        <v>42130</v>
      </c>
      <c r="AW3549" t="s">
        <v>54</v>
      </c>
      <c r="AX3549" t="str">
        <f t="shared" si="301"/>
        <v>FOR</v>
      </c>
      <c r="AY3549" t="s">
        <v>55</v>
      </c>
    </row>
    <row r="3550" spans="1:51" hidden="1">
      <c r="A3550">
        <v>101178</v>
      </c>
      <c r="B3550" t="s">
        <v>558</v>
      </c>
      <c r="C3550" t="str">
        <f t="shared" si="303"/>
        <v>01985020518</v>
      </c>
      <c r="D3550" t="str">
        <f t="shared" si="303"/>
        <v>01985020518</v>
      </c>
      <c r="E3550" t="s">
        <v>52</v>
      </c>
      <c r="F3550">
        <v>2014</v>
      </c>
      <c r="G3550">
        <v>201</v>
      </c>
      <c r="H3550" s="1">
        <v>41838</v>
      </c>
      <c r="I3550" s="1">
        <v>41844</v>
      </c>
      <c r="J3550" s="1">
        <v>41844</v>
      </c>
      <c r="K3550" s="1">
        <v>41934</v>
      </c>
      <c r="N3550" s="5"/>
      <c r="O3550">
        <v>429.44</v>
      </c>
      <c r="P3550">
        <v>225</v>
      </c>
      <c r="Q3550" s="2">
        <v>96624</v>
      </c>
      <c r="R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 s="1">
        <v>42382</v>
      </c>
      <c r="AC3550" t="s">
        <v>53</v>
      </c>
      <c r="AD3550" t="s">
        <v>53</v>
      </c>
      <c r="AK3550">
        <v>0</v>
      </c>
      <c r="AU3550" s="6">
        <v>42159</v>
      </c>
      <c r="AV3550" s="6">
        <v>42159</v>
      </c>
      <c r="AW3550" t="s">
        <v>54</v>
      </c>
      <c r="AX3550" t="str">
        <f t="shared" si="301"/>
        <v>FOR</v>
      </c>
      <c r="AY3550" t="s">
        <v>55</v>
      </c>
    </row>
    <row r="3551" spans="1:51" hidden="1">
      <c r="A3551">
        <v>101178</v>
      </c>
      <c r="B3551" t="s">
        <v>558</v>
      </c>
      <c r="C3551" t="str">
        <f t="shared" si="303"/>
        <v>01985020518</v>
      </c>
      <c r="D3551" t="str">
        <f t="shared" si="303"/>
        <v>01985020518</v>
      </c>
      <c r="E3551" t="s">
        <v>52</v>
      </c>
      <c r="F3551">
        <v>2014</v>
      </c>
      <c r="G3551">
        <v>218</v>
      </c>
      <c r="H3551" s="1">
        <v>41838</v>
      </c>
      <c r="I3551" s="1">
        <v>41844</v>
      </c>
      <c r="J3551" s="1">
        <v>41844</v>
      </c>
      <c r="K3551" s="1">
        <v>41934</v>
      </c>
      <c r="N3551" s="5"/>
      <c r="O3551" s="2">
        <v>3355</v>
      </c>
      <c r="P3551">
        <v>225</v>
      </c>
      <c r="Q3551" s="2">
        <v>754875</v>
      </c>
      <c r="R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 s="1">
        <v>42382</v>
      </c>
      <c r="AC3551" t="s">
        <v>53</v>
      </c>
      <c r="AD3551" t="s">
        <v>53</v>
      </c>
      <c r="AK3551">
        <v>0</v>
      </c>
      <c r="AU3551" s="6">
        <v>42159</v>
      </c>
      <c r="AV3551" s="6">
        <v>42159</v>
      </c>
      <c r="AW3551" t="s">
        <v>54</v>
      </c>
      <c r="AX3551" t="str">
        <f t="shared" si="301"/>
        <v>FOR</v>
      </c>
      <c r="AY3551" t="s">
        <v>55</v>
      </c>
    </row>
    <row r="3552" spans="1:51" hidden="1">
      <c r="A3552">
        <v>101178</v>
      </c>
      <c r="B3552" t="s">
        <v>558</v>
      </c>
      <c r="C3552" t="str">
        <f t="shared" si="303"/>
        <v>01985020518</v>
      </c>
      <c r="D3552" t="str">
        <f t="shared" si="303"/>
        <v>01985020518</v>
      </c>
      <c r="E3552" t="s">
        <v>52</v>
      </c>
      <c r="F3552">
        <v>2014</v>
      </c>
      <c r="G3552">
        <v>309</v>
      </c>
      <c r="H3552" s="1">
        <v>41912</v>
      </c>
      <c r="I3552" s="1">
        <v>41919</v>
      </c>
      <c r="J3552" s="1">
        <v>41919</v>
      </c>
      <c r="K3552" s="1">
        <v>42009</v>
      </c>
      <c r="N3552" s="5"/>
      <c r="O3552" s="2">
        <v>3355</v>
      </c>
      <c r="P3552">
        <v>240</v>
      </c>
      <c r="Q3552" s="2">
        <v>805200</v>
      </c>
      <c r="R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 s="1">
        <v>42382</v>
      </c>
      <c r="AC3552" t="s">
        <v>53</v>
      </c>
      <c r="AD3552" t="s">
        <v>53</v>
      </c>
      <c r="AK3552">
        <v>0</v>
      </c>
      <c r="AU3552" s="6">
        <v>42249</v>
      </c>
      <c r="AV3552" s="6">
        <v>42249</v>
      </c>
      <c r="AW3552" t="s">
        <v>54</v>
      </c>
      <c r="AX3552" t="str">
        <f t="shared" si="301"/>
        <v>FOR</v>
      </c>
      <c r="AY3552" t="s">
        <v>55</v>
      </c>
    </row>
    <row r="3553" spans="1:51">
      <c r="A3553">
        <v>101178</v>
      </c>
      <c r="B3553" t="s">
        <v>558</v>
      </c>
      <c r="C3553" t="str">
        <f t="shared" si="303"/>
        <v>01985020518</v>
      </c>
      <c r="D3553" t="str">
        <f t="shared" si="303"/>
        <v>01985020518</v>
      </c>
      <c r="E3553" t="s">
        <v>52</v>
      </c>
      <c r="F3553">
        <v>2014</v>
      </c>
      <c r="G3553">
        <v>373</v>
      </c>
      <c r="H3553" s="1">
        <v>41970</v>
      </c>
      <c r="I3553" s="1">
        <v>41983</v>
      </c>
      <c r="J3553" s="1">
        <v>41983</v>
      </c>
      <c r="K3553" s="1">
        <v>42043</v>
      </c>
      <c r="L3553" s="7">
        <v>3355</v>
      </c>
      <c r="M3553" s="5">
        <v>239</v>
      </c>
      <c r="N3553" s="7">
        <v>801845</v>
      </c>
      <c r="O3553" s="2">
        <v>3355</v>
      </c>
      <c r="P3553">
        <v>239</v>
      </c>
      <c r="Q3553" s="2">
        <v>801845</v>
      </c>
      <c r="R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 s="1">
        <v>42382</v>
      </c>
      <c r="AC3553" t="s">
        <v>53</v>
      </c>
      <c r="AD3553" t="s">
        <v>53</v>
      </c>
      <c r="AK3553">
        <v>0</v>
      </c>
      <c r="AU3553" s="6">
        <v>42282</v>
      </c>
      <c r="AV3553" s="6">
        <v>42282</v>
      </c>
      <c r="AW3553" t="s">
        <v>54</v>
      </c>
      <c r="AX3553" t="str">
        <f t="shared" si="301"/>
        <v>FOR</v>
      </c>
      <c r="AY3553" t="s">
        <v>55</v>
      </c>
    </row>
    <row r="3554" spans="1:51">
      <c r="A3554">
        <v>101178</v>
      </c>
      <c r="B3554" t="s">
        <v>558</v>
      </c>
      <c r="C3554" t="str">
        <f t="shared" si="303"/>
        <v>01985020518</v>
      </c>
      <c r="D3554" t="str">
        <f t="shared" si="303"/>
        <v>01985020518</v>
      </c>
      <c r="E3554" t="s">
        <v>52</v>
      </c>
      <c r="F3554">
        <v>2015</v>
      </c>
      <c r="G3554">
        <v>27</v>
      </c>
      <c r="H3554" s="1">
        <v>42035</v>
      </c>
      <c r="I3554" s="1">
        <v>42053</v>
      </c>
      <c r="J3554" s="1">
        <v>42053</v>
      </c>
      <c r="K3554" s="1">
        <v>42113</v>
      </c>
      <c r="L3554" s="7">
        <v>1150</v>
      </c>
      <c r="M3554" s="5">
        <v>227</v>
      </c>
      <c r="N3554" s="7">
        <v>261050</v>
      </c>
      <c r="O3554" s="2">
        <v>1150</v>
      </c>
      <c r="P3554">
        <v>227</v>
      </c>
      <c r="Q3554" s="2">
        <v>261050</v>
      </c>
      <c r="R3554">
        <v>253</v>
      </c>
      <c r="V3554">
        <v>0</v>
      </c>
      <c r="W3554">
        <v>0</v>
      </c>
      <c r="X3554">
        <v>0</v>
      </c>
      <c r="Y3554" s="2">
        <v>1403</v>
      </c>
      <c r="Z3554" s="2">
        <v>1403</v>
      </c>
      <c r="AA3554" s="2">
        <v>1403</v>
      </c>
      <c r="AB3554" s="1">
        <v>42382</v>
      </c>
      <c r="AC3554" t="s">
        <v>53</v>
      </c>
      <c r="AD3554" t="s">
        <v>53</v>
      </c>
      <c r="AK3554">
        <v>253</v>
      </c>
      <c r="AU3554" s="6">
        <v>42340</v>
      </c>
      <c r="AV3554" s="6">
        <v>42340</v>
      </c>
      <c r="AW3554" t="s">
        <v>54</v>
      </c>
      <c r="AX3554" t="str">
        <f t="shared" si="301"/>
        <v>FOR</v>
      </c>
      <c r="AY3554" t="s">
        <v>55</v>
      </c>
    </row>
    <row r="3555" spans="1:51" hidden="1">
      <c r="A3555">
        <v>101189</v>
      </c>
      <c r="B3555" t="s">
        <v>559</v>
      </c>
      <c r="C3555" t="str">
        <f t="shared" ref="C3555:D3564" si="304">"00805390283"</f>
        <v>00805390283</v>
      </c>
      <c r="D3555" t="str">
        <f t="shared" si="304"/>
        <v>00805390283</v>
      </c>
      <c r="E3555" t="s">
        <v>52</v>
      </c>
      <c r="F3555">
        <v>2014</v>
      </c>
      <c r="G3555">
        <v>4966</v>
      </c>
      <c r="H3555" s="1">
        <v>41900</v>
      </c>
      <c r="I3555" s="1">
        <v>41920</v>
      </c>
      <c r="J3555" s="1">
        <v>41920</v>
      </c>
      <c r="K3555" s="1">
        <v>42010</v>
      </c>
      <c r="N3555" s="5"/>
      <c r="O3555" s="2">
        <v>3001.2</v>
      </c>
      <c r="P3555">
        <v>8</v>
      </c>
      <c r="Q3555" s="2">
        <v>24009.599999999999</v>
      </c>
      <c r="R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 s="1">
        <v>42382</v>
      </c>
      <c r="AC3555" t="s">
        <v>53</v>
      </c>
      <c r="AD3555" t="s">
        <v>53</v>
      </c>
      <c r="AK3555">
        <v>0</v>
      </c>
      <c r="AU3555" s="6">
        <v>42018</v>
      </c>
      <c r="AV3555" s="6">
        <v>42018</v>
      </c>
      <c r="AW3555" t="s">
        <v>54</v>
      </c>
      <c r="AX3555" t="str">
        <f t="shared" si="301"/>
        <v>FOR</v>
      </c>
      <c r="AY3555" t="s">
        <v>55</v>
      </c>
    </row>
    <row r="3556" spans="1:51" hidden="1">
      <c r="A3556">
        <v>101189</v>
      </c>
      <c r="B3556" t="s">
        <v>559</v>
      </c>
      <c r="C3556" t="str">
        <f t="shared" si="304"/>
        <v>00805390283</v>
      </c>
      <c r="D3556" t="str">
        <f t="shared" si="304"/>
        <v>00805390283</v>
      </c>
      <c r="E3556" t="s">
        <v>52</v>
      </c>
      <c r="F3556">
        <v>2015</v>
      </c>
      <c r="G3556">
        <v>1230</v>
      </c>
      <c r="H3556" s="1">
        <v>42062</v>
      </c>
      <c r="I3556" s="1">
        <v>42086</v>
      </c>
      <c r="J3556" s="1">
        <v>42086</v>
      </c>
      <c r="K3556" s="1">
        <v>42146</v>
      </c>
      <c r="N3556" s="5"/>
      <c r="O3556" s="2">
        <v>33365.199999999997</v>
      </c>
      <c r="P3556">
        <v>20</v>
      </c>
      <c r="Q3556" s="2">
        <v>667304</v>
      </c>
      <c r="R3556">
        <v>0</v>
      </c>
      <c r="V3556">
        <v>0</v>
      </c>
      <c r="W3556">
        <v>0</v>
      </c>
      <c r="X3556">
        <v>0</v>
      </c>
      <c r="Y3556" s="2">
        <v>40705.54</v>
      </c>
      <c r="Z3556" s="2">
        <v>40705.54</v>
      </c>
      <c r="AA3556" s="2">
        <v>40705.54</v>
      </c>
      <c r="AB3556" s="1">
        <v>42382</v>
      </c>
      <c r="AC3556" t="s">
        <v>53</v>
      </c>
      <c r="AD3556" t="s">
        <v>53</v>
      </c>
      <c r="AK3556">
        <v>0</v>
      </c>
      <c r="AU3556" s="6">
        <v>42166</v>
      </c>
      <c r="AV3556" s="6">
        <v>42166</v>
      </c>
      <c r="AW3556" t="s">
        <v>54</v>
      </c>
      <c r="AX3556" t="str">
        <f t="shared" si="301"/>
        <v>FOR</v>
      </c>
      <c r="AY3556" t="s">
        <v>55</v>
      </c>
    </row>
    <row r="3557" spans="1:51" hidden="1">
      <c r="A3557">
        <v>101189</v>
      </c>
      <c r="B3557" t="s">
        <v>559</v>
      </c>
      <c r="C3557" t="str">
        <f t="shared" si="304"/>
        <v>00805390283</v>
      </c>
      <c r="D3557" t="str">
        <f t="shared" si="304"/>
        <v>00805390283</v>
      </c>
      <c r="E3557" t="s">
        <v>52</v>
      </c>
      <c r="F3557">
        <v>2015</v>
      </c>
      <c r="G3557">
        <v>1934</v>
      </c>
      <c r="H3557" s="1">
        <v>42093</v>
      </c>
      <c r="I3557" s="1">
        <v>42118</v>
      </c>
      <c r="J3557" s="1">
        <v>42118</v>
      </c>
      <c r="K3557" s="1">
        <v>42178</v>
      </c>
      <c r="N3557" s="5"/>
      <c r="O3557" s="2">
        <v>4515.5</v>
      </c>
      <c r="P3557">
        <v>-12</v>
      </c>
      <c r="Q3557" s="2">
        <v>-54186</v>
      </c>
      <c r="R3557">
        <v>0</v>
      </c>
      <c r="V3557">
        <v>0</v>
      </c>
      <c r="W3557">
        <v>0</v>
      </c>
      <c r="X3557">
        <v>0</v>
      </c>
      <c r="Y3557" s="2">
        <v>5508.91</v>
      </c>
      <c r="Z3557" s="2">
        <v>5508.91</v>
      </c>
      <c r="AA3557" s="2">
        <v>5508.91</v>
      </c>
      <c r="AB3557" s="1">
        <v>42382</v>
      </c>
      <c r="AC3557" t="s">
        <v>53</v>
      </c>
      <c r="AD3557" t="s">
        <v>53</v>
      </c>
      <c r="AK3557">
        <v>0</v>
      </c>
      <c r="AU3557" s="6">
        <v>42166</v>
      </c>
      <c r="AV3557" s="6">
        <v>42166</v>
      </c>
      <c r="AW3557" t="s">
        <v>54</v>
      </c>
      <c r="AX3557" t="str">
        <f t="shared" si="301"/>
        <v>FOR</v>
      </c>
      <c r="AY3557" t="s">
        <v>55</v>
      </c>
    </row>
    <row r="3558" spans="1:51">
      <c r="A3558">
        <v>101189</v>
      </c>
      <c r="B3558" t="s">
        <v>559</v>
      </c>
      <c r="C3558" t="str">
        <f t="shared" si="304"/>
        <v>00805390283</v>
      </c>
      <c r="D3558" t="str">
        <f t="shared" si="304"/>
        <v>00805390283</v>
      </c>
      <c r="E3558" t="s">
        <v>52</v>
      </c>
      <c r="F3558">
        <v>2015</v>
      </c>
      <c r="G3558">
        <v>2408</v>
      </c>
      <c r="H3558" s="1">
        <v>42114</v>
      </c>
      <c r="I3558" s="1">
        <v>42123</v>
      </c>
      <c r="J3558" s="1">
        <v>42123</v>
      </c>
      <c r="K3558" s="1">
        <v>42183</v>
      </c>
      <c r="L3558" s="7">
        <v>1073</v>
      </c>
      <c r="M3558" s="5">
        <v>156</v>
      </c>
      <c r="N3558" s="7">
        <v>167388</v>
      </c>
      <c r="O3558" s="2">
        <v>1073</v>
      </c>
      <c r="P3558">
        <v>156</v>
      </c>
      <c r="Q3558" s="2">
        <v>167388</v>
      </c>
      <c r="R3558">
        <v>236.06</v>
      </c>
      <c r="V3558">
        <v>0</v>
      </c>
      <c r="W3558">
        <v>0</v>
      </c>
      <c r="X3558">
        <v>0</v>
      </c>
      <c r="Y3558" s="2">
        <v>1309.06</v>
      </c>
      <c r="Z3558" s="2">
        <v>1309.06</v>
      </c>
      <c r="AA3558" s="2">
        <v>1309.06</v>
      </c>
      <c r="AB3558" s="1">
        <v>42382</v>
      </c>
      <c r="AC3558" t="s">
        <v>53</v>
      </c>
      <c r="AD3558" t="s">
        <v>53</v>
      </c>
      <c r="AK3558">
        <v>236.06</v>
      </c>
      <c r="AU3558" s="6">
        <v>42339</v>
      </c>
      <c r="AV3558" s="6">
        <v>42339</v>
      </c>
      <c r="AW3558" t="s">
        <v>54</v>
      </c>
      <c r="AX3558" t="str">
        <f t="shared" si="301"/>
        <v>FOR</v>
      </c>
      <c r="AY3558" t="s">
        <v>55</v>
      </c>
    </row>
    <row r="3559" spans="1:51">
      <c r="A3559">
        <v>101189</v>
      </c>
      <c r="B3559" t="s">
        <v>559</v>
      </c>
      <c r="C3559" t="str">
        <f t="shared" si="304"/>
        <v>00805390283</v>
      </c>
      <c r="D3559" t="str">
        <f t="shared" si="304"/>
        <v>00805390283</v>
      </c>
      <c r="E3559" t="s">
        <v>52</v>
      </c>
      <c r="F3559">
        <v>2015</v>
      </c>
      <c r="G3559">
        <v>3017</v>
      </c>
      <c r="H3559" s="1">
        <v>42139</v>
      </c>
      <c r="I3559" s="1">
        <v>42160</v>
      </c>
      <c r="J3559" s="1">
        <v>42146</v>
      </c>
      <c r="K3559" s="1">
        <v>42206</v>
      </c>
      <c r="L3559" s="7">
        <v>1440</v>
      </c>
      <c r="M3559" s="5">
        <v>133</v>
      </c>
      <c r="N3559" s="7">
        <v>191520</v>
      </c>
      <c r="O3559" s="2">
        <v>1440</v>
      </c>
      <c r="P3559">
        <v>133</v>
      </c>
      <c r="Q3559" s="2">
        <v>191520</v>
      </c>
      <c r="R3559">
        <v>316.8</v>
      </c>
      <c r="V3559">
        <v>0</v>
      </c>
      <c r="W3559">
        <v>0</v>
      </c>
      <c r="X3559">
        <v>0</v>
      </c>
      <c r="Y3559" s="2">
        <v>1756.8</v>
      </c>
      <c r="Z3559" s="2">
        <v>1756.8</v>
      </c>
      <c r="AA3559" s="2">
        <v>1756.8</v>
      </c>
      <c r="AB3559" s="1">
        <v>42382</v>
      </c>
      <c r="AC3559" t="s">
        <v>53</v>
      </c>
      <c r="AD3559" t="s">
        <v>53</v>
      </c>
      <c r="AJ3559">
        <v>316.8</v>
      </c>
      <c r="AK3559">
        <v>0</v>
      </c>
      <c r="AU3559" s="6">
        <v>42339</v>
      </c>
      <c r="AV3559" s="6">
        <v>42339</v>
      </c>
      <c r="AW3559" t="s">
        <v>54</v>
      </c>
      <c r="AX3559" t="str">
        <f t="shared" si="301"/>
        <v>FOR</v>
      </c>
      <c r="AY3559" t="s">
        <v>55</v>
      </c>
    </row>
    <row r="3560" spans="1:51">
      <c r="A3560">
        <v>101189</v>
      </c>
      <c r="B3560" t="s">
        <v>559</v>
      </c>
      <c r="C3560" t="str">
        <f t="shared" si="304"/>
        <v>00805390283</v>
      </c>
      <c r="D3560" t="str">
        <f t="shared" si="304"/>
        <v>00805390283</v>
      </c>
      <c r="E3560" t="s">
        <v>52</v>
      </c>
      <c r="F3560">
        <v>2015</v>
      </c>
      <c r="G3560">
        <v>4647</v>
      </c>
      <c r="H3560" s="1">
        <v>42207</v>
      </c>
      <c r="I3560" s="1">
        <v>42216</v>
      </c>
      <c r="J3560" s="1">
        <v>42215</v>
      </c>
      <c r="K3560" s="1">
        <v>42275</v>
      </c>
      <c r="L3560" s="7">
        <v>770</v>
      </c>
      <c r="M3560" s="5">
        <v>64</v>
      </c>
      <c r="N3560" s="7">
        <v>49280</v>
      </c>
      <c r="O3560">
        <v>770</v>
      </c>
      <c r="P3560">
        <v>64</v>
      </c>
      <c r="Q3560" s="2">
        <v>49280</v>
      </c>
      <c r="R3560">
        <v>169.4</v>
      </c>
      <c r="V3560">
        <v>0</v>
      </c>
      <c r="W3560">
        <v>0</v>
      </c>
      <c r="X3560">
        <v>0</v>
      </c>
      <c r="Y3560">
        <v>939.4</v>
      </c>
      <c r="Z3560">
        <v>939.4</v>
      </c>
      <c r="AA3560">
        <v>939.4</v>
      </c>
      <c r="AB3560" s="1">
        <v>42382</v>
      </c>
      <c r="AC3560" t="s">
        <v>53</v>
      </c>
      <c r="AD3560" t="s">
        <v>53</v>
      </c>
      <c r="AH3560">
        <v>169.4</v>
      </c>
      <c r="AK3560">
        <v>0</v>
      </c>
      <c r="AU3560" s="6">
        <v>42339</v>
      </c>
      <c r="AV3560" s="6">
        <v>42339</v>
      </c>
      <c r="AW3560" t="s">
        <v>54</v>
      </c>
      <c r="AX3560" t="str">
        <f t="shared" si="301"/>
        <v>FOR</v>
      </c>
      <c r="AY3560" t="s">
        <v>55</v>
      </c>
    </row>
    <row r="3561" spans="1:51">
      <c r="A3561">
        <v>101189</v>
      </c>
      <c r="B3561" t="s">
        <v>559</v>
      </c>
      <c r="C3561" t="str">
        <f t="shared" si="304"/>
        <v>00805390283</v>
      </c>
      <c r="D3561" t="str">
        <f t="shared" si="304"/>
        <v>00805390283</v>
      </c>
      <c r="E3561" t="s">
        <v>52</v>
      </c>
      <c r="F3561">
        <v>2015</v>
      </c>
      <c r="G3561">
        <v>4744</v>
      </c>
      <c r="H3561" s="1">
        <v>42212</v>
      </c>
      <c r="I3561" s="1">
        <v>42216</v>
      </c>
      <c r="J3561" s="1">
        <v>42215</v>
      </c>
      <c r="K3561" s="1">
        <v>42275</v>
      </c>
      <c r="L3561" s="7">
        <v>720</v>
      </c>
      <c r="M3561" s="5">
        <v>9</v>
      </c>
      <c r="N3561" s="7">
        <v>6480</v>
      </c>
      <c r="O3561">
        <v>720</v>
      </c>
      <c r="P3561">
        <v>9</v>
      </c>
      <c r="Q3561" s="2">
        <v>6480</v>
      </c>
      <c r="R3561">
        <v>158.4</v>
      </c>
      <c r="V3561">
        <v>0</v>
      </c>
      <c r="W3561">
        <v>0</v>
      </c>
      <c r="X3561">
        <v>0</v>
      </c>
      <c r="Y3561">
        <v>878.4</v>
      </c>
      <c r="Z3561">
        <v>878.4</v>
      </c>
      <c r="AA3561">
        <v>878.4</v>
      </c>
      <c r="AB3561" s="1">
        <v>42382</v>
      </c>
      <c r="AC3561" t="s">
        <v>53</v>
      </c>
      <c r="AD3561" t="s">
        <v>53</v>
      </c>
      <c r="AH3561">
        <v>158.4</v>
      </c>
      <c r="AK3561">
        <v>0</v>
      </c>
      <c r="AU3561" s="6">
        <v>42284</v>
      </c>
      <c r="AV3561" s="6">
        <v>42284</v>
      </c>
      <c r="AW3561" t="s">
        <v>54</v>
      </c>
      <c r="AX3561" t="str">
        <f t="shared" si="301"/>
        <v>FOR</v>
      </c>
      <c r="AY3561" t="s">
        <v>55</v>
      </c>
    </row>
    <row r="3562" spans="1:51">
      <c r="A3562">
        <v>101189</v>
      </c>
      <c r="B3562" t="s">
        <v>559</v>
      </c>
      <c r="C3562" t="str">
        <f t="shared" si="304"/>
        <v>00805390283</v>
      </c>
      <c r="D3562" t="str">
        <f t="shared" si="304"/>
        <v>00805390283</v>
      </c>
      <c r="E3562" t="s">
        <v>52</v>
      </c>
      <c r="F3562">
        <v>2015</v>
      </c>
      <c r="G3562">
        <v>5540</v>
      </c>
      <c r="H3562" s="1">
        <v>42263</v>
      </c>
      <c r="I3562" s="1">
        <v>42270</v>
      </c>
      <c r="J3562" s="1">
        <v>42269</v>
      </c>
      <c r="K3562" s="1">
        <v>42329</v>
      </c>
      <c r="L3562" s="7">
        <v>1735</v>
      </c>
      <c r="M3562" s="5">
        <v>10</v>
      </c>
      <c r="N3562" s="7">
        <v>17350</v>
      </c>
      <c r="O3562" s="2">
        <v>1735</v>
      </c>
      <c r="P3562">
        <v>10</v>
      </c>
      <c r="Q3562" s="2">
        <v>17350</v>
      </c>
      <c r="R3562">
        <v>381.7</v>
      </c>
      <c r="V3562">
        <v>0</v>
      </c>
      <c r="W3562">
        <v>0</v>
      </c>
      <c r="X3562">
        <v>0</v>
      </c>
      <c r="Y3562" s="2">
        <v>2116.6999999999998</v>
      </c>
      <c r="Z3562" s="2">
        <v>2116.6999999999998</v>
      </c>
      <c r="AA3562" s="2">
        <v>2116.6999999999998</v>
      </c>
      <c r="AB3562" s="1">
        <v>42382</v>
      </c>
      <c r="AC3562" t="s">
        <v>53</v>
      </c>
      <c r="AD3562" t="s">
        <v>53</v>
      </c>
      <c r="AF3562">
        <v>381.7</v>
      </c>
      <c r="AK3562">
        <v>0</v>
      </c>
      <c r="AU3562" s="6">
        <v>42339</v>
      </c>
      <c r="AV3562" s="6">
        <v>42339</v>
      </c>
      <c r="AW3562" t="s">
        <v>54</v>
      </c>
      <c r="AX3562" t="str">
        <f t="shared" si="301"/>
        <v>FOR</v>
      </c>
      <c r="AY3562" t="s">
        <v>55</v>
      </c>
    </row>
    <row r="3563" spans="1:51">
      <c r="A3563">
        <v>101189</v>
      </c>
      <c r="B3563" t="s">
        <v>559</v>
      </c>
      <c r="C3563" t="str">
        <f t="shared" si="304"/>
        <v>00805390283</v>
      </c>
      <c r="D3563" t="str">
        <f t="shared" si="304"/>
        <v>00805390283</v>
      </c>
      <c r="E3563" t="s">
        <v>52</v>
      </c>
      <c r="F3563">
        <v>2015</v>
      </c>
      <c r="G3563">
        <v>5922</v>
      </c>
      <c r="H3563" s="1">
        <v>42277</v>
      </c>
      <c r="I3563" s="1">
        <v>42291</v>
      </c>
      <c r="J3563" s="1">
        <v>42291</v>
      </c>
      <c r="K3563" s="1">
        <v>42351</v>
      </c>
      <c r="L3563" s="7">
        <v>1845</v>
      </c>
      <c r="M3563" s="5">
        <v>-10</v>
      </c>
      <c r="N3563" s="7">
        <v>-18450</v>
      </c>
      <c r="O3563" s="2">
        <v>1845</v>
      </c>
      <c r="P3563">
        <v>-10</v>
      </c>
      <c r="Q3563" s="2">
        <v>-18450</v>
      </c>
      <c r="R3563">
        <v>405.9</v>
      </c>
      <c r="V3563">
        <v>0</v>
      </c>
      <c r="W3563" s="2">
        <v>2250.9</v>
      </c>
      <c r="X3563">
        <v>0</v>
      </c>
      <c r="Y3563" s="2">
        <v>2250.9</v>
      </c>
      <c r="Z3563" s="2">
        <v>2250.9</v>
      </c>
      <c r="AA3563" s="2">
        <v>2250.9</v>
      </c>
      <c r="AB3563" s="1">
        <v>42382</v>
      </c>
      <c r="AC3563" t="s">
        <v>53</v>
      </c>
      <c r="AD3563" t="s">
        <v>53</v>
      </c>
      <c r="AE3563">
        <v>405.9</v>
      </c>
      <c r="AK3563">
        <v>0</v>
      </c>
      <c r="AU3563" s="6">
        <v>42341</v>
      </c>
      <c r="AV3563" s="6">
        <v>42341</v>
      </c>
      <c r="AW3563" t="s">
        <v>54</v>
      </c>
      <c r="AX3563" t="str">
        <f t="shared" si="301"/>
        <v>FOR</v>
      </c>
      <c r="AY3563" t="s">
        <v>55</v>
      </c>
    </row>
    <row r="3564" spans="1:51">
      <c r="A3564">
        <v>101189</v>
      </c>
      <c r="B3564" t="s">
        <v>559</v>
      </c>
      <c r="C3564" t="str">
        <f t="shared" si="304"/>
        <v>00805390283</v>
      </c>
      <c r="D3564" t="str">
        <f t="shared" si="304"/>
        <v>00805390283</v>
      </c>
      <c r="E3564" t="s">
        <v>52</v>
      </c>
      <c r="F3564">
        <v>2015</v>
      </c>
      <c r="G3564">
        <v>6044</v>
      </c>
      <c r="H3564" s="1">
        <v>42286</v>
      </c>
      <c r="I3564" s="1">
        <v>42292</v>
      </c>
      <c r="J3564" s="1">
        <v>42292</v>
      </c>
      <c r="K3564" s="1">
        <v>42352</v>
      </c>
      <c r="L3564" s="7">
        <v>746</v>
      </c>
      <c r="M3564" s="5">
        <v>-13</v>
      </c>
      <c r="N3564" s="7">
        <v>-9698</v>
      </c>
      <c r="O3564">
        <v>746</v>
      </c>
      <c r="P3564">
        <v>-13</v>
      </c>
      <c r="Q3564" s="2">
        <v>-9698</v>
      </c>
      <c r="R3564">
        <v>164.12</v>
      </c>
      <c r="V3564">
        <v>910.12</v>
      </c>
      <c r="W3564">
        <v>910.12</v>
      </c>
      <c r="X3564">
        <v>910.12</v>
      </c>
      <c r="Y3564">
        <v>910.12</v>
      </c>
      <c r="Z3564">
        <v>910.12</v>
      </c>
      <c r="AA3564">
        <v>910.12</v>
      </c>
      <c r="AB3564" s="1">
        <v>42382</v>
      </c>
      <c r="AC3564" t="s">
        <v>53</v>
      </c>
      <c r="AD3564" t="s">
        <v>53</v>
      </c>
      <c r="AE3564">
        <v>164.12</v>
      </c>
      <c r="AK3564">
        <v>0</v>
      </c>
      <c r="AU3564" s="6">
        <v>42339</v>
      </c>
      <c r="AV3564" s="6">
        <v>42339</v>
      </c>
      <c r="AW3564" t="s">
        <v>54</v>
      </c>
      <c r="AX3564" t="str">
        <f t="shared" si="301"/>
        <v>FOR</v>
      </c>
      <c r="AY3564" t="s">
        <v>55</v>
      </c>
    </row>
    <row r="3565" spans="1:51" hidden="1">
      <c r="A3565">
        <v>101202</v>
      </c>
      <c r="B3565" t="s">
        <v>560</v>
      </c>
      <c r="C3565" t="str">
        <f t="shared" ref="C3565:D3588" si="305">"09058160152"</f>
        <v>09058160152</v>
      </c>
      <c r="D3565" t="str">
        <f t="shared" si="305"/>
        <v>09058160152</v>
      </c>
      <c r="E3565" t="s">
        <v>52</v>
      </c>
      <c r="F3565">
        <v>2013</v>
      </c>
      <c r="G3565">
        <v>105833</v>
      </c>
      <c r="H3565" s="1">
        <v>41520</v>
      </c>
      <c r="I3565" s="1">
        <v>41529</v>
      </c>
      <c r="J3565" s="1">
        <v>41529</v>
      </c>
      <c r="K3565" s="1">
        <v>41619</v>
      </c>
      <c r="N3565" s="5"/>
      <c r="O3565" s="2">
        <v>3243.65</v>
      </c>
      <c r="P3565">
        <v>418</v>
      </c>
      <c r="Q3565" s="2">
        <v>1355845.7</v>
      </c>
      <c r="R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 s="1">
        <v>42382</v>
      </c>
      <c r="AC3565" t="s">
        <v>53</v>
      </c>
      <c r="AD3565" t="s">
        <v>53</v>
      </c>
      <c r="AK3565">
        <v>0</v>
      </c>
      <c r="AU3565" s="6">
        <v>42037</v>
      </c>
      <c r="AV3565" s="6">
        <v>42037</v>
      </c>
      <c r="AW3565" t="s">
        <v>54</v>
      </c>
      <c r="AX3565" t="str">
        <f t="shared" si="301"/>
        <v>FOR</v>
      </c>
      <c r="AY3565" t="s">
        <v>55</v>
      </c>
    </row>
    <row r="3566" spans="1:51" hidden="1">
      <c r="A3566">
        <v>101202</v>
      </c>
      <c r="B3566" t="s">
        <v>560</v>
      </c>
      <c r="C3566" t="str">
        <f t="shared" si="305"/>
        <v>09058160152</v>
      </c>
      <c r="D3566" t="str">
        <f t="shared" si="305"/>
        <v>09058160152</v>
      </c>
      <c r="E3566" t="s">
        <v>52</v>
      </c>
      <c r="F3566">
        <v>2013</v>
      </c>
      <c r="G3566">
        <v>105934</v>
      </c>
      <c r="H3566" s="1">
        <v>41527</v>
      </c>
      <c r="I3566" s="1">
        <v>41537</v>
      </c>
      <c r="J3566" s="1">
        <v>41537</v>
      </c>
      <c r="K3566" s="1">
        <v>41627</v>
      </c>
      <c r="N3566" s="5"/>
      <c r="O3566">
        <v>295.24</v>
      </c>
      <c r="P3566">
        <v>410</v>
      </c>
      <c r="Q3566" s="2">
        <v>121048.4</v>
      </c>
      <c r="R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 s="1">
        <v>42382</v>
      </c>
      <c r="AC3566" t="s">
        <v>53</v>
      </c>
      <c r="AD3566" t="s">
        <v>53</v>
      </c>
      <c r="AK3566">
        <v>0</v>
      </c>
      <c r="AU3566" s="6">
        <v>42037</v>
      </c>
      <c r="AV3566" s="6">
        <v>42037</v>
      </c>
      <c r="AW3566" t="s">
        <v>54</v>
      </c>
      <c r="AX3566" t="str">
        <f t="shared" si="301"/>
        <v>FOR</v>
      </c>
      <c r="AY3566" t="s">
        <v>55</v>
      </c>
    </row>
    <row r="3567" spans="1:51" hidden="1">
      <c r="A3567">
        <v>101202</v>
      </c>
      <c r="B3567" t="s">
        <v>560</v>
      </c>
      <c r="C3567" t="str">
        <f t="shared" si="305"/>
        <v>09058160152</v>
      </c>
      <c r="D3567" t="str">
        <f t="shared" si="305"/>
        <v>09058160152</v>
      </c>
      <c r="E3567" t="s">
        <v>52</v>
      </c>
      <c r="F3567">
        <v>2013</v>
      </c>
      <c r="G3567">
        <v>106971</v>
      </c>
      <c r="H3567" s="1">
        <v>41562</v>
      </c>
      <c r="I3567" s="1">
        <v>41570</v>
      </c>
      <c r="J3567" s="1">
        <v>41570</v>
      </c>
      <c r="K3567" s="1">
        <v>41660</v>
      </c>
      <c r="N3567" s="5"/>
      <c r="O3567">
        <v>671</v>
      </c>
      <c r="P3567">
        <v>377</v>
      </c>
      <c r="Q3567" s="2">
        <v>252967</v>
      </c>
      <c r="R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 s="1">
        <v>42382</v>
      </c>
      <c r="AC3567" t="s">
        <v>53</v>
      </c>
      <c r="AD3567" t="s">
        <v>53</v>
      </c>
      <c r="AK3567">
        <v>0</v>
      </c>
      <c r="AU3567" s="6">
        <v>42037</v>
      </c>
      <c r="AV3567" s="6">
        <v>42037</v>
      </c>
      <c r="AW3567" t="s">
        <v>54</v>
      </c>
      <c r="AX3567" t="str">
        <f t="shared" si="301"/>
        <v>FOR</v>
      </c>
      <c r="AY3567" t="s">
        <v>55</v>
      </c>
    </row>
    <row r="3568" spans="1:51" hidden="1">
      <c r="A3568">
        <v>101202</v>
      </c>
      <c r="B3568" t="s">
        <v>560</v>
      </c>
      <c r="C3568" t="str">
        <f t="shared" si="305"/>
        <v>09058160152</v>
      </c>
      <c r="D3568" t="str">
        <f t="shared" si="305"/>
        <v>09058160152</v>
      </c>
      <c r="E3568" t="s">
        <v>52</v>
      </c>
      <c r="F3568">
        <v>2013</v>
      </c>
      <c r="G3568">
        <v>107263</v>
      </c>
      <c r="H3568" s="1">
        <v>41572</v>
      </c>
      <c r="I3568" s="1">
        <v>41578</v>
      </c>
      <c r="J3568" s="1">
        <v>41578</v>
      </c>
      <c r="K3568" s="1">
        <v>41668</v>
      </c>
      <c r="N3568" s="5"/>
      <c r="O3568">
        <v>794.22</v>
      </c>
      <c r="P3568">
        <v>369</v>
      </c>
      <c r="Q3568" s="2">
        <v>293067.18</v>
      </c>
      <c r="R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 s="1">
        <v>42382</v>
      </c>
      <c r="AC3568" t="s">
        <v>53</v>
      </c>
      <c r="AD3568" t="s">
        <v>53</v>
      </c>
      <c r="AK3568">
        <v>0</v>
      </c>
      <c r="AU3568" s="6">
        <v>42037</v>
      </c>
      <c r="AV3568" s="6">
        <v>42037</v>
      </c>
      <c r="AW3568" t="s">
        <v>54</v>
      </c>
      <c r="AX3568" t="str">
        <f t="shared" si="301"/>
        <v>FOR</v>
      </c>
      <c r="AY3568" t="s">
        <v>55</v>
      </c>
    </row>
    <row r="3569" spans="1:51" hidden="1">
      <c r="A3569">
        <v>101202</v>
      </c>
      <c r="B3569" t="s">
        <v>560</v>
      </c>
      <c r="C3569" t="str">
        <f t="shared" si="305"/>
        <v>09058160152</v>
      </c>
      <c r="D3569" t="str">
        <f t="shared" si="305"/>
        <v>09058160152</v>
      </c>
      <c r="E3569" t="s">
        <v>52</v>
      </c>
      <c r="F3569">
        <v>2013</v>
      </c>
      <c r="G3569">
        <v>107973</v>
      </c>
      <c r="H3569" s="1">
        <v>41598</v>
      </c>
      <c r="I3569" s="1">
        <v>41607</v>
      </c>
      <c r="J3569" s="1">
        <v>41607</v>
      </c>
      <c r="K3569" s="1">
        <v>41697</v>
      </c>
      <c r="N3569" s="5"/>
      <c r="O3569" s="2">
        <v>3059.76</v>
      </c>
      <c r="P3569">
        <v>340</v>
      </c>
      <c r="Q3569" s="2">
        <v>1040318.4</v>
      </c>
      <c r="R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 s="1">
        <v>42382</v>
      </c>
      <c r="AC3569" t="s">
        <v>53</v>
      </c>
      <c r="AD3569" t="s">
        <v>53</v>
      </c>
      <c r="AK3569">
        <v>0</v>
      </c>
      <c r="AU3569" s="6">
        <v>42037</v>
      </c>
      <c r="AV3569" s="6">
        <v>42037</v>
      </c>
      <c r="AW3569" t="s">
        <v>54</v>
      </c>
      <c r="AX3569" t="str">
        <f t="shared" si="301"/>
        <v>FOR</v>
      </c>
      <c r="AY3569" t="s">
        <v>55</v>
      </c>
    </row>
    <row r="3570" spans="1:51" hidden="1">
      <c r="A3570">
        <v>101202</v>
      </c>
      <c r="B3570" t="s">
        <v>560</v>
      </c>
      <c r="C3570" t="str">
        <f t="shared" si="305"/>
        <v>09058160152</v>
      </c>
      <c r="D3570" t="str">
        <f t="shared" si="305"/>
        <v>09058160152</v>
      </c>
      <c r="E3570" t="s">
        <v>52</v>
      </c>
      <c r="F3570">
        <v>2013</v>
      </c>
      <c r="G3570">
        <v>108531</v>
      </c>
      <c r="H3570" s="1">
        <v>41612</v>
      </c>
      <c r="I3570" s="1">
        <v>41619</v>
      </c>
      <c r="J3570" s="1">
        <v>41619</v>
      </c>
      <c r="K3570" s="1">
        <v>41709</v>
      </c>
      <c r="N3570" s="5"/>
      <c r="O3570">
        <v>384.3</v>
      </c>
      <c r="P3570">
        <v>328</v>
      </c>
      <c r="Q3570" s="2">
        <v>126050.4</v>
      </c>
      <c r="R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 s="1">
        <v>42382</v>
      </c>
      <c r="AC3570" t="s">
        <v>53</v>
      </c>
      <c r="AD3570" t="s">
        <v>53</v>
      </c>
      <c r="AK3570">
        <v>0</v>
      </c>
      <c r="AU3570" s="6">
        <v>42037</v>
      </c>
      <c r="AV3570" s="6">
        <v>42037</v>
      </c>
      <c r="AW3570" t="s">
        <v>54</v>
      </c>
      <c r="AX3570" t="str">
        <f t="shared" si="301"/>
        <v>FOR</v>
      </c>
      <c r="AY3570" t="s">
        <v>55</v>
      </c>
    </row>
    <row r="3571" spans="1:51" hidden="1">
      <c r="A3571">
        <v>101202</v>
      </c>
      <c r="B3571" t="s">
        <v>560</v>
      </c>
      <c r="C3571" t="str">
        <f t="shared" si="305"/>
        <v>09058160152</v>
      </c>
      <c r="D3571" t="str">
        <f t="shared" si="305"/>
        <v>09058160152</v>
      </c>
      <c r="E3571" t="s">
        <v>52</v>
      </c>
      <c r="F3571">
        <v>2013</v>
      </c>
      <c r="G3571">
        <v>108619</v>
      </c>
      <c r="H3571" s="1">
        <v>41614</v>
      </c>
      <c r="I3571" s="1">
        <v>41626</v>
      </c>
      <c r="J3571" s="1">
        <v>41626</v>
      </c>
      <c r="K3571" s="1">
        <v>41716</v>
      </c>
      <c r="N3571" s="5"/>
      <c r="O3571" s="2">
        <v>4949.3900000000003</v>
      </c>
      <c r="P3571">
        <v>321</v>
      </c>
      <c r="Q3571" s="2">
        <v>1588754.19</v>
      </c>
      <c r="R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 s="1">
        <v>42382</v>
      </c>
      <c r="AC3571" t="s">
        <v>53</v>
      </c>
      <c r="AD3571" t="s">
        <v>53</v>
      </c>
      <c r="AK3571">
        <v>0</v>
      </c>
      <c r="AU3571" s="6">
        <v>42037</v>
      </c>
      <c r="AV3571" s="6">
        <v>42037</v>
      </c>
      <c r="AW3571" t="s">
        <v>54</v>
      </c>
      <c r="AX3571" t="str">
        <f t="shared" si="301"/>
        <v>FOR</v>
      </c>
      <c r="AY3571" t="s">
        <v>55</v>
      </c>
    </row>
    <row r="3572" spans="1:51" hidden="1">
      <c r="A3572">
        <v>101202</v>
      </c>
      <c r="B3572" t="s">
        <v>560</v>
      </c>
      <c r="C3572" t="str">
        <f t="shared" si="305"/>
        <v>09058160152</v>
      </c>
      <c r="D3572" t="str">
        <f t="shared" si="305"/>
        <v>09058160152</v>
      </c>
      <c r="E3572" t="s">
        <v>52</v>
      </c>
      <c r="F3572">
        <v>2014</v>
      </c>
      <c r="G3572">
        <v>100462</v>
      </c>
      <c r="H3572" s="1">
        <v>41666</v>
      </c>
      <c r="I3572" s="1">
        <v>41675</v>
      </c>
      <c r="J3572" s="1">
        <v>41675</v>
      </c>
      <c r="K3572" s="1">
        <v>41765</v>
      </c>
      <c r="N3572" s="5"/>
      <c r="O3572" s="2">
        <v>1165.0999999999999</v>
      </c>
      <c r="P3572">
        <v>272</v>
      </c>
      <c r="Q3572" s="2">
        <v>316907.2</v>
      </c>
      <c r="R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 s="1">
        <v>42382</v>
      </c>
      <c r="AC3572" t="s">
        <v>53</v>
      </c>
      <c r="AD3572" t="s">
        <v>53</v>
      </c>
      <c r="AK3572">
        <v>0</v>
      </c>
      <c r="AU3572" s="6">
        <v>42037</v>
      </c>
      <c r="AV3572" s="6">
        <v>42037</v>
      </c>
      <c r="AW3572" t="s">
        <v>54</v>
      </c>
      <c r="AX3572" t="str">
        <f t="shared" si="301"/>
        <v>FOR</v>
      </c>
      <c r="AY3572" t="s">
        <v>55</v>
      </c>
    </row>
    <row r="3573" spans="1:51" hidden="1">
      <c r="A3573">
        <v>101202</v>
      </c>
      <c r="B3573" t="s">
        <v>560</v>
      </c>
      <c r="C3573" t="str">
        <f t="shared" si="305"/>
        <v>09058160152</v>
      </c>
      <c r="D3573" t="str">
        <f t="shared" si="305"/>
        <v>09058160152</v>
      </c>
      <c r="E3573" t="s">
        <v>52</v>
      </c>
      <c r="F3573">
        <v>2014</v>
      </c>
      <c r="G3573">
        <v>101258</v>
      </c>
      <c r="H3573" s="1">
        <v>41696</v>
      </c>
      <c r="I3573" s="1">
        <v>41704</v>
      </c>
      <c r="J3573" s="1">
        <v>41704</v>
      </c>
      <c r="K3573" s="1">
        <v>41794</v>
      </c>
      <c r="N3573" s="5"/>
      <c r="O3573" s="2">
        <v>1719.47</v>
      </c>
      <c r="P3573">
        <v>243</v>
      </c>
      <c r="Q3573" s="2">
        <v>417831.21</v>
      </c>
      <c r="R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 s="1">
        <v>42382</v>
      </c>
      <c r="AC3573" t="s">
        <v>53</v>
      </c>
      <c r="AD3573" t="s">
        <v>53</v>
      </c>
      <c r="AK3573">
        <v>0</v>
      </c>
      <c r="AU3573" s="6">
        <v>42037</v>
      </c>
      <c r="AV3573" s="6">
        <v>42037</v>
      </c>
      <c r="AW3573" t="s">
        <v>54</v>
      </c>
      <c r="AX3573" t="str">
        <f t="shared" si="301"/>
        <v>FOR</v>
      </c>
      <c r="AY3573" t="s">
        <v>55</v>
      </c>
    </row>
    <row r="3574" spans="1:51" hidden="1">
      <c r="A3574">
        <v>101202</v>
      </c>
      <c r="B3574" t="s">
        <v>560</v>
      </c>
      <c r="C3574" t="str">
        <f t="shared" si="305"/>
        <v>09058160152</v>
      </c>
      <c r="D3574" t="str">
        <f t="shared" si="305"/>
        <v>09058160152</v>
      </c>
      <c r="E3574" t="s">
        <v>52</v>
      </c>
      <c r="F3574">
        <v>2014</v>
      </c>
      <c r="G3574">
        <v>101421</v>
      </c>
      <c r="H3574" s="1">
        <v>41703</v>
      </c>
      <c r="I3574" s="1">
        <v>41733</v>
      </c>
      <c r="J3574" s="1">
        <v>41733</v>
      </c>
      <c r="K3574" s="1">
        <v>41823</v>
      </c>
      <c r="N3574" s="5"/>
      <c r="O3574" s="2">
        <v>9896.64</v>
      </c>
      <c r="P3574">
        <v>216</v>
      </c>
      <c r="Q3574" s="2">
        <v>2137674.2400000002</v>
      </c>
      <c r="R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 s="1">
        <v>42382</v>
      </c>
      <c r="AC3574" t="s">
        <v>53</v>
      </c>
      <c r="AD3574" t="s">
        <v>53</v>
      </c>
      <c r="AK3574">
        <v>0</v>
      </c>
      <c r="AU3574" s="6">
        <v>42039</v>
      </c>
      <c r="AV3574" s="6">
        <v>42039</v>
      </c>
      <c r="AW3574" t="s">
        <v>54</v>
      </c>
      <c r="AX3574" t="str">
        <f t="shared" si="301"/>
        <v>FOR</v>
      </c>
      <c r="AY3574" t="s">
        <v>55</v>
      </c>
    </row>
    <row r="3575" spans="1:51" hidden="1">
      <c r="A3575">
        <v>101202</v>
      </c>
      <c r="B3575" t="s">
        <v>560</v>
      </c>
      <c r="C3575" t="str">
        <f t="shared" si="305"/>
        <v>09058160152</v>
      </c>
      <c r="D3575" t="str">
        <f t="shared" si="305"/>
        <v>09058160152</v>
      </c>
      <c r="E3575" t="s">
        <v>52</v>
      </c>
      <c r="F3575">
        <v>2014</v>
      </c>
      <c r="G3575">
        <v>102308</v>
      </c>
      <c r="H3575" s="1">
        <v>41732</v>
      </c>
      <c r="I3575" s="1">
        <v>41739</v>
      </c>
      <c r="J3575" s="1">
        <v>41739</v>
      </c>
      <c r="K3575" s="1">
        <v>41829</v>
      </c>
      <c r="N3575" s="5"/>
      <c r="O3575" s="2">
        <v>1951.73</v>
      </c>
      <c r="P3575">
        <v>233</v>
      </c>
      <c r="Q3575" s="2">
        <v>454753.09</v>
      </c>
      <c r="R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 s="1">
        <v>42382</v>
      </c>
      <c r="AC3575" t="s">
        <v>53</v>
      </c>
      <c r="AD3575" t="s">
        <v>53</v>
      </c>
      <c r="AK3575">
        <v>0</v>
      </c>
      <c r="AU3575" s="6">
        <v>42062</v>
      </c>
      <c r="AV3575" s="6">
        <v>42062</v>
      </c>
      <c r="AW3575" t="s">
        <v>54</v>
      </c>
      <c r="AX3575" t="str">
        <f t="shared" si="301"/>
        <v>FOR</v>
      </c>
      <c r="AY3575" t="s">
        <v>55</v>
      </c>
    </row>
    <row r="3576" spans="1:51" hidden="1">
      <c r="A3576">
        <v>101202</v>
      </c>
      <c r="B3576" t="s">
        <v>560</v>
      </c>
      <c r="C3576" t="str">
        <f t="shared" si="305"/>
        <v>09058160152</v>
      </c>
      <c r="D3576" t="str">
        <f t="shared" si="305"/>
        <v>09058160152</v>
      </c>
      <c r="E3576" t="s">
        <v>52</v>
      </c>
      <c r="F3576">
        <v>2014</v>
      </c>
      <c r="G3576">
        <v>103056</v>
      </c>
      <c r="H3576" s="1">
        <v>41767</v>
      </c>
      <c r="I3576" s="1">
        <v>41773</v>
      </c>
      <c r="J3576" s="1">
        <v>41773</v>
      </c>
      <c r="K3576" s="1">
        <v>41863</v>
      </c>
      <c r="N3576" s="5"/>
      <c r="O3576" s="2">
        <v>5200.8599999999997</v>
      </c>
      <c r="P3576">
        <v>267</v>
      </c>
      <c r="Q3576" s="2">
        <v>1388629.62</v>
      </c>
      <c r="R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 s="1">
        <v>42382</v>
      </c>
      <c r="AC3576" t="s">
        <v>53</v>
      </c>
      <c r="AD3576" t="s">
        <v>53</v>
      </c>
      <c r="AK3576">
        <v>0</v>
      </c>
      <c r="AU3576" s="6">
        <v>42130</v>
      </c>
      <c r="AV3576" s="6">
        <v>42130</v>
      </c>
      <c r="AW3576" t="s">
        <v>54</v>
      </c>
      <c r="AX3576" t="str">
        <f t="shared" si="301"/>
        <v>FOR</v>
      </c>
      <c r="AY3576" t="s">
        <v>55</v>
      </c>
    </row>
    <row r="3577" spans="1:51" hidden="1">
      <c r="A3577">
        <v>101202</v>
      </c>
      <c r="B3577" t="s">
        <v>560</v>
      </c>
      <c r="C3577" t="str">
        <f t="shared" si="305"/>
        <v>09058160152</v>
      </c>
      <c r="D3577" t="str">
        <f t="shared" si="305"/>
        <v>09058160152</v>
      </c>
      <c r="E3577" t="s">
        <v>52</v>
      </c>
      <c r="F3577">
        <v>2014</v>
      </c>
      <c r="G3577">
        <v>103103</v>
      </c>
      <c r="H3577" s="1">
        <v>41768</v>
      </c>
      <c r="I3577" s="1">
        <v>41773</v>
      </c>
      <c r="J3577" s="1">
        <v>41773</v>
      </c>
      <c r="K3577" s="1">
        <v>41863</v>
      </c>
      <c r="N3577" s="5"/>
      <c r="O3577" s="2">
        <v>1633.86</v>
      </c>
      <c r="P3577">
        <v>267</v>
      </c>
      <c r="Q3577" s="2">
        <v>436240.62</v>
      </c>
      <c r="R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 s="1">
        <v>42382</v>
      </c>
      <c r="AC3577" t="s">
        <v>53</v>
      </c>
      <c r="AD3577" t="s">
        <v>53</v>
      </c>
      <c r="AK3577">
        <v>0</v>
      </c>
      <c r="AU3577" s="6">
        <v>42130</v>
      </c>
      <c r="AV3577" s="6">
        <v>42130</v>
      </c>
      <c r="AW3577" t="s">
        <v>54</v>
      </c>
      <c r="AX3577" t="str">
        <f t="shared" si="301"/>
        <v>FOR</v>
      </c>
      <c r="AY3577" t="s">
        <v>55</v>
      </c>
    </row>
    <row r="3578" spans="1:51" hidden="1">
      <c r="A3578">
        <v>101202</v>
      </c>
      <c r="B3578" t="s">
        <v>560</v>
      </c>
      <c r="C3578" t="str">
        <f t="shared" si="305"/>
        <v>09058160152</v>
      </c>
      <c r="D3578" t="str">
        <f t="shared" si="305"/>
        <v>09058160152</v>
      </c>
      <c r="E3578" t="s">
        <v>52</v>
      </c>
      <c r="F3578">
        <v>2014</v>
      </c>
      <c r="G3578">
        <v>103551</v>
      </c>
      <c r="H3578" s="1">
        <v>41786</v>
      </c>
      <c r="I3578" s="1">
        <v>41794</v>
      </c>
      <c r="J3578" s="1">
        <v>41794</v>
      </c>
      <c r="K3578" s="1">
        <v>41884</v>
      </c>
      <c r="N3578" s="5"/>
      <c r="O3578">
        <v>635.74</v>
      </c>
      <c r="P3578">
        <v>212</v>
      </c>
      <c r="Q3578" s="2">
        <v>134776.88</v>
      </c>
      <c r="R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 s="1">
        <v>42382</v>
      </c>
      <c r="AC3578" t="s">
        <v>53</v>
      </c>
      <c r="AD3578" t="s">
        <v>53</v>
      </c>
      <c r="AK3578">
        <v>0</v>
      </c>
      <c r="AU3578" s="6">
        <v>42096</v>
      </c>
      <c r="AV3578" s="6">
        <v>42096</v>
      </c>
      <c r="AW3578" t="s">
        <v>54</v>
      </c>
      <c r="AX3578" t="str">
        <f t="shared" si="301"/>
        <v>FOR</v>
      </c>
      <c r="AY3578" t="s">
        <v>55</v>
      </c>
    </row>
    <row r="3579" spans="1:51" hidden="1">
      <c r="A3579">
        <v>101202</v>
      </c>
      <c r="B3579" t="s">
        <v>560</v>
      </c>
      <c r="C3579" t="str">
        <f t="shared" si="305"/>
        <v>09058160152</v>
      </c>
      <c r="D3579" t="str">
        <f t="shared" si="305"/>
        <v>09058160152</v>
      </c>
      <c r="E3579" t="s">
        <v>52</v>
      </c>
      <c r="F3579">
        <v>2014</v>
      </c>
      <c r="G3579">
        <v>103552</v>
      </c>
      <c r="H3579" s="1">
        <v>41786</v>
      </c>
      <c r="I3579" s="1">
        <v>41795</v>
      </c>
      <c r="J3579" s="1">
        <v>41795</v>
      </c>
      <c r="K3579" s="1">
        <v>41885</v>
      </c>
      <c r="N3579" s="5"/>
      <c r="O3579">
        <v>331.84</v>
      </c>
      <c r="P3579">
        <v>245</v>
      </c>
      <c r="Q3579" s="2">
        <v>81300.800000000003</v>
      </c>
      <c r="R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 s="1">
        <v>42382</v>
      </c>
      <c r="AC3579" t="s">
        <v>53</v>
      </c>
      <c r="AD3579" t="s">
        <v>53</v>
      </c>
      <c r="AK3579">
        <v>0</v>
      </c>
      <c r="AU3579" s="6">
        <v>42130</v>
      </c>
      <c r="AV3579" s="6">
        <v>42130</v>
      </c>
      <c r="AW3579" t="s">
        <v>54</v>
      </c>
      <c r="AX3579" t="str">
        <f t="shared" si="301"/>
        <v>FOR</v>
      </c>
      <c r="AY3579" t="s">
        <v>55</v>
      </c>
    </row>
    <row r="3580" spans="1:51" hidden="1">
      <c r="A3580">
        <v>101202</v>
      </c>
      <c r="B3580" t="s">
        <v>560</v>
      </c>
      <c r="C3580" t="str">
        <f t="shared" si="305"/>
        <v>09058160152</v>
      </c>
      <c r="D3580" t="str">
        <f t="shared" si="305"/>
        <v>09058160152</v>
      </c>
      <c r="E3580" t="s">
        <v>52</v>
      </c>
      <c r="F3580">
        <v>2014</v>
      </c>
      <c r="G3580">
        <v>103909</v>
      </c>
      <c r="H3580" s="1">
        <v>41801</v>
      </c>
      <c r="I3580" s="1">
        <v>41808</v>
      </c>
      <c r="J3580" s="1">
        <v>41808</v>
      </c>
      <c r="K3580" s="1">
        <v>41898</v>
      </c>
      <c r="N3580" s="5"/>
      <c r="O3580" s="2">
        <v>1171.2</v>
      </c>
      <c r="P3580">
        <v>261</v>
      </c>
      <c r="Q3580" s="2">
        <v>305683.20000000001</v>
      </c>
      <c r="R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 s="1">
        <v>42382</v>
      </c>
      <c r="AC3580" t="s">
        <v>53</v>
      </c>
      <c r="AD3580" t="s">
        <v>53</v>
      </c>
      <c r="AK3580">
        <v>0</v>
      </c>
      <c r="AU3580" s="6">
        <v>42159</v>
      </c>
      <c r="AV3580" s="6">
        <v>42159</v>
      </c>
      <c r="AW3580" t="s">
        <v>54</v>
      </c>
      <c r="AX3580" t="str">
        <f t="shared" si="301"/>
        <v>FOR</v>
      </c>
      <c r="AY3580" t="s">
        <v>55</v>
      </c>
    </row>
    <row r="3581" spans="1:51" hidden="1">
      <c r="A3581">
        <v>101202</v>
      </c>
      <c r="B3581" t="s">
        <v>560</v>
      </c>
      <c r="C3581" t="str">
        <f t="shared" si="305"/>
        <v>09058160152</v>
      </c>
      <c r="D3581" t="str">
        <f t="shared" si="305"/>
        <v>09058160152</v>
      </c>
      <c r="E3581" t="s">
        <v>52</v>
      </c>
      <c r="F3581">
        <v>2014</v>
      </c>
      <c r="G3581">
        <v>104663</v>
      </c>
      <c r="H3581" s="1">
        <v>41820</v>
      </c>
      <c r="I3581" s="1">
        <v>41845</v>
      </c>
      <c r="J3581" s="1">
        <v>41845</v>
      </c>
      <c r="K3581" s="1">
        <v>41935</v>
      </c>
      <c r="N3581" s="5"/>
      <c r="O3581" s="2">
        <v>1951.73</v>
      </c>
      <c r="P3581">
        <v>196</v>
      </c>
      <c r="Q3581" s="2">
        <v>382539.08</v>
      </c>
      <c r="R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 s="1">
        <v>42382</v>
      </c>
      <c r="AC3581" t="s">
        <v>53</v>
      </c>
      <c r="AD3581" t="s">
        <v>53</v>
      </c>
      <c r="AK3581">
        <v>0</v>
      </c>
      <c r="AU3581" s="6">
        <v>42131</v>
      </c>
      <c r="AV3581" s="6">
        <v>42131</v>
      </c>
      <c r="AW3581" t="s">
        <v>54</v>
      </c>
      <c r="AX3581" t="str">
        <f t="shared" si="301"/>
        <v>FOR</v>
      </c>
      <c r="AY3581" t="s">
        <v>55</v>
      </c>
    </row>
    <row r="3582" spans="1:51" hidden="1">
      <c r="A3582">
        <v>101202</v>
      </c>
      <c r="B3582" t="s">
        <v>560</v>
      </c>
      <c r="C3582" t="str">
        <f t="shared" si="305"/>
        <v>09058160152</v>
      </c>
      <c r="D3582" t="str">
        <f t="shared" si="305"/>
        <v>09058160152</v>
      </c>
      <c r="E3582" t="s">
        <v>52</v>
      </c>
      <c r="F3582">
        <v>2014</v>
      </c>
      <c r="G3582">
        <v>105122</v>
      </c>
      <c r="H3582" s="1">
        <v>41838</v>
      </c>
      <c r="I3582" s="1">
        <v>41843</v>
      </c>
      <c r="J3582" s="1">
        <v>41843</v>
      </c>
      <c r="K3582" s="1">
        <v>41933</v>
      </c>
      <c r="N3582" s="5"/>
      <c r="O3582" s="2">
        <v>2420.48</v>
      </c>
      <c r="P3582">
        <v>226</v>
      </c>
      <c r="Q3582" s="2">
        <v>547028.47999999998</v>
      </c>
      <c r="R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 s="1">
        <v>42382</v>
      </c>
      <c r="AC3582" t="s">
        <v>53</v>
      </c>
      <c r="AD3582" t="s">
        <v>53</v>
      </c>
      <c r="AK3582">
        <v>0</v>
      </c>
      <c r="AU3582" s="6">
        <v>42159</v>
      </c>
      <c r="AV3582" s="6">
        <v>42159</v>
      </c>
      <c r="AW3582" t="s">
        <v>54</v>
      </c>
      <c r="AX3582" t="str">
        <f t="shared" si="301"/>
        <v>FOR</v>
      </c>
      <c r="AY3582" t="s">
        <v>55</v>
      </c>
    </row>
    <row r="3583" spans="1:51" hidden="1">
      <c r="A3583">
        <v>101202</v>
      </c>
      <c r="B3583" t="s">
        <v>560</v>
      </c>
      <c r="C3583" t="str">
        <f t="shared" si="305"/>
        <v>09058160152</v>
      </c>
      <c r="D3583" t="str">
        <f t="shared" si="305"/>
        <v>09058160152</v>
      </c>
      <c r="E3583" t="s">
        <v>52</v>
      </c>
      <c r="F3583">
        <v>2014</v>
      </c>
      <c r="G3583">
        <v>105123</v>
      </c>
      <c r="H3583" s="1">
        <v>41838</v>
      </c>
      <c r="I3583" s="1">
        <v>41843</v>
      </c>
      <c r="J3583" s="1">
        <v>41843</v>
      </c>
      <c r="K3583" s="1">
        <v>41933</v>
      </c>
      <c r="N3583" s="5"/>
      <c r="O3583" s="2">
        <v>1831.46</v>
      </c>
      <c r="P3583">
        <v>226</v>
      </c>
      <c r="Q3583" s="2">
        <v>413909.96</v>
      </c>
      <c r="R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 s="1">
        <v>42382</v>
      </c>
      <c r="AC3583" t="s">
        <v>53</v>
      </c>
      <c r="AD3583" t="s">
        <v>53</v>
      </c>
      <c r="AK3583">
        <v>0</v>
      </c>
      <c r="AU3583" s="6">
        <v>42159</v>
      </c>
      <c r="AV3583" s="6">
        <v>42159</v>
      </c>
      <c r="AW3583" t="s">
        <v>54</v>
      </c>
      <c r="AX3583" t="str">
        <f t="shared" si="301"/>
        <v>FOR</v>
      </c>
      <c r="AY3583" t="s">
        <v>55</v>
      </c>
    </row>
    <row r="3584" spans="1:51">
      <c r="A3584">
        <v>101202</v>
      </c>
      <c r="B3584" t="s">
        <v>560</v>
      </c>
      <c r="C3584" t="str">
        <f t="shared" si="305"/>
        <v>09058160152</v>
      </c>
      <c r="D3584" t="str">
        <f t="shared" si="305"/>
        <v>09058160152</v>
      </c>
      <c r="E3584" t="s">
        <v>52</v>
      </c>
      <c r="F3584">
        <v>2014</v>
      </c>
      <c r="G3584">
        <v>108606</v>
      </c>
      <c r="H3584" s="1">
        <v>41969</v>
      </c>
      <c r="I3584" s="1">
        <v>41976</v>
      </c>
      <c r="J3584" s="1">
        <v>41976</v>
      </c>
      <c r="K3584" s="1">
        <v>42036</v>
      </c>
      <c r="L3584" s="7">
        <v>1040.9000000000001</v>
      </c>
      <c r="M3584" s="5">
        <v>246</v>
      </c>
      <c r="N3584" s="7">
        <v>256061.4</v>
      </c>
      <c r="O3584" s="2">
        <v>1040.9000000000001</v>
      </c>
      <c r="P3584">
        <v>246</v>
      </c>
      <c r="Q3584" s="2">
        <v>256061.4</v>
      </c>
      <c r="R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 s="1">
        <v>42382</v>
      </c>
      <c r="AC3584" t="s">
        <v>53</v>
      </c>
      <c r="AD3584" t="s">
        <v>53</v>
      </c>
      <c r="AK3584">
        <v>0</v>
      </c>
      <c r="AU3584" s="6">
        <v>42282</v>
      </c>
      <c r="AV3584" s="6">
        <v>42282</v>
      </c>
      <c r="AW3584" t="s">
        <v>54</v>
      </c>
      <c r="AX3584" t="str">
        <f t="shared" si="301"/>
        <v>FOR</v>
      </c>
      <c r="AY3584" t="s">
        <v>55</v>
      </c>
    </row>
    <row r="3585" spans="1:51">
      <c r="A3585">
        <v>101202</v>
      </c>
      <c r="B3585" t="s">
        <v>560</v>
      </c>
      <c r="C3585" t="str">
        <f t="shared" si="305"/>
        <v>09058160152</v>
      </c>
      <c r="D3585" t="str">
        <f t="shared" si="305"/>
        <v>09058160152</v>
      </c>
      <c r="E3585" t="s">
        <v>52</v>
      </c>
      <c r="F3585">
        <v>2014</v>
      </c>
      <c r="G3585">
        <v>108738</v>
      </c>
      <c r="H3585" s="1">
        <v>41975</v>
      </c>
      <c r="I3585" s="1">
        <v>41983</v>
      </c>
      <c r="J3585" s="1">
        <v>41983</v>
      </c>
      <c r="K3585" s="1">
        <v>42043</v>
      </c>
      <c r="L3585" s="7">
        <v>19795.62</v>
      </c>
      <c r="M3585" s="5">
        <v>257</v>
      </c>
      <c r="N3585" s="7">
        <v>5087474.34</v>
      </c>
      <c r="O3585" s="2">
        <v>19795.62</v>
      </c>
      <c r="P3585">
        <v>257</v>
      </c>
      <c r="Q3585" s="2">
        <v>5087474.34</v>
      </c>
      <c r="R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 s="1">
        <v>42382</v>
      </c>
      <c r="AC3585" t="s">
        <v>53</v>
      </c>
      <c r="AD3585" t="s">
        <v>53</v>
      </c>
      <c r="AK3585">
        <v>0</v>
      </c>
      <c r="AU3585" s="6">
        <v>42300</v>
      </c>
      <c r="AV3585" s="6">
        <v>42300</v>
      </c>
      <c r="AW3585" t="s">
        <v>54</v>
      </c>
      <c r="AX3585" t="str">
        <f t="shared" si="301"/>
        <v>FOR</v>
      </c>
      <c r="AY3585" t="s">
        <v>55</v>
      </c>
    </row>
    <row r="3586" spans="1:51">
      <c r="A3586">
        <v>101202</v>
      </c>
      <c r="B3586" t="s">
        <v>560</v>
      </c>
      <c r="C3586" t="str">
        <f t="shared" si="305"/>
        <v>09058160152</v>
      </c>
      <c r="D3586" t="str">
        <f t="shared" si="305"/>
        <v>09058160152</v>
      </c>
      <c r="E3586" t="s">
        <v>52</v>
      </c>
      <c r="F3586">
        <v>2015</v>
      </c>
      <c r="G3586">
        <v>100670</v>
      </c>
      <c r="H3586" s="1">
        <v>42034</v>
      </c>
      <c r="I3586" s="1">
        <v>42039</v>
      </c>
      <c r="J3586" s="1">
        <v>42039</v>
      </c>
      <c r="K3586" s="1">
        <v>42099</v>
      </c>
      <c r="L3586" s="7">
        <v>1845</v>
      </c>
      <c r="M3586" s="5">
        <v>256</v>
      </c>
      <c r="N3586" s="7">
        <v>472320</v>
      </c>
      <c r="O3586" s="2">
        <v>1845</v>
      </c>
      <c r="P3586">
        <v>256</v>
      </c>
      <c r="Q3586" s="2">
        <v>472320</v>
      </c>
      <c r="R3586">
        <v>405.9</v>
      </c>
      <c r="V3586">
        <v>0</v>
      </c>
      <c r="W3586">
        <v>0</v>
      </c>
      <c r="X3586">
        <v>0</v>
      </c>
      <c r="Y3586" s="2">
        <v>2250.9</v>
      </c>
      <c r="Z3586" s="2">
        <v>2250.9</v>
      </c>
      <c r="AA3586" s="2">
        <v>2250.9</v>
      </c>
      <c r="AB3586" s="1">
        <v>42382</v>
      </c>
      <c r="AC3586" t="s">
        <v>53</v>
      </c>
      <c r="AD3586" t="s">
        <v>53</v>
      </c>
      <c r="AK3586">
        <v>405.9</v>
      </c>
      <c r="AU3586" s="6">
        <v>42355</v>
      </c>
      <c r="AV3586" s="6">
        <v>42355</v>
      </c>
      <c r="AW3586" t="s">
        <v>54</v>
      </c>
      <c r="AX3586" t="str">
        <f t="shared" si="301"/>
        <v>FOR</v>
      </c>
      <c r="AY3586" t="s">
        <v>55</v>
      </c>
    </row>
    <row r="3587" spans="1:51">
      <c r="A3587">
        <v>101202</v>
      </c>
      <c r="B3587" t="s">
        <v>560</v>
      </c>
      <c r="C3587" t="str">
        <f t="shared" si="305"/>
        <v>09058160152</v>
      </c>
      <c r="D3587" t="str">
        <f t="shared" si="305"/>
        <v>09058160152</v>
      </c>
      <c r="E3587" t="s">
        <v>52</v>
      </c>
      <c r="F3587">
        <v>2015</v>
      </c>
      <c r="G3587">
        <v>101092</v>
      </c>
      <c r="H3587" s="1">
        <v>42055</v>
      </c>
      <c r="I3587" s="1">
        <v>42061</v>
      </c>
      <c r="J3587" s="1">
        <v>42061</v>
      </c>
      <c r="K3587" s="1">
        <v>42121</v>
      </c>
      <c r="L3587" s="7">
        <v>3412.8</v>
      </c>
      <c r="M3587" s="5">
        <v>234</v>
      </c>
      <c r="N3587" s="7">
        <v>798595.2</v>
      </c>
      <c r="O3587" s="2">
        <v>3412.8</v>
      </c>
      <c r="P3587">
        <v>234</v>
      </c>
      <c r="Q3587" s="2">
        <v>798595.2</v>
      </c>
      <c r="R3587">
        <v>750.82</v>
      </c>
      <c r="V3587">
        <v>0</v>
      </c>
      <c r="W3587">
        <v>0</v>
      </c>
      <c r="X3587">
        <v>0</v>
      </c>
      <c r="Y3587" s="2">
        <v>4163.62</v>
      </c>
      <c r="Z3587" s="2">
        <v>4163.62</v>
      </c>
      <c r="AA3587" s="2">
        <v>4163.62</v>
      </c>
      <c r="AB3587" s="1">
        <v>42382</v>
      </c>
      <c r="AC3587" t="s">
        <v>53</v>
      </c>
      <c r="AD3587" t="s">
        <v>53</v>
      </c>
      <c r="AK3587">
        <v>750.82</v>
      </c>
      <c r="AU3587" s="6">
        <v>42355</v>
      </c>
      <c r="AV3587" s="6">
        <v>42355</v>
      </c>
      <c r="AW3587" t="s">
        <v>54</v>
      </c>
      <c r="AX3587" t="str">
        <f t="shared" ref="AX3587:AX3650" si="306">"FOR"</f>
        <v>FOR</v>
      </c>
      <c r="AY3587" t="s">
        <v>55</v>
      </c>
    </row>
    <row r="3588" spans="1:51">
      <c r="A3588">
        <v>101202</v>
      </c>
      <c r="B3588" t="s">
        <v>560</v>
      </c>
      <c r="C3588" t="str">
        <f t="shared" si="305"/>
        <v>09058160152</v>
      </c>
      <c r="D3588" t="str">
        <f t="shared" si="305"/>
        <v>09058160152</v>
      </c>
      <c r="E3588" t="s">
        <v>52</v>
      </c>
      <c r="F3588">
        <v>2015</v>
      </c>
      <c r="G3588">
        <v>101283</v>
      </c>
      <c r="H3588" s="1">
        <v>42061</v>
      </c>
      <c r="I3588" s="1">
        <v>42068</v>
      </c>
      <c r="J3588" s="1">
        <v>42068</v>
      </c>
      <c r="K3588" s="1">
        <v>42128</v>
      </c>
      <c r="L3588" s="7">
        <v>4000</v>
      </c>
      <c r="M3588" s="5">
        <v>227</v>
      </c>
      <c r="N3588" s="7">
        <v>908000</v>
      </c>
      <c r="O3588" s="2">
        <v>4000</v>
      </c>
      <c r="P3588">
        <v>227</v>
      </c>
      <c r="Q3588" s="2">
        <v>908000</v>
      </c>
      <c r="R3588">
        <v>880</v>
      </c>
      <c r="V3588">
        <v>0</v>
      </c>
      <c r="W3588">
        <v>0</v>
      </c>
      <c r="X3588">
        <v>0</v>
      </c>
      <c r="Y3588" s="2">
        <v>4880</v>
      </c>
      <c r="Z3588" s="2">
        <v>4880</v>
      </c>
      <c r="AA3588" s="2">
        <v>4880</v>
      </c>
      <c r="AB3588" s="1">
        <v>42382</v>
      </c>
      <c r="AC3588" t="s">
        <v>53</v>
      </c>
      <c r="AD3588" t="s">
        <v>53</v>
      </c>
      <c r="AK3588">
        <v>880</v>
      </c>
      <c r="AU3588" s="6">
        <v>42355</v>
      </c>
      <c r="AV3588" s="6">
        <v>42355</v>
      </c>
      <c r="AW3588" t="s">
        <v>54</v>
      </c>
      <c r="AX3588" t="str">
        <f t="shared" si="306"/>
        <v>FOR</v>
      </c>
      <c r="AY3588" t="s">
        <v>55</v>
      </c>
    </row>
    <row r="3589" spans="1:51" hidden="1">
      <c r="A3589">
        <v>101208</v>
      </c>
      <c r="B3589" t="s">
        <v>561</v>
      </c>
      <c r="C3589" t="str">
        <f>"05131180969"</f>
        <v>05131180969</v>
      </c>
      <c r="D3589" t="str">
        <f>"05131180969"</f>
        <v>05131180969</v>
      </c>
      <c r="E3589" t="s">
        <v>52</v>
      </c>
      <c r="F3589">
        <v>2014</v>
      </c>
      <c r="G3589">
        <v>101920</v>
      </c>
      <c r="H3589" s="1">
        <v>41934</v>
      </c>
      <c r="I3589" s="1">
        <v>41956</v>
      </c>
      <c r="J3589" s="1">
        <v>41956</v>
      </c>
      <c r="K3589" s="1">
        <v>42016</v>
      </c>
      <c r="N3589" s="5"/>
      <c r="O3589" s="2">
        <v>5075.2</v>
      </c>
      <c r="P3589">
        <v>78</v>
      </c>
      <c r="Q3589" s="2">
        <v>395865.59999999998</v>
      </c>
      <c r="R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 s="1">
        <v>42382</v>
      </c>
      <c r="AC3589" t="s">
        <v>53</v>
      </c>
      <c r="AD3589" t="s">
        <v>53</v>
      </c>
      <c r="AK3589">
        <v>0</v>
      </c>
      <c r="AU3589" s="6">
        <v>42094</v>
      </c>
      <c r="AV3589" s="6">
        <v>42094</v>
      </c>
      <c r="AW3589" t="s">
        <v>54</v>
      </c>
      <c r="AX3589" t="str">
        <f t="shared" si="306"/>
        <v>FOR</v>
      </c>
      <c r="AY3589" t="s">
        <v>55</v>
      </c>
    </row>
    <row r="3590" spans="1:51" hidden="1">
      <c r="A3590">
        <v>101215</v>
      </c>
      <c r="B3590" t="s">
        <v>562</v>
      </c>
      <c r="C3590" t="str">
        <f t="shared" ref="C3590:D3594" si="307">"03015600657"</f>
        <v>03015600657</v>
      </c>
      <c r="D3590" t="str">
        <f t="shared" si="307"/>
        <v>03015600657</v>
      </c>
      <c r="E3590" t="s">
        <v>52</v>
      </c>
      <c r="F3590">
        <v>2014</v>
      </c>
      <c r="G3590">
        <v>224</v>
      </c>
      <c r="H3590" s="1">
        <v>41696</v>
      </c>
      <c r="I3590" s="1">
        <v>41731</v>
      </c>
      <c r="J3590" s="1">
        <v>41731</v>
      </c>
      <c r="K3590" s="1">
        <v>41821</v>
      </c>
      <c r="N3590" s="5"/>
      <c r="O3590" s="2">
        <v>38125</v>
      </c>
      <c r="P3590">
        <v>213</v>
      </c>
      <c r="Q3590" s="2">
        <v>8120625</v>
      </c>
      <c r="R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 s="1">
        <v>42382</v>
      </c>
      <c r="AC3590" t="s">
        <v>53</v>
      </c>
      <c r="AD3590" t="s">
        <v>53</v>
      </c>
      <c r="AK3590">
        <v>0</v>
      </c>
      <c r="AU3590" s="6">
        <v>42034</v>
      </c>
      <c r="AV3590" s="6">
        <v>42034</v>
      </c>
      <c r="AW3590" t="s">
        <v>54</v>
      </c>
      <c r="AX3590" t="str">
        <f t="shared" si="306"/>
        <v>FOR</v>
      </c>
      <c r="AY3590" t="s">
        <v>55</v>
      </c>
    </row>
    <row r="3591" spans="1:51" hidden="1">
      <c r="A3591">
        <v>101215</v>
      </c>
      <c r="B3591" t="s">
        <v>562</v>
      </c>
      <c r="C3591" t="str">
        <f t="shared" si="307"/>
        <v>03015600657</v>
      </c>
      <c r="D3591" t="str">
        <f t="shared" si="307"/>
        <v>03015600657</v>
      </c>
      <c r="E3591" t="s">
        <v>52</v>
      </c>
      <c r="F3591">
        <v>2014</v>
      </c>
      <c r="G3591">
        <v>357</v>
      </c>
      <c r="H3591" s="1">
        <v>41726</v>
      </c>
      <c r="I3591" s="1">
        <v>41767</v>
      </c>
      <c r="J3591" s="1">
        <v>41767</v>
      </c>
      <c r="K3591" s="1">
        <v>41857</v>
      </c>
      <c r="N3591" s="5"/>
      <c r="O3591" s="2">
        <v>7625</v>
      </c>
      <c r="P3591">
        <v>205</v>
      </c>
      <c r="Q3591" s="2">
        <v>1563125</v>
      </c>
      <c r="R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 s="1">
        <v>42382</v>
      </c>
      <c r="AC3591" t="s">
        <v>53</v>
      </c>
      <c r="AD3591" t="s">
        <v>53</v>
      </c>
      <c r="AK3591">
        <v>0</v>
      </c>
      <c r="AU3591" s="6">
        <v>42062</v>
      </c>
      <c r="AV3591" s="6">
        <v>42062</v>
      </c>
      <c r="AW3591" t="s">
        <v>54</v>
      </c>
      <c r="AX3591" t="str">
        <f t="shared" si="306"/>
        <v>FOR</v>
      </c>
      <c r="AY3591" t="s">
        <v>55</v>
      </c>
    </row>
    <row r="3592" spans="1:51" hidden="1">
      <c r="A3592">
        <v>101215</v>
      </c>
      <c r="B3592" t="s">
        <v>562</v>
      </c>
      <c r="C3592" t="str">
        <f t="shared" si="307"/>
        <v>03015600657</v>
      </c>
      <c r="D3592" t="str">
        <f t="shared" si="307"/>
        <v>03015600657</v>
      </c>
      <c r="E3592" t="s">
        <v>52</v>
      </c>
      <c r="F3592">
        <v>2014</v>
      </c>
      <c r="G3592">
        <v>594</v>
      </c>
      <c r="H3592" s="1">
        <v>41788</v>
      </c>
      <c r="I3592" s="1">
        <v>41803</v>
      </c>
      <c r="J3592" s="1">
        <v>41803</v>
      </c>
      <c r="K3592" s="1">
        <v>41893</v>
      </c>
      <c r="N3592" s="5"/>
      <c r="O3592" s="2">
        <v>15250</v>
      </c>
      <c r="P3592">
        <v>238</v>
      </c>
      <c r="Q3592" s="2">
        <v>3629500</v>
      </c>
      <c r="R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 s="1">
        <v>42382</v>
      </c>
      <c r="AC3592" t="s">
        <v>53</v>
      </c>
      <c r="AD3592" t="s">
        <v>53</v>
      </c>
      <c r="AK3592">
        <v>0</v>
      </c>
      <c r="AU3592" s="6">
        <v>42131</v>
      </c>
      <c r="AV3592" s="6">
        <v>42131</v>
      </c>
      <c r="AW3592" t="s">
        <v>54</v>
      </c>
      <c r="AX3592" t="str">
        <f t="shared" si="306"/>
        <v>FOR</v>
      </c>
      <c r="AY3592" t="s">
        <v>55</v>
      </c>
    </row>
    <row r="3593" spans="1:51">
      <c r="A3593">
        <v>101215</v>
      </c>
      <c r="B3593" t="s">
        <v>562</v>
      </c>
      <c r="C3593" t="str">
        <f t="shared" si="307"/>
        <v>03015600657</v>
      </c>
      <c r="D3593" t="str">
        <f t="shared" si="307"/>
        <v>03015600657</v>
      </c>
      <c r="E3593" t="s">
        <v>52</v>
      </c>
      <c r="F3593">
        <v>2014</v>
      </c>
      <c r="G3593">
        <v>1094</v>
      </c>
      <c r="H3593" s="1">
        <v>41941</v>
      </c>
      <c r="I3593" s="1">
        <v>41976</v>
      </c>
      <c r="J3593" s="1">
        <v>41976</v>
      </c>
      <c r="K3593" s="1">
        <v>42036</v>
      </c>
      <c r="L3593" s="7">
        <v>22112.5</v>
      </c>
      <c r="M3593" s="5">
        <v>242</v>
      </c>
      <c r="N3593" s="7">
        <v>5351225</v>
      </c>
      <c r="O3593" s="2">
        <v>22112.5</v>
      </c>
      <c r="P3593">
        <v>242</v>
      </c>
      <c r="Q3593" s="2">
        <v>5351225</v>
      </c>
      <c r="R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 s="1">
        <v>42382</v>
      </c>
      <c r="AC3593" t="s">
        <v>53</v>
      </c>
      <c r="AD3593" t="s">
        <v>53</v>
      </c>
      <c r="AK3593">
        <v>0</v>
      </c>
      <c r="AU3593" s="6">
        <v>42278</v>
      </c>
      <c r="AV3593" s="6">
        <v>42278</v>
      </c>
      <c r="AW3593" t="s">
        <v>54</v>
      </c>
      <c r="AX3593" t="str">
        <f t="shared" si="306"/>
        <v>FOR</v>
      </c>
      <c r="AY3593" t="s">
        <v>55</v>
      </c>
    </row>
    <row r="3594" spans="1:51">
      <c r="A3594">
        <v>101215</v>
      </c>
      <c r="B3594" t="s">
        <v>562</v>
      </c>
      <c r="C3594" t="str">
        <f t="shared" si="307"/>
        <v>03015600657</v>
      </c>
      <c r="D3594" t="str">
        <f t="shared" si="307"/>
        <v>03015600657</v>
      </c>
      <c r="E3594" t="s">
        <v>52</v>
      </c>
      <c r="F3594">
        <v>2014</v>
      </c>
      <c r="G3594">
        <v>1125</v>
      </c>
      <c r="H3594" s="1">
        <v>41943</v>
      </c>
      <c r="I3594" s="1">
        <v>41976</v>
      </c>
      <c r="J3594" s="1">
        <v>41976</v>
      </c>
      <c r="K3594" s="1">
        <v>42036</v>
      </c>
      <c r="L3594" s="7">
        <v>34312.5</v>
      </c>
      <c r="M3594" s="5">
        <v>242</v>
      </c>
      <c r="N3594" s="7">
        <v>8303625</v>
      </c>
      <c r="O3594" s="2">
        <v>34312.5</v>
      </c>
      <c r="P3594">
        <v>242</v>
      </c>
      <c r="Q3594" s="2">
        <v>8303625</v>
      </c>
      <c r="R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 s="1">
        <v>42382</v>
      </c>
      <c r="AC3594" t="s">
        <v>53</v>
      </c>
      <c r="AD3594" t="s">
        <v>53</v>
      </c>
      <c r="AK3594">
        <v>0</v>
      </c>
      <c r="AU3594" s="6">
        <v>42278</v>
      </c>
      <c r="AV3594" s="6">
        <v>42278</v>
      </c>
      <c r="AW3594" t="s">
        <v>54</v>
      </c>
      <c r="AX3594" t="str">
        <f t="shared" si="306"/>
        <v>FOR</v>
      </c>
      <c r="AY3594" t="s">
        <v>55</v>
      </c>
    </row>
    <row r="3595" spans="1:51" hidden="1">
      <c r="A3595">
        <v>101238</v>
      </c>
      <c r="B3595" t="s">
        <v>563</v>
      </c>
      <c r="C3595" t="str">
        <f t="shared" ref="C3595:D3615" si="308">"10994940152"</f>
        <v>10994940152</v>
      </c>
      <c r="D3595" t="str">
        <f t="shared" si="308"/>
        <v>10994940152</v>
      </c>
      <c r="E3595" t="s">
        <v>52</v>
      </c>
      <c r="F3595">
        <v>2014</v>
      </c>
      <c r="G3595">
        <v>14003649</v>
      </c>
      <c r="H3595" s="1">
        <v>41687</v>
      </c>
      <c r="I3595" s="1">
        <v>41701</v>
      </c>
      <c r="J3595" s="1">
        <v>41701</v>
      </c>
      <c r="K3595" s="1">
        <v>41791</v>
      </c>
      <c r="N3595" s="5"/>
      <c r="O3595">
        <v>976.31</v>
      </c>
      <c r="P3595">
        <v>310</v>
      </c>
      <c r="Q3595" s="2">
        <v>302656.09999999998</v>
      </c>
      <c r="R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 s="1">
        <v>42382</v>
      </c>
      <c r="AC3595" t="s">
        <v>53</v>
      </c>
      <c r="AD3595" t="s">
        <v>53</v>
      </c>
      <c r="AK3595">
        <v>0</v>
      </c>
      <c r="AU3595" s="6">
        <v>42101</v>
      </c>
      <c r="AV3595" s="6">
        <v>42101</v>
      </c>
      <c r="AW3595" t="s">
        <v>54</v>
      </c>
      <c r="AX3595" t="str">
        <f t="shared" si="306"/>
        <v>FOR</v>
      </c>
      <c r="AY3595" t="s">
        <v>55</v>
      </c>
    </row>
    <row r="3596" spans="1:51" hidden="1">
      <c r="A3596">
        <v>101238</v>
      </c>
      <c r="B3596" t="s">
        <v>563</v>
      </c>
      <c r="C3596" t="str">
        <f t="shared" si="308"/>
        <v>10994940152</v>
      </c>
      <c r="D3596" t="str">
        <f t="shared" si="308"/>
        <v>10994940152</v>
      </c>
      <c r="E3596" t="s">
        <v>52</v>
      </c>
      <c r="F3596">
        <v>2014</v>
      </c>
      <c r="G3596">
        <v>14004014</v>
      </c>
      <c r="H3596" s="1">
        <v>41690</v>
      </c>
      <c r="I3596" s="1">
        <v>41701</v>
      </c>
      <c r="J3596" s="1">
        <v>41701</v>
      </c>
      <c r="K3596" s="1">
        <v>41791</v>
      </c>
      <c r="N3596" s="5"/>
      <c r="O3596" s="2">
        <v>2208.1999999999998</v>
      </c>
      <c r="P3596">
        <v>310</v>
      </c>
      <c r="Q3596" s="2">
        <v>684542</v>
      </c>
      <c r="R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 s="1">
        <v>42382</v>
      </c>
      <c r="AC3596" t="s">
        <v>53</v>
      </c>
      <c r="AD3596" t="s">
        <v>53</v>
      </c>
      <c r="AK3596">
        <v>0</v>
      </c>
      <c r="AU3596" s="6">
        <v>42101</v>
      </c>
      <c r="AV3596" s="6">
        <v>42101</v>
      </c>
      <c r="AW3596" t="s">
        <v>54</v>
      </c>
      <c r="AX3596" t="str">
        <f t="shared" si="306"/>
        <v>FOR</v>
      </c>
      <c r="AY3596" t="s">
        <v>55</v>
      </c>
    </row>
    <row r="3597" spans="1:51" hidden="1">
      <c r="A3597">
        <v>101238</v>
      </c>
      <c r="B3597" t="s">
        <v>563</v>
      </c>
      <c r="C3597" t="str">
        <f t="shared" si="308"/>
        <v>10994940152</v>
      </c>
      <c r="D3597" t="str">
        <f t="shared" si="308"/>
        <v>10994940152</v>
      </c>
      <c r="E3597" t="s">
        <v>52</v>
      </c>
      <c r="F3597">
        <v>2014</v>
      </c>
      <c r="G3597">
        <v>14004935</v>
      </c>
      <c r="H3597" s="1">
        <v>41698</v>
      </c>
      <c r="I3597" s="1">
        <v>41711</v>
      </c>
      <c r="J3597" s="1">
        <v>41711</v>
      </c>
      <c r="K3597" s="1">
        <v>41801</v>
      </c>
      <c r="N3597" s="5"/>
      <c r="O3597" s="2">
        <v>11871.05</v>
      </c>
      <c r="P3597">
        <v>300</v>
      </c>
      <c r="Q3597" s="2">
        <v>3561315</v>
      </c>
      <c r="R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 s="1">
        <v>42382</v>
      </c>
      <c r="AC3597" t="s">
        <v>53</v>
      </c>
      <c r="AD3597" t="s">
        <v>53</v>
      </c>
      <c r="AK3597">
        <v>0</v>
      </c>
      <c r="AU3597" s="6">
        <v>42101</v>
      </c>
      <c r="AV3597" s="6">
        <v>42101</v>
      </c>
      <c r="AW3597" t="s">
        <v>54</v>
      </c>
      <c r="AX3597" t="str">
        <f t="shared" si="306"/>
        <v>FOR</v>
      </c>
      <c r="AY3597" t="s">
        <v>55</v>
      </c>
    </row>
    <row r="3598" spans="1:51" hidden="1">
      <c r="A3598">
        <v>101238</v>
      </c>
      <c r="B3598" t="s">
        <v>563</v>
      </c>
      <c r="C3598" t="str">
        <f t="shared" si="308"/>
        <v>10994940152</v>
      </c>
      <c r="D3598" t="str">
        <f t="shared" si="308"/>
        <v>10994940152</v>
      </c>
      <c r="E3598" t="s">
        <v>52</v>
      </c>
      <c r="F3598">
        <v>2014</v>
      </c>
      <c r="G3598">
        <v>14008198</v>
      </c>
      <c r="H3598" s="1">
        <v>41736</v>
      </c>
      <c r="I3598" s="1">
        <v>41771</v>
      </c>
      <c r="J3598" s="1">
        <v>41771</v>
      </c>
      <c r="K3598" s="1">
        <v>41861</v>
      </c>
      <c r="N3598" s="5"/>
      <c r="O3598" s="2">
        <v>2127.6799999999998</v>
      </c>
      <c r="P3598">
        <v>240</v>
      </c>
      <c r="Q3598" s="2">
        <v>510643.20000000001</v>
      </c>
      <c r="R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 s="1">
        <v>42382</v>
      </c>
      <c r="AC3598" t="s">
        <v>53</v>
      </c>
      <c r="AD3598" t="s">
        <v>53</v>
      </c>
      <c r="AK3598">
        <v>0</v>
      </c>
      <c r="AU3598" s="6">
        <v>42101</v>
      </c>
      <c r="AV3598" s="6">
        <v>42101</v>
      </c>
      <c r="AW3598" t="s">
        <v>54</v>
      </c>
      <c r="AX3598" t="str">
        <f t="shared" si="306"/>
        <v>FOR</v>
      </c>
      <c r="AY3598" t="s">
        <v>55</v>
      </c>
    </row>
    <row r="3599" spans="1:51" hidden="1">
      <c r="A3599">
        <v>101238</v>
      </c>
      <c r="B3599" t="s">
        <v>563</v>
      </c>
      <c r="C3599" t="str">
        <f t="shared" si="308"/>
        <v>10994940152</v>
      </c>
      <c r="D3599" t="str">
        <f t="shared" si="308"/>
        <v>10994940152</v>
      </c>
      <c r="E3599" t="s">
        <v>52</v>
      </c>
      <c r="F3599">
        <v>2014</v>
      </c>
      <c r="G3599">
        <v>14009246</v>
      </c>
      <c r="H3599" s="1">
        <v>41747</v>
      </c>
      <c r="I3599" s="1">
        <v>41758</v>
      </c>
      <c r="J3599" s="1">
        <v>41758</v>
      </c>
      <c r="K3599" s="1">
        <v>41848</v>
      </c>
      <c r="N3599" s="5"/>
      <c r="O3599" s="2">
        <v>2857.63</v>
      </c>
      <c r="P3599">
        <v>253</v>
      </c>
      <c r="Q3599" s="2">
        <v>722980.39</v>
      </c>
      <c r="R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 s="1">
        <v>42382</v>
      </c>
      <c r="AC3599" t="s">
        <v>53</v>
      </c>
      <c r="AD3599" t="s">
        <v>53</v>
      </c>
      <c r="AK3599">
        <v>0</v>
      </c>
      <c r="AU3599" s="6">
        <v>42101</v>
      </c>
      <c r="AV3599" s="6">
        <v>42101</v>
      </c>
      <c r="AW3599" t="s">
        <v>54</v>
      </c>
      <c r="AX3599" t="str">
        <f t="shared" si="306"/>
        <v>FOR</v>
      </c>
      <c r="AY3599" t="s">
        <v>55</v>
      </c>
    </row>
    <row r="3600" spans="1:51" hidden="1">
      <c r="A3600">
        <v>101238</v>
      </c>
      <c r="B3600" t="s">
        <v>563</v>
      </c>
      <c r="C3600" t="str">
        <f t="shared" si="308"/>
        <v>10994940152</v>
      </c>
      <c r="D3600" t="str">
        <f t="shared" si="308"/>
        <v>10994940152</v>
      </c>
      <c r="E3600" t="s">
        <v>52</v>
      </c>
      <c r="F3600">
        <v>2014</v>
      </c>
      <c r="G3600">
        <v>14011593</v>
      </c>
      <c r="H3600" s="1">
        <v>41779</v>
      </c>
      <c r="I3600" s="1">
        <v>41789</v>
      </c>
      <c r="J3600" s="1">
        <v>41789</v>
      </c>
      <c r="K3600" s="1">
        <v>41879</v>
      </c>
      <c r="N3600" s="5"/>
      <c r="O3600" s="2">
        <v>2766.96</v>
      </c>
      <c r="P3600">
        <v>253</v>
      </c>
      <c r="Q3600" s="2">
        <v>700040.88</v>
      </c>
      <c r="R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 s="1">
        <v>42382</v>
      </c>
      <c r="AC3600" t="s">
        <v>53</v>
      </c>
      <c r="AD3600" t="s">
        <v>53</v>
      </c>
      <c r="AK3600">
        <v>0</v>
      </c>
      <c r="AU3600" s="6">
        <v>42132</v>
      </c>
      <c r="AV3600" s="6">
        <v>42132</v>
      </c>
      <c r="AW3600" t="s">
        <v>54</v>
      </c>
      <c r="AX3600" t="str">
        <f t="shared" si="306"/>
        <v>FOR</v>
      </c>
      <c r="AY3600" t="s">
        <v>55</v>
      </c>
    </row>
    <row r="3601" spans="1:51" hidden="1">
      <c r="A3601">
        <v>101238</v>
      </c>
      <c r="B3601" t="s">
        <v>563</v>
      </c>
      <c r="C3601" t="str">
        <f t="shared" si="308"/>
        <v>10994940152</v>
      </c>
      <c r="D3601" t="str">
        <f t="shared" si="308"/>
        <v>10994940152</v>
      </c>
      <c r="E3601" t="s">
        <v>52</v>
      </c>
      <c r="F3601">
        <v>2014</v>
      </c>
      <c r="G3601">
        <v>14012162</v>
      </c>
      <c r="H3601" s="1">
        <v>41785</v>
      </c>
      <c r="I3601" s="1">
        <v>41796</v>
      </c>
      <c r="J3601" s="1">
        <v>41796</v>
      </c>
      <c r="K3601" s="1">
        <v>41886</v>
      </c>
      <c r="N3601" s="5"/>
      <c r="O3601" s="2">
        <v>3867.4</v>
      </c>
      <c r="P3601">
        <v>246</v>
      </c>
      <c r="Q3601" s="2">
        <v>951380.4</v>
      </c>
      <c r="R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 s="1">
        <v>42382</v>
      </c>
      <c r="AC3601" t="s">
        <v>53</v>
      </c>
      <c r="AD3601" t="s">
        <v>53</v>
      </c>
      <c r="AK3601">
        <v>0</v>
      </c>
      <c r="AU3601" s="6">
        <v>42132</v>
      </c>
      <c r="AV3601" s="6">
        <v>42132</v>
      </c>
      <c r="AW3601" t="s">
        <v>54</v>
      </c>
      <c r="AX3601" t="str">
        <f t="shared" si="306"/>
        <v>FOR</v>
      </c>
      <c r="AY3601" t="s">
        <v>55</v>
      </c>
    </row>
    <row r="3602" spans="1:51" hidden="1">
      <c r="A3602">
        <v>101238</v>
      </c>
      <c r="B3602" t="s">
        <v>563</v>
      </c>
      <c r="C3602" t="str">
        <f t="shared" si="308"/>
        <v>10994940152</v>
      </c>
      <c r="D3602" t="str">
        <f t="shared" si="308"/>
        <v>10994940152</v>
      </c>
      <c r="E3602" t="s">
        <v>52</v>
      </c>
      <c r="F3602">
        <v>2014</v>
      </c>
      <c r="G3602">
        <v>14012163</v>
      </c>
      <c r="H3602" s="1">
        <v>41785</v>
      </c>
      <c r="I3602" s="1">
        <v>41796</v>
      </c>
      <c r="J3602" s="1">
        <v>41796</v>
      </c>
      <c r="K3602" s="1">
        <v>41886</v>
      </c>
      <c r="N3602" s="5"/>
      <c r="O3602">
        <v>396.5</v>
      </c>
      <c r="P3602">
        <v>246</v>
      </c>
      <c r="Q3602" s="2">
        <v>97539</v>
      </c>
      <c r="R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 s="1">
        <v>42382</v>
      </c>
      <c r="AC3602" t="s">
        <v>53</v>
      </c>
      <c r="AD3602" t="s">
        <v>53</v>
      </c>
      <c r="AK3602">
        <v>0</v>
      </c>
      <c r="AU3602" s="6">
        <v>42132</v>
      </c>
      <c r="AV3602" s="6">
        <v>42132</v>
      </c>
      <c r="AW3602" t="s">
        <v>54</v>
      </c>
      <c r="AX3602" t="str">
        <f t="shared" si="306"/>
        <v>FOR</v>
      </c>
      <c r="AY3602" t="s">
        <v>55</v>
      </c>
    </row>
    <row r="3603" spans="1:51" hidden="1">
      <c r="A3603">
        <v>101238</v>
      </c>
      <c r="B3603" t="s">
        <v>563</v>
      </c>
      <c r="C3603" t="str">
        <f t="shared" si="308"/>
        <v>10994940152</v>
      </c>
      <c r="D3603" t="str">
        <f t="shared" si="308"/>
        <v>10994940152</v>
      </c>
      <c r="E3603" t="s">
        <v>52</v>
      </c>
      <c r="F3603">
        <v>2014</v>
      </c>
      <c r="G3603">
        <v>14014458</v>
      </c>
      <c r="H3603" s="1">
        <v>41810</v>
      </c>
      <c r="I3603" s="1">
        <v>41830</v>
      </c>
      <c r="J3603" s="1">
        <v>41830</v>
      </c>
      <c r="K3603" s="1">
        <v>41920</v>
      </c>
      <c r="N3603" s="5"/>
      <c r="O3603" s="2">
        <v>2342.4</v>
      </c>
      <c r="P3603">
        <v>239</v>
      </c>
      <c r="Q3603" s="2">
        <v>559833.59999999998</v>
      </c>
      <c r="R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 s="1">
        <v>42382</v>
      </c>
      <c r="AC3603" t="s">
        <v>53</v>
      </c>
      <c r="AD3603" t="s">
        <v>53</v>
      </c>
      <c r="AK3603">
        <v>0</v>
      </c>
      <c r="AU3603" s="6">
        <v>42159</v>
      </c>
      <c r="AV3603" s="6">
        <v>42159</v>
      </c>
      <c r="AW3603" t="s">
        <v>54</v>
      </c>
      <c r="AX3603" t="str">
        <f t="shared" si="306"/>
        <v>FOR</v>
      </c>
      <c r="AY3603" t="s">
        <v>55</v>
      </c>
    </row>
    <row r="3604" spans="1:51">
      <c r="A3604">
        <v>101238</v>
      </c>
      <c r="B3604" t="s">
        <v>563</v>
      </c>
      <c r="C3604" t="str">
        <f t="shared" si="308"/>
        <v>10994940152</v>
      </c>
      <c r="D3604" t="str">
        <f t="shared" si="308"/>
        <v>10994940152</v>
      </c>
      <c r="E3604" t="s">
        <v>52</v>
      </c>
      <c r="F3604">
        <v>2014</v>
      </c>
      <c r="G3604">
        <v>14018691</v>
      </c>
      <c r="H3604" s="1">
        <v>41856</v>
      </c>
      <c r="I3604" s="1">
        <v>41877</v>
      </c>
      <c r="J3604" s="1">
        <v>41877</v>
      </c>
      <c r="K3604" s="1">
        <v>41967</v>
      </c>
      <c r="L3604" s="7">
        <v>1207.8</v>
      </c>
      <c r="M3604" s="5">
        <v>392</v>
      </c>
      <c r="N3604" s="7">
        <v>473457.6</v>
      </c>
      <c r="O3604" s="2">
        <v>1207.8</v>
      </c>
      <c r="P3604">
        <v>392</v>
      </c>
      <c r="Q3604" s="2">
        <v>473457.6</v>
      </c>
      <c r="R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 s="1">
        <v>42382</v>
      </c>
      <c r="AC3604" t="s">
        <v>53</v>
      </c>
      <c r="AD3604" t="s">
        <v>53</v>
      </c>
      <c r="AK3604">
        <v>0</v>
      </c>
      <c r="AU3604" s="6">
        <v>42359</v>
      </c>
      <c r="AV3604" s="6">
        <v>42359</v>
      </c>
      <c r="AW3604" t="s">
        <v>54</v>
      </c>
      <c r="AX3604" t="str">
        <f t="shared" si="306"/>
        <v>FOR</v>
      </c>
      <c r="AY3604" t="s">
        <v>55</v>
      </c>
    </row>
    <row r="3605" spans="1:51">
      <c r="A3605">
        <v>101238</v>
      </c>
      <c r="B3605" t="s">
        <v>563</v>
      </c>
      <c r="C3605" t="str">
        <f t="shared" si="308"/>
        <v>10994940152</v>
      </c>
      <c r="D3605" t="str">
        <f t="shared" si="308"/>
        <v>10994940152</v>
      </c>
      <c r="E3605" t="s">
        <v>52</v>
      </c>
      <c r="F3605">
        <v>2014</v>
      </c>
      <c r="G3605">
        <v>14020592</v>
      </c>
      <c r="H3605" s="1">
        <v>41890</v>
      </c>
      <c r="I3605" s="1">
        <v>41904</v>
      </c>
      <c r="J3605" s="1">
        <v>41904</v>
      </c>
      <c r="K3605" s="1">
        <v>41994</v>
      </c>
      <c r="L3605" s="7">
        <v>4483.5</v>
      </c>
      <c r="M3605" s="5">
        <v>365</v>
      </c>
      <c r="N3605" s="7">
        <v>1636477.5</v>
      </c>
      <c r="O3605" s="2">
        <v>4483.5</v>
      </c>
      <c r="P3605">
        <v>365</v>
      </c>
      <c r="Q3605" s="2">
        <v>1636477.5</v>
      </c>
      <c r="R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 s="1">
        <v>42382</v>
      </c>
      <c r="AC3605" t="s">
        <v>53</v>
      </c>
      <c r="AD3605" t="s">
        <v>53</v>
      </c>
      <c r="AK3605">
        <v>0</v>
      </c>
      <c r="AU3605" s="6">
        <v>42359</v>
      </c>
      <c r="AV3605" s="6">
        <v>42359</v>
      </c>
      <c r="AW3605" t="s">
        <v>54</v>
      </c>
      <c r="AX3605" t="str">
        <f t="shared" si="306"/>
        <v>FOR</v>
      </c>
      <c r="AY3605" t="s">
        <v>55</v>
      </c>
    </row>
    <row r="3606" spans="1:51">
      <c r="A3606">
        <v>101238</v>
      </c>
      <c r="B3606" t="s">
        <v>563</v>
      </c>
      <c r="C3606" t="str">
        <f t="shared" si="308"/>
        <v>10994940152</v>
      </c>
      <c r="D3606" t="str">
        <f t="shared" si="308"/>
        <v>10994940152</v>
      </c>
      <c r="E3606" t="s">
        <v>52</v>
      </c>
      <c r="F3606">
        <v>2014</v>
      </c>
      <c r="G3606">
        <v>14020636</v>
      </c>
      <c r="H3606" s="1">
        <v>41891</v>
      </c>
      <c r="I3606" s="1">
        <v>41904</v>
      </c>
      <c r="J3606" s="1">
        <v>41904</v>
      </c>
      <c r="K3606" s="1">
        <v>41994</v>
      </c>
      <c r="L3606" s="7">
        <v>878.4</v>
      </c>
      <c r="M3606" s="5">
        <v>365</v>
      </c>
      <c r="N3606" s="7">
        <v>320616</v>
      </c>
      <c r="O3606">
        <v>878.4</v>
      </c>
      <c r="P3606">
        <v>365</v>
      </c>
      <c r="Q3606" s="2">
        <v>320616</v>
      </c>
      <c r="R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 s="1">
        <v>42382</v>
      </c>
      <c r="AC3606" t="s">
        <v>53</v>
      </c>
      <c r="AD3606" t="s">
        <v>53</v>
      </c>
      <c r="AK3606">
        <v>0</v>
      </c>
      <c r="AU3606" s="6">
        <v>42359</v>
      </c>
      <c r="AV3606" s="6">
        <v>42359</v>
      </c>
      <c r="AW3606" t="s">
        <v>54</v>
      </c>
      <c r="AX3606" t="str">
        <f t="shared" si="306"/>
        <v>FOR</v>
      </c>
      <c r="AY3606" t="s">
        <v>55</v>
      </c>
    </row>
    <row r="3607" spans="1:51">
      <c r="A3607">
        <v>101238</v>
      </c>
      <c r="B3607" t="s">
        <v>563</v>
      </c>
      <c r="C3607" t="str">
        <f t="shared" si="308"/>
        <v>10994940152</v>
      </c>
      <c r="D3607" t="str">
        <f t="shared" si="308"/>
        <v>10994940152</v>
      </c>
      <c r="E3607" t="s">
        <v>52</v>
      </c>
      <c r="F3607">
        <v>2014</v>
      </c>
      <c r="G3607">
        <v>14023257</v>
      </c>
      <c r="H3607" s="1">
        <v>41922</v>
      </c>
      <c r="I3607" s="1">
        <v>41932</v>
      </c>
      <c r="J3607" s="1">
        <v>41932</v>
      </c>
      <c r="K3607" s="1">
        <v>41992</v>
      </c>
      <c r="L3607" s="7">
        <v>436.76</v>
      </c>
      <c r="M3607" s="5">
        <v>290</v>
      </c>
      <c r="N3607" s="7">
        <v>126660.4</v>
      </c>
      <c r="O3607">
        <v>436.76</v>
      </c>
      <c r="P3607">
        <v>290</v>
      </c>
      <c r="Q3607" s="2">
        <v>126660.4</v>
      </c>
      <c r="R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 s="1">
        <v>42382</v>
      </c>
      <c r="AC3607" t="s">
        <v>53</v>
      </c>
      <c r="AD3607" t="s">
        <v>53</v>
      </c>
      <c r="AK3607">
        <v>0</v>
      </c>
      <c r="AU3607" s="6">
        <v>42282</v>
      </c>
      <c r="AV3607" s="6">
        <v>42282</v>
      </c>
      <c r="AW3607" t="s">
        <v>54</v>
      </c>
      <c r="AX3607" t="str">
        <f t="shared" si="306"/>
        <v>FOR</v>
      </c>
      <c r="AY3607" t="s">
        <v>55</v>
      </c>
    </row>
    <row r="3608" spans="1:51">
      <c r="A3608">
        <v>101238</v>
      </c>
      <c r="B3608" t="s">
        <v>563</v>
      </c>
      <c r="C3608" t="str">
        <f t="shared" si="308"/>
        <v>10994940152</v>
      </c>
      <c r="D3608" t="str">
        <f t="shared" si="308"/>
        <v>10994940152</v>
      </c>
      <c r="E3608" t="s">
        <v>52</v>
      </c>
      <c r="F3608">
        <v>2014</v>
      </c>
      <c r="G3608">
        <v>14023336</v>
      </c>
      <c r="H3608" s="1">
        <v>41925</v>
      </c>
      <c r="I3608" s="1">
        <v>41939</v>
      </c>
      <c r="J3608" s="1">
        <v>41939</v>
      </c>
      <c r="K3608" s="1">
        <v>41999</v>
      </c>
      <c r="L3608" s="7">
        <v>1725.81</v>
      </c>
      <c r="M3608" s="5">
        <v>283</v>
      </c>
      <c r="N3608" s="7">
        <v>488404.23</v>
      </c>
      <c r="O3608" s="2">
        <v>1725.81</v>
      </c>
      <c r="P3608">
        <v>283</v>
      </c>
      <c r="Q3608" s="2">
        <v>488404.23</v>
      </c>
      <c r="R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 s="1">
        <v>42382</v>
      </c>
      <c r="AC3608" t="s">
        <v>53</v>
      </c>
      <c r="AD3608" t="s">
        <v>53</v>
      </c>
      <c r="AK3608">
        <v>0</v>
      </c>
      <c r="AU3608" s="6">
        <v>42282</v>
      </c>
      <c r="AV3608" s="6">
        <v>42282</v>
      </c>
      <c r="AW3608" t="s">
        <v>54</v>
      </c>
      <c r="AX3608" t="str">
        <f t="shared" si="306"/>
        <v>FOR</v>
      </c>
      <c r="AY3608" t="s">
        <v>55</v>
      </c>
    </row>
    <row r="3609" spans="1:51">
      <c r="A3609">
        <v>101238</v>
      </c>
      <c r="B3609" t="s">
        <v>563</v>
      </c>
      <c r="C3609" t="str">
        <f t="shared" si="308"/>
        <v>10994940152</v>
      </c>
      <c r="D3609" t="str">
        <f t="shared" si="308"/>
        <v>10994940152</v>
      </c>
      <c r="E3609" t="s">
        <v>52</v>
      </c>
      <c r="F3609">
        <v>2015</v>
      </c>
      <c r="G3609">
        <v>15000931</v>
      </c>
      <c r="H3609" s="1">
        <v>42020</v>
      </c>
      <c r="I3609" s="1">
        <v>42031</v>
      </c>
      <c r="J3609" s="1">
        <v>42031</v>
      </c>
      <c r="K3609" s="1">
        <v>42091</v>
      </c>
      <c r="L3609" s="7">
        <v>4400</v>
      </c>
      <c r="M3609" s="5">
        <v>268</v>
      </c>
      <c r="N3609" s="7">
        <v>1179200</v>
      </c>
      <c r="O3609" s="2">
        <v>4400</v>
      </c>
      <c r="P3609">
        <v>268</v>
      </c>
      <c r="Q3609" s="2">
        <v>1179200</v>
      </c>
      <c r="R3609">
        <v>968</v>
      </c>
      <c r="V3609">
        <v>0</v>
      </c>
      <c r="W3609">
        <v>0</v>
      </c>
      <c r="X3609">
        <v>0</v>
      </c>
      <c r="Y3609" s="2">
        <v>5368</v>
      </c>
      <c r="Z3609" s="2">
        <v>5368</v>
      </c>
      <c r="AA3609" s="2">
        <v>5368</v>
      </c>
      <c r="AB3609" s="1">
        <v>42382</v>
      </c>
      <c r="AC3609" t="s">
        <v>53</v>
      </c>
      <c r="AD3609" t="s">
        <v>53</v>
      </c>
      <c r="AK3609">
        <v>968</v>
      </c>
      <c r="AU3609" s="6">
        <v>42359</v>
      </c>
      <c r="AV3609" s="6">
        <v>42359</v>
      </c>
      <c r="AW3609" t="s">
        <v>54</v>
      </c>
      <c r="AX3609" t="str">
        <f t="shared" si="306"/>
        <v>FOR</v>
      </c>
      <c r="AY3609" t="s">
        <v>55</v>
      </c>
    </row>
    <row r="3610" spans="1:51">
      <c r="A3610">
        <v>101238</v>
      </c>
      <c r="B3610" t="s">
        <v>563</v>
      </c>
      <c r="C3610" t="str">
        <f t="shared" si="308"/>
        <v>10994940152</v>
      </c>
      <c r="D3610" t="str">
        <f t="shared" si="308"/>
        <v>10994940152</v>
      </c>
      <c r="E3610" t="s">
        <v>52</v>
      </c>
      <c r="F3610">
        <v>2015</v>
      </c>
      <c r="G3610">
        <v>15001140</v>
      </c>
      <c r="H3610" s="1">
        <v>42024</v>
      </c>
      <c r="I3610" s="1">
        <v>42053</v>
      </c>
      <c r="J3610" s="1">
        <v>42053</v>
      </c>
      <c r="K3610" s="1">
        <v>42113</v>
      </c>
      <c r="L3610" s="7">
        <v>360</v>
      </c>
      <c r="M3610" s="5">
        <v>246</v>
      </c>
      <c r="N3610" s="7">
        <v>88560</v>
      </c>
      <c r="O3610">
        <v>360</v>
      </c>
      <c r="P3610">
        <v>246</v>
      </c>
      <c r="Q3610" s="2">
        <v>88560</v>
      </c>
      <c r="R3610">
        <v>79.2</v>
      </c>
      <c r="V3610">
        <v>0</v>
      </c>
      <c r="W3610">
        <v>0</v>
      </c>
      <c r="X3610">
        <v>0</v>
      </c>
      <c r="Y3610">
        <v>439.2</v>
      </c>
      <c r="Z3610">
        <v>439.2</v>
      </c>
      <c r="AA3610">
        <v>439.2</v>
      </c>
      <c r="AB3610" s="1">
        <v>42382</v>
      </c>
      <c r="AC3610" t="s">
        <v>53</v>
      </c>
      <c r="AD3610" t="s">
        <v>53</v>
      </c>
      <c r="AK3610">
        <v>79.2</v>
      </c>
      <c r="AU3610" s="6">
        <v>42359</v>
      </c>
      <c r="AV3610" s="6">
        <v>42359</v>
      </c>
      <c r="AW3610" t="s">
        <v>54</v>
      </c>
      <c r="AX3610" t="str">
        <f t="shared" si="306"/>
        <v>FOR</v>
      </c>
      <c r="AY3610" t="s">
        <v>55</v>
      </c>
    </row>
    <row r="3611" spans="1:51">
      <c r="A3611">
        <v>101238</v>
      </c>
      <c r="B3611" t="s">
        <v>563</v>
      </c>
      <c r="C3611" t="str">
        <f t="shared" si="308"/>
        <v>10994940152</v>
      </c>
      <c r="D3611" t="str">
        <f t="shared" si="308"/>
        <v>10994940152</v>
      </c>
      <c r="E3611" t="s">
        <v>52</v>
      </c>
      <c r="F3611">
        <v>2015</v>
      </c>
      <c r="G3611">
        <v>15001222</v>
      </c>
      <c r="H3611" s="1">
        <v>42025</v>
      </c>
      <c r="I3611" s="1">
        <v>42060</v>
      </c>
      <c r="J3611" s="1">
        <v>42060</v>
      </c>
      <c r="K3611" s="1">
        <v>42120</v>
      </c>
      <c r="L3611" s="7">
        <v>840</v>
      </c>
      <c r="M3611" s="5">
        <v>239</v>
      </c>
      <c r="N3611" s="7">
        <v>200760</v>
      </c>
      <c r="O3611">
        <v>840</v>
      </c>
      <c r="P3611">
        <v>239</v>
      </c>
      <c r="Q3611" s="2">
        <v>200760</v>
      </c>
      <c r="R3611">
        <v>184.8</v>
      </c>
      <c r="V3611">
        <v>0</v>
      </c>
      <c r="W3611">
        <v>0</v>
      </c>
      <c r="X3611">
        <v>0</v>
      </c>
      <c r="Y3611" s="2">
        <v>1024.8</v>
      </c>
      <c r="Z3611" s="2">
        <v>1024.8</v>
      </c>
      <c r="AA3611" s="2">
        <v>1024.8</v>
      </c>
      <c r="AB3611" s="1">
        <v>42382</v>
      </c>
      <c r="AC3611" t="s">
        <v>53</v>
      </c>
      <c r="AD3611" t="s">
        <v>53</v>
      </c>
      <c r="AK3611">
        <v>184.8</v>
      </c>
      <c r="AU3611" s="6">
        <v>42359</v>
      </c>
      <c r="AV3611" s="6">
        <v>42359</v>
      </c>
      <c r="AW3611" t="s">
        <v>54</v>
      </c>
      <c r="AX3611" t="str">
        <f t="shared" si="306"/>
        <v>FOR</v>
      </c>
      <c r="AY3611" t="s">
        <v>55</v>
      </c>
    </row>
    <row r="3612" spans="1:51">
      <c r="A3612">
        <v>101238</v>
      </c>
      <c r="B3612" t="s">
        <v>563</v>
      </c>
      <c r="C3612" t="str">
        <f t="shared" si="308"/>
        <v>10994940152</v>
      </c>
      <c r="D3612" t="str">
        <f t="shared" si="308"/>
        <v>10994940152</v>
      </c>
      <c r="E3612" t="s">
        <v>52</v>
      </c>
      <c r="F3612">
        <v>2015</v>
      </c>
      <c r="G3612">
        <v>15001386</v>
      </c>
      <c r="H3612" s="1">
        <v>42026</v>
      </c>
      <c r="I3612" s="1">
        <v>42053</v>
      </c>
      <c r="J3612" s="1">
        <v>42053</v>
      </c>
      <c r="K3612" s="1">
        <v>42113</v>
      </c>
      <c r="L3612" s="7">
        <v>3085</v>
      </c>
      <c r="M3612" s="5">
        <v>246</v>
      </c>
      <c r="N3612" s="7">
        <v>758910</v>
      </c>
      <c r="O3612" s="2">
        <v>3085</v>
      </c>
      <c r="P3612">
        <v>246</v>
      </c>
      <c r="Q3612" s="2">
        <v>758910</v>
      </c>
      <c r="R3612">
        <v>678.7</v>
      </c>
      <c r="V3612">
        <v>0</v>
      </c>
      <c r="W3612">
        <v>0</v>
      </c>
      <c r="X3612">
        <v>0</v>
      </c>
      <c r="Y3612" s="2">
        <v>3763.7</v>
      </c>
      <c r="Z3612" s="2">
        <v>3763.7</v>
      </c>
      <c r="AA3612" s="2">
        <v>3763.7</v>
      </c>
      <c r="AB3612" s="1">
        <v>42382</v>
      </c>
      <c r="AC3612" t="s">
        <v>53</v>
      </c>
      <c r="AD3612" t="s">
        <v>53</v>
      </c>
      <c r="AK3612">
        <v>678.7</v>
      </c>
      <c r="AU3612" s="6">
        <v>42359</v>
      </c>
      <c r="AV3612" s="6">
        <v>42359</v>
      </c>
      <c r="AW3612" t="s">
        <v>54</v>
      </c>
      <c r="AX3612" t="str">
        <f t="shared" si="306"/>
        <v>FOR</v>
      </c>
      <c r="AY3612" t="s">
        <v>55</v>
      </c>
    </row>
    <row r="3613" spans="1:51">
      <c r="A3613">
        <v>101238</v>
      </c>
      <c r="B3613" t="s">
        <v>563</v>
      </c>
      <c r="C3613" t="str">
        <f t="shared" si="308"/>
        <v>10994940152</v>
      </c>
      <c r="D3613" t="str">
        <f t="shared" si="308"/>
        <v>10994940152</v>
      </c>
      <c r="E3613" t="s">
        <v>52</v>
      </c>
      <c r="F3613">
        <v>2015</v>
      </c>
      <c r="G3613">
        <v>15001523</v>
      </c>
      <c r="H3613" s="1">
        <v>42027</v>
      </c>
      <c r="I3613" s="1">
        <v>42053</v>
      </c>
      <c r="J3613" s="1">
        <v>42053</v>
      </c>
      <c r="K3613" s="1">
        <v>42113</v>
      </c>
      <c r="L3613" s="7">
        <v>3069.07</v>
      </c>
      <c r="M3613" s="5">
        <v>246</v>
      </c>
      <c r="N3613" s="7">
        <v>754991.22</v>
      </c>
      <c r="O3613" s="2">
        <v>3069.07</v>
      </c>
      <c r="P3613">
        <v>246</v>
      </c>
      <c r="Q3613" s="2">
        <v>754991.22</v>
      </c>
      <c r="R3613">
        <v>675.2</v>
      </c>
      <c r="V3613">
        <v>0</v>
      </c>
      <c r="W3613">
        <v>0</v>
      </c>
      <c r="X3613">
        <v>0</v>
      </c>
      <c r="Y3613" s="2">
        <v>3744.27</v>
      </c>
      <c r="Z3613" s="2">
        <v>3744.27</v>
      </c>
      <c r="AA3613" s="2">
        <v>3744.27</v>
      </c>
      <c r="AB3613" s="1">
        <v>42382</v>
      </c>
      <c r="AC3613" t="s">
        <v>53</v>
      </c>
      <c r="AD3613" t="s">
        <v>53</v>
      </c>
      <c r="AK3613">
        <v>675.2</v>
      </c>
      <c r="AU3613" s="6">
        <v>42359</v>
      </c>
      <c r="AV3613" s="6">
        <v>42359</v>
      </c>
      <c r="AW3613" t="s">
        <v>54</v>
      </c>
      <c r="AX3613" t="str">
        <f t="shared" si="306"/>
        <v>FOR</v>
      </c>
      <c r="AY3613" t="s">
        <v>55</v>
      </c>
    </row>
    <row r="3614" spans="1:51">
      <c r="A3614">
        <v>101238</v>
      </c>
      <c r="B3614" t="s">
        <v>563</v>
      </c>
      <c r="C3614" t="str">
        <f t="shared" si="308"/>
        <v>10994940152</v>
      </c>
      <c r="D3614" t="str">
        <f t="shared" si="308"/>
        <v>10994940152</v>
      </c>
      <c r="E3614" t="s">
        <v>52</v>
      </c>
      <c r="F3614">
        <v>2015</v>
      </c>
      <c r="G3614">
        <v>15001538</v>
      </c>
      <c r="H3614" s="1">
        <v>42027</v>
      </c>
      <c r="I3614" s="1">
        <v>42053</v>
      </c>
      <c r="J3614" s="1">
        <v>42053</v>
      </c>
      <c r="K3614" s="1">
        <v>42113</v>
      </c>
      <c r="L3614" s="7">
        <v>120</v>
      </c>
      <c r="M3614" s="5">
        <v>246</v>
      </c>
      <c r="N3614" s="7">
        <v>29520</v>
      </c>
      <c r="O3614">
        <v>120</v>
      </c>
      <c r="P3614">
        <v>246</v>
      </c>
      <c r="Q3614" s="2">
        <v>29520</v>
      </c>
      <c r="R3614">
        <v>26.4</v>
      </c>
      <c r="V3614">
        <v>0</v>
      </c>
      <c r="W3614">
        <v>0</v>
      </c>
      <c r="X3614">
        <v>0</v>
      </c>
      <c r="Y3614">
        <v>146.4</v>
      </c>
      <c r="Z3614">
        <v>146.4</v>
      </c>
      <c r="AA3614">
        <v>146.4</v>
      </c>
      <c r="AB3614" s="1">
        <v>42382</v>
      </c>
      <c r="AC3614" t="s">
        <v>53</v>
      </c>
      <c r="AD3614" t="s">
        <v>53</v>
      </c>
      <c r="AK3614">
        <v>26.4</v>
      </c>
      <c r="AU3614" s="6">
        <v>42359</v>
      </c>
      <c r="AV3614" s="6">
        <v>42359</v>
      </c>
      <c r="AW3614" t="s">
        <v>54</v>
      </c>
      <c r="AX3614" t="str">
        <f t="shared" si="306"/>
        <v>FOR</v>
      </c>
      <c r="AY3614" t="s">
        <v>55</v>
      </c>
    </row>
    <row r="3615" spans="1:51">
      <c r="A3615">
        <v>101238</v>
      </c>
      <c r="B3615" t="s">
        <v>563</v>
      </c>
      <c r="C3615" t="str">
        <f t="shared" si="308"/>
        <v>10994940152</v>
      </c>
      <c r="D3615" t="str">
        <f t="shared" si="308"/>
        <v>10994940152</v>
      </c>
      <c r="E3615" t="s">
        <v>52</v>
      </c>
      <c r="F3615">
        <v>2015</v>
      </c>
      <c r="G3615">
        <v>15001829</v>
      </c>
      <c r="H3615" s="1">
        <v>42031</v>
      </c>
      <c r="I3615" s="1">
        <v>42053</v>
      </c>
      <c r="J3615" s="1">
        <v>42053</v>
      </c>
      <c r="K3615" s="1">
        <v>42113</v>
      </c>
      <c r="L3615" s="7">
        <v>120</v>
      </c>
      <c r="M3615" s="5">
        <v>246</v>
      </c>
      <c r="N3615" s="7">
        <v>29520</v>
      </c>
      <c r="O3615">
        <v>120</v>
      </c>
      <c r="P3615">
        <v>246</v>
      </c>
      <c r="Q3615" s="2">
        <v>29520</v>
      </c>
      <c r="R3615">
        <v>26.4</v>
      </c>
      <c r="V3615">
        <v>0</v>
      </c>
      <c r="W3615">
        <v>0</v>
      </c>
      <c r="X3615">
        <v>0</v>
      </c>
      <c r="Y3615">
        <v>146.4</v>
      </c>
      <c r="Z3615">
        <v>146.4</v>
      </c>
      <c r="AA3615">
        <v>146.4</v>
      </c>
      <c r="AB3615" s="1">
        <v>42382</v>
      </c>
      <c r="AC3615" t="s">
        <v>53</v>
      </c>
      <c r="AD3615" t="s">
        <v>53</v>
      </c>
      <c r="AK3615">
        <v>26.4</v>
      </c>
      <c r="AU3615" s="6">
        <v>42359</v>
      </c>
      <c r="AV3615" s="6">
        <v>42359</v>
      </c>
      <c r="AW3615" t="s">
        <v>54</v>
      </c>
      <c r="AX3615" t="str">
        <f t="shared" si="306"/>
        <v>FOR</v>
      </c>
      <c r="AY3615" t="s">
        <v>55</v>
      </c>
    </row>
    <row r="3616" spans="1:51">
      <c r="A3616">
        <v>101241</v>
      </c>
      <c r="B3616" t="s">
        <v>564</v>
      </c>
      <c r="C3616" t="str">
        <f>"02879890982"</f>
        <v>02879890982</v>
      </c>
      <c r="D3616" t="str">
        <f>"02879890982"</f>
        <v>02879890982</v>
      </c>
      <c r="E3616" t="s">
        <v>52</v>
      </c>
      <c r="F3616">
        <v>2012</v>
      </c>
      <c r="G3616">
        <v>156</v>
      </c>
      <c r="H3616" s="1">
        <v>40999</v>
      </c>
      <c r="I3616" s="1">
        <v>41015</v>
      </c>
      <c r="J3616" s="1">
        <v>41015</v>
      </c>
      <c r="K3616" s="1">
        <v>41105</v>
      </c>
      <c r="L3616" s="7">
        <v>57898.5</v>
      </c>
      <c r="M3616" s="5">
        <v>1214</v>
      </c>
      <c r="N3616" s="7">
        <v>70288779</v>
      </c>
      <c r="O3616" s="2">
        <v>57898.5</v>
      </c>
      <c r="P3616">
        <v>1214</v>
      </c>
      <c r="Q3616" s="2">
        <v>70288779</v>
      </c>
      <c r="R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 s="1">
        <v>42382</v>
      </c>
      <c r="AC3616" t="s">
        <v>53</v>
      </c>
      <c r="AD3616" t="s">
        <v>53</v>
      </c>
      <c r="AK3616">
        <v>0</v>
      </c>
      <c r="AU3616" s="6">
        <v>42319</v>
      </c>
      <c r="AV3616" s="6">
        <v>42319</v>
      </c>
      <c r="AW3616" t="s">
        <v>54</v>
      </c>
      <c r="AX3616" t="str">
        <f t="shared" si="306"/>
        <v>FOR</v>
      </c>
      <c r="AY3616" t="s">
        <v>55</v>
      </c>
    </row>
    <row r="3617" spans="1:51">
      <c r="A3617">
        <v>101241</v>
      </c>
      <c r="B3617" t="s">
        <v>564</v>
      </c>
      <c r="C3617" t="str">
        <f>"02879890982"</f>
        <v>02879890982</v>
      </c>
      <c r="D3617" t="str">
        <f>"02879890982"</f>
        <v>02879890982</v>
      </c>
      <c r="E3617" t="s">
        <v>52</v>
      </c>
      <c r="F3617">
        <v>2014</v>
      </c>
      <c r="G3617">
        <v>691</v>
      </c>
      <c r="H3617" s="1">
        <v>41967</v>
      </c>
      <c r="I3617" s="1">
        <v>41978</v>
      </c>
      <c r="J3617" s="1">
        <v>41978</v>
      </c>
      <c r="K3617" s="1">
        <v>42038</v>
      </c>
      <c r="L3617" s="7">
        <v>2108.16</v>
      </c>
      <c r="M3617" s="5">
        <v>244</v>
      </c>
      <c r="N3617" s="7">
        <v>514391.03999999998</v>
      </c>
      <c r="O3617" s="2">
        <v>2108.16</v>
      </c>
      <c r="P3617">
        <v>244</v>
      </c>
      <c r="Q3617" s="2">
        <v>514391.03999999998</v>
      </c>
      <c r="R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 s="1">
        <v>42382</v>
      </c>
      <c r="AC3617" t="s">
        <v>53</v>
      </c>
      <c r="AD3617" t="s">
        <v>53</v>
      </c>
      <c r="AK3617">
        <v>0</v>
      </c>
      <c r="AU3617" s="6">
        <v>42282</v>
      </c>
      <c r="AV3617" s="6">
        <v>42282</v>
      </c>
      <c r="AW3617" t="s">
        <v>54</v>
      </c>
      <c r="AX3617" t="str">
        <f t="shared" si="306"/>
        <v>FOR</v>
      </c>
      <c r="AY3617" t="s">
        <v>55</v>
      </c>
    </row>
    <row r="3618" spans="1:51" hidden="1">
      <c r="A3618">
        <v>101244</v>
      </c>
      <c r="B3618" t="s">
        <v>565</v>
      </c>
      <c r="C3618" t="str">
        <f t="shared" ref="C3618:D3634" si="309">"01113580656"</f>
        <v>01113580656</v>
      </c>
      <c r="D3618" t="str">
        <f t="shared" si="309"/>
        <v>01113580656</v>
      </c>
      <c r="E3618" t="s">
        <v>52</v>
      </c>
      <c r="F3618">
        <v>2014</v>
      </c>
      <c r="G3618">
        <v>195</v>
      </c>
      <c r="H3618" s="1">
        <v>41689</v>
      </c>
      <c r="I3618" s="1">
        <v>41698</v>
      </c>
      <c r="J3618" s="1">
        <v>41698</v>
      </c>
      <c r="K3618" s="1">
        <v>41788</v>
      </c>
      <c r="N3618" s="5"/>
      <c r="O3618" s="2">
        <v>2137.44</v>
      </c>
      <c r="P3618">
        <v>287</v>
      </c>
      <c r="Q3618" s="2">
        <v>613445.28</v>
      </c>
      <c r="R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 s="1">
        <v>42382</v>
      </c>
      <c r="AC3618" t="s">
        <v>53</v>
      </c>
      <c r="AD3618" t="s">
        <v>53</v>
      </c>
      <c r="AK3618">
        <v>0</v>
      </c>
      <c r="AU3618" s="6">
        <v>42075</v>
      </c>
      <c r="AV3618" s="6">
        <v>42075</v>
      </c>
      <c r="AW3618" t="s">
        <v>54</v>
      </c>
      <c r="AX3618" t="str">
        <f t="shared" si="306"/>
        <v>FOR</v>
      </c>
      <c r="AY3618" t="s">
        <v>55</v>
      </c>
    </row>
    <row r="3619" spans="1:51" hidden="1">
      <c r="A3619">
        <v>101244</v>
      </c>
      <c r="B3619" t="s">
        <v>565</v>
      </c>
      <c r="C3619" t="str">
        <f t="shared" si="309"/>
        <v>01113580656</v>
      </c>
      <c r="D3619" t="str">
        <f t="shared" si="309"/>
        <v>01113580656</v>
      </c>
      <c r="E3619" t="s">
        <v>52</v>
      </c>
      <c r="F3619">
        <v>2014</v>
      </c>
      <c r="G3619">
        <v>207</v>
      </c>
      <c r="H3619" s="1">
        <v>41690</v>
      </c>
      <c r="I3619" s="1">
        <v>41698</v>
      </c>
      <c r="J3619" s="1">
        <v>41698</v>
      </c>
      <c r="K3619" s="1">
        <v>41788</v>
      </c>
      <c r="N3619" s="5"/>
      <c r="O3619" s="2">
        <v>5266.74</v>
      </c>
      <c r="P3619">
        <v>287</v>
      </c>
      <c r="Q3619" s="2">
        <v>1511554.38</v>
      </c>
      <c r="R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 s="1">
        <v>42382</v>
      </c>
      <c r="AC3619" t="s">
        <v>53</v>
      </c>
      <c r="AD3619" t="s">
        <v>53</v>
      </c>
      <c r="AK3619">
        <v>0</v>
      </c>
      <c r="AU3619" s="6">
        <v>42075</v>
      </c>
      <c r="AV3619" s="6">
        <v>42075</v>
      </c>
      <c r="AW3619" t="s">
        <v>54</v>
      </c>
      <c r="AX3619" t="str">
        <f t="shared" si="306"/>
        <v>FOR</v>
      </c>
      <c r="AY3619" t="s">
        <v>55</v>
      </c>
    </row>
    <row r="3620" spans="1:51" hidden="1">
      <c r="A3620">
        <v>101244</v>
      </c>
      <c r="B3620" t="s">
        <v>565</v>
      </c>
      <c r="C3620" t="str">
        <f t="shared" si="309"/>
        <v>01113580656</v>
      </c>
      <c r="D3620" t="str">
        <f t="shared" si="309"/>
        <v>01113580656</v>
      </c>
      <c r="E3620" t="s">
        <v>52</v>
      </c>
      <c r="F3620">
        <v>2014</v>
      </c>
      <c r="G3620">
        <v>249</v>
      </c>
      <c r="H3620" s="1">
        <v>41701</v>
      </c>
      <c r="I3620" s="1">
        <v>41719</v>
      </c>
      <c r="J3620" s="1">
        <v>41719</v>
      </c>
      <c r="K3620" s="1">
        <v>41809</v>
      </c>
      <c r="N3620" s="5"/>
      <c r="O3620">
        <v>989.79</v>
      </c>
      <c r="P3620">
        <v>266</v>
      </c>
      <c r="Q3620" s="2">
        <v>263284.14</v>
      </c>
      <c r="R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 s="1">
        <v>42382</v>
      </c>
      <c r="AC3620" t="s">
        <v>53</v>
      </c>
      <c r="AD3620" t="s">
        <v>53</v>
      </c>
      <c r="AK3620">
        <v>0</v>
      </c>
      <c r="AU3620" s="6">
        <v>42075</v>
      </c>
      <c r="AV3620" s="6">
        <v>42075</v>
      </c>
      <c r="AW3620" t="s">
        <v>54</v>
      </c>
      <c r="AX3620" t="str">
        <f t="shared" si="306"/>
        <v>FOR</v>
      </c>
      <c r="AY3620" t="s">
        <v>55</v>
      </c>
    </row>
    <row r="3621" spans="1:51" hidden="1">
      <c r="A3621">
        <v>101244</v>
      </c>
      <c r="B3621" t="s">
        <v>565</v>
      </c>
      <c r="C3621" t="str">
        <f t="shared" si="309"/>
        <v>01113580656</v>
      </c>
      <c r="D3621" t="str">
        <f t="shared" si="309"/>
        <v>01113580656</v>
      </c>
      <c r="E3621" t="s">
        <v>52</v>
      </c>
      <c r="F3621">
        <v>2014</v>
      </c>
      <c r="G3621">
        <v>319</v>
      </c>
      <c r="H3621" s="1">
        <v>41711</v>
      </c>
      <c r="I3621" s="1">
        <v>41719</v>
      </c>
      <c r="J3621" s="1">
        <v>41719</v>
      </c>
      <c r="K3621" s="1">
        <v>41809</v>
      </c>
      <c r="N3621" s="5"/>
      <c r="O3621" s="2">
        <v>2440</v>
      </c>
      <c r="P3621">
        <v>266</v>
      </c>
      <c r="Q3621" s="2">
        <v>649040</v>
      </c>
      <c r="R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 s="1">
        <v>42382</v>
      </c>
      <c r="AC3621" t="s">
        <v>53</v>
      </c>
      <c r="AD3621" t="s">
        <v>53</v>
      </c>
      <c r="AK3621">
        <v>0</v>
      </c>
      <c r="AU3621" s="6">
        <v>42075</v>
      </c>
      <c r="AV3621" s="6">
        <v>42075</v>
      </c>
      <c r="AW3621" t="s">
        <v>54</v>
      </c>
      <c r="AX3621" t="str">
        <f t="shared" si="306"/>
        <v>FOR</v>
      </c>
      <c r="AY3621" t="s">
        <v>55</v>
      </c>
    </row>
    <row r="3622" spans="1:51" hidden="1">
      <c r="A3622">
        <v>101244</v>
      </c>
      <c r="B3622" t="s">
        <v>565</v>
      </c>
      <c r="C3622" t="str">
        <f t="shared" si="309"/>
        <v>01113580656</v>
      </c>
      <c r="D3622" t="str">
        <f t="shared" si="309"/>
        <v>01113580656</v>
      </c>
      <c r="E3622" t="s">
        <v>52</v>
      </c>
      <c r="F3622">
        <v>2014</v>
      </c>
      <c r="G3622">
        <v>346</v>
      </c>
      <c r="H3622" s="1">
        <v>41722</v>
      </c>
      <c r="I3622" s="1">
        <v>41743</v>
      </c>
      <c r="J3622" s="1">
        <v>41743</v>
      </c>
      <c r="K3622" s="1">
        <v>41833</v>
      </c>
      <c r="N3622" s="5"/>
      <c r="O3622" s="2">
        <v>7137</v>
      </c>
      <c r="P3622">
        <v>260</v>
      </c>
      <c r="Q3622" s="2">
        <v>1855620</v>
      </c>
      <c r="R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 s="1">
        <v>42382</v>
      </c>
      <c r="AC3622" t="s">
        <v>53</v>
      </c>
      <c r="AD3622" t="s">
        <v>53</v>
      </c>
      <c r="AK3622">
        <v>0</v>
      </c>
      <c r="AU3622" s="6">
        <v>42093</v>
      </c>
      <c r="AV3622" s="6">
        <v>42093</v>
      </c>
      <c r="AW3622" t="s">
        <v>54</v>
      </c>
      <c r="AX3622" t="str">
        <f t="shared" si="306"/>
        <v>FOR</v>
      </c>
      <c r="AY3622" t="s">
        <v>55</v>
      </c>
    </row>
    <row r="3623" spans="1:51" hidden="1">
      <c r="A3623">
        <v>101244</v>
      </c>
      <c r="B3623" t="s">
        <v>565</v>
      </c>
      <c r="C3623" t="str">
        <f t="shared" si="309"/>
        <v>01113580656</v>
      </c>
      <c r="D3623" t="str">
        <f t="shared" si="309"/>
        <v>01113580656</v>
      </c>
      <c r="E3623" t="s">
        <v>52</v>
      </c>
      <c r="F3623">
        <v>2014</v>
      </c>
      <c r="G3623">
        <v>420</v>
      </c>
      <c r="H3623" s="1">
        <v>41732</v>
      </c>
      <c r="I3623" s="1">
        <v>41743</v>
      </c>
      <c r="J3623" s="1">
        <v>41743</v>
      </c>
      <c r="K3623" s="1">
        <v>41833</v>
      </c>
      <c r="N3623" s="5"/>
      <c r="O3623">
        <v>989.64</v>
      </c>
      <c r="P3623">
        <v>260</v>
      </c>
      <c r="Q3623" s="2">
        <v>257306.4</v>
      </c>
      <c r="R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 s="1">
        <v>42382</v>
      </c>
      <c r="AC3623" t="s">
        <v>53</v>
      </c>
      <c r="AD3623" t="s">
        <v>53</v>
      </c>
      <c r="AK3623">
        <v>0</v>
      </c>
      <c r="AU3623" s="6">
        <v>42093</v>
      </c>
      <c r="AV3623" s="6">
        <v>42093</v>
      </c>
      <c r="AW3623" t="s">
        <v>54</v>
      </c>
      <c r="AX3623" t="str">
        <f t="shared" si="306"/>
        <v>FOR</v>
      </c>
      <c r="AY3623" t="s">
        <v>55</v>
      </c>
    </row>
    <row r="3624" spans="1:51" hidden="1">
      <c r="A3624">
        <v>101244</v>
      </c>
      <c r="B3624" t="s">
        <v>565</v>
      </c>
      <c r="C3624" t="str">
        <f t="shared" si="309"/>
        <v>01113580656</v>
      </c>
      <c r="D3624" t="str">
        <f t="shared" si="309"/>
        <v>01113580656</v>
      </c>
      <c r="E3624" t="s">
        <v>52</v>
      </c>
      <c r="F3624">
        <v>2014</v>
      </c>
      <c r="G3624">
        <v>421</v>
      </c>
      <c r="H3624" s="1">
        <v>41732</v>
      </c>
      <c r="I3624" s="1">
        <v>41743</v>
      </c>
      <c r="J3624" s="1">
        <v>41743</v>
      </c>
      <c r="K3624" s="1">
        <v>41833</v>
      </c>
      <c r="N3624" s="5"/>
      <c r="O3624" s="2">
        <v>4370.04</v>
      </c>
      <c r="P3624">
        <v>260</v>
      </c>
      <c r="Q3624" s="2">
        <v>1136210.3999999999</v>
      </c>
      <c r="R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 s="1">
        <v>42382</v>
      </c>
      <c r="AC3624" t="s">
        <v>53</v>
      </c>
      <c r="AD3624" t="s">
        <v>53</v>
      </c>
      <c r="AK3624">
        <v>0</v>
      </c>
      <c r="AU3624" s="6">
        <v>42093</v>
      </c>
      <c r="AV3624" s="6">
        <v>42093</v>
      </c>
      <c r="AW3624" t="s">
        <v>54</v>
      </c>
      <c r="AX3624" t="str">
        <f t="shared" si="306"/>
        <v>FOR</v>
      </c>
      <c r="AY3624" t="s">
        <v>55</v>
      </c>
    </row>
    <row r="3625" spans="1:51" hidden="1">
      <c r="A3625">
        <v>101244</v>
      </c>
      <c r="B3625" t="s">
        <v>565</v>
      </c>
      <c r="C3625" t="str">
        <f t="shared" si="309"/>
        <v>01113580656</v>
      </c>
      <c r="D3625" t="str">
        <f t="shared" si="309"/>
        <v>01113580656</v>
      </c>
      <c r="E3625" t="s">
        <v>52</v>
      </c>
      <c r="F3625">
        <v>2014</v>
      </c>
      <c r="G3625">
        <v>534</v>
      </c>
      <c r="H3625" s="1">
        <v>41759</v>
      </c>
      <c r="I3625" s="1">
        <v>41767</v>
      </c>
      <c r="J3625" s="1">
        <v>41767</v>
      </c>
      <c r="K3625" s="1">
        <v>41857</v>
      </c>
      <c r="N3625" s="5"/>
      <c r="O3625" s="2">
        <v>9720.9599999999991</v>
      </c>
      <c r="P3625">
        <v>236</v>
      </c>
      <c r="Q3625" s="2">
        <v>2294146.56</v>
      </c>
      <c r="R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 s="1">
        <v>42382</v>
      </c>
      <c r="AC3625" t="s">
        <v>53</v>
      </c>
      <c r="AD3625" t="s">
        <v>53</v>
      </c>
      <c r="AK3625">
        <v>0</v>
      </c>
      <c r="AU3625" s="6">
        <v>42093</v>
      </c>
      <c r="AV3625" s="6">
        <v>42093</v>
      </c>
      <c r="AW3625" t="s">
        <v>54</v>
      </c>
      <c r="AX3625" t="str">
        <f t="shared" si="306"/>
        <v>FOR</v>
      </c>
      <c r="AY3625" t="s">
        <v>55</v>
      </c>
    </row>
    <row r="3626" spans="1:51" hidden="1">
      <c r="A3626">
        <v>101244</v>
      </c>
      <c r="B3626" t="s">
        <v>565</v>
      </c>
      <c r="C3626" t="str">
        <f t="shared" si="309"/>
        <v>01113580656</v>
      </c>
      <c r="D3626" t="str">
        <f t="shared" si="309"/>
        <v>01113580656</v>
      </c>
      <c r="E3626" t="s">
        <v>52</v>
      </c>
      <c r="F3626">
        <v>2014</v>
      </c>
      <c r="G3626">
        <v>671</v>
      </c>
      <c r="H3626" s="1">
        <v>41786</v>
      </c>
      <c r="I3626" s="1">
        <v>41802</v>
      </c>
      <c r="J3626" s="1">
        <v>41802</v>
      </c>
      <c r="K3626" s="1">
        <v>41892</v>
      </c>
      <c r="N3626" s="5"/>
      <c r="O3626" s="2">
        <v>10911.68</v>
      </c>
      <c r="P3626">
        <v>266</v>
      </c>
      <c r="Q3626" s="2">
        <v>2902506.88</v>
      </c>
      <c r="R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 s="1">
        <v>42382</v>
      </c>
      <c r="AC3626" t="s">
        <v>53</v>
      </c>
      <c r="AD3626" t="s">
        <v>53</v>
      </c>
      <c r="AK3626">
        <v>0</v>
      </c>
      <c r="AU3626" s="6">
        <v>42158</v>
      </c>
      <c r="AV3626" s="6">
        <v>42158</v>
      </c>
      <c r="AW3626" t="s">
        <v>54</v>
      </c>
      <c r="AX3626" t="str">
        <f t="shared" si="306"/>
        <v>FOR</v>
      </c>
      <c r="AY3626" t="s">
        <v>55</v>
      </c>
    </row>
    <row r="3627" spans="1:51" hidden="1">
      <c r="A3627">
        <v>101244</v>
      </c>
      <c r="B3627" t="s">
        <v>565</v>
      </c>
      <c r="C3627" t="str">
        <f t="shared" si="309"/>
        <v>01113580656</v>
      </c>
      <c r="D3627" t="str">
        <f t="shared" si="309"/>
        <v>01113580656</v>
      </c>
      <c r="E3627" t="s">
        <v>52</v>
      </c>
      <c r="F3627">
        <v>2014</v>
      </c>
      <c r="G3627">
        <v>697</v>
      </c>
      <c r="H3627" s="1">
        <v>41793</v>
      </c>
      <c r="I3627" s="1">
        <v>41802</v>
      </c>
      <c r="J3627" s="1">
        <v>41802</v>
      </c>
      <c r="K3627" s="1">
        <v>41892</v>
      </c>
      <c r="N3627" s="5"/>
      <c r="O3627">
        <v>989.64</v>
      </c>
      <c r="P3627">
        <v>266</v>
      </c>
      <c r="Q3627" s="2">
        <v>263244.24</v>
      </c>
      <c r="R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 s="1">
        <v>42382</v>
      </c>
      <c r="AC3627" t="s">
        <v>53</v>
      </c>
      <c r="AD3627" t="s">
        <v>53</v>
      </c>
      <c r="AK3627">
        <v>0</v>
      </c>
      <c r="AU3627" s="6">
        <v>42158</v>
      </c>
      <c r="AV3627" s="6">
        <v>42158</v>
      </c>
      <c r="AW3627" t="s">
        <v>54</v>
      </c>
      <c r="AX3627" t="str">
        <f t="shared" si="306"/>
        <v>FOR</v>
      </c>
      <c r="AY3627" t="s">
        <v>55</v>
      </c>
    </row>
    <row r="3628" spans="1:51" hidden="1">
      <c r="A3628">
        <v>101244</v>
      </c>
      <c r="B3628" t="s">
        <v>565</v>
      </c>
      <c r="C3628" t="str">
        <f t="shared" si="309"/>
        <v>01113580656</v>
      </c>
      <c r="D3628" t="str">
        <f t="shared" si="309"/>
        <v>01113580656</v>
      </c>
      <c r="E3628" t="s">
        <v>52</v>
      </c>
      <c r="F3628">
        <v>2014</v>
      </c>
      <c r="G3628">
        <v>954</v>
      </c>
      <c r="H3628" s="1">
        <v>41841</v>
      </c>
      <c r="I3628" s="1">
        <v>41872</v>
      </c>
      <c r="J3628" s="1">
        <v>41872</v>
      </c>
      <c r="K3628" s="1">
        <v>41962</v>
      </c>
      <c r="N3628" s="5"/>
      <c r="O3628" s="2">
        <v>16844.54</v>
      </c>
      <c r="P3628">
        <v>288</v>
      </c>
      <c r="Q3628" s="2">
        <v>4851227.5199999996</v>
      </c>
      <c r="R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 s="1">
        <v>42382</v>
      </c>
      <c r="AC3628" t="s">
        <v>53</v>
      </c>
      <c r="AD3628" t="s">
        <v>53</v>
      </c>
      <c r="AK3628">
        <v>0</v>
      </c>
      <c r="AU3628" s="6">
        <v>42250</v>
      </c>
      <c r="AV3628" s="6">
        <v>42250</v>
      </c>
      <c r="AW3628" t="s">
        <v>54</v>
      </c>
      <c r="AX3628" t="str">
        <f t="shared" si="306"/>
        <v>FOR</v>
      </c>
      <c r="AY3628" t="s">
        <v>55</v>
      </c>
    </row>
    <row r="3629" spans="1:51" hidden="1">
      <c r="A3629">
        <v>101244</v>
      </c>
      <c r="B3629" t="s">
        <v>565</v>
      </c>
      <c r="C3629" t="str">
        <f t="shared" si="309"/>
        <v>01113580656</v>
      </c>
      <c r="D3629" t="str">
        <f t="shared" si="309"/>
        <v>01113580656</v>
      </c>
      <c r="E3629" t="s">
        <v>52</v>
      </c>
      <c r="F3629">
        <v>2014</v>
      </c>
      <c r="G3629">
        <v>969</v>
      </c>
      <c r="H3629" s="1">
        <v>41844</v>
      </c>
      <c r="I3629" s="1">
        <v>41872</v>
      </c>
      <c r="J3629" s="1">
        <v>41872</v>
      </c>
      <c r="K3629" s="1">
        <v>41962</v>
      </c>
      <c r="N3629" s="5"/>
      <c r="O3629" s="2">
        <v>1187.56</v>
      </c>
      <c r="P3629">
        <v>288</v>
      </c>
      <c r="Q3629" s="2">
        <v>342017.28000000003</v>
      </c>
      <c r="R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 s="1">
        <v>42382</v>
      </c>
      <c r="AC3629" t="s">
        <v>53</v>
      </c>
      <c r="AD3629" t="s">
        <v>53</v>
      </c>
      <c r="AK3629">
        <v>0</v>
      </c>
      <c r="AU3629" s="6">
        <v>42250</v>
      </c>
      <c r="AV3629" s="6">
        <v>42250</v>
      </c>
      <c r="AW3629" t="s">
        <v>54</v>
      </c>
      <c r="AX3629" t="str">
        <f t="shared" si="306"/>
        <v>FOR</v>
      </c>
      <c r="AY3629" t="s">
        <v>55</v>
      </c>
    </row>
    <row r="3630" spans="1:51" hidden="1">
      <c r="A3630">
        <v>101244</v>
      </c>
      <c r="B3630" t="s">
        <v>565</v>
      </c>
      <c r="C3630" t="str">
        <f t="shared" si="309"/>
        <v>01113580656</v>
      </c>
      <c r="D3630" t="str">
        <f t="shared" si="309"/>
        <v>01113580656</v>
      </c>
      <c r="E3630" t="s">
        <v>52</v>
      </c>
      <c r="F3630">
        <v>2014</v>
      </c>
      <c r="G3630">
        <v>1196</v>
      </c>
      <c r="H3630" s="1">
        <v>41908</v>
      </c>
      <c r="I3630" s="1">
        <v>41921</v>
      </c>
      <c r="J3630" s="1">
        <v>41921</v>
      </c>
      <c r="K3630" s="1">
        <v>42011</v>
      </c>
      <c r="N3630" s="5"/>
      <c r="O3630" s="2">
        <v>12375.68</v>
      </c>
      <c r="P3630">
        <v>239</v>
      </c>
      <c r="Q3630" s="2">
        <v>2957787.52</v>
      </c>
      <c r="R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 s="1">
        <v>42382</v>
      </c>
      <c r="AC3630" t="s">
        <v>53</v>
      </c>
      <c r="AD3630" t="s">
        <v>53</v>
      </c>
      <c r="AK3630">
        <v>0</v>
      </c>
      <c r="AU3630" s="6">
        <v>42250</v>
      </c>
      <c r="AV3630" s="6">
        <v>42250</v>
      </c>
      <c r="AW3630" t="s">
        <v>54</v>
      </c>
      <c r="AX3630" t="str">
        <f t="shared" si="306"/>
        <v>FOR</v>
      </c>
      <c r="AY3630" t="s">
        <v>55</v>
      </c>
    </row>
    <row r="3631" spans="1:51">
      <c r="A3631">
        <v>101244</v>
      </c>
      <c r="B3631" t="s">
        <v>565</v>
      </c>
      <c r="C3631" t="str">
        <f t="shared" si="309"/>
        <v>01113580656</v>
      </c>
      <c r="D3631" t="str">
        <f t="shared" si="309"/>
        <v>01113580656</v>
      </c>
      <c r="E3631" t="s">
        <v>52</v>
      </c>
      <c r="F3631">
        <v>2014</v>
      </c>
      <c r="G3631">
        <v>1220</v>
      </c>
      <c r="H3631" s="1">
        <v>41913</v>
      </c>
      <c r="I3631" s="1">
        <v>41921</v>
      </c>
      <c r="J3631" s="1">
        <v>41921</v>
      </c>
      <c r="K3631" s="1">
        <v>42011</v>
      </c>
      <c r="L3631" s="7">
        <v>989.64</v>
      </c>
      <c r="M3631" s="5">
        <v>267</v>
      </c>
      <c r="N3631" s="7">
        <v>264233.88</v>
      </c>
      <c r="O3631">
        <v>989.64</v>
      </c>
      <c r="P3631">
        <v>267</v>
      </c>
      <c r="Q3631" s="2">
        <v>264233.88</v>
      </c>
      <c r="R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 s="1">
        <v>42382</v>
      </c>
      <c r="AC3631" t="s">
        <v>53</v>
      </c>
      <c r="AD3631" t="s">
        <v>53</v>
      </c>
      <c r="AK3631">
        <v>0</v>
      </c>
      <c r="AU3631" s="6">
        <v>42278</v>
      </c>
      <c r="AV3631" s="6">
        <v>42278</v>
      </c>
      <c r="AW3631" t="s">
        <v>54</v>
      </c>
      <c r="AX3631" t="str">
        <f t="shared" si="306"/>
        <v>FOR</v>
      </c>
      <c r="AY3631" t="s">
        <v>55</v>
      </c>
    </row>
    <row r="3632" spans="1:51">
      <c r="A3632">
        <v>101244</v>
      </c>
      <c r="B3632" t="s">
        <v>565</v>
      </c>
      <c r="C3632" t="str">
        <f t="shared" si="309"/>
        <v>01113580656</v>
      </c>
      <c r="D3632" t="str">
        <f t="shared" si="309"/>
        <v>01113580656</v>
      </c>
      <c r="E3632" t="s">
        <v>52</v>
      </c>
      <c r="F3632">
        <v>2014</v>
      </c>
      <c r="G3632">
        <v>1391</v>
      </c>
      <c r="H3632" s="1">
        <v>41942</v>
      </c>
      <c r="I3632" s="1">
        <v>41956</v>
      </c>
      <c r="J3632" s="1">
        <v>41956</v>
      </c>
      <c r="K3632" s="1">
        <v>42016</v>
      </c>
      <c r="L3632" s="7">
        <v>12788.04</v>
      </c>
      <c r="M3632" s="5">
        <v>262</v>
      </c>
      <c r="N3632" s="7">
        <v>3350466.48</v>
      </c>
      <c r="O3632" s="2">
        <v>12788.04</v>
      </c>
      <c r="P3632">
        <v>262</v>
      </c>
      <c r="Q3632" s="2">
        <v>3350466.48</v>
      </c>
      <c r="R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 s="1">
        <v>42382</v>
      </c>
      <c r="AC3632" t="s">
        <v>53</v>
      </c>
      <c r="AD3632" t="s">
        <v>53</v>
      </c>
      <c r="AK3632">
        <v>0</v>
      </c>
      <c r="AU3632" s="6">
        <v>42278</v>
      </c>
      <c r="AV3632" s="6">
        <v>42278</v>
      </c>
      <c r="AW3632" t="s">
        <v>54</v>
      </c>
      <c r="AX3632" t="str">
        <f t="shared" si="306"/>
        <v>FOR</v>
      </c>
      <c r="AY3632" t="s">
        <v>55</v>
      </c>
    </row>
    <row r="3633" spans="1:51">
      <c r="A3633">
        <v>101244</v>
      </c>
      <c r="B3633" t="s">
        <v>565</v>
      </c>
      <c r="C3633" t="str">
        <f t="shared" si="309"/>
        <v>01113580656</v>
      </c>
      <c r="D3633" t="str">
        <f t="shared" si="309"/>
        <v>01113580656</v>
      </c>
      <c r="E3633" t="s">
        <v>52</v>
      </c>
      <c r="F3633">
        <v>2014</v>
      </c>
      <c r="G3633">
        <v>1462</v>
      </c>
      <c r="H3633" s="1">
        <v>41956</v>
      </c>
      <c r="I3633" s="1">
        <v>41983</v>
      </c>
      <c r="J3633" s="1">
        <v>41983</v>
      </c>
      <c r="K3633" s="1">
        <v>42043</v>
      </c>
      <c r="L3633" s="7">
        <v>395.85</v>
      </c>
      <c r="M3633" s="5">
        <v>257</v>
      </c>
      <c r="N3633" s="7">
        <v>101733.45</v>
      </c>
      <c r="O3633">
        <v>395.85</v>
      </c>
      <c r="P3633">
        <v>257</v>
      </c>
      <c r="Q3633" s="2">
        <v>101733.45</v>
      </c>
      <c r="R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 s="1">
        <v>42382</v>
      </c>
      <c r="AC3633" t="s">
        <v>53</v>
      </c>
      <c r="AD3633" t="s">
        <v>53</v>
      </c>
      <c r="AK3633">
        <v>0</v>
      </c>
      <c r="AU3633" s="6">
        <v>42300</v>
      </c>
      <c r="AV3633" s="6">
        <v>42300</v>
      </c>
      <c r="AW3633" t="s">
        <v>54</v>
      </c>
      <c r="AX3633" t="str">
        <f t="shared" si="306"/>
        <v>FOR</v>
      </c>
      <c r="AY3633" t="s">
        <v>55</v>
      </c>
    </row>
    <row r="3634" spans="1:51">
      <c r="A3634">
        <v>101244</v>
      </c>
      <c r="B3634" t="s">
        <v>565</v>
      </c>
      <c r="C3634" t="str">
        <f t="shared" si="309"/>
        <v>01113580656</v>
      </c>
      <c r="D3634" t="str">
        <f t="shared" si="309"/>
        <v>01113580656</v>
      </c>
      <c r="E3634" t="s">
        <v>52</v>
      </c>
      <c r="F3634">
        <v>2014</v>
      </c>
      <c r="G3634">
        <v>1507</v>
      </c>
      <c r="H3634" s="1">
        <v>41967</v>
      </c>
      <c r="I3634" s="1">
        <v>41983</v>
      </c>
      <c r="J3634" s="1">
        <v>41983</v>
      </c>
      <c r="K3634" s="1">
        <v>42043</v>
      </c>
      <c r="L3634" s="7">
        <v>9217.59</v>
      </c>
      <c r="M3634" s="5">
        <v>257</v>
      </c>
      <c r="N3634" s="7">
        <v>2368920.63</v>
      </c>
      <c r="O3634" s="2">
        <v>9217.59</v>
      </c>
      <c r="P3634">
        <v>257</v>
      </c>
      <c r="Q3634" s="2">
        <v>2368920.63</v>
      </c>
      <c r="R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 s="1">
        <v>42382</v>
      </c>
      <c r="AC3634" t="s">
        <v>53</v>
      </c>
      <c r="AD3634" t="s">
        <v>53</v>
      </c>
      <c r="AK3634">
        <v>0</v>
      </c>
      <c r="AU3634" s="6">
        <v>42300</v>
      </c>
      <c r="AV3634" s="6">
        <v>42300</v>
      </c>
      <c r="AW3634" t="s">
        <v>54</v>
      </c>
      <c r="AX3634" t="str">
        <f t="shared" si="306"/>
        <v>FOR</v>
      </c>
      <c r="AY3634" t="s">
        <v>55</v>
      </c>
    </row>
    <row r="3635" spans="1:51">
      <c r="A3635">
        <v>101252</v>
      </c>
      <c r="B3635" t="s">
        <v>566</v>
      </c>
      <c r="C3635" t="str">
        <f>"00991131004"</f>
        <v>00991131004</v>
      </c>
      <c r="D3635" t="str">
        <f>""</f>
        <v/>
      </c>
      <c r="E3635" t="s">
        <v>52</v>
      </c>
      <c r="F3635">
        <v>2015</v>
      </c>
      <c r="G3635" t="s">
        <v>567</v>
      </c>
      <c r="H3635" s="1">
        <v>42094</v>
      </c>
      <c r="I3635" s="1">
        <v>42135</v>
      </c>
      <c r="J3635" s="1">
        <v>42133</v>
      </c>
      <c r="K3635" s="1">
        <v>42193</v>
      </c>
      <c r="L3635" s="7">
        <v>3247.36</v>
      </c>
      <c r="M3635" s="5">
        <v>147</v>
      </c>
      <c r="N3635" s="7">
        <v>477361.91999999998</v>
      </c>
      <c r="O3635" s="2">
        <v>3247.36</v>
      </c>
      <c r="P3635">
        <v>147</v>
      </c>
      <c r="Q3635" s="2">
        <v>477361.91999999998</v>
      </c>
      <c r="R3635">
        <v>714.42</v>
      </c>
      <c r="V3635">
        <v>0</v>
      </c>
      <c r="W3635">
        <v>0</v>
      </c>
      <c r="X3635">
        <v>0</v>
      </c>
      <c r="Y3635" s="2">
        <v>3961.78</v>
      </c>
      <c r="Z3635" s="2">
        <v>3961.78</v>
      </c>
      <c r="AA3635" s="2">
        <v>3961.78</v>
      </c>
      <c r="AB3635" s="1">
        <v>42382</v>
      </c>
      <c r="AC3635" t="s">
        <v>53</v>
      </c>
      <c r="AD3635" t="s">
        <v>53</v>
      </c>
      <c r="AJ3635">
        <v>714.42</v>
      </c>
      <c r="AK3635">
        <v>0</v>
      </c>
      <c r="AU3635" s="6">
        <v>42340</v>
      </c>
      <c r="AV3635" s="6">
        <v>42340</v>
      </c>
      <c r="AW3635" t="s">
        <v>54</v>
      </c>
      <c r="AX3635" t="str">
        <f t="shared" si="306"/>
        <v>FOR</v>
      </c>
      <c r="AY3635" t="s">
        <v>55</v>
      </c>
    </row>
    <row r="3636" spans="1:51">
      <c r="A3636">
        <v>101252</v>
      </c>
      <c r="B3636" t="s">
        <v>566</v>
      </c>
      <c r="C3636" t="str">
        <f>"00991131004"</f>
        <v>00991131004</v>
      </c>
      <c r="D3636" t="str">
        <f>""</f>
        <v/>
      </c>
      <c r="E3636" t="s">
        <v>52</v>
      </c>
      <c r="F3636">
        <v>2015</v>
      </c>
      <c r="G3636" t="s">
        <v>568</v>
      </c>
      <c r="H3636" s="1">
        <v>42307</v>
      </c>
      <c r="I3636" s="1">
        <v>42312</v>
      </c>
      <c r="J3636" s="1">
        <v>42310</v>
      </c>
      <c r="K3636" s="1">
        <v>42370</v>
      </c>
      <c r="L3636" s="7">
        <v>1465</v>
      </c>
      <c r="M3636" s="5">
        <v>-15</v>
      </c>
      <c r="N3636" s="7">
        <v>-21975</v>
      </c>
      <c r="O3636" s="2">
        <v>1465</v>
      </c>
      <c r="P3636">
        <v>-15</v>
      </c>
      <c r="Q3636" s="2">
        <v>-21975</v>
      </c>
      <c r="R3636">
        <v>322.3</v>
      </c>
      <c r="V3636" s="2">
        <v>1787.3</v>
      </c>
      <c r="W3636" s="2">
        <v>1787.3</v>
      </c>
      <c r="X3636" s="2">
        <v>1787.3</v>
      </c>
      <c r="Y3636" s="2">
        <v>1787.3</v>
      </c>
      <c r="Z3636" s="2">
        <v>1787.3</v>
      </c>
      <c r="AA3636" s="2">
        <v>1787.3</v>
      </c>
      <c r="AB3636" s="1">
        <v>42382</v>
      </c>
      <c r="AC3636" t="s">
        <v>53</v>
      </c>
      <c r="AD3636" t="s">
        <v>53</v>
      </c>
      <c r="AK3636">
        <v>0</v>
      </c>
      <c r="AM3636">
        <v>322.3</v>
      </c>
      <c r="AU3636" s="6">
        <v>42355</v>
      </c>
      <c r="AV3636" s="6">
        <v>42355</v>
      </c>
      <c r="AW3636" t="s">
        <v>54</v>
      </c>
      <c r="AX3636" t="str">
        <f t="shared" si="306"/>
        <v>FOR</v>
      </c>
      <c r="AY3636" t="s">
        <v>55</v>
      </c>
    </row>
    <row r="3637" spans="1:51">
      <c r="A3637">
        <v>101252</v>
      </c>
      <c r="B3637" t="s">
        <v>566</v>
      </c>
      <c r="C3637" t="str">
        <f>"00991131004"</f>
        <v>00991131004</v>
      </c>
      <c r="D3637" t="str">
        <f>""</f>
        <v/>
      </c>
      <c r="E3637" t="s">
        <v>52</v>
      </c>
      <c r="F3637">
        <v>2015</v>
      </c>
      <c r="G3637" t="s">
        <v>569</v>
      </c>
      <c r="H3637" s="1">
        <v>42297</v>
      </c>
      <c r="I3637" s="1">
        <v>42299</v>
      </c>
      <c r="J3637" s="1">
        <v>42297</v>
      </c>
      <c r="K3637" s="1">
        <v>42357</v>
      </c>
      <c r="L3637" s="7">
        <v>70.23</v>
      </c>
      <c r="M3637" s="5">
        <v>-2</v>
      </c>
      <c r="N3637" s="7">
        <v>-140.46</v>
      </c>
      <c r="O3637">
        <v>70.23</v>
      </c>
      <c r="P3637">
        <v>-2</v>
      </c>
      <c r="Q3637">
        <v>-140.46</v>
      </c>
      <c r="R3637">
        <v>15.45</v>
      </c>
      <c r="V3637">
        <v>85.68</v>
      </c>
      <c r="W3637">
        <v>85.68</v>
      </c>
      <c r="X3637">
        <v>85.68</v>
      </c>
      <c r="Y3637">
        <v>85.68</v>
      </c>
      <c r="Z3637">
        <v>85.68</v>
      </c>
      <c r="AA3637">
        <v>85.68</v>
      </c>
      <c r="AB3637" s="1">
        <v>42382</v>
      </c>
      <c r="AC3637" t="s">
        <v>53</v>
      </c>
      <c r="AD3637" t="s">
        <v>53</v>
      </c>
      <c r="AE3637">
        <v>15.45</v>
      </c>
      <c r="AK3637">
        <v>0</v>
      </c>
      <c r="AU3637" s="6">
        <v>42355</v>
      </c>
      <c r="AV3637" s="6">
        <v>42355</v>
      </c>
      <c r="AW3637" t="s">
        <v>54</v>
      </c>
      <c r="AX3637" t="str">
        <f t="shared" si="306"/>
        <v>FOR</v>
      </c>
      <c r="AY3637" t="s">
        <v>55</v>
      </c>
    </row>
    <row r="3638" spans="1:51" hidden="1">
      <c r="A3638">
        <v>101253</v>
      </c>
      <c r="B3638" t="s">
        <v>570</v>
      </c>
      <c r="C3638" t="str">
        <f>"00551370372"</f>
        <v>00551370372</v>
      </c>
      <c r="D3638" t="str">
        <f>"00551370372"</f>
        <v>00551370372</v>
      </c>
      <c r="E3638" t="s">
        <v>52</v>
      </c>
      <c r="F3638">
        <v>2014</v>
      </c>
      <c r="G3638">
        <v>14</v>
      </c>
      <c r="H3638" s="1">
        <v>41715</v>
      </c>
      <c r="I3638" s="1">
        <v>41751</v>
      </c>
      <c r="J3638" s="1">
        <v>41751</v>
      </c>
      <c r="K3638" s="1">
        <v>41841</v>
      </c>
      <c r="N3638" s="5"/>
      <c r="O3638">
        <v>338.96</v>
      </c>
      <c r="P3638">
        <v>318</v>
      </c>
      <c r="Q3638" s="2">
        <v>107789.28</v>
      </c>
      <c r="R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 s="1">
        <v>42382</v>
      </c>
      <c r="AC3638" t="s">
        <v>53</v>
      </c>
      <c r="AD3638" t="s">
        <v>53</v>
      </c>
      <c r="AK3638">
        <v>0</v>
      </c>
      <c r="AU3638" s="6">
        <v>42159</v>
      </c>
      <c r="AV3638" s="6">
        <v>42159</v>
      </c>
      <c r="AW3638" t="s">
        <v>54</v>
      </c>
      <c r="AX3638" t="str">
        <f t="shared" si="306"/>
        <v>FOR</v>
      </c>
      <c r="AY3638" t="s">
        <v>55</v>
      </c>
    </row>
    <row r="3639" spans="1:51" hidden="1">
      <c r="A3639">
        <v>101253</v>
      </c>
      <c r="B3639" t="s">
        <v>570</v>
      </c>
      <c r="C3639" t="str">
        <f>"00551370372"</f>
        <v>00551370372</v>
      </c>
      <c r="D3639" t="str">
        <f>"00551370372"</f>
        <v>00551370372</v>
      </c>
      <c r="E3639" t="s">
        <v>52</v>
      </c>
      <c r="F3639">
        <v>2014</v>
      </c>
      <c r="G3639">
        <v>512</v>
      </c>
      <c r="H3639" s="1">
        <v>41897</v>
      </c>
      <c r="I3639" s="1">
        <v>41946</v>
      </c>
      <c r="J3639" s="1">
        <v>41946</v>
      </c>
      <c r="K3639" s="1">
        <v>42006</v>
      </c>
      <c r="N3639" s="5"/>
      <c r="O3639">
        <v>988.2</v>
      </c>
      <c r="P3639">
        <v>153</v>
      </c>
      <c r="Q3639" s="2">
        <v>151194.6</v>
      </c>
      <c r="R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 s="1">
        <v>42382</v>
      </c>
      <c r="AC3639" t="s">
        <v>53</v>
      </c>
      <c r="AD3639" t="s">
        <v>53</v>
      </c>
      <c r="AK3639">
        <v>0</v>
      </c>
      <c r="AU3639" s="6">
        <v>42159</v>
      </c>
      <c r="AV3639" s="6">
        <v>42159</v>
      </c>
      <c r="AW3639" t="s">
        <v>54</v>
      </c>
      <c r="AX3639" t="str">
        <f t="shared" si="306"/>
        <v>FOR</v>
      </c>
      <c r="AY3639" t="s">
        <v>55</v>
      </c>
    </row>
    <row r="3640" spans="1:51" hidden="1">
      <c r="A3640">
        <v>101255</v>
      </c>
      <c r="B3640" t="s">
        <v>571</v>
      </c>
      <c r="C3640" t="str">
        <f>"03531371007"</f>
        <v>03531371007</v>
      </c>
      <c r="D3640" t="str">
        <f>"01248660464"</f>
        <v>01248660464</v>
      </c>
      <c r="E3640" t="s">
        <v>52</v>
      </c>
      <c r="F3640">
        <v>2014</v>
      </c>
      <c r="G3640">
        <v>228</v>
      </c>
      <c r="H3640" s="1">
        <v>41715</v>
      </c>
      <c r="I3640" s="1">
        <v>41731</v>
      </c>
      <c r="J3640" s="1">
        <v>41731</v>
      </c>
      <c r="K3640" s="1">
        <v>41821</v>
      </c>
      <c r="N3640" s="5"/>
      <c r="O3640" s="2">
        <v>2269.85</v>
      </c>
      <c r="P3640">
        <v>254</v>
      </c>
      <c r="Q3640" s="2">
        <v>576541.9</v>
      </c>
      <c r="R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 s="1">
        <v>42382</v>
      </c>
      <c r="AC3640" t="s">
        <v>53</v>
      </c>
      <c r="AD3640" t="s">
        <v>53</v>
      </c>
      <c r="AK3640">
        <v>0</v>
      </c>
      <c r="AU3640" s="6">
        <v>42075</v>
      </c>
      <c r="AV3640" s="6">
        <v>42075</v>
      </c>
      <c r="AW3640" t="s">
        <v>54</v>
      </c>
      <c r="AX3640" t="str">
        <f t="shared" si="306"/>
        <v>FOR</v>
      </c>
      <c r="AY3640" t="s">
        <v>55</v>
      </c>
    </row>
    <row r="3641" spans="1:51" hidden="1">
      <c r="A3641">
        <v>101255</v>
      </c>
      <c r="B3641" t="s">
        <v>571</v>
      </c>
      <c r="C3641" t="str">
        <f>"03531371007"</f>
        <v>03531371007</v>
      </c>
      <c r="D3641" t="str">
        <f>"01248660464"</f>
        <v>01248660464</v>
      </c>
      <c r="E3641" t="s">
        <v>52</v>
      </c>
      <c r="F3641">
        <v>2014</v>
      </c>
      <c r="G3641">
        <v>613</v>
      </c>
      <c r="H3641" s="1">
        <v>41759</v>
      </c>
      <c r="I3641" s="1">
        <v>41773</v>
      </c>
      <c r="J3641" s="1">
        <v>41773</v>
      </c>
      <c r="K3641" s="1">
        <v>41863</v>
      </c>
      <c r="N3641" s="5"/>
      <c r="O3641">
        <v>196.18</v>
      </c>
      <c r="P3641">
        <v>212</v>
      </c>
      <c r="Q3641" s="2">
        <v>41590.160000000003</v>
      </c>
      <c r="R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 s="1">
        <v>42382</v>
      </c>
      <c r="AC3641" t="s">
        <v>53</v>
      </c>
      <c r="AD3641" t="s">
        <v>53</v>
      </c>
      <c r="AK3641">
        <v>0</v>
      </c>
      <c r="AU3641" s="6">
        <v>42075</v>
      </c>
      <c r="AV3641" s="6">
        <v>42075</v>
      </c>
      <c r="AW3641" t="s">
        <v>54</v>
      </c>
      <c r="AX3641" t="str">
        <f t="shared" si="306"/>
        <v>FOR</v>
      </c>
      <c r="AY3641" t="s">
        <v>55</v>
      </c>
    </row>
    <row r="3642" spans="1:51" hidden="1">
      <c r="A3642">
        <v>101255</v>
      </c>
      <c r="B3642" t="s">
        <v>571</v>
      </c>
      <c r="C3642" t="str">
        <f>"03531371007"</f>
        <v>03531371007</v>
      </c>
      <c r="D3642" t="str">
        <f>"01248660464"</f>
        <v>01248660464</v>
      </c>
      <c r="E3642" t="s">
        <v>52</v>
      </c>
      <c r="F3642">
        <v>2014</v>
      </c>
      <c r="G3642">
        <v>661</v>
      </c>
      <c r="H3642" s="1">
        <v>41848</v>
      </c>
      <c r="I3642" s="1">
        <v>41876</v>
      </c>
      <c r="J3642" s="1">
        <v>41876</v>
      </c>
      <c r="K3642" s="1">
        <v>41966</v>
      </c>
      <c r="N3642" s="5"/>
      <c r="O3642" s="2">
        <v>2269.83</v>
      </c>
      <c r="P3642">
        <v>192</v>
      </c>
      <c r="Q3642" s="2">
        <v>435807.36</v>
      </c>
      <c r="R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 s="1">
        <v>42382</v>
      </c>
      <c r="AC3642" t="s">
        <v>53</v>
      </c>
      <c r="AD3642" t="s">
        <v>53</v>
      </c>
      <c r="AK3642">
        <v>0</v>
      </c>
      <c r="AU3642" s="6">
        <v>42158</v>
      </c>
      <c r="AV3642" s="6">
        <v>42158</v>
      </c>
      <c r="AW3642" t="s">
        <v>54</v>
      </c>
      <c r="AX3642" t="str">
        <f t="shared" si="306"/>
        <v>FOR</v>
      </c>
      <c r="AY3642" t="s">
        <v>55</v>
      </c>
    </row>
    <row r="3643" spans="1:51" hidden="1">
      <c r="A3643">
        <v>101255</v>
      </c>
      <c r="B3643" t="s">
        <v>571</v>
      </c>
      <c r="C3643" t="str">
        <f>"03531371007"</f>
        <v>03531371007</v>
      </c>
      <c r="D3643" t="str">
        <f>"01248660464"</f>
        <v>01248660464</v>
      </c>
      <c r="E3643" t="s">
        <v>52</v>
      </c>
      <c r="F3643">
        <v>2014</v>
      </c>
      <c r="G3643">
        <v>14001455</v>
      </c>
      <c r="H3643" s="1">
        <v>41983</v>
      </c>
      <c r="I3643" s="1">
        <v>42030</v>
      </c>
      <c r="J3643" s="1">
        <v>42030</v>
      </c>
      <c r="K3643" s="1">
        <v>42090</v>
      </c>
      <c r="N3643" s="5"/>
      <c r="O3643" s="2">
        <v>2389.3000000000002</v>
      </c>
      <c r="P3643">
        <v>136</v>
      </c>
      <c r="Q3643" s="2">
        <v>324944.8</v>
      </c>
      <c r="R3643">
        <v>0</v>
      </c>
      <c r="V3643">
        <v>0</v>
      </c>
      <c r="W3643">
        <v>0</v>
      </c>
      <c r="X3643">
        <v>0</v>
      </c>
      <c r="Y3643">
        <v>0</v>
      </c>
      <c r="Z3643" s="2">
        <v>2389.3000000000002</v>
      </c>
      <c r="AA3643">
        <v>0</v>
      </c>
      <c r="AB3643" s="1">
        <v>42382</v>
      </c>
      <c r="AC3643" t="s">
        <v>53</v>
      </c>
      <c r="AD3643" t="s">
        <v>53</v>
      </c>
      <c r="AK3643">
        <v>0</v>
      </c>
      <c r="AU3643" s="6">
        <v>42226</v>
      </c>
      <c r="AV3643" s="6">
        <v>42226</v>
      </c>
      <c r="AW3643" t="s">
        <v>54</v>
      </c>
      <c r="AX3643" t="str">
        <f t="shared" si="306"/>
        <v>FOR</v>
      </c>
      <c r="AY3643" t="s">
        <v>55</v>
      </c>
    </row>
    <row r="3644" spans="1:51" hidden="1">
      <c r="A3644">
        <v>101273</v>
      </c>
      <c r="B3644" t="s">
        <v>572</v>
      </c>
      <c r="C3644" t="str">
        <f t="shared" ref="C3644:D3654" si="310">"04927040636"</f>
        <v>04927040636</v>
      </c>
      <c r="D3644" t="str">
        <f t="shared" si="310"/>
        <v>04927040636</v>
      </c>
      <c r="E3644" t="s">
        <v>52</v>
      </c>
      <c r="F3644">
        <v>2013</v>
      </c>
      <c r="G3644">
        <v>149</v>
      </c>
      <c r="H3644" s="1">
        <v>41608</v>
      </c>
      <c r="I3644" s="1">
        <v>41635</v>
      </c>
      <c r="J3644" s="1">
        <v>41635</v>
      </c>
      <c r="K3644" s="1">
        <v>41725</v>
      </c>
      <c r="N3644" s="5"/>
      <c r="O3644" s="2">
        <v>7290.72</v>
      </c>
      <c r="P3644">
        <v>293</v>
      </c>
      <c r="Q3644" s="2">
        <v>2136180.96</v>
      </c>
      <c r="R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 s="1">
        <v>42382</v>
      </c>
      <c r="AC3644" t="s">
        <v>53</v>
      </c>
      <c r="AD3644" t="s">
        <v>53</v>
      </c>
      <c r="AK3644">
        <v>0</v>
      </c>
      <c r="AU3644" s="6">
        <v>42018</v>
      </c>
      <c r="AV3644" s="6">
        <v>42018</v>
      </c>
      <c r="AW3644" t="s">
        <v>54</v>
      </c>
      <c r="AX3644" t="str">
        <f t="shared" si="306"/>
        <v>FOR</v>
      </c>
      <c r="AY3644" t="s">
        <v>55</v>
      </c>
    </row>
    <row r="3645" spans="1:51" hidden="1">
      <c r="A3645">
        <v>101273</v>
      </c>
      <c r="B3645" t="s">
        <v>572</v>
      </c>
      <c r="C3645" t="str">
        <f t="shared" si="310"/>
        <v>04927040636</v>
      </c>
      <c r="D3645" t="str">
        <f t="shared" si="310"/>
        <v>04927040636</v>
      </c>
      <c r="E3645" t="s">
        <v>52</v>
      </c>
      <c r="F3645">
        <v>2014</v>
      </c>
      <c r="G3645">
        <v>9</v>
      </c>
      <c r="H3645" s="1">
        <v>41670</v>
      </c>
      <c r="I3645" s="1">
        <v>41689</v>
      </c>
      <c r="J3645" s="1">
        <v>41689</v>
      </c>
      <c r="K3645" s="1">
        <v>41779</v>
      </c>
      <c r="N3645" s="5"/>
      <c r="O3645" s="2">
        <v>5655.38</v>
      </c>
      <c r="P3645">
        <v>245</v>
      </c>
      <c r="Q3645" s="2">
        <v>1385568.1</v>
      </c>
      <c r="R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 s="1">
        <v>42382</v>
      </c>
      <c r="AC3645" t="s">
        <v>53</v>
      </c>
      <c r="AD3645" t="s">
        <v>53</v>
      </c>
      <c r="AK3645">
        <v>0</v>
      </c>
      <c r="AU3645" s="6">
        <v>42024</v>
      </c>
      <c r="AV3645" s="6">
        <v>42024</v>
      </c>
      <c r="AW3645" t="s">
        <v>54</v>
      </c>
      <c r="AX3645" t="str">
        <f t="shared" si="306"/>
        <v>FOR</v>
      </c>
      <c r="AY3645" t="s">
        <v>55</v>
      </c>
    </row>
    <row r="3646" spans="1:51" hidden="1">
      <c r="A3646">
        <v>101273</v>
      </c>
      <c r="B3646" t="s">
        <v>572</v>
      </c>
      <c r="C3646" t="str">
        <f t="shared" si="310"/>
        <v>04927040636</v>
      </c>
      <c r="D3646" t="str">
        <f t="shared" si="310"/>
        <v>04927040636</v>
      </c>
      <c r="E3646" t="s">
        <v>52</v>
      </c>
      <c r="F3646">
        <v>2014</v>
      </c>
      <c r="G3646">
        <v>30</v>
      </c>
      <c r="H3646" s="1">
        <v>41729</v>
      </c>
      <c r="I3646" s="1">
        <v>41743</v>
      </c>
      <c r="J3646" s="1">
        <v>41743</v>
      </c>
      <c r="K3646" s="1">
        <v>41833</v>
      </c>
      <c r="N3646" s="5"/>
      <c r="O3646" s="2">
        <v>4939.78</v>
      </c>
      <c r="P3646">
        <v>239</v>
      </c>
      <c r="Q3646" s="2">
        <v>1180607.42</v>
      </c>
      <c r="R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 s="1">
        <v>42382</v>
      </c>
      <c r="AC3646" t="s">
        <v>53</v>
      </c>
      <c r="AD3646" t="s">
        <v>53</v>
      </c>
      <c r="AK3646">
        <v>0</v>
      </c>
      <c r="AU3646" s="6">
        <v>42072</v>
      </c>
      <c r="AV3646" s="6">
        <v>42072</v>
      </c>
      <c r="AW3646" t="s">
        <v>54</v>
      </c>
      <c r="AX3646" t="str">
        <f t="shared" si="306"/>
        <v>FOR</v>
      </c>
      <c r="AY3646" t="s">
        <v>55</v>
      </c>
    </row>
    <row r="3647" spans="1:51" hidden="1">
      <c r="A3647">
        <v>101273</v>
      </c>
      <c r="B3647" t="s">
        <v>572</v>
      </c>
      <c r="C3647" t="str">
        <f t="shared" si="310"/>
        <v>04927040636</v>
      </c>
      <c r="D3647" t="str">
        <f t="shared" si="310"/>
        <v>04927040636</v>
      </c>
      <c r="E3647" t="s">
        <v>52</v>
      </c>
      <c r="F3647">
        <v>2014</v>
      </c>
      <c r="G3647">
        <v>33</v>
      </c>
      <c r="H3647" s="1">
        <v>41729</v>
      </c>
      <c r="I3647" s="1">
        <v>41743</v>
      </c>
      <c r="J3647" s="1">
        <v>41743</v>
      </c>
      <c r="K3647" s="1">
        <v>41833</v>
      </c>
      <c r="N3647" s="5"/>
      <c r="O3647" s="2">
        <v>5668.12</v>
      </c>
      <c r="P3647">
        <v>239</v>
      </c>
      <c r="Q3647" s="2">
        <v>1354680.68</v>
      </c>
      <c r="R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 s="1">
        <v>42382</v>
      </c>
      <c r="AC3647" t="s">
        <v>53</v>
      </c>
      <c r="AD3647" t="s">
        <v>53</v>
      </c>
      <c r="AK3647">
        <v>0</v>
      </c>
      <c r="AU3647" s="6">
        <v>42072</v>
      </c>
      <c r="AV3647" s="6">
        <v>42072</v>
      </c>
      <c r="AW3647" t="s">
        <v>54</v>
      </c>
      <c r="AX3647" t="str">
        <f t="shared" si="306"/>
        <v>FOR</v>
      </c>
      <c r="AY3647" t="s">
        <v>55</v>
      </c>
    </row>
    <row r="3648" spans="1:51" hidden="1">
      <c r="A3648">
        <v>101273</v>
      </c>
      <c r="B3648" t="s">
        <v>572</v>
      </c>
      <c r="C3648" t="str">
        <f t="shared" si="310"/>
        <v>04927040636</v>
      </c>
      <c r="D3648" t="str">
        <f t="shared" si="310"/>
        <v>04927040636</v>
      </c>
      <c r="E3648" t="s">
        <v>52</v>
      </c>
      <c r="F3648">
        <v>2014</v>
      </c>
      <c r="G3648">
        <v>59</v>
      </c>
      <c r="H3648" s="1">
        <v>41789</v>
      </c>
      <c r="I3648" s="1">
        <v>41800</v>
      </c>
      <c r="J3648" s="1">
        <v>41800</v>
      </c>
      <c r="K3648" s="1">
        <v>41890</v>
      </c>
      <c r="N3648" s="5"/>
      <c r="O3648" s="2">
        <v>7969.04</v>
      </c>
      <c r="P3648">
        <v>240</v>
      </c>
      <c r="Q3648" s="2">
        <v>1912569.6</v>
      </c>
      <c r="R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 s="1">
        <v>42382</v>
      </c>
      <c r="AC3648" t="s">
        <v>53</v>
      </c>
      <c r="AD3648" t="s">
        <v>53</v>
      </c>
      <c r="AK3648">
        <v>0</v>
      </c>
      <c r="AU3648" s="6">
        <v>42130</v>
      </c>
      <c r="AV3648" s="6">
        <v>42130</v>
      </c>
      <c r="AW3648" t="s">
        <v>54</v>
      </c>
      <c r="AX3648" t="str">
        <f t="shared" si="306"/>
        <v>FOR</v>
      </c>
      <c r="AY3648" t="s">
        <v>55</v>
      </c>
    </row>
    <row r="3649" spans="1:51" hidden="1">
      <c r="A3649">
        <v>101273</v>
      </c>
      <c r="B3649" t="s">
        <v>572</v>
      </c>
      <c r="C3649" t="str">
        <f t="shared" si="310"/>
        <v>04927040636</v>
      </c>
      <c r="D3649" t="str">
        <f t="shared" si="310"/>
        <v>04927040636</v>
      </c>
      <c r="E3649" t="s">
        <v>52</v>
      </c>
      <c r="F3649">
        <v>2014</v>
      </c>
      <c r="G3649">
        <v>73</v>
      </c>
      <c r="H3649" s="1">
        <v>41820</v>
      </c>
      <c r="I3649" s="1">
        <v>41849</v>
      </c>
      <c r="J3649" s="1">
        <v>41849</v>
      </c>
      <c r="K3649" s="1">
        <v>41939</v>
      </c>
      <c r="N3649" s="5"/>
      <c r="O3649" s="2">
        <v>7290.72</v>
      </c>
      <c r="P3649">
        <v>191</v>
      </c>
      <c r="Q3649" s="2">
        <v>1392527.52</v>
      </c>
      <c r="R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 s="1">
        <v>42382</v>
      </c>
      <c r="AC3649" t="s">
        <v>53</v>
      </c>
      <c r="AD3649" t="s">
        <v>53</v>
      </c>
      <c r="AK3649">
        <v>0</v>
      </c>
      <c r="AU3649" s="6">
        <v>42130</v>
      </c>
      <c r="AV3649" s="6">
        <v>42130</v>
      </c>
      <c r="AW3649" t="s">
        <v>54</v>
      </c>
      <c r="AX3649" t="str">
        <f t="shared" si="306"/>
        <v>FOR</v>
      </c>
      <c r="AY3649" t="s">
        <v>55</v>
      </c>
    </row>
    <row r="3650" spans="1:51" hidden="1">
      <c r="A3650">
        <v>101273</v>
      </c>
      <c r="B3650" t="s">
        <v>572</v>
      </c>
      <c r="C3650" t="str">
        <f t="shared" si="310"/>
        <v>04927040636</v>
      </c>
      <c r="D3650" t="str">
        <f t="shared" si="310"/>
        <v>04927040636</v>
      </c>
      <c r="E3650" t="s">
        <v>52</v>
      </c>
      <c r="F3650">
        <v>2014</v>
      </c>
      <c r="G3650">
        <v>87</v>
      </c>
      <c r="H3650" s="1">
        <v>41851</v>
      </c>
      <c r="I3650" s="1">
        <v>42080</v>
      </c>
      <c r="J3650" s="1">
        <v>42080</v>
      </c>
      <c r="K3650" s="1">
        <v>42140</v>
      </c>
      <c r="N3650" s="5"/>
      <c r="O3650" s="2">
        <v>3185.49</v>
      </c>
      <c r="P3650">
        <v>51</v>
      </c>
      <c r="Q3650" s="2">
        <v>162459.99</v>
      </c>
      <c r="R3650">
        <v>0</v>
      </c>
      <c r="V3650">
        <v>0</v>
      </c>
      <c r="W3650">
        <v>0</v>
      </c>
      <c r="X3650">
        <v>0</v>
      </c>
      <c r="Y3650">
        <v>0</v>
      </c>
      <c r="Z3650" s="2">
        <v>3185.49</v>
      </c>
      <c r="AA3650">
        <v>0</v>
      </c>
      <c r="AB3650" s="1">
        <v>42382</v>
      </c>
      <c r="AC3650" t="s">
        <v>53</v>
      </c>
      <c r="AD3650" t="s">
        <v>53</v>
      </c>
      <c r="AK3650">
        <v>0</v>
      </c>
      <c r="AU3650" s="6">
        <v>42191</v>
      </c>
      <c r="AV3650" s="6">
        <v>42191</v>
      </c>
      <c r="AW3650" t="s">
        <v>54</v>
      </c>
      <c r="AX3650" t="str">
        <f t="shared" si="306"/>
        <v>FOR</v>
      </c>
      <c r="AY3650" t="s">
        <v>55</v>
      </c>
    </row>
    <row r="3651" spans="1:51">
      <c r="A3651">
        <v>101273</v>
      </c>
      <c r="B3651" t="s">
        <v>572</v>
      </c>
      <c r="C3651" t="str">
        <f t="shared" si="310"/>
        <v>04927040636</v>
      </c>
      <c r="D3651" t="str">
        <f t="shared" si="310"/>
        <v>04927040636</v>
      </c>
      <c r="E3651" t="s">
        <v>52</v>
      </c>
      <c r="F3651">
        <v>2014</v>
      </c>
      <c r="G3651">
        <v>126</v>
      </c>
      <c r="H3651" s="1">
        <v>41942</v>
      </c>
      <c r="I3651" s="1">
        <v>41964</v>
      </c>
      <c r="J3651" s="1">
        <v>41964</v>
      </c>
      <c r="K3651" s="1">
        <v>42024</v>
      </c>
      <c r="L3651" s="7">
        <v>8754.7199999999993</v>
      </c>
      <c r="M3651" s="5">
        <v>254</v>
      </c>
      <c r="N3651" s="7">
        <v>2223698.88</v>
      </c>
      <c r="O3651" s="2">
        <v>8754.7199999999993</v>
      </c>
      <c r="P3651">
        <v>254</v>
      </c>
      <c r="Q3651" s="2">
        <v>2223698.88</v>
      </c>
      <c r="R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 s="1">
        <v>42382</v>
      </c>
      <c r="AC3651" t="s">
        <v>53</v>
      </c>
      <c r="AD3651" t="s">
        <v>53</v>
      </c>
      <c r="AK3651">
        <v>0</v>
      </c>
      <c r="AU3651" s="6">
        <v>42278</v>
      </c>
      <c r="AV3651" s="6">
        <v>42278</v>
      </c>
      <c r="AW3651" t="s">
        <v>54</v>
      </c>
      <c r="AX3651" t="str">
        <f t="shared" ref="AX3651:AX3714" si="311">"FOR"</f>
        <v>FOR</v>
      </c>
      <c r="AY3651" t="s">
        <v>55</v>
      </c>
    </row>
    <row r="3652" spans="1:51">
      <c r="A3652">
        <v>101273</v>
      </c>
      <c r="B3652" t="s">
        <v>572</v>
      </c>
      <c r="C3652" t="str">
        <f t="shared" si="310"/>
        <v>04927040636</v>
      </c>
      <c r="D3652" t="str">
        <f t="shared" si="310"/>
        <v>04927040636</v>
      </c>
      <c r="E3652" t="s">
        <v>52</v>
      </c>
      <c r="F3652">
        <v>2014</v>
      </c>
      <c r="G3652">
        <v>136</v>
      </c>
      <c r="H3652" s="1">
        <v>41973</v>
      </c>
      <c r="I3652" s="1">
        <v>42075</v>
      </c>
      <c r="J3652" s="1">
        <v>42075</v>
      </c>
      <c r="K3652" s="1">
        <v>42135</v>
      </c>
      <c r="L3652" s="7">
        <v>2469.89</v>
      </c>
      <c r="M3652" s="5">
        <v>170</v>
      </c>
      <c r="N3652" s="7">
        <v>419881.3</v>
      </c>
      <c r="O3652" s="2">
        <v>2469.89</v>
      </c>
      <c r="P3652">
        <v>170</v>
      </c>
      <c r="Q3652" s="2">
        <v>419881.3</v>
      </c>
      <c r="R3652">
        <v>0</v>
      </c>
      <c r="V3652">
        <v>0</v>
      </c>
      <c r="W3652">
        <v>0</v>
      </c>
      <c r="X3652">
        <v>0</v>
      </c>
      <c r="Y3652">
        <v>0</v>
      </c>
      <c r="Z3652" s="2">
        <v>2469.89</v>
      </c>
      <c r="AA3652">
        <v>0</v>
      </c>
      <c r="AB3652" s="1">
        <v>42382</v>
      </c>
      <c r="AC3652" t="s">
        <v>53</v>
      </c>
      <c r="AD3652" t="s">
        <v>53</v>
      </c>
      <c r="AK3652">
        <v>0</v>
      </c>
      <c r="AU3652" s="6">
        <v>42305</v>
      </c>
      <c r="AV3652" s="6">
        <v>42305</v>
      </c>
      <c r="AW3652" t="s">
        <v>54</v>
      </c>
      <c r="AX3652" t="str">
        <f t="shared" si="311"/>
        <v>FOR</v>
      </c>
      <c r="AY3652" t="s">
        <v>55</v>
      </c>
    </row>
    <row r="3653" spans="1:51">
      <c r="A3653">
        <v>101273</v>
      </c>
      <c r="B3653" t="s">
        <v>572</v>
      </c>
      <c r="C3653" t="str">
        <f t="shared" si="310"/>
        <v>04927040636</v>
      </c>
      <c r="D3653" t="str">
        <f t="shared" si="310"/>
        <v>04927040636</v>
      </c>
      <c r="E3653" t="s">
        <v>52</v>
      </c>
      <c r="F3653">
        <v>2014</v>
      </c>
      <c r="G3653">
        <v>138</v>
      </c>
      <c r="H3653" s="1">
        <v>41973</v>
      </c>
      <c r="I3653" s="1">
        <v>42004</v>
      </c>
      <c r="J3653" s="1">
        <v>42004</v>
      </c>
      <c r="K3653" s="1">
        <v>42064</v>
      </c>
      <c r="L3653" s="7">
        <v>7290.72</v>
      </c>
      <c r="M3653" s="5">
        <v>214</v>
      </c>
      <c r="N3653" s="7">
        <v>1560214.08</v>
      </c>
      <c r="O3653" s="2">
        <v>7290.72</v>
      </c>
      <c r="P3653">
        <v>214</v>
      </c>
      <c r="Q3653" s="2">
        <v>1560214.08</v>
      </c>
      <c r="R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 s="1">
        <v>42382</v>
      </c>
      <c r="AC3653" t="s">
        <v>53</v>
      </c>
      <c r="AD3653" t="s">
        <v>53</v>
      </c>
      <c r="AK3653">
        <v>0</v>
      </c>
      <c r="AU3653" s="6">
        <v>42278</v>
      </c>
      <c r="AV3653" s="6">
        <v>42278</v>
      </c>
      <c r="AW3653" t="s">
        <v>54</v>
      </c>
      <c r="AX3653" t="str">
        <f t="shared" si="311"/>
        <v>FOR</v>
      </c>
      <c r="AY3653" t="s">
        <v>55</v>
      </c>
    </row>
    <row r="3654" spans="1:51">
      <c r="A3654">
        <v>101273</v>
      </c>
      <c r="B3654" t="s">
        <v>572</v>
      </c>
      <c r="C3654" t="str">
        <f t="shared" si="310"/>
        <v>04927040636</v>
      </c>
      <c r="D3654" t="str">
        <f t="shared" si="310"/>
        <v>04927040636</v>
      </c>
      <c r="E3654" t="s">
        <v>52</v>
      </c>
      <c r="F3654">
        <v>2015</v>
      </c>
      <c r="G3654">
        <v>10</v>
      </c>
      <c r="H3654" s="1">
        <v>42035</v>
      </c>
      <c r="I3654" s="1">
        <v>42048</v>
      </c>
      <c r="J3654" s="1">
        <v>42048</v>
      </c>
      <c r="K3654" s="1">
        <v>42108</v>
      </c>
      <c r="L3654" s="7">
        <v>2611.06</v>
      </c>
      <c r="M3654" s="5">
        <v>247</v>
      </c>
      <c r="N3654" s="7">
        <v>644931.81999999995</v>
      </c>
      <c r="O3654" s="2">
        <v>2611.06</v>
      </c>
      <c r="P3654">
        <v>247</v>
      </c>
      <c r="Q3654" s="2">
        <v>644931.81999999995</v>
      </c>
      <c r="R3654">
        <v>574.42999999999995</v>
      </c>
      <c r="V3654">
        <v>0</v>
      </c>
      <c r="W3654">
        <v>0</v>
      </c>
      <c r="X3654">
        <v>0</v>
      </c>
      <c r="Y3654" s="2">
        <v>3185.49</v>
      </c>
      <c r="Z3654" s="2">
        <v>3185.49</v>
      </c>
      <c r="AA3654" s="2">
        <v>3185.49</v>
      </c>
      <c r="AB3654" s="1">
        <v>42382</v>
      </c>
      <c r="AC3654" t="s">
        <v>53</v>
      </c>
      <c r="AD3654" t="s">
        <v>53</v>
      </c>
      <c r="AK3654">
        <v>574.42999999999995</v>
      </c>
      <c r="AU3654" s="6">
        <v>42355</v>
      </c>
      <c r="AV3654" s="6">
        <v>42355</v>
      </c>
      <c r="AW3654" t="s">
        <v>54</v>
      </c>
      <c r="AX3654" t="str">
        <f t="shared" si="311"/>
        <v>FOR</v>
      </c>
      <c r="AY3654" t="s">
        <v>55</v>
      </c>
    </row>
    <row r="3655" spans="1:51" hidden="1">
      <c r="A3655">
        <v>101276</v>
      </c>
      <c r="B3655" t="s">
        <v>573</v>
      </c>
      <c r="C3655" t="str">
        <f t="shared" ref="C3655:C3665" si="312">"00691781207"</f>
        <v>00691781207</v>
      </c>
      <c r="D3655" t="str">
        <f t="shared" ref="D3655:D3665" si="313">"04029180371"</f>
        <v>04029180371</v>
      </c>
      <c r="E3655" t="s">
        <v>52</v>
      </c>
      <c r="F3655">
        <v>2013</v>
      </c>
      <c r="G3655">
        <v>13031590</v>
      </c>
      <c r="H3655" s="1">
        <v>41621</v>
      </c>
      <c r="I3655" s="1">
        <v>41625</v>
      </c>
      <c r="J3655" s="1">
        <v>41625</v>
      </c>
      <c r="K3655" s="1">
        <v>41715</v>
      </c>
      <c r="N3655" s="5"/>
      <c r="O3655" s="2">
        <v>1610.4</v>
      </c>
      <c r="P3655">
        <v>441</v>
      </c>
      <c r="Q3655" s="2">
        <v>710186.4</v>
      </c>
      <c r="R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 s="1">
        <v>42382</v>
      </c>
      <c r="AC3655" t="s">
        <v>53</v>
      </c>
      <c r="AD3655" t="s">
        <v>53</v>
      </c>
      <c r="AK3655">
        <v>0</v>
      </c>
      <c r="AU3655" s="6">
        <v>42156</v>
      </c>
      <c r="AV3655" s="6">
        <v>42156</v>
      </c>
      <c r="AW3655" t="s">
        <v>54</v>
      </c>
      <c r="AX3655" t="str">
        <f t="shared" si="311"/>
        <v>FOR</v>
      </c>
      <c r="AY3655" t="s">
        <v>55</v>
      </c>
    </row>
    <row r="3656" spans="1:51" hidden="1">
      <c r="A3656">
        <v>101276</v>
      </c>
      <c r="B3656" t="s">
        <v>573</v>
      </c>
      <c r="C3656" t="str">
        <f t="shared" si="312"/>
        <v>00691781207</v>
      </c>
      <c r="D3656" t="str">
        <f t="shared" si="313"/>
        <v>04029180371</v>
      </c>
      <c r="E3656" t="s">
        <v>52</v>
      </c>
      <c r="F3656">
        <v>2014</v>
      </c>
      <c r="G3656">
        <v>14007873</v>
      </c>
      <c r="H3656" s="1">
        <v>41712</v>
      </c>
      <c r="I3656" s="1">
        <v>41715</v>
      </c>
      <c r="J3656" s="1">
        <v>41715</v>
      </c>
      <c r="K3656" s="1">
        <v>41805</v>
      </c>
      <c r="N3656" s="5"/>
      <c r="O3656" s="2">
        <v>1073.5999999999999</v>
      </c>
      <c r="P3656">
        <v>351</v>
      </c>
      <c r="Q3656" s="2">
        <v>376833.6</v>
      </c>
      <c r="R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 s="1">
        <v>42382</v>
      </c>
      <c r="AC3656" t="s">
        <v>53</v>
      </c>
      <c r="AD3656" t="s">
        <v>53</v>
      </c>
      <c r="AK3656">
        <v>0</v>
      </c>
      <c r="AU3656" s="6">
        <v>42156</v>
      </c>
      <c r="AV3656" s="6">
        <v>42156</v>
      </c>
      <c r="AW3656" t="s">
        <v>54</v>
      </c>
      <c r="AX3656" t="str">
        <f t="shared" si="311"/>
        <v>FOR</v>
      </c>
      <c r="AY3656" t="s">
        <v>55</v>
      </c>
    </row>
    <row r="3657" spans="1:51" hidden="1">
      <c r="A3657">
        <v>101276</v>
      </c>
      <c r="B3657" t="s">
        <v>573</v>
      </c>
      <c r="C3657" t="str">
        <f t="shared" si="312"/>
        <v>00691781207</v>
      </c>
      <c r="D3657" t="str">
        <f t="shared" si="313"/>
        <v>04029180371</v>
      </c>
      <c r="E3657" t="s">
        <v>52</v>
      </c>
      <c r="F3657">
        <v>2014</v>
      </c>
      <c r="G3657">
        <v>14012038</v>
      </c>
      <c r="H3657" s="1">
        <v>41744</v>
      </c>
      <c r="I3657" s="1">
        <v>41746</v>
      </c>
      <c r="J3657" s="1">
        <v>41746</v>
      </c>
      <c r="K3657" s="1">
        <v>41836</v>
      </c>
      <c r="N3657" s="5"/>
      <c r="O3657">
        <v>780.8</v>
      </c>
      <c r="P3657">
        <v>320</v>
      </c>
      <c r="Q3657" s="2">
        <v>249856</v>
      </c>
      <c r="R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 s="1">
        <v>42382</v>
      </c>
      <c r="AC3657" t="s">
        <v>53</v>
      </c>
      <c r="AD3657" t="s">
        <v>53</v>
      </c>
      <c r="AK3657">
        <v>0</v>
      </c>
      <c r="AU3657" s="6">
        <v>42156</v>
      </c>
      <c r="AV3657" s="6">
        <v>42156</v>
      </c>
      <c r="AW3657" t="s">
        <v>54</v>
      </c>
      <c r="AX3657" t="str">
        <f t="shared" si="311"/>
        <v>FOR</v>
      </c>
      <c r="AY3657" t="s">
        <v>55</v>
      </c>
    </row>
    <row r="3658" spans="1:51" hidden="1">
      <c r="A3658">
        <v>101276</v>
      </c>
      <c r="B3658" t="s">
        <v>573</v>
      </c>
      <c r="C3658" t="str">
        <f t="shared" si="312"/>
        <v>00691781207</v>
      </c>
      <c r="D3658" t="str">
        <f t="shared" si="313"/>
        <v>04029180371</v>
      </c>
      <c r="E3658" t="s">
        <v>52</v>
      </c>
      <c r="F3658">
        <v>2014</v>
      </c>
      <c r="G3658">
        <v>14015972</v>
      </c>
      <c r="H3658" s="1">
        <v>41774</v>
      </c>
      <c r="I3658" s="1">
        <v>41778</v>
      </c>
      <c r="J3658" s="1">
        <v>41778</v>
      </c>
      <c r="K3658" s="1">
        <v>41868</v>
      </c>
      <c r="N3658" s="5"/>
      <c r="O3658">
        <v>366</v>
      </c>
      <c r="P3658">
        <v>288</v>
      </c>
      <c r="Q3658" s="2">
        <v>105408</v>
      </c>
      <c r="R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 s="1">
        <v>42382</v>
      </c>
      <c r="AC3658" t="s">
        <v>53</v>
      </c>
      <c r="AD3658" t="s">
        <v>53</v>
      </c>
      <c r="AK3658">
        <v>0</v>
      </c>
      <c r="AU3658" s="6">
        <v>42156</v>
      </c>
      <c r="AV3658" s="6">
        <v>42156</v>
      </c>
      <c r="AW3658" t="s">
        <v>54</v>
      </c>
      <c r="AX3658" t="str">
        <f t="shared" si="311"/>
        <v>FOR</v>
      </c>
      <c r="AY3658" t="s">
        <v>55</v>
      </c>
    </row>
    <row r="3659" spans="1:51" hidden="1">
      <c r="A3659">
        <v>101276</v>
      </c>
      <c r="B3659" t="s">
        <v>573</v>
      </c>
      <c r="C3659" t="str">
        <f t="shared" si="312"/>
        <v>00691781207</v>
      </c>
      <c r="D3659" t="str">
        <f t="shared" si="313"/>
        <v>04029180371</v>
      </c>
      <c r="E3659" t="s">
        <v>52</v>
      </c>
      <c r="F3659">
        <v>2014</v>
      </c>
      <c r="G3659">
        <v>14015973</v>
      </c>
      <c r="H3659" s="1">
        <v>41774</v>
      </c>
      <c r="I3659" s="1">
        <v>41778</v>
      </c>
      <c r="J3659" s="1">
        <v>41778</v>
      </c>
      <c r="K3659" s="1">
        <v>41868</v>
      </c>
      <c r="N3659" s="5"/>
      <c r="O3659">
        <v>536.79999999999995</v>
      </c>
      <c r="P3659">
        <v>288</v>
      </c>
      <c r="Q3659" s="2">
        <v>154598.39999999999</v>
      </c>
      <c r="R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 s="1">
        <v>42382</v>
      </c>
      <c r="AC3659" t="s">
        <v>53</v>
      </c>
      <c r="AD3659" t="s">
        <v>53</v>
      </c>
      <c r="AK3659">
        <v>0</v>
      </c>
      <c r="AU3659" s="6">
        <v>42156</v>
      </c>
      <c r="AV3659" s="6">
        <v>42156</v>
      </c>
      <c r="AW3659" t="s">
        <v>54</v>
      </c>
      <c r="AX3659" t="str">
        <f t="shared" si="311"/>
        <v>FOR</v>
      </c>
      <c r="AY3659" t="s">
        <v>55</v>
      </c>
    </row>
    <row r="3660" spans="1:51" hidden="1">
      <c r="A3660">
        <v>101276</v>
      </c>
      <c r="B3660" t="s">
        <v>573</v>
      </c>
      <c r="C3660" t="str">
        <f t="shared" si="312"/>
        <v>00691781207</v>
      </c>
      <c r="D3660" t="str">
        <f t="shared" si="313"/>
        <v>04029180371</v>
      </c>
      <c r="E3660" t="s">
        <v>52</v>
      </c>
      <c r="F3660">
        <v>2014</v>
      </c>
      <c r="G3660">
        <v>14020353</v>
      </c>
      <c r="H3660" s="1">
        <v>41803</v>
      </c>
      <c r="I3660" s="1">
        <v>41810</v>
      </c>
      <c r="J3660" s="1">
        <v>41810</v>
      </c>
      <c r="K3660" s="1">
        <v>41900</v>
      </c>
      <c r="N3660" s="5"/>
      <c r="O3660" s="2">
        <v>1073.5999999999999</v>
      </c>
      <c r="P3660">
        <v>256</v>
      </c>
      <c r="Q3660" s="2">
        <v>274841.59999999998</v>
      </c>
      <c r="R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 s="1">
        <v>42382</v>
      </c>
      <c r="AC3660" t="s">
        <v>53</v>
      </c>
      <c r="AD3660" t="s">
        <v>53</v>
      </c>
      <c r="AK3660">
        <v>0</v>
      </c>
      <c r="AU3660" s="6">
        <v>42156</v>
      </c>
      <c r="AV3660" s="6">
        <v>42156</v>
      </c>
      <c r="AW3660" t="s">
        <v>54</v>
      </c>
      <c r="AX3660" t="str">
        <f t="shared" si="311"/>
        <v>FOR</v>
      </c>
      <c r="AY3660" t="s">
        <v>55</v>
      </c>
    </row>
    <row r="3661" spans="1:51" hidden="1">
      <c r="A3661">
        <v>101276</v>
      </c>
      <c r="B3661" t="s">
        <v>573</v>
      </c>
      <c r="C3661" t="str">
        <f t="shared" si="312"/>
        <v>00691781207</v>
      </c>
      <c r="D3661" t="str">
        <f t="shared" si="313"/>
        <v>04029180371</v>
      </c>
      <c r="E3661" t="s">
        <v>52</v>
      </c>
      <c r="F3661">
        <v>2014</v>
      </c>
      <c r="G3661">
        <v>14024493</v>
      </c>
      <c r="H3661" s="1">
        <v>41835</v>
      </c>
      <c r="I3661" s="1">
        <v>41920</v>
      </c>
      <c r="J3661" s="1">
        <v>41920</v>
      </c>
      <c r="K3661" s="1">
        <v>42010</v>
      </c>
      <c r="N3661" s="5"/>
      <c r="O3661" s="2">
        <v>2440</v>
      </c>
      <c r="P3661">
        <v>181</v>
      </c>
      <c r="Q3661" s="2">
        <v>441640</v>
      </c>
      <c r="R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 s="1">
        <v>42382</v>
      </c>
      <c r="AC3661" t="s">
        <v>53</v>
      </c>
      <c r="AD3661" t="s">
        <v>53</v>
      </c>
      <c r="AK3661">
        <v>0</v>
      </c>
      <c r="AU3661" s="6">
        <v>42191</v>
      </c>
      <c r="AV3661" s="6">
        <v>42191</v>
      </c>
      <c r="AW3661" t="s">
        <v>54</v>
      </c>
      <c r="AX3661" t="str">
        <f t="shared" si="311"/>
        <v>FOR</v>
      </c>
      <c r="AY3661" t="s">
        <v>55</v>
      </c>
    </row>
    <row r="3662" spans="1:51" hidden="1">
      <c r="A3662">
        <v>101276</v>
      </c>
      <c r="B3662" t="s">
        <v>573</v>
      </c>
      <c r="C3662" t="str">
        <f t="shared" si="312"/>
        <v>00691781207</v>
      </c>
      <c r="D3662" t="str">
        <f t="shared" si="313"/>
        <v>04029180371</v>
      </c>
      <c r="E3662" t="s">
        <v>52</v>
      </c>
      <c r="F3662">
        <v>2014</v>
      </c>
      <c r="G3662">
        <v>14026622</v>
      </c>
      <c r="H3662" s="1">
        <v>41851</v>
      </c>
      <c r="I3662" s="1">
        <v>41920</v>
      </c>
      <c r="J3662" s="1">
        <v>41920</v>
      </c>
      <c r="K3662" s="1">
        <v>42010</v>
      </c>
      <c r="N3662" s="5"/>
      <c r="O3662" s="2">
        <v>1342</v>
      </c>
      <c r="P3662">
        <v>181</v>
      </c>
      <c r="Q3662" s="2">
        <v>242902</v>
      </c>
      <c r="R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 s="1">
        <v>42382</v>
      </c>
      <c r="AC3662" t="s">
        <v>53</v>
      </c>
      <c r="AD3662" t="s">
        <v>53</v>
      </c>
      <c r="AK3662">
        <v>0</v>
      </c>
      <c r="AU3662" s="6">
        <v>42191</v>
      </c>
      <c r="AV3662" s="6">
        <v>42191</v>
      </c>
      <c r="AW3662" t="s">
        <v>54</v>
      </c>
      <c r="AX3662" t="str">
        <f t="shared" si="311"/>
        <v>FOR</v>
      </c>
      <c r="AY3662" t="s">
        <v>55</v>
      </c>
    </row>
    <row r="3663" spans="1:51" hidden="1">
      <c r="A3663">
        <v>101276</v>
      </c>
      <c r="B3663" t="s">
        <v>573</v>
      </c>
      <c r="C3663" t="str">
        <f t="shared" si="312"/>
        <v>00691781207</v>
      </c>
      <c r="D3663" t="str">
        <f t="shared" si="313"/>
        <v>04029180371</v>
      </c>
      <c r="E3663" t="s">
        <v>52</v>
      </c>
      <c r="F3663">
        <v>2014</v>
      </c>
      <c r="G3663">
        <v>14026623</v>
      </c>
      <c r="H3663" s="1">
        <v>41851</v>
      </c>
      <c r="I3663" s="1">
        <v>41920</v>
      </c>
      <c r="J3663" s="1">
        <v>41920</v>
      </c>
      <c r="K3663" s="1">
        <v>42010</v>
      </c>
      <c r="N3663" s="5"/>
      <c r="O3663">
        <v>380.64</v>
      </c>
      <c r="P3663">
        <v>181</v>
      </c>
      <c r="Q3663" s="2">
        <v>68895.839999999997</v>
      </c>
      <c r="R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 s="1">
        <v>42382</v>
      </c>
      <c r="AC3663" t="s">
        <v>53</v>
      </c>
      <c r="AD3663" t="s">
        <v>53</v>
      </c>
      <c r="AK3663">
        <v>0</v>
      </c>
      <c r="AU3663" s="6">
        <v>42191</v>
      </c>
      <c r="AV3663" s="6">
        <v>42191</v>
      </c>
      <c r="AW3663" t="s">
        <v>54</v>
      </c>
      <c r="AX3663" t="str">
        <f t="shared" si="311"/>
        <v>FOR</v>
      </c>
      <c r="AY3663" t="s">
        <v>55</v>
      </c>
    </row>
    <row r="3664" spans="1:51" hidden="1">
      <c r="A3664">
        <v>101276</v>
      </c>
      <c r="B3664" t="s">
        <v>573</v>
      </c>
      <c r="C3664" t="str">
        <f t="shared" si="312"/>
        <v>00691781207</v>
      </c>
      <c r="D3664" t="str">
        <f t="shared" si="313"/>
        <v>04029180371</v>
      </c>
      <c r="E3664" t="s">
        <v>52</v>
      </c>
      <c r="F3664">
        <v>2014</v>
      </c>
      <c r="G3664">
        <v>14033214</v>
      </c>
      <c r="H3664" s="1">
        <v>41911</v>
      </c>
      <c r="I3664" s="1">
        <v>41920</v>
      </c>
      <c r="J3664" s="1">
        <v>41920</v>
      </c>
      <c r="K3664" s="1">
        <v>42010</v>
      </c>
      <c r="N3664" s="5"/>
      <c r="O3664" s="2">
        <v>1073.5999999999999</v>
      </c>
      <c r="P3664">
        <v>239</v>
      </c>
      <c r="Q3664" s="2">
        <v>256590.4</v>
      </c>
      <c r="R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 s="1">
        <v>42382</v>
      </c>
      <c r="AC3664" t="s">
        <v>53</v>
      </c>
      <c r="AD3664" t="s">
        <v>53</v>
      </c>
      <c r="AK3664">
        <v>0</v>
      </c>
      <c r="AU3664" s="6">
        <v>42249</v>
      </c>
      <c r="AV3664" s="6">
        <v>42249</v>
      </c>
      <c r="AW3664" t="s">
        <v>54</v>
      </c>
      <c r="AX3664" t="str">
        <f t="shared" si="311"/>
        <v>FOR</v>
      </c>
      <c r="AY3664" t="s">
        <v>55</v>
      </c>
    </row>
    <row r="3665" spans="1:51">
      <c r="A3665">
        <v>101276</v>
      </c>
      <c r="B3665" t="s">
        <v>573</v>
      </c>
      <c r="C3665" t="str">
        <f t="shared" si="312"/>
        <v>00691781207</v>
      </c>
      <c r="D3665" t="str">
        <f t="shared" si="313"/>
        <v>04029180371</v>
      </c>
      <c r="E3665" t="s">
        <v>52</v>
      </c>
      <c r="F3665">
        <v>2015</v>
      </c>
      <c r="G3665">
        <v>15002393</v>
      </c>
      <c r="H3665" s="1">
        <v>42034</v>
      </c>
      <c r="I3665" s="1">
        <v>42081</v>
      </c>
      <c r="J3665" s="1">
        <v>42081</v>
      </c>
      <c r="K3665" s="1">
        <v>42141</v>
      </c>
      <c r="L3665" s="7">
        <v>1100</v>
      </c>
      <c r="M3665" s="5">
        <v>214</v>
      </c>
      <c r="N3665" s="7">
        <v>235400</v>
      </c>
      <c r="O3665" s="2">
        <v>1100</v>
      </c>
      <c r="P3665">
        <v>214</v>
      </c>
      <c r="Q3665" s="2">
        <v>235400</v>
      </c>
      <c r="R3665">
        <v>242</v>
      </c>
      <c r="V3665">
        <v>0</v>
      </c>
      <c r="W3665">
        <v>0</v>
      </c>
      <c r="X3665">
        <v>0</v>
      </c>
      <c r="Y3665" s="2">
        <v>1342</v>
      </c>
      <c r="Z3665" s="2">
        <v>1342</v>
      </c>
      <c r="AA3665" s="2">
        <v>1342</v>
      </c>
      <c r="AB3665" s="1">
        <v>42382</v>
      </c>
      <c r="AC3665" t="s">
        <v>53</v>
      </c>
      <c r="AD3665" t="s">
        <v>53</v>
      </c>
      <c r="AK3665">
        <v>242</v>
      </c>
      <c r="AU3665" s="6">
        <v>42355</v>
      </c>
      <c r="AV3665" s="6">
        <v>42355</v>
      </c>
      <c r="AW3665" t="s">
        <v>54</v>
      </c>
      <c r="AX3665" t="str">
        <f t="shared" si="311"/>
        <v>FOR</v>
      </c>
      <c r="AY3665" t="s">
        <v>55</v>
      </c>
    </row>
    <row r="3666" spans="1:51" hidden="1">
      <c r="A3666">
        <v>101281</v>
      </c>
      <c r="B3666" t="s">
        <v>574</v>
      </c>
      <c r="C3666" t="str">
        <f t="shared" ref="C3666:D3673" si="314">"04640180636"</f>
        <v>04640180636</v>
      </c>
      <c r="D3666" t="str">
        <f t="shared" si="314"/>
        <v>04640180636</v>
      </c>
      <c r="E3666" t="s">
        <v>52</v>
      </c>
      <c r="F3666">
        <v>2013</v>
      </c>
      <c r="G3666">
        <v>700906</v>
      </c>
      <c r="H3666" s="1">
        <v>41639</v>
      </c>
      <c r="I3666" s="1">
        <v>41670</v>
      </c>
      <c r="J3666" s="1">
        <v>41670</v>
      </c>
      <c r="K3666" s="1">
        <v>41760</v>
      </c>
      <c r="N3666" s="5"/>
      <c r="O3666" s="2">
        <v>2562</v>
      </c>
      <c r="P3666">
        <v>370</v>
      </c>
      <c r="Q3666" s="2">
        <v>947940</v>
      </c>
      <c r="R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 s="1">
        <v>42382</v>
      </c>
      <c r="AC3666" t="s">
        <v>53</v>
      </c>
      <c r="AD3666" t="s">
        <v>53</v>
      </c>
      <c r="AK3666">
        <v>0</v>
      </c>
      <c r="AU3666" s="6">
        <v>42130</v>
      </c>
      <c r="AV3666" s="6">
        <v>42130</v>
      </c>
      <c r="AW3666" t="s">
        <v>54</v>
      </c>
      <c r="AX3666" t="str">
        <f t="shared" si="311"/>
        <v>FOR</v>
      </c>
      <c r="AY3666" t="s">
        <v>55</v>
      </c>
    </row>
    <row r="3667" spans="1:51" hidden="1">
      <c r="A3667">
        <v>101281</v>
      </c>
      <c r="B3667" t="s">
        <v>574</v>
      </c>
      <c r="C3667" t="str">
        <f t="shared" si="314"/>
        <v>04640180636</v>
      </c>
      <c r="D3667" t="str">
        <f t="shared" si="314"/>
        <v>04640180636</v>
      </c>
      <c r="E3667" t="s">
        <v>52</v>
      </c>
      <c r="F3667">
        <v>2014</v>
      </c>
      <c r="G3667">
        <v>800067</v>
      </c>
      <c r="H3667" s="1">
        <v>41670</v>
      </c>
      <c r="I3667" s="1">
        <v>41711</v>
      </c>
      <c r="J3667" s="1">
        <v>41711</v>
      </c>
      <c r="K3667" s="1">
        <v>41801</v>
      </c>
      <c r="N3667" s="5"/>
      <c r="O3667" s="2">
        <v>1967.62</v>
      </c>
      <c r="P3667">
        <v>236</v>
      </c>
      <c r="Q3667" s="2">
        <v>464358.32</v>
      </c>
      <c r="R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 s="1">
        <v>42382</v>
      </c>
      <c r="AC3667" t="s">
        <v>53</v>
      </c>
      <c r="AD3667" t="s">
        <v>53</v>
      </c>
      <c r="AK3667">
        <v>0</v>
      </c>
      <c r="AU3667" s="6">
        <v>42037</v>
      </c>
      <c r="AV3667" s="6">
        <v>42037</v>
      </c>
      <c r="AW3667" t="s">
        <v>54</v>
      </c>
      <c r="AX3667" t="str">
        <f t="shared" si="311"/>
        <v>FOR</v>
      </c>
      <c r="AY3667" t="s">
        <v>55</v>
      </c>
    </row>
    <row r="3668" spans="1:51" hidden="1">
      <c r="A3668">
        <v>101281</v>
      </c>
      <c r="B3668" t="s">
        <v>574</v>
      </c>
      <c r="C3668" t="str">
        <f t="shared" si="314"/>
        <v>04640180636</v>
      </c>
      <c r="D3668" t="str">
        <f t="shared" si="314"/>
        <v>04640180636</v>
      </c>
      <c r="E3668" t="s">
        <v>52</v>
      </c>
      <c r="F3668">
        <v>2014</v>
      </c>
      <c r="G3668">
        <v>800303</v>
      </c>
      <c r="H3668" s="1">
        <v>41759</v>
      </c>
      <c r="I3668" s="1">
        <v>41788</v>
      </c>
      <c r="J3668" s="1">
        <v>41788</v>
      </c>
      <c r="K3668" s="1">
        <v>41878</v>
      </c>
      <c r="N3668" s="5"/>
      <c r="O3668" s="2">
        <v>1967.62</v>
      </c>
      <c r="P3668">
        <v>224</v>
      </c>
      <c r="Q3668" s="2">
        <v>440746.88</v>
      </c>
      <c r="R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 s="1">
        <v>42382</v>
      </c>
      <c r="AC3668" t="s">
        <v>53</v>
      </c>
      <c r="AD3668" t="s">
        <v>53</v>
      </c>
      <c r="AK3668">
        <v>0</v>
      </c>
      <c r="AU3668" s="6">
        <v>42102</v>
      </c>
      <c r="AV3668" s="6">
        <v>42102</v>
      </c>
      <c r="AW3668" t="s">
        <v>54</v>
      </c>
      <c r="AX3668" t="str">
        <f t="shared" si="311"/>
        <v>FOR</v>
      </c>
      <c r="AY3668" t="s">
        <v>55</v>
      </c>
    </row>
    <row r="3669" spans="1:51" hidden="1">
      <c r="A3669">
        <v>101281</v>
      </c>
      <c r="B3669" t="s">
        <v>574</v>
      </c>
      <c r="C3669" t="str">
        <f t="shared" si="314"/>
        <v>04640180636</v>
      </c>
      <c r="D3669" t="str">
        <f t="shared" si="314"/>
        <v>04640180636</v>
      </c>
      <c r="E3669" t="s">
        <v>52</v>
      </c>
      <c r="F3669">
        <v>2014</v>
      </c>
      <c r="G3669">
        <v>800402</v>
      </c>
      <c r="H3669" s="1">
        <v>41790</v>
      </c>
      <c r="I3669" s="1">
        <v>41827</v>
      </c>
      <c r="J3669" s="1">
        <v>41827</v>
      </c>
      <c r="K3669" s="1">
        <v>41917</v>
      </c>
      <c r="N3669" s="5"/>
      <c r="O3669" s="2">
        <v>2562</v>
      </c>
      <c r="P3669">
        <v>185</v>
      </c>
      <c r="Q3669" s="2">
        <v>473970</v>
      </c>
      <c r="R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 s="1">
        <v>42382</v>
      </c>
      <c r="AC3669" t="s">
        <v>53</v>
      </c>
      <c r="AD3669" t="s">
        <v>53</v>
      </c>
      <c r="AK3669">
        <v>0</v>
      </c>
      <c r="AU3669" s="6">
        <v>42102</v>
      </c>
      <c r="AV3669" s="6">
        <v>42102</v>
      </c>
      <c r="AW3669" t="s">
        <v>54</v>
      </c>
      <c r="AX3669" t="str">
        <f t="shared" si="311"/>
        <v>FOR</v>
      </c>
      <c r="AY3669" t="s">
        <v>55</v>
      </c>
    </row>
    <row r="3670" spans="1:51" hidden="1">
      <c r="A3670">
        <v>101281</v>
      </c>
      <c r="B3670" t="s">
        <v>574</v>
      </c>
      <c r="C3670" t="str">
        <f t="shared" si="314"/>
        <v>04640180636</v>
      </c>
      <c r="D3670" t="str">
        <f t="shared" si="314"/>
        <v>04640180636</v>
      </c>
      <c r="E3670" t="s">
        <v>52</v>
      </c>
      <c r="F3670">
        <v>2014</v>
      </c>
      <c r="G3670">
        <v>800522</v>
      </c>
      <c r="H3670" s="1">
        <v>41835</v>
      </c>
      <c r="I3670" s="1">
        <v>41876</v>
      </c>
      <c r="J3670" s="1">
        <v>41876</v>
      </c>
      <c r="K3670" s="1">
        <v>41966</v>
      </c>
      <c r="N3670" s="5"/>
      <c r="O3670" s="2">
        <v>1967.62</v>
      </c>
      <c r="P3670">
        <v>283</v>
      </c>
      <c r="Q3670" s="2">
        <v>556836.46</v>
      </c>
      <c r="R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 s="1">
        <v>42382</v>
      </c>
      <c r="AC3670" t="s">
        <v>53</v>
      </c>
      <c r="AD3670" t="s">
        <v>53</v>
      </c>
      <c r="AK3670">
        <v>0</v>
      </c>
      <c r="AU3670" s="6">
        <v>42249</v>
      </c>
      <c r="AV3670" s="6">
        <v>42249</v>
      </c>
      <c r="AW3670" t="s">
        <v>54</v>
      </c>
      <c r="AX3670" t="str">
        <f t="shared" si="311"/>
        <v>FOR</v>
      </c>
      <c r="AY3670" t="s">
        <v>55</v>
      </c>
    </row>
    <row r="3671" spans="1:51" hidden="1">
      <c r="A3671">
        <v>101281</v>
      </c>
      <c r="B3671" t="s">
        <v>574</v>
      </c>
      <c r="C3671" t="str">
        <f t="shared" si="314"/>
        <v>04640180636</v>
      </c>
      <c r="D3671" t="str">
        <f t="shared" si="314"/>
        <v>04640180636</v>
      </c>
      <c r="E3671" t="s">
        <v>52</v>
      </c>
      <c r="F3671">
        <v>2014</v>
      </c>
      <c r="G3671">
        <v>800684</v>
      </c>
      <c r="H3671" s="1">
        <v>41912</v>
      </c>
      <c r="I3671" s="1">
        <v>41939</v>
      </c>
      <c r="J3671" s="1">
        <v>41939</v>
      </c>
      <c r="K3671" s="1">
        <v>41999</v>
      </c>
      <c r="N3671" s="5"/>
      <c r="O3671" s="2">
        <v>2295.5500000000002</v>
      </c>
      <c r="P3671">
        <v>250</v>
      </c>
      <c r="Q3671" s="2">
        <v>573887.5</v>
      </c>
      <c r="R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 s="1">
        <v>42382</v>
      </c>
      <c r="AC3671" t="s">
        <v>53</v>
      </c>
      <c r="AD3671" t="s">
        <v>53</v>
      </c>
      <c r="AK3671">
        <v>0</v>
      </c>
      <c r="AU3671" s="6">
        <v>42249</v>
      </c>
      <c r="AV3671" s="6">
        <v>42249</v>
      </c>
      <c r="AW3671" t="s">
        <v>54</v>
      </c>
      <c r="AX3671" t="str">
        <f t="shared" si="311"/>
        <v>FOR</v>
      </c>
      <c r="AY3671" t="s">
        <v>55</v>
      </c>
    </row>
    <row r="3672" spans="1:51">
      <c r="A3672">
        <v>101281</v>
      </c>
      <c r="B3672" t="s">
        <v>574</v>
      </c>
      <c r="C3672" t="str">
        <f t="shared" si="314"/>
        <v>04640180636</v>
      </c>
      <c r="D3672" t="str">
        <f t="shared" si="314"/>
        <v>04640180636</v>
      </c>
      <c r="E3672" t="s">
        <v>52</v>
      </c>
      <c r="F3672">
        <v>2014</v>
      </c>
      <c r="G3672">
        <v>800695</v>
      </c>
      <c r="H3672" s="1">
        <v>41913</v>
      </c>
      <c r="I3672" s="1">
        <v>41967</v>
      </c>
      <c r="J3672" s="1">
        <v>41967</v>
      </c>
      <c r="K3672" s="1">
        <v>42027</v>
      </c>
      <c r="L3672" s="7">
        <v>2562</v>
      </c>
      <c r="M3672" s="5">
        <v>255</v>
      </c>
      <c r="N3672" s="7">
        <v>653310</v>
      </c>
      <c r="O3672" s="2">
        <v>2562</v>
      </c>
      <c r="P3672">
        <v>255</v>
      </c>
      <c r="Q3672" s="2">
        <v>653310</v>
      </c>
      <c r="R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 s="1">
        <v>42382</v>
      </c>
      <c r="AC3672" t="s">
        <v>53</v>
      </c>
      <c r="AD3672" t="s">
        <v>53</v>
      </c>
      <c r="AK3672">
        <v>0</v>
      </c>
      <c r="AU3672" s="6">
        <v>42282</v>
      </c>
      <c r="AV3672" s="6">
        <v>42282</v>
      </c>
      <c r="AW3672" t="s">
        <v>54</v>
      </c>
      <c r="AX3672" t="str">
        <f t="shared" si="311"/>
        <v>FOR</v>
      </c>
      <c r="AY3672" t="s">
        <v>55</v>
      </c>
    </row>
    <row r="3673" spans="1:51">
      <c r="A3673">
        <v>101281</v>
      </c>
      <c r="B3673" t="s">
        <v>574</v>
      </c>
      <c r="C3673" t="str">
        <f t="shared" si="314"/>
        <v>04640180636</v>
      </c>
      <c r="D3673" t="str">
        <f t="shared" si="314"/>
        <v>04640180636</v>
      </c>
      <c r="E3673" t="s">
        <v>52</v>
      </c>
      <c r="F3673">
        <v>2014</v>
      </c>
      <c r="G3673">
        <v>800850</v>
      </c>
      <c r="H3673" s="1">
        <v>41971</v>
      </c>
      <c r="I3673" s="1">
        <v>41995</v>
      </c>
      <c r="J3673" s="1">
        <v>41995</v>
      </c>
      <c r="K3673" s="1">
        <v>42055</v>
      </c>
      <c r="L3673" s="7">
        <v>819.84</v>
      </c>
      <c r="M3673" s="5">
        <v>249</v>
      </c>
      <c r="N3673" s="7">
        <v>204140.16</v>
      </c>
      <c r="O3673">
        <v>819.84</v>
      </c>
      <c r="P3673">
        <v>249</v>
      </c>
      <c r="Q3673" s="2">
        <v>204140.16</v>
      </c>
      <c r="R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 s="1">
        <v>42382</v>
      </c>
      <c r="AC3673" t="s">
        <v>53</v>
      </c>
      <c r="AD3673" t="s">
        <v>53</v>
      </c>
      <c r="AK3673">
        <v>0</v>
      </c>
      <c r="AU3673" s="6">
        <v>42304</v>
      </c>
      <c r="AV3673" s="6">
        <v>42304</v>
      </c>
      <c r="AW3673" t="s">
        <v>54</v>
      </c>
      <c r="AX3673" t="str">
        <f t="shared" si="311"/>
        <v>FOR</v>
      </c>
      <c r="AY3673" t="s">
        <v>55</v>
      </c>
    </row>
    <row r="3674" spans="1:51" hidden="1">
      <c r="A3674">
        <v>101293</v>
      </c>
      <c r="B3674" t="s">
        <v>575</v>
      </c>
      <c r="C3674" t="str">
        <f t="shared" ref="C3674:D3679" si="315">"07438910635"</f>
        <v>07438910635</v>
      </c>
      <c r="D3674" t="str">
        <f t="shared" si="315"/>
        <v>07438910635</v>
      </c>
      <c r="E3674" t="s">
        <v>52</v>
      </c>
      <c r="F3674">
        <v>2014</v>
      </c>
      <c r="G3674">
        <v>518</v>
      </c>
      <c r="H3674" s="1">
        <v>41795</v>
      </c>
      <c r="I3674" s="1">
        <v>41829</v>
      </c>
      <c r="J3674" s="1">
        <v>41829</v>
      </c>
      <c r="K3674" s="1">
        <v>41919</v>
      </c>
      <c r="N3674" s="5"/>
      <c r="O3674">
        <v>223.5</v>
      </c>
      <c r="P3674">
        <v>240</v>
      </c>
      <c r="Q3674" s="2">
        <v>53640</v>
      </c>
      <c r="R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 s="1">
        <v>42382</v>
      </c>
      <c r="AC3674" t="s">
        <v>53</v>
      </c>
      <c r="AD3674" t="s">
        <v>53</v>
      </c>
      <c r="AK3674">
        <v>0</v>
      </c>
      <c r="AU3674" s="6">
        <v>42159</v>
      </c>
      <c r="AV3674" s="6">
        <v>42159</v>
      </c>
      <c r="AW3674" t="s">
        <v>54</v>
      </c>
      <c r="AX3674" t="str">
        <f t="shared" si="311"/>
        <v>FOR</v>
      </c>
      <c r="AY3674" t="s">
        <v>55</v>
      </c>
    </row>
    <row r="3675" spans="1:51" hidden="1">
      <c r="A3675">
        <v>101293</v>
      </c>
      <c r="B3675" t="s">
        <v>575</v>
      </c>
      <c r="C3675" t="str">
        <f t="shared" si="315"/>
        <v>07438910635</v>
      </c>
      <c r="D3675" t="str">
        <f t="shared" si="315"/>
        <v>07438910635</v>
      </c>
      <c r="E3675" t="s">
        <v>52</v>
      </c>
      <c r="F3675">
        <v>2014</v>
      </c>
      <c r="G3675">
        <v>559</v>
      </c>
      <c r="H3675" s="1">
        <v>41807</v>
      </c>
      <c r="I3675" s="1">
        <v>41829</v>
      </c>
      <c r="J3675" s="1">
        <v>41829</v>
      </c>
      <c r="K3675" s="1">
        <v>41919</v>
      </c>
      <c r="N3675" s="5"/>
      <c r="O3675">
        <v>167.38</v>
      </c>
      <c r="P3675">
        <v>240</v>
      </c>
      <c r="Q3675" s="2">
        <v>40171.199999999997</v>
      </c>
      <c r="R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 s="1">
        <v>42382</v>
      </c>
      <c r="AC3675" t="s">
        <v>53</v>
      </c>
      <c r="AD3675" t="s">
        <v>53</v>
      </c>
      <c r="AK3675">
        <v>0</v>
      </c>
      <c r="AU3675" s="6">
        <v>42159</v>
      </c>
      <c r="AV3675" s="6">
        <v>42159</v>
      </c>
      <c r="AW3675" t="s">
        <v>54</v>
      </c>
      <c r="AX3675" t="str">
        <f t="shared" si="311"/>
        <v>FOR</v>
      </c>
      <c r="AY3675" t="s">
        <v>55</v>
      </c>
    </row>
    <row r="3676" spans="1:51" hidden="1">
      <c r="A3676">
        <v>101293</v>
      </c>
      <c r="B3676" t="s">
        <v>575</v>
      </c>
      <c r="C3676" t="str">
        <f t="shared" si="315"/>
        <v>07438910635</v>
      </c>
      <c r="D3676" t="str">
        <f t="shared" si="315"/>
        <v>07438910635</v>
      </c>
      <c r="E3676" t="s">
        <v>52</v>
      </c>
      <c r="F3676">
        <v>2014</v>
      </c>
      <c r="G3676">
        <v>627</v>
      </c>
      <c r="H3676" s="1">
        <v>41823</v>
      </c>
      <c r="I3676" s="1">
        <v>41873</v>
      </c>
      <c r="J3676" s="1">
        <v>41873</v>
      </c>
      <c r="K3676" s="1">
        <v>41963</v>
      </c>
      <c r="N3676" s="5"/>
      <c r="O3676">
        <v>781.78</v>
      </c>
      <c r="P3676">
        <v>228</v>
      </c>
      <c r="Q3676" s="2">
        <v>178245.84</v>
      </c>
      <c r="R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 s="1">
        <v>42382</v>
      </c>
      <c r="AC3676" t="s">
        <v>53</v>
      </c>
      <c r="AD3676" t="s">
        <v>53</v>
      </c>
      <c r="AK3676">
        <v>0</v>
      </c>
      <c r="AU3676" s="6">
        <v>42191</v>
      </c>
      <c r="AV3676" s="6">
        <v>42191</v>
      </c>
      <c r="AW3676" t="s">
        <v>54</v>
      </c>
      <c r="AX3676" t="str">
        <f t="shared" si="311"/>
        <v>FOR</v>
      </c>
      <c r="AY3676" t="s">
        <v>55</v>
      </c>
    </row>
    <row r="3677" spans="1:51" hidden="1">
      <c r="A3677">
        <v>101293</v>
      </c>
      <c r="B3677" t="s">
        <v>575</v>
      </c>
      <c r="C3677" t="str">
        <f t="shared" si="315"/>
        <v>07438910635</v>
      </c>
      <c r="D3677" t="str">
        <f t="shared" si="315"/>
        <v>07438910635</v>
      </c>
      <c r="E3677" t="s">
        <v>52</v>
      </c>
      <c r="F3677">
        <v>2014</v>
      </c>
      <c r="G3677">
        <v>999</v>
      </c>
      <c r="H3677" s="1">
        <v>41941</v>
      </c>
      <c r="I3677" s="1">
        <v>41950</v>
      </c>
      <c r="J3677" s="1">
        <v>41950</v>
      </c>
      <c r="K3677" s="1">
        <v>42010</v>
      </c>
      <c r="N3677" s="5"/>
      <c r="O3677">
        <v>415.78</v>
      </c>
      <c r="P3677">
        <v>181</v>
      </c>
      <c r="Q3677" s="2">
        <v>75256.179999999993</v>
      </c>
      <c r="R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 s="1">
        <v>42382</v>
      </c>
      <c r="AC3677" t="s">
        <v>53</v>
      </c>
      <c r="AD3677" t="s">
        <v>53</v>
      </c>
      <c r="AK3677">
        <v>0</v>
      </c>
      <c r="AU3677" s="6">
        <v>42191</v>
      </c>
      <c r="AV3677" s="6">
        <v>42191</v>
      </c>
      <c r="AW3677" t="s">
        <v>54</v>
      </c>
      <c r="AX3677" t="str">
        <f t="shared" si="311"/>
        <v>FOR</v>
      </c>
      <c r="AY3677" t="s">
        <v>55</v>
      </c>
    </row>
    <row r="3678" spans="1:51" hidden="1">
      <c r="A3678">
        <v>101293</v>
      </c>
      <c r="B3678" t="s">
        <v>575</v>
      </c>
      <c r="C3678" t="str">
        <f t="shared" si="315"/>
        <v>07438910635</v>
      </c>
      <c r="D3678" t="str">
        <f t="shared" si="315"/>
        <v>07438910635</v>
      </c>
      <c r="E3678" t="s">
        <v>52</v>
      </c>
      <c r="F3678">
        <v>2014</v>
      </c>
      <c r="G3678">
        <v>1000</v>
      </c>
      <c r="H3678" s="1">
        <v>41941</v>
      </c>
      <c r="I3678" s="1">
        <v>41950</v>
      </c>
      <c r="J3678" s="1">
        <v>41950</v>
      </c>
      <c r="K3678" s="1">
        <v>42010</v>
      </c>
      <c r="N3678" s="5"/>
      <c r="O3678">
        <v>860.83</v>
      </c>
      <c r="P3678">
        <v>238</v>
      </c>
      <c r="Q3678" s="2">
        <v>204877.54</v>
      </c>
      <c r="R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 s="1">
        <v>42382</v>
      </c>
      <c r="AC3678" t="s">
        <v>53</v>
      </c>
      <c r="AD3678" t="s">
        <v>53</v>
      </c>
      <c r="AK3678">
        <v>0</v>
      </c>
      <c r="AU3678" s="6">
        <v>42248</v>
      </c>
      <c r="AV3678" s="6">
        <v>42248</v>
      </c>
      <c r="AW3678" t="s">
        <v>54</v>
      </c>
      <c r="AX3678" t="str">
        <f t="shared" si="311"/>
        <v>FOR</v>
      </c>
      <c r="AY3678" t="s">
        <v>55</v>
      </c>
    </row>
    <row r="3679" spans="1:51" hidden="1">
      <c r="A3679">
        <v>101293</v>
      </c>
      <c r="B3679" t="s">
        <v>575</v>
      </c>
      <c r="C3679" t="str">
        <f t="shared" si="315"/>
        <v>07438910635</v>
      </c>
      <c r="D3679" t="str">
        <f t="shared" si="315"/>
        <v>07438910635</v>
      </c>
      <c r="E3679" t="s">
        <v>52</v>
      </c>
      <c r="F3679">
        <v>2014</v>
      </c>
      <c r="G3679">
        <v>1043</v>
      </c>
      <c r="H3679" s="1">
        <v>41960</v>
      </c>
      <c r="I3679" s="1">
        <v>41978</v>
      </c>
      <c r="J3679" s="1">
        <v>41978</v>
      </c>
      <c r="K3679" s="1">
        <v>42038</v>
      </c>
      <c r="N3679" s="5"/>
      <c r="O3679">
        <v>415.78</v>
      </c>
      <c r="P3679">
        <v>153</v>
      </c>
      <c r="Q3679" s="2">
        <v>63614.34</v>
      </c>
      <c r="R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 s="1">
        <v>42382</v>
      </c>
      <c r="AC3679" t="s">
        <v>53</v>
      </c>
      <c r="AD3679" t="s">
        <v>53</v>
      </c>
      <c r="AK3679">
        <v>0</v>
      </c>
      <c r="AU3679" s="6">
        <v>42191</v>
      </c>
      <c r="AV3679" s="6">
        <v>42191</v>
      </c>
      <c r="AW3679" t="s">
        <v>54</v>
      </c>
      <c r="AX3679" t="str">
        <f t="shared" si="311"/>
        <v>FOR</v>
      </c>
      <c r="AY3679" t="s">
        <v>55</v>
      </c>
    </row>
    <row r="3680" spans="1:51" hidden="1">
      <c r="A3680">
        <v>101298</v>
      </c>
      <c r="B3680" t="s">
        <v>576</v>
      </c>
      <c r="C3680" t="str">
        <f>"05345270630"</f>
        <v>05345270630</v>
      </c>
      <c r="D3680" t="str">
        <f>"05345270630"</f>
        <v>05345270630</v>
      </c>
      <c r="E3680" t="s">
        <v>52</v>
      </c>
      <c r="F3680">
        <v>2015</v>
      </c>
      <c r="G3680">
        <v>146</v>
      </c>
      <c r="H3680" s="1">
        <v>42051</v>
      </c>
      <c r="I3680" s="1">
        <v>42055</v>
      </c>
      <c r="J3680" s="1">
        <v>42055</v>
      </c>
      <c r="K3680" s="1">
        <v>42115</v>
      </c>
      <c r="N3680" s="5"/>
      <c r="O3680">
        <v>632.5</v>
      </c>
      <c r="P3680">
        <v>17</v>
      </c>
      <c r="Q3680" s="2">
        <v>10752.5</v>
      </c>
      <c r="R3680">
        <v>0</v>
      </c>
      <c r="V3680">
        <v>0</v>
      </c>
      <c r="W3680">
        <v>0</v>
      </c>
      <c r="X3680">
        <v>0</v>
      </c>
      <c r="Y3680">
        <v>771.65</v>
      </c>
      <c r="Z3680">
        <v>771.65</v>
      </c>
      <c r="AA3680">
        <v>771.65</v>
      </c>
      <c r="AB3680" s="1">
        <v>42382</v>
      </c>
      <c r="AC3680" t="s">
        <v>53</v>
      </c>
      <c r="AD3680" t="s">
        <v>53</v>
      </c>
      <c r="AK3680">
        <v>0</v>
      </c>
      <c r="AU3680" s="6">
        <v>42132</v>
      </c>
      <c r="AV3680" s="6">
        <v>42132</v>
      </c>
      <c r="AW3680" t="s">
        <v>54</v>
      </c>
      <c r="AX3680" t="str">
        <f t="shared" si="311"/>
        <v>FOR</v>
      </c>
      <c r="AY3680" t="s">
        <v>55</v>
      </c>
    </row>
    <row r="3681" spans="1:51" hidden="1">
      <c r="A3681">
        <v>101298</v>
      </c>
      <c r="B3681" t="s">
        <v>576</v>
      </c>
      <c r="C3681" t="str">
        <f>"05345270630"</f>
        <v>05345270630</v>
      </c>
      <c r="D3681" t="str">
        <f>"05345270630"</f>
        <v>05345270630</v>
      </c>
      <c r="E3681" t="s">
        <v>52</v>
      </c>
      <c r="F3681">
        <v>2015</v>
      </c>
      <c r="G3681">
        <v>258</v>
      </c>
      <c r="H3681" s="1">
        <v>42081</v>
      </c>
      <c r="I3681" s="1">
        <v>42089</v>
      </c>
      <c r="J3681" s="1">
        <v>42089</v>
      </c>
      <c r="K3681" s="1">
        <v>42149</v>
      </c>
      <c r="N3681" s="5"/>
      <c r="O3681" s="2">
        <v>1600</v>
      </c>
      <c r="P3681">
        <v>-17</v>
      </c>
      <c r="Q3681" s="2">
        <v>-27200</v>
      </c>
      <c r="R3681">
        <v>0</v>
      </c>
      <c r="V3681">
        <v>0</v>
      </c>
      <c r="W3681">
        <v>0</v>
      </c>
      <c r="X3681">
        <v>0</v>
      </c>
      <c r="Y3681" s="2">
        <v>1952</v>
      </c>
      <c r="Z3681" s="2">
        <v>1952</v>
      </c>
      <c r="AA3681" s="2">
        <v>1952</v>
      </c>
      <c r="AB3681" s="1">
        <v>42382</v>
      </c>
      <c r="AC3681" t="s">
        <v>53</v>
      </c>
      <c r="AD3681" t="s">
        <v>53</v>
      </c>
      <c r="AK3681">
        <v>0</v>
      </c>
      <c r="AU3681" s="6">
        <v>42132</v>
      </c>
      <c r="AV3681" s="6">
        <v>42132</v>
      </c>
      <c r="AW3681" t="s">
        <v>54</v>
      </c>
      <c r="AX3681" t="str">
        <f t="shared" si="311"/>
        <v>FOR</v>
      </c>
      <c r="AY3681" t="s">
        <v>55</v>
      </c>
    </row>
    <row r="3682" spans="1:51" hidden="1">
      <c r="A3682">
        <v>101303</v>
      </c>
      <c r="B3682" t="s">
        <v>577</v>
      </c>
      <c r="C3682" t="str">
        <f t="shared" ref="C3682:D3690" si="316">"01387750621"</f>
        <v>01387750621</v>
      </c>
      <c r="D3682" t="str">
        <f t="shared" si="316"/>
        <v>01387750621</v>
      </c>
      <c r="E3682" t="s">
        <v>52</v>
      </c>
      <c r="F3682">
        <v>2013</v>
      </c>
      <c r="G3682">
        <v>286</v>
      </c>
      <c r="H3682" s="1">
        <v>41617</v>
      </c>
      <c r="I3682" s="1">
        <v>41618</v>
      </c>
      <c r="J3682" s="1">
        <v>41618</v>
      </c>
      <c r="K3682" s="1">
        <v>41708</v>
      </c>
      <c r="N3682" s="5"/>
      <c r="O3682">
        <v>423.95</v>
      </c>
      <c r="P3682">
        <v>386</v>
      </c>
      <c r="Q3682" s="2">
        <v>163644.70000000001</v>
      </c>
      <c r="R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 s="1">
        <v>42382</v>
      </c>
      <c r="AC3682" t="s">
        <v>53</v>
      </c>
      <c r="AD3682" t="s">
        <v>53</v>
      </c>
      <c r="AK3682">
        <v>0</v>
      </c>
      <c r="AU3682" s="6">
        <v>42094</v>
      </c>
      <c r="AV3682" s="6">
        <v>42094</v>
      </c>
      <c r="AW3682" t="s">
        <v>54</v>
      </c>
      <c r="AX3682" t="str">
        <f t="shared" si="311"/>
        <v>FOR</v>
      </c>
      <c r="AY3682" t="s">
        <v>55</v>
      </c>
    </row>
    <row r="3683" spans="1:51" hidden="1">
      <c r="A3683">
        <v>101303</v>
      </c>
      <c r="B3683" t="s">
        <v>577</v>
      </c>
      <c r="C3683" t="str">
        <f t="shared" si="316"/>
        <v>01387750621</v>
      </c>
      <c r="D3683" t="str">
        <f t="shared" si="316"/>
        <v>01387750621</v>
      </c>
      <c r="E3683" t="s">
        <v>52</v>
      </c>
      <c r="F3683">
        <v>2014</v>
      </c>
      <c r="G3683">
        <v>33</v>
      </c>
      <c r="H3683" s="1">
        <v>41691</v>
      </c>
      <c r="I3683" s="1">
        <v>41695</v>
      </c>
      <c r="J3683" s="1">
        <v>41695</v>
      </c>
      <c r="K3683" s="1">
        <v>41785</v>
      </c>
      <c r="N3683" s="5"/>
      <c r="O3683">
        <v>823.5</v>
      </c>
      <c r="P3683">
        <v>309</v>
      </c>
      <c r="Q3683" s="2">
        <v>254461.5</v>
      </c>
      <c r="R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 s="1">
        <v>42382</v>
      </c>
      <c r="AC3683" t="s">
        <v>53</v>
      </c>
      <c r="AD3683" t="s">
        <v>53</v>
      </c>
      <c r="AK3683">
        <v>0</v>
      </c>
      <c r="AU3683" s="6">
        <v>42094</v>
      </c>
      <c r="AV3683" s="6">
        <v>42094</v>
      </c>
      <c r="AW3683" t="s">
        <v>54</v>
      </c>
      <c r="AX3683" t="str">
        <f t="shared" si="311"/>
        <v>FOR</v>
      </c>
      <c r="AY3683" t="s">
        <v>55</v>
      </c>
    </row>
    <row r="3684" spans="1:51" hidden="1">
      <c r="A3684">
        <v>101303</v>
      </c>
      <c r="B3684" t="s">
        <v>577</v>
      </c>
      <c r="C3684" t="str">
        <f t="shared" si="316"/>
        <v>01387750621</v>
      </c>
      <c r="D3684" t="str">
        <f t="shared" si="316"/>
        <v>01387750621</v>
      </c>
      <c r="E3684" t="s">
        <v>52</v>
      </c>
      <c r="F3684">
        <v>2014</v>
      </c>
      <c r="G3684">
        <v>100</v>
      </c>
      <c r="H3684" s="1">
        <v>41772</v>
      </c>
      <c r="I3684" s="1">
        <v>41773</v>
      </c>
      <c r="J3684" s="1">
        <v>41773</v>
      </c>
      <c r="K3684" s="1">
        <v>41863</v>
      </c>
      <c r="N3684" s="5"/>
      <c r="O3684">
        <v>646.6</v>
      </c>
      <c r="P3684">
        <v>231</v>
      </c>
      <c r="Q3684" s="2">
        <v>149364.6</v>
      </c>
      <c r="R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 s="1">
        <v>42382</v>
      </c>
      <c r="AC3684" t="s">
        <v>53</v>
      </c>
      <c r="AD3684" t="s">
        <v>53</v>
      </c>
      <c r="AK3684">
        <v>0</v>
      </c>
      <c r="AU3684" s="6">
        <v>42094</v>
      </c>
      <c r="AV3684" s="6">
        <v>42094</v>
      </c>
      <c r="AW3684" t="s">
        <v>54</v>
      </c>
      <c r="AX3684" t="str">
        <f t="shared" si="311"/>
        <v>FOR</v>
      </c>
      <c r="AY3684" t="s">
        <v>55</v>
      </c>
    </row>
    <row r="3685" spans="1:51" hidden="1">
      <c r="A3685">
        <v>101303</v>
      </c>
      <c r="B3685" t="s">
        <v>577</v>
      </c>
      <c r="C3685" t="str">
        <f t="shared" si="316"/>
        <v>01387750621</v>
      </c>
      <c r="D3685" t="str">
        <f t="shared" si="316"/>
        <v>01387750621</v>
      </c>
      <c r="E3685" t="s">
        <v>52</v>
      </c>
      <c r="F3685">
        <v>2014</v>
      </c>
      <c r="G3685">
        <v>158</v>
      </c>
      <c r="H3685" s="1">
        <v>41851</v>
      </c>
      <c r="I3685" s="1">
        <v>41873</v>
      </c>
      <c r="J3685" s="1">
        <v>41873</v>
      </c>
      <c r="K3685" s="1">
        <v>41963</v>
      </c>
      <c r="N3685" s="5"/>
      <c r="O3685">
        <v>646.6</v>
      </c>
      <c r="P3685">
        <v>196</v>
      </c>
      <c r="Q3685" s="2">
        <v>126733.6</v>
      </c>
      <c r="R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 s="1">
        <v>42382</v>
      </c>
      <c r="AC3685" t="s">
        <v>53</v>
      </c>
      <c r="AD3685" t="s">
        <v>53</v>
      </c>
      <c r="AK3685">
        <v>0</v>
      </c>
      <c r="AU3685" s="6">
        <v>42159</v>
      </c>
      <c r="AV3685" s="6">
        <v>42159</v>
      </c>
      <c r="AW3685" t="s">
        <v>54</v>
      </c>
      <c r="AX3685" t="str">
        <f t="shared" si="311"/>
        <v>FOR</v>
      </c>
      <c r="AY3685" t="s">
        <v>55</v>
      </c>
    </row>
    <row r="3686" spans="1:51" hidden="1">
      <c r="A3686">
        <v>101303</v>
      </c>
      <c r="B3686" t="s">
        <v>577</v>
      </c>
      <c r="C3686" t="str">
        <f t="shared" si="316"/>
        <v>01387750621</v>
      </c>
      <c r="D3686" t="str">
        <f t="shared" si="316"/>
        <v>01387750621</v>
      </c>
      <c r="E3686" t="s">
        <v>52</v>
      </c>
      <c r="F3686">
        <v>2014</v>
      </c>
      <c r="G3686">
        <v>205</v>
      </c>
      <c r="H3686" s="1">
        <v>41918</v>
      </c>
      <c r="I3686" s="1">
        <v>41920</v>
      </c>
      <c r="J3686" s="1">
        <v>41920</v>
      </c>
      <c r="K3686" s="1">
        <v>42010</v>
      </c>
      <c r="N3686" s="5"/>
      <c r="O3686">
        <v>646.6</v>
      </c>
      <c r="P3686">
        <v>267</v>
      </c>
      <c r="Q3686" s="2">
        <v>172642.2</v>
      </c>
      <c r="R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 s="1">
        <v>42382</v>
      </c>
      <c r="AC3686" t="s">
        <v>53</v>
      </c>
      <c r="AD3686" t="s">
        <v>53</v>
      </c>
      <c r="AK3686">
        <v>0</v>
      </c>
      <c r="AU3686" s="6">
        <v>42277</v>
      </c>
      <c r="AV3686" s="6">
        <v>42277</v>
      </c>
      <c r="AW3686" t="s">
        <v>54</v>
      </c>
      <c r="AX3686" t="str">
        <f t="shared" si="311"/>
        <v>FOR</v>
      </c>
      <c r="AY3686" t="s">
        <v>55</v>
      </c>
    </row>
    <row r="3687" spans="1:51" hidden="1">
      <c r="A3687">
        <v>101303</v>
      </c>
      <c r="B3687" t="s">
        <v>577</v>
      </c>
      <c r="C3687" t="str">
        <f t="shared" si="316"/>
        <v>01387750621</v>
      </c>
      <c r="D3687" t="str">
        <f t="shared" si="316"/>
        <v>01387750621</v>
      </c>
      <c r="E3687" t="s">
        <v>52</v>
      </c>
      <c r="F3687">
        <v>2014</v>
      </c>
      <c r="G3687">
        <v>266</v>
      </c>
      <c r="H3687" s="1">
        <v>41956</v>
      </c>
      <c r="I3687" s="1">
        <v>41957</v>
      </c>
      <c r="J3687" s="1">
        <v>41957</v>
      </c>
      <c r="K3687" s="1">
        <v>42017</v>
      </c>
      <c r="N3687" s="5"/>
      <c r="O3687">
        <v>646.6</v>
      </c>
      <c r="P3687">
        <v>260</v>
      </c>
      <c r="Q3687" s="2">
        <v>168116</v>
      </c>
      <c r="R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 s="1">
        <v>42382</v>
      </c>
      <c r="AC3687" t="s">
        <v>53</v>
      </c>
      <c r="AD3687" t="s">
        <v>53</v>
      </c>
      <c r="AK3687">
        <v>0</v>
      </c>
      <c r="AU3687" s="6">
        <v>42277</v>
      </c>
      <c r="AV3687" s="6">
        <v>42277</v>
      </c>
      <c r="AW3687" t="s">
        <v>54</v>
      </c>
      <c r="AX3687" t="str">
        <f t="shared" si="311"/>
        <v>FOR</v>
      </c>
      <c r="AY3687" t="s">
        <v>55</v>
      </c>
    </row>
    <row r="3688" spans="1:51" hidden="1">
      <c r="A3688">
        <v>101303</v>
      </c>
      <c r="B3688" t="s">
        <v>577</v>
      </c>
      <c r="C3688" t="str">
        <f t="shared" si="316"/>
        <v>01387750621</v>
      </c>
      <c r="D3688" t="str">
        <f t="shared" si="316"/>
        <v>01387750621</v>
      </c>
      <c r="E3688" t="s">
        <v>52</v>
      </c>
      <c r="F3688">
        <v>2014</v>
      </c>
      <c r="G3688">
        <v>317</v>
      </c>
      <c r="H3688" s="1">
        <v>42004</v>
      </c>
      <c r="I3688" s="1">
        <v>42004</v>
      </c>
      <c r="J3688" s="1">
        <v>42004</v>
      </c>
      <c r="K3688" s="1">
        <v>42064</v>
      </c>
      <c r="N3688" s="5"/>
      <c r="O3688">
        <v>646.6</v>
      </c>
      <c r="P3688">
        <v>213</v>
      </c>
      <c r="Q3688" s="2">
        <v>137725.79999999999</v>
      </c>
      <c r="R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 s="1">
        <v>42382</v>
      </c>
      <c r="AC3688" t="s">
        <v>53</v>
      </c>
      <c r="AD3688" t="s">
        <v>53</v>
      </c>
      <c r="AK3688">
        <v>0</v>
      </c>
      <c r="AU3688" s="6">
        <v>42277</v>
      </c>
      <c r="AV3688" s="6">
        <v>42277</v>
      </c>
      <c r="AW3688" t="s">
        <v>54</v>
      </c>
      <c r="AX3688" t="str">
        <f t="shared" si="311"/>
        <v>FOR</v>
      </c>
      <c r="AY3688" t="s">
        <v>55</v>
      </c>
    </row>
    <row r="3689" spans="1:51">
      <c r="A3689">
        <v>101303</v>
      </c>
      <c r="B3689" t="s">
        <v>577</v>
      </c>
      <c r="C3689" t="str">
        <f t="shared" si="316"/>
        <v>01387750621</v>
      </c>
      <c r="D3689" t="str">
        <f t="shared" si="316"/>
        <v>01387750621</v>
      </c>
      <c r="E3689" t="s">
        <v>52</v>
      </c>
      <c r="F3689">
        <v>2015</v>
      </c>
      <c r="G3689">
        <v>13</v>
      </c>
      <c r="H3689" s="1">
        <v>42020</v>
      </c>
      <c r="I3689" s="1">
        <v>42024</v>
      </c>
      <c r="J3689" s="1">
        <v>42024</v>
      </c>
      <c r="K3689" s="1">
        <v>42084</v>
      </c>
      <c r="L3689" s="7">
        <v>530</v>
      </c>
      <c r="M3689" s="5">
        <v>256</v>
      </c>
      <c r="N3689" s="7">
        <v>135680</v>
      </c>
      <c r="O3689">
        <v>530</v>
      </c>
      <c r="P3689">
        <v>256</v>
      </c>
      <c r="Q3689" s="2">
        <v>135680</v>
      </c>
      <c r="R3689">
        <v>116.6</v>
      </c>
      <c r="V3689">
        <v>0</v>
      </c>
      <c r="W3689">
        <v>0</v>
      </c>
      <c r="X3689">
        <v>0</v>
      </c>
      <c r="Y3689">
        <v>646.6</v>
      </c>
      <c r="Z3689">
        <v>646.6</v>
      </c>
      <c r="AA3689">
        <v>646.6</v>
      </c>
      <c r="AB3689" s="1">
        <v>42382</v>
      </c>
      <c r="AC3689" t="s">
        <v>53</v>
      </c>
      <c r="AD3689" t="s">
        <v>53</v>
      </c>
      <c r="AK3689">
        <v>116.6</v>
      </c>
      <c r="AU3689" s="6">
        <v>42340</v>
      </c>
      <c r="AV3689" s="6">
        <v>42340</v>
      </c>
      <c r="AW3689" t="s">
        <v>54</v>
      </c>
      <c r="AX3689" t="str">
        <f t="shared" si="311"/>
        <v>FOR</v>
      </c>
      <c r="AY3689" t="s">
        <v>55</v>
      </c>
    </row>
    <row r="3690" spans="1:51">
      <c r="A3690">
        <v>101303</v>
      </c>
      <c r="B3690" t="s">
        <v>577</v>
      </c>
      <c r="C3690" t="str">
        <f t="shared" si="316"/>
        <v>01387750621</v>
      </c>
      <c r="D3690" t="str">
        <f t="shared" si="316"/>
        <v>01387750621</v>
      </c>
      <c r="E3690" t="s">
        <v>52</v>
      </c>
      <c r="F3690">
        <v>2015</v>
      </c>
      <c r="G3690">
        <v>173</v>
      </c>
      <c r="H3690" s="1">
        <v>42186</v>
      </c>
      <c r="I3690" s="1">
        <v>42191</v>
      </c>
      <c r="J3690" s="1">
        <v>42186</v>
      </c>
      <c r="K3690" s="1">
        <v>42246</v>
      </c>
      <c r="L3690" s="7">
        <v>482.27</v>
      </c>
      <c r="M3690" s="5">
        <v>38</v>
      </c>
      <c r="N3690" s="7">
        <v>18326.259999999998</v>
      </c>
      <c r="O3690">
        <v>482.27</v>
      </c>
      <c r="P3690">
        <v>38</v>
      </c>
      <c r="Q3690" s="2">
        <v>18326.259999999998</v>
      </c>
      <c r="R3690">
        <v>106.1</v>
      </c>
      <c r="V3690">
        <v>0</v>
      </c>
      <c r="W3690">
        <v>0</v>
      </c>
      <c r="X3690">
        <v>0</v>
      </c>
      <c r="Y3690">
        <v>588.37</v>
      </c>
      <c r="Z3690">
        <v>588.37</v>
      </c>
      <c r="AA3690">
        <v>588.37</v>
      </c>
      <c r="AB3690" s="1">
        <v>42382</v>
      </c>
      <c r="AC3690" t="s">
        <v>53</v>
      </c>
      <c r="AD3690" t="s">
        <v>53</v>
      </c>
      <c r="AI3690">
        <v>106.1</v>
      </c>
      <c r="AK3690">
        <v>0</v>
      </c>
      <c r="AU3690" s="6">
        <v>42284</v>
      </c>
      <c r="AV3690" s="6">
        <v>42284</v>
      </c>
      <c r="AW3690" t="s">
        <v>54</v>
      </c>
      <c r="AX3690" t="str">
        <f t="shared" si="311"/>
        <v>FOR</v>
      </c>
      <c r="AY3690" t="s">
        <v>55</v>
      </c>
    </row>
    <row r="3691" spans="1:51" hidden="1">
      <c r="A3691">
        <v>101317</v>
      </c>
      <c r="B3691" t="s">
        <v>578</v>
      </c>
      <c r="C3691" t="str">
        <f t="shared" ref="C3691:D3710" si="317">"00592310627"</f>
        <v>00592310627</v>
      </c>
      <c r="D3691" t="str">
        <f t="shared" si="317"/>
        <v>00592310627</v>
      </c>
      <c r="E3691" t="s">
        <v>52</v>
      </c>
      <c r="F3691">
        <v>2014</v>
      </c>
      <c r="G3691">
        <v>26</v>
      </c>
      <c r="H3691" s="1">
        <v>41683</v>
      </c>
      <c r="I3691" s="1">
        <v>41684</v>
      </c>
      <c r="J3691" s="1">
        <v>41684</v>
      </c>
      <c r="K3691" s="1">
        <v>41774</v>
      </c>
      <c r="N3691" s="5"/>
      <c r="O3691" s="2">
        <v>1811.94</v>
      </c>
      <c r="P3691">
        <v>260</v>
      </c>
      <c r="Q3691" s="2">
        <v>471104.4</v>
      </c>
      <c r="R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 s="1">
        <v>42382</v>
      </c>
      <c r="AC3691" t="s">
        <v>53</v>
      </c>
      <c r="AD3691" t="s">
        <v>53</v>
      </c>
      <c r="AK3691">
        <v>0</v>
      </c>
      <c r="AU3691" s="6">
        <v>42034</v>
      </c>
      <c r="AV3691" s="6">
        <v>42034</v>
      </c>
      <c r="AW3691" t="s">
        <v>54</v>
      </c>
      <c r="AX3691" t="str">
        <f t="shared" si="311"/>
        <v>FOR</v>
      </c>
      <c r="AY3691" t="s">
        <v>55</v>
      </c>
    </row>
    <row r="3692" spans="1:51" hidden="1">
      <c r="A3692">
        <v>101317</v>
      </c>
      <c r="B3692" t="s">
        <v>578</v>
      </c>
      <c r="C3692" t="str">
        <f t="shared" si="317"/>
        <v>00592310627</v>
      </c>
      <c r="D3692" t="str">
        <f t="shared" si="317"/>
        <v>00592310627</v>
      </c>
      <c r="E3692" t="s">
        <v>52</v>
      </c>
      <c r="F3692">
        <v>2014</v>
      </c>
      <c r="G3692">
        <v>172</v>
      </c>
      <c r="H3692" s="1">
        <v>41911</v>
      </c>
      <c r="I3692" s="1">
        <v>41911</v>
      </c>
      <c r="J3692" s="1">
        <v>41911</v>
      </c>
      <c r="K3692" s="1">
        <v>42001</v>
      </c>
      <c r="N3692" s="5"/>
      <c r="O3692" s="2">
        <v>1360.3</v>
      </c>
      <c r="P3692">
        <v>33</v>
      </c>
      <c r="Q3692" s="2">
        <v>44889.9</v>
      </c>
      <c r="R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 s="1">
        <v>42382</v>
      </c>
      <c r="AC3692" t="s">
        <v>53</v>
      </c>
      <c r="AD3692" t="s">
        <v>53</v>
      </c>
      <c r="AK3692">
        <v>0</v>
      </c>
      <c r="AU3692" s="6">
        <v>42034</v>
      </c>
      <c r="AV3692" s="6">
        <v>42034</v>
      </c>
      <c r="AW3692" t="s">
        <v>54</v>
      </c>
      <c r="AX3692" t="str">
        <f t="shared" si="311"/>
        <v>FOR</v>
      </c>
      <c r="AY3692" t="s">
        <v>55</v>
      </c>
    </row>
    <row r="3693" spans="1:51" hidden="1">
      <c r="A3693">
        <v>101317</v>
      </c>
      <c r="B3693" t="s">
        <v>578</v>
      </c>
      <c r="C3693" t="str">
        <f t="shared" si="317"/>
        <v>00592310627</v>
      </c>
      <c r="D3693" t="str">
        <f t="shared" si="317"/>
        <v>00592310627</v>
      </c>
      <c r="E3693" t="s">
        <v>52</v>
      </c>
      <c r="F3693">
        <v>2014</v>
      </c>
      <c r="G3693">
        <v>219</v>
      </c>
      <c r="H3693" s="1">
        <v>41970</v>
      </c>
      <c r="I3693" s="1">
        <v>41971</v>
      </c>
      <c r="J3693" s="1">
        <v>41971</v>
      </c>
      <c r="K3693" s="1">
        <v>42031</v>
      </c>
      <c r="N3693" s="5"/>
      <c r="O3693">
        <v>924.76</v>
      </c>
      <c r="P3693">
        <v>217</v>
      </c>
      <c r="Q3693" s="2">
        <v>200672.92</v>
      </c>
      <c r="R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 s="1">
        <v>42382</v>
      </c>
      <c r="AC3693" t="s">
        <v>53</v>
      </c>
      <c r="AD3693" t="s">
        <v>53</v>
      </c>
      <c r="AK3693">
        <v>0</v>
      </c>
      <c r="AU3693" s="6">
        <v>42248</v>
      </c>
      <c r="AV3693" s="6">
        <v>42248</v>
      </c>
      <c r="AW3693" t="s">
        <v>54</v>
      </c>
      <c r="AX3693" t="str">
        <f t="shared" si="311"/>
        <v>FOR</v>
      </c>
      <c r="AY3693" t="s">
        <v>55</v>
      </c>
    </row>
    <row r="3694" spans="1:51" hidden="1">
      <c r="A3694">
        <v>101317</v>
      </c>
      <c r="B3694" t="s">
        <v>578</v>
      </c>
      <c r="C3694" t="str">
        <f t="shared" si="317"/>
        <v>00592310627</v>
      </c>
      <c r="D3694" t="str">
        <f t="shared" si="317"/>
        <v>00592310627</v>
      </c>
      <c r="E3694" t="s">
        <v>52</v>
      </c>
      <c r="F3694">
        <v>2014</v>
      </c>
      <c r="G3694" t="s">
        <v>443</v>
      </c>
      <c r="H3694" s="1">
        <v>41694</v>
      </c>
      <c r="I3694" s="1">
        <v>41827</v>
      </c>
      <c r="J3694" s="1">
        <v>41827</v>
      </c>
      <c r="K3694" s="1">
        <v>41917</v>
      </c>
      <c r="N3694" s="5"/>
      <c r="O3694">
        <v>521.54999999999995</v>
      </c>
      <c r="P3694">
        <v>123</v>
      </c>
      <c r="Q3694" s="2">
        <v>64150.65</v>
      </c>
      <c r="R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 s="1">
        <v>42382</v>
      </c>
      <c r="AC3694" t="s">
        <v>53</v>
      </c>
      <c r="AD3694" t="s">
        <v>53</v>
      </c>
      <c r="AK3694">
        <v>0</v>
      </c>
      <c r="AU3694" s="6">
        <v>42040</v>
      </c>
      <c r="AV3694" s="6">
        <v>42040</v>
      </c>
      <c r="AW3694" t="s">
        <v>54</v>
      </c>
      <c r="AX3694" t="str">
        <f t="shared" si="311"/>
        <v>FOR</v>
      </c>
      <c r="AY3694" t="s">
        <v>55</v>
      </c>
    </row>
    <row r="3695" spans="1:51" hidden="1">
      <c r="A3695">
        <v>101317</v>
      </c>
      <c r="B3695" t="s">
        <v>578</v>
      </c>
      <c r="C3695" t="str">
        <f t="shared" si="317"/>
        <v>00592310627</v>
      </c>
      <c r="D3695" t="str">
        <f t="shared" si="317"/>
        <v>00592310627</v>
      </c>
      <c r="E3695" t="s">
        <v>52</v>
      </c>
      <c r="F3695">
        <v>2014</v>
      </c>
      <c r="G3695" t="s">
        <v>579</v>
      </c>
      <c r="H3695" s="1">
        <v>41751</v>
      </c>
      <c r="I3695" s="1">
        <v>41827</v>
      </c>
      <c r="J3695" s="1">
        <v>41827</v>
      </c>
      <c r="K3695" s="1">
        <v>41917</v>
      </c>
      <c r="N3695" s="5"/>
      <c r="O3695">
        <v>311.10000000000002</v>
      </c>
      <c r="P3695">
        <v>123</v>
      </c>
      <c r="Q3695" s="2">
        <v>38265.300000000003</v>
      </c>
      <c r="R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 s="1">
        <v>42382</v>
      </c>
      <c r="AC3695" t="s">
        <v>53</v>
      </c>
      <c r="AD3695" t="s">
        <v>53</v>
      </c>
      <c r="AK3695">
        <v>0</v>
      </c>
      <c r="AU3695" s="6">
        <v>42040</v>
      </c>
      <c r="AV3695" s="6">
        <v>42040</v>
      </c>
      <c r="AW3695" t="s">
        <v>54</v>
      </c>
      <c r="AX3695" t="str">
        <f t="shared" si="311"/>
        <v>FOR</v>
      </c>
      <c r="AY3695" t="s">
        <v>55</v>
      </c>
    </row>
    <row r="3696" spans="1:51" hidden="1">
      <c r="A3696">
        <v>101317</v>
      </c>
      <c r="B3696" t="s">
        <v>578</v>
      </c>
      <c r="C3696" t="str">
        <f t="shared" si="317"/>
        <v>00592310627</v>
      </c>
      <c r="D3696" t="str">
        <f t="shared" si="317"/>
        <v>00592310627</v>
      </c>
      <c r="E3696" t="s">
        <v>52</v>
      </c>
      <c r="F3696">
        <v>2014</v>
      </c>
      <c r="G3696" t="s">
        <v>580</v>
      </c>
      <c r="H3696" s="1">
        <v>41855</v>
      </c>
      <c r="I3696" s="1">
        <v>41988</v>
      </c>
      <c r="J3696" s="1">
        <v>41988</v>
      </c>
      <c r="K3696" s="1">
        <v>42048</v>
      </c>
      <c r="N3696" s="5"/>
      <c r="O3696">
        <v>118.95</v>
      </c>
      <c r="P3696">
        <v>-8</v>
      </c>
      <c r="Q3696">
        <v>-951.6</v>
      </c>
      <c r="R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 s="1">
        <v>42382</v>
      </c>
      <c r="AC3696" t="s">
        <v>53</v>
      </c>
      <c r="AD3696" t="s">
        <v>53</v>
      </c>
      <c r="AK3696">
        <v>0</v>
      </c>
      <c r="AU3696" s="6">
        <v>42040</v>
      </c>
      <c r="AV3696" s="6">
        <v>42040</v>
      </c>
      <c r="AW3696" t="s">
        <v>54</v>
      </c>
      <c r="AX3696" t="str">
        <f t="shared" si="311"/>
        <v>FOR</v>
      </c>
      <c r="AY3696" t="s">
        <v>55</v>
      </c>
    </row>
    <row r="3697" spans="1:51" hidden="1">
      <c r="A3697">
        <v>101317</v>
      </c>
      <c r="B3697" t="s">
        <v>578</v>
      </c>
      <c r="C3697" t="str">
        <f t="shared" si="317"/>
        <v>00592310627</v>
      </c>
      <c r="D3697" t="str">
        <f t="shared" si="317"/>
        <v>00592310627</v>
      </c>
      <c r="E3697" t="s">
        <v>52</v>
      </c>
      <c r="F3697">
        <v>2014</v>
      </c>
      <c r="G3697" t="s">
        <v>581</v>
      </c>
      <c r="H3697" s="1">
        <v>41891</v>
      </c>
      <c r="I3697" s="1">
        <v>41901</v>
      </c>
      <c r="J3697" s="1">
        <v>41901</v>
      </c>
      <c r="K3697" s="1">
        <v>41991</v>
      </c>
      <c r="N3697" s="5"/>
      <c r="O3697">
        <v>111.02</v>
      </c>
      <c r="P3697">
        <v>49</v>
      </c>
      <c r="Q3697" s="2">
        <v>5439.98</v>
      </c>
      <c r="R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 s="1">
        <v>42382</v>
      </c>
      <c r="AC3697" t="s">
        <v>53</v>
      </c>
      <c r="AD3697" t="s">
        <v>53</v>
      </c>
      <c r="AK3697">
        <v>0</v>
      </c>
      <c r="AU3697" s="6">
        <v>42040</v>
      </c>
      <c r="AV3697" s="6">
        <v>42040</v>
      </c>
      <c r="AW3697" t="s">
        <v>54</v>
      </c>
      <c r="AX3697" t="str">
        <f t="shared" si="311"/>
        <v>FOR</v>
      </c>
      <c r="AY3697" t="s">
        <v>55</v>
      </c>
    </row>
    <row r="3698" spans="1:51" hidden="1">
      <c r="A3698">
        <v>101317</v>
      </c>
      <c r="B3698" t="s">
        <v>578</v>
      </c>
      <c r="C3698" t="str">
        <f t="shared" si="317"/>
        <v>00592310627</v>
      </c>
      <c r="D3698" t="str">
        <f t="shared" si="317"/>
        <v>00592310627</v>
      </c>
      <c r="E3698" t="s">
        <v>52</v>
      </c>
      <c r="F3698">
        <v>2014</v>
      </c>
      <c r="G3698" t="s">
        <v>582</v>
      </c>
      <c r="H3698" s="1">
        <v>41891</v>
      </c>
      <c r="I3698" s="1">
        <v>41901</v>
      </c>
      <c r="J3698" s="1">
        <v>41901</v>
      </c>
      <c r="K3698" s="1">
        <v>41991</v>
      </c>
      <c r="N3698" s="5"/>
      <c r="O3698">
        <v>298.89999999999998</v>
      </c>
      <c r="P3698">
        <v>49</v>
      </c>
      <c r="Q3698" s="2">
        <v>14646.1</v>
      </c>
      <c r="R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 s="1">
        <v>42382</v>
      </c>
      <c r="AC3698" t="s">
        <v>53</v>
      </c>
      <c r="AD3698" t="s">
        <v>53</v>
      </c>
      <c r="AK3698">
        <v>0</v>
      </c>
      <c r="AU3698" s="6">
        <v>42040</v>
      </c>
      <c r="AV3698" s="6">
        <v>42040</v>
      </c>
      <c r="AW3698" t="s">
        <v>54</v>
      </c>
      <c r="AX3698" t="str">
        <f t="shared" si="311"/>
        <v>FOR</v>
      </c>
      <c r="AY3698" t="s">
        <v>55</v>
      </c>
    </row>
    <row r="3699" spans="1:51" hidden="1">
      <c r="A3699">
        <v>101317</v>
      </c>
      <c r="B3699" t="s">
        <v>578</v>
      </c>
      <c r="C3699" t="str">
        <f t="shared" si="317"/>
        <v>00592310627</v>
      </c>
      <c r="D3699" t="str">
        <f t="shared" si="317"/>
        <v>00592310627</v>
      </c>
      <c r="E3699" t="s">
        <v>52</v>
      </c>
      <c r="F3699">
        <v>2014</v>
      </c>
      <c r="G3699" t="s">
        <v>583</v>
      </c>
      <c r="H3699" s="1">
        <v>41891</v>
      </c>
      <c r="I3699" s="1">
        <v>41988</v>
      </c>
      <c r="J3699" s="1">
        <v>41988</v>
      </c>
      <c r="K3699" s="1">
        <v>42048</v>
      </c>
      <c r="N3699" s="5"/>
      <c r="O3699">
        <v>107.97</v>
      </c>
      <c r="P3699">
        <v>-8</v>
      </c>
      <c r="Q3699">
        <v>-863.76</v>
      </c>
      <c r="R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 s="1">
        <v>42382</v>
      </c>
      <c r="AC3699" t="s">
        <v>53</v>
      </c>
      <c r="AD3699" t="s">
        <v>53</v>
      </c>
      <c r="AK3699">
        <v>0</v>
      </c>
      <c r="AU3699" s="6">
        <v>42040</v>
      </c>
      <c r="AV3699" s="6">
        <v>42040</v>
      </c>
      <c r="AW3699" t="s">
        <v>54</v>
      </c>
      <c r="AX3699" t="str">
        <f t="shared" si="311"/>
        <v>FOR</v>
      </c>
      <c r="AY3699" t="s">
        <v>55</v>
      </c>
    </row>
    <row r="3700" spans="1:51" hidden="1">
      <c r="A3700">
        <v>101317</v>
      </c>
      <c r="B3700" t="s">
        <v>578</v>
      </c>
      <c r="C3700" t="str">
        <f t="shared" si="317"/>
        <v>00592310627</v>
      </c>
      <c r="D3700" t="str">
        <f t="shared" si="317"/>
        <v>00592310627</v>
      </c>
      <c r="E3700" t="s">
        <v>52</v>
      </c>
      <c r="F3700">
        <v>2014</v>
      </c>
      <c r="G3700" t="s">
        <v>584</v>
      </c>
      <c r="H3700" s="1">
        <v>41891</v>
      </c>
      <c r="I3700" s="1">
        <v>41901</v>
      </c>
      <c r="J3700" s="1">
        <v>41901</v>
      </c>
      <c r="K3700" s="1">
        <v>41991</v>
      </c>
      <c r="N3700" s="5"/>
      <c r="O3700">
        <v>311.10000000000002</v>
      </c>
      <c r="P3700">
        <v>49</v>
      </c>
      <c r="Q3700" s="2">
        <v>15243.9</v>
      </c>
      <c r="R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 s="1">
        <v>42382</v>
      </c>
      <c r="AC3700" t="s">
        <v>53</v>
      </c>
      <c r="AD3700" t="s">
        <v>53</v>
      </c>
      <c r="AK3700">
        <v>0</v>
      </c>
      <c r="AU3700" s="6">
        <v>42040</v>
      </c>
      <c r="AV3700" s="6">
        <v>42040</v>
      </c>
      <c r="AW3700" t="s">
        <v>54</v>
      </c>
      <c r="AX3700" t="str">
        <f t="shared" si="311"/>
        <v>FOR</v>
      </c>
      <c r="AY3700" t="s">
        <v>55</v>
      </c>
    </row>
    <row r="3701" spans="1:51" hidden="1">
      <c r="A3701">
        <v>101317</v>
      </c>
      <c r="B3701" t="s">
        <v>578</v>
      </c>
      <c r="C3701" t="str">
        <f t="shared" si="317"/>
        <v>00592310627</v>
      </c>
      <c r="D3701" t="str">
        <f t="shared" si="317"/>
        <v>00592310627</v>
      </c>
      <c r="E3701" t="s">
        <v>52</v>
      </c>
      <c r="F3701">
        <v>2014</v>
      </c>
      <c r="G3701" t="s">
        <v>585</v>
      </c>
      <c r="H3701" s="1">
        <v>41891</v>
      </c>
      <c r="I3701" s="1">
        <v>41901</v>
      </c>
      <c r="J3701" s="1">
        <v>41901</v>
      </c>
      <c r="K3701" s="1">
        <v>41991</v>
      </c>
      <c r="N3701" s="5"/>
      <c r="O3701">
        <v>135.41999999999999</v>
      </c>
      <c r="P3701">
        <v>49</v>
      </c>
      <c r="Q3701" s="2">
        <v>6635.58</v>
      </c>
      <c r="R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 s="1">
        <v>42382</v>
      </c>
      <c r="AC3701" t="s">
        <v>53</v>
      </c>
      <c r="AD3701" t="s">
        <v>53</v>
      </c>
      <c r="AK3701">
        <v>0</v>
      </c>
      <c r="AU3701" s="6">
        <v>42040</v>
      </c>
      <c r="AV3701" s="6">
        <v>42040</v>
      </c>
      <c r="AW3701" t="s">
        <v>54</v>
      </c>
      <c r="AX3701" t="str">
        <f t="shared" si="311"/>
        <v>FOR</v>
      </c>
      <c r="AY3701" t="s">
        <v>55</v>
      </c>
    </row>
    <row r="3702" spans="1:51" hidden="1">
      <c r="A3702">
        <v>101317</v>
      </c>
      <c r="B3702" t="s">
        <v>578</v>
      </c>
      <c r="C3702" t="str">
        <f t="shared" si="317"/>
        <v>00592310627</v>
      </c>
      <c r="D3702" t="str">
        <f t="shared" si="317"/>
        <v>00592310627</v>
      </c>
      <c r="E3702" t="s">
        <v>52</v>
      </c>
      <c r="F3702">
        <v>2014</v>
      </c>
      <c r="G3702" t="s">
        <v>586</v>
      </c>
      <c r="H3702" s="1">
        <v>41907</v>
      </c>
      <c r="I3702" s="1">
        <v>41936</v>
      </c>
      <c r="J3702" s="1">
        <v>41936</v>
      </c>
      <c r="K3702" s="1">
        <v>41996</v>
      </c>
      <c r="N3702" s="5"/>
      <c r="O3702">
        <v>145.18</v>
      </c>
      <c r="P3702">
        <v>44</v>
      </c>
      <c r="Q3702" s="2">
        <v>6387.92</v>
      </c>
      <c r="R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 s="1">
        <v>42382</v>
      </c>
      <c r="AC3702" t="s">
        <v>53</v>
      </c>
      <c r="AD3702" t="s">
        <v>53</v>
      </c>
      <c r="AK3702">
        <v>0</v>
      </c>
      <c r="AU3702" s="6">
        <v>42040</v>
      </c>
      <c r="AV3702" s="6">
        <v>42040</v>
      </c>
      <c r="AW3702" t="s">
        <v>54</v>
      </c>
      <c r="AX3702" t="str">
        <f t="shared" si="311"/>
        <v>FOR</v>
      </c>
      <c r="AY3702" t="s">
        <v>55</v>
      </c>
    </row>
    <row r="3703" spans="1:51" hidden="1">
      <c r="A3703">
        <v>101317</v>
      </c>
      <c r="B3703" t="s">
        <v>578</v>
      </c>
      <c r="C3703" t="str">
        <f t="shared" si="317"/>
        <v>00592310627</v>
      </c>
      <c r="D3703" t="str">
        <f t="shared" si="317"/>
        <v>00592310627</v>
      </c>
      <c r="E3703" t="s">
        <v>52</v>
      </c>
      <c r="F3703">
        <v>2014</v>
      </c>
      <c r="G3703" t="s">
        <v>587</v>
      </c>
      <c r="H3703" s="1">
        <v>41907</v>
      </c>
      <c r="I3703" s="1">
        <v>41915</v>
      </c>
      <c r="J3703" s="1">
        <v>41915</v>
      </c>
      <c r="K3703" s="1">
        <v>42005</v>
      </c>
      <c r="N3703" s="5"/>
      <c r="O3703">
        <v>366</v>
      </c>
      <c r="P3703">
        <v>35</v>
      </c>
      <c r="Q3703" s="2">
        <v>12810</v>
      </c>
      <c r="R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 s="1">
        <v>42382</v>
      </c>
      <c r="AC3703" t="s">
        <v>53</v>
      </c>
      <c r="AD3703" t="s">
        <v>53</v>
      </c>
      <c r="AK3703">
        <v>0</v>
      </c>
      <c r="AU3703" s="6">
        <v>42040</v>
      </c>
      <c r="AV3703" s="6">
        <v>42040</v>
      </c>
      <c r="AW3703" t="s">
        <v>54</v>
      </c>
      <c r="AX3703" t="str">
        <f t="shared" si="311"/>
        <v>FOR</v>
      </c>
      <c r="AY3703" t="s">
        <v>55</v>
      </c>
    </row>
    <row r="3704" spans="1:51" hidden="1">
      <c r="A3704">
        <v>101317</v>
      </c>
      <c r="B3704" t="s">
        <v>578</v>
      </c>
      <c r="C3704" t="str">
        <f t="shared" si="317"/>
        <v>00592310627</v>
      </c>
      <c r="D3704" t="str">
        <f t="shared" si="317"/>
        <v>00592310627</v>
      </c>
      <c r="E3704" t="s">
        <v>52</v>
      </c>
      <c r="F3704">
        <v>2014</v>
      </c>
      <c r="G3704" t="s">
        <v>588</v>
      </c>
      <c r="H3704" s="1">
        <v>41907</v>
      </c>
      <c r="I3704" s="1">
        <v>41915</v>
      </c>
      <c r="J3704" s="1">
        <v>41915</v>
      </c>
      <c r="K3704" s="1">
        <v>42005</v>
      </c>
      <c r="N3704" s="5"/>
      <c r="O3704">
        <v>76.25</v>
      </c>
      <c r="P3704">
        <v>35</v>
      </c>
      <c r="Q3704" s="2">
        <v>2668.75</v>
      </c>
      <c r="R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 s="1">
        <v>42382</v>
      </c>
      <c r="AC3704" t="s">
        <v>53</v>
      </c>
      <c r="AD3704" t="s">
        <v>53</v>
      </c>
      <c r="AK3704">
        <v>0</v>
      </c>
      <c r="AU3704" s="6">
        <v>42040</v>
      </c>
      <c r="AV3704" s="6">
        <v>42040</v>
      </c>
      <c r="AW3704" t="s">
        <v>54</v>
      </c>
      <c r="AX3704" t="str">
        <f t="shared" si="311"/>
        <v>FOR</v>
      </c>
      <c r="AY3704" t="s">
        <v>55</v>
      </c>
    </row>
    <row r="3705" spans="1:51" hidden="1">
      <c r="A3705">
        <v>101317</v>
      </c>
      <c r="B3705" t="s">
        <v>578</v>
      </c>
      <c r="C3705" t="str">
        <f t="shared" si="317"/>
        <v>00592310627</v>
      </c>
      <c r="D3705" t="str">
        <f t="shared" si="317"/>
        <v>00592310627</v>
      </c>
      <c r="E3705" t="s">
        <v>52</v>
      </c>
      <c r="F3705">
        <v>2014</v>
      </c>
      <c r="G3705" t="s">
        <v>412</v>
      </c>
      <c r="H3705" s="1">
        <v>41919</v>
      </c>
      <c r="I3705" s="1">
        <v>41925</v>
      </c>
      <c r="J3705" s="1">
        <v>41925</v>
      </c>
      <c r="K3705" s="1">
        <v>42015</v>
      </c>
      <c r="N3705" s="5"/>
      <c r="O3705">
        <v>192.52</v>
      </c>
      <c r="P3705">
        <v>25</v>
      </c>
      <c r="Q3705" s="2">
        <v>4813</v>
      </c>
      <c r="R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 s="1">
        <v>42382</v>
      </c>
      <c r="AC3705" t="s">
        <v>53</v>
      </c>
      <c r="AD3705" t="s">
        <v>53</v>
      </c>
      <c r="AK3705">
        <v>0</v>
      </c>
      <c r="AU3705" s="6">
        <v>42040</v>
      </c>
      <c r="AV3705" s="6">
        <v>42040</v>
      </c>
      <c r="AW3705" t="s">
        <v>54</v>
      </c>
      <c r="AX3705" t="str">
        <f t="shared" si="311"/>
        <v>FOR</v>
      </c>
      <c r="AY3705" t="s">
        <v>55</v>
      </c>
    </row>
    <row r="3706" spans="1:51" hidden="1">
      <c r="A3706">
        <v>101317</v>
      </c>
      <c r="B3706" t="s">
        <v>578</v>
      </c>
      <c r="C3706" t="str">
        <f t="shared" si="317"/>
        <v>00592310627</v>
      </c>
      <c r="D3706" t="str">
        <f t="shared" si="317"/>
        <v>00592310627</v>
      </c>
      <c r="E3706" t="s">
        <v>52</v>
      </c>
      <c r="F3706">
        <v>2014</v>
      </c>
      <c r="G3706" t="s">
        <v>589</v>
      </c>
      <c r="H3706" s="1">
        <v>41919</v>
      </c>
      <c r="I3706" s="1">
        <v>41936</v>
      </c>
      <c r="J3706" s="1">
        <v>41936</v>
      </c>
      <c r="K3706" s="1">
        <v>41996</v>
      </c>
      <c r="N3706" s="5"/>
      <c r="O3706">
        <v>95.16</v>
      </c>
      <c r="P3706">
        <v>44</v>
      </c>
      <c r="Q3706" s="2">
        <v>4187.04</v>
      </c>
      <c r="R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 s="1">
        <v>42382</v>
      </c>
      <c r="AC3706" t="s">
        <v>53</v>
      </c>
      <c r="AD3706" t="s">
        <v>53</v>
      </c>
      <c r="AK3706">
        <v>0</v>
      </c>
      <c r="AU3706" s="6">
        <v>42040</v>
      </c>
      <c r="AV3706" s="6">
        <v>42040</v>
      </c>
      <c r="AW3706" t="s">
        <v>54</v>
      </c>
      <c r="AX3706" t="str">
        <f t="shared" si="311"/>
        <v>FOR</v>
      </c>
      <c r="AY3706" t="s">
        <v>55</v>
      </c>
    </row>
    <row r="3707" spans="1:51" hidden="1">
      <c r="A3707">
        <v>101317</v>
      </c>
      <c r="B3707" t="s">
        <v>578</v>
      </c>
      <c r="C3707" t="str">
        <f t="shared" si="317"/>
        <v>00592310627</v>
      </c>
      <c r="D3707" t="str">
        <f t="shared" si="317"/>
        <v>00592310627</v>
      </c>
      <c r="E3707" t="s">
        <v>52</v>
      </c>
      <c r="F3707">
        <v>2014</v>
      </c>
      <c r="G3707" t="s">
        <v>590</v>
      </c>
      <c r="H3707" s="1">
        <v>41919</v>
      </c>
      <c r="I3707" s="1">
        <v>41936</v>
      </c>
      <c r="J3707" s="1">
        <v>41936</v>
      </c>
      <c r="K3707" s="1">
        <v>41996</v>
      </c>
      <c r="N3707" s="5"/>
      <c r="O3707">
        <v>119.56</v>
      </c>
      <c r="P3707">
        <v>44</v>
      </c>
      <c r="Q3707" s="2">
        <v>5260.64</v>
      </c>
      <c r="R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 s="1">
        <v>42382</v>
      </c>
      <c r="AC3707" t="s">
        <v>53</v>
      </c>
      <c r="AD3707" t="s">
        <v>53</v>
      </c>
      <c r="AK3707">
        <v>0</v>
      </c>
      <c r="AU3707" s="6">
        <v>42040</v>
      </c>
      <c r="AV3707" s="6">
        <v>42040</v>
      </c>
      <c r="AW3707" t="s">
        <v>54</v>
      </c>
      <c r="AX3707" t="str">
        <f t="shared" si="311"/>
        <v>FOR</v>
      </c>
      <c r="AY3707" t="s">
        <v>55</v>
      </c>
    </row>
    <row r="3708" spans="1:51" hidden="1">
      <c r="A3708">
        <v>101317</v>
      </c>
      <c r="B3708" t="s">
        <v>578</v>
      </c>
      <c r="C3708" t="str">
        <f t="shared" si="317"/>
        <v>00592310627</v>
      </c>
      <c r="D3708" t="str">
        <f t="shared" si="317"/>
        <v>00592310627</v>
      </c>
      <c r="E3708" t="s">
        <v>52</v>
      </c>
      <c r="F3708">
        <v>2014</v>
      </c>
      <c r="G3708" t="s">
        <v>591</v>
      </c>
      <c r="H3708" s="1">
        <v>41919</v>
      </c>
      <c r="I3708" s="1">
        <v>41925</v>
      </c>
      <c r="J3708" s="1">
        <v>41925</v>
      </c>
      <c r="K3708" s="1">
        <v>42015</v>
      </c>
      <c r="N3708" s="5"/>
      <c r="O3708">
        <v>17.079999999999998</v>
      </c>
      <c r="P3708">
        <v>25</v>
      </c>
      <c r="Q3708">
        <v>427</v>
      </c>
      <c r="R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 s="1">
        <v>42382</v>
      </c>
      <c r="AC3708" t="s">
        <v>53</v>
      </c>
      <c r="AD3708" t="s">
        <v>53</v>
      </c>
      <c r="AK3708">
        <v>0</v>
      </c>
      <c r="AU3708" s="6">
        <v>42040</v>
      </c>
      <c r="AV3708" s="6">
        <v>42040</v>
      </c>
      <c r="AW3708" t="s">
        <v>54</v>
      </c>
      <c r="AX3708" t="str">
        <f t="shared" si="311"/>
        <v>FOR</v>
      </c>
      <c r="AY3708" t="s">
        <v>55</v>
      </c>
    </row>
    <row r="3709" spans="1:51" hidden="1">
      <c r="A3709">
        <v>101317</v>
      </c>
      <c r="B3709" t="s">
        <v>578</v>
      </c>
      <c r="C3709" t="str">
        <f t="shared" si="317"/>
        <v>00592310627</v>
      </c>
      <c r="D3709" t="str">
        <f t="shared" si="317"/>
        <v>00592310627</v>
      </c>
      <c r="E3709" t="s">
        <v>52</v>
      </c>
      <c r="F3709">
        <v>2014</v>
      </c>
      <c r="G3709" t="s">
        <v>592</v>
      </c>
      <c r="H3709" s="1">
        <v>41919</v>
      </c>
      <c r="I3709" s="1">
        <v>41925</v>
      </c>
      <c r="J3709" s="1">
        <v>41925</v>
      </c>
      <c r="K3709" s="1">
        <v>42015</v>
      </c>
      <c r="N3709" s="5"/>
      <c r="O3709">
        <v>47.58</v>
      </c>
      <c r="P3709">
        <v>25</v>
      </c>
      <c r="Q3709" s="2">
        <v>1189.5</v>
      </c>
      <c r="R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 s="1">
        <v>42382</v>
      </c>
      <c r="AC3709" t="s">
        <v>53</v>
      </c>
      <c r="AD3709" t="s">
        <v>53</v>
      </c>
      <c r="AK3709">
        <v>0</v>
      </c>
      <c r="AU3709" s="6">
        <v>42040</v>
      </c>
      <c r="AV3709" s="6">
        <v>42040</v>
      </c>
      <c r="AW3709" t="s">
        <v>54</v>
      </c>
      <c r="AX3709" t="str">
        <f t="shared" si="311"/>
        <v>FOR</v>
      </c>
      <c r="AY3709" t="s">
        <v>55</v>
      </c>
    </row>
    <row r="3710" spans="1:51" hidden="1">
      <c r="A3710">
        <v>101317</v>
      </c>
      <c r="B3710" t="s">
        <v>578</v>
      </c>
      <c r="C3710" t="str">
        <f t="shared" si="317"/>
        <v>00592310627</v>
      </c>
      <c r="D3710" t="str">
        <f t="shared" si="317"/>
        <v>00592310627</v>
      </c>
      <c r="E3710" t="s">
        <v>52</v>
      </c>
      <c r="F3710">
        <v>2014</v>
      </c>
      <c r="G3710" t="s">
        <v>593</v>
      </c>
      <c r="H3710" s="1">
        <v>41933</v>
      </c>
      <c r="I3710" s="1">
        <v>41936</v>
      </c>
      <c r="J3710" s="1">
        <v>41936</v>
      </c>
      <c r="K3710" s="1">
        <v>41996</v>
      </c>
      <c r="N3710" s="5"/>
      <c r="O3710">
        <v>85.4</v>
      </c>
      <c r="P3710">
        <v>44</v>
      </c>
      <c r="Q3710" s="2">
        <v>3757.6</v>
      </c>
      <c r="R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 s="1">
        <v>42382</v>
      </c>
      <c r="AC3710" t="s">
        <v>53</v>
      </c>
      <c r="AD3710" t="s">
        <v>53</v>
      </c>
      <c r="AK3710">
        <v>0</v>
      </c>
      <c r="AU3710" s="6">
        <v>42040</v>
      </c>
      <c r="AV3710" s="6">
        <v>42040</v>
      </c>
      <c r="AW3710" t="s">
        <v>54</v>
      </c>
      <c r="AX3710" t="str">
        <f t="shared" si="311"/>
        <v>FOR</v>
      </c>
      <c r="AY3710" t="s">
        <v>55</v>
      </c>
    </row>
    <row r="3711" spans="1:51" hidden="1">
      <c r="A3711">
        <v>101317</v>
      </c>
      <c r="B3711" t="s">
        <v>578</v>
      </c>
      <c r="C3711" t="str">
        <f t="shared" ref="C3711:D3730" si="318">"00592310627"</f>
        <v>00592310627</v>
      </c>
      <c r="D3711" t="str">
        <f t="shared" si="318"/>
        <v>00592310627</v>
      </c>
      <c r="E3711" t="s">
        <v>52</v>
      </c>
      <c r="F3711">
        <v>2014</v>
      </c>
      <c r="G3711" t="s">
        <v>594</v>
      </c>
      <c r="H3711" s="1">
        <v>41933</v>
      </c>
      <c r="I3711" s="1">
        <v>41936</v>
      </c>
      <c r="J3711" s="1">
        <v>41936</v>
      </c>
      <c r="K3711" s="1">
        <v>41996</v>
      </c>
      <c r="N3711" s="5"/>
      <c r="O3711">
        <v>56.73</v>
      </c>
      <c r="P3711">
        <v>44</v>
      </c>
      <c r="Q3711" s="2">
        <v>2496.12</v>
      </c>
      <c r="R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 s="1">
        <v>42382</v>
      </c>
      <c r="AC3711" t="s">
        <v>53</v>
      </c>
      <c r="AD3711" t="s">
        <v>53</v>
      </c>
      <c r="AK3711">
        <v>0</v>
      </c>
      <c r="AU3711" s="6">
        <v>42040</v>
      </c>
      <c r="AV3711" s="6">
        <v>42040</v>
      </c>
      <c r="AW3711" t="s">
        <v>54</v>
      </c>
      <c r="AX3711" t="str">
        <f t="shared" si="311"/>
        <v>FOR</v>
      </c>
      <c r="AY3711" t="s">
        <v>55</v>
      </c>
    </row>
    <row r="3712" spans="1:51" hidden="1">
      <c r="A3712">
        <v>101317</v>
      </c>
      <c r="B3712" t="s">
        <v>578</v>
      </c>
      <c r="C3712" t="str">
        <f t="shared" si="318"/>
        <v>00592310627</v>
      </c>
      <c r="D3712" t="str">
        <f t="shared" si="318"/>
        <v>00592310627</v>
      </c>
      <c r="E3712" t="s">
        <v>52</v>
      </c>
      <c r="F3712">
        <v>2014</v>
      </c>
      <c r="G3712" t="s">
        <v>595</v>
      </c>
      <c r="H3712" s="1">
        <v>41933</v>
      </c>
      <c r="I3712" s="1">
        <v>41936</v>
      </c>
      <c r="J3712" s="1">
        <v>41936</v>
      </c>
      <c r="K3712" s="1">
        <v>41996</v>
      </c>
      <c r="N3712" s="5"/>
      <c r="O3712" s="2">
        <v>1024.8</v>
      </c>
      <c r="P3712">
        <v>44</v>
      </c>
      <c r="Q3712" s="2">
        <v>45091.199999999997</v>
      </c>
      <c r="R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 s="1">
        <v>42382</v>
      </c>
      <c r="AC3712" t="s">
        <v>53</v>
      </c>
      <c r="AD3712" t="s">
        <v>53</v>
      </c>
      <c r="AK3712">
        <v>0</v>
      </c>
      <c r="AU3712" s="6">
        <v>42040</v>
      </c>
      <c r="AV3712" s="6">
        <v>42040</v>
      </c>
      <c r="AW3712" t="s">
        <v>54</v>
      </c>
      <c r="AX3712" t="str">
        <f t="shared" si="311"/>
        <v>FOR</v>
      </c>
      <c r="AY3712" t="s">
        <v>55</v>
      </c>
    </row>
    <row r="3713" spans="1:51" hidden="1">
      <c r="A3713">
        <v>101317</v>
      </c>
      <c r="B3713" t="s">
        <v>578</v>
      </c>
      <c r="C3713" t="str">
        <f t="shared" si="318"/>
        <v>00592310627</v>
      </c>
      <c r="D3713" t="str">
        <f t="shared" si="318"/>
        <v>00592310627</v>
      </c>
      <c r="E3713" t="s">
        <v>52</v>
      </c>
      <c r="F3713">
        <v>2014</v>
      </c>
      <c r="G3713" t="s">
        <v>268</v>
      </c>
      <c r="H3713" s="1">
        <v>41933</v>
      </c>
      <c r="I3713" s="1">
        <v>41936</v>
      </c>
      <c r="J3713" s="1">
        <v>41936</v>
      </c>
      <c r="K3713" s="1">
        <v>41996</v>
      </c>
      <c r="N3713" s="5"/>
      <c r="O3713">
        <v>380.64</v>
      </c>
      <c r="P3713">
        <v>44</v>
      </c>
      <c r="Q3713" s="2">
        <v>16748.16</v>
      </c>
      <c r="R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 s="1">
        <v>42382</v>
      </c>
      <c r="AC3713" t="s">
        <v>53</v>
      </c>
      <c r="AD3713" t="s">
        <v>53</v>
      </c>
      <c r="AK3713">
        <v>0</v>
      </c>
      <c r="AU3713" s="6">
        <v>42040</v>
      </c>
      <c r="AV3713" s="6">
        <v>42040</v>
      </c>
      <c r="AW3713" t="s">
        <v>54</v>
      </c>
      <c r="AX3713" t="str">
        <f t="shared" si="311"/>
        <v>FOR</v>
      </c>
      <c r="AY3713" t="s">
        <v>55</v>
      </c>
    </row>
    <row r="3714" spans="1:51" hidden="1">
      <c r="A3714">
        <v>101317</v>
      </c>
      <c r="B3714" t="s">
        <v>578</v>
      </c>
      <c r="C3714" t="str">
        <f t="shared" si="318"/>
        <v>00592310627</v>
      </c>
      <c r="D3714" t="str">
        <f t="shared" si="318"/>
        <v>00592310627</v>
      </c>
      <c r="E3714" t="s">
        <v>52</v>
      </c>
      <c r="F3714">
        <v>2014</v>
      </c>
      <c r="G3714" t="s">
        <v>596</v>
      </c>
      <c r="H3714" s="1">
        <v>41946</v>
      </c>
      <c r="I3714" s="1">
        <v>41949</v>
      </c>
      <c r="J3714" s="1">
        <v>41949</v>
      </c>
      <c r="K3714" s="1">
        <v>42009</v>
      </c>
      <c r="N3714" s="5"/>
      <c r="O3714">
        <v>241.56</v>
      </c>
      <c r="P3714">
        <v>31</v>
      </c>
      <c r="Q3714" s="2">
        <v>7488.36</v>
      </c>
      <c r="R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 s="1">
        <v>42382</v>
      </c>
      <c r="AC3714" t="s">
        <v>53</v>
      </c>
      <c r="AD3714" t="s">
        <v>53</v>
      </c>
      <c r="AK3714">
        <v>0</v>
      </c>
      <c r="AU3714" s="6">
        <v>42040</v>
      </c>
      <c r="AV3714" s="6">
        <v>42040</v>
      </c>
      <c r="AW3714" t="s">
        <v>54</v>
      </c>
      <c r="AX3714" t="str">
        <f t="shared" si="311"/>
        <v>FOR</v>
      </c>
      <c r="AY3714" t="s">
        <v>55</v>
      </c>
    </row>
    <row r="3715" spans="1:51" hidden="1">
      <c r="A3715">
        <v>101317</v>
      </c>
      <c r="B3715" t="s">
        <v>578</v>
      </c>
      <c r="C3715" t="str">
        <f t="shared" si="318"/>
        <v>00592310627</v>
      </c>
      <c r="D3715" t="str">
        <f t="shared" si="318"/>
        <v>00592310627</v>
      </c>
      <c r="E3715" t="s">
        <v>52</v>
      </c>
      <c r="F3715">
        <v>2014</v>
      </c>
      <c r="G3715" t="s">
        <v>597</v>
      </c>
      <c r="H3715" s="1">
        <v>41946</v>
      </c>
      <c r="I3715" s="1">
        <v>41949</v>
      </c>
      <c r="J3715" s="1">
        <v>41949</v>
      </c>
      <c r="K3715" s="1">
        <v>42009</v>
      </c>
      <c r="N3715" s="5"/>
      <c r="O3715">
        <v>283.41000000000003</v>
      </c>
      <c r="P3715">
        <v>31</v>
      </c>
      <c r="Q3715" s="2">
        <v>8785.7099999999991</v>
      </c>
      <c r="R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 s="1">
        <v>42382</v>
      </c>
      <c r="AC3715" t="s">
        <v>53</v>
      </c>
      <c r="AD3715" t="s">
        <v>53</v>
      </c>
      <c r="AK3715">
        <v>0</v>
      </c>
      <c r="AU3715" s="6">
        <v>42040</v>
      </c>
      <c r="AV3715" s="6">
        <v>42040</v>
      </c>
      <c r="AW3715" t="s">
        <v>54</v>
      </c>
      <c r="AX3715" t="str">
        <f t="shared" ref="AX3715:AX3778" si="319">"FOR"</f>
        <v>FOR</v>
      </c>
      <c r="AY3715" t="s">
        <v>55</v>
      </c>
    </row>
    <row r="3716" spans="1:51" hidden="1">
      <c r="A3716">
        <v>101317</v>
      </c>
      <c r="B3716" t="s">
        <v>578</v>
      </c>
      <c r="C3716" t="str">
        <f t="shared" si="318"/>
        <v>00592310627</v>
      </c>
      <c r="D3716" t="str">
        <f t="shared" si="318"/>
        <v>00592310627</v>
      </c>
      <c r="E3716" t="s">
        <v>52</v>
      </c>
      <c r="F3716">
        <v>2014</v>
      </c>
      <c r="G3716" t="s">
        <v>598</v>
      </c>
      <c r="H3716" s="1">
        <v>41946</v>
      </c>
      <c r="I3716" s="1">
        <v>41949</v>
      </c>
      <c r="J3716" s="1">
        <v>41949</v>
      </c>
      <c r="K3716" s="1">
        <v>42009</v>
      </c>
      <c r="N3716" s="5"/>
      <c r="O3716">
        <v>201.3</v>
      </c>
      <c r="P3716">
        <v>31</v>
      </c>
      <c r="Q3716" s="2">
        <v>6240.3</v>
      </c>
      <c r="R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 s="1">
        <v>42382</v>
      </c>
      <c r="AC3716" t="s">
        <v>53</v>
      </c>
      <c r="AD3716" t="s">
        <v>53</v>
      </c>
      <c r="AK3716">
        <v>0</v>
      </c>
      <c r="AU3716" s="6">
        <v>42040</v>
      </c>
      <c r="AV3716" s="6">
        <v>42040</v>
      </c>
      <c r="AW3716" t="s">
        <v>54</v>
      </c>
      <c r="AX3716" t="str">
        <f t="shared" si="319"/>
        <v>FOR</v>
      </c>
      <c r="AY3716" t="s">
        <v>55</v>
      </c>
    </row>
    <row r="3717" spans="1:51" hidden="1">
      <c r="A3717">
        <v>101317</v>
      </c>
      <c r="B3717" t="s">
        <v>578</v>
      </c>
      <c r="C3717" t="str">
        <f t="shared" si="318"/>
        <v>00592310627</v>
      </c>
      <c r="D3717" t="str">
        <f t="shared" si="318"/>
        <v>00592310627</v>
      </c>
      <c r="E3717" t="s">
        <v>52</v>
      </c>
      <c r="F3717">
        <v>2014</v>
      </c>
      <c r="G3717" t="s">
        <v>414</v>
      </c>
      <c r="H3717" s="1">
        <v>41961</v>
      </c>
      <c r="I3717" s="1">
        <v>41962</v>
      </c>
      <c r="J3717" s="1">
        <v>41962</v>
      </c>
      <c r="K3717" s="1">
        <v>42022</v>
      </c>
      <c r="N3717" s="5"/>
      <c r="O3717">
        <v>72.959999999999994</v>
      </c>
      <c r="P3717">
        <v>18</v>
      </c>
      <c r="Q3717" s="2">
        <v>1313.28</v>
      </c>
      <c r="R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 s="1">
        <v>42382</v>
      </c>
      <c r="AC3717" t="s">
        <v>53</v>
      </c>
      <c r="AD3717" t="s">
        <v>53</v>
      </c>
      <c r="AK3717">
        <v>0</v>
      </c>
      <c r="AU3717" s="6">
        <v>42040</v>
      </c>
      <c r="AV3717" s="6">
        <v>42040</v>
      </c>
      <c r="AW3717" t="s">
        <v>54</v>
      </c>
      <c r="AX3717" t="str">
        <f t="shared" si="319"/>
        <v>FOR</v>
      </c>
      <c r="AY3717" t="s">
        <v>55</v>
      </c>
    </row>
    <row r="3718" spans="1:51" hidden="1">
      <c r="A3718">
        <v>101317</v>
      </c>
      <c r="B3718" t="s">
        <v>578</v>
      </c>
      <c r="C3718" t="str">
        <f t="shared" si="318"/>
        <v>00592310627</v>
      </c>
      <c r="D3718" t="str">
        <f t="shared" si="318"/>
        <v>00592310627</v>
      </c>
      <c r="E3718" t="s">
        <v>52</v>
      </c>
      <c r="F3718">
        <v>2014</v>
      </c>
      <c r="G3718" t="s">
        <v>521</v>
      </c>
      <c r="H3718" s="1">
        <v>41961</v>
      </c>
      <c r="I3718" s="1">
        <v>41962</v>
      </c>
      <c r="J3718" s="1">
        <v>41962</v>
      </c>
      <c r="K3718" s="1">
        <v>42022</v>
      </c>
      <c r="N3718" s="5"/>
      <c r="O3718">
        <v>283.64999999999998</v>
      </c>
      <c r="P3718">
        <v>18</v>
      </c>
      <c r="Q3718" s="2">
        <v>5105.7</v>
      </c>
      <c r="R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 s="1">
        <v>42382</v>
      </c>
      <c r="AC3718" t="s">
        <v>53</v>
      </c>
      <c r="AD3718" t="s">
        <v>53</v>
      </c>
      <c r="AK3718">
        <v>0</v>
      </c>
      <c r="AU3718" s="6">
        <v>42040</v>
      </c>
      <c r="AV3718" s="6">
        <v>42040</v>
      </c>
      <c r="AW3718" t="s">
        <v>54</v>
      </c>
      <c r="AX3718" t="str">
        <f t="shared" si="319"/>
        <v>FOR</v>
      </c>
      <c r="AY3718" t="s">
        <v>55</v>
      </c>
    </row>
    <row r="3719" spans="1:51" hidden="1">
      <c r="A3719">
        <v>101317</v>
      </c>
      <c r="B3719" t="s">
        <v>578</v>
      </c>
      <c r="C3719" t="str">
        <f t="shared" si="318"/>
        <v>00592310627</v>
      </c>
      <c r="D3719" t="str">
        <f t="shared" si="318"/>
        <v>00592310627</v>
      </c>
      <c r="E3719" t="s">
        <v>52</v>
      </c>
      <c r="F3719">
        <v>2014</v>
      </c>
      <c r="G3719" t="s">
        <v>599</v>
      </c>
      <c r="H3719" s="1">
        <v>41961</v>
      </c>
      <c r="I3719" s="1">
        <v>41962</v>
      </c>
      <c r="J3719" s="1">
        <v>41962</v>
      </c>
      <c r="K3719" s="1">
        <v>42022</v>
      </c>
      <c r="N3719" s="5"/>
      <c r="O3719">
        <v>62.22</v>
      </c>
      <c r="P3719">
        <v>18</v>
      </c>
      <c r="Q3719" s="2">
        <v>1119.96</v>
      </c>
      <c r="R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 s="1">
        <v>42382</v>
      </c>
      <c r="AC3719" t="s">
        <v>53</v>
      </c>
      <c r="AD3719" t="s">
        <v>53</v>
      </c>
      <c r="AK3719">
        <v>0</v>
      </c>
      <c r="AU3719" s="6">
        <v>42040</v>
      </c>
      <c r="AV3719" s="6">
        <v>42040</v>
      </c>
      <c r="AW3719" t="s">
        <v>54</v>
      </c>
      <c r="AX3719" t="str">
        <f t="shared" si="319"/>
        <v>FOR</v>
      </c>
      <c r="AY3719" t="s">
        <v>55</v>
      </c>
    </row>
    <row r="3720" spans="1:51" hidden="1">
      <c r="A3720">
        <v>101317</v>
      </c>
      <c r="B3720" t="s">
        <v>578</v>
      </c>
      <c r="C3720" t="str">
        <f t="shared" si="318"/>
        <v>00592310627</v>
      </c>
      <c r="D3720" t="str">
        <f t="shared" si="318"/>
        <v>00592310627</v>
      </c>
      <c r="E3720" t="s">
        <v>52</v>
      </c>
      <c r="F3720">
        <v>2014</v>
      </c>
      <c r="G3720" t="s">
        <v>600</v>
      </c>
      <c r="H3720" s="1">
        <v>41961</v>
      </c>
      <c r="I3720" s="1">
        <v>41962</v>
      </c>
      <c r="J3720" s="1">
        <v>41962</v>
      </c>
      <c r="K3720" s="1">
        <v>42022</v>
      </c>
      <c r="N3720" s="5"/>
      <c r="O3720">
        <v>389.18</v>
      </c>
      <c r="P3720">
        <v>18</v>
      </c>
      <c r="Q3720" s="2">
        <v>7005.24</v>
      </c>
      <c r="R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 s="1">
        <v>42382</v>
      </c>
      <c r="AC3720" t="s">
        <v>53</v>
      </c>
      <c r="AD3720" t="s">
        <v>53</v>
      </c>
      <c r="AK3720">
        <v>0</v>
      </c>
      <c r="AU3720" s="6">
        <v>42040</v>
      </c>
      <c r="AV3720" s="6">
        <v>42040</v>
      </c>
      <c r="AW3720" t="s">
        <v>54</v>
      </c>
      <c r="AX3720" t="str">
        <f t="shared" si="319"/>
        <v>FOR</v>
      </c>
      <c r="AY3720" t="s">
        <v>55</v>
      </c>
    </row>
    <row r="3721" spans="1:51" hidden="1">
      <c r="A3721">
        <v>101317</v>
      </c>
      <c r="B3721" t="s">
        <v>578</v>
      </c>
      <c r="C3721" t="str">
        <f t="shared" si="318"/>
        <v>00592310627</v>
      </c>
      <c r="D3721" t="str">
        <f t="shared" si="318"/>
        <v>00592310627</v>
      </c>
      <c r="E3721" t="s">
        <v>52</v>
      </c>
      <c r="F3721">
        <v>2014</v>
      </c>
      <c r="G3721" t="s">
        <v>601</v>
      </c>
      <c r="H3721" s="1">
        <v>41961</v>
      </c>
      <c r="I3721" s="1">
        <v>41962</v>
      </c>
      <c r="J3721" s="1">
        <v>41962</v>
      </c>
      <c r="K3721" s="1">
        <v>42022</v>
      </c>
      <c r="N3721" s="5"/>
      <c r="O3721">
        <v>358.68</v>
      </c>
      <c r="P3721">
        <v>18</v>
      </c>
      <c r="Q3721" s="2">
        <v>6456.24</v>
      </c>
      <c r="R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 s="1">
        <v>42382</v>
      </c>
      <c r="AC3721" t="s">
        <v>53</v>
      </c>
      <c r="AD3721" t="s">
        <v>53</v>
      </c>
      <c r="AK3721">
        <v>0</v>
      </c>
      <c r="AU3721" s="6">
        <v>42040</v>
      </c>
      <c r="AV3721" s="6">
        <v>42040</v>
      </c>
      <c r="AW3721" t="s">
        <v>54</v>
      </c>
      <c r="AX3721" t="str">
        <f t="shared" si="319"/>
        <v>FOR</v>
      </c>
      <c r="AY3721" t="s">
        <v>55</v>
      </c>
    </row>
    <row r="3722" spans="1:51" hidden="1">
      <c r="A3722">
        <v>101317</v>
      </c>
      <c r="B3722" t="s">
        <v>578</v>
      </c>
      <c r="C3722" t="str">
        <f t="shared" si="318"/>
        <v>00592310627</v>
      </c>
      <c r="D3722" t="str">
        <f t="shared" si="318"/>
        <v>00592310627</v>
      </c>
      <c r="E3722" t="s">
        <v>52</v>
      </c>
      <c r="F3722">
        <v>2014</v>
      </c>
      <c r="G3722" t="s">
        <v>602</v>
      </c>
      <c r="H3722" s="1">
        <v>41968</v>
      </c>
      <c r="I3722" s="1">
        <v>41974</v>
      </c>
      <c r="J3722" s="1">
        <v>41974</v>
      </c>
      <c r="K3722" s="1">
        <v>42034</v>
      </c>
      <c r="N3722" s="5"/>
      <c r="O3722">
        <v>311.10000000000002</v>
      </c>
      <c r="P3722">
        <v>6</v>
      </c>
      <c r="Q3722" s="2">
        <v>1866.6</v>
      </c>
      <c r="R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 s="1">
        <v>42382</v>
      </c>
      <c r="AC3722" t="s">
        <v>53</v>
      </c>
      <c r="AD3722" t="s">
        <v>53</v>
      </c>
      <c r="AK3722">
        <v>0</v>
      </c>
      <c r="AU3722" s="6">
        <v>42040</v>
      </c>
      <c r="AV3722" s="6">
        <v>42040</v>
      </c>
      <c r="AW3722" t="s">
        <v>54</v>
      </c>
      <c r="AX3722" t="str">
        <f t="shared" si="319"/>
        <v>FOR</v>
      </c>
      <c r="AY3722" t="s">
        <v>55</v>
      </c>
    </row>
    <row r="3723" spans="1:51" hidden="1">
      <c r="A3723">
        <v>101317</v>
      </c>
      <c r="B3723" t="s">
        <v>578</v>
      </c>
      <c r="C3723" t="str">
        <f t="shared" si="318"/>
        <v>00592310627</v>
      </c>
      <c r="D3723" t="str">
        <f t="shared" si="318"/>
        <v>00592310627</v>
      </c>
      <c r="E3723" t="s">
        <v>52</v>
      </c>
      <c r="F3723">
        <v>2014</v>
      </c>
      <c r="G3723" t="s">
        <v>603</v>
      </c>
      <c r="H3723" s="1">
        <v>41968</v>
      </c>
      <c r="I3723" s="1">
        <v>41974</v>
      </c>
      <c r="J3723" s="1">
        <v>41974</v>
      </c>
      <c r="K3723" s="1">
        <v>42034</v>
      </c>
      <c r="N3723" s="5"/>
      <c r="O3723">
        <v>54.9</v>
      </c>
      <c r="P3723">
        <v>6</v>
      </c>
      <c r="Q3723">
        <v>329.4</v>
      </c>
      <c r="R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 s="1">
        <v>42382</v>
      </c>
      <c r="AC3723" t="s">
        <v>53</v>
      </c>
      <c r="AD3723" t="s">
        <v>53</v>
      </c>
      <c r="AK3723">
        <v>0</v>
      </c>
      <c r="AU3723" s="6">
        <v>42040</v>
      </c>
      <c r="AV3723" s="6">
        <v>42040</v>
      </c>
      <c r="AW3723" t="s">
        <v>54</v>
      </c>
      <c r="AX3723" t="str">
        <f t="shared" si="319"/>
        <v>FOR</v>
      </c>
      <c r="AY3723" t="s">
        <v>55</v>
      </c>
    </row>
    <row r="3724" spans="1:51" hidden="1">
      <c r="A3724">
        <v>101317</v>
      </c>
      <c r="B3724" t="s">
        <v>578</v>
      </c>
      <c r="C3724" t="str">
        <f t="shared" si="318"/>
        <v>00592310627</v>
      </c>
      <c r="D3724" t="str">
        <f t="shared" si="318"/>
        <v>00592310627</v>
      </c>
      <c r="E3724" t="s">
        <v>52</v>
      </c>
      <c r="F3724">
        <v>2014</v>
      </c>
      <c r="G3724" t="s">
        <v>604</v>
      </c>
      <c r="H3724" s="1">
        <v>41968</v>
      </c>
      <c r="I3724" s="1">
        <v>41974</v>
      </c>
      <c r="J3724" s="1">
        <v>41974</v>
      </c>
      <c r="K3724" s="1">
        <v>42034</v>
      </c>
      <c r="N3724" s="5"/>
      <c r="O3724">
        <v>329.4</v>
      </c>
      <c r="P3724">
        <v>6</v>
      </c>
      <c r="Q3724" s="2">
        <v>1976.4</v>
      </c>
      <c r="R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 s="1">
        <v>42382</v>
      </c>
      <c r="AC3724" t="s">
        <v>53</v>
      </c>
      <c r="AD3724" t="s">
        <v>53</v>
      </c>
      <c r="AK3724">
        <v>0</v>
      </c>
      <c r="AU3724" s="6">
        <v>42040</v>
      </c>
      <c r="AV3724" s="6">
        <v>42040</v>
      </c>
      <c r="AW3724" t="s">
        <v>54</v>
      </c>
      <c r="AX3724" t="str">
        <f t="shared" si="319"/>
        <v>FOR</v>
      </c>
      <c r="AY3724" t="s">
        <v>55</v>
      </c>
    </row>
    <row r="3725" spans="1:51" hidden="1">
      <c r="A3725">
        <v>101317</v>
      </c>
      <c r="B3725" t="s">
        <v>578</v>
      </c>
      <c r="C3725" t="str">
        <f t="shared" si="318"/>
        <v>00592310627</v>
      </c>
      <c r="D3725" t="str">
        <f t="shared" si="318"/>
        <v>00592310627</v>
      </c>
      <c r="E3725" t="s">
        <v>52</v>
      </c>
      <c r="F3725">
        <v>2014</v>
      </c>
      <c r="G3725" t="s">
        <v>605</v>
      </c>
      <c r="H3725" s="1">
        <v>41968</v>
      </c>
      <c r="I3725" s="1">
        <v>41974</v>
      </c>
      <c r="J3725" s="1">
        <v>41974</v>
      </c>
      <c r="K3725" s="1">
        <v>42034</v>
      </c>
      <c r="N3725" s="5"/>
      <c r="O3725">
        <v>85.28</v>
      </c>
      <c r="P3725">
        <v>6</v>
      </c>
      <c r="Q3725">
        <v>511.68</v>
      </c>
      <c r="R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 s="1">
        <v>42382</v>
      </c>
      <c r="AC3725" t="s">
        <v>53</v>
      </c>
      <c r="AD3725" t="s">
        <v>53</v>
      </c>
      <c r="AK3725">
        <v>0</v>
      </c>
      <c r="AU3725" s="6">
        <v>42040</v>
      </c>
      <c r="AV3725" s="6">
        <v>42040</v>
      </c>
      <c r="AW3725" t="s">
        <v>54</v>
      </c>
      <c r="AX3725" t="str">
        <f t="shared" si="319"/>
        <v>FOR</v>
      </c>
      <c r="AY3725" t="s">
        <v>55</v>
      </c>
    </row>
    <row r="3726" spans="1:51" hidden="1">
      <c r="A3726">
        <v>101317</v>
      </c>
      <c r="B3726" t="s">
        <v>578</v>
      </c>
      <c r="C3726" t="str">
        <f t="shared" si="318"/>
        <v>00592310627</v>
      </c>
      <c r="D3726" t="str">
        <f t="shared" si="318"/>
        <v>00592310627</v>
      </c>
      <c r="E3726" t="s">
        <v>52</v>
      </c>
      <c r="F3726">
        <v>2014</v>
      </c>
      <c r="G3726" t="s">
        <v>606</v>
      </c>
      <c r="H3726" s="1">
        <v>41968</v>
      </c>
      <c r="I3726" s="1">
        <v>41974</v>
      </c>
      <c r="J3726" s="1">
        <v>41974</v>
      </c>
      <c r="K3726" s="1">
        <v>42034</v>
      </c>
      <c r="N3726" s="5"/>
      <c r="O3726">
        <v>18.91</v>
      </c>
      <c r="P3726">
        <v>6</v>
      </c>
      <c r="Q3726">
        <v>113.46</v>
      </c>
      <c r="R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 s="1">
        <v>42382</v>
      </c>
      <c r="AC3726" t="s">
        <v>53</v>
      </c>
      <c r="AD3726" t="s">
        <v>53</v>
      </c>
      <c r="AK3726">
        <v>0</v>
      </c>
      <c r="AU3726" s="6">
        <v>42040</v>
      </c>
      <c r="AV3726" s="6">
        <v>42040</v>
      </c>
      <c r="AW3726" t="s">
        <v>54</v>
      </c>
      <c r="AX3726" t="str">
        <f t="shared" si="319"/>
        <v>FOR</v>
      </c>
      <c r="AY3726" t="s">
        <v>55</v>
      </c>
    </row>
    <row r="3727" spans="1:51" hidden="1">
      <c r="A3727">
        <v>101317</v>
      </c>
      <c r="B3727" t="s">
        <v>578</v>
      </c>
      <c r="C3727" t="str">
        <f t="shared" si="318"/>
        <v>00592310627</v>
      </c>
      <c r="D3727" t="str">
        <f t="shared" si="318"/>
        <v>00592310627</v>
      </c>
      <c r="E3727" t="s">
        <v>52</v>
      </c>
      <c r="F3727">
        <v>2014</v>
      </c>
      <c r="G3727" t="s">
        <v>607</v>
      </c>
      <c r="H3727" s="1">
        <v>41976</v>
      </c>
      <c r="I3727" s="1">
        <v>41983</v>
      </c>
      <c r="J3727" s="1">
        <v>41983</v>
      </c>
      <c r="K3727" s="1">
        <v>42043</v>
      </c>
      <c r="N3727" s="5"/>
      <c r="O3727">
        <v>192.15</v>
      </c>
      <c r="P3727">
        <v>-3</v>
      </c>
      <c r="Q3727">
        <v>-576.45000000000005</v>
      </c>
      <c r="R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 s="1">
        <v>42382</v>
      </c>
      <c r="AC3727" t="s">
        <v>53</v>
      </c>
      <c r="AD3727" t="s">
        <v>53</v>
      </c>
      <c r="AK3727">
        <v>0</v>
      </c>
      <c r="AU3727" s="6">
        <v>42040</v>
      </c>
      <c r="AV3727" s="6">
        <v>42040</v>
      </c>
      <c r="AW3727" t="s">
        <v>54</v>
      </c>
      <c r="AX3727" t="str">
        <f t="shared" si="319"/>
        <v>FOR</v>
      </c>
      <c r="AY3727" t="s">
        <v>55</v>
      </c>
    </row>
    <row r="3728" spans="1:51" hidden="1">
      <c r="A3728">
        <v>101317</v>
      </c>
      <c r="B3728" t="s">
        <v>578</v>
      </c>
      <c r="C3728" t="str">
        <f t="shared" si="318"/>
        <v>00592310627</v>
      </c>
      <c r="D3728" t="str">
        <f t="shared" si="318"/>
        <v>00592310627</v>
      </c>
      <c r="E3728" t="s">
        <v>52</v>
      </c>
      <c r="F3728">
        <v>2014</v>
      </c>
      <c r="G3728" t="s">
        <v>608</v>
      </c>
      <c r="H3728" s="1">
        <v>41976</v>
      </c>
      <c r="I3728" s="1">
        <v>41983</v>
      </c>
      <c r="J3728" s="1">
        <v>41983</v>
      </c>
      <c r="K3728" s="1">
        <v>42043</v>
      </c>
      <c r="N3728" s="5"/>
      <c r="O3728">
        <v>357.46</v>
      </c>
      <c r="P3728">
        <v>-3</v>
      </c>
      <c r="Q3728" s="2">
        <v>-1072.3800000000001</v>
      </c>
      <c r="R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 s="1">
        <v>42382</v>
      </c>
      <c r="AC3728" t="s">
        <v>53</v>
      </c>
      <c r="AD3728" t="s">
        <v>53</v>
      </c>
      <c r="AK3728">
        <v>0</v>
      </c>
      <c r="AU3728" s="6">
        <v>42040</v>
      </c>
      <c r="AV3728" s="6">
        <v>42040</v>
      </c>
      <c r="AW3728" t="s">
        <v>54</v>
      </c>
      <c r="AX3728" t="str">
        <f t="shared" si="319"/>
        <v>FOR</v>
      </c>
      <c r="AY3728" t="s">
        <v>55</v>
      </c>
    </row>
    <row r="3729" spans="1:51" hidden="1">
      <c r="A3729">
        <v>101317</v>
      </c>
      <c r="B3729" t="s">
        <v>578</v>
      </c>
      <c r="C3729" t="str">
        <f t="shared" si="318"/>
        <v>00592310627</v>
      </c>
      <c r="D3729" t="str">
        <f t="shared" si="318"/>
        <v>00592310627</v>
      </c>
      <c r="E3729" t="s">
        <v>52</v>
      </c>
      <c r="F3729">
        <v>2014</v>
      </c>
      <c r="G3729" t="s">
        <v>609</v>
      </c>
      <c r="H3729" s="1">
        <v>41976</v>
      </c>
      <c r="I3729" s="1">
        <v>41983</v>
      </c>
      <c r="J3729" s="1">
        <v>41983</v>
      </c>
      <c r="K3729" s="1">
        <v>42043</v>
      </c>
      <c r="N3729" s="5"/>
      <c r="O3729">
        <v>31.11</v>
      </c>
      <c r="P3729">
        <v>-3</v>
      </c>
      <c r="Q3729">
        <v>-93.33</v>
      </c>
      <c r="R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 s="1">
        <v>42382</v>
      </c>
      <c r="AC3729" t="s">
        <v>53</v>
      </c>
      <c r="AD3729" t="s">
        <v>53</v>
      </c>
      <c r="AK3729">
        <v>0</v>
      </c>
      <c r="AU3729" s="6">
        <v>42040</v>
      </c>
      <c r="AV3729" s="6">
        <v>42040</v>
      </c>
      <c r="AW3729" t="s">
        <v>54</v>
      </c>
      <c r="AX3729" t="str">
        <f t="shared" si="319"/>
        <v>FOR</v>
      </c>
      <c r="AY3729" t="s">
        <v>55</v>
      </c>
    </row>
    <row r="3730" spans="1:51" hidden="1">
      <c r="A3730">
        <v>101317</v>
      </c>
      <c r="B3730" t="s">
        <v>578</v>
      </c>
      <c r="C3730" t="str">
        <f t="shared" si="318"/>
        <v>00592310627</v>
      </c>
      <c r="D3730" t="str">
        <f t="shared" si="318"/>
        <v>00592310627</v>
      </c>
      <c r="E3730" t="s">
        <v>52</v>
      </c>
      <c r="F3730">
        <v>2014</v>
      </c>
      <c r="G3730" t="s">
        <v>610</v>
      </c>
      <c r="H3730" s="1">
        <v>41976</v>
      </c>
      <c r="I3730" s="1">
        <v>41983</v>
      </c>
      <c r="J3730" s="1">
        <v>41983</v>
      </c>
      <c r="K3730" s="1">
        <v>42043</v>
      </c>
      <c r="N3730" s="5"/>
      <c r="O3730">
        <v>57.95</v>
      </c>
      <c r="P3730">
        <v>-3</v>
      </c>
      <c r="Q3730">
        <v>-173.85</v>
      </c>
      <c r="R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 s="1">
        <v>42382</v>
      </c>
      <c r="AC3730" t="s">
        <v>53</v>
      </c>
      <c r="AD3730" t="s">
        <v>53</v>
      </c>
      <c r="AK3730">
        <v>0</v>
      </c>
      <c r="AU3730" s="6">
        <v>42040</v>
      </c>
      <c r="AV3730" s="6">
        <v>42040</v>
      </c>
      <c r="AW3730" t="s">
        <v>54</v>
      </c>
      <c r="AX3730" t="str">
        <f t="shared" si="319"/>
        <v>FOR</v>
      </c>
      <c r="AY3730" t="s">
        <v>55</v>
      </c>
    </row>
    <row r="3731" spans="1:51" hidden="1">
      <c r="A3731">
        <v>101317</v>
      </c>
      <c r="B3731" t="s">
        <v>578</v>
      </c>
      <c r="C3731" t="str">
        <f t="shared" ref="C3731:D3750" si="320">"00592310627"</f>
        <v>00592310627</v>
      </c>
      <c r="D3731" t="str">
        <f t="shared" si="320"/>
        <v>00592310627</v>
      </c>
      <c r="E3731" t="s">
        <v>52</v>
      </c>
      <c r="F3731">
        <v>2014</v>
      </c>
      <c r="G3731" t="s">
        <v>611</v>
      </c>
      <c r="H3731" s="1">
        <v>41985</v>
      </c>
      <c r="I3731" s="1">
        <v>41988</v>
      </c>
      <c r="J3731" s="1">
        <v>41988</v>
      </c>
      <c r="K3731" s="1">
        <v>42048</v>
      </c>
      <c r="N3731" s="5"/>
      <c r="O3731">
        <v>164.7</v>
      </c>
      <c r="P3731">
        <v>-8</v>
      </c>
      <c r="Q3731" s="2">
        <v>-1317.6</v>
      </c>
      <c r="R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 s="1">
        <v>42382</v>
      </c>
      <c r="AC3731" t="s">
        <v>53</v>
      </c>
      <c r="AD3731" t="s">
        <v>53</v>
      </c>
      <c r="AK3731">
        <v>0</v>
      </c>
      <c r="AU3731" s="6">
        <v>42040</v>
      </c>
      <c r="AV3731" s="6">
        <v>42040</v>
      </c>
      <c r="AW3731" t="s">
        <v>54</v>
      </c>
      <c r="AX3731" t="str">
        <f t="shared" si="319"/>
        <v>FOR</v>
      </c>
      <c r="AY3731" t="s">
        <v>55</v>
      </c>
    </row>
    <row r="3732" spans="1:51" hidden="1">
      <c r="A3732">
        <v>101317</v>
      </c>
      <c r="B3732" t="s">
        <v>578</v>
      </c>
      <c r="C3732" t="str">
        <f t="shared" si="320"/>
        <v>00592310627</v>
      </c>
      <c r="D3732" t="str">
        <f t="shared" si="320"/>
        <v>00592310627</v>
      </c>
      <c r="E3732" t="s">
        <v>52</v>
      </c>
      <c r="F3732">
        <v>2014</v>
      </c>
      <c r="G3732" t="s">
        <v>612</v>
      </c>
      <c r="H3732" s="1">
        <v>41985</v>
      </c>
      <c r="I3732" s="1">
        <v>41988</v>
      </c>
      <c r="J3732" s="1">
        <v>41988</v>
      </c>
      <c r="K3732" s="1">
        <v>42048</v>
      </c>
      <c r="N3732" s="5"/>
      <c r="O3732">
        <v>725.9</v>
      </c>
      <c r="P3732">
        <v>-8</v>
      </c>
      <c r="Q3732" s="2">
        <v>-5807.2</v>
      </c>
      <c r="R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 s="1">
        <v>42382</v>
      </c>
      <c r="AC3732" t="s">
        <v>53</v>
      </c>
      <c r="AD3732" t="s">
        <v>53</v>
      </c>
      <c r="AK3732">
        <v>0</v>
      </c>
      <c r="AU3732" s="6">
        <v>42040</v>
      </c>
      <c r="AV3732" s="6">
        <v>42040</v>
      </c>
      <c r="AW3732" t="s">
        <v>54</v>
      </c>
      <c r="AX3732" t="str">
        <f t="shared" si="319"/>
        <v>FOR</v>
      </c>
      <c r="AY3732" t="s">
        <v>55</v>
      </c>
    </row>
    <row r="3733" spans="1:51" hidden="1">
      <c r="A3733">
        <v>101317</v>
      </c>
      <c r="B3733" t="s">
        <v>578</v>
      </c>
      <c r="C3733" t="str">
        <f t="shared" si="320"/>
        <v>00592310627</v>
      </c>
      <c r="D3733" t="str">
        <f t="shared" si="320"/>
        <v>00592310627</v>
      </c>
      <c r="E3733" t="s">
        <v>52</v>
      </c>
      <c r="F3733">
        <v>2014</v>
      </c>
      <c r="G3733" t="s">
        <v>613</v>
      </c>
      <c r="H3733" s="1">
        <v>41985</v>
      </c>
      <c r="I3733" s="1">
        <v>41988</v>
      </c>
      <c r="J3733" s="1">
        <v>41988</v>
      </c>
      <c r="K3733" s="1">
        <v>42048</v>
      </c>
      <c r="N3733" s="5"/>
      <c r="O3733">
        <v>463.6</v>
      </c>
      <c r="P3733">
        <v>-8</v>
      </c>
      <c r="Q3733" s="2">
        <v>-3708.8</v>
      </c>
      <c r="R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 s="1">
        <v>42382</v>
      </c>
      <c r="AC3733" t="s">
        <v>53</v>
      </c>
      <c r="AD3733" t="s">
        <v>53</v>
      </c>
      <c r="AK3733">
        <v>0</v>
      </c>
      <c r="AU3733" s="6">
        <v>42040</v>
      </c>
      <c r="AV3733" s="6">
        <v>42040</v>
      </c>
      <c r="AW3733" t="s">
        <v>54</v>
      </c>
      <c r="AX3733" t="str">
        <f t="shared" si="319"/>
        <v>FOR</v>
      </c>
      <c r="AY3733" t="s">
        <v>55</v>
      </c>
    </row>
    <row r="3734" spans="1:51" hidden="1">
      <c r="A3734">
        <v>101317</v>
      </c>
      <c r="B3734" t="s">
        <v>578</v>
      </c>
      <c r="C3734" t="str">
        <f t="shared" si="320"/>
        <v>00592310627</v>
      </c>
      <c r="D3734" t="str">
        <f t="shared" si="320"/>
        <v>00592310627</v>
      </c>
      <c r="E3734" t="s">
        <v>52</v>
      </c>
      <c r="F3734">
        <v>2014</v>
      </c>
      <c r="G3734" t="s">
        <v>614</v>
      </c>
      <c r="H3734" s="1">
        <v>41985</v>
      </c>
      <c r="I3734" s="1">
        <v>41988</v>
      </c>
      <c r="J3734" s="1">
        <v>41988</v>
      </c>
      <c r="K3734" s="1">
        <v>42048</v>
      </c>
      <c r="N3734" s="5"/>
      <c r="O3734">
        <v>128.1</v>
      </c>
      <c r="P3734">
        <v>-8</v>
      </c>
      <c r="Q3734" s="2">
        <v>-1024.8</v>
      </c>
      <c r="R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 s="1">
        <v>42382</v>
      </c>
      <c r="AC3734" t="s">
        <v>53</v>
      </c>
      <c r="AD3734" t="s">
        <v>53</v>
      </c>
      <c r="AK3734">
        <v>0</v>
      </c>
      <c r="AU3734" s="6">
        <v>42040</v>
      </c>
      <c r="AV3734" s="6">
        <v>42040</v>
      </c>
      <c r="AW3734" t="s">
        <v>54</v>
      </c>
      <c r="AX3734" t="str">
        <f t="shared" si="319"/>
        <v>FOR</v>
      </c>
      <c r="AY3734" t="s">
        <v>55</v>
      </c>
    </row>
    <row r="3735" spans="1:51" hidden="1">
      <c r="A3735">
        <v>101317</v>
      </c>
      <c r="B3735" t="s">
        <v>578</v>
      </c>
      <c r="C3735" t="str">
        <f t="shared" si="320"/>
        <v>00592310627</v>
      </c>
      <c r="D3735" t="str">
        <f t="shared" si="320"/>
        <v>00592310627</v>
      </c>
      <c r="E3735" t="s">
        <v>52</v>
      </c>
      <c r="F3735">
        <v>2014</v>
      </c>
      <c r="G3735" t="s">
        <v>615</v>
      </c>
      <c r="H3735" s="1">
        <v>41989</v>
      </c>
      <c r="I3735" s="1">
        <v>41991</v>
      </c>
      <c r="J3735" s="1">
        <v>41991</v>
      </c>
      <c r="K3735" s="1">
        <v>42051</v>
      </c>
      <c r="N3735" s="5"/>
      <c r="O3735">
        <v>53.07</v>
      </c>
      <c r="P3735">
        <v>-11</v>
      </c>
      <c r="Q3735">
        <v>-583.77</v>
      </c>
      <c r="R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 s="1">
        <v>42382</v>
      </c>
      <c r="AC3735" t="s">
        <v>53</v>
      </c>
      <c r="AD3735" t="s">
        <v>53</v>
      </c>
      <c r="AK3735">
        <v>0</v>
      </c>
      <c r="AU3735" s="6">
        <v>42040</v>
      </c>
      <c r="AV3735" s="6">
        <v>42040</v>
      </c>
      <c r="AW3735" t="s">
        <v>54</v>
      </c>
      <c r="AX3735" t="str">
        <f t="shared" si="319"/>
        <v>FOR</v>
      </c>
      <c r="AY3735" t="s">
        <v>55</v>
      </c>
    </row>
    <row r="3736" spans="1:51" hidden="1">
      <c r="A3736">
        <v>101317</v>
      </c>
      <c r="B3736" t="s">
        <v>578</v>
      </c>
      <c r="C3736" t="str">
        <f t="shared" si="320"/>
        <v>00592310627</v>
      </c>
      <c r="D3736" t="str">
        <f t="shared" si="320"/>
        <v>00592310627</v>
      </c>
      <c r="E3736" t="s">
        <v>52</v>
      </c>
      <c r="F3736">
        <v>2014</v>
      </c>
      <c r="G3736" t="s">
        <v>616</v>
      </c>
      <c r="H3736" s="1">
        <v>41989</v>
      </c>
      <c r="I3736" s="1">
        <v>41991</v>
      </c>
      <c r="J3736" s="1">
        <v>41991</v>
      </c>
      <c r="K3736" s="1">
        <v>42051</v>
      </c>
      <c r="N3736" s="5"/>
      <c r="O3736">
        <v>707.6</v>
      </c>
      <c r="P3736">
        <v>-11</v>
      </c>
      <c r="Q3736" s="2">
        <v>-7783.6</v>
      </c>
      <c r="R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 s="1">
        <v>42382</v>
      </c>
      <c r="AC3736" t="s">
        <v>53</v>
      </c>
      <c r="AD3736" t="s">
        <v>53</v>
      </c>
      <c r="AK3736">
        <v>0</v>
      </c>
      <c r="AU3736" s="6">
        <v>42040</v>
      </c>
      <c r="AV3736" s="6">
        <v>42040</v>
      </c>
      <c r="AW3736" t="s">
        <v>54</v>
      </c>
      <c r="AX3736" t="str">
        <f t="shared" si="319"/>
        <v>FOR</v>
      </c>
      <c r="AY3736" t="s">
        <v>55</v>
      </c>
    </row>
    <row r="3737" spans="1:51" hidden="1">
      <c r="A3737">
        <v>101317</v>
      </c>
      <c r="B3737" t="s">
        <v>578</v>
      </c>
      <c r="C3737" t="str">
        <f t="shared" si="320"/>
        <v>00592310627</v>
      </c>
      <c r="D3737" t="str">
        <f t="shared" si="320"/>
        <v>00592310627</v>
      </c>
      <c r="E3737" t="s">
        <v>52</v>
      </c>
      <c r="F3737">
        <v>2014</v>
      </c>
      <c r="G3737" t="s">
        <v>617</v>
      </c>
      <c r="H3737" s="1">
        <v>41989</v>
      </c>
      <c r="I3737" s="1">
        <v>41991</v>
      </c>
      <c r="J3737" s="1">
        <v>41991</v>
      </c>
      <c r="K3737" s="1">
        <v>42051</v>
      </c>
      <c r="N3737" s="5"/>
      <c r="O3737">
        <v>35.380000000000003</v>
      </c>
      <c r="P3737">
        <v>-11</v>
      </c>
      <c r="Q3737">
        <v>-389.18</v>
      </c>
      <c r="R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 s="1">
        <v>42382</v>
      </c>
      <c r="AC3737" t="s">
        <v>53</v>
      </c>
      <c r="AD3737" t="s">
        <v>53</v>
      </c>
      <c r="AK3737">
        <v>0</v>
      </c>
      <c r="AU3737" s="6">
        <v>42040</v>
      </c>
      <c r="AV3737" s="6">
        <v>42040</v>
      </c>
      <c r="AW3737" t="s">
        <v>54</v>
      </c>
      <c r="AX3737" t="str">
        <f t="shared" si="319"/>
        <v>FOR</v>
      </c>
      <c r="AY3737" t="s">
        <v>55</v>
      </c>
    </row>
    <row r="3738" spans="1:51" hidden="1">
      <c r="A3738">
        <v>101317</v>
      </c>
      <c r="B3738" t="s">
        <v>578</v>
      </c>
      <c r="C3738" t="str">
        <f t="shared" si="320"/>
        <v>00592310627</v>
      </c>
      <c r="D3738" t="str">
        <f t="shared" si="320"/>
        <v>00592310627</v>
      </c>
      <c r="E3738" t="s">
        <v>52</v>
      </c>
      <c r="F3738">
        <v>2014</v>
      </c>
      <c r="G3738" t="s">
        <v>618</v>
      </c>
      <c r="H3738" s="1">
        <v>41989</v>
      </c>
      <c r="I3738" s="1">
        <v>41991</v>
      </c>
      <c r="J3738" s="1">
        <v>41991</v>
      </c>
      <c r="K3738" s="1">
        <v>42051</v>
      </c>
      <c r="N3738" s="5"/>
      <c r="O3738">
        <v>35.380000000000003</v>
      </c>
      <c r="P3738">
        <v>-11</v>
      </c>
      <c r="Q3738">
        <v>-389.18</v>
      </c>
      <c r="R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 s="1">
        <v>42382</v>
      </c>
      <c r="AC3738" t="s">
        <v>53</v>
      </c>
      <c r="AD3738" t="s">
        <v>53</v>
      </c>
      <c r="AK3738">
        <v>0</v>
      </c>
      <c r="AU3738" s="6">
        <v>42040</v>
      </c>
      <c r="AV3738" s="6">
        <v>42040</v>
      </c>
      <c r="AW3738" t="s">
        <v>54</v>
      </c>
      <c r="AX3738" t="str">
        <f t="shared" si="319"/>
        <v>FOR</v>
      </c>
      <c r="AY3738" t="s">
        <v>55</v>
      </c>
    </row>
    <row r="3739" spans="1:51" hidden="1">
      <c r="A3739">
        <v>101317</v>
      </c>
      <c r="B3739" t="s">
        <v>578</v>
      </c>
      <c r="C3739" t="str">
        <f t="shared" si="320"/>
        <v>00592310627</v>
      </c>
      <c r="D3739" t="str">
        <f t="shared" si="320"/>
        <v>00592310627</v>
      </c>
      <c r="E3739" t="s">
        <v>52</v>
      </c>
      <c r="F3739">
        <v>2014</v>
      </c>
      <c r="G3739" t="s">
        <v>619</v>
      </c>
      <c r="H3739" s="1">
        <v>41989</v>
      </c>
      <c r="I3739" s="1">
        <v>41991</v>
      </c>
      <c r="J3739" s="1">
        <v>41991</v>
      </c>
      <c r="K3739" s="1">
        <v>42051</v>
      </c>
      <c r="N3739" s="5"/>
      <c r="O3739">
        <v>148.22999999999999</v>
      </c>
      <c r="P3739">
        <v>-11</v>
      </c>
      <c r="Q3739" s="2">
        <v>-1630.53</v>
      </c>
      <c r="R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 s="1">
        <v>42382</v>
      </c>
      <c r="AC3739" t="s">
        <v>53</v>
      </c>
      <c r="AD3739" t="s">
        <v>53</v>
      </c>
      <c r="AK3739">
        <v>0</v>
      </c>
      <c r="AU3739" s="6">
        <v>42040</v>
      </c>
      <c r="AV3739" s="6">
        <v>42040</v>
      </c>
      <c r="AW3739" t="s">
        <v>54</v>
      </c>
      <c r="AX3739" t="str">
        <f t="shared" si="319"/>
        <v>FOR</v>
      </c>
      <c r="AY3739" t="s">
        <v>55</v>
      </c>
    </row>
    <row r="3740" spans="1:51" hidden="1">
      <c r="A3740">
        <v>101317</v>
      </c>
      <c r="B3740" t="s">
        <v>578</v>
      </c>
      <c r="C3740" t="str">
        <f t="shared" si="320"/>
        <v>00592310627</v>
      </c>
      <c r="D3740" t="str">
        <f t="shared" si="320"/>
        <v>00592310627</v>
      </c>
      <c r="E3740" t="s">
        <v>52</v>
      </c>
      <c r="F3740">
        <v>2014</v>
      </c>
      <c r="G3740" t="s">
        <v>620</v>
      </c>
      <c r="H3740" s="1">
        <v>41989</v>
      </c>
      <c r="I3740" s="1">
        <v>41991</v>
      </c>
      <c r="J3740" s="1">
        <v>41991</v>
      </c>
      <c r="K3740" s="1">
        <v>42051</v>
      </c>
      <c r="N3740" s="5"/>
      <c r="O3740">
        <v>513.62</v>
      </c>
      <c r="P3740">
        <v>-11</v>
      </c>
      <c r="Q3740" s="2">
        <v>-5649.82</v>
      </c>
      <c r="R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 s="1">
        <v>42382</v>
      </c>
      <c r="AC3740" t="s">
        <v>53</v>
      </c>
      <c r="AD3740" t="s">
        <v>53</v>
      </c>
      <c r="AK3740">
        <v>0</v>
      </c>
      <c r="AU3740" s="6">
        <v>42040</v>
      </c>
      <c r="AV3740" s="6">
        <v>42040</v>
      </c>
      <c r="AW3740" t="s">
        <v>54</v>
      </c>
      <c r="AX3740" t="str">
        <f t="shared" si="319"/>
        <v>FOR</v>
      </c>
      <c r="AY3740" t="s">
        <v>55</v>
      </c>
    </row>
    <row r="3741" spans="1:51" hidden="1">
      <c r="A3741">
        <v>101317</v>
      </c>
      <c r="B3741" t="s">
        <v>578</v>
      </c>
      <c r="C3741" t="str">
        <f t="shared" si="320"/>
        <v>00592310627</v>
      </c>
      <c r="D3741" t="str">
        <f t="shared" si="320"/>
        <v>00592310627</v>
      </c>
      <c r="E3741" t="s">
        <v>52</v>
      </c>
      <c r="F3741">
        <v>2014</v>
      </c>
      <c r="G3741" t="s">
        <v>621</v>
      </c>
      <c r="H3741" s="1">
        <v>41989</v>
      </c>
      <c r="I3741" s="1">
        <v>41991</v>
      </c>
      <c r="J3741" s="1">
        <v>41991</v>
      </c>
      <c r="K3741" s="1">
        <v>42051</v>
      </c>
      <c r="N3741" s="5"/>
      <c r="O3741">
        <v>95.16</v>
      </c>
      <c r="P3741">
        <v>-11</v>
      </c>
      <c r="Q3741" s="2">
        <v>-1046.76</v>
      </c>
      <c r="R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 s="1">
        <v>42382</v>
      </c>
      <c r="AC3741" t="s">
        <v>53</v>
      </c>
      <c r="AD3741" t="s">
        <v>53</v>
      </c>
      <c r="AK3741">
        <v>0</v>
      </c>
      <c r="AU3741" s="6">
        <v>42040</v>
      </c>
      <c r="AV3741" s="6">
        <v>42040</v>
      </c>
      <c r="AW3741" t="s">
        <v>54</v>
      </c>
      <c r="AX3741" t="str">
        <f t="shared" si="319"/>
        <v>FOR</v>
      </c>
      <c r="AY3741" t="s">
        <v>55</v>
      </c>
    </row>
    <row r="3742" spans="1:51" hidden="1">
      <c r="A3742">
        <v>101317</v>
      </c>
      <c r="B3742" t="s">
        <v>578</v>
      </c>
      <c r="C3742" t="str">
        <f t="shared" si="320"/>
        <v>00592310627</v>
      </c>
      <c r="D3742" t="str">
        <f t="shared" si="320"/>
        <v>00592310627</v>
      </c>
      <c r="E3742" t="s">
        <v>52</v>
      </c>
      <c r="F3742">
        <v>2014</v>
      </c>
      <c r="G3742" t="s">
        <v>522</v>
      </c>
      <c r="H3742" s="1">
        <v>41989</v>
      </c>
      <c r="I3742" s="1">
        <v>41991</v>
      </c>
      <c r="J3742" s="1">
        <v>41991</v>
      </c>
      <c r="K3742" s="1">
        <v>42051</v>
      </c>
      <c r="N3742" s="5"/>
      <c r="O3742">
        <v>103.7</v>
      </c>
      <c r="P3742">
        <v>-11</v>
      </c>
      <c r="Q3742" s="2">
        <v>-1140.7</v>
      </c>
      <c r="R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 s="1">
        <v>42382</v>
      </c>
      <c r="AC3742" t="s">
        <v>53</v>
      </c>
      <c r="AD3742" t="s">
        <v>53</v>
      </c>
      <c r="AK3742">
        <v>0</v>
      </c>
      <c r="AU3742" s="6">
        <v>42040</v>
      </c>
      <c r="AV3742" s="6">
        <v>42040</v>
      </c>
      <c r="AW3742" t="s">
        <v>54</v>
      </c>
      <c r="AX3742" t="str">
        <f t="shared" si="319"/>
        <v>FOR</v>
      </c>
      <c r="AY3742" t="s">
        <v>55</v>
      </c>
    </row>
    <row r="3743" spans="1:51" hidden="1">
      <c r="A3743">
        <v>101317</v>
      </c>
      <c r="B3743" t="s">
        <v>578</v>
      </c>
      <c r="C3743" t="str">
        <f t="shared" si="320"/>
        <v>00592310627</v>
      </c>
      <c r="D3743" t="str">
        <f t="shared" si="320"/>
        <v>00592310627</v>
      </c>
      <c r="E3743" t="s">
        <v>52</v>
      </c>
      <c r="F3743">
        <v>2014</v>
      </c>
      <c r="G3743" t="s">
        <v>523</v>
      </c>
      <c r="H3743" s="1">
        <v>41989</v>
      </c>
      <c r="I3743" s="1">
        <v>41991</v>
      </c>
      <c r="J3743" s="1">
        <v>41991</v>
      </c>
      <c r="K3743" s="1">
        <v>42051</v>
      </c>
      <c r="N3743" s="5"/>
      <c r="O3743">
        <v>291.58</v>
      </c>
      <c r="P3743">
        <v>-11</v>
      </c>
      <c r="Q3743" s="2">
        <v>-3207.38</v>
      </c>
      <c r="R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 s="1">
        <v>42382</v>
      </c>
      <c r="AC3743" t="s">
        <v>53</v>
      </c>
      <c r="AD3743" t="s">
        <v>53</v>
      </c>
      <c r="AK3743">
        <v>0</v>
      </c>
      <c r="AU3743" s="6">
        <v>42040</v>
      </c>
      <c r="AV3743" s="6">
        <v>42040</v>
      </c>
      <c r="AW3743" t="s">
        <v>54</v>
      </c>
      <c r="AX3743" t="str">
        <f t="shared" si="319"/>
        <v>FOR</v>
      </c>
      <c r="AY3743" t="s">
        <v>55</v>
      </c>
    </row>
    <row r="3744" spans="1:51" hidden="1">
      <c r="A3744">
        <v>101317</v>
      </c>
      <c r="B3744" t="s">
        <v>578</v>
      </c>
      <c r="C3744" t="str">
        <f t="shared" si="320"/>
        <v>00592310627</v>
      </c>
      <c r="D3744" t="str">
        <f t="shared" si="320"/>
        <v>00592310627</v>
      </c>
      <c r="E3744" t="s">
        <v>52</v>
      </c>
      <c r="F3744">
        <v>2014</v>
      </c>
      <c r="G3744" t="s">
        <v>622</v>
      </c>
      <c r="H3744" s="1">
        <v>41996</v>
      </c>
      <c r="I3744" s="1">
        <v>41996</v>
      </c>
      <c r="J3744" s="1">
        <v>41996</v>
      </c>
      <c r="K3744" s="1">
        <v>42056</v>
      </c>
      <c r="N3744" s="5"/>
      <c r="O3744">
        <v>168.36</v>
      </c>
      <c r="P3744">
        <v>-16</v>
      </c>
      <c r="Q3744" s="2">
        <v>-2693.76</v>
      </c>
      <c r="R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 s="1">
        <v>42382</v>
      </c>
      <c r="AC3744" t="s">
        <v>53</v>
      </c>
      <c r="AD3744" t="s">
        <v>53</v>
      </c>
      <c r="AK3744">
        <v>0</v>
      </c>
      <c r="AU3744" s="6">
        <v>42040</v>
      </c>
      <c r="AV3744" s="6">
        <v>42040</v>
      </c>
      <c r="AW3744" t="s">
        <v>54</v>
      </c>
      <c r="AX3744" t="str">
        <f t="shared" si="319"/>
        <v>FOR</v>
      </c>
      <c r="AY3744" t="s">
        <v>55</v>
      </c>
    </row>
    <row r="3745" spans="1:51" hidden="1">
      <c r="A3745">
        <v>101317</v>
      </c>
      <c r="B3745" t="s">
        <v>578</v>
      </c>
      <c r="C3745" t="str">
        <f t="shared" si="320"/>
        <v>00592310627</v>
      </c>
      <c r="D3745" t="str">
        <f t="shared" si="320"/>
        <v>00592310627</v>
      </c>
      <c r="E3745" t="s">
        <v>52</v>
      </c>
      <c r="F3745">
        <v>2014</v>
      </c>
      <c r="G3745" t="s">
        <v>623</v>
      </c>
      <c r="H3745" s="1">
        <v>41996</v>
      </c>
      <c r="I3745" s="1">
        <v>41996</v>
      </c>
      <c r="J3745" s="1">
        <v>41996</v>
      </c>
      <c r="K3745" s="1">
        <v>42056</v>
      </c>
      <c r="N3745" s="5"/>
      <c r="O3745">
        <v>120.78</v>
      </c>
      <c r="P3745">
        <v>-16</v>
      </c>
      <c r="Q3745" s="2">
        <v>-1932.48</v>
      </c>
      <c r="R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 s="1">
        <v>42382</v>
      </c>
      <c r="AC3745" t="s">
        <v>53</v>
      </c>
      <c r="AD3745" t="s">
        <v>53</v>
      </c>
      <c r="AK3745">
        <v>0</v>
      </c>
      <c r="AU3745" s="6">
        <v>42040</v>
      </c>
      <c r="AV3745" s="6">
        <v>42040</v>
      </c>
      <c r="AW3745" t="s">
        <v>54</v>
      </c>
      <c r="AX3745" t="str">
        <f t="shared" si="319"/>
        <v>FOR</v>
      </c>
      <c r="AY3745" t="s">
        <v>55</v>
      </c>
    </row>
    <row r="3746" spans="1:51" hidden="1">
      <c r="A3746">
        <v>101317</v>
      </c>
      <c r="B3746" t="s">
        <v>578</v>
      </c>
      <c r="C3746" t="str">
        <f t="shared" si="320"/>
        <v>00592310627</v>
      </c>
      <c r="D3746" t="str">
        <f t="shared" si="320"/>
        <v>00592310627</v>
      </c>
      <c r="E3746" t="s">
        <v>52</v>
      </c>
      <c r="F3746">
        <v>2014</v>
      </c>
      <c r="G3746" t="s">
        <v>624</v>
      </c>
      <c r="H3746" s="1">
        <v>41996</v>
      </c>
      <c r="I3746" s="1">
        <v>41996</v>
      </c>
      <c r="J3746" s="1">
        <v>41996</v>
      </c>
      <c r="K3746" s="1">
        <v>42056</v>
      </c>
      <c r="N3746" s="5"/>
      <c r="O3746">
        <v>45.14</v>
      </c>
      <c r="P3746">
        <v>-16</v>
      </c>
      <c r="Q3746">
        <v>-722.24</v>
      </c>
      <c r="R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 s="1">
        <v>42382</v>
      </c>
      <c r="AC3746" t="s">
        <v>53</v>
      </c>
      <c r="AD3746" t="s">
        <v>53</v>
      </c>
      <c r="AK3746">
        <v>0</v>
      </c>
      <c r="AU3746" s="6">
        <v>42040</v>
      </c>
      <c r="AV3746" s="6">
        <v>42040</v>
      </c>
      <c r="AW3746" t="s">
        <v>54</v>
      </c>
      <c r="AX3746" t="str">
        <f t="shared" si="319"/>
        <v>FOR</v>
      </c>
      <c r="AY3746" t="s">
        <v>55</v>
      </c>
    </row>
    <row r="3747" spans="1:51" hidden="1">
      <c r="A3747">
        <v>101317</v>
      </c>
      <c r="B3747" t="s">
        <v>578</v>
      </c>
      <c r="C3747" t="str">
        <f t="shared" si="320"/>
        <v>00592310627</v>
      </c>
      <c r="D3747" t="str">
        <f t="shared" si="320"/>
        <v>00592310627</v>
      </c>
      <c r="E3747" t="s">
        <v>52</v>
      </c>
      <c r="F3747">
        <v>2014</v>
      </c>
      <c r="G3747" t="s">
        <v>625</v>
      </c>
      <c r="H3747" s="1">
        <v>41996</v>
      </c>
      <c r="I3747" s="1">
        <v>41996</v>
      </c>
      <c r="J3747" s="1">
        <v>41996</v>
      </c>
      <c r="K3747" s="1">
        <v>42056</v>
      </c>
      <c r="N3747" s="5"/>
      <c r="O3747">
        <v>146.4</v>
      </c>
      <c r="P3747">
        <v>-16</v>
      </c>
      <c r="Q3747" s="2">
        <v>-2342.4</v>
      </c>
      <c r="R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 s="1">
        <v>42382</v>
      </c>
      <c r="AC3747" t="s">
        <v>53</v>
      </c>
      <c r="AD3747" t="s">
        <v>53</v>
      </c>
      <c r="AK3747">
        <v>0</v>
      </c>
      <c r="AU3747" s="6">
        <v>42040</v>
      </c>
      <c r="AV3747" s="6">
        <v>42040</v>
      </c>
      <c r="AW3747" t="s">
        <v>54</v>
      </c>
      <c r="AX3747" t="str">
        <f t="shared" si="319"/>
        <v>FOR</v>
      </c>
      <c r="AY3747" t="s">
        <v>55</v>
      </c>
    </row>
    <row r="3748" spans="1:51" hidden="1">
      <c r="A3748">
        <v>101317</v>
      </c>
      <c r="B3748" t="s">
        <v>578</v>
      </c>
      <c r="C3748" t="str">
        <f t="shared" si="320"/>
        <v>00592310627</v>
      </c>
      <c r="D3748" t="str">
        <f t="shared" si="320"/>
        <v>00592310627</v>
      </c>
      <c r="E3748" t="s">
        <v>52</v>
      </c>
      <c r="F3748">
        <v>2014</v>
      </c>
      <c r="G3748" t="s">
        <v>626</v>
      </c>
      <c r="H3748" s="1">
        <v>41996</v>
      </c>
      <c r="I3748" s="1">
        <v>41996</v>
      </c>
      <c r="J3748" s="1">
        <v>41996</v>
      </c>
      <c r="K3748" s="1">
        <v>42056</v>
      </c>
      <c r="N3748" s="5"/>
      <c r="O3748">
        <v>212.28</v>
      </c>
      <c r="P3748">
        <v>-16</v>
      </c>
      <c r="Q3748" s="2">
        <v>-3396.48</v>
      </c>
      <c r="R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 s="1">
        <v>42382</v>
      </c>
      <c r="AC3748" t="s">
        <v>53</v>
      </c>
      <c r="AD3748" t="s">
        <v>53</v>
      </c>
      <c r="AK3748">
        <v>0</v>
      </c>
      <c r="AU3748" s="6">
        <v>42040</v>
      </c>
      <c r="AV3748" s="6">
        <v>42040</v>
      </c>
      <c r="AW3748" t="s">
        <v>54</v>
      </c>
      <c r="AX3748" t="str">
        <f t="shared" si="319"/>
        <v>FOR</v>
      </c>
      <c r="AY3748" t="s">
        <v>55</v>
      </c>
    </row>
    <row r="3749" spans="1:51" hidden="1">
      <c r="A3749">
        <v>101317</v>
      </c>
      <c r="B3749" t="s">
        <v>578</v>
      </c>
      <c r="C3749" t="str">
        <f t="shared" si="320"/>
        <v>00592310627</v>
      </c>
      <c r="D3749" t="str">
        <f t="shared" si="320"/>
        <v>00592310627</v>
      </c>
      <c r="E3749" t="s">
        <v>52</v>
      </c>
      <c r="F3749">
        <v>2014</v>
      </c>
      <c r="G3749" t="s">
        <v>627</v>
      </c>
      <c r="H3749" s="1">
        <v>41996</v>
      </c>
      <c r="I3749" s="1">
        <v>41996</v>
      </c>
      <c r="J3749" s="1">
        <v>41996</v>
      </c>
      <c r="K3749" s="1">
        <v>42056</v>
      </c>
      <c r="N3749" s="5"/>
      <c r="O3749">
        <v>207.4</v>
      </c>
      <c r="P3749">
        <v>-16</v>
      </c>
      <c r="Q3749" s="2">
        <v>-3318.4</v>
      </c>
      <c r="R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 s="1">
        <v>42382</v>
      </c>
      <c r="AC3749" t="s">
        <v>53</v>
      </c>
      <c r="AD3749" t="s">
        <v>53</v>
      </c>
      <c r="AK3749">
        <v>0</v>
      </c>
      <c r="AU3749" s="6">
        <v>42040</v>
      </c>
      <c r="AV3749" s="6">
        <v>42040</v>
      </c>
      <c r="AW3749" t="s">
        <v>54</v>
      </c>
      <c r="AX3749" t="str">
        <f t="shared" si="319"/>
        <v>FOR</v>
      </c>
      <c r="AY3749" t="s">
        <v>55</v>
      </c>
    </row>
    <row r="3750" spans="1:51" hidden="1">
      <c r="A3750">
        <v>101317</v>
      </c>
      <c r="B3750" t="s">
        <v>578</v>
      </c>
      <c r="C3750" t="str">
        <f t="shared" si="320"/>
        <v>00592310627</v>
      </c>
      <c r="D3750" t="str">
        <f t="shared" si="320"/>
        <v>00592310627</v>
      </c>
      <c r="E3750" t="s">
        <v>52</v>
      </c>
      <c r="F3750">
        <v>2014</v>
      </c>
      <c r="G3750" t="s">
        <v>415</v>
      </c>
      <c r="H3750" s="1">
        <v>41996</v>
      </c>
      <c r="I3750" s="1">
        <v>41996</v>
      </c>
      <c r="J3750" s="1">
        <v>41996</v>
      </c>
      <c r="K3750" s="1">
        <v>42056</v>
      </c>
      <c r="N3750" s="5"/>
      <c r="O3750">
        <v>241.56</v>
      </c>
      <c r="P3750">
        <v>-16</v>
      </c>
      <c r="Q3750" s="2">
        <v>-3864.96</v>
      </c>
      <c r="R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 s="1">
        <v>42382</v>
      </c>
      <c r="AC3750" t="s">
        <v>53</v>
      </c>
      <c r="AD3750" t="s">
        <v>53</v>
      </c>
      <c r="AK3750">
        <v>0</v>
      </c>
      <c r="AU3750" s="6">
        <v>42040</v>
      </c>
      <c r="AV3750" s="6">
        <v>42040</v>
      </c>
      <c r="AW3750" t="s">
        <v>54</v>
      </c>
      <c r="AX3750" t="str">
        <f t="shared" si="319"/>
        <v>FOR</v>
      </c>
      <c r="AY3750" t="s">
        <v>55</v>
      </c>
    </row>
    <row r="3751" spans="1:51" hidden="1">
      <c r="A3751">
        <v>101317</v>
      </c>
      <c r="B3751" t="s">
        <v>578</v>
      </c>
      <c r="C3751" t="str">
        <f t="shared" ref="C3751:D3770" si="321">"00592310627"</f>
        <v>00592310627</v>
      </c>
      <c r="D3751" t="str">
        <f t="shared" si="321"/>
        <v>00592310627</v>
      </c>
      <c r="E3751" t="s">
        <v>52</v>
      </c>
      <c r="F3751">
        <v>2014</v>
      </c>
      <c r="G3751" t="s">
        <v>628</v>
      </c>
      <c r="H3751" s="1">
        <v>41996</v>
      </c>
      <c r="I3751" s="1">
        <v>41996</v>
      </c>
      <c r="J3751" s="1">
        <v>41996</v>
      </c>
      <c r="K3751" s="1">
        <v>42056</v>
      </c>
      <c r="N3751" s="5"/>
      <c r="O3751">
        <v>768.6</v>
      </c>
      <c r="P3751">
        <v>-16</v>
      </c>
      <c r="Q3751" s="2">
        <v>-12297.6</v>
      </c>
      <c r="R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 s="1">
        <v>42382</v>
      </c>
      <c r="AC3751" t="s">
        <v>53</v>
      </c>
      <c r="AD3751" t="s">
        <v>53</v>
      </c>
      <c r="AK3751">
        <v>0</v>
      </c>
      <c r="AU3751" s="6">
        <v>42040</v>
      </c>
      <c r="AV3751" s="6">
        <v>42040</v>
      </c>
      <c r="AW3751" t="s">
        <v>54</v>
      </c>
      <c r="AX3751" t="str">
        <f t="shared" si="319"/>
        <v>FOR</v>
      </c>
      <c r="AY3751" t="s">
        <v>55</v>
      </c>
    </row>
    <row r="3752" spans="1:51" hidden="1">
      <c r="A3752">
        <v>101317</v>
      </c>
      <c r="B3752" t="s">
        <v>578</v>
      </c>
      <c r="C3752" t="str">
        <f t="shared" si="321"/>
        <v>00592310627</v>
      </c>
      <c r="D3752" t="str">
        <f t="shared" si="321"/>
        <v>00592310627</v>
      </c>
      <c r="E3752" t="s">
        <v>52</v>
      </c>
      <c r="F3752">
        <v>2014</v>
      </c>
      <c r="G3752" t="s">
        <v>526</v>
      </c>
      <c r="H3752" s="1">
        <v>41996</v>
      </c>
      <c r="I3752" s="1">
        <v>41996</v>
      </c>
      <c r="J3752" s="1">
        <v>41996</v>
      </c>
      <c r="K3752" s="1">
        <v>42056</v>
      </c>
      <c r="N3752" s="5"/>
      <c r="O3752">
        <v>752.13</v>
      </c>
      <c r="P3752">
        <v>-16</v>
      </c>
      <c r="Q3752" s="2">
        <v>-12034.08</v>
      </c>
      <c r="R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 s="1">
        <v>42382</v>
      </c>
      <c r="AC3752" t="s">
        <v>53</v>
      </c>
      <c r="AD3752" t="s">
        <v>53</v>
      </c>
      <c r="AK3752">
        <v>0</v>
      </c>
      <c r="AU3752" s="6">
        <v>42040</v>
      </c>
      <c r="AV3752" s="6">
        <v>42040</v>
      </c>
      <c r="AW3752" t="s">
        <v>54</v>
      </c>
      <c r="AX3752" t="str">
        <f t="shared" si="319"/>
        <v>FOR</v>
      </c>
      <c r="AY3752" t="s">
        <v>55</v>
      </c>
    </row>
    <row r="3753" spans="1:51" hidden="1">
      <c r="A3753">
        <v>101317</v>
      </c>
      <c r="B3753" t="s">
        <v>578</v>
      </c>
      <c r="C3753" t="str">
        <f t="shared" si="321"/>
        <v>00592310627</v>
      </c>
      <c r="D3753" t="str">
        <f t="shared" si="321"/>
        <v>00592310627</v>
      </c>
      <c r="E3753" t="s">
        <v>52</v>
      </c>
      <c r="F3753">
        <v>2015</v>
      </c>
      <c r="G3753" t="s">
        <v>404</v>
      </c>
      <c r="H3753" s="1">
        <v>42019</v>
      </c>
      <c r="I3753" s="1">
        <v>42025</v>
      </c>
      <c r="J3753" s="1">
        <v>42025</v>
      </c>
      <c r="K3753" s="1">
        <v>42085</v>
      </c>
      <c r="N3753" s="5"/>
      <c r="O3753" s="2">
        <v>1207</v>
      </c>
      <c r="P3753">
        <v>38</v>
      </c>
      <c r="Q3753" s="2">
        <v>45866</v>
      </c>
      <c r="R3753">
        <v>265.54000000000002</v>
      </c>
      <c r="V3753">
        <v>0</v>
      </c>
      <c r="W3753">
        <v>0</v>
      </c>
      <c r="X3753">
        <v>0</v>
      </c>
      <c r="Y3753" s="2">
        <v>1472.54</v>
      </c>
      <c r="Z3753" s="2">
        <v>1472.54</v>
      </c>
      <c r="AA3753" s="2">
        <v>1472.54</v>
      </c>
      <c r="AB3753" s="1">
        <v>42382</v>
      </c>
      <c r="AC3753" t="s">
        <v>53</v>
      </c>
      <c r="AD3753" t="s">
        <v>53</v>
      </c>
      <c r="AK3753">
        <v>265.54000000000002</v>
      </c>
      <c r="AU3753" s="6">
        <v>42123</v>
      </c>
      <c r="AV3753" s="6">
        <v>42123</v>
      </c>
      <c r="AW3753" t="s">
        <v>54</v>
      </c>
      <c r="AX3753" t="str">
        <f t="shared" si="319"/>
        <v>FOR</v>
      </c>
      <c r="AY3753" t="s">
        <v>55</v>
      </c>
    </row>
    <row r="3754" spans="1:51" hidden="1">
      <c r="A3754">
        <v>101317</v>
      </c>
      <c r="B3754" t="s">
        <v>578</v>
      </c>
      <c r="C3754" t="str">
        <f t="shared" si="321"/>
        <v>00592310627</v>
      </c>
      <c r="D3754" t="str">
        <f t="shared" si="321"/>
        <v>00592310627</v>
      </c>
      <c r="E3754" t="s">
        <v>52</v>
      </c>
      <c r="F3754">
        <v>2015</v>
      </c>
      <c r="G3754" t="s">
        <v>434</v>
      </c>
      <c r="H3754" s="1">
        <v>42019</v>
      </c>
      <c r="I3754" s="1">
        <v>42025</v>
      </c>
      <c r="J3754" s="1">
        <v>42025</v>
      </c>
      <c r="K3754" s="1">
        <v>42085</v>
      </c>
      <c r="N3754" s="5"/>
      <c r="O3754">
        <v>52</v>
      </c>
      <c r="P3754">
        <v>38</v>
      </c>
      <c r="Q3754" s="2">
        <v>1976</v>
      </c>
      <c r="R3754">
        <v>11.44</v>
      </c>
      <c r="V3754">
        <v>0</v>
      </c>
      <c r="W3754">
        <v>0</v>
      </c>
      <c r="X3754">
        <v>0</v>
      </c>
      <c r="Y3754">
        <v>63.44</v>
      </c>
      <c r="Z3754">
        <v>63.44</v>
      </c>
      <c r="AA3754">
        <v>63.44</v>
      </c>
      <c r="AB3754" s="1">
        <v>42382</v>
      </c>
      <c r="AC3754" t="s">
        <v>53</v>
      </c>
      <c r="AD3754" t="s">
        <v>53</v>
      </c>
      <c r="AK3754">
        <v>11.44</v>
      </c>
      <c r="AU3754" s="6">
        <v>42123</v>
      </c>
      <c r="AV3754" s="6">
        <v>42123</v>
      </c>
      <c r="AW3754" t="s">
        <v>54</v>
      </c>
      <c r="AX3754" t="str">
        <f t="shared" si="319"/>
        <v>FOR</v>
      </c>
      <c r="AY3754" t="s">
        <v>55</v>
      </c>
    </row>
    <row r="3755" spans="1:51" hidden="1">
      <c r="A3755">
        <v>101317</v>
      </c>
      <c r="B3755" t="s">
        <v>578</v>
      </c>
      <c r="C3755" t="str">
        <f t="shared" si="321"/>
        <v>00592310627</v>
      </c>
      <c r="D3755" t="str">
        <f t="shared" si="321"/>
        <v>00592310627</v>
      </c>
      <c r="E3755" t="s">
        <v>52</v>
      </c>
      <c r="F3755">
        <v>2015</v>
      </c>
      <c r="G3755" t="s">
        <v>435</v>
      </c>
      <c r="H3755" s="1">
        <v>42019</v>
      </c>
      <c r="I3755" s="1">
        <v>42025</v>
      </c>
      <c r="J3755" s="1">
        <v>42025</v>
      </c>
      <c r="K3755" s="1">
        <v>42085</v>
      </c>
      <c r="N3755" s="5"/>
      <c r="O3755">
        <v>25</v>
      </c>
      <c r="P3755">
        <v>38</v>
      </c>
      <c r="Q3755">
        <v>950</v>
      </c>
      <c r="R3755">
        <v>5.5</v>
      </c>
      <c r="V3755">
        <v>0</v>
      </c>
      <c r="W3755">
        <v>0</v>
      </c>
      <c r="X3755">
        <v>0</v>
      </c>
      <c r="Y3755">
        <v>30.5</v>
      </c>
      <c r="Z3755">
        <v>30.5</v>
      </c>
      <c r="AA3755">
        <v>30.5</v>
      </c>
      <c r="AB3755" s="1">
        <v>42382</v>
      </c>
      <c r="AC3755" t="s">
        <v>53</v>
      </c>
      <c r="AD3755" t="s">
        <v>53</v>
      </c>
      <c r="AK3755">
        <v>5.5</v>
      </c>
      <c r="AU3755" s="6">
        <v>42123</v>
      </c>
      <c r="AV3755" s="6">
        <v>42123</v>
      </c>
      <c r="AW3755" t="s">
        <v>54</v>
      </c>
      <c r="AX3755" t="str">
        <f t="shared" si="319"/>
        <v>FOR</v>
      </c>
      <c r="AY3755" t="s">
        <v>55</v>
      </c>
    </row>
    <row r="3756" spans="1:51" hidden="1">
      <c r="A3756">
        <v>101317</v>
      </c>
      <c r="B3756" t="s">
        <v>578</v>
      </c>
      <c r="C3756" t="str">
        <f t="shared" si="321"/>
        <v>00592310627</v>
      </c>
      <c r="D3756" t="str">
        <f t="shared" si="321"/>
        <v>00592310627</v>
      </c>
      <c r="E3756" t="s">
        <v>52</v>
      </c>
      <c r="F3756">
        <v>2015</v>
      </c>
      <c r="G3756" t="s">
        <v>436</v>
      </c>
      <c r="H3756" s="1">
        <v>42019</v>
      </c>
      <c r="I3756" s="1">
        <v>42025</v>
      </c>
      <c r="J3756" s="1">
        <v>42025</v>
      </c>
      <c r="K3756" s="1">
        <v>42085</v>
      </c>
      <c r="N3756" s="5"/>
      <c r="O3756">
        <v>99.6</v>
      </c>
      <c r="P3756">
        <v>38</v>
      </c>
      <c r="Q3756" s="2">
        <v>3784.8</v>
      </c>
      <c r="R3756">
        <v>21.92</v>
      </c>
      <c r="V3756">
        <v>0</v>
      </c>
      <c r="W3756">
        <v>0</v>
      </c>
      <c r="X3756">
        <v>0</v>
      </c>
      <c r="Y3756">
        <v>121.52</v>
      </c>
      <c r="Z3756">
        <v>121.52</v>
      </c>
      <c r="AA3756">
        <v>121.52</v>
      </c>
      <c r="AB3756" s="1">
        <v>42382</v>
      </c>
      <c r="AC3756" t="s">
        <v>53</v>
      </c>
      <c r="AD3756" t="s">
        <v>53</v>
      </c>
      <c r="AK3756">
        <v>21.92</v>
      </c>
      <c r="AU3756" s="6">
        <v>42123</v>
      </c>
      <c r="AV3756" s="6">
        <v>42123</v>
      </c>
      <c r="AW3756" t="s">
        <v>54</v>
      </c>
      <c r="AX3756" t="str">
        <f t="shared" si="319"/>
        <v>FOR</v>
      </c>
      <c r="AY3756" t="s">
        <v>55</v>
      </c>
    </row>
    <row r="3757" spans="1:51" hidden="1">
      <c r="A3757">
        <v>101317</v>
      </c>
      <c r="B3757" t="s">
        <v>578</v>
      </c>
      <c r="C3757" t="str">
        <f t="shared" si="321"/>
        <v>00592310627</v>
      </c>
      <c r="D3757" t="str">
        <f t="shared" si="321"/>
        <v>00592310627</v>
      </c>
      <c r="E3757" t="s">
        <v>52</v>
      </c>
      <c r="F3757">
        <v>2015</v>
      </c>
      <c r="G3757" t="s">
        <v>405</v>
      </c>
      <c r="H3757" s="1">
        <v>42019</v>
      </c>
      <c r="I3757" s="1">
        <v>42025</v>
      </c>
      <c r="J3757" s="1">
        <v>42025</v>
      </c>
      <c r="K3757" s="1">
        <v>42085</v>
      </c>
      <c r="N3757" s="5"/>
      <c r="O3757">
        <v>21.5</v>
      </c>
      <c r="P3757">
        <v>38</v>
      </c>
      <c r="Q3757">
        <v>817</v>
      </c>
      <c r="R3757">
        <v>4.7300000000000004</v>
      </c>
      <c r="V3757">
        <v>0</v>
      </c>
      <c r="W3757">
        <v>0</v>
      </c>
      <c r="X3757">
        <v>0</v>
      </c>
      <c r="Y3757">
        <v>26.23</v>
      </c>
      <c r="Z3757">
        <v>26.23</v>
      </c>
      <c r="AA3757">
        <v>26.23</v>
      </c>
      <c r="AB3757" s="1">
        <v>42382</v>
      </c>
      <c r="AC3757" t="s">
        <v>53</v>
      </c>
      <c r="AD3757" t="s">
        <v>53</v>
      </c>
      <c r="AK3757">
        <v>4.7300000000000004</v>
      </c>
      <c r="AU3757" s="6">
        <v>42123</v>
      </c>
      <c r="AV3757" s="6">
        <v>42123</v>
      </c>
      <c r="AW3757" t="s">
        <v>54</v>
      </c>
      <c r="AX3757" t="str">
        <f t="shared" si="319"/>
        <v>FOR</v>
      </c>
      <c r="AY3757" t="s">
        <v>55</v>
      </c>
    </row>
    <row r="3758" spans="1:51" hidden="1">
      <c r="A3758">
        <v>101317</v>
      </c>
      <c r="B3758" t="s">
        <v>578</v>
      </c>
      <c r="C3758" t="str">
        <f t="shared" si="321"/>
        <v>00592310627</v>
      </c>
      <c r="D3758" t="str">
        <f t="shared" si="321"/>
        <v>00592310627</v>
      </c>
      <c r="E3758" t="s">
        <v>52</v>
      </c>
      <c r="F3758">
        <v>2015</v>
      </c>
      <c r="G3758" t="s">
        <v>451</v>
      </c>
      <c r="H3758" s="1">
        <v>42019</v>
      </c>
      <c r="I3758" s="1">
        <v>42025</v>
      </c>
      <c r="J3758" s="1">
        <v>42025</v>
      </c>
      <c r="K3758" s="1">
        <v>42085</v>
      </c>
      <c r="N3758" s="5"/>
      <c r="O3758">
        <v>69.8</v>
      </c>
      <c r="P3758">
        <v>38</v>
      </c>
      <c r="Q3758" s="2">
        <v>2652.4</v>
      </c>
      <c r="R3758">
        <v>15.36</v>
      </c>
      <c r="V3758">
        <v>0</v>
      </c>
      <c r="W3758">
        <v>0</v>
      </c>
      <c r="X3758">
        <v>0</v>
      </c>
      <c r="Y3758">
        <v>85.16</v>
      </c>
      <c r="Z3758">
        <v>85.16</v>
      </c>
      <c r="AA3758">
        <v>85.16</v>
      </c>
      <c r="AB3758" s="1">
        <v>42382</v>
      </c>
      <c r="AC3758" t="s">
        <v>53</v>
      </c>
      <c r="AD3758" t="s">
        <v>53</v>
      </c>
      <c r="AK3758">
        <v>15.36</v>
      </c>
      <c r="AU3758" s="6">
        <v>42123</v>
      </c>
      <c r="AV3758" s="6">
        <v>42123</v>
      </c>
      <c r="AW3758" t="s">
        <v>54</v>
      </c>
      <c r="AX3758" t="str">
        <f t="shared" si="319"/>
        <v>FOR</v>
      </c>
      <c r="AY3758" t="s">
        <v>55</v>
      </c>
    </row>
    <row r="3759" spans="1:51" hidden="1">
      <c r="A3759">
        <v>101317</v>
      </c>
      <c r="B3759" t="s">
        <v>578</v>
      </c>
      <c r="C3759" t="str">
        <f t="shared" si="321"/>
        <v>00592310627</v>
      </c>
      <c r="D3759" t="str">
        <f t="shared" si="321"/>
        <v>00592310627</v>
      </c>
      <c r="E3759" t="s">
        <v>52</v>
      </c>
      <c r="F3759">
        <v>2015</v>
      </c>
      <c r="G3759" t="s">
        <v>458</v>
      </c>
      <c r="H3759" s="1">
        <v>42031</v>
      </c>
      <c r="I3759" s="1">
        <v>42033</v>
      </c>
      <c r="J3759" s="1">
        <v>42033</v>
      </c>
      <c r="K3759" s="1">
        <v>42093</v>
      </c>
      <c r="N3759" s="5"/>
      <c r="O3759">
        <v>25</v>
      </c>
      <c r="P3759">
        <v>30</v>
      </c>
      <c r="Q3759">
        <v>750</v>
      </c>
      <c r="R3759">
        <v>5.5</v>
      </c>
      <c r="V3759">
        <v>0</v>
      </c>
      <c r="W3759">
        <v>0</v>
      </c>
      <c r="X3759">
        <v>0</v>
      </c>
      <c r="Y3759">
        <v>30.5</v>
      </c>
      <c r="Z3759">
        <v>30.5</v>
      </c>
      <c r="AA3759">
        <v>30.5</v>
      </c>
      <c r="AB3759" s="1">
        <v>42382</v>
      </c>
      <c r="AC3759" t="s">
        <v>53</v>
      </c>
      <c r="AD3759" t="s">
        <v>53</v>
      </c>
      <c r="AK3759">
        <v>5.5</v>
      </c>
      <c r="AU3759" s="6">
        <v>42123</v>
      </c>
      <c r="AV3759" s="6">
        <v>42123</v>
      </c>
      <c r="AW3759" t="s">
        <v>54</v>
      </c>
      <c r="AX3759" t="str">
        <f t="shared" si="319"/>
        <v>FOR</v>
      </c>
      <c r="AY3759" t="s">
        <v>55</v>
      </c>
    </row>
    <row r="3760" spans="1:51" hidden="1">
      <c r="A3760">
        <v>101317</v>
      </c>
      <c r="B3760" t="s">
        <v>578</v>
      </c>
      <c r="C3760" t="str">
        <f t="shared" si="321"/>
        <v>00592310627</v>
      </c>
      <c r="D3760" t="str">
        <f t="shared" si="321"/>
        <v>00592310627</v>
      </c>
      <c r="E3760" t="s">
        <v>52</v>
      </c>
      <c r="F3760">
        <v>2015</v>
      </c>
      <c r="G3760" t="s">
        <v>459</v>
      </c>
      <c r="H3760" s="1">
        <v>42031</v>
      </c>
      <c r="I3760" s="1">
        <v>42033</v>
      </c>
      <c r="J3760" s="1">
        <v>42033</v>
      </c>
      <c r="K3760" s="1">
        <v>42093</v>
      </c>
      <c r="N3760" s="5"/>
      <c r="O3760">
        <v>197</v>
      </c>
      <c r="P3760">
        <v>30</v>
      </c>
      <c r="Q3760" s="2">
        <v>5910</v>
      </c>
      <c r="R3760">
        <v>43.34</v>
      </c>
      <c r="V3760">
        <v>0</v>
      </c>
      <c r="W3760">
        <v>0</v>
      </c>
      <c r="X3760">
        <v>0</v>
      </c>
      <c r="Y3760">
        <v>240.34</v>
      </c>
      <c r="Z3760">
        <v>240.34</v>
      </c>
      <c r="AA3760">
        <v>240.34</v>
      </c>
      <c r="AB3760" s="1">
        <v>42382</v>
      </c>
      <c r="AC3760" t="s">
        <v>53</v>
      </c>
      <c r="AD3760" t="s">
        <v>53</v>
      </c>
      <c r="AK3760">
        <v>43.34</v>
      </c>
      <c r="AU3760" s="6">
        <v>42123</v>
      </c>
      <c r="AV3760" s="6">
        <v>42123</v>
      </c>
      <c r="AW3760" t="s">
        <v>54</v>
      </c>
      <c r="AX3760" t="str">
        <f t="shared" si="319"/>
        <v>FOR</v>
      </c>
      <c r="AY3760" t="s">
        <v>55</v>
      </c>
    </row>
    <row r="3761" spans="1:51" hidden="1">
      <c r="A3761">
        <v>101317</v>
      </c>
      <c r="B3761" t="s">
        <v>578</v>
      </c>
      <c r="C3761" t="str">
        <f t="shared" si="321"/>
        <v>00592310627</v>
      </c>
      <c r="D3761" t="str">
        <f t="shared" si="321"/>
        <v>00592310627</v>
      </c>
      <c r="E3761" t="s">
        <v>52</v>
      </c>
      <c r="F3761">
        <v>2015</v>
      </c>
      <c r="G3761" t="s">
        <v>78</v>
      </c>
      <c r="H3761" s="1">
        <v>42031</v>
      </c>
      <c r="I3761" s="1">
        <v>42033</v>
      </c>
      <c r="J3761" s="1">
        <v>42033</v>
      </c>
      <c r="K3761" s="1">
        <v>42093</v>
      </c>
      <c r="N3761" s="5"/>
      <c r="O3761">
        <v>261.5</v>
      </c>
      <c r="P3761">
        <v>30</v>
      </c>
      <c r="Q3761" s="2">
        <v>7845</v>
      </c>
      <c r="R3761">
        <v>57.53</v>
      </c>
      <c r="V3761">
        <v>0</v>
      </c>
      <c r="W3761">
        <v>0</v>
      </c>
      <c r="X3761">
        <v>0</v>
      </c>
      <c r="Y3761">
        <v>319.02999999999997</v>
      </c>
      <c r="Z3761">
        <v>319.02999999999997</v>
      </c>
      <c r="AA3761">
        <v>319.02999999999997</v>
      </c>
      <c r="AB3761" s="1">
        <v>42382</v>
      </c>
      <c r="AC3761" t="s">
        <v>53</v>
      </c>
      <c r="AD3761" t="s">
        <v>53</v>
      </c>
      <c r="AK3761">
        <v>57.53</v>
      </c>
      <c r="AU3761" s="6">
        <v>42123</v>
      </c>
      <c r="AV3761" s="6">
        <v>42123</v>
      </c>
      <c r="AW3761" t="s">
        <v>54</v>
      </c>
      <c r="AX3761" t="str">
        <f t="shared" si="319"/>
        <v>FOR</v>
      </c>
      <c r="AY3761" t="s">
        <v>55</v>
      </c>
    </row>
    <row r="3762" spans="1:51" hidden="1">
      <c r="A3762">
        <v>101317</v>
      </c>
      <c r="B3762" t="s">
        <v>578</v>
      </c>
      <c r="C3762" t="str">
        <f t="shared" si="321"/>
        <v>00592310627</v>
      </c>
      <c r="D3762" t="str">
        <f t="shared" si="321"/>
        <v>00592310627</v>
      </c>
      <c r="E3762" t="s">
        <v>52</v>
      </c>
      <c r="F3762">
        <v>2015</v>
      </c>
      <c r="G3762" t="s">
        <v>461</v>
      </c>
      <c r="H3762" s="1">
        <v>42040</v>
      </c>
      <c r="I3762" s="1">
        <v>42045</v>
      </c>
      <c r="J3762" s="1">
        <v>42045</v>
      </c>
      <c r="K3762" s="1">
        <v>42105</v>
      </c>
      <c r="N3762" s="5"/>
      <c r="O3762">
        <v>47.5</v>
      </c>
      <c r="P3762">
        <v>18</v>
      </c>
      <c r="Q3762">
        <v>855</v>
      </c>
      <c r="R3762">
        <v>10.45</v>
      </c>
      <c r="V3762">
        <v>0</v>
      </c>
      <c r="W3762">
        <v>0</v>
      </c>
      <c r="X3762">
        <v>0</v>
      </c>
      <c r="Y3762">
        <v>57.95</v>
      </c>
      <c r="Z3762">
        <v>57.95</v>
      </c>
      <c r="AA3762">
        <v>57.95</v>
      </c>
      <c r="AB3762" s="1">
        <v>42382</v>
      </c>
      <c r="AC3762" t="s">
        <v>53</v>
      </c>
      <c r="AD3762" t="s">
        <v>53</v>
      </c>
      <c r="AK3762">
        <v>10.45</v>
      </c>
      <c r="AU3762" s="6">
        <v>42123</v>
      </c>
      <c r="AV3762" s="6">
        <v>42123</v>
      </c>
      <c r="AW3762" t="s">
        <v>54</v>
      </c>
      <c r="AX3762" t="str">
        <f t="shared" si="319"/>
        <v>FOR</v>
      </c>
      <c r="AY3762" t="s">
        <v>55</v>
      </c>
    </row>
    <row r="3763" spans="1:51" hidden="1">
      <c r="A3763">
        <v>101317</v>
      </c>
      <c r="B3763" t="s">
        <v>578</v>
      </c>
      <c r="C3763" t="str">
        <f t="shared" si="321"/>
        <v>00592310627</v>
      </c>
      <c r="D3763" t="str">
        <f t="shared" si="321"/>
        <v>00592310627</v>
      </c>
      <c r="E3763" t="s">
        <v>52</v>
      </c>
      <c r="F3763">
        <v>2015</v>
      </c>
      <c r="G3763" t="s">
        <v>629</v>
      </c>
      <c r="H3763" s="1">
        <v>42040</v>
      </c>
      <c r="I3763" s="1">
        <v>42045</v>
      </c>
      <c r="J3763" s="1">
        <v>42045</v>
      </c>
      <c r="K3763" s="1">
        <v>42105</v>
      </c>
      <c r="N3763" s="5"/>
      <c r="O3763">
        <v>45</v>
      </c>
      <c r="P3763">
        <v>18</v>
      </c>
      <c r="Q3763">
        <v>810</v>
      </c>
      <c r="R3763">
        <v>9.9</v>
      </c>
      <c r="V3763">
        <v>0</v>
      </c>
      <c r="W3763">
        <v>0</v>
      </c>
      <c r="X3763">
        <v>0</v>
      </c>
      <c r="Y3763">
        <v>54.9</v>
      </c>
      <c r="Z3763">
        <v>54.9</v>
      </c>
      <c r="AA3763">
        <v>54.9</v>
      </c>
      <c r="AB3763" s="1">
        <v>42382</v>
      </c>
      <c r="AC3763" t="s">
        <v>53</v>
      </c>
      <c r="AD3763" t="s">
        <v>53</v>
      </c>
      <c r="AK3763">
        <v>9.9</v>
      </c>
      <c r="AU3763" s="6">
        <v>42123</v>
      </c>
      <c r="AV3763" s="6">
        <v>42123</v>
      </c>
      <c r="AW3763" t="s">
        <v>54</v>
      </c>
      <c r="AX3763" t="str">
        <f t="shared" si="319"/>
        <v>FOR</v>
      </c>
      <c r="AY3763" t="s">
        <v>55</v>
      </c>
    </row>
    <row r="3764" spans="1:51" hidden="1">
      <c r="A3764">
        <v>101317</v>
      </c>
      <c r="B3764" t="s">
        <v>578</v>
      </c>
      <c r="C3764" t="str">
        <f t="shared" si="321"/>
        <v>00592310627</v>
      </c>
      <c r="D3764" t="str">
        <f t="shared" si="321"/>
        <v>00592310627</v>
      </c>
      <c r="E3764" t="s">
        <v>52</v>
      </c>
      <c r="F3764">
        <v>2015</v>
      </c>
      <c r="G3764" t="s">
        <v>630</v>
      </c>
      <c r="H3764" s="1">
        <v>42040</v>
      </c>
      <c r="I3764" s="1">
        <v>42045</v>
      </c>
      <c r="J3764" s="1">
        <v>42045</v>
      </c>
      <c r="K3764" s="1">
        <v>42105</v>
      </c>
      <c r="N3764" s="5"/>
      <c r="O3764">
        <v>810</v>
      </c>
      <c r="P3764">
        <v>18</v>
      </c>
      <c r="Q3764" s="2">
        <v>14580</v>
      </c>
      <c r="R3764">
        <v>178.2</v>
      </c>
      <c r="V3764">
        <v>0</v>
      </c>
      <c r="W3764">
        <v>0</v>
      </c>
      <c r="X3764">
        <v>0</v>
      </c>
      <c r="Y3764">
        <v>988.2</v>
      </c>
      <c r="Z3764">
        <v>988.2</v>
      </c>
      <c r="AA3764">
        <v>988.2</v>
      </c>
      <c r="AB3764" s="1">
        <v>42382</v>
      </c>
      <c r="AC3764" t="s">
        <v>53</v>
      </c>
      <c r="AD3764" t="s">
        <v>53</v>
      </c>
      <c r="AK3764">
        <v>178.2</v>
      </c>
      <c r="AU3764" s="6">
        <v>42123</v>
      </c>
      <c r="AV3764" s="6">
        <v>42123</v>
      </c>
      <c r="AW3764" t="s">
        <v>54</v>
      </c>
      <c r="AX3764" t="str">
        <f t="shared" si="319"/>
        <v>FOR</v>
      </c>
      <c r="AY3764" t="s">
        <v>55</v>
      </c>
    </row>
    <row r="3765" spans="1:51" hidden="1">
      <c r="A3765">
        <v>101317</v>
      </c>
      <c r="B3765" t="s">
        <v>578</v>
      </c>
      <c r="C3765" t="str">
        <f t="shared" si="321"/>
        <v>00592310627</v>
      </c>
      <c r="D3765" t="str">
        <f t="shared" si="321"/>
        <v>00592310627</v>
      </c>
      <c r="E3765" t="s">
        <v>52</v>
      </c>
      <c r="F3765">
        <v>2015</v>
      </c>
      <c r="G3765" t="s">
        <v>631</v>
      </c>
      <c r="H3765" s="1">
        <v>42040</v>
      </c>
      <c r="I3765" s="1">
        <v>42045</v>
      </c>
      <c r="J3765" s="1">
        <v>42045</v>
      </c>
      <c r="K3765" s="1">
        <v>42105</v>
      </c>
      <c r="N3765" s="5"/>
      <c r="O3765">
        <v>116</v>
      </c>
      <c r="P3765">
        <v>18</v>
      </c>
      <c r="Q3765" s="2">
        <v>2088</v>
      </c>
      <c r="R3765">
        <v>25.52</v>
      </c>
      <c r="V3765">
        <v>0</v>
      </c>
      <c r="W3765">
        <v>0</v>
      </c>
      <c r="X3765">
        <v>0</v>
      </c>
      <c r="Y3765">
        <v>141.52000000000001</v>
      </c>
      <c r="Z3765">
        <v>141.52000000000001</v>
      </c>
      <c r="AA3765">
        <v>141.52000000000001</v>
      </c>
      <c r="AB3765" s="1">
        <v>42382</v>
      </c>
      <c r="AC3765" t="s">
        <v>53</v>
      </c>
      <c r="AD3765" t="s">
        <v>53</v>
      </c>
      <c r="AK3765">
        <v>25.52</v>
      </c>
      <c r="AU3765" s="6">
        <v>42123</v>
      </c>
      <c r="AV3765" s="6">
        <v>42123</v>
      </c>
      <c r="AW3765" t="s">
        <v>54</v>
      </c>
      <c r="AX3765" t="str">
        <f t="shared" si="319"/>
        <v>FOR</v>
      </c>
      <c r="AY3765" t="s">
        <v>55</v>
      </c>
    </row>
    <row r="3766" spans="1:51" hidden="1">
      <c r="A3766">
        <v>101317</v>
      </c>
      <c r="B3766" t="s">
        <v>578</v>
      </c>
      <c r="C3766" t="str">
        <f t="shared" si="321"/>
        <v>00592310627</v>
      </c>
      <c r="D3766" t="str">
        <f t="shared" si="321"/>
        <v>00592310627</v>
      </c>
      <c r="E3766" t="s">
        <v>52</v>
      </c>
      <c r="F3766">
        <v>2015</v>
      </c>
      <c r="G3766" t="s">
        <v>632</v>
      </c>
      <c r="H3766" s="1">
        <v>42040</v>
      </c>
      <c r="I3766" s="1">
        <v>42045</v>
      </c>
      <c r="J3766" s="1">
        <v>42045</v>
      </c>
      <c r="K3766" s="1">
        <v>42105</v>
      </c>
      <c r="N3766" s="5"/>
      <c r="O3766">
        <v>298</v>
      </c>
      <c r="P3766">
        <v>18</v>
      </c>
      <c r="Q3766" s="2">
        <v>5364</v>
      </c>
      <c r="R3766">
        <v>65.56</v>
      </c>
      <c r="V3766">
        <v>0</v>
      </c>
      <c r="W3766">
        <v>0</v>
      </c>
      <c r="X3766">
        <v>0</v>
      </c>
      <c r="Y3766">
        <v>363.56</v>
      </c>
      <c r="Z3766">
        <v>363.56</v>
      </c>
      <c r="AA3766">
        <v>363.56</v>
      </c>
      <c r="AB3766" s="1">
        <v>42382</v>
      </c>
      <c r="AC3766" t="s">
        <v>53</v>
      </c>
      <c r="AD3766" t="s">
        <v>53</v>
      </c>
      <c r="AK3766">
        <v>65.56</v>
      </c>
      <c r="AU3766" s="6">
        <v>42123</v>
      </c>
      <c r="AV3766" s="6">
        <v>42123</v>
      </c>
      <c r="AW3766" t="s">
        <v>54</v>
      </c>
      <c r="AX3766" t="str">
        <f t="shared" si="319"/>
        <v>FOR</v>
      </c>
      <c r="AY3766" t="s">
        <v>55</v>
      </c>
    </row>
    <row r="3767" spans="1:51" hidden="1">
      <c r="A3767">
        <v>101317</v>
      </c>
      <c r="B3767" t="s">
        <v>578</v>
      </c>
      <c r="C3767" t="str">
        <f t="shared" si="321"/>
        <v>00592310627</v>
      </c>
      <c r="D3767" t="str">
        <f t="shared" si="321"/>
        <v>00592310627</v>
      </c>
      <c r="E3767" t="s">
        <v>52</v>
      </c>
      <c r="F3767">
        <v>2015</v>
      </c>
      <c r="G3767" t="s">
        <v>633</v>
      </c>
      <c r="H3767" s="1">
        <v>42051</v>
      </c>
      <c r="I3767" s="1">
        <v>42053</v>
      </c>
      <c r="J3767" s="1">
        <v>42053</v>
      </c>
      <c r="K3767" s="1">
        <v>42113</v>
      </c>
      <c r="N3767" s="5"/>
      <c r="O3767">
        <v>85</v>
      </c>
      <c r="P3767">
        <v>10</v>
      </c>
      <c r="Q3767">
        <v>850</v>
      </c>
      <c r="R3767">
        <v>18.7</v>
      </c>
      <c r="V3767">
        <v>0</v>
      </c>
      <c r="W3767">
        <v>0</v>
      </c>
      <c r="X3767">
        <v>0</v>
      </c>
      <c r="Y3767">
        <v>103.7</v>
      </c>
      <c r="Z3767">
        <v>103.7</v>
      </c>
      <c r="AA3767">
        <v>103.7</v>
      </c>
      <c r="AB3767" s="1">
        <v>42382</v>
      </c>
      <c r="AC3767" t="s">
        <v>53</v>
      </c>
      <c r="AD3767" t="s">
        <v>53</v>
      </c>
      <c r="AK3767">
        <v>18.7</v>
      </c>
      <c r="AU3767" s="6">
        <v>42123</v>
      </c>
      <c r="AV3767" s="6">
        <v>42123</v>
      </c>
      <c r="AW3767" t="s">
        <v>54</v>
      </c>
      <c r="AX3767" t="str">
        <f t="shared" si="319"/>
        <v>FOR</v>
      </c>
      <c r="AY3767" t="s">
        <v>55</v>
      </c>
    </row>
    <row r="3768" spans="1:51" hidden="1">
      <c r="A3768">
        <v>101317</v>
      </c>
      <c r="B3768" t="s">
        <v>578</v>
      </c>
      <c r="C3768" t="str">
        <f t="shared" si="321"/>
        <v>00592310627</v>
      </c>
      <c r="D3768" t="str">
        <f t="shared" si="321"/>
        <v>00592310627</v>
      </c>
      <c r="E3768" t="s">
        <v>52</v>
      </c>
      <c r="F3768">
        <v>2015</v>
      </c>
      <c r="G3768" t="s">
        <v>634</v>
      </c>
      <c r="H3768" s="1">
        <v>42051</v>
      </c>
      <c r="I3768" s="1">
        <v>42053</v>
      </c>
      <c r="J3768" s="1">
        <v>42053</v>
      </c>
      <c r="K3768" s="1">
        <v>42113</v>
      </c>
      <c r="N3768" s="5"/>
      <c r="O3768">
        <v>65.5</v>
      </c>
      <c r="P3768">
        <v>10</v>
      </c>
      <c r="Q3768">
        <v>655</v>
      </c>
      <c r="R3768">
        <v>14.41</v>
      </c>
      <c r="V3768">
        <v>0</v>
      </c>
      <c r="W3768">
        <v>0</v>
      </c>
      <c r="X3768">
        <v>0</v>
      </c>
      <c r="Y3768">
        <v>79.91</v>
      </c>
      <c r="Z3768">
        <v>79.91</v>
      </c>
      <c r="AA3768">
        <v>79.91</v>
      </c>
      <c r="AB3768" s="1">
        <v>42382</v>
      </c>
      <c r="AC3768" t="s">
        <v>53</v>
      </c>
      <c r="AD3768" t="s">
        <v>53</v>
      </c>
      <c r="AK3768">
        <v>14.41</v>
      </c>
      <c r="AU3768" s="6">
        <v>42123</v>
      </c>
      <c r="AV3768" s="6">
        <v>42123</v>
      </c>
      <c r="AW3768" t="s">
        <v>54</v>
      </c>
      <c r="AX3768" t="str">
        <f t="shared" si="319"/>
        <v>FOR</v>
      </c>
      <c r="AY3768" t="s">
        <v>55</v>
      </c>
    </row>
    <row r="3769" spans="1:51" hidden="1">
      <c r="A3769">
        <v>101317</v>
      </c>
      <c r="B3769" t="s">
        <v>578</v>
      </c>
      <c r="C3769" t="str">
        <f t="shared" si="321"/>
        <v>00592310627</v>
      </c>
      <c r="D3769" t="str">
        <f t="shared" si="321"/>
        <v>00592310627</v>
      </c>
      <c r="E3769" t="s">
        <v>52</v>
      </c>
      <c r="F3769">
        <v>2015</v>
      </c>
      <c r="G3769" t="s">
        <v>441</v>
      </c>
      <c r="H3769" s="1">
        <v>42051</v>
      </c>
      <c r="I3769" s="1">
        <v>42053</v>
      </c>
      <c r="J3769" s="1">
        <v>42053</v>
      </c>
      <c r="K3769" s="1">
        <v>42113</v>
      </c>
      <c r="N3769" s="5"/>
      <c r="O3769">
        <v>488</v>
      </c>
      <c r="P3769">
        <v>10</v>
      </c>
      <c r="Q3769" s="2">
        <v>4880</v>
      </c>
      <c r="R3769">
        <v>107.36</v>
      </c>
      <c r="V3769">
        <v>0</v>
      </c>
      <c r="W3769">
        <v>0</v>
      </c>
      <c r="X3769">
        <v>0</v>
      </c>
      <c r="Y3769">
        <v>595.36</v>
      </c>
      <c r="Z3769">
        <v>595.36</v>
      </c>
      <c r="AA3769">
        <v>595.36</v>
      </c>
      <c r="AB3769" s="1">
        <v>42382</v>
      </c>
      <c r="AC3769" t="s">
        <v>53</v>
      </c>
      <c r="AD3769" t="s">
        <v>53</v>
      </c>
      <c r="AK3769">
        <v>107.36</v>
      </c>
      <c r="AU3769" s="6">
        <v>42123</v>
      </c>
      <c r="AV3769" s="6">
        <v>42123</v>
      </c>
      <c r="AW3769" t="s">
        <v>54</v>
      </c>
      <c r="AX3769" t="str">
        <f t="shared" si="319"/>
        <v>FOR</v>
      </c>
      <c r="AY3769" t="s">
        <v>55</v>
      </c>
    </row>
    <row r="3770" spans="1:51" hidden="1">
      <c r="A3770">
        <v>101317</v>
      </c>
      <c r="B3770" t="s">
        <v>578</v>
      </c>
      <c r="C3770" t="str">
        <f t="shared" si="321"/>
        <v>00592310627</v>
      </c>
      <c r="D3770" t="str">
        <f t="shared" si="321"/>
        <v>00592310627</v>
      </c>
      <c r="E3770" t="s">
        <v>52</v>
      </c>
      <c r="F3770">
        <v>2015</v>
      </c>
      <c r="G3770" t="s">
        <v>264</v>
      </c>
      <c r="H3770" s="1">
        <v>42059</v>
      </c>
      <c r="I3770" s="1">
        <v>42061</v>
      </c>
      <c r="J3770" s="1">
        <v>42061</v>
      </c>
      <c r="K3770" s="1">
        <v>42121</v>
      </c>
      <c r="N3770" s="5"/>
      <c r="O3770">
        <v>100</v>
      </c>
      <c r="P3770">
        <v>2</v>
      </c>
      <c r="Q3770">
        <v>200</v>
      </c>
      <c r="R3770">
        <v>22</v>
      </c>
      <c r="V3770">
        <v>0</v>
      </c>
      <c r="W3770">
        <v>0</v>
      </c>
      <c r="X3770">
        <v>0</v>
      </c>
      <c r="Y3770">
        <v>122</v>
      </c>
      <c r="Z3770">
        <v>122</v>
      </c>
      <c r="AA3770">
        <v>122</v>
      </c>
      <c r="AB3770" s="1">
        <v>42382</v>
      </c>
      <c r="AC3770" t="s">
        <v>53</v>
      </c>
      <c r="AD3770" t="s">
        <v>53</v>
      </c>
      <c r="AK3770">
        <v>22</v>
      </c>
      <c r="AU3770" s="6">
        <v>42123</v>
      </c>
      <c r="AV3770" s="6">
        <v>42123</v>
      </c>
      <c r="AW3770" t="s">
        <v>54</v>
      </c>
      <c r="AX3770" t="str">
        <f t="shared" si="319"/>
        <v>FOR</v>
      </c>
      <c r="AY3770" t="s">
        <v>55</v>
      </c>
    </row>
    <row r="3771" spans="1:51" hidden="1">
      <c r="A3771">
        <v>101317</v>
      </c>
      <c r="B3771" t="s">
        <v>578</v>
      </c>
      <c r="C3771" t="str">
        <f t="shared" ref="C3771:D3790" si="322">"00592310627"</f>
        <v>00592310627</v>
      </c>
      <c r="D3771" t="str">
        <f t="shared" si="322"/>
        <v>00592310627</v>
      </c>
      <c r="E3771" t="s">
        <v>52</v>
      </c>
      <c r="F3771">
        <v>2015</v>
      </c>
      <c r="G3771" t="s">
        <v>265</v>
      </c>
      <c r="H3771" s="1">
        <v>42059</v>
      </c>
      <c r="I3771" s="1">
        <v>42061</v>
      </c>
      <c r="J3771" s="1">
        <v>42061</v>
      </c>
      <c r="K3771" s="1">
        <v>42121</v>
      </c>
      <c r="N3771" s="5"/>
      <c r="O3771">
        <v>15.5</v>
      </c>
      <c r="P3771">
        <v>2</v>
      </c>
      <c r="Q3771">
        <v>31</v>
      </c>
      <c r="R3771">
        <v>3.41</v>
      </c>
      <c r="V3771">
        <v>0</v>
      </c>
      <c r="W3771">
        <v>0</v>
      </c>
      <c r="X3771">
        <v>0</v>
      </c>
      <c r="Y3771">
        <v>18.91</v>
      </c>
      <c r="Z3771">
        <v>18.91</v>
      </c>
      <c r="AA3771">
        <v>18.91</v>
      </c>
      <c r="AB3771" s="1">
        <v>42382</v>
      </c>
      <c r="AC3771" t="s">
        <v>53</v>
      </c>
      <c r="AD3771" t="s">
        <v>53</v>
      </c>
      <c r="AK3771">
        <v>3.41</v>
      </c>
      <c r="AU3771" s="6">
        <v>42123</v>
      </c>
      <c r="AV3771" s="6">
        <v>42123</v>
      </c>
      <c r="AW3771" t="s">
        <v>54</v>
      </c>
      <c r="AX3771" t="str">
        <f t="shared" si="319"/>
        <v>FOR</v>
      </c>
      <c r="AY3771" t="s">
        <v>55</v>
      </c>
    </row>
    <row r="3772" spans="1:51" hidden="1">
      <c r="A3772">
        <v>101317</v>
      </c>
      <c r="B3772" t="s">
        <v>578</v>
      </c>
      <c r="C3772" t="str">
        <f t="shared" si="322"/>
        <v>00592310627</v>
      </c>
      <c r="D3772" t="str">
        <f t="shared" si="322"/>
        <v>00592310627</v>
      </c>
      <c r="E3772" t="s">
        <v>52</v>
      </c>
      <c r="F3772">
        <v>2015</v>
      </c>
      <c r="G3772" t="s">
        <v>444</v>
      </c>
      <c r="H3772" s="1">
        <v>42059</v>
      </c>
      <c r="I3772" s="1">
        <v>42061</v>
      </c>
      <c r="J3772" s="1">
        <v>42061</v>
      </c>
      <c r="K3772" s="1">
        <v>42121</v>
      </c>
      <c r="N3772" s="5"/>
      <c r="O3772">
        <v>111</v>
      </c>
      <c r="P3772">
        <v>2</v>
      </c>
      <c r="Q3772">
        <v>222</v>
      </c>
      <c r="R3772">
        <v>24.42</v>
      </c>
      <c r="V3772">
        <v>0</v>
      </c>
      <c r="W3772">
        <v>0</v>
      </c>
      <c r="X3772">
        <v>0</v>
      </c>
      <c r="Y3772">
        <v>135.41999999999999</v>
      </c>
      <c r="Z3772">
        <v>135.41999999999999</v>
      </c>
      <c r="AA3772">
        <v>135.41999999999999</v>
      </c>
      <c r="AB3772" s="1">
        <v>42382</v>
      </c>
      <c r="AC3772" t="s">
        <v>53</v>
      </c>
      <c r="AD3772" t="s">
        <v>53</v>
      </c>
      <c r="AK3772">
        <v>24.42</v>
      </c>
      <c r="AU3772" s="6">
        <v>42123</v>
      </c>
      <c r="AV3772" s="6">
        <v>42123</v>
      </c>
      <c r="AW3772" t="s">
        <v>54</v>
      </c>
      <c r="AX3772" t="str">
        <f t="shared" si="319"/>
        <v>FOR</v>
      </c>
      <c r="AY3772" t="s">
        <v>55</v>
      </c>
    </row>
    <row r="3773" spans="1:51" hidden="1">
      <c r="A3773">
        <v>101317</v>
      </c>
      <c r="B3773" t="s">
        <v>578</v>
      </c>
      <c r="C3773" t="str">
        <f t="shared" si="322"/>
        <v>00592310627</v>
      </c>
      <c r="D3773" t="str">
        <f t="shared" si="322"/>
        <v>00592310627</v>
      </c>
      <c r="E3773" t="s">
        <v>52</v>
      </c>
      <c r="F3773">
        <v>2015</v>
      </c>
      <c r="G3773" t="s">
        <v>446</v>
      </c>
      <c r="H3773" s="1">
        <v>42066</v>
      </c>
      <c r="I3773" s="1">
        <v>42067</v>
      </c>
      <c r="J3773" s="1">
        <v>42067</v>
      </c>
      <c r="K3773" s="1">
        <v>42127</v>
      </c>
      <c r="N3773" s="5"/>
      <c r="O3773">
        <v>98</v>
      </c>
      <c r="P3773">
        <v>-4</v>
      </c>
      <c r="Q3773">
        <v>-392</v>
      </c>
      <c r="R3773">
        <v>21.56</v>
      </c>
      <c r="V3773">
        <v>0</v>
      </c>
      <c r="W3773">
        <v>0</v>
      </c>
      <c r="X3773">
        <v>0</v>
      </c>
      <c r="Y3773">
        <v>119.56</v>
      </c>
      <c r="Z3773">
        <v>119.56</v>
      </c>
      <c r="AA3773">
        <v>119.56</v>
      </c>
      <c r="AB3773" s="1">
        <v>42382</v>
      </c>
      <c r="AC3773" t="s">
        <v>53</v>
      </c>
      <c r="AD3773" t="s">
        <v>53</v>
      </c>
      <c r="AK3773">
        <v>21.56</v>
      </c>
      <c r="AU3773" s="6">
        <v>42123</v>
      </c>
      <c r="AV3773" s="6">
        <v>42123</v>
      </c>
      <c r="AW3773" t="s">
        <v>54</v>
      </c>
      <c r="AX3773" t="str">
        <f t="shared" si="319"/>
        <v>FOR</v>
      </c>
      <c r="AY3773" t="s">
        <v>55</v>
      </c>
    </row>
    <row r="3774" spans="1:51" hidden="1">
      <c r="A3774">
        <v>101317</v>
      </c>
      <c r="B3774" t="s">
        <v>578</v>
      </c>
      <c r="C3774" t="str">
        <f t="shared" si="322"/>
        <v>00592310627</v>
      </c>
      <c r="D3774" t="str">
        <f t="shared" si="322"/>
        <v>00592310627</v>
      </c>
      <c r="E3774" t="s">
        <v>52</v>
      </c>
      <c r="F3774">
        <v>2015</v>
      </c>
      <c r="G3774" t="s">
        <v>447</v>
      </c>
      <c r="H3774" s="1">
        <v>42066</v>
      </c>
      <c r="I3774" s="1">
        <v>42072</v>
      </c>
      <c r="J3774" s="1">
        <v>42072</v>
      </c>
      <c r="K3774" s="1">
        <v>42132</v>
      </c>
      <c r="N3774" s="5"/>
      <c r="O3774">
        <v>738</v>
      </c>
      <c r="P3774">
        <v>-9</v>
      </c>
      <c r="Q3774" s="2">
        <v>-6642</v>
      </c>
      <c r="R3774">
        <v>162.36000000000001</v>
      </c>
      <c r="V3774">
        <v>0</v>
      </c>
      <c r="W3774">
        <v>0</v>
      </c>
      <c r="X3774">
        <v>0</v>
      </c>
      <c r="Y3774">
        <v>900.36</v>
      </c>
      <c r="Z3774">
        <v>900.36</v>
      </c>
      <c r="AA3774">
        <v>900.36</v>
      </c>
      <c r="AB3774" s="1">
        <v>42382</v>
      </c>
      <c r="AC3774" t="s">
        <v>53</v>
      </c>
      <c r="AD3774" t="s">
        <v>53</v>
      </c>
      <c r="AK3774">
        <v>162.36000000000001</v>
      </c>
      <c r="AU3774" s="6">
        <v>42123</v>
      </c>
      <c r="AV3774" s="6">
        <v>42123</v>
      </c>
      <c r="AW3774" t="s">
        <v>54</v>
      </c>
      <c r="AX3774" t="str">
        <f t="shared" si="319"/>
        <v>FOR</v>
      </c>
      <c r="AY3774" t="s">
        <v>55</v>
      </c>
    </row>
    <row r="3775" spans="1:51" hidden="1">
      <c r="A3775">
        <v>101317</v>
      </c>
      <c r="B3775" t="s">
        <v>578</v>
      </c>
      <c r="C3775" t="str">
        <f t="shared" si="322"/>
        <v>00592310627</v>
      </c>
      <c r="D3775" t="str">
        <f t="shared" si="322"/>
        <v>00592310627</v>
      </c>
      <c r="E3775" t="s">
        <v>52</v>
      </c>
      <c r="F3775">
        <v>2015</v>
      </c>
      <c r="G3775" t="s">
        <v>448</v>
      </c>
      <c r="H3775" s="1">
        <v>42072</v>
      </c>
      <c r="I3775" s="1">
        <v>42095</v>
      </c>
      <c r="J3775" s="1">
        <v>42095</v>
      </c>
      <c r="K3775" s="1">
        <v>42155</v>
      </c>
      <c r="N3775" s="5"/>
      <c r="O3775">
        <v>255</v>
      </c>
      <c r="P3775">
        <v>-32</v>
      </c>
      <c r="Q3775" s="2">
        <v>-8160</v>
      </c>
      <c r="R3775">
        <v>56.1</v>
      </c>
      <c r="V3775">
        <v>0</v>
      </c>
      <c r="W3775">
        <v>0</v>
      </c>
      <c r="X3775">
        <v>0</v>
      </c>
      <c r="Y3775">
        <v>311.10000000000002</v>
      </c>
      <c r="Z3775">
        <v>311.10000000000002</v>
      </c>
      <c r="AA3775">
        <v>311.10000000000002</v>
      </c>
      <c r="AB3775" s="1">
        <v>42382</v>
      </c>
      <c r="AC3775" t="s">
        <v>53</v>
      </c>
      <c r="AD3775" t="s">
        <v>53</v>
      </c>
      <c r="AK3775">
        <v>56.1</v>
      </c>
      <c r="AU3775" s="6">
        <v>42123</v>
      </c>
      <c r="AV3775" s="6">
        <v>42123</v>
      </c>
      <c r="AW3775" t="s">
        <v>54</v>
      </c>
      <c r="AX3775" t="str">
        <f t="shared" si="319"/>
        <v>FOR</v>
      </c>
      <c r="AY3775" t="s">
        <v>55</v>
      </c>
    </row>
    <row r="3776" spans="1:51" hidden="1">
      <c r="A3776">
        <v>101317</v>
      </c>
      <c r="B3776" t="s">
        <v>578</v>
      </c>
      <c r="C3776" t="str">
        <f t="shared" si="322"/>
        <v>00592310627</v>
      </c>
      <c r="D3776" t="str">
        <f t="shared" si="322"/>
        <v>00592310627</v>
      </c>
      <c r="E3776" t="s">
        <v>52</v>
      </c>
      <c r="F3776">
        <v>2015</v>
      </c>
      <c r="G3776" t="s">
        <v>496</v>
      </c>
      <c r="H3776" s="1">
        <v>42073</v>
      </c>
      <c r="I3776" s="1">
        <v>42095</v>
      </c>
      <c r="J3776" s="1">
        <v>42095</v>
      </c>
      <c r="K3776" s="1">
        <v>42155</v>
      </c>
      <c r="N3776" s="5"/>
      <c r="O3776">
        <v>112</v>
      </c>
      <c r="P3776">
        <v>-32</v>
      </c>
      <c r="Q3776" s="2">
        <v>-3584</v>
      </c>
      <c r="R3776">
        <v>24.64</v>
      </c>
      <c r="V3776">
        <v>0</v>
      </c>
      <c r="W3776">
        <v>0</v>
      </c>
      <c r="X3776">
        <v>0</v>
      </c>
      <c r="Y3776">
        <v>136.63999999999999</v>
      </c>
      <c r="Z3776">
        <v>136.63999999999999</v>
      </c>
      <c r="AA3776">
        <v>136.63999999999999</v>
      </c>
      <c r="AB3776" s="1">
        <v>42382</v>
      </c>
      <c r="AC3776" t="s">
        <v>53</v>
      </c>
      <c r="AD3776" t="s">
        <v>53</v>
      </c>
      <c r="AK3776">
        <v>24.64</v>
      </c>
      <c r="AU3776" s="6">
        <v>42123</v>
      </c>
      <c r="AV3776" s="6">
        <v>42123</v>
      </c>
      <c r="AW3776" t="s">
        <v>54</v>
      </c>
      <c r="AX3776" t="str">
        <f t="shared" si="319"/>
        <v>FOR</v>
      </c>
      <c r="AY3776" t="s">
        <v>55</v>
      </c>
    </row>
    <row r="3777" spans="1:51" hidden="1">
      <c r="A3777">
        <v>101317</v>
      </c>
      <c r="B3777" t="s">
        <v>578</v>
      </c>
      <c r="C3777" t="str">
        <f t="shared" si="322"/>
        <v>00592310627</v>
      </c>
      <c r="D3777" t="str">
        <f t="shared" si="322"/>
        <v>00592310627</v>
      </c>
      <c r="E3777" t="s">
        <v>52</v>
      </c>
      <c r="F3777">
        <v>2015</v>
      </c>
      <c r="G3777" t="s">
        <v>407</v>
      </c>
      <c r="H3777" s="1">
        <v>42073</v>
      </c>
      <c r="I3777" s="1">
        <v>42095</v>
      </c>
      <c r="J3777" s="1">
        <v>42095</v>
      </c>
      <c r="K3777" s="1">
        <v>42155</v>
      </c>
      <c r="N3777" s="5"/>
      <c r="O3777">
        <v>110</v>
      </c>
      <c r="P3777">
        <v>-32</v>
      </c>
      <c r="Q3777" s="2">
        <v>-3520</v>
      </c>
      <c r="R3777">
        <v>24.2</v>
      </c>
      <c r="V3777">
        <v>0</v>
      </c>
      <c r="W3777">
        <v>0</v>
      </c>
      <c r="X3777">
        <v>0</v>
      </c>
      <c r="Y3777">
        <v>134.19999999999999</v>
      </c>
      <c r="Z3777">
        <v>134.19999999999999</v>
      </c>
      <c r="AA3777">
        <v>134.19999999999999</v>
      </c>
      <c r="AB3777" s="1">
        <v>42382</v>
      </c>
      <c r="AC3777" t="s">
        <v>53</v>
      </c>
      <c r="AD3777" t="s">
        <v>53</v>
      </c>
      <c r="AK3777">
        <v>24.2</v>
      </c>
      <c r="AU3777" s="6">
        <v>42123</v>
      </c>
      <c r="AV3777" s="6">
        <v>42123</v>
      </c>
      <c r="AW3777" t="s">
        <v>54</v>
      </c>
      <c r="AX3777" t="str">
        <f t="shared" si="319"/>
        <v>FOR</v>
      </c>
      <c r="AY3777" t="s">
        <v>55</v>
      </c>
    </row>
    <row r="3778" spans="1:51" hidden="1">
      <c r="A3778">
        <v>101317</v>
      </c>
      <c r="B3778" t="s">
        <v>578</v>
      </c>
      <c r="C3778" t="str">
        <f t="shared" si="322"/>
        <v>00592310627</v>
      </c>
      <c r="D3778" t="str">
        <f t="shared" si="322"/>
        <v>00592310627</v>
      </c>
      <c r="E3778" t="s">
        <v>52</v>
      </c>
      <c r="F3778">
        <v>2015</v>
      </c>
      <c r="G3778" t="s">
        <v>635</v>
      </c>
      <c r="H3778" s="1">
        <v>42073</v>
      </c>
      <c r="I3778" s="1">
        <v>42095</v>
      </c>
      <c r="J3778" s="1">
        <v>42095</v>
      </c>
      <c r="K3778" s="1">
        <v>42155</v>
      </c>
      <c r="N3778" s="5"/>
      <c r="O3778">
        <v>189.5</v>
      </c>
      <c r="P3778">
        <v>-32</v>
      </c>
      <c r="Q3778" s="2">
        <v>-6064</v>
      </c>
      <c r="R3778">
        <v>41.69</v>
      </c>
      <c r="V3778">
        <v>0</v>
      </c>
      <c r="W3778">
        <v>0</v>
      </c>
      <c r="X3778">
        <v>0</v>
      </c>
      <c r="Y3778">
        <v>231.19</v>
      </c>
      <c r="Z3778">
        <v>231.19</v>
      </c>
      <c r="AA3778">
        <v>231.19</v>
      </c>
      <c r="AB3778" s="1">
        <v>42382</v>
      </c>
      <c r="AC3778" t="s">
        <v>53</v>
      </c>
      <c r="AD3778" t="s">
        <v>53</v>
      </c>
      <c r="AK3778">
        <v>41.69</v>
      </c>
      <c r="AU3778" s="6">
        <v>42123</v>
      </c>
      <c r="AV3778" s="6">
        <v>42123</v>
      </c>
      <c r="AW3778" t="s">
        <v>54</v>
      </c>
      <c r="AX3778" t="str">
        <f t="shared" si="319"/>
        <v>FOR</v>
      </c>
      <c r="AY3778" t="s">
        <v>55</v>
      </c>
    </row>
    <row r="3779" spans="1:51" hidden="1">
      <c r="A3779">
        <v>101317</v>
      </c>
      <c r="B3779" t="s">
        <v>578</v>
      </c>
      <c r="C3779" t="str">
        <f t="shared" si="322"/>
        <v>00592310627</v>
      </c>
      <c r="D3779" t="str">
        <f t="shared" si="322"/>
        <v>00592310627</v>
      </c>
      <c r="E3779" t="s">
        <v>52</v>
      </c>
      <c r="F3779">
        <v>2015</v>
      </c>
      <c r="G3779" t="s">
        <v>636</v>
      </c>
      <c r="H3779" s="1">
        <v>42073</v>
      </c>
      <c r="I3779" s="1">
        <v>42095</v>
      </c>
      <c r="J3779" s="1">
        <v>42095</v>
      </c>
      <c r="K3779" s="1">
        <v>42155</v>
      </c>
      <c r="N3779" s="5"/>
      <c r="O3779">
        <v>175.5</v>
      </c>
      <c r="P3779">
        <v>-32</v>
      </c>
      <c r="Q3779" s="2">
        <v>-5616</v>
      </c>
      <c r="R3779">
        <v>38.61</v>
      </c>
      <c r="V3779">
        <v>0</v>
      </c>
      <c r="W3779">
        <v>0</v>
      </c>
      <c r="X3779">
        <v>0</v>
      </c>
      <c r="Y3779">
        <v>214.11</v>
      </c>
      <c r="Z3779">
        <v>214.11</v>
      </c>
      <c r="AA3779">
        <v>214.11</v>
      </c>
      <c r="AB3779" s="1">
        <v>42382</v>
      </c>
      <c r="AC3779" t="s">
        <v>53</v>
      </c>
      <c r="AD3779" t="s">
        <v>53</v>
      </c>
      <c r="AK3779">
        <v>38.61</v>
      </c>
      <c r="AU3779" s="6">
        <v>42123</v>
      </c>
      <c r="AV3779" s="6">
        <v>42123</v>
      </c>
      <c r="AW3779" t="s">
        <v>54</v>
      </c>
      <c r="AX3779" t="str">
        <f t="shared" ref="AX3779:AX3842" si="323">"FOR"</f>
        <v>FOR</v>
      </c>
      <c r="AY3779" t="s">
        <v>55</v>
      </c>
    </row>
    <row r="3780" spans="1:51" hidden="1">
      <c r="A3780">
        <v>101317</v>
      </c>
      <c r="B3780" t="s">
        <v>578</v>
      </c>
      <c r="C3780" t="str">
        <f t="shared" si="322"/>
        <v>00592310627</v>
      </c>
      <c r="D3780" t="str">
        <f t="shared" si="322"/>
        <v>00592310627</v>
      </c>
      <c r="E3780" t="s">
        <v>52</v>
      </c>
      <c r="F3780">
        <v>2015</v>
      </c>
      <c r="G3780" t="s">
        <v>637</v>
      </c>
      <c r="H3780" s="1">
        <v>42076</v>
      </c>
      <c r="I3780" s="1">
        <v>42095</v>
      </c>
      <c r="J3780" s="1">
        <v>42095</v>
      </c>
      <c r="K3780" s="1">
        <v>42155</v>
      </c>
      <c r="N3780" s="5"/>
      <c r="O3780">
        <v>215.5</v>
      </c>
      <c r="P3780">
        <v>-32</v>
      </c>
      <c r="Q3780" s="2">
        <v>-6896</v>
      </c>
      <c r="R3780">
        <v>47.41</v>
      </c>
      <c r="V3780">
        <v>0</v>
      </c>
      <c r="W3780">
        <v>0</v>
      </c>
      <c r="X3780">
        <v>0</v>
      </c>
      <c r="Y3780">
        <v>262.91000000000003</v>
      </c>
      <c r="Z3780">
        <v>262.91000000000003</v>
      </c>
      <c r="AA3780">
        <v>262.91000000000003</v>
      </c>
      <c r="AB3780" s="1">
        <v>42382</v>
      </c>
      <c r="AC3780" t="s">
        <v>53</v>
      </c>
      <c r="AD3780" t="s">
        <v>53</v>
      </c>
      <c r="AK3780">
        <v>47.41</v>
      </c>
      <c r="AU3780" s="6">
        <v>42123</v>
      </c>
      <c r="AV3780" s="6">
        <v>42123</v>
      </c>
      <c r="AW3780" t="s">
        <v>54</v>
      </c>
      <c r="AX3780" t="str">
        <f t="shared" si="323"/>
        <v>FOR</v>
      </c>
      <c r="AY3780" t="s">
        <v>55</v>
      </c>
    </row>
    <row r="3781" spans="1:51" hidden="1">
      <c r="A3781">
        <v>101317</v>
      </c>
      <c r="B3781" t="s">
        <v>578</v>
      </c>
      <c r="C3781" t="str">
        <f t="shared" si="322"/>
        <v>00592310627</v>
      </c>
      <c r="D3781" t="str">
        <f t="shared" si="322"/>
        <v>00592310627</v>
      </c>
      <c r="E3781" t="s">
        <v>52</v>
      </c>
      <c r="F3781">
        <v>2015</v>
      </c>
      <c r="G3781" t="s">
        <v>79</v>
      </c>
      <c r="H3781" s="1">
        <v>42076</v>
      </c>
      <c r="I3781" s="1">
        <v>42095</v>
      </c>
      <c r="J3781" s="1">
        <v>42095</v>
      </c>
      <c r="K3781" s="1">
        <v>42155</v>
      </c>
      <c r="N3781" s="5"/>
      <c r="O3781">
        <v>185</v>
      </c>
      <c r="P3781">
        <v>-32</v>
      </c>
      <c r="Q3781" s="2">
        <v>-5920</v>
      </c>
      <c r="R3781">
        <v>40.700000000000003</v>
      </c>
      <c r="V3781">
        <v>0</v>
      </c>
      <c r="W3781">
        <v>0</v>
      </c>
      <c r="X3781">
        <v>0</v>
      </c>
      <c r="Y3781">
        <v>225.7</v>
      </c>
      <c r="Z3781">
        <v>225.7</v>
      </c>
      <c r="AA3781">
        <v>225.7</v>
      </c>
      <c r="AB3781" s="1">
        <v>42382</v>
      </c>
      <c r="AC3781" t="s">
        <v>53</v>
      </c>
      <c r="AD3781" t="s">
        <v>53</v>
      </c>
      <c r="AK3781">
        <v>40.700000000000003</v>
      </c>
      <c r="AU3781" s="6">
        <v>42123</v>
      </c>
      <c r="AV3781" s="6">
        <v>42123</v>
      </c>
      <c r="AW3781" t="s">
        <v>54</v>
      </c>
      <c r="AX3781" t="str">
        <f t="shared" si="323"/>
        <v>FOR</v>
      </c>
      <c r="AY3781" t="s">
        <v>55</v>
      </c>
    </row>
    <row r="3782" spans="1:51" hidden="1">
      <c r="A3782">
        <v>101317</v>
      </c>
      <c r="B3782" t="s">
        <v>578</v>
      </c>
      <c r="C3782" t="str">
        <f t="shared" si="322"/>
        <v>00592310627</v>
      </c>
      <c r="D3782" t="str">
        <f t="shared" si="322"/>
        <v>00592310627</v>
      </c>
      <c r="E3782" t="s">
        <v>52</v>
      </c>
      <c r="F3782">
        <v>2015</v>
      </c>
      <c r="G3782" t="s">
        <v>638</v>
      </c>
      <c r="H3782" s="1">
        <v>42076</v>
      </c>
      <c r="I3782" s="1">
        <v>42095</v>
      </c>
      <c r="J3782" s="1">
        <v>42095</v>
      </c>
      <c r="K3782" s="1">
        <v>42155</v>
      </c>
      <c r="N3782" s="5"/>
      <c r="O3782">
        <v>110</v>
      </c>
      <c r="P3782">
        <v>-32</v>
      </c>
      <c r="Q3782" s="2">
        <v>-3520</v>
      </c>
      <c r="R3782">
        <v>24.2</v>
      </c>
      <c r="V3782">
        <v>0</v>
      </c>
      <c r="W3782">
        <v>0</v>
      </c>
      <c r="X3782">
        <v>0</v>
      </c>
      <c r="Y3782">
        <v>134.19999999999999</v>
      </c>
      <c r="Z3782">
        <v>134.19999999999999</v>
      </c>
      <c r="AA3782">
        <v>134.19999999999999</v>
      </c>
      <c r="AB3782" s="1">
        <v>42382</v>
      </c>
      <c r="AC3782" t="s">
        <v>53</v>
      </c>
      <c r="AD3782" t="s">
        <v>53</v>
      </c>
      <c r="AK3782">
        <v>24.2</v>
      </c>
      <c r="AU3782" s="6">
        <v>42123</v>
      </c>
      <c r="AV3782" s="6">
        <v>42123</v>
      </c>
      <c r="AW3782" t="s">
        <v>54</v>
      </c>
      <c r="AX3782" t="str">
        <f t="shared" si="323"/>
        <v>FOR</v>
      </c>
      <c r="AY3782" t="s">
        <v>55</v>
      </c>
    </row>
    <row r="3783" spans="1:51" hidden="1">
      <c r="A3783">
        <v>101317</v>
      </c>
      <c r="B3783" t="s">
        <v>578</v>
      </c>
      <c r="C3783" t="str">
        <f t="shared" si="322"/>
        <v>00592310627</v>
      </c>
      <c r="D3783" t="str">
        <f t="shared" si="322"/>
        <v>00592310627</v>
      </c>
      <c r="E3783" t="s">
        <v>52</v>
      </c>
      <c r="F3783">
        <v>2015</v>
      </c>
      <c r="G3783" t="s">
        <v>639</v>
      </c>
      <c r="H3783" s="1">
        <v>42076</v>
      </c>
      <c r="I3783" s="1">
        <v>42095</v>
      </c>
      <c r="J3783" s="1">
        <v>42095</v>
      </c>
      <c r="K3783" s="1">
        <v>42155</v>
      </c>
      <c r="N3783" s="5"/>
      <c r="O3783">
        <v>116.5</v>
      </c>
      <c r="P3783">
        <v>-32</v>
      </c>
      <c r="Q3783" s="2">
        <v>-3728</v>
      </c>
      <c r="R3783">
        <v>25.63</v>
      </c>
      <c r="V3783">
        <v>0</v>
      </c>
      <c r="W3783">
        <v>0</v>
      </c>
      <c r="X3783">
        <v>0</v>
      </c>
      <c r="Y3783">
        <v>142.13</v>
      </c>
      <c r="Z3783">
        <v>142.13</v>
      </c>
      <c r="AA3783">
        <v>142.13</v>
      </c>
      <c r="AB3783" s="1">
        <v>42382</v>
      </c>
      <c r="AC3783" t="s">
        <v>53</v>
      </c>
      <c r="AD3783" t="s">
        <v>53</v>
      </c>
      <c r="AK3783">
        <v>25.63</v>
      </c>
      <c r="AU3783" s="6">
        <v>42123</v>
      </c>
      <c r="AV3783" s="6">
        <v>42123</v>
      </c>
      <c r="AW3783" t="s">
        <v>54</v>
      </c>
      <c r="AX3783" t="str">
        <f t="shared" si="323"/>
        <v>FOR</v>
      </c>
      <c r="AY3783" t="s">
        <v>55</v>
      </c>
    </row>
    <row r="3784" spans="1:51" hidden="1">
      <c r="A3784">
        <v>101317</v>
      </c>
      <c r="B3784" t="s">
        <v>578</v>
      </c>
      <c r="C3784" t="str">
        <f t="shared" si="322"/>
        <v>00592310627</v>
      </c>
      <c r="D3784" t="str">
        <f t="shared" si="322"/>
        <v>00592310627</v>
      </c>
      <c r="E3784" t="s">
        <v>52</v>
      </c>
      <c r="F3784">
        <v>2015</v>
      </c>
      <c r="G3784" t="s">
        <v>542</v>
      </c>
      <c r="H3784" s="1">
        <v>42079</v>
      </c>
      <c r="I3784" s="1">
        <v>42095</v>
      </c>
      <c r="J3784" s="1">
        <v>42095</v>
      </c>
      <c r="K3784" s="1">
        <v>42155</v>
      </c>
      <c r="N3784" s="5"/>
      <c r="O3784">
        <v>275</v>
      </c>
      <c r="P3784">
        <v>-32</v>
      </c>
      <c r="Q3784" s="2">
        <v>-8800</v>
      </c>
      <c r="R3784">
        <v>60.5</v>
      </c>
      <c r="V3784">
        <v>0</v>
      </c>
      <c r="W3784">
        <v>0</v>
      </c>
      <c r="X3784">
        <v>0</v>
      </c>
      <c r="Y3784">
        <v>335.5</v>
      </c>
      <c r="Z3784">
        <v>335.5</v>
      </c>
      <c r="AA3784">
        <v>335.5</v>
      </c>
      <c r="AB3784" s="1">
        <v>42382</v>
      </c>
      <c r="AC3784" t="s">
        <v>53</v>
      </c>
      <c r="AD3784" t="s">
        <v>53</v>
      </c>
      <c r="AK3784">
        <v>60.5</v>
      </c>
      <c r="AU3784" s="6">
        <v>42123</v>
      </c>
      <c r="AV3784" s="6">
        <v>42123</v>
      </c>
      <c r="AW3784" t="s">
        <v>54</v>
      </c>
      <c r="AX3784" t="str">
        <f t="shared" si="323"/>
        <v>FOR</v>
      </c>
      <c r="AY3784" t="s">
        <v>55</v>
      </c>
    </row>
    <row r="3785" spans="1:51" hidden="1">
      <c r="A3785">
        <v>101317</v>
      </c>
      <c r="B3785" t="s">
        <v>578</v>
      </c>
      <c r="C3785" t="str">
        <f t="shared" si="322"/>
        <v>00592310627</v>
      </c>
      <c r="D3785" t="str">
        <f t="shared" si="322"/>
        <v>00592310627</v>
      </c>
      <c r="E3785" t="s">
        <v>52</v>
      </c>
      <c r="F3785">
        <v>2015</v>
      </c>
      <c r="G3785" t="s">
        <v>640</v>
      </c>
      <c r="H3785" s="1">
        <v>42090</v>
      </c>
      <c r="I3785" s="1">
        <v>42095</v>
      </c>
      <c r="J3785" s="1">
        <v>42095</v>
      </c>
      <c r="K3785" s="1">
        <v>42155</v>
      </c>
      <c r="N3785" s="5"/>
      <c r="O3785">
        <v>553.5</v>
      </c>
      <c r="P3785">
        <v>29</v>
      </c>
      <c r="Q3785" s="2">
        <v>16051.5</v>
      </c>
      <c r="R3785">
        <v>121.77</v>
      </c>
      <c r="V3785">
        <v>0</v>
      </c>
      <c r="W3785">
        <v>0</v>
      </c>
      <c r="X3785">
        <v>0</v>
      </c>
      <c r="Y3785">
        <v>675.27</v>
      </c>
      <c r="Z3785">
        <v>675.27</v>
      </c>
      <c r="AA3785">
        <v>675.27</v>
      </c>
      <c r="AB3785" s="1">
        <v>42382</v>
      </c>
      <c r="AC3785" t="s">
        <v>53</v>
      </c>
      <c r="AD3785" t="s">
        <v>53</v>
      </c>
      <c r="AK3785">
        <v>121.77</v>
      </c>
      <c r="AU3785" s="6">
        <v>42184</v>
      </c>
      <c r="AV3785" s="6">
        <v>42184</v>
      </c>
      <c r="AW3785" t="s">
        <v>54</v>
      </c>
      <c r="AX3785" t="str">
        <f t="shared" si="323"/>
        <v>FOR</v>
      </c>
      <c r="AY3785" t="s">
        <v>55</v>
      </c>
    </row>
    <row r="3786" spans="1:51" hidden="1">
      <c r="A3786">
        <v>101317</v>
      </c>
      <c r="B3786" t="s">
        <v>578</v>
      </c>
      <c r="C3786" t="str">
        <f t="shared" si="322"/>
        <v>00592310627</v>
      </c>
      <c r="D3786" t="str">
        <f t="shared" si="322"/>
        <v>00592310627</v>
      </c>
      <c r="E3786" t="s">
        <v>52</v>
      </c>
      <c r="F3786">
        <v>2015</v>
      </c>
      <c r="G3786" t="s">
        <v>641</v>
      </c>
      <c r="H3786" s="1">
        <v>42090</v>
      </c>
      <c r="I3786" s="1">
        <v>42095</v>
      </c>
      <c r="J3786" s="1">
        <v>42095</v>
      </c>
      <c r="K3786" s="1">
        <v>42155</v>
      </c>
      <c r="N3786" s="5"/>
      <c r="O3786">
        <v>110</v>
      </c>
      <c r="P3786">
        <v>-32</v>
      </c>
      <c r="Q3786" s="2">
        <v>-3520</v>
      </c>
      <c r="R3786">
        <v>24.2</v>
      </c>
      <c r="V3786">
        <v>0</v>
      </c>
      <c r="W3786">
        <v>0</v>
      </c>
      <c r="X3786">
        <v>0</v>
      </c>
      <c r="Y3786">
        <v>134.19999999999999</v>
      </c>
      <c r="Z3786">
        <v>134.19999999999999</v>
      </c>
      <c r="AA3786">
        <v>134.19999999999999</v>
      </c>
      <c r="AB3786" s="1">
        <v>42382</v>
      </c>
      <c r="AC3786" t="s">
        <v>53</v>
      </c>
      <c r="AD3786" t="s">
        <v>53</v>
      </c>
      <c r="AK3786">
        <v>24.2</v>
      </c>
      <c r="AU3786" s="6">
        <v>42123</v>
      </c>
      <c r="AV3786" s="6">
        <v>42123</v>
      </c>
      <c r="AW3786" t="s">
        <v>54</v>
      </c>
      <c r="AX3786" t="str">
        <f t="shared" si="323"/>
        <v>FOR</v>
      </c>
      <c r="AY3786" t="s">
        <v>55</v>
      </c>
    </row>
    <row r="3787" spans="1:51" hidden="1">
      <c r="A3787">
        <v>101317</v>
      </c>
      <c r="B3787" t="s">
        <v>578</v>
      </c>
      <c r="C3787" t="str">
        <f t="shared" si="322"/>
        <v>00592310627</v>
      </c>
      <c r="D3787" t="str">
        <f t="shared" si="322"/>
        <v>00592310627</v>
      </c>
      <c r="E3787" t="s">
        <v>52</v>
      </c>
      <c r="F3787">
        <v>2015</v>
      </c>
      <c r="G3787" t="s">
        <v>642</v>
      </c>
      <c r="H3787" s="1">
        <v>42090</v>
      </c>
      <c r="I3787" s="1">
        <v>42095</v>
      </c>
      <c r="J3787" s="1">
        <v>42095</v>
      </c>
      <c r="K3787" s="1">
        <v>42155</v>
      </c>
      <c r="N3787" s="5"/>
      <c r="O3787">
        <v>119</v>
      </c>
      <c r="P3787">
        <v>-32</v>
      </c>
      <c r="Q3787" s="2">
        <v>-3808</v>
      </c>
      <c r="R3787">
        <v>26.18</v>
      </c>
      <c r="V3787">
        <v>0</v>
      </c>
      <c r="W3787">
        <v>0</v>
      </c>
      <c r="X3787">
        <v>0</v>
      </c>
      <c r="Y3787">
        <v>145.18</v>
      </c>
      <c r="Z3787">
        <v>145.18</v>
      </c>
      <c r="AA3787">
        <v>145.18</v>
      </c>
      <c r="AB3787" s="1">
        <v>42382</v>
      </c>
      <c r="AC3787" t="s">
        <v>53</v>
      </c>
      <c r="AD3787" t="s">
        <v>53</v>
      </c>
      <c r="AK3787">
        <v>26.18</v>
      </c>
      <c r="AU3787" s="6">
        <v>42123</v>
      </c>
      <c r="AV3787" s="6">
        <v>42123</v>
      </c>
      <c r="AW3787" t="s">
        <v>54</v>
      </c>
      <c r="AX3787" t="str">
        <f t="shared" si="323"/>
        <v>FOR</v>
      </c>
      <c r="AY3787" t="s">
        <v>55</v>
      </c>
    </row>
    <row r="3788" spans="1:51" hidden="1">
      <c r="A3788">
        <v>101317</v>
      </c>
      <c r="B3788" t="s">
        <v>578</v>
      </c>
      <c r="C3788" t="str">
        <f t="shared" si="322"/>
        <v>00592310627</v>
      </c>
      <c r="D3788" t="str">
        <f t="shared" si="322"/>
        <v>00592310627</v>
      </c>
      <c r="E3788" t="s">
        <v>52</v>
      </c>
      <c r="F3788">
        <v>2015</v>
      </c>
      <c r="G3788" t="s">
        <v>643</v>
      </c>
      <c r="H3788" s="1">
        <v>42090</v>
      </c>
      <c r="I3788" s="1">
        <v>42095</v>
      </c>
      <c r="J3788" s="1">
        <v>42095</v>
      </c>
      <c r="K3788" s="1">
        <v>42155</v>
      </c>
      <c r="N3788" s="5"/>
      <c r="O3788">
        <v>626</v>
      </c>
      <c r="P3788">
        <v>-32</v>
      </c>
      <c r="Q3788" s="2">
        <v>-20032</v>
      </c>
      <c r="R3788">
        <v>137.72</v>
      </c>
      <c r="V3788">
        <v>0</v>
      </c>
      <c r="W3788">
        <v>0</v>
      </c>
      <c r="X3788">
        <v>0</v>
      </c>
      <c r="Y3788">
        <v>763.72</v>
      </c>
      <c r="Z3788">
        <v>763.72</v>
      </c>
      <c r="AA3788">
        <v>763.72</v>
      </c>
      <c r="AB3788" s="1">
        <v>42382</v>
      </c>
      <c r="AC3788" t="s">
        <v>53</v>
      </c>
      <c r="AD3788" t="s">
        <v>53</v>
      </c>
      <c r="AK3788">
        <v>137.72</v>
      </c>
      <c r="AU3788" s="6">
        <v>42123</v>
      </c>
      <c r="AV3788" s="6">
        <v>42123</v>
      </c>
      <c r="AW3788" t="s">
        <v>54</v>
      </c>
      <c r="AX3788" t="str">
        <f t="shared" si="323"/>
        <v>FOR</v>
      </c>
      <c r="AY3788" t="s">
        <v>55</v>
      </c>
    </row>
    <row r="3789" spans="1:51" hidden="1">
      <c r="A3789">
        <v>101317</v>
      </c>
      <c r="B3789" t="s">
        <v>578</v>
      </c>
      <c r="C3789" t="str">
        <f t="shared" si="322"/>
        <v>00592310627</v>
      </c>
      <c r="D3789" t="str">
        <f t="shared" si="322"/>
        <v>00592310627</v>
      </c>
      <c r="E3789" t="s">
        <v>52</v>
      </c>
      <c r="F3789">
        <v>2015</v>
      </c>
      <c r="G3789" t="s">
        <v>408</v>
      </c>
      <c r="H3789" s="1">
        <v>42090</v>
      </c>
      <c r="I3789" s="1">
        <v>42095</v>
      </c>
      <c r="J3789" s="1">
        <v>42095</v>
      </c>
      <c r="K3789" s="1">
        <v>42155</v>
      </c>
      <c r="N3789" s="5"/>
      <c r="O3789">
        <v>330.5</v>
      </c>
      <c r="P3789">
        <v>-32</v>
      </c>
      <c r="Q3789" s="2">
        <v>-10576</v>
      </c>
      <c r="R3789">
        <v>72.709999999999994</v>
      </c>
      <c r="V3789">
        <v>0</v>
      </c>
      <c r="W3789">
        <v>0</v>
      </c>
      <c r="X3789">
        <v>0</v>
      </c>
      <c r="Y3789">
        <v>403.21</v>
      </c>
      <c r="Z3789">
        <v>403.21</v>
      </c>
      <c r="AA3789">
        <v>403.21</v>
      </c>
      <c r="AB3789" s="1">
        <v>42382</v>
      </c>
      <c r="AC3789" t="s">
        <v>53</v>
      </c>
      <c r="AD3789" t="s">
        <v>53</v>
      </c>
      <c r="AK3789">
        <v>72.709999999999994</v>
      </c>
      <c r="AU3789" s="6">
        <v>42123</v>
      </c>
      <c r="AV3789" s="6">
        <v>42123</v>
      </c>
      <c r="AW3789" t="s">
        <v>54</v>
      </c>
      <c r="AX3789" t="str">
        <f t="shared" si="323"/>
        <v>FOR</v>
      </c>
      <c r="AY3789" t="s">
        <v>55</v>
      </c>
    </row>
    <row r="3790" spans="1:51" hidden="1">
      <c r="A3790">
        <v>101317</v>
      </c>
      <c r="B3790" t="s">
        <v>578</v>
      </c>
      <c r="C3790" t="str">
        <f t="shared" si="322"/>
        <v>00592310627</v>
      </c>
      <c r="D3790" t="str">
        <f t="shared" si="322"/>
        <v>00592310627</v>
      </c>
      <c r="E3790" t="s">
        <v>52</v>
      </c>
      <c r="F3790">
        <v>2015</v>
      </c>
      <c r="G3790" t="s">
        <v>644</v>
      </c>
      <c r="H3790" s="1">
        <v>42090</v>
      </c>
      <c r="I3790" s="1">
        <v>42095</v>
      </c>
      <c r="J3790" s="1">
        <v>42095</v>
      </c>
      <c r="K3790" s="1">
        <v>42155</v>
      </c>
      <c r="N3790" s="5"/>
      <c r="O3790">
        <v>550</v>
      </c>
      <c r="P3790">
        <v>29</v>
      </c>
      <c r="Q3790" s="2">
        <v>15950</v>
      </c>
      <c r="R3790">
        <v>121</v>
      </c>
      <c r="V3790">
        <v>0</v>
      </c>
      <c r="W3790">
        <v>0</v>
      </c>
      <c r="X3790">
        <v>0</v>
      </c>
      <c r="Y3790">
        <v>671</v>
      </c>
      <c r="Z3790">
        <v>671</v>
      </c>
      <c r="AA3790">
        <v>671</v>
      </c>
      <c r="AB3790" s="1">
        <v>42382</v>
      </c>
      <c r="AC3790" t="s">
        <v>53</v>
      </c>
      <c r="AD3790" t="s">
        <v>53</v>
      </c>
      <c r="AK3790">
        <v>121</v>
      </c>
      <c r="AU3790" s="6">
        <v>42184</v>
      </c>
      <c r="AV3790" s="6">
        <v>42184</v>
      </c>
      <c r="AW3790" t="s">
        <v>54</v>
      </c>
      <c r="AX3790" t="str">
        <f t="shared" si="323"/>
        <v>FOR</v>
      </c>
      <c r="AY3790" t="s">
        <v>55</v>
      </c>
    </row>
    <row r="3791" spans="1:51" hidden="1">
      <c r="A3791">
        <v>101317</v>
      </c>
      <c r="B3791" t="s">
        <v>578</v>
      </c>
      <c r="C3791" t="str">
        <f t="shared" ref="C3791:D3810" si="324">"00592310627"</f>
        <v>00592310627</v>
      </c>
      <c r="D3791" t="str">
        <f t="shared" si="324"/>
        <v>00592310627</v>
      </c>
      <c r="E3791" t="s">
        <v>52</v>
      </c>
      <c r="F3791">
        <v>2015</v>
      </c>
      <c r="G3791" t="s">
        <v>645</v>
      </c>
      <c r="H3791" s="1">
        <v>42093</v>
      </c>
      <c r="I3791" s="1">
        <v>42095</v>
      </c>
      <c r="J3791" s="1">
        <v>42095</v>
      </c>
      <c r="K3791" s="1">
        <v>42155</v>
      </c>
      <c r="N3791" s="5"/>
      <c r="O3791">
        <v>795</v>
      </c>
      <c r="P3791">
        <v>29</v>
      </c>
      <c r="Q3791" s="2">
        <v>23055</v>
      </c>
      <c r="R3791">
        <v>174.9</v>
      </c>
      <c r="V3791">
        <v>0</v>
      </c>
      <c r="W3791">
        <v>0</v>
      </c>
      <c r="X3791">
        <v>0</v>
      </c>
      <c r="Y3791">
        <v>969.9</v>
      </c>
      <c r="Z3791">
        <v>969.9</v>
      </c>
      <c r="AA3791">
        <v>969.9</v>
      </c>
      <c r="AB3791" s="1">
        <v>42382</v>
      </c>
      <c r="AC3791" t="s">
        <v>53</v>
      </c>
      <c r="AD3791" t="s">
        <v>53</v>
      </c>
      <c r="AK3791">
        <v>174.9</v>
      </c>
      <c r="AU3791" s="6">
        <v>42184</v>
      </c>
      <c r="AV3791" s="6">
        <v>42184</v>
      </c>
      <c r="AW3791" t="s">
        <v>54</v>
      </c>
      <c r="AX3791" t="str">
        <f t="shared" si="323"/>
        <v>FOR</v>
      </c>
      <c r="AY3791" t="s">
        <v>55</v>
      </c>
    </row>
    <row r="3792" spans="1:51" hidden="1">
      <c r="A3792">
        <v>101317</v>
      </c>
      <c r="B3792" t="s">
        <v>578</v>
      </c>
      <c r="C3792" t="str">
        <f t="shared" si="324"/>
        <v>00592310627</v>
      </c>
      <c r="D3792" t="str">
        <f t="shared" si="324"/>
        <v>00592310627</v>
      </c>
      <c r="E3792" t="s">
        <v>52</v>
      </c>
      <c r="F3792">
        <v>2015</v>
      </c>
      <c r="G3792" t="s">
        <v>646</v>
      </c>
      <c r="H3792" s="1">
        <v>42093</v>
      </c>
      <c r="I3792" s="1">
        <v>42095</v>
      </c>
      <c r="J3792" s="1">
        <v>42095</v>
      </c>
      <c r="K3792" s="1">
        <v>42155</v>
      </c>
      <c r="N3792" s="5"/>
      <c r="O3792">
        <v>285</v>
      </c>
      <c r="P3792">
        <v>-32</v>
      </c>
      <c r="Q3792" s="2">
        <v>-9120</v>
      </c>
      <c r="R3792">
        <v>62.7</v>
      </c>
      <c r="V3792">
        <v>0</v>
      </c>
      <c r="W3792">
        <v>0</v>
      </c>
      <c r="X3792">
        <v>0</v>
      </c>
      <c r="Y3792">
        <v>347.7</v>
      </c>
      <c r="Z3792">
        <v>347.7</v>
      </c>
      <c r="AA3792">
        <v>347.7</v>
      </c>
      <c r="AB3792" s="1">
        <v>42382</v>
      </c>
      <c r="AC3792" t="s">
        <v>53</v>
      </c>
      <c r="AD3792" t="s">
        <v>53</v>
      </c>
      <c r="AK3792">
        <v>62.7</v>
      </c>
      <c r="AU3792" s="6">
        <v>42123</v>
      </c>
      <c r="AV3792" s="6">
        <v>42123</v>
      </c>
      <c r="AW3792" t="s">
        <v>54</v>
      </c>
      <c r="AX3792" t="str">
        <f t="shared" si="323"/>
        <v>FOR</v>
      </c>
      <c r="AY3792" t="s">
        <v>55</v>
      </c>
    </row>
    <row r="3793" spans="1:51" hidden="1">
      <c r="A3793">
        <v>101317</v>
      </c>
      <c r="B3793" t="s">
        <v>578</v>
      </c>
      <c r="C3793" t="str">
        <f t="shared" si="324"/>
        <v>00592310627</v>
      </c>
      <c r="D3793" t="str">
        <f t="shared" si="324"/>
        <v>00592310627</v>
      </c>
      <c r="E3793" t="s">
        <v>52</v>
      </c>
      <c r="F3793">
        <v>2015</v>
      </c>
      <c r="G3793" t="s">
        <v>647</v>
      </c>
      <c r="H3793" s="1">
        <v>42093</v>
      </c>
      <c r="I3793" s="1">
        <v>42095</v>
      </c>
      <c r="J3793" s="1">
        <v>42095</v>
      </c>
      <c r="K3793" s="1">
        <v>42155</v>
      </c>
      <c r="N3793" s="5"/>
      <c r="O3793">
        <v>522</v>
      </c>
      <c r="P3793">
        <v>-32</v>
      </c>
      <c r="Q3793" s="2">
        <v>-16704</v>
      </c>
      <c r="R3793">
        <v>114.84</v>
      </c>
      <c r="V3793">
        <v>0</v>
      </c>
      <c r="W3793">
        <v>0</v>
      </c>
      <c r="X3793">
        <v>0</v>
      </c>
      <c r="Y3793">
        <v>636.84</v>
      </c>
      <c r="Z3793">
        <v>636.84</v>
      </c>
      <c r="AA3793">
        <v>636.84</v>
      </c>
      <c r="AB3793" s="1">
        <v>42382</v>
      </c>
      <c r="AC3793" t="s">
        <v>53</v>
      </c>
      <c r="AD3793" t="s">
        <v>53</v>
      </c>
      <c r="AK3793">
        <v>114.84</v>
      </c>
      <c r="AU3793" s="6">
        <v>42123</v>
      </c>
      <c r="AV3793" s="6">
        <v>42123</v>
      </c>
      <c r="AW3793" t="s">
        <v>54</v>
      </c>
      <c r="AX3793" t="str">
        <f t="shared" si="323"/>
        <v>FOR</v>
      </c>
      <c r="AY3793" t="s">
        <v>55</v>
      </c>
    </row>
    <row r="3794" spans="1:51" hidden="1">
      <c r="A3794">
        <v>101317</v>
      </c>
      <c r="B3794" t="s">
        <v>578</v>
      </c>
      <c r="C3794" t="str">
        <f t="shared" si="324"/>
        <v>00592310627</v>
      </c>
      <c r="D3794" t="str">
        <f t="shared" si="324"/>
        <v>00592310627</v>
      </c>
      <c r="E3794" t="s">
        <v>52</v>
      </c>
      <c r="F3794">
        <v>2015</v>
      </c>
      <c r="G3794" t="s">
        <v>648</v>
      </c>
      <c r="H3794" s="1">
        <v>42093</v>
      </c>
      <c r="I3794" s="1">
        <v>42095</v>
      </c>
      <c r="J3794" s="1">
        <v>42095</v>
      </c>
      <c r="K3794" s="1">
        <v>42155</v>
      </c>
      <c r="N3794" s="5"/>
      <c r="O3794">
        <v>492</v>
      </c>
      <c r="P3794">
        <v>-32</v>
      </c>
      <c r="Q3794" s="2">
        <v>-15744</v>
      </c>
      <c r="R3794">
        <v>108.24</v>
      </c>
      <c r="V3794">
        <v>0</v>
      </c>
      <c r="W3794">
        <v>0</v>
      </c>
      <c r="X3794">
        <v>0</v>
      </c>
      <c r="Y3794">
        <v>600.24</v>
      </c>
      <c r="Z3794">
        <v>600.24</v>
      </c>
      <c r="AA3794">
        <v>600.24</v>
      </c>
      <c r="AB3794" s="1">
        <v>42382</v>
      </c>
      <c r="AC3794" t="s">
        <v>53</v>
      </c>
      <c r="AD3794" t="s">
        <v>53</v>
      </c>
      <c r="AK3794">
        <v>108.24</v>
      </c>
      <c r="AU3794" s="6">
        <v>42123</v>
      </c>
      <c r="AV3794" s="6">
        <v>42123</v>
      </c>
      <c r="AW3794" t="s">
        <v>54</v>
      </c>
      <c r="AX3794" t="str">
        <f t="shared" si="323"/>
        <v>FOR</v>
      </c>
      <c r="AY3794" t="s">
        <v>55</v>
      </c>
    </row>
    <row r="3795" spans="1:51" hidden="1">
      <c r="A3795">
        <v>101317</v>
      </c>
      <c r="B3795" t="s">
        <v>578</v>
      </c>
      <c r="C3795" t="str">
        <f t="shared" si="324"/>
        <v>00592310627</v>
      </c>
      <c r="D3795" t="str">
        <f t="shared" si="324"/>
        <v>00592310627</v>
      </c>
      <c r="E3795" t="s">
        <v>52</v>
      </c>
      <c r="F3795">
        <v>2015</v>
      </c>
      <c r="G3795" t="s">
        <v>649</v>
      </c>
      <c r="H3795" s="1">
        <v>42102</v>
      </c>
      <c r="I3795" s="1">
        <v>42107</v>
      </c>
      <c r="J3795" s="1">
        <v>42103</v>
      </c>
      <c r="K3795" s="1">
        <v>42163</v>
      </c>
      <c r="N3795" s="5"/>
      <c r="O3795">
        <v>90</v>
      </c>
      <c r="P3795">
        <v>21</v>
      </c>
      <c r="Q3795" s="2">
        <v>1890</v>
      </c>
      <c r="R3795">
        <v>19.8</v>
      </c>
      <c r="V3795">
        <v>0</v>
      </c>
      <c r="W3795">
        <v>0</v>
      </c>
      <c r="X3795">
        <v>0</v>
      </c>
      <c r="Y3795">
        <v>109.8</v>
      </c>
      <c r="Z3795">
        <v>109.8</v>
      </c>
      <c r="AA3795">
        <v>109.8</v>
      </c>
      <c r="AB3795" s="1">
        <v>42382</v>
      </c>
      <c r="AC3795" t="s">
        <v>53</v>
      </c>
      <c r="AD3795" t="s">
        <v>53</v>
      </c>
      <c r="AK3795">
        <v>19.8</v>
      </c>
      <c r="AU3795" s="6">
        <v>42184</v>
      </c>
      <c r="AV3795" s="6">
        <v>42184</v>
      </c>
      <c r="AW3795" t="s">
        <v>54</v>
      </c>
      <c r="AX3795" t="str">
        <f t="shared" si="323"/>
        <v>FOR</v>
      </c>
      <c r="AY3795" t="s">
        <v>55</v>
      </c>
    </row>
    <row r="3796" spans="1:51" hidden="1">
      <c r="A3796">
        <v>101317</v>
      </c>
      <c r="B3796" t="s">
        <v>578</v>
      </c>
      <c r="C3796" t="str">
        <f t="shared" si="324"/>
        <v>00592310627</v>
      </c>
      <c r="D3796" t="str">
        <f t="shared" si="324"/>
        <v>00592310627</v>
      </c>
      <c r="E3796" t="s">
        <v>52</v>
      </c>
      <c r="F3796">
        <v>2015</v>
      </c>
      <c r="G3796" t="s">
        <v>650</v>
      </c>
      <c r="H3796" s="1">
        <v>42102</v>
      </c>
      <c r="I3796" s="1">
        <v>42107</v>
      </c>
      <c r="J3796" s="1">
        <v>42103</v>
      </c>
      <c r="K3796" s="1">
        <v>42163</v>
      </c>
      <c r="N3796" s="5"/>
      <c r="O3796">
        <v>98.5</v>
      </c>
      <c r="P3796">
        <v>21</v>
      </c>
      <c r="Q3796" s="2">
        <v>2068.5</v>
      </c>
      <c r="R3796">
        <v>21.67</v>
      </c>
      <c r="V3796">
        <v>0</v>
      </c>
      <c r="W3796">
        <v>0</v>
      </c>
      <c r="X3796">
        <v>0</v>
      </c>
      <c r="Y3796">
        <v>120.17</v>
      </c>
      <c r="Z3796">
        <v>120.17</v>
      </c>
      <c r="AA3796">
        <v>120.17</v>
      </c>
      <c r="AB3796" s="1">
        <v>42382</v>
      </c>
      <c r="AC3796" t="s">
        <v>53</v>
      </c>
      <c r="AD3796" t="s">
        <v>53</v>
      </c>
      <c r="AK3796">
        <v>21.67</v>
      </c>
      <c r="AU3796" s="6">
        <v>42184</v>
      </c>
      <c r="AV3796" s="6">
        <v>42184</v>
      </c>
      <c r="AW3796" t="s">
        <v>54</v>
      </c>
      <c r="AX3796" t="str">
        <f t="shared" si="323"/>
        <v>FOR</v>
      </c>
      <c r="AY3796" t="s">
        <v>55</v>
      </c>
    </row>
    <row r="3797" spans="1:51" hidden="1">
      <c r="A3797">
        <v>101317</v>
      </c>
      <c r="B3797" t="s">
        <v>578</v>
      </c>
      <c r="C3797" t="str">
        <f t="shared" si="324"/>
        <v>00592310627</v>
      </c>
      <c r="D3797" t="str">
        <f t="shared" si="324"/>
        <v>00592310627</v>
      </c>
      <c r="E3797" t="s">
        <v>52</v>
      </c>
      <c r="F3797">
        <v>2015</v>
      </c>
      <c r="G3797" t="s">
        <v>651</v>
      </c>
      <c r="H3797" s="1">
        <v>42102</v>
      </c>
      <c r="I3797" s="1">
        <v>42107</v>
      </c>
      <c r="J3797" s="1">
        <v>42103</v>
      </c>
      <c r="K3797" s="1">
        <v>42163</v>
      </c>
      <c r="N3797" s="5"/>
      <c r="O3797">
        <v>95</v>
      </c>
      <c r="P3797">
        <v>21</v>
      </c>
      <c r="Q3797" s="2">
        <v>1995</v>
      </c>
      <c r="R3797">
        <v>20.9</v>
      </c>
      <c r="V3797">
        <v>0</v>
      </c>
      <c r="W3797">
        <v>0</v>
      </c>
      <c r="X3797">
        <v>0</v>
      </c>
      <c r="Y3797">
        <v>115.9</v>
      </c>
      <c r="Z3797">
        <v>115.9</v>
      </c>
      <c r="AA3797">
        <v>115.9</v>
      </c>
      <c r="AB3797" s="1">
        <v>42382</v>
      </c>
      <c r="AC3797" t="s">
        <v>53</v>
      </c>
      <c r="AD3797" t="s">
        <v>53</v>
      </c>
      <c r="AK3797">
        <v>20.9</v>
      </c>
      <c r="AU3797" s="6">
        <v>42184</v>
      </c>
      <c r="AV3797" s="6">
        <v>42184</v>
      </c>
      <c r="AW3797" t="s">
        <v>54</v>
      </c>
      <c r="AX3797" t="str">
        <f t="shared" si="323"/>
        <v>FOR</v>
      </c>
      <c r="AY3797" t="s">
        <v>55</v>
      </c>
    </row>
    <row r="3798" spans="1:51" hidden="1">
      <c r="A3798">
        <v>101317</v>
      </c>
      <c r="B3798" t="s">
        <v>578</v>
      </c>
      <c r="C3798" t="str">
        <f t="shared" si="324"/>
        <v>00592310627</v>
      </c>
      <c r="D3798" t="str">
        <f t="shared" si="324"/>
        <v>00592310627</v>
      </c>
      <c r="E3798" t="s">
        <v>52</v>
      </c>
      <c r="F3798">
        <v>2015</v>
      </c>
      <c r="G3798" t="s">
        <v>652</v>
      </c>
      <c r="H3798" s="1">
        <v>42102</v>
      </c>
      <c r="I3798" s="1">
        <v>42107</v>
      </c>
      <c r="J3798" s="1">
        <v>42103</v>
      </c>
      <c r="K3798" s="1">
        <v>42163</v>
      </c>
      <c r="N3798" s="5"/>
      <c r="O3798">
        <v>25</v>
      </c>
      <c r="P3798">
        <v>21</v>
      </c>
      <c r="Q3798">
        <v>525</v>
      </c>
      <c r="R3798">
        <v>5.5</v>
      </c>
      <c r="V3798">
        <v>0</v>
      </c>
      <c r="W3798">
        <v>0</v>
      </c>
      <c r="X3798">
        <v>0</v>
      </c>
      <c r="Y3798">
        <v>30.5</v>
      </c>
      <c r="Z3798">
        <v>30.5</v>
      </c>
      <c r="AA3798">
        <v>30.5</v>
      </c>
      <c r="AB3798" s="1">
        <v>42382</v>
      </c>
      <c r="AC3798" t="s">
        <v>53</v>
      </c>
      <c r="AD3798" t="s">
        <v>53</v>
      </c>
      <c r="AK3798">
        <v>5.5</v>
      </c>
      <c r="AU3798" s="6">
        <v>42184</v>
      </c>
      <c r="AV3798" s="6">
        <v>42184</v>
      </c>
      <c r="AW3798" t="s">
        <v>54</v>
      </c>
      <c r="AX3798" t="str">
        <f t="shared" si="323"/>
        <v>FOR</v>
      </c>
      <c r="AY3798" t="s">
        <v>55</v>
      </c>
    </row>
    <row r="3799" spans="1:51" hidden="1">
      <c r="A3799">
        <v>101317</v>
      </c>
      <c r="B3799" t="s">
        <v>578</v>
      </c>
      <c r="C3799" t="str">
        <f t="shared" si="324"/>
        <v>00592310627</v>
      </c>
      <c r="D3799" t="str">
        <f t="shared" si="324"/>
        <v>00592310627</v>
      </c>
      <c r="E3799" t="s">
        <v>52</v>
      </c>
      <c r="F3799">
        <v>2015</v>
      </c>
      <c r="G3799" t="s">
        <v>653</v>
      </c>
      <c r="H3799" s="1">
        <v>42102</v>
      </c>
      <c r="I3799" s="1">
        <v>42107</v>
      </c>
      <c r="J3799" s="1">
        <v>42103</v>
      </c>
      <c r="K3799" s="1">
        <v>42163</v>
      </c>
      <c r="N3799" s="5"/>
      <c r="O3799">
        <v>59.8</v>
      </c>
      <c r="P3799">
        <v>21</v>
      </c>
      <c r="Q3799" s="2">
        <v>1255.8</v>
      </c>
      <c r="R3799">
        <v>13.16</v>
      </c>
      <c r="V3799">
        <v>0</v>
      </c>
      <c r="W3799">
        <v>0</v>
      </c>
      <c r="X3799">
        <v>0</v>
      </c>
      <c r="Y3799">
        <v>72.959999999999994</v>
      </c>
      <c r="Z3799">
        <v>72.959999999999994</v>
      </c>
      <c r="AA3799">
        <v>72.959999999999994</v>
      </c>
      <c r="AB3799" s="1">
        <v>42382</v>
      </c>
      <c r="AC3799" t="s">
        <v>53</v>
      </c>
      <c r="AD3799" t="s">
        <v>53</v>
      </c>
      <c r="AK3799">
        <v>13.16</v>
      </c>
      <c r="AU3799" s="6">
        <v>42184</v>
      </c>
      <c r="AV3799" s="6">
        <v>42184</v>
      </c>
      <c r="AW3799" t="s">
        <v>54</v>
      </c>
      <c r="AX3799" t="str">
        <f t="shared" si="323"/>
        <v>FOR</v>
      </c>
      <c r="AY3799" t="s">
        <v>55</v>
      </c>
    </row>
    <row r="3800" spans="1:51" hidden="1">
      <c r="A3800">
        <v>101317</v>
      </c>
      <c r="B3800" t="s">
        <v>578</v>
      </c>
      <c r="C3800" t="str">
        <f t="shared" si="324"/>
        <v>00592310627</v>
      </c>
      <c r="D3800" t="str">
        <f t="shared" si="324"/>
        <v>00592310627</v>
      </c>
      <c r="E3800" t="s">
        <v>52</v>
      </c>
      <c r="F3800">
        <v>2015</v>
      </c>
      <c r="G3800" t="s">
        <v>654</v>
      </c>
      <c r="H3800" s="1">
        <v>42102</v>
      </c>
      <c r="I3800" s="1">
        <v>42107</v>
      </c>
      <c r="J3800" s="1">
        <v>42103</v>
      </c>
      <c r="K3800" s="1">
        <v>42163</v>
      </c>
      <c r="N3800" s="5"/>
      <c r="O3800">
        <v>199.9</v>
      </c>
      <c r="P3800">
        <v>21</v>
      </c>
      <c r="Q3800" s="2">
        <v>4197.8999999999996</v>
      </c>
      <c r="R3800">
        <v>43.98</v>
      </c>
      <c r="V3800">
        <v>0</v>
      </c>
      <c r="W3800">
        <v>0</v>
      </c>
      <c r="X3800">
        <v>0</v>
      </c>
      <c r="Y3800">
        <v>243.88</v>
      </c>
      <c r="Z3800">
        <v>243.88</v>
      </c>
      <c r="AA3800">
        <v>243.88</v>
      </c>
      <c r="AB3800" s="1">
        <v>42382</v>
      </c>
      <c r="AC3800" t="s">
        <v>53</v>
      </c>
      <c r="AD3800" t="s">
        <v>53</v>
      </c>
      <c r="AK3800">
        <v>43.98</v>
      </c>
      <c r="AU3800" s="6">
        <v>42184</v>
      </c>
      <c r="AV3800" s="6">
        <v>42184</v>
      </c>
      <c r="AW3800" t="s">
        <v>54</v>
      </c>
      <c r="AX3800" t="str">
        <f t="shared" si="323"/>
        <v>FOR</v>
      </c>
      <c r="AY3800" t="s">
        <v>55</v>
      </c>
    </row>
    <row r="3801" spans="1:51" hidden="1">
      <c r="A3801">
        <v>101317</v>
      </c>
      <c r="B3801" t="s">
        <v>578</v>
      </c>
      <c r="C3801" t="str">
        <f t="shared" si="324"/>
        <v>00592310627</v>
      </c>
      <c r="D3801" t="str">
        <f t="shared" si="324"/>
        <v>00592310627</v>
      </c>
      <c r="E3801" t="s">
        <v>52</v>
      </c>
      <c r="F3801">
        <v>2015</v>
      </c>
      <c r="G3801" t="s">
        <v>655</v>
      </c>
      <c r="H3801" s="1">
        <v>42117</v>
      </c>
      <c r="I3801" s="1">
        <v>42139</v>
      </c>
      <c r="J3801" s="1">
        <v>42137</v>
      </c>
      <c r="K3801" s="1">
        <v>42197</v>
      </c>
      <c r="N3801" s="5"/>
      <c r="O3801">
        <v>261</v>
      </c>
      <c r="P3801">
        <v>-13</v>
      </c>
      <c r="Q3801" s="2">
        <v>-3393</v>
      </c>
      <c r="R3801">
        <v>57.42</v>
      </c>
      <c r="V3801">
        <v>0</v>
      </c>
      <c r="W3801">
        <v>0</v>
      </c>
      <c r="X3801">
        <v>0</v>
      </c>
      <c r="Y3801">
        <v>318.42</v>
      </c>
      <c r="Z3801">
        <v>318.42</v>
      </c>
      <c r="AA3801">
        <v>318.42</v>
      </c>
      <c r="AB3801" s="1">
        <v>42382</v>
      </c>
      <c r="AC3801" t="s">
        <v>53</v>
      </c>
      <c r="AD3801" t="s">
        <v>53</v>
      </c>
      <c r="AJ3801">
        <v>57.42</v>
      </c>
      <c r="AK3801">
        <v>0</v>
      </c>
      <c r="AU3801" s="6">
        <v>42184</v>
      </c>
      <c r="AV3801" s="6">
        <v>42184</v>
      </c>
      <c r="AW3801" t="s">
        <v>54</v>
      </c>
      <c r="AX3801" t="str">
        <f t="shared" si="323"/>
        <v>FOR</v>
      </c>
      <c r="AY3801" t="s">
        <v>55</v>
      </c>
    </row>
    <row r="3802" spans="1:51" hidden="1">
      <c r="A3802">
        <v>101317</v>
      </c>
      <c r="B3802" t="s">
        <v>578</v>
      </c>
      <c r="C3802" t="str">
        <f t="shared" si="324"/>
        <v>00592310627</v>
      </c>
      <c r="D3802" t="str">
        <f t="shared" si="324"/>
        <v>00592310627</v>
      </c>
      <c r="E3802" t="s">
        <v>52</v>
      </c>
      <c r="F3802">
        <v>2015</v>
      </c>
      <c r="G3802" t="s">
        <v>656</v>
      </c>
      <c r="H3802" s="1">
        <v>42117</v>
      </c>
      <c r="I3802" s="1">
        <v>42139</v>
      </c>
      <c r="J3802" s="1">
        <v>42137</v>
      </c>
      <c r="K3802" s="1">
        <v>42197</v>
      </c>
      <c r="N3802" s="5"/>
      <c r="O3802">
        <v>70</v>
      </c>
      <c r="P3802">
        <v>-13</v>
      </c>
      <c r="Q3802">
        <v>-910</v>
      </c>
      <c r="R3802">
        <v>15.4</v>
      </c>
      <c r="V3802">
        <v>0</v>
      </c>
      <c r="W3802">
        <v>0</v>
      </c>
      <c r="X3802">
        <v>0</v>
      </c>
      <c r="Y3802">
        <v>85.4</v>
      </c>
      <c r="Z3802">
        <v>85.4</v>
      </c>
      <c r="AA3802">
        <v>85.4</v>
      </c>
      <c r="AB3802" s="1">
        <v>42382</v>
      </c>
      <c r="AC3802" t="s">
        <v>53</v>
      </c>
      <c r="AD3802" t="s">
        <v>53</v>
      </c>
      <c r="AJ3802">
        <v>15.4</v>
      </c>
      <c r="AK3802">
        <v>0</v>
      </c>
      <c r="AU3802" s="6">
        <v>42184</v>
      </c>
      <c r="AV3802" s="6">
        <v>42184</v>
      </c>
      <c r="AW3802" t="s">
        <v>54</v>
      </c>
      <c r="AX3802" t="str">
        <f t="shared" si="323"/>
        <v>FOR</v>
      </c>
      <c r="AY3802" t="s">
        <v>55</v>
      </c>
    </row>
    <row r="3803" spans="1:51" hidden="1">
      <c r="A3803">
        <v>101317</v>
      </c>
      <c r="B3803" t="s">
        <v>578</v>
      </c>
      <c r="C3803" t="str">
        <f t="shared" si="324"/>
        <v>00592310627</v>
      </c>
      <c r="D3803" t="str">
        <f t="shared" si="324"/>
        <v>00592310627</v>
      </c>
      <c r="E3803" t="s">
        <v>52</v>
      </c>
      <c r="F3803">
        <v>2015</v>
      </c>
      <c r="G3803" t="s">
        <v>657</v>
      </c>
      <c r="H3803" s="1">
        <v>42118</v>
      </c>
      <c r="I3803" s="1">
        <v>42121</v>
      </c>
      <c r="J3803" s="1">
        <v>42119</v>
      </c>
      <c r="K3803" s="1">
        <v>42179</v>
      </c>
      <c r="N3803" s="5"/>
      <c r="O3803">
        <v>50</v>
      </c>
      <c r="P3803">
        <v>5</v>
      </c>
      <c r="Q3803">
        <v>250</v>
      </c>
      <c r="R3803">
        <v>11</v>
      </c>
      <c r="V3803">
        <v>0</v>
      </c>
      <c r="W3803">
        <v>0</v>
      </c>
      <c r="X3803">
        <v>0</v>
      </c>
      <c r="Y3803">
        <v>61</v>
      </c>
      <c r="Z3803">
        <v>61</v>
      </c>
      <c r="AA3803">
        <v>61</v>
      </c>
      <c r="AB3803" s="1">
        <v>42382</v>
      </c>
      <c r="AC3803" t="s">
        <v>53</v>
      </c>
      <c r="AD3803" t="s">
        <v>53</v>
      </c>
      <c r="AK3803">
        <v>11</v>
      </c>
      <c r="AU3803" s="6">
        <v>42184</v>
      </c>
      <c r="AV3803" s="6">
        <v>42184</v>
      </c>
      <c r="AW3803" t="s">
        <v>54</v>
      </c>
      <c r="AX3803" t="str">
        <f t="shared" si="323"/>
        <v>FOR</v>
      </c>
      <c r="AY3803" t="s">
        <v>55</v>
      </c>
    </row>
    <row r="3804" spans="1:51" hidden="1">
      <c r="A3804">
        <v>101317</v>
      </c>
      <c r="B3804" t="s">
        <v>578</v>
      </c>
      <c r="C3804" t="str">
        <f t="shared" si="324"/>
        <v>00592310627</v>
      </c>
      <c r="D3804" t="str">
        <f t="shared" si="324"/>
        <v>00592310627</v>
      </c>
      <c r="E3804" t="s">
        <v>52</v>
      </c>
      <c r="F3804">
        <v>2015</v>
      </c>
      <c r="G3804" t="s">
        <v>658</v>
      </c>
      <c r="H3804" s="1">
        <v>42118</v>
      </c>
      <c r="I3804" s="1">
        <v>42121</v>
      </c>
      <c r="J3804" s="1">
        <v>42119</v>
      </c>
      <c r="K3804" s="1">
        <v>42179</v>
      </c>
      <c r="N3804" s="5"/>
      <c r="O3804">
        <v>288</v>
      </c>
      <c r="P3804">
        <v>5</v>
      </c>
      <c r="Q3804" s="2">
        <v>1440</v>
      </c>
      <c r="R3804">
        <v>63.36</v>
      </c>
      <c r="V3804">
        <v>0</v>
      </c>
      <c r="W3804">
        <v>0</v>
      </c>
      <c r="X3804">
        <v>0</v>
      </c>
      <c r="Y3804">
        <v>351.36</v>
      </c>
      <c r="Z3804">
        <v>351.36</v>
      </c>
      <c r="AA3804">
        <v>351.36</v>
      </c>
      <c r="AB3804" s="1">
        <v>42382</v>
      </c>
      <c r="AC3804" t="s">
        <v>53</v>
      </c>
      <c r="AD3804" t="s">
        <v>53</v>
      </c>
      <c r="AK3804">
        <v>63.36</v>
      </c>
      <c r="AU3804" s="6">
        <v>42184</v>
      </c>
      <c r="AV3804" s="6">
        <v>42184</v>
      </c>
      <c r="AW3804" t="s">
        <v>54</v>
      </c>
      <c r="AX3804" t="str">
        <f t="shared" si="323"/>
        <v>FOR</v>
      </c>
      <c r="AY3804" t="s">
        <v>55</v>
      </c>
    </row>
    <row r="3805" spans="1:51" hidden="1">
      <c r="A3805">
        <v>101317</v>
      </c>
      <c r="B3805" t="s">
        <v>578</v>
      </c>
      <c r="C3805" t="str">
        <f t="shared" si="324"/>
        <v>00592310627</v>
      </c>
      <c r="D3805" t="str">
        <f t="shared" si="324"/>
        <v>00592310627</v>
      </c>
      <c r="E3805" t="s">
        <v>52</v>
      </c>
      <c r="F3805">
        <v>2015</v>
      </c>
      <c r="G3805" t="s">
        <v>659</v>
      </c>
      <c r="H3805" s="1">
        <v>42118</v>
      </c>
      <c r="I3805" s="1">
        <v>42121</v>
      </c>
      <c r="J3805" s="1">
        <v>42119</v>
      </c>
      <c r="K3805" s="1">
        <v>42179</v>
      </c>
      <c r="N3805" s="5"/>
      <c r="O3805">
        <v>369</v>
      </c>
      <c r="P3805">
        <v>5</v>
      </c>
      <c r="Q3805" s="2">
        <v>1845</v>
      </c>
      <c r="R3805">
        <v>81.180000000000007</v>
      </c>
      <c r="V3805">
        <v>0</v>
      </c>
      <c r="W3805">
        <v>0</v>
      </c>
      <c r="X3805">
        <v>0</v>
      </c>
      <c r="Y3805">
        <v>450.18</v>
      </c>
      <c r="Z3805">
        <v>450.18</v>
      </c>
      <c r="AA3805">
        <v>450.18</v>
      </c>
      <c r="AB3805" s="1">
        <v>42382</v>
      </c>
      <c r="AC3805" t="s">
        <v>53</v>
      </c>
      <c r="AD3805" t="s">
        <v>53</v>
      </c>
      <c r="AK3805">
        <v>81.180000000000007</v>
      </c>
      <c r="AU3805" s="6">
        <v>42184</v>
      </c>
      <c r="AV3805" s="6">
        <v>42184</v>
      </c>
      <c r="AW3805" t="s">
        <v>54</v>
      </c>
      <c r="AX3805" t="str">
        <f t="shared" si="323"/>
        <v>FOR</v>
      </c>
      <c r="AY3805" t="s">
        <v>55</v>
      </c>
    </row>
    <row r="3806" spans="1:51" hidden="1">
      <c r="A3806">
        <v>101317</v>
      </c>
      <c r="B3806" t="s">
        <v>578</v>
      </c>
      <c r="C3806" t="str">
        <f t="shared" si="324"/>
        <v>00592310627</v>
      </c>
      <c r="D3806" t="str">
        <f t="shared" si="324"/>
        <v>00592310627</v>
      </c>
      <c r="E3806" t="s">
        <v>52</v>
      </c>
      <c r="F3806">
        <v>2015</v>
      </c>
      <c r="G3806" t="s">
        <v>660</v>
      </c>
      <c r="H3806" s="1">
        <v>42118</v>
      </c>
      <c r="I3806" s="1">
        <v>42121</v>
      </c>
      <c r="J3806" s="1">
        <v>42119</v>
      </c>
      <c r="K3806" s="1">
        <v>42179</v>
      </c>
      <c r="N3806" s="5"/>
      <c r="O3806">
        <v>78</v>
      </c>
      <c r="P3806">
        <v>5</v>
      </c>
      <c r="Q3806">
        <v>390</v>
      </c>
      <c r="R3806">
        <v>17.16</v>
      </c>
      <c r="V3806">
        <v>0</v>
      </c>
      <c r="W3806">
        <v>0</v>
      </c>
      <c r="X3806">
        <v>0</v>
      </c>
      <c r="Y3806">
        <v>95.16</v>
      </c>
      <c r="Z3806">
        <v>95.16</v>
      </c>
      <c r="AA3806">
        <v>95.16</v>
      </c>
      <c r="AB3806" s="1">
        <v>42382</v>
      </c>
      <c r="AC3806" t="s">
        <v>53</v>
      </c>
      <c r="AD3806" t="s">
        <v>53</v>
      </c>
      <c r="AK3806">
        <v>17.16</v>
      </c>
      <c r="AU3806" s="6">
        <v>42184</v>
      </c>
      <c r="AV3806" s="6">
        <v>42184</v>
      </c>
      <c r="AW3806" t="s">
        <v>54</v>
      </c>
      <c r="AX3806" t="str">
        <f t="shared" si="323"/>
        <v>FOR</v>
      </c>
      <c r="AY3806" t="s">
        <v>55</v>
      </c>
    </row>
    <row r="3807" spans="1:51" hidden="1">
      <c r="A3807">
        <v>101317</v>
      </c>
      <c r="B3807" t="s">
        <v>578</v>
      </c>
      <c r="C3807" t="str">
        <f t="shared" si="324"/>
        <v>00592310627</v>
      </c>
      <c r="D3807" t="str">
        <f t="shared" si="324"/>
        <v>00592310627</v>
      </c>
      <c r="E3807" t="s">
        <v>52</v>
      </c>
      <c r="F3807">
        <v>2015</v>
      </c>
      <c r="G3807" t="s">
        <v>661</v>
      </c>
      <c r="H3807" s="1">
        <v>42118</v>
      </c>
      <c r="I3807" s="1">
        <v>42121</v>
      </c>
      <c r="J3807" s="1">
        <v>42119</v>
      </c>
      <c r="K3807" s="1">
        <v>42179</v>
      </c>
      <c r="N3807" s="5"/>
      <c r="O3807">
        <v>27.8</v>
      </c>
      <c r="P3807">
        <v>5</v>
      </c>
      <c r="Q3807">
        <v>139</v>
      </c>
      <c r="R3807">
        <v>6.12</v>
      </c>
      <c r="V3807">
        <v>0</v>
      </c>
      <c r="W3807">
        <v>0</v>
      </c>
      <c r="X3807">
        <v>0</v>
      </c>
      <c r="Y3807">
        <v>33.92</v>
      </c>
      <c r="Z3807">
        <v>33.92</v>
      </c>
      <c r="AA3807">
        <v>33.92</v>
      </c>
      <c r="AB3807" s="1">
        <v>42382</v>
      </c>
      <c r="AC3807" t="s">
        <v>53</v>
      </c>
      <c r="AD3807" t="s">
        <v>53</v>
      </c>
      <c r="AK3807">
        <v>6.12</v>
      </c>
      <c r="AU3807" s="6">
        <v>42184</v>
      </c>
      <c r="AV3807" s="6">
        <v>42184</v>
      </c>
      <c r="AW3807" t="s">
        <v>54</v>
      </c>
      <c r="AX3807" t="str">
        <f t="shared" si="323"/>
        <v>FOR</v>
      </c>
      <c r="AY3807" t="s">
        <v>55</v>
      </c>
    </row>
    <row r="3808" spans="1:51" hidden="1">
      <c r="A3808">
        <v>101317</v>
      </c>
      <c r="B3808" t="s">
        <v>578</v>
      </c>
      <c r="C3808" t="str">
        <f t="shared" si="324"/>
        <v>00592310627</v>
      </c>
      <c r="D3808" t="str">
        <f t="shared" si="324"/>
        <v>00592310627</v>
      </c>
      <c r="E3808" t="s">
        <v>52</v>
      </c>
      <c r="F3808">
        <v>2015</v>
      </c>
      <c r="G3808" t="s">
        <v>662</v>
      </c>
      <c r="H3808" s="1">
        <v>42118</v>
      </c>
      <c r="I3808" s="1">
        <v>42121</v>
      </c>
      <c r="J3808" s="1">
        <v>42119</v>
      </c>
      <c r="K3808" s="1">
        <v>42179</v>
      </c>
      <c r="N3808" s="5"/>
      <c r="O3808">
        <v>39.5</v>
      </c>
      <c r="P3808">
        <v>5</v>
      </c>
      <c r="Q3808">
        <v>197.5</v>
      </c>
      <c r="R3808">
        <v>8.69</v>
      </c>
      <c r="V3808">
        <v>0</v>
      </c>
      <c r="W3808">
        <v>0</v>
      </c>
      <c r="X3808">
        <v>0</v>
      </c>
      <c r="Y3808">
        <v>48.19</v>
      </c>
      <c r="Z3808">
        <v>48.19</v>
      </c>
      <c r="AA3808">
        <v>48.19</v>
      </c>
      <c r="AB3808" s="1">
        <v>42382</v>
      </c>
      <c r="AC3808" t="s">
        <v>53</v>
      </c>
      <c r="AD3808" t="s">
        <v>53</v>
      </c>
      <c r="AK3808">
        <v>8.69</v>
      </c>
      <c r="AU3808" s="6">
        <v>42184</v>
      </c>
      <c r="AV3808" s="6">
        <v>42184</v>
      </c>
      <c r="AW3808" t="s">
        <v>54</v>
      </c>
      <c r="AX3808" t="str">
        <f t="shared" si="323"/>
        <v>FOR</v>
      </c>
      <c r="AY3808" t="s">
        <v>55</v>
      </c>
    </row>
    <row r="3809" spans="1:51" hidden="1">
      <c r="A3809">
        <v>101317</v>
      </c>
      <c r="B3809" t="s">
        <v>578</v>
      </c>
      <c r="C3809" t="str">
        <f t="shared" si="324"/>
        <v>00592310627</v>
      </c>
      <c r="D3809" t="str">
        <f t="shared" si="324"/>
        <v>00592310627</v>
      </c>
      <c r="E3809" t="s">
        <v>52</v>
      </c>
      <c r="F3809">
        <v>2015</v>
      </c>
      <c r="G3809" t="s">
        <v>663</v>
      </c>
      <c r="H3809" s="1">
        <v>42135</v>
      </c>
      <c r="I3809" s="1">
        <v>42139</v>
      </c>
      <c r="J3809" s="1">
        <v>42138</v>
      </c>
      <c r="K3809" s="1">
        <v>42198</v>
      </c>
      <c r="N3809" s="5"/>
      <c r="O3809">
        <v>420</v>
      </c>
      <c r="P3809">
        <v>-14</v>
      </c>
      <c r="Q3809" s="2">
        <v>-5880</v>
      </c>
      <c r="R3809">
        <v>92.4</v>
      </c>
      <c r="V3809">
        <v>0</v>
      </c>
      <c r="W3809">
        <v>0</v>
      </c>
      <c r="X3809">
        <v>0</v>
      </c>
      <c r="Y3809">
        <v>512.4</v>
      </c>
      <c r="Z3809">
        <v>512.4</v>
      </c>
      <c r="AA3809">
        <v>512.4</v>
      </c>
      <c r="AB3809" s="1">
        <v>42382</v>
      </c>
      <c r="AC3809" t="s">
        <v>53</v>
      </c>
      <c r="AD3809" t="s">
        <v>53</v>
      </c>
      <c r="AJ3809">
        <v>92.4</v>
      </c>
      <c r="AK3809">
        <v>0</v>
      </c>
      <c r="AU3809" s="6">
        <v>42184</v>
      </c>
      <c r="AV3809" s="6">
        <v>42184</v>
      </c>
      <c r="AW3809" t="s">
        <v>54</v>
      </c>
      <c r="AX3809" t="str">
        <f t="shared" si="323"/>
        <v>FOR</v>
      </c>
      <c r="AY3809" t="s">
        <v>55</v>
      </c>
    </row>
    <row r="3810" spans="1:51" hidden="1">
      <c r="A3810">
        <v>101317</v>
      </c>
      <c r="B3810" t="s">
        <v>578</v>
      </c>
      <c r="C3810" t="str">
        <f t="shared" si="324"/>
        <v>00592310627</v>
      </c>
      <c r="D3810" t="str">
        <f t="shared" si="324"/>
        <v>00592310627</v>
      </c>
      <c r="E3810" t="s">
        <v>52</v>
      </c>
      <c r="F3810">
        <v>2015</v>
      </c>
      <c r="G3810" t="s">
        <v>664</v>
      </c>
      <c r="H3810" s="1">
        <v>42135</v>
      </c>
      <c r="I3810" s="1">
        <v>42139</v>
      </c>
      <c r="J3810" s="1">
        <v>42138</v>
      </c>
      <c r="K3810" s="1">
        <v>42198</v>
      </c>
      <c r="N3810" s="5"/>
      <c r="O3810">
        <v>421</v>
      </c>
      <c r="P3810">
        <v>-14</v>
      </c>
      <c r="Q3810" s="2">
        <v>-5894</v>
      </c>
      <c r="R3810">
        <v>92.62</v>
      </c>
      <c r="V3810">
        <v>0</v>
      </c>
      <c r="W3810">
        <v>0</v>
      </c>
      <c r="X3810">
        <v>0</v>
      </c>
      <c r="Y3810">
        <v>513.62</v>
      </c>
      <c r="Z3810">
        <v>513.62</v>
      </c>
      <c r="AA3810">
        <v>513.62</v>
      </c>
      <c r="AB3810" s="1">
        <v>42382</v>
      </c>
      <c r="AC3810" t="s">
        <v>53</v>
      </c>
      <c r="AD3810" t="s">
        <v>53</v>
      </c>
      <c r="AJ3810">
        <v>92.62</v>
      </c>
      <c r="AK3810">
        <v>0</v>
      </c>
      <c r="AU3810" s="6">
        <v>42184</v>
      </c>
      <c r="AV3810" s="6">
        <v>42184</v>
      </c>
      <c r="AW3810" t="s">
        <v>54</v>
      </c>
      <c r="AX3810" t="str">
        <f t="shared" si="323"/>
        <v>FOR</v>
      </c>
      <c r="AY3810" t="s">
        <v>55</v>
      </c>
    </row>
    <row r="3811" spans="1:51" hidden="1">
      <c r="A3811">
        <v>101317</v>
      </c>
      <c r="B3811" t="s">
        <v>578</v>
      </c>
      <c r="C3811" t="str">
        <f t="shared" ref="C3811:D3830" si="325">"00592310627"</f>
        <v>00592310627</v>
      </c>
      <c r="D3811" t="str">
        <f t="shared" si="325"/>
        <v>00592310627</v>
      </c>
      <c r="E3811" t="s">
        <v>52</v>
      </c>
      <c r="F3811">
        <v>2015</v>
      </c>
      <c r="G3811" t="s">
        <v>665</v>
      </c>
      <c r="H3811" s="1">
        <v>42135</v>
      </c>
      <c r="I3811" s="1">
        <v>42139</v>
      </c>
      <c r="J3811" s="1">
        <v>42138</v>
      </c>
      <c r="K3811" s="1">
        <v>42198</v>
      </c>
      <c r="N3811" s="5"/>
      <c r="O3811">
        <v>270</v>
      </c>
      <c r="P3811">
        <v>-14</v>
      </c>
      <c r="Q3811" s="2">
        <v>-3780</v>
      </c>
      <c r="R3811">
        <v>59.4</v>
      </c>
      <c r="V3811">
        <v>0</v>
      </c>
      <c r="W3811">
        <v>0</v>
      </c>
      <c r="X3811">
        <v>0</v>
      </c>
      <c r="Y3811">
        <v>329.4</v>
      </c>
      <c r="Z3811">
        <v>329.4</v>
      </c>
      <c r="AA3811">
        <v>329.4</v>
      </c>
      <c r="AB3811" s="1">
        <v>42382</v>
      </c>
      <c r="AC3811" t="s">
        <v>53</v>
      </c>
      <c r="AD3811" t="s">
        <v>53</v>
      </c>
      <c r="AJ3811">
        <v>59.4</v>
      </c>
      <c r="AK3811">
        <v>0</v>
      </c>
      <c r="AU3811" s="6">
        <v>42184</v>
      </c>
      <c r="AV3811" s="6">
        <v>42184</v>
      </c>
      <c r="AW3811" t="s">
        <v>54</v>
      </c>
      <c r="AX3811" t="str">
        <f t="shared" si="323"/>
        <v>FOR</v>
      </c>
      <c r="AY3811" t="s">
        <v>55</v>
      </c>
    </row>
    <row r="3812" spans="1:51" hidden="1">
      <c r="A3812">
        <v>101317</v>
      </c>
      <c r="B3812" t="s">
        <v>578</v>
      </c>
      <c r="C3812" t="str">
        <f t="shared" si="325"/>
        <v>00592310627</v>
      </c>
      <c r="D3812" t="str">
        <f t="shared" si="325"/>
        <v>00592310627</v>
      </c>
      <c r="E3812" t="s">
        <v>52</v>
      </c>
      <c r="F3812">
        <v>2015</v>
      </c>
      <c r="G3812" t="s">
        <v>666</v>
      </c>
      <c r="H3812" s="1">
        <v>42135</v>
      </c>
      <c r="I3812" s="1">
        <v>42139</v>
      </c>
      <c r="J3812" s="1">
        <v>42138</v>
      </c>
      <c r="K3812" s="1">
        <v>42198</v>
      </c>
      <c r="N3812" s="5"/>
      <c r="O3812">
        <v>239</v>
      </c>
      <c r="P3812">
        <v>-14</v>
      </c>
      <c r="Q3812" s="2">
        <v>-3346</v>
      </c>
      <c r="R3812">
        <v>52.58</v>
      </c>
      <c r="V3812">
        <v>0</v>
      </c>
      <c r="W3812">
        <v>0</v>
      </c>
      <c r="X3812">
        <v>0</v>
      </c>
      <c r="Y3812">
        <v>291.58</v>
      </c>
      <c r="Z3812">
        <v>291.58</v>
      </c>
      <c r="AA3812">
        <v>291.58</v>
      </c>
      <c r="AB3812" s="1">
        <v>42382</v>
      </c>
      <c r="AC3812" t="s">
        <v>53</v>
      </c>
      <c r="AD3812" t="s">
        <v>53</v>
      </c>
      <c r="AJ3812">
        <v>52.58</v>
      </c>
      <c r="AK3812">
        <v>0</v>
      </c>
      <c r="AU3812" s="6">
        <v>42184</v>
      </c>
      <c r="AV3812" s="6">
        <v>42184</v>
      </c>
      <c r="AW3812" t="s">
        <v>54</v>
      </c>
      <c r="AX3812" t="str">
        <f t="shared" si="323"/>
        <v>FOR</v>
      </c>
      <c r="AY3812" t="s">
        <v>55</v>
      </c>
    </row>
    <row r="3813" spans="1:51" hidden="1">
      <c r="A3813">
        <v>101317</v>
      </c>
      <c r="B3813" t="s">
        <v>578</v>
      </c>
      <c r="C3813" t="str">
        <f t="shared" si="325"/>
        <v>00592310627</v>
      </c>
      <c r="D3813" t="str">
        <f t="shared" si="325"/>
        <v>00592310627</v>
      </c>
      <c r="E3813" t="s">
        <v>52</v>
      </c>
      <c r="F3813">
        <v>2015</v>
      </c>
      <c r="G3813" t="s">
        <v>667</v>
      </c>
      <c r="H3813" s="1">
        <v>42135</v>
      </c>
      <c r="I3813" s="1">
        <v>42139</v>
      </c>
      <c r="J3813" s="1">
        <v>42138</v>
      </c>
      <c r="K3813" s="1">
        <v>42198</v>
      </c>
      <c r="N3813" s="5"/>
      <c r="O3813">
        <v>319</v>
      </c>
      <c r="P3813">
        <v>-14</v>
      </c>
      <c r="Q3813" s="2">
        <v>-4466</v>
      </c>
      <c r="R3813">
        <v>70.180000000000007</v>
      </c>
      <c r="V3813">
        <v>0</v>
      </c>
      <c r="W3813">
        <v>0</v>
      </c>
      <c r="X3813">
        <v>0</v>
      </c>
      <c r="Y3813">
        <v>389.18</v>
      </c>
      <c r="Z3813">
        <v>389.18</v>
      </c>
      <c r="AA3813">
        <v>389.18</v>
      </c>
      <c r="AB3813" s="1">
        <v>42382</v>
      </c>
      <c r="AC3813" t="s">
        <v>53</v>
      </c>
      <c r="AD3813" t="s">
        <v>53</v>
      </c>
      <c r="AJ3813">
        <v>70.180000000000007</v>
      </c>
      <c r="AK3813">
        <v>0</v>
      </c>
      <c r="AU3813" s="6">
        <v>42184</v>
      </c>
      <c r="AV3813" s="6">
        <v>42184</v>
      </c>
      <c r="AW3813" t="s">
        <v>54</v>
      </c>
      <c r="AX3813" t="str">
        <f t="shared" si="323"/>
        <v>FOR</v>
      </c>
      <c r="AY3813" t="s">
        <v>55</v>
      </c>
    </row>
    <row r="3814" spans="1:51" hidden="1">
      <c r="A3814">
        <v>101317</v>
      </c>
      <c r="B3814" t="s">
        <v>578</v>
      </c>
      <c r="C3814" t="str">
        <f t="shared" si="325"/>
        <v>00592310627</v>
      </c>
      <c r="D3814" t="str">
        <f t="shared" si="325"/>
        <v>00592310627</v>
      </c>
      <c r="E3814" t="s">
        <v>52</v>
      </c>
      <c r="F3814">
        <v>2015</v>
      </c>
      <c r="G3814" t="s">
        <v>668</v>
      </c>
      <c r="H3814" s="1">
        <v>42135</v>
      </c>
      <c r="I3814" s="1">
        <v>42139</v>
      </c>
      <c r="J3814" s="1">
        <v>42138</v>
      </c>
      <c r="K3814" s="1">
        <v>42198</v>
      </c>
      <c r="N3814" s="5"/>
      <c r="O3814">
        <v>616.5</v>
      </c>
      <c r="P3814">
        <v>-14</v>
      </c>
      <c r="Q3814" s="2">
        <v>-8631</v>
      </c>
      <c r="R3814">
        <v>135.63</v>
      </c>
      <c r="V3814">
        <v>0</v>
      </c>
      <c r="W3814">
        <v>0</v>
      </c>
      <c r="X3814">
        <v>0</v>
      </c>
      <c r="Y3814">
        <v>752.13</v>
      </c>
      <c r="Z3814">
        <v>752.13</v>
      </c>
      <c r="AA3814">
        <v>752.13</v>
      </c>
      <c r="AB3814" s="1">
        <v>42382</v>
      </c>
      <c r="AC3814" t="s">
        <v>53</v>
      </c>
      <c r="AD3814" t="s">
        <v>53</v>
      </c>
      <c r="AJ3814">
        <v>135.63</v>
      </c>
      <c r="AK3814">
        <v>0</v>
      </c>
      <c r="AU3814" s="6">
        <v>42184</v>
      </c>
      <c r="AV3814" s="6">
        <v>42184</v>
      </c>
      <c r="AW3814" t="s">
        <v>54</v>
      </c>
      <c r="AX3814" t="str">
        <f t="shared" si="323"/>
        <v>FOR</v>
      </c>
      <c r="AY3814" t="s">
        <v>55</v>
      </c>
    </row>
    <row r="3815" spans="1:51" hidden="1">
      <c r="A3815">
        <v>101317</v>
      </c>
      <c r="B3815" t="s">
        <v>578</v>
      </c>
      <c r="C3815" t="str">
        <f t="shared" si="325"/>
        <v>00592310627</v>
      </c>
      <c r="D3815" t="str">
        <f t="shared" si="325"/>
        <v>00592310627</v>
      </c>
      <c r="E3815" t="s">
        <v>52</v>
      </c>
      <c r="F3815">
        <v>2015</v>
      </c>
      <c r="G3815" t="s">
        <v>669</v>
      </c>
      <c r="H3815" s="1">
        <v>42135</v>
      </c>
      <c r="I3815" s="1">
        <v>42139</v>
      </c>
      <c r="J3815" s="1">
        <v>42138</v>
      </c>
      <c r="K3815" s="1">
        <v>42198</v>
      </c>
      <c r="N3815" s="5"/>
      <c r="O3815">
        <v>294</v>
      </c>
      <c r="P3815">
        <v>-14</v>
      </c>
      <c r="Q3815" s="2">
        <v>-4116</v>
      </c>
      <c r="R3815">
        <v>64.680000000000007</v>
      </c>
      <c r="V3815">
        <v>0</v>
      </c>
      <c r="W3815">
        <v>0</v>
      </c>
      <c r="X3815">
        <v>0</v>
      </c>
      <c r="Y3815">
        <v>358.68</v>
      </c>
      <c r="Z3815">
        <v>358.68</v>
      </c>
      <c r="AA3815">
        <v>358.68</v>
      </c>
      <c r="AB3815" s="1">
        <v>42382</v>
      </c>
      <c r="AC3815" t="s">
        <v>53</v>
      </c>
      <c r="AD3815" t="s">
        <v>53</v>
      </c>
      <c r="AJ3815">
        <v>64.680000000000007</v>
      </c>
      <c r="AK3815">
        <v>0</v>
      </c>
      <c r="AU3815" s="6">
        <v>42184</v>
      </c>
      <c r="AV3815" s="6">
        <v>42184</v>
      </c>
      <c r="AW3815" t="s">
        <v>54</v>
      </c>
      <c r="AX3815" t="str">
        <f t="shared" si="323"/>
        <v>FOR</v>
      </c>
      <c r="AY3815" t="s">
        <v>55</v>
      </c>
    </row>
    <row r="3816" spans="1:51" hidden="1">
      <c r="A3816">
        <v>101317</v>
      </c>
      <c r="B3816" t="s">
        <v>578</v>
      </c>
      <c r="C3816" t="str">
        <f t="shared" si="325"/>
        <v>00592310627</v>
      </c>
      <c r="D3816" t="str">
        <f t="shared" si="325"/>
        <v>00592310627</v>
      </c>
      <c r="E3816" t="s">
        <v>52</v>
      </c>
      <c r="F3816">
        <v>2015</v>
      </c>
      <c r="G3816" t="s">
        <v>670</v>
      </c>
      <c r="H3816" s="1">
        <v>42146</v>
      </c>
      <c r="I3816" s="1">
        <v>42165</v>
      </c>
      <c r="J3816" s="1">
        <v>42146</v>
      </c>
      <c r="K3816" s="1">
        <v>42206</v>
      </c>
      <c r="N3816" s="5"/>
      <c r="O3816">
        <v>420</v>
      </c>
      <c r="P3816">
        <v>-22</v>
      </c>
      <c r="Q3816" s="2">
        <v>-9240</v>
      </c>
      <c r="R3816">
        <v>92.4</v>
      </c>
      <c r="V3816">
        <v>0</v>
      </c>
      <c r="W3816">
        <v>0</v>
      </c>
      <c r="X3816">
        <v>0</v>
      </c>
      <c r="Y3816">
        <v>512.4</v>
      </c>
      <c r="Z3816">
        <v>512.4</v>
      </c>
      <c r="AA3816">
        <v>512.4</v>
      </c>
      <c r="AB3816" s="1">
        <v>42382</v>
      </c>
      <c r="AC3816" t="s">
        <v>53</v>
      </c>
      <c r="AD3816" t="s">
        <v>53</v>
      </c>
      <c r="AJ3816">
        <v>92.4</v>
      </c>
      <c r="AK3816">
        <v>0</v>
      </c>
      <c r="AU3816" s="6">
        <v>42184</v>
      </c>
      <c r="AV3816" s="6">
        <v>42184</v>
      </c>
      <c r="AW3816" t="s">
        <v>54</v>
      </c>
      <c r="AX3816" t="str">
        <f t="shared" si="323"/>
        <v>FOR</v>
      </c>
      <c r="AY3816" t="s">
        <v>55</v>
      </c>
    </row>
    <row r="3817" spans="1:51" hidden="1">
      <c r="A3817">
        <v>101317</v>
      </c>
      <c r="B3817" t="s">
        <v>578</v>
      </c>
      <c r="C3817" t="str">
        <f t="shared" si="325"/>
        <v>00592310627</v>
      </c>
      <c r="D3817" t="str">
        <f t="shared" si="325"/>
        <v>00592310627</v>
      </c>
      <c r="E3817" t="s">
        <v>52</v>
      </c>
      <c r="F3817">
        <v>2015</v>
      </c>
      <c r="G3817" t="s">
        <v>671</v>
      </c>
      <c r="H3817" s="1">
        <v>42146</v>
      </c>
      <c r="I3817" s="1">
        <v>42165</v>
      </c>
      <c r="J3817" s="1">
        <v>42146</v>
      </c>
      <c r="K3817" s="1">
        <v>42206</v>
      </c>
      <c r="N3817" s="5"/>
      <c r="O3817">
        <v>175</v>
      </c>
      <c r="P3817">
        <v>-22</v>
      </c>
      <c r="Q3817" s="2">
        <v>-3850</v>
      </c>
      <c r="R3817">
        <v>38.5</v>
      </c>
      <c r="V3817">
        <v>0</v>
      </c>
      <c r="W3817">
        <v>0</v>
      </c>
      <c r="X3817">
        <v>0</v>
      </c>
      <c r="Y3817">
        <v>213.5</v>
      </c>
      <c r="Z3817">
        <v>213.5</v>
      </c>
      <c r="AA3817">
        <v>213.5</v>
      </c>
      <c r="AB3817" s="1">
        <v>42382</v>
      </c>
      <c r="AC3817" t="s">
        <v>53</v>
      </c>
      <c r="AD3817" t="s">
        <v>53</v>
      </c>
      <c r="AJ3817">
        <v>38.5</v>
      </c>
      <c r="AK3817">
        <v>0</v>
      </c>
      <c r="AU3817" s="6">
        <v>42184</v>
      </c>
      <c r="AV3817" s="6">
        <v>42184</v>
      </c>
      <c r="AW3817" t="s">
        <v>54</v>
      </c>
      <c r="AX3817" t="str">
        <f t="shared" si="323"/>
        <v>FOR</v>
      </c>
      <c r="AY3817" t="s">
        <v>55</v>
      </c>
    </row>
    <row r="3818" spans="1:51" hidden="1">
      <c r="A3818">
        <v>101317</v>
      </c>
      <c r="B3818" t="s">
        <v>578</v>
      </c>
      <c r="C3818" t="str">
        <f t="shared" si="325"/>
        <v>00592310627</v>
      </c>
      <c r="D3818" t="str">
        <f t="shared" si="325"/>
        <v>00592310627</v>
      </c>
      <c r="E3818" t="s">
        <v>52</v>
      </c>
      <c r="F3818">
        <v>2015</v>
      </c>
      <c r="G3818" t="s">
        <v>672</v>
      </c>
      <c r="H3818" s="1">
        <v>42146</v>
      </c>
      <c r="I3818" s="1">
        <v>42165</v>
      </c>
      <c r="J3818" s="1">
        <v>42146</v>
      </c>
      <c r="K3818" s="1">
        <v>42206</v>
      </c>
      <c r="N3818" s="5"/>
      <c r="O3818">
        <v>580</v>
      </c>
      <c r="P3818">
        <v>-22</v>
      </c>
      <c r="Q3818" s="2">
        <v>-12760</v>
      </c>
      <c r="R3818">
        <v>127.6</v>
      </c>
      <c r="V3818">
        <v>0</v>
      </c>
      <c r="W3818">
        <v>0</v>
      </c>
      <c r="X3818">
        <v>0</v>
      </c>
      <c r="Y3818">
        <v>707.6</v>
      </c>
      <c r="Z3818">
        <v>707.6</v>
      </c>
      <c r="AA3818">
        <v>707.6</v>
      </c>
      <c r="AB3818" s="1">
        <v>42382</v>
      </c>
      <c r="AC3818" t="s">
        <v>53</v>
      </c>
      <c r="AD3818" t="s">
        <v>53</v>
      </c>
      <c r="AJ3818">
        <v>127.6</v>
      </c>
      <c r="AK3818">
        <v>0</v>
      </c>
      <c r="AU3818" s="6">
        <v>42184</v>
      </c>
      <c r="AV3818" s="6">
        <v>42184</v>
      </c>
      <c r="AW3818" t="s">
        <v>54</v>
      </c>
      <c r="AX3818" t="str">
        <f t="shared" si="323"/>
        <v>FOR</v>
      </c>
      <c r="AY3818" t="s">
        <v>55</v>
      </c>
    </row>
    <row r="3819" spans="1:51" hidden="1">
      <c r="A3819">
        <v>101317</v>
      </c>
      <c r="B3819" t="s">
        <v>578</v>
      </c>
      <c r="C3819" t="str">
        <f t="shared" si="325"/>
        <v>00592310627</v>
      </c>
      <c r="D3819" t="str">
        <f t="shared" si="325"/>
        <v>00592310627</v>
      </c>
      <c r="E3819" t="s">
        <v>52</v>
      </c>
      <c r="F3819">
        <v>2015</v>
      </c>
      <c r="G3819" t="s">
        <v>673</v>
      </c>
      <c r="H3819" s="1">
        <v>42146</v>
      </c>
      <c r="I3819" s="1">
        <v>42165</v>
      </c>
      <c r="J3819" s="1">
        <v>42146</v>
      </c>
      <c r="K3819" s="1">
        <v>42206</v>
      </c>
      <c r="N3819" s="5"/>
      <c r="O3819">
        <v>195</v>
      </c>
      <c r="P3819">
        <v>-22</v>
      </c>
      <c r="Q3819" s="2">
        <v>-4290</v>
      </c>
      <c r="R3819">
        <v>42.9</v>
      </c>
      <c r="V3819">
        <v>0</v>
      </c>
      <c r="W3819">
        <v>0</v>
      </c>
      <c r="X3819">
        <v>0</v>
      </c>
      <c r="Y3819">
        <v>237.9</v>
      </c>
      <c r="Z3819">
        <v>237.9</v>
      </c>
      <c r="AA3819">
        <v>237.9</v>
      </c>
      <c r="AB3819" s="1">
        <v>42382</v>
      </c>
      <c r="AC3819" t="s">
        <v>53</v>
      </c>
      <c r="AD3819" t="s">
        <v>53</v>
      </c>
      <c r="AJ3819">
        <v>42.9</v>
      </c>
      <c r="AK3819">
        <v>0</v>
      </c>
      <c r="AU3819" s="6">
        <v>42184</v>
      </c>
      <c r="AV3819" s="6">
        <v>42184</v>
      </c>
      <c r="AW3819" t="s">
        <v>54</v>
      </c>
      <c r="AX3819" t="str">
        <f t="shared" si="323"/>
        <v>FOR</v>
      </c>
      <c r="AY3819" t="s">
        <v>55</v>
      </c>
    </row>
    <row r="3820" spans="1:51" hidden="1">
      <c r="A3820">
        <v>101317</v>
      </c>
      <c r="B3820" t="s">
        <v>578</v>
      </c>
      <c r="C3820" t="str">
        <f t="shared" si="325"/>
        <v>00592310627</v>
      </c>
      <c r="D3820" t="str">
        <f t="shared" si="325"/>
        <v>00592310627</v>
      </c>
      <c r="E3820" t="s">
        <v>52</v>
      </c>
      <c r="F3820">
        <v>2015</v>
      </c>
      <c r="G3820" t="s">
        <v>674</v>
      </c>
      <c r="H3820" s="1">
        <v>42146</v>
      </c>
      <c r="I3820" s="1">
        <v>42165</v>
      </c>
      <c r="J3820" s="1">
        <v>42146</v>
      </c>
      <c r="K3820" s="1">
        <v>42206</v>
      </c>
      <c r="N3820" s="5"/>
      <c r="O3820">
        <v>16.899999999999999</v>
      </c>
      <c r="P3820">
        <v>-22</v>
      </c>
      <c r="Q3820">
        <v>-371.8</v>
      </c>
      <c r="R3820">
        <v>3.72</v>
      </c>
      <c r="V3820">
        <v>0</v>
      </c>
      <c r="W3820">
        <v>0</v>
      </c>
      <c r="X3820">
        <v>0</v>
      </c>
      <c r="Y3820">
        <v>20.62</v>
      </c>
      <c r="Z3820">
        <v>20.62</v>
      </c>
      <c r="AA3820">
        <v>20.62</v>
      </c>
      <c r="AB3820" s="1">
        <v>42382</v>
      </c>
      <c r="AC3820" t="s">
        <v>53</v>
      </c>
      <c r="AD3820" t="s">
        <v>53</v>
      </c>
      <c r="AJ3820">
        <v>3.72</v>
      </c>
      <c r="AK3820">
        <v>0</v>
      </c>
      <c r="AU3820" s="6">
        <v>42184</v>
      </c>
      <c r="AV3820" s="6">
        <v>42184</v>
      </c>
      <c r="AW3820" t="s">
        <v>54</v>
      </c>
      <c r="AX3820" t="str">
        <f t="shared" si="323"/>
        <v>FOR</v>
      </c>
      <c r="AY3820" t="s">
        <v>55</v>
      </c>
    </row>
    <row r="3821" spans="1:51" hidden="1">
      <c r="A3821">
        <v>101317</v>
      </c>
      <c r="B3821" t="s">
        <v>578</v>
      </c>
      <c r="C3821" t="str">
        <f t="shared" si="325"/>
        <v>00592310627</v>
      </c>
      <c r="D3821" t="str">
        <f t="shared" si="325"/>
        <v>00592310627</v>
      </c>
      <c r="E3821" t="s">
        <v>52</v>
      </c>
      <c r="F3821">
        <v>2015</v>
      </c>
      <c r="G3821" t="s">
        <v>675</v>
      </c>
      <c r="H3821" s="1">
        <v>42146</v>
      </c>
      <c r="I3821" s="1">
        <v>42165</v>
      </c>
      <c r="J3821" s="1">
        <v>42146</v>
      </c>
      <c r="K3821" s="1">
        <v>42206</v>
      </c>
      <c r="N3821" s="5"/>
      <c r="O3821">
        <v>59.8</v>
      </c>
      <c r="P3821">
        <v>-22</v>
      </c>
      <c r="Q3821" s="2">
        <v>-1315.6</v>
      </c>
      <c r="R3821">
        <v>13.16</v>
      </c>
      <c r="V3821">
        <v>0</v>
      </c>
      <c r="W3821">
        <v>0</v>
      </c>
      <c r="X3821">
        <v>0</v>
      </c>
      <c r="Y3821">
        <v>72.959999999999994</v>
      </c>
      <c r="Z3821">
        <v>72.959999999999994</v>
      </c>
      <c r="AA3821">
        <v>72.959999999999994</v>
      </c>
      <c r="AB3821" s="1">
        <v>42382</v>
      </c>
      <c r="AC3821" t="s">
        <v>53</v>
      </c>
      <c r="AD3821" t="s">
        <v>53</v>
      </c>
      <c r="AJ3821">
        <v>13.16</v>
      </c>
      <c r="AK3821">
        <v>0</v>
      </c>
      <c r="AU3821" s="6">
        <v>42184</v>
      </c>
      <c r="AV3821" s="6">
        <v>42184</v>
      </c>
      <c r="AW3821" t="s">
        <v>54</v>
      </c>
      <c r="AX3821" t="str">
        <f t="shared" si="323"/>
        <v>FOR</v>
      </c>
      <c r="AY3821" t="s">
        <v>55</v>
      </c>
    </row>
    <row r="3822" spans="1:51" hidden="1">
      <c r="A3822">
        <v>101317</v>
      </c>
      <c r="B3822" t="s">
        <v>578</v>
      </c>
      <c r="C3822" t="str">
        <f t="shared" si="325"/>
        <v>00592310627</v>
      </c>
      <c r="D3822" t="str">
        <f t="shared" si="325"/>
        <v>00592310627</v>
      </c>
      <c r="E3822" t="s">
        <v>52</v>
      </c>
      <c r="F3822">
        <v>2015</v>
      </c>
      <c r="G3822" t="s">
        <v>676</v>
      </c>
      <c r="H3822" s="1">
        <v>42146</v>
      </c>
      <c r="I3822" s="1">
        <v>42165</v>
      </c>
      <c r="J3822" s="1">
        <v>42146</v>
      </c>
      <c r="K3822" s="1">
        <v>42206</v>
      </c>
      <c r="N3822" s="5"/>
      <c r="O3822">
        <v>87</v>
      </c>
      <c r="P3822">
        <v>-22</v>
      </c>
      <c r="Q3822" s="2">
        <v>-1914</v>
      </c>
      <c r="R3822">
        <v>19.14</v>
      </c>
      <c r="V3822">
        <v>0</v>
      </c>
      <c r="W3822">
        <v>0</v>
      </c>
      <c r="X3822">
        <v>0</v>
      </c>
      <c r="Y3822">
        <v>106.14</v>
      </c>
      <c r="Z3822">
        <v>106.14</v>
      </c>
      <c r="AA3822">
        <v>106.14</v>
      </c>
      <c r="AB3822" s="1">
        <v>42382</v>
      </c>
      <c r="AC3822" t="s">
        <v>53</v>
      </c>
      <c r="AD3822" t="s">
        <v>53</v>
      </c>
      <c r="AJ3822">
        <v>19.14</v>
      </c>
      <c r="AK3822">
        <v>0</v>
      </c>
      <c r="AU3822" s="6">
        <v>42184</v>
      </c>
      <c r="AV3822" s="6">
        <v>42184</v>
      </c>
      <c r="AW3822" t="s">
        <v>54</v>
      </c>
      <c r="AX3822" t="str">
        <f t="shared" si="323"/>
        <v>FOR</v>
      </c>
      <c r="AY3822" t="s">
        <v>55</v>
      </c>
    </row>
    <row r="3823" spans="1:51" hidden="1">
      <c r="A3823">
        <v>101317</v>
      </c>
      <c r="B3823" t="s">
        <v>578</v>
      </c>
      <c r="C3823" t="str">
        <f t="shared" si="325"/>
        <v>00592310627</v>
      </c>
      <c r="D3823" t="str">
        <f t="shared" si="325"/>
        <v>00592310627</v>
      </c>
      <c r="E3823" t="s">
        <v>52</v>
      </c>
      <c r="F3823">
        <v>2015</v>
      </c>
      <c r="G3823" t="s">
        <v>677</v>
      </c>
      <c r="H3823" s="1">
        <v>42146</v>
      </c>
      <c r="I3823" s="1">
        <v>42165</v>
      </c>
      <c r="J3823" s="1">
        <v>42146</v>
      </c>
      <c r="K3823" s="1">
        <v>42206</v>
      </c>
      <c r="N3823" s="5"/>
      <c r="O3823">
        <v>39.9</v>
      </c>
      <c r="P3823">
        <v>-22</v>
      </c>
      <c r="Q3823">
        <v>-877.8</v>
      </c>
      <c r="R3823">
        <v>8.7799999999999994</v>
      </c>
      <c r="V3823">
        <v>0</v>
      </c>
      <c r="W3823">
        <v>0</v>
      </c>
      <c r="X3823">
        <v>0</v>
      </c>
      <c r="Y3823">
        <v>48.68</v>
      </c>
      <c r="Z3823">
        <v>48.68</v>
      </c>
      <c r="AA3823">
        <v>48.68</v>
      </c>
      <c r="AB3823" s="1">
        <v>42382</v>
      </c>
      <c r="AC3823" t="s">
        <v>53</v>
      </c>
      <c r="AD3823" t="s">
        <v>53</v>
      </c>
      <c r="AJ3823">
        <v>8.7799999999999994</v>
      </c>
      <c r="AK3823">
        <v>0</v>
      </c>
      <c r="AU3823" s="6">
        <v>42184</v>
      </c>
      <c r="AV3823" s="6">
        <v>42184</v>
      </c>
      <c r="AW3823" t="s">
        <v>54</v>
      </c>
      <c r="AX3823" t="str">
        <f t="shared" si="323"/>
        <v>FOR</v>
      </c>
      <c r="AY3823" t="s">
        <v>55</v>
      </c>
    </row>
    <row r="3824" spans="1:51" hidden="1">
      <c r="A3824">
        <v>101317</v>
      </c>
      <c r="B3824" t="s">
        <v>578</v>
      </c>
      <c r="C3824" t="str">
        <f t="shared" si="325"/>
        <v>00592310627</v>
      </c>
      <c r="D3824" t="str">
        <f t="shared" si="325"/>
        <v>00592310627</v>
      </c>
      <c r="E3824" t="s">
        <v>52</v>
      </c>
      <c r="F3824">
        <v>2015</v>
      </c>
      <c r="G3824" t="s">
        <v>678</v>
      </c>
      <c r="H3824" s="1">
        <v>42146</v>
      </c>
      <c r="I3824" s="1">
        <v>42165</v>
      </c>
      <c r="J3824" s="1">
        <v>42146</v>
      </c>
      <c r="K3824" s="1">
        <v>42206</v>
      </c>
      <c r="N3824" s="5"/>
      <c r="O3824">
        <v>206</v>
      </c>
      <c r="P3824">
        <v>-22</v>
      </c>
      <c r="Q3824" s="2">
        <v>-4532</v>
      </c>
      <c r="R3824">
        <v>45.32</v>
      </c>
      <c r="V3824">
        <v>0</v>
      </c>
      <c r="W3824">
        <v>0</v>
      </c>
      <c r="X3824">
        <v>0</v>
      </c>
      <c r="Y3824">
        <v>251.32</v>
      </c>
      <c r="Z3824">
        <v>251.32</v>
      </c>
      <c r="AA3824">
        <v>251.32</v>
      </c>
      <c r="AB3824" s="1">
        <v>42382</v>
      </c>
      <c r="AC3824" t="s">
        <v>53</v>
      </c>
      <c r="AD3824" t="s">
        <v>53</v>
      </c>
      <c r="AJ3824">
        <v>45.32</v>
      </c>
      <c r="AK3824">
        <v>0</v>
      </c>
      <c r="AU3824" s="6">
        <v>42184</v>
      </c>
      <c r="AV3824" s="6">
        <v>42184</v>
      </c>
      <c r="AW3824" t="s">
        <v>54</v>
      </c>
      <c r="AX3824" t="str">
        <f t="shared" si="323"/>
        <v>FOR</v>
      </c>
      <c r="AY3824" t="s">
        <v>55</v>
      </c>
    </row>
    <row r="3825" spans="1:51" hidden="1">
      <c r="A3825">
        <v>101317</v>
      </c>
      <c r="B3825" t="s">
        <v>578</v>
      </c>
      <c r="C3825" t="str">
        <f t="shared" si="325"/>
        <v>00592310627</v>
      </c>
      <c r="D3825" t="str">
        <f t="shared" si="325"/>
        <v>00592310627</v>
      </c>
      <c r="E3825" t="s">
        <v>52</v>
      </c>
      <c r="F3825">
        <v>2015</v>
      </c>
      <c r="G3825" t="s">
        <v>679</v>
      </c>
      <c r="H3825" s="1">
        <v>42173</v>
      </c>
      <c r="I3825" s="1">
        <v>42177</v>
      </c>
      <c r="J3825" s="1">
        <v>42173</v>
      </c>
      <c r="K3825" s="1">
        <v>42233</v>
      </c>
      <c r="N3825" s="5"/>
      <c r="O3825">
        <v>189</v>
      </c>
      <c r="P3825">
        <v>-49</v>
      </c>
      <c r="Q3825" s="2">
        <v>-9261</v>
      </c>
      <c r="R3825">
        <v>41.58</v>
      </c>
      <c r="V3825">
        <v>0</v>
      </c>
      <c r="W3825">
        <v>0</v>
      </c>
      <c r="X3825">
        <v>0</v>
      </c>
      <c r="Y3825">
        <v>230.58</v>
      </c>
      <c r="Z3825">
        <v>230.58</v>
      </c>
      <c r="AA3825">
        <v>230.58</v>
      </c>
      <c r="AB3825" s="1">
        <v>42382</v>
      </c>
      <c r="AC3825" t="s">
        <v>53</v>
      </c>
      <c r="AD3825" t="s">
        <v>53</v>
      </c>
      <c r="AI3825">
        <v>41.58</v>
      </c>
      <c r="AK3825">
        <v>0</v>
      </c>
      <c r="AU3825" s="6">
        <v>42184</v>
      </c>
      <c r="AV3825" s="6">
        <v>42184</v>
      </c>
      <c r="AW3825" t="s">
        <v>54</v>
      </c>
      <c r="AX3825" t="str">
        <f t="shared" si="323"/>
        <v>FOR</v>
      </c>
      <c r="AY3825" t="s">
        <v>55</v>
      </c>
    </row>
    <row r="3826" spans="1:51" hidden="1">
      <c r="A3826">
        <v>101317</v>
      </c>
      <c r="B3826" t="s">
        <v>578</v>
      </c>
      <c r="C3826" t="str">
        <f t="shared" si="325"/>
        <v>00592310627</v>
      </c>
      <c r="D3826" t="str">
        <f t="shared" si="325"/>
        <v>00592310627</v>
      </c>
      <c r="E3826" t="s">
        <v>52</v>
      </c>
      <c r="F3826">
        <v>2015</v>
      </c>
      <c r="G3826" t="s">
        <v>680</v>
      </c>
      <c r="H3826" s="1">
        <v>42173</v>
      </c>
      <c r="I3826" s="1">
        <v>42177</v>
      </c>
      <c r="J3826" s="1">
        <v>42173</v>
      </c>
      <c r="K3826" s="1">
        <v>42233</v>
      </c>
      <c r="N3826" s="5"/>
      <c r="O3826">
        <v>52</v>
      </c>
      <c r="P3826">
        <v>-49</v>
      </c>
      <c r="Q3826" s="2">
        <v>-2548</v>
      </c>
      <c r="R3826">
        <v>11.44</v>
      </c>
      <c r="V3826">
        <v>0</v>
      </c>
      <c r="W3826">
        <v>0</v>
      </c>
      <c r="X3826">
        <v>0</v>
      </c>
      <c r="Y3826">
        <v>63.44</v>
      </c>
      <c r="Z3826">
        <v>63.44</v>
      </c>
      <c r="AA3826">
        <v>63.44</v>
      </c>
      <c r="AB3826" s="1">
        <v>42382</v>
      </c>
      <c r="AC3826" t="s">
        <v>53</v>
      </c>
      <c r="AD3826" t="s">
        <v>53</v>
      </c>
      <c r="AI3826">
        <v>11.44</v>
      </c>
      <c r="AK3826">
        <v>0</v>
      </c>
      <c r="AU3826" s="6">
        <v>42184</v>
      </c>
      <c r="AV3826" s="6">
        <v>42184</v>
      </c>
      <c r="AW3826" t="s">
        <v>54</v>
      </c>
      <c r="AX3826" t="str">
        <f t="shared" si="323"/>
        <v>FOR</v>
      </c>
      <c r="AY3826" t="s">
        <v>55</v>
      </c>
    </row>
    <row r="3827" spans="1:51" hidden="1">
      <c r="A3827">
        <v>101317</v>
      </c>
      <c r="B3827" t="s">
        <v>578</v>
      </c>
      <c r="C3827" t="str">
        <f t="shared" si="325"/>
        <v>00592310627</v>
      </c>
      <c r="D3827" t="str">
        <f t="shared" si="325"/>
        <v>00592310627</v>
      </c>
      <c r="E3827" t="s">
        <v>52</v>
      </c>
      <c r="F3827">
        <v>2015</v>
      </c>
      <c r="G3827" t="s">
        <v>681</v>
      </c>
      <c r="H3827" s="1">
        <v>42173</v>
      </c>
      <c r="I3827" s="1">
        <v>42177</v>
      </c>
      <c r="J3827" s="1">
        <v>42173</v>
      </c>
      <c r="K3827" s="1">
        <v>42233</v>
      </c>
      <c r="N3827" s="5"/>
      <c r="O3827">
        <v>207</v>
      </c>
      <c r="P3827">
        <v>-49</v>
      </c>
      <c r="Q3827" s="2">
        <v>-10143</v>
      </c>
      <c r="R3827">
        <v>45.54</v>
      </c>
      <c r="V3827">
        <v>0</v>
      </c>
      <c r="W3827">
        <v>0</v>
      </c>
      <c r="X3827">
        <v>0</v>
      </c>
      <c r="Y3827">
        <v>252.54</v>
      </c>
      <c r="Z3827">
        <v>252.54</v>
      </c>
      <c r="AA3827">
        <v>252.54</v>
      </c>
      <c r="AB3827" s="1">
        <v>42382</v>
      </c>
      <c r="AC3827" t="s">
        <v>53</v>
      </c>
      <c r="AD3827" t="s">
        <v>53</v>
      </c>
      <c r="AI3827">
        <v>45.54</v>
      </c>
      <c r="AK3827">
        <v>0</v>
      </c>
      <c r="AU3827" s="6">
        <v>42184</v>
      </c>
      <c r="AV3827" s="6">
        <v>42184</v>
      </c>
      <c r="AW3827" t="s">
        <v>54</v>
      </c>
      <c r="AX3827" t="str">
        <f t="shared" si="323"/>
        <v>FOR</v>
      </c>
      <c r="AY3827" t="s">
        <v>55</v>
      </c>
    </row>
    <row r="3828" spans="1:51" hidden="1">
      <c r="A3828">
        <v>101317</v>
      </c>
      <c r="B3828" t="s">
        <v>578</v>
      </c>
      <c r="C3828" t="str">
        <f t="shared" si="325"/>
        <v>00592310627</v>
      </c>
      <c r="D3828" t="str">
        <f t="shared" si="325"/>
        <v>00592310627</v>
      </c>
      <c r="E3828" t="s">
        <v>52</v>
      </c>
      <c r="F3828">
        <v>2015</v>
      </c>
      <c r="G3828" t="s">
        <v>682</v>
      </c>
      <c r="H3828" s="1">
        <v>42174</v>
      </c>
      <c r="I3828" s="1">
        <v>42177</v>
      </c>
      <c r="J3828" s="1">
        <v>42174</v>
      </c>
      <c r="K3828" s="1">
        <v>42234</v>
      </c>
      <c r="N3828" s="5"/>
      <c r="O3828">
        <v>250</v>
      </c>
      <c r="P3828">
        <v>-50</v>
      </c>
      <c r="Q3828" s="2">
        <v>-12500</v>
      </c>
      <c r="R3828">
        <v>55</v>
      </c>
      <c r="V3828">
        <v>0</v>
      </c>
      <c r="W3828">
        <v>0</v>
      </c>
      <c r="X3828">
        <v>0</v>
      </c>
      <c r="Y3828">
        <v>305</v>
      </c>
      <c r="Z3828">
        <v>305</v>
      </c>
      <c r="AA3828">
        <v>305</v>
      </c>
      <c r="AB3828" s="1">
        <v>42382</v>
      </c>
      <c r="AC3828" t="s">
        <v>53</v>
      </c>
      <c r="AD3828" t="s">
        <v>53</v>
      </c>
      <c r="AI3828">
        <v>55</v>
      </c>
      <c r="AK3828">
        <v>0</v>
      </c>
      <c r="AU3828" s="6">
        <v>42184</v>
      </c>
      <c r="AV3828" s="6">
        <v>42184</v>
      </c>
      <c r="AW3828" t="s">
        <v>54</v>
      </c>
      <c r="AX3828" t="str">
        <f t="shared" si="323"/>
        <v>FOR</v>
      </c>
      <c r="AY3828" t="s">
        <v>55</v>
      </c>
    </row>
    <row r="3829" spans="1:51" hidden="1">
      <c r="A3829">
        <v>101317</v>
      </c>
      <c r="B3829" t="s">
        <v>578</v>
      </c>
      <c r="C3829" t="str">
        <f t="shared" si="325"/>
        <v>00592310627</v>
      </c>
      <c r="D3829" t="str">
        <f t="shared" si="325"/>
        <v>00592310627</v>
      </c>
      <c r="E3829" t="s">
        <v>52</v>
      </c>
      <c r="F3829">
        <v>2015</v>
      </c>
      <c r="G3829" t="s">
        <v>683</v>
      </c>
      <c r="H3829" s="1">
        <v>42174</v>
      </c>
      <c r="I3829" s="1">
        <v>42177</v>
      </c>
      <c r="J3829" s="1">
        <v>42174</v>
      </c>
      <c r="K3829" s="1">
        <v>42234</v>
      </c>
      <c r="N3829" s="5"/>
      <c r="O3829">
        <v>79.8</v>
      </c>
      <c r="P3829">
        <v>-50</v>
      </c>
      <c r="Q3829" s="2">
        <v>-3990</v>
      </c>
      <c r="R3829">
        <v>17.559999999999999</v>
      </c>
      <c r="V3829">
        <v>0</v>
      </c>
      <c r="W3829">
        <v>0</v>
      </c>
      <c r="X3829">
        <v>0</v>
      </c>
      <c r="Y3829">
        <v>97.36</v>
      </c>
      <c r="Z3829">
        <v>97.36</v>
      </c>
      <c r="AA3829">
        <v>97.36</v>
      </c>
      <c r="AB3829" s="1">
        <v>42382</v>
      </c>
      <c r="AC3829" t="s">
        <v>53</v>
      </c>
      <c r="AD3829" t="s">
        <v>53</v>
      </c>
      <c r="AI3829">
        <v>17.559999999999999</v>
      </c>
      <c r="AK3829">
        <v>0</v>
      </c>
      <c r="AU3829" s="6">
        <v>42184</v>
      </c>
      <c r="AV3829" s="6">
        <v>42184</v>
      </c>
      <c r="AW3829" t="s">
        <v>54</v>
      </c>
      <c r="AX3829" t="str">
        <f t="shared" si="323"/>
        <v>FOR</v>
      </c>
      <c r="AY3829" t="s">
        <v>55</v>
      </c>
    </row>
    <row r="3830" spans="1:51">
      <c r="A3830">
        <v>101317</v>
      </c>
      <c r="B3830" t="s">
        <v>578</v>
      </c>
      <c r="C3830" t="str">
        <f t="shared" si="325"/>
        <v>00592310627</v>
      </c>
      <c r="D3830" t="str">
        <f t="shared" si="325"/>
        <v>00592310627</v>
      </c>
      <c r="E3830" t="s">
        <v>52</v>
      </c>
      <c r="F3830">
        <v>2015</v>
      </c>
      <c r="G3830" t="s">
        <v>684</v>
      </c>
      <c r="H3830" s="1">
        <v>42194</v>
      </c>
      <c r="I3830" s="1">
        <v>42198</v>
      </c>
      <c r="J3830" s="1">
        <v>42194</v>
      </c>
      <c r="K3830" s="1">
        <v>42254</v>
      </c>
      <c r="L3830" s="7">
        <v>26.9</v>
      </c>
      <c r="M3830" s="5">
        <v>30</v>
      </c>
      <c r="N3830" s="7">
        <v>807</v>
      </c>
      <c r="O3830">
        <v>26.9</v>
      </c>
      <c r="P3830">
        <v>30</v>
      </c>
      <c r="Q3830">
        <v>807</v>
      </c>
      <c r="R3830">
        <v>5.92</v>
      </c>
      <c r="V3830">
        <v>0</v>
      </c>
      <c r="W3830">
        <v>0</v>
      </c>
      <c r="X3830">
        <v>0</v>
      </c>
      <c r="Y3830">
        <v>32.82</v>
      </c>
      <c r="Z3830">
        <v>32.82</v>
      </c>
      <c r="AA3830">
        <v>32.82</v>
      </c>
      <c r="AB3830" s="1">
        <v>42382</v>
      </c>
      <c r="AC3830" t="s">
        <v>53</v>
      </c>
      <c r="AD3830" t="s">
        <v>53</v>
      </c>
      <c r="AH3830">
        <v>5.92</v>
      </c>
      <c r="AK3830">
        <v>0</v>
      </c>
      <c r="AU3830" s="6">
        <v>42284</v>
      </c>
      <c r="AV3830" s="6">
        <v>42284</v>
      </c>
      <c r="AW3830" t="s">
        <v>54</v>
      </c>
      <c r="AX3830" t="str">
        <f t="shared" si="323"/>
        <v>FOR</v>
      </c>
      <c r="AY3830" t="s">
        <v>55</v>
      </c>
    </row>
    <row r="3831" spans="1:51">
      <c r="A3831">
        <v>101317</v>
      </c>
      <c r="B3831" t="s">
        <v>578</v>
      </c>
      <c r="C3831" t="str">
        <f t="shared" ref="C3831:D3850" si="326">"00592310627"</f>
        <v>00592310627</v>
      </c>
      <c r="D3831" t="str">
        <f t="shared" si="326"/>
        <v>00592310627</v>
      </c>
      <c r="E3831" t="s">
        <v>52</v>
      </c>
      <c r="F3831">
        <v>2015</v>
      </c>
      <c r="G3831" t="s">
        <v>685</v>
      </c>
      <c r="H3831" s="1">
        <v>42194</v>
      </c>
      <c r="I3831" s="1">
        <v>42198</v>
      </c>
      <c r="J3831" s="1">
        <v>42194</v>
      </c>
      <c r="K3831" s="1">
        <v>42254</v>
      </c>
      <c r="L3831" s="7">
        <v>232</v>
      </c>
      <c r="M3831" s="5">
        <v>30</v>
      </c>
      <c r="N3831" s="7">
        <v>6960</v>
      </c>
      <c r="O3831">
        <v>232</v>
      </c>
      <c r="P3831">
        <v>30</v>
      </c>
      <c r="Q3831" s="2">
        <v>6960</v>
      </c>
      <c r="R3831">
        <v>51.04</v>
      </c>
      <c r="V3831">
        <v>0</v>
      </c>
      <c r="W3831">
        <v>0</v>
      </c>
      <c r="X3831">
        <v>0</v>
      </c>
      <c r="Y3831">
        <v>283.04000000000002</v>
      </c>
      <c r="Z3831">
        <v>283.04000000000002</v>
      </c>
      <c r="AA3831">
        <v>283.04000000000002</v>
      </c>
      <c r="AB3831" s="1">
        <v>42382</v>
      </c>
      <c r="AC3831" t="s">
        <v>53</v>
      </c>
      <c r="AD3831" t="s">
        <v>53</v>
      </c>
      <c r="AH3831">
        <v>51.04</v>
      </c>
      <c r="AK3831">
        <v>0</v>
      </c>
      <c r="AU3831" s="6">
        <v>42284</v>
      </c>
      <c r="AV3831" s="6">
        <v>42284</v>
      </c>
      <c r="AW3831" t="s">
        <v>54</v>
      </c>
      <c r="AX3831" t="str">
        <f t="shared" si="323"/>
        <v>FOR</v>
      </c>
      <c r="AY3831" t="s">
        <v>55</v>
      </c>
    </row>
    <row r="3832" spans="1:51">
      <c r="A3832">
        <v>101317</v>
      </c>
      <c r="B3832" t="s">
        <v>578</v>
      </c>
      <c r="C3832" t="str">
        <f t="shared" si="326"/>
        <v>00592310627</v>
      </c>
      <c r="D3832" t="str">
        <f t="shared" si="326"/>
        <v>00592310627</v>
      </c>
      <c r="E3832" t="s">
        <v>52</v>
      </c>
      <c r="F3832">
        <v>2015</v>
      </c>
      <c r="G3832" t="s">
        <v>686</v>
      </c>
      <c r="H3832" s="1">
        <v>42194</v>
      </c>
      <c r="I3832" s="1">
        <v>42198</v>
      </c>
      <c r="J3832" s="1">
        <v>42194</v>
      </c>
      <c r="K3832" s="1">
        <v>42254</v>
      </c>
      <c r="L3832" s="7">
        <v>42</v>
      </c>
      <c r="M3832" s="5">
        <v>30</v>
      </c>
      <c r="N3832" s="7">
        <v>1260</v>
      </c>
      <c r="O3832">
        <v>42</v>
      </c>
      <c r="P3832">
        <v>30</v>
      </c>
      <c r="Q3832" s="2">
        <v>1260</v>
      </c>
      <c r="R3832">
        <v>9.24</v>
      </c>
      <c r="V3832">
        <v>0</v>
      </c>
      <c r="W3832">
        <v>0</v>
      </c>
      <c r="X3832">
        <v>0</v>
      </c>
      <c r="Y3832">
        <v>51.24</v>
      </c>
      <c r="Z3832">
        <v>51.24</v>
      </c>
      <c r="AA3832">
        <v>51.24</v>
      </c>
      <c r="AB3832" s="1">
        <v>42382</v>
      </c>
      <c r="AC3832" t="s">
        <v>53</v>
      </c>
      <c r="AD3832" t="s">
        <v>53</v>
      </c>
      <c r="AH3832">
        <v>9.24</v>
      </c>
      <c r="AK3832">
        <v>0</v>
      </c>
      <c r="AU3832" s="6">
        <v>42284</v>
      </c>
      <c r="AV3832" s="6">
        <v>42284</v>
      </c>
      <c r="AW3832" t="s">
        <v>54</v>
      </c>
      <c r="AX3832" t="str">
        <f t="shared" si="323"/>
        <v>FOR</v>
      </c>
      <c r="AY3832" t="s">
        <v>55</v>
      </c>
    </row>
    <row r="3833" spans="1:51">
      <c r="A3833">
        <v>101317</v>
      </c>
      <c r="B3833" t="s">
        <v>578</v>
      </c>
      <c r="C3833" t="str">
        <f t="shared" si="326"/>
        <v>00592310627</v>
      </c>
      <c r="D3833" t="str">
        <f t="shared" si="326"/>
        <v>00592310627</v>
      </c>
      <c r="E3833" t="s">
        <v>52</v>
      </c>
      <c r="F3833">
        <v>2015</v>
      </c>
      <c r="G3833" t="s">
        <v>687</v>
      </c>
      <c r="H3833" s="1">
        <v>42194</v>
      </c>
      <c r="I3833" s="1">
        <v>42198</v>
      </c>
      <c r="J3833" s="1">
        <v>42194</v>
      </c>
      <c r="K3833" s="1">
        <v>42254</v>
      </c>
      <c r="L3833" s="7">
        <v>496</v>
      </c>
      <c r="M3833" s="5">
        <v>30</v>
      </c>
      <c r="N3833" s="7">
        <v>14880</v>
      </c>
      <c r="O3833">
        <v>496</v>
      </c>
      <c r="P3833">
        <v>30</v>
      </c>
      <c r="Q3833" s="2">
        <v>14880</v>
      </c>
      <c r="R3833">
        <v>109.12</v>
      </c>
      <c r="V3833">
        <v>0</v>
      </c>
      <c r="W3833">
        <v>0</v>
      </c>
      <c r="X3833">
        <v>0</v>
      </c>
      <c r="Y3833">
        <v>605.12</v>
      </c>
      <c r="Z3833">
        <v>605.12</v>
      </c>
      <c r="AA3833">
        <v>605.12</v>
      </c>
      <c r="AB3833" s="1">
        <v>42382</v>
      </c>
      <c r="AC3833" t="s">
        <v>53</v>
      </c>
      <c r="AD3833" t="s">
        <v>53</v>
      </c>
      <c r="AH3833">
        <v>109.12</v>
      </c>
      <c r="AK3833">
        <v>0</v>
      </c>
      <c r="AU3833" s="6">
        <v>42284</v>
      </c>
      <c r="AV3833" s="6">
        <v>42284</v>
      </c>
      <c r="AW3833" t="s">
        <v>54</v>
      </c>
      <c r="AX3833" t="str">
        <f t="shared" si="323"/>
        <v>FOR</v>
      </c>
      <c r="AY3833" t="s">
        <v>55</v>
      </c>
    </row>
    <row r="3834" spans="1:51">
      <c r="A3834">
        <v>101317</v>
      </c>
      <c r="B3834" t="s">
        <v>578</v>
      </c>
      <c r="C3834" t="str">
        <f t="shared" si="326"/>
        <v>00592310627</v>
      </c>
      <c r="D3834" t="str">
        <f t="shared" si="326"/>
        <v>00592310627</v>
      </c>
      <c r="E3834" t="s">
        <v>52</v>
      </c>
      <c r="F3834">
        <v>2015</v>
      </c>
      <c r="G3834" t="s">
        <v>688</v>
      </c>
      <c r="H3834" s="1">
        <v>42194</v>
      </c>
      <c r="I3834" s="1">
        <v>42198</v>
      </c>
      <c r="J3834" s="1">
        <v>42194</v>
      </c>
      <c r="K3834" s="1">
        <v>42254</v>
      </c>
      <c r="L3834" s="7">
        <v>19.899999999999999</v>
      </c>
      <c r="M3834" s="5">
        <v>30</v>
      </c>
      <c r="N3834" s="7">
        <v>597</v>
      </c>
      <c r="O3834">
        <v>19.899999999999999</v>
      </c>
      <c r="P3834">
        <v>30</v>
      </c>
      <c r="Q3834">
        <v>597</v>
      </c>
      <c r="R3834">
        <v>4.38</v>
      </c>
      <c r="V3834">
        <v>0</v>
      </c>
      <c r="W3834">
        <v>0</v>
      </c>
      <c r="X3834">
        <v>0</v>
      </c>
      <c r="Y3834">
        <v>24.28</v>
      </c>
      <c r="Z3834">
        <v>24.28</v>
      </c>
      <c r="AA3834">
        <v>24.28</v>
      </c>
      <c r="AB3834" s="1">
        <v>42382</v>
      </c>
      <c r="AC3834" t="s">
        <v>53</v>
      </c>
      <c r="AD3834" t="s">
        <v>53</v>
      </c>
      <c r="AH3834">
        <v>4.38</v>
      </c>
      <c r="AK3834">
        <v>0</v>
      </c>
      <c r="AU3834" s="6">
        <v>42284</v>
      </c>
      <c r="AV3834" s="6">
        <v>42284</v>
      </c>
      <c r="AW3834" t="s">
        <v>54</v>
      </c>
      <c r="AX3834" t="str">
        <f t="shared" si="323"/>
        <v>FOR</v>
      </c>
      <c r="AY3834" t="s">
        <v>55</v>
      </c>
    </row>
    <row r="3835" spans="1:51">
      <c r="A3835">
        <v>101317</v>
      </c>
      <c r="B3835" t="s">
        <v>578</v>
      </c>
      <c r="C3835" t="str">
        <f t="shared" si="326"/>
        <v>00592310627</v>
      </c>
      <c r="D3835" t="str">
        <f t="shared" si="326"/>
        <v>00592310627</v>
      </c>
      <c r="E3835" t="s">
        <v>52</v>
      </c>
      <c r="F3835">
        <v>2015</v>
      </c>
      <c r="G3835" t="s">
        <v>689</v>
      </c>
      <c r="H3835" s="1">
        <v>42215</v>
      </c>
      <c r="I3835" s="1">
        <v>42227</v>
      </c>
      <c r="J3835" s="1">
        <v>42215</v>
      </c>
      <c r="K3835" s="1">
        <v>42275</v>
      </c>
      <c r="L3835" s="7">
        <v>49.9</v>
      </c>
      <c r="M3835" s="5">
        <v>9</v>
      </c>
      <c r="N3835" s="7">
        <v>449.1</v>
      </c>
      <c r="O3835">
        <v>49.9</v>
      </c>
      <c r="P3835">
        <v>9</v>
      </c>
      <c r="Q3835">
        <v>449.1</v>
      </c>
      <c r="R3835">
        <v>10.98</v>
      </c>
      <c r="V3835">
        <v>0</v>
      </c>
      <c r="W3835">
        <v>0</v>
      </c>
      <c r="X3835">
        <v>0</v>
      </c>
      <c r="Y3835">
        <v>60.88</v>
      </c>
      <c r="Z3835">
        <v>60.88</v>
      </c>
      <c r="AA3835">
        <v>60.88</v>
      </c>
      <c r="AB3835" s="1">
        <v>42382</v>
      </c>
      <c r="AC3835" t="s">
        <v>53</v>
      </c>
      <c r="AD3835" t="s">
        <v>53</v>
      </c>
      <c r="AH3835">
        <v>10.98</v>
      </c>
      <c r="AK3835">
        <v>0</v>
      </c>
      <c r="AU3835" s="6">
        <v>42284</v>
      </c>
      <c r="AV3835" s="6">
        <v>42284</v>
      </c>
      <c r="AW3835" t="s">
        <v>54</v>
      </c>
      <c r="AX3835" t="str">
        <f t="shared" si="323"/>
        <v>FOR</v>
      </c>
      <c r="AY3835" t="s">
        <v>55</v>
      </c>
    </row>
    <row r="3836" spans="1:51">
      <c r="A3836">
        <v>101317</v>
      </c>
      <c r="B3836" t="s">
        <v>578</v>
      </c>
      <c r="C3836" t="str">
        <f t="shared" si="326"/>
        <v>00592310627</v>
      </c>
      <c r="D3836" t="str">
        <f t="shared" si="326"/>
        <v>00592310627</v>
      </c>
      <c r="E3836" t="s">
        <v>52</v>
      </c>
      <c r="F3836">
        <v>2015</v>
      </c>
      <c r="G3836" t="s">
        <v>690</v>
      </c>
      <c r="H3836" s="1">
        <v>42215</v>
      </c>
      <c r="I3836" s="1">
        <v>42227</v>
      </c>
      <c r="J3836" s="1">
        <v>42215</v>
      </c>
      <c r="K3836" s="1">
        <v>42275</v>
      </c>
      <c r="L3836" s="7">
        <v>89.7</v>
      </c>
      <c r="M3836" s="5">
        <v>9</v>
      </c>
      <c r="N3836" s="7">
        <v>807.3</v>
      </c>
      <c r="O3836">
        <v>89.7</v>
      </c>
      <c r="P3836">
        <v>9</v>
      </c>
      <c r="Q3836">
        <v>807.3</v>
      </c>
      <c r="R3836">
        <v>19.73</v>
      </c>
      <c r="V3836">
        <v>0</v>
      </c>
      <c r="W3836">
        <v>0</v>
      </c>
      <c r="X3836">
        <v>0</v>
      </c>
      <c r="Y3836">
        <v>109.43</v>
      </c>
      <c r="Z3836">
        <v>109.43</v>
      </c>
      <c r="AA3836">
        <v>109.43</v>
      </c>
      <c r="AB3836" s="1">
        <v>42382</v>
      </c>
      <c r="AC3836" t="s">
        <v>53</v>
      </c>
      <c r="AD3836" t="s">
        <v>53</v>
      </c>
      <c r="AH3836">
        <v>19.73</v>
      </c>
      <c r="AK3836">
        <v>0</v>
      </c>
      <c r="AU3836" s="6">
        <v>42284</v>
      </c>
      <c r="AV3836" s="6">
        <v>42284</v>
      </c>
      <c r="AW3836" t="s">
        <v>54</v>
      </c>
      <c r="AX3836" t="str">
        <f t="shared" si="323"/>
        <v>FOR</v>
      </c>
      <c r="AY3836" t="s">
        <v>55</v>
      </c>
    </row>
    <row r="3837" spans="1:51">
      <c r="A3837">
        <v>101317</v>
      </c>
      <c r="B3837" t="s">
        <v>578</v>
      </c>
      <c r="C3837" t="str">
        <f t="shared" si="326"/>
        <v>00592310627</v>
      </c>
      <c r="D3837" t="str">
        <f t="shared" si="326"/>
        <v>00592310627</v>
      </c>
      <c r="E3837" t="s">
        <v>52</v>
      </c>
      <c r="F3837">
        <v>2015</v>
      </c>
      <c r="G3837" t="s">
        <v>691</v>
      </c>
      <c r="H3837" s="1">
        <v>42215</v>
      </c>
      <c r="I3837" s="1">
        <v>42227</v>
      </c>
      <c r="J3837" s="1">
        <v>42215</v>
      </c>
      <c r="K3837" s="1">
        <v>42275</v>
      </c>
      <c r="L3837" s="7">
        <v>59.4</v>
      </c>
      <c r="M3837" s="5">
        <v>9</v>
      </c>
      <c r="N3837" s="7">
        <v>534.6</v>
      </c>
      <c r="O3837">
        <v>59.4</v>
      </c>
      <c r="P3837">
        <v>9</v>
      </c>
      <c r="Q3837">
        <v>534.6</v>
      </c>
      <c r="R3837">
        <v>13.07</v>
      </c>
      <c r="V3837">
        <v>0</v>
      </c>
      <c r="W3837">
        <v>0</v>
      </c>
      <c r="X3837">
        <v>0</v>
      </c>
      <c r="Y3837">
        <v>72.47</v>
      </c>
      <c r="Z3837">
        <v>72.47</v>
      </c>
      <c r="AA3837">
        <v>72.47</v>
      </c>
      <c r="AB3837" s="1">
        <v>42382</v>
      </c>
      <c r="AC3837" t="s">
        <v>53</v>
      </c>
      <c r="AD3837" t="s">
        <v>53</v>
      </c>
      <c r="AH3837">
        <v>13.07</v>
      </c>
      <c r="AK3837">
        <v>0</v>
      </c>
      <c r="AU3837" s="6">
        <v>42284</v>
      </c>
      <c r="AV3837" s="6">
        <v>42284</v>
      </c>
      <c r="AW3837" t="s">
        <v>54</v>
      </c>
      <c r="AX3837" t="str">
        <f t="shared" si="323"/>
        <v>FOR</v>
      </c>
      <c r="AY3837" t="s">
        <v>55</v>
      </c>
    </row>
    <row r="3838" spans="1:51">
      <c r="A3838">
        <v>101317</v>
      </c>
      <c r="B3838" t="s">
        <v>578</v>
      </c>
      <c r="C3838" t="str">
        <f t="shared" si="326"/>
        <v>00592310627</v>
      </c>
      <c r="D3838" t="str">
        <f t="shared" si="326"/>
        <v>00592310627</v>
      </c>
      <c r="E3838" t="s">
        <v>52</v>
      </c>
      <c r="F3838">
        <v>2015</v>
      </c>
      <c r="G3838" t="s">
        <v>692</v>
      </c>
      <c r="H3838" s="1">
        <v>42215</v>
      </c>
      <c r="I3838" s="1">
        <v>42227</v>
      </c>
      <c r="J3838" s="1">
        <v>42215</v>
      </c>
      <c r="K3838" s="1">
        <v>42275</v>
      </c>
      <c r="L3838" s="7">
        <v>120</v>
      </c>
      <c r="M3838" s="5">
        <v>9</v>
      </c>
      <c r="N3838" s="7">
        <v>1080</v>
      </c>
      <c r="O3838">
        <v>120</v>
      </c>
      <c r="P3838">
        <v>9</v>
      </c>
      <c r="Q3838" s="2">
        <v>1080</v>
      </c>
      <c r="R3838">
        <v>26.4</v>
      </c>
      <c r="V3838">
        <v>0</v>
      </c>
      <c r="W3838">
        <v>0</v>
      </c>
      <c r="X3838">
        <v>0</v>
      </c>
      <c r="Y3838">
        <v>146.4</v>
      </c>
      <c r="Z3838">
        <v>146.4</v>
      </c>
      <c r="AA3838">
        <v>146.4</v>
      </c>
      <c r="AB3838" s="1">
        <v>42382</v>
      </c>
      <c r="AC3838" t="s">
        <v>53</v>
      </c>
      <c r="AD3838" t="s">
        <v>53</v>
      </c>
      <c r="AH3838">
        <v>26.4</v>
      </c>
      <c r="AK3838">
        <v>0</v>
      </c>
      <c r="AU3838" s="6">
        <v>42284</v>
      </c>
      <c r="AV3838" s="6">
        <v>42284</v>
      </c>
      <c r="AW3838" t="s">
        <v>54</v>
      </c>
      <c r="AX3838" t="str">
        <f t="shared" si="323"/>
        <v>FOR</v>
      </c>
      <c r="AY3838" t="s">
        <v>55</v>
      </c>
    </row>
    <row r="3839" spans="1:51">
      <c r="A3839">
        <v>101317</v>
      </c>
      <c r="B3839" t="s">
        <v>578</v>
      </c>
      <c r="C3839" t="str">
        <f t="shared" si="326"/>
        <v>00592310627</v>
      </c>
      <c r="D3839" t="str">
        <f t="shared" si="326"/>
        <v>00592310627</v>
      </c>
      <c r="E3839" t="s">
        <v>52</v>
      </c>
      <c r="F3839">
        <v>2015</v>
      </c>
      <c r="G3839" t="s">
        <v>693</v>
      </c>
      <c r="H3839" s="1">
        <v>42215</v>
      </c>
      <c r="I3839" s="1">
        <v>42227</v>
      </c>
      <c r="J3839" s="1">
        <v>42215</v>
      </c>
      <c r="K3839" s="1">
        <v>42275</v>
      </c>
      <c r="L3839" s="7">
        <v>397.5</v>
      </c>
      <c r="M3839" s="5">
        <v>9</v>
      </c>
      <c r="N3839" s="7">
        <v>3577.5</v>
      </c>
      <c r="O3839">
        <v>397.5</v>
      </c>
      <c r="P3839">
        <v>9</v>
      </c>
      <c r="Q3839" s="2">
        <v>3577.5</v>
      </c>
      <c r="R3839">
        <v>87.45</v>
      </c>
      <c r="V3839">
        <v>0</v>
      </c>
      <c r="W3839">
        <v>0</v>
      </c>
      <c r="X3839">
        <v>0</v>
      </c>
      <c r="Y3839">
        <v>484.95</v>
      </c>
      <c r="Z3839">
        <v>484.95</v>
      </c>
      <c r="AA3839">
        <v>484.95</v>
      </c>
      <c r="AB3839" s="1">
        <v>42382</v>
      </c>
      <c r="AC3839" t="s">
        <v>53</v>
      </c>
      <c r="AD3839" t="s">
        <v>53</v>
      </c>
      <c r="AH3839">
        <v>87.45</v>
      </c>
      <c r="AK3839">
        <v>0</v>
      </c>
      <c r="AU3839" s="6">
        <v>42284</v>
      </c>
      <c r="AV3839" s="6">
        <v>42284</v>
      </c>
      <c r="AW3839" t="s">
        <v>54</v>
      </c>
      <c r="AX3839" t="str">
        <f t="shared" si="323"/>
        <v>FOR</v>
      </c>
      <c r="AY3839" t="s">
        <v>55</v>
      </c>
    </row>
    <row r="3840" spans="1:51">
      <c r="A3840">
        <v>101317</v>
      </c>
      <c r="B3840" t="s">
        <v>578</v>
      </c>
      <c r="C3840" t="str">
        <f t="shared" si="326"/>
        <v>00592310627</v>
      </c>
      <c r="D3840" t="str">
        <f t="shared" si="326"/>
        <v>00592310627</v>
      </c>
      <c r="E3840" t="s">
        <v>52</v>
      </c>
      <c r="F3840">
        <v>2015</v>
      </c>
      <c r="G3840" t="s">
        <v>694</v>
      </c>
      <c r="H3840" s="1">
        <v>42215</v>
      </c>
      <c r="I3840" s="1">
        <v>42227</v>
      </c>
      <c r="J3840" s="1">
        <v>42215</v>
      </c>
      <c r="K3840" s="1">
        <v>42275</v>
      </c>
      <c r="L3840" s="7">
        <v>35</v>
      </c>
      <c r="M3840" s="5">
        <v>9</v>
      </c>
      <c r="N3840" s="7">
        <v>315</v>
      </c>
      <c r="O3840">
        <v>35</v>
      </c>
      <c r="P3840">
        <v>9</v>
      </c>
      <c r="Q3840">
        <v>315</v>
      </c>
      <c r="R3840">
        <v>7.7</v>
      </c>
      <c r="V3840">
        <v>0</v>
      </c>
      <c r="W3840">
        <v>0</v>
      </c>
      <c r="X3840">
        <v>0</v>
      </c>
      <c r="Y3840">
        <v>42.7</v>
      </c>
      <c r="Z3840">
        <v>42.7</v>
      </c>
      <c r="AA3840">
        <v>42.7</v>
      </c>
      <c r="AB3840" s="1">
        <v>42382</v>
      </c>
      <c r="AC3840" t="s">
        <v>53</v>
      </c>
      <c r="AD3840" t="s">
        <v>53</v>
      </c>
      <c r="AH3840">
        <v>7.7</v>
      </c>
      <c r="AK3840">
        <v>0</v>
      </c>
      <c r="AU3840" s="6">
        <v>42284</v>
      </c>
      <c r="AV3840" s="6">
        <v>42284</v>
      </c>
      <c r="AW3840" t="s">
        <v>54</v>
      </c>
      <c r="AX3840" t="str">
        <f t="shared" si="323"/>
        <v>FOR</v>
      </c>
      <c r="AY3840" t="s">
        <v>55</v>
      </c>
    </row>
    <row r="3841" spans="1:51">
      <c r="A3841">
        <v>101317</v>
      </c>
      <c r="B3841" t="s">
        <v>578</v>
      </c>
      <c r="C3841" t="str">
        <f t="shared" si="326"/>
        <v>00592310627</v>
      </c>
      <c r="D3841" t="str">
        <f t="shared" si="326"/>
        <v>00592310627</v>
      </c>
      <c r="E3841" t="s">
        <v>52</v>
      </c>
      <c r="F3841">
        <v>2015</v>
      </c>
      <c r="G3841" t="s">
        <v>695</v>
      </c>
      <c r="H3841" s="1">
        <v>42215</v>
      </c>
      <c r="I3841" s="1">
        <v>42227</v>
      </c>
      <c r="J3841" s="1">
        <v>42215</v>
      </c>
      <c r="K3841" s="1">
        <v>42275</v>
      </c>
      <c r="L3841" s="7">
        <v>160</v>
      </c>
      <c r="M3841" s="5">
        <v>9</v>
      </c>
      <c r="N3841" s="7">
        <v>1440</v>
      </c>
      <c r="O3841">
        <v>160</v>
      </c>
      <c r="P3841">
        <v>9</v>
      </c>
      <c r="Q3841" s="2">
        <v>1440</v>
      </c>
      <c r="R3841">
        <v>35.200000000000003</v>
      </c>
      <c r="V3841">
        <v>0</v>
      </c>
      <c r="W3841">
        <v>0</v>
      </c>
      <c r="X3841">
        <v>0</v>
      </c>
      <c r="Y3841">
        <v>195.2</v>
      </c>
      <c r="Z3841">
        <v>195.2</v>
      </c>
      <c r="AA3841">
        <v>195.2</v>
      </c>
      <c r="AB3841" s="1">
        <v>42382</v>
      </c>
      <c r="AC3841" t="s">
        <v>53</v>
      </c>
      <c r="AD3841" t="s">
        <v>53</v>
      </c>
      <c r="AH3841">
        <v>35.200000000000003</v>
      </c>
      <c r="AK3841">
        <v>0</v>
      </c>
      <c r="AU3841" s="6">
        <v>42284</v>
      </c>
      <c r="AV3841" s="6">
        <v>42284</v>
      </c>
      <c r="AW3841" t="s">
        <v>54</v>
      </c>
      <c r="AX3841" t="str">
        <f t="shared" si="323"/>
        <v>FOR</v>
      </c>
      <c r="AY3841" t="s">
        <v>55</v>
      </c>
    </row>
    <row r="3842" spans="1:51">
      <c r="A3842">
        <v>101317</v>
      </c>
      <c r="B3842" t="s">
        <v>578</v>
      </c>
      <c r="C3842" t="str">
        <f t="shared" si="326"/>
        <v>00592310627</v>
      </c>
      <c r="D3842" t="str">
        <f t="shared" si="326"/>
        <v>00592310627</v>
      </c>
      <c r="E3842" t="s">
        <v>52</v>
      </c>
      <c r="F3842">
        <v>2015</v>
      </c>
      <c r="G3842" t="s">
        <v>696</v>
      </c>
      <c r="H3842" s="1">
        <v>42215</v>
      </c>
      <c r="I3842" s="1">
        <v>42227</v>
      </c>
      <c r="J3842" s="1">
        <v>42215</v>
      </c>
      <c r="K3842" s="1">
        <v>42275</v>
      </c>
      <c r="L3842" s="7">
        <v>245</v>
      </c>
      <c r="M3842" s="5">
        <v>9</v>
      </c>
      <c r="N3842" s="7">
        <v>2205</v>
      </c>
      <c r="O3842">
        <v>245</v>
      </c>
      <c r="P3842">
        <v>9</v>
      </c>
      <c r="Q3842" s="2">
        <v>2205</v>
      </c>
      <c r="R3842">
        <v>53.9</v>
      </c>
      <c r="V3842">
        <v>0</v>
      </c>
      <c r="W3842">
        <v>0</v>
      </c>
      <c r="X3842">
        <v>0</v>
      </c>
      <c r="Y3842">
        <v>298.89999999999998</v>
      </c>
      <c r="Z3842">
        <v>298.89999999999998</v>
      </c>
      <c r="AA3842">
        <v>298.89999999999998</v>
      </c>
      <c r="AB3842" s="1">
        <v>42382</v>
      </c>
      <c r="AC3842" t="s">
        <v>53</v>
      </c>
      <c r="AD3842" t="s">
        <v>53</v>
      </c>
      <c r="AH3842">
        <v>53.9</v>
      </c>
      <c r="AK3842">
        <v>0</v>
      </c>
      <c r="AU3842" s="6">
        <v>42284</v>
      </c>
      <c r="AV3842" s="6">
        <v>42284</v>
      </c>
      <c r="AW3842" t="s">
        <v>54</v>
      </c>
      <c r="AX3842" t="str">
        <f t="shared" si="323"/>
        <v>FOR</v>
      </c>
      <c r="AY3842" t="s">
        <v>55</v>
      </c>
    </row>
    <row r="3843" spans="1:51">
      <c r="A3843">
        <v>101317</v>
      </c>
      <c r="B3843" t="s">
        <v>578</v>
      </c>
      <c r="C3843" t="str">
        <f t="shared" si="326"/>
        <v>00592310627</v>
      </c>
      <c r="D3843" t="str">
        <f t="shared" si="326"/>
        <v>00592310627</v>
      </c>
      <c r="E3843" t="s">
        <v>52</v>
      </c>
      <c r="F3843">
        <v>2015</v>
      </c>
      <c r="G3843" t="s">
        <v>697</v>
      </c>
      <c r="H3843" s="1">
        <v>42215</v>
      </c>
      <c r="I3843" s="1">
        <v>42227</v>
      </c>
      <c r="J3843" s="1">
        <v>42215</v>
      </c>
      <c r="K3843" s="1">
        <v>42275</v>
      </c>
      <c r="L3843" s="7">
        <v>516.5</v>
      </c>
      <c r="M3843" s="5">
        <v>9</v>
      </c>
      <c r="N3843" s="7">
        <v>4648.5</v>
      </c>
      <c r="O3843">
        <v>516.5</v>
      </c>
      <c r="P3843">
        <v>9</v>
      </c>
      <c r="Q3843" s="2">
        <v>4648.5</v>
      </c>
      <c r="R3843">
        <v>113.63</v>
      </c>
      <c r="V3843">
        <v>0</v>
      </c>
      <c r="W3843">
        <v>0</v>
      </c>
      <c r="X3843">
        <v>0</v>
      </c>
      <c r="Y3843">
        <v>630.13</v>
      </c>
      <c r="Z3843">
        <v>630.13</v>
      </c>
      <c r="AA3843">
        <v>630.13</v>
      </c>
      <c r="AB3843" s="1">
        <v>42382</v>
      </c>
      <c r="AC3843" t="s">
        <v>53</v>
      </c>
      <c r="AD3843" t="s">
        <v>53</v>
      </c>
      <c r="AH3843">
        <v>113.63</v>
      </c>
      <c r="AK3843">
        <v>0</v>
      </c>
      <c r="AU3843" s="6">
        <v>42284</v>
      </c>
      <c r="AV3843" s="6">
        <v>42284</v>
      </c>
      <c r="AW3843" t="s">
        <v>54</v>
      </c>
      <c r="AX3843" t="str">
        <f t="shared" ref="AX3843:AX3906" si="327">"FOR"</f>
        <v>FOR</v>
      </c>
      <c r="AY3843" t="s">
        <v>55</v>
      </c>
    </row>
    <row r="3844" spans="1:51">
      <c r="A3844">
        <v>101317</v>
      </c>
      <c r="B3844" t="s">
        <v>578</v>
      </c>
      <c r="C3844" t="str">
        <f t="shared" si="326"/>
        <v>00592310627</v>
      </c>
      <c r="D3844" t="str">
        <f t="shared" si="326"/>
        <v>00592310627</v>
      </c>
      <c r="E3844" t="s">
        <v>52</v>
      </c>
      <c r="F3844">
        <v>2015</v>
      </c>
      <c r="G3844" t="s">
        <v>698</v>
      </c>
      <c r="H3844" s="1">
        <v>42215</v>
      </c>
      <c r="I3844" s="1">
        <v>42227</v>
      </c>
      <c r="J3844" s="1">
        <v>42215</v>
      </c>
      <c r="K3844" s="1">
        <v>42275</v>
      </c>
      <c r="L3844" s="7">
        <v>139</v>
      </c>
      <c r="M3844" s="5">
        <v>9</v>
      </c>
      <c r="N3844" s="7">
        <v>1251</v>
      </c>
      <c r="O3844">
        <v>139</v>
      </c>
      <c r="P3844">
        <v>9</v>
      </c>
      <c r="Q3844" s="2">
        <v>1251</v>
      </c>
      <c r="R3844">
        <v>30.58</v>
      </c>
      <c r="V3844">
        <v>0</v>
      </c>
      <c r="W3844">
        <v>0</v>
      </c>
      <c r="X3844">
        <v>0</v>
      </c>
      <c r="Y3844">
        <v>169.58</v>
      </c>
      <c r="Z3844">
        <v>169.58</v>
      </c>
      <c r="AA3844">
        <v>169.58</v>
      </c>
      <c r="AB3844" s="1">
        <v>42382</v>
      </c>
      <c r="AC3844" t="s">
        <v>53</v>
      </c>
      <c r="AD3844" t="s">
        <v>53</v>
      </c>
      <c r="AH3844">
        <v>30.58</v>
      </c>
      <c r="AK3844">
        <v>0</v>
      </c>
      <c r="AU3844" s="6">
        <v>42284</v>
      </c>
      <c r="AV3844" s="6">
        <v>42284</v>
      </c>
      <c r="AW3844" t="s">
        <v>54</v>
      </c>
      <c r="AX3844" t="str">
        <f t="shared" si="327"/>
        <v>FOR</v>
      </c>
      <c r="AY3844" t="s">
        <v>55</v>
      </c>
    </row>
    <row r="3845" spans="1:51">
      <c r="A3845">
        <v>101317</v>
      </c>
      <c r="B3845" t="s">
        <v>578</v>
      </c>
      <c r="C3845" t="str">
        <f t="shared" si="326"/>
        <v>00592310627</v>
      </c>
      <c r="D3845" t="str">
        <f t="shared" si="326"/>
        <v>00592310627</v>
      </c>
      <c r="E3845" t="s">
        <v>52</v>
      </c>
      <c r="F3845">
        <v>2015</v>
      </c>
      <c r="G3845" t="s">
        <v>699</v>
      </c>
      <c r="H3845" s="1">
        <v>42251</v>
      </c>
      <c r="I3845" s="1">
        <v>42254</v>
      </c>
      <c r="J3845" s="1">
        <v>42251</v>
      </c>
      <c r="K3845" s="1">
        <v>42311</v>
      </c>
      <c r="L3845" s="7">
        <v>179</v>
      </c>
      <c r="M3845" s="5">
        <v>-27</v>
      </c>
      <c r="N3845" s="7">
        <v>-4833</v>
      </c>
      <c r="O3845">
        <v>179</v>
      </c>
      <c r="P3845">
        <v>-27</v>
      </c>
      <c r="Q3845" s="2">
        <v>-4833</v>
      </c>
      <c r="R3845">
        <v>39.380000000000003</v>
      </c>
      <c r="V3845">
        <v>0</v>
      </c>
      <c r="W3845">
        <v>0</v>
      </c>
      <c r="X3845">
        <v>0</v>
      </c>
      <c r="Y3845">
        <v>218.38</v>
      </c>
      <c r="Z3845">
        <v>218.38</v>
      </c>
      <c r="AA3845">
        <v>218.38</v>
      </c>
      <c r="AB3845" s="1">
        <v>42382</v>
      </c>
      <c r="AC3845" t="s">
        <v>53</v>
      </c>
      <c r="AD3845" t="s">
        <v>53</v>
      </c>
      <c r="AF3845">
        <v>39.380000000000003</v>
      </c>
      <c r="AK3845">
        <v>0</v>
      </c>
      <c r="AU3845" s="6">
        <v>42284</v>
      </c>
      <c r="AV3845" s="6">
        <v>42284</v>
      </c>
      <c r="AW3845" t="s">
        <v>54</v>
      </c>
      <c r="AX3845" t="str">
        <f t="shared" si="327"/>
        <v>FOR</v>
      </c>
      <c r="AY3845" t="s">
        <v>55</v>
      </c>
    </row>
    <row r="3846" spans="1:51">
      <c r="A3846">
        <v>101317</v>
      </c>
      <c r="B3846" t="s">
        <v>578</v>
      </c>
      <c r="C3846" t="str">
        <f t="shared" si="326"/>
        <v>00592310627</v>
      </c>
      <c r="D3846" t="str">
        <f t="shared" si="326"/>
        <v>00592310627</v>
      </c>
      <c r="E3846" t="s">
        <v>52</v>
      </c>
      <c r="F3846">
        <v>2015</v>
      </c>
      <c r="G3846" t="s">
        <v>700</v>
      </c>
      <c r="H3846" s="1">
        <v>42251</v>
      </c>
      <c r="I3846" s="1">
        <v>42257</v>
      </c>
      <c r="J3846" s="1">
        <v>42256</v>
      </c>
      <c r="K3846" s="1">
        <v>42316</v>
      </c>
      <c r="L3846" s="7">
        <v>855</v>
      </c>
      <c r="M3846" s="5">
        <v>-32</v>
      </c>
      <c r="N3846" s="7">
        <v>-27360</v>
      </c>
      <c r="O3846">
        <v>855</v>
      </c>
      <c r="P3846">
        <v>-32</v>
      </c>
      <c r="Q3846" s="2">
        <v>-27360</v>
      </c>
      <c r="R3846">
        <v>188.1</v>
      </c>
      <c r="V3846">
        <v>0</v>
      </c>
      <c r="W3846">
        <v>0</v>
      </c>
      <c r="X3846">
        <v>0</v>
      </c>
      <c r="Y3846" s="2">
        <v>1043.0999999999999</v>
      </c>
      <c r="Z3846" s="2">
        <v>1043.0999999999999</v>
      </c>
      <c r="AA3846" s="2">
        <v>1043.0999999999999</v>
      </c>
      <c r="AB3846" s="1">
        <v>42382</v>
      </c>
      <c r="AC3846" t="s">
        <v>53</v>
      </c>
      <c r="AD3846" t="s">
        <v>53</v>
      </c>
      <c r="AF3846">
        <v>188.1</v>
      </c>
      <c r="AK3846">
        <v>0</v>
      </c>
      <c r="AU3846" s="6">
        <v>42284</v>
      </c>
      <c r="AV3846" s="6">
        <v>42284</v>
      </c>
      <c r="AW3846" t="s">
        <v>54</v>
      </c>
      <c r="AX3846" t="str">
        <f t="shared" si="327"/>
        <v>FOR</v>
      </c>
      <c r="AY3846" t="s">
        <v>55</v>
      </c>
    </row>
    <row r="3847" spans="1:51">
      <c r="A3847">
        <v>101317</v>
      </c>
      <c r="B3847" t="s">
        <v>578</v>
      </c>
      <c r="C3847" t="str">
        <f t="shared" si="326"/>
        <v>00592310627</v>
      </c>
      <c r="D3847" t="str">
        <f t="shared" si="326"/>
        <v>00592310627</v>
      </c>
      <c r="E3847" t="s">
        <v>52</v>
      </c>
      <c r="F3847">
        <v>2015</v>
      </c>
      <c r="G3847" t="s">
        <v>701</v>
      </c>
      <c r="H3847" s="1">
        <v>42251</v>
      </c>
      <c r="I3847" s="1">
        <v>42254</v>
      </c>
      <c r="J3847" s="1">
        <v>42251</v>
      </c>
      <c r="K3847" s="1">
        <v>42311</v>
      </c>
      <c r="L3847" s="7">
        <v>19.899999999999999</v>
      </c>
      <c r="M3847" s="5">
        <v>-27</v>
      </c>
      <c r="N3847" s="7">
        <v>-537.29999999999995</v>
      </c>
      <c r="O3847">
        <v>19.899999999999999</v>
      </c>
      <c r="P3847">
        <v>-27</v>
      </c>
      <c r="Q3847">
        <v>-537.29999999999995</v>
      </c>
      <c r="R3847">
        <v>4.38</v>
      </c>
      <c r="V3847">
        <v>0</v>
      </c>
      <c r="W3847">
        <v>0</v>
      </c>
      <c r="X3847">
        <v>0</v>
      </c>
      <c r="Y3847">
        <v>24.28</v>
      </c>
      <c r="Z3847">
        <v>24.28</v>
      </c>
      <c r="AA3847">
        <v>24.28</v>
      </c>
      <c r="AB3847" s="1">
        <v>42382</v>
      </c>
      <c r="AC3847" t="s">
        <v>53</v>
      </c>
      <c r="AD3847" t="s">
        <v>53</v>
      </c>
      <c r="AF3847">
        <v>4.38</v>
      </c>
      <c r="AK3847">
        <v>0</v>
      </c>
      <c r="AU3847" s="6">
        <v>42284</v>
      </c>
      <c r="AV3847" s="6">
        <v>42284</v>
      </c>
      <c r="AW3847" t="s">
        <v>54</v>
      </c>
      <c r="AX3847" t="str">
        <f t="shared" si="327"/>
        <v>FOR</v>
      </c>
      <c r="AY3847" t="s">
        <v>55</v>
      </c>
    </row>
    <row r="3848" spans="1:51">
      <c r="A3848">
        <v>101317</v>
      </c>
      <c r="B3848" t="s">
        <v>578</v>
      </c>
      <c r="C3848" t="str">
        <f t="shared" si="326"/>
        <v>00592310627</v>
      </c>
      <c r="D3848" t="str">
        <f t="shared" si="326"/>
        <v>00592310627</v>
      </c>
      <c r="E3848" t="s">
        <v>52</v>
      </c>
      <c r="F3848">
        <v>2015</v>
      </c>
      <c r="G3848" t="s">
        <v>702</v>
      </c>
      <c r="H3848" s="1">
        <v>42251</v>
      </c>
      <c r="I3848" s="1">
        <v>42254</v>
      </c>
      <c r="J3848" s="1">
        <v>42251</v>
      </c>
      <c r="K3848" s="1">
        <v>42311</v>
      </c>
      <c r="L3848" s="7">
        <v>207</v>
      </c>
      <c r="M3848" s="5">
        <v>-27</v>
      </c>
      <c r="N3848" s="7">
        <v>-5589</v>
      </c>
      <c r="O3848">
        <v>207</v>
      </c>
      <c r="P3848">
        <v>-27</v>
      </c>
      <c r="Q3848" s="2">
        <v>-5589</v>
      </c>
      <c r="R3848">
        <v>45.54</v>
      </c>
      <c r="V3848">
        <v>0</v>
      </c>
      <c r="W3848">
        <v>0</v>
      </c>
      <c r="X3848">
        <v>0</v>
      </c>
      <c r="Y3848">
        <v>252.54</v>
      </c>
      <c r="Z3848">
        <v>252.54</v>
      </c>
      <c r="AA3848">
        <v>252.54</v>
      </c>
      <c r="AB3848" s="1">
        <v>42382</v>
      </c>
      <c r="AC3848" t="s">
        <v>53</v>
      </c>
      <c r="AD3848" t="s">
        <v>53</v>
      </c>
      <c r="AF3848">
        <v>45.54</v>
      </c>
      <c r="AK3848">
        <v>0</v>
      </c>
      <c r="AU3848" s="6">
        <v>42284</v>
      </c>
      <c r="AV3848" s="6">
        <v>42284</v>
      </c>
      <c r="AW3848" t="s">
        <v>54</v>
      </c>
      <c r="AX3848" t="str">
        <f t="shared" si="327"/>
        <v>FOR</v>
      </c>
      <c r="AY3848" t="s">
        <v>55</v>
      </c>
    </row>
    <row r="3849" spans="1:51">
      <c r="A3849">
        <v>101317</v>
      </c>
      <c r="B3849" t="s">
        <v>578</v>
      </c>
      <c r="C3849" t="str">
        <f t="shared" si="326"/>
        <v>00592310627</v>
      </c>
      <c r="D3849" t="str">
        <f t="shared" si="326"/>
        <v>00592310627</v>
      </c>
      <c r="E3849" t="s">
        <v>52</v>
      </c>
      <c r="F3849">
        <v>2015</v>
      </c>
      <c r="G3849" t="s">
        <v>703</v>
      </c>
      <c r="H3849" s="1">
        <v>42251</v>
      </c>
      <c r="I3849" s="1">
        <v>42254</v>
      </c>
      <c r="J3849" s="1">
        <v>42251</v>
      </c>
      <c r="K3849" s="1">
        <v>42311</v>
      </c>
      <c r="L3849" s="7">
        <v>18</v>
      </c>
      <c r="M3849" s="5">
        <v>-27</v>
      </c>
      <c r="N3849" s="7">
        <v>-486</v>
      </c>
      <c r="O3849">
        <v>18</v>
      </c>
      <c r="P3849">
        <v>-27</v>
      </c>
      <c r="Q3849">
        <v>-486</v>
      </c>
      <c r="R3849">
        <v>3.96</v>
      </c>
      <c r="V3849">
        <v>0</v>
      </c>
      <c r="W3849">
        <v>0</v>
      </c>
      <c r="X3849">
        <v>0</v>
      </c>
      <c r="Y3849">
        <v>21.96</v>
      </c>
      <c r="Z3849">
        <v>21.96</v>
      </c>
      <c r="AA3849">
        <v>21.96</v>
      </c>
      <c r="AB3849" s="1">
        <v>42382</v>
      </c>
      <c r="AC3849" t="s">
        <v>53</v>
      </c>
      <c r="AD3849" t="s">
        <v>53</v>
      </c>
      <c r="AF3849">
        <v>3.96</v>
      </c>
      <c r="AK3849">
        <v>0</v>
      </c>
      <c r="AU3849" s="6">
        <v>42284</v>
      </c>
      <c r="AV3849" s="6">
        <v>42284</v>
      </c>
      <c r="AW3849" t="s">
        <v>54</v>
      </c>
      <c r="AX3849" t="str">
        <f t="shared" si="327"/>
        <v>FOR</v>
      </c>
      <c r="AY3849" t="s">
        <v>55</v>
      </c>
    </row>
    <row r="3850" spans="1:51">
      <c r="A3850">
        <v>101317</v>
      </c>
      <c r="B3850" t="s">
        <v>578</v>
      </c>
      <c r="C3850" t="str">
        <f t="shared" si="326"/>
        <v>00592310627</v>
      </c>
      <c r="D3850" t="str">
        <f t="shared" si="326"/>
        <v>00592310627</v>
      </c>
      <c r="E3850" t="s">
        <v>52</v>
      </c>
      <c r="F3850">
        <v>2015</v>
      </c>
      <c r="G3850" t="s">
        <v>704</v>
      </c>
      <c r="H3850" s="1">
        <v>42251</v>
      </c>
      <c r="I3850" s="1">
        <v>42254</v>
      </c>
      <c r="J3850" s="1">
        <v>42252</v>
      </c>
      <c r="K3850" s="1">
        <v>42312</v>
      </c>
      <c r="L3850" s="7">
        <v>110</v>
      </c>
      <c r="M3850" s="5">
        <v>-28</v>
      </c>
      <c r="N3850" s="7">
        <v>-3080</v>
      </c>
      <c r="O3850">
        <v>110</v>
      </c>
      <c r="P3850">
        <v>-28</v>
      </c>
      <c r="Q3850" s="2">
        <v>-3080</v>
      </c>
      <c r="R3850">
        <v>24.2</v>
      </c>
      <c r="V3850">
        <v>0</v>
      </c>
      <c r="W3850">
        <v>0</v>
      </c>
      <c r="X3850">
        <v>0</v>
      </c>
      <c r="Y3850">
        <v>134.19999999999999</v>
      </c>
      <c r="Z3850">
        <v>134.19999999999999</v>
      </c>
      <c r="AA3850">
        <v>134.19999999999999</v>
      </c>
      <c r="AB3850" s="1">
        <v>42382</v>
      </c>
      <c r="AC3850" t="s">
        <v>53</v>
      </c>
      <c r="AD3850" t="s">
        <v>53</v>
      </c>
      <c r="AF3850">
        <v>24.2</v>
      </c>
      <c r="AK3850">
        <v>0</v>
      </c>
      <c r="AU3850" s="6">
        <v>42284</v>
      </c>
      <c r="AV3850" s="6">
        <v>42284</v>
      </c>
      <c r="AW3850" t="s">
        <v>54</v>
      </c>
      <c r="AX3850" t="str">
        <f t="shared" si="327"/>
        <v>FOR</v>
      </c>
      <c r="AY3850" t="s">
        <v>55</v>
      </c>
    </row>
    <row r="3851" spans="1:51">
      <c r="A3851">
        <v>101317</v>
      </c>
      <c r="B3851" t="s">
        <v>578</v>
      </c>
      <c r="C3851" t="str">
        <f t="shared" ref="C3851:D3863" si="328">"00592310627"</f>
        <v>00592310627</v>
      </c>
      <c r="D3851" t="str">
        <f t="shared" si="328"/>
        <v>00592310627</v>
      </c>
      <c r="E3851" t="s">
        <v>52</v>
      </c>
      <c r="F3851">
        <v>2015</v>
      </c>
      <c r="G3851" t="s">
        <v>705</v>
      </c>
      <c r="H3851" s="1">
        <v>42251</v>
      </c>
      <c r="I3851" s="1">
        <v>42254</v>
      </c>
      <c r="J3851" s="1">
        <v>42252</v>
      </c>
      <c r="K3851" s="1">
        <v>42312</v>
      </c>
      <c r="L3851" s="7">
        <v>49</v>
      </c>
      <c r="M3851" s="5">
        <v>-28</v>
      </c>
      <c r="N3851" s="7">
        <v>-1372</v>
      </c>
      <c r="O3851">
        <v>49</v>
      </c>
      <c r="P3851">
        <v>-28</v>
      </c>
      <c r="Q3851" s="2">
        <v>-1372</v>
      </c>
      <c r="R3851">
        <v>10.78</v>
      </c>
      <c r="V3851">
        <v>0</v>
      </c>
      <c r="W3851">
        <v>0</v>
      </c>
      <c r="X3851">
        <v>0</v>
      </c>
      <c r="Y3851">
        <v>59.78</v>
      </c>
      <c r="Z3851">
        <v>59.78</v>
      </c>
      <c r="AA3851">
        <v>59.78</v>
      </c>
      <c r="AB3851" s="1">
        <v>42382</v>
      </c>
      <c r="AC3851" t="s">
        <v>53</v>
      </c>
      <c r="AD3851" t="s">
        <v>53</v>
      </c>
      <c r="AF3851">
        <v>10.78</v>
      </c>
      <c r="AK3851">
        <v>0</v>
      </c>
      <c r="AU3851" s="6">
        <v>42284</v>
      </c>
      <c r="AV3851" s="6">
        <v>42284</v>
      </c>
      <c r="AW3851" t="s">
        <v>54</v>
      </c>
      <c r="AX3851" t="str">
        <f t="shared" si="327"/>
        <v>FOR</v>
      </c>
      <c r="AY3851" t="s">
        <v>55</v>
      </c>
    </row>
    <row r="3852" spans="1:51">
      <c r="A3852">
        <v>101317</v>
      </c>
      <c r="B3852" t="s">
        <v>578</v>
      </c>
      <c r="C3852" t="str">
        <f t="shared" si="328"/>
        <v>00592310627</v>
      </c>
      <c r="D3852" t="str">
        <f t="shared" si="328"/>
        <v>00592310627</v>
      </c>
      <c r="E3852" t="s">
        <v>52</v>
      </c>
      <c r="F3852">
        <v>2015</v>
      </c>
      <c r="G3852" t="s">
        <v>706</v>
      </c>
      <c r="H3852" s="1">
        <v>42251</v>
      </c>
      <c r="I3852" s="1">
        <v>42254</v>
      </c>
      <c r="J3852" s="1">
        <v>42252</v>
      </c>
      <c r="K3852" s="1">
        <v>42312</v>
      </c>
      <c r="L3852" s="7">
        <v>60</v>
      </c>
      <c r="M3852" s="5">
        <v>-28</v>
      </c>
      <c r="N3852" s="7">
        <v>-1680</v>
      </c>
      <c r="O3852">
        <v>60</v>
      </c>
      <c r="P3852">
        <v>-28</v>
      </c>
      <c r="Q3852" s="2">
        <v>-1680</v>
      </c>
      <c r="R3852">
        <v>13.2</v>
      </c>
      <c r="V3852">
        <v>0</v>
      </c>
      <c r="W3852">
        <v>0</v>
      </c>
      <c r="X3852">
        <v>0</v>
      </c>
      <c r="Y3852">
        <v>73.2</v>
      </c>
      <c r="Z3852">
        <v>73.2</v>
      </c>
      <c r="AA3852">
        <v>73.2</v>
      </c>
      <c r="AB3852" s="1">
        <v>42382</v>
      </c>
      <c r="AC3852" t="s">
        <v>53</v>
      </c>
      <c r="AD3852" t="s">
        <v>53</v>
      </c>
      <c r="AF3852">
        <v>13.2</v>
      </c>
      <c r="AK3852">
        <v>0</v>
      </c>
      <c r="AU3852" s="6">
        <v>42284</v>
      </c>
      <c r="AV3852" s="6">
        <v>42284</v>
      </c>
      <c r="AW3852" t="s">
        <v>54</v>
      </c>
      <c r="AX3852" t="str">
        <f t="shared" si="327"/>
        <v>FOR</v>
      </c>
      <c r="AY3852" t="s">
        <v>55</v>
      </c>
    </row>
    <row r="3853" spans="1:51">
      <c r="A3853">
        <v>101317</v>
      </c>
      <c r="B3853" t="s">
        <v>578</v>
      </c>
      <c r="C3853" t="str">
        <f t="shared" si="328"/>
        <v>00592310627</v>
      </c>
      <c r="D3853" t="str">
        <f t="shared" si="328"/>
        <v>00592310627</v>
      </c>
      <c r="E3853" t="s">
        <v>52</v>
      </c>
      <c r="F3853">
        <v>2015</v>
      </c>
      <c r="G3853" t="s">
        <v>707</v>
      </c>
      <c r="H3853" s="1">
        <v>42254</v>
      </c>
      <c r="I3853" s="1">
        <v>42254</v>
      </c>
      <c r="J3853" s="1">
        <v>42254</v>
      </c>
      <c r="K3853" s="1">
        <v>42314</v>
      </c>
      <c r="L3853" s="7">
        <v>17.5</v>
      </c>
      <c r="M3853" s="5">
        <v>-30</v>
      </c>
      <c r="N3853" s="7">
        <v>-525</v>
      </c>
      <c r="O3853">
        <v>17.5</v>
      </c>
      <c r="P3853">
        <v>-30</v>
      </c>
      <c r="Q3853">
        <v>-525</v>
      </c>
      <c r="R3853">
        <v>3.85</v>
      </c>
      <c r="V3853">
        <v>0</v>
      </c>
      <c r="W3853">
        <v>0</v>
      </c>
      <c r="X3853">
        <v>0</v>
      </c>
      <c r="Y3853">
        <v>21.35</v>
      </c>
      <c r="Z3853">
        <v>21.35</v>
      </c>
      <c r="AA3853">
        <v>21.35</v>
      </c>
      <c r="AB3853" s="1">
        <v>42382</v>
      </c>
      <c r="AC3853" t="s">
        <v>53</v>
      </c>
      <c r="AD3853" t="s">
        <v>53</v>
      </c>
      <c r="AF3853">
        <v>3.85</v>
      </c>
      <c r="AK3853">
        <v>0</v>
      </c>
      <c r="AU3853" s="6">
        <v>42284</v>
      </c>
      <c r="AV3853" s="6">
        <v>42284</v>
      </c>
      <c r="AW3853" t="s">
        <v>54</v>
      </c>
      <c r="AX3853" t="str">
        <f t="shared" si="327"/>
        <v>FOR</v>
      </c>
      <c r="AY3853" t="s">
        <v>55</v>
      </c>
    </row>
    <row r="3854" spans="1:51">
      <c r="A3854">
        <v>101317</v>
      </c>
      <c r="B3854" t="s">
        <v>578</v>
      </c>
      <c r="C3854" t="str">
        <f t="shared" si="328"/>
        <v>00592310627</v>
      </c>
      <c r="D3854" t="str">
        <f t="shared" si="328"/>
        <v>00592310627</v>
      </c>
      <c r="E3854" t="s">
        <v>52</v>
      </c>
      <c r="F3854">
        <v>2015</v>
      </c>
      <c r="G3854" t="s">
        <v>708</v>
      </c>
      <c r="H3854" s="1">
        <v>42254</v>
      </c>
      <c r="I3854" s="1">
        <v>42254</v>
      </c>
      <c r="J3854" s="1">
        <v>42254</v>
      </c>
      <c r="K3854" s="1">
        <v>42314</v>
      </c>
      <c r="L3854" s="7">
        <v>550</v>
      </c>
      <c r="M3854" s="5">
        <v>-30</v>
      </c>
      <c r="N3854" s="7">
        <v>-16500</v>
      </c>
      <c r="O3854">
        <v>550</v>
      </c>
      <c r="P3854">
        <v>-30</v>
      </c>
      <c r="Q3854" s="2">
        <v>-16500</v>
      </c>
      <c r="R3854">
        <v>121</v>
      </c>
      <c r="V3854">
        <v>0</v>
      </c>
      <c r="W3854">
        <v>0</v>
      </c>
      <c r="X3854">
        <v>0</v>
      </c>
      <c r="Y3854">
        <v>671</v>
      </c>
      <c r="Z3854">
        <v>671</v>
      </c>
      <c r="AA3854">
        <v>671</v>
      </c>
      <c r="AB3854" s="1">
        <v>42382</v>
      </c>
      <c r="AC3854" t="s">
        <v>53</v>
      </c>
      <c r="AD3854" t="s">
        <v>53</v>
      </c>
      <c r="AF3854">
        <v>121</v>
      </c>
      <c r="AK3854">
        <v>0</v>
      </c>
      <c r="AU3854" s="6">
        <v>42284</v>
      </c>
      <c r="AV3854" s="6">
        <v>42284</v>
      </c>
      <c r="AW3854" t="s">
        <v>54</v>
      </c>
      <c r="AX3854" t="str">
        <f t="shared" si="327"/>
        <v>FOR</v>
      </c>
      <c r="AY3854" t="s">
        <v>55</v>
      </c>
    </row>
    <row r="3855" spans="1:51">
      <c r="A3855">
        <v>101317</v>
      </c>
      <c r="B3855" t="s">
        <v>578</v>
      </c>
      <c r="C3855" t="str">
        <f t="shared" si="328"/>
        <v>00592310627</v>
      </c>
      <c r="D3855" t="str">
        <f t="shared" si="328"/>
        <v>00592310627</v>
      </c>
      <c r="E3855" t="s">
        <v>52</v>
      </c>
      <c r="F3855">
        <v>2015</v>
      </c>
      <c r="G3855" t="s">
        <v>709</v>
      </c>
      <c r="H3855" s="1">
        <v>42254</v>
      </c>
      <c r="I3855" s="1">
        <v>42254</v>
      </c>
      <c r="J3855" s="1">
        <v>42254</v>
      </c>
      <c r="K3855" s="1">
        <v>42314</v>
      </c>
      <c r="L3855" s="7">
        <v>98</v>
      </c>
      <c r="M3855" s="5">
        <v>-30</v>
      </c>
      <c r="N3855" s="7">
        <v>-2940</v>
      </c>
      <c r="O3855">
        <v>98</v>
      </c>
      <c r="P3855">
        <v>-30</v>
      </c>
      <c r="Q3855" s="2">
        <v>-2940</v>
      </c>
      <c r="R3855">
        <v>21.56</v>
      </c>
      <c r="V3855">
        <v>0</v>
      </c>
      <c r="W3855">
        <v>0</v>
      </c>
      <c r="X3855">
        <v>0</v>
      </c>
      <c r="Y3855">
        <v>119.56</v>
      </c>
      <c r="Z3855">
        <v>119.56</v>
      </c>
      <c r="AA3855">
        <v>119.56</v>
      </c>
      <c r="AB3855" s="1">
        <v>42382</v>
      </c>
      <c r="AC3855" t="s">
        <v>53</v>
      </c>
      <c r="AD3855" t="s">
        <v>53</v>
      </c>
      <c r="AF3855">
        <v>21.56</v>
      </c>
      <c r="AK3855">
        <v>0</v>
      </c>
      <c r="AU3855" s="6">
        <v>42284</v>
      </c>
      <c r="AV3855" s="6">
        <v>42284</v>
      </c>
      <c r="AW3855" t="s">
        <v>54</v>
      </c>
      <c r="AX3855" t="str">
        <f t="shared" si="327"/>
        <v>FOR</v>
      </c>
      <c r="AY3855" t="s">
        <v>55</v>
      </c>
    </row>
    <row r="3856" spans="1:51">
      <c r="A3856">
        <v>101317</v>
      </c>
      <c r="B3856" t="s">
        <v>578</v>
      </c>
      <c r="C3856" t="str">
        <f t="shared" si="328"/>
        <v>00592310627</v>
      </c>
      <c r="D3856" t="str">
        <f t="shared" si="328"/>
        <v>00592310627</v>
      </c>
      <c r="E3856" t="s">
        <v>52</v>
      </c>
      <c r="F3856">
        <v>2015</v>
      </c>
      <c r="G3856" t="s">
        <v>710</v>
      </c>
      <c r="H3856" s="1">
        <v>42263</v>
      </c>
      <c r="I3856" s="1">
        <v>42264</v>
      </c>
      <c r="J3856" s="1">
        <v>42263</v>
      </c>
      <c r="K3856" s="1">
        <v>42323</v>
      </c>
      <c r="L3856" s="7">
        <v>135</v>
      </c>
      <c r="M3856" s="5">
        <v>-39</v>
      </c>
      <c r="N3856" s="7">
        <v>-5265</v>
      </c>
      <c r="O3856">
        <v>135</v>
      </c>
      <c r="P3856">
        <v>-39</v>
      </c>
      <c r="Q3856" s="2">
        <v>-5265</v>
      </c>
      <c r="R3856">
        <v>29.7</v>
      </c>
      <c r="V3856">
        <v>0</v>
      </c>
      <c r="W3856">
        <v>0</v>
      </c>
      <c r="X3856">
        <v>0</v>
      </c>
      <c r="Y3856">
        <v>164.7</v>
      </c>
      <c r="Z3856">
        <v>164.7</v>
      </c>
      <c r="AA3856">
        <v>164.7</v>
      </c>
      <c r="AB3856" s="1">
        <v>42382</v>
      </c>
      <c r="AC3856" t="s">
        <v>53</v>
      </c>
      <c r="AD3856" t="s">
        <v>53</v>
      </c>
      <c r="AF3856">
        <v>29.7</v>
      </c>
      <c r="AK3856">
        <v>0</v>
      </c>
      <c r="AU3856" s="6">
        <v>42284</v>
      </c>
      <c r="AV3856" s="6">
        <v>42284</v>
      </c>
      <c r="AW3856" t="s">
        <v>54</v>
      </c>
      <c r="AX3856" t="str">
        <f t="shared" si="327"/>
        <v>FOR</v>
      </c>
      <c r="AY3856" t="s">
        <v>55</v>
      </c>
    </row>
    <row r="3857" spans="1:51">
      <c r="A3857">
        <v>101317</v>
      </c>
      <c r="B3857" t="s">
        <v>578</v>
      </c>
      <c r="C3857" t="str">
        <f t="shared" si="328"/>
        <v>00592310627</v>
      </c>
      <c r="D3857" t="str">
        <f t="shared" si="328"/>
        <v>00592310627</v>
      </c>
      <c r="E3857" t="s">
        <v>52</v>
      </c>
      <c r="F3857">
        <v>2015</v>
      </c>
      <c r="G3857" t="s">
        <v>711</v>
      </c>
      <c r="H3857" s="1">
        <v>42263</v>
      </c>
      <c r="I3857" s="1">
        <v>42264</v>
      </c>
      <c r="J3857" s="1">
        <v>42263</v>
      </c>
      <c r="K3857" s="1">
        <v>42323</v>
      </c>
      <c r="L3857" s="7">
        <v>404</v>
      </c>
      <c r="M3857" s="5">
        <v>-39</v>
      </c>
      <c r="N3857" s="7">
        <v>-15756</v>
      </c>
      <c r="O3857">
        <v>404</v>
      </c>
      <c r="P3857">
        <v>-39</v>
      </c>
      <c r="Q3857" s="2">
        <v>-15756</v>
      </c>
      <c r="R3857">
        <v>88.88</v>
      </c>
      <c r="V3857">
        <v>0</v>
      </c>
      <c r="W3857">
        <v>0</v>
      </c>
      <c r="X3857">
        <v>0</v>
      </c>
      <c r="Y3857">
        <v>492.88</v>
      </c>
      <c r="Z3857">
        <v>492.88</v>
      </c>
      <c r="AA3857">
        <v>492.88</v>
      </c>
      <c r="AB3857" s="1">
        <v>42382</v>
      </c>
      <c r="AC3857" t="s">
        <v>53</v>
      </c>
      <c r="AD3857" t="s">
        <v>53</v>
      </c>
      <c r="AF3857">
        <v>88.88</v>
      </c>
      <c r="AK3857">
        <v>0</v>
      </c>
      <c r="AU3857" s="6">
        <v>42284</v>
      </c>
      <c r="AV3857" s="6">
        <v>42284</v>
      </c>
      <c r="AW3857" t="s">
        <v>54</v>
      </c>
      <c r="AX3857" t="str">
        <f t="shared" si="327"/>
        <v>FOR</v>
      </c>
      <c r="AY3857" t="s">
        <v>55</v>
      </c>
    </row>
    <row r="3858" spans="1:51">
      <c r="A3858">
        <v>101317</v>
      </c>
      <c r="B3858" t="s">
        <v>578</v>
      </c>
      <c r="C3858" t="str">
        <f t="shared" si="328"/>
        <v>00592310627</v>
      </c>
      <c r="D3858" t="str">
        <f t="shared" si="328"/>
        <v>00592310627</v>
      </c>
      <c r="E3858" t="s">
        <v>52</v>
      </c>
      <c r="F3858">
        <v>2015</v>
      </c>
      <c r="G3858" t="s">
        <v>712</v>
      </c>
      <c r="H3858" s="1">
        <v>42263</v>
      </c>
      <c r="I3858" s="1">
        <v>42264</v>
      </c>
      <c r="J3858" s="1">
        <v>42263</v>
      </c>
      <c r="K3858" s="1">
        <v>42323</v>
      </c>
      <c r="L3858" s="7">
        <v>250</v>
      </c>
      <c r="M3858" s="5">
        <v>-39</v>
      </c>
      <c r="N3858" s="7">
        <v>-9750</v>
      </c>
      <c r="O3858">
        <v>250</v>
      </c>
      <c r="P3858">
        <v>-39</v>
      </c>
      <c r="Q3858" s="2">
        <v>-9750</v>
      </c>
      <c r="R3858">
        <v>55</v>
      </c>
      <c r="V3858">
        <v>0</v>
      </c>
      <c r="W3858">
        <v>0</v>
      </c>
      <c r="X3858">
        <v>0</v>
      </c>
      <c r="Y3858">
        <v>305</v>
      </c>
      <c r="Z3858">
        <v>305</v>
      </c>
      <c r="AA3858">
        <v>305</v>
      </c>
      <c r="AB3858" s="1">
        <v>42382</v>
      </c>
      <c r="AC3858" t="s">
        <v>53</v>
      </c>
      <c r="AD3858" t="s">
        <v>53</v>
      </c>
      <c r="AF3858">
        <v>55</v>
      </c>
      <c r="AK3858">
        <v>0</v>
      </c>
      <c r="AU3858" s="6">
        <v>42284</v>
      </c>
      <c r="AV3858" s="6">
        <v>42284</v>
      </c>
      <c r="AW3858" t="s">
        <v>54</v>
      </c>
      <c r="AX3858" t="str">
        <f t="shared" si="327"/>
        <v>FOR</v>
      </c>
      <c r="AY3858" t="s">
        <v>55</v>
      </c>
    </row>
    <row r="3859" spans="1:51">
      <c r="A3859">
        <v>101317</v>
      </c>
      <c r="B3859" t="s">
        <v>578</v>
      </c>
      <c r="C3859" t="str">
        <f t="shared" si="328"/>
        <v>00592310627</v>
      </c>
      <c r="D3859" t="str">
        <f t="shared" si="328"/>
        <v>00592310627</v>
      </c>
      <c r="E3859" t="s">
        <v>52</v>
      </c>
      <c r="F3859">
        <v>2015</v>
      </c>
      <c r="G3859" t="s">
        <v>713</v>
      </c>
      <c r="H3859" s="1">
        <v>42263</v>
      </c>
      <c r="I3859" s="1">
        <v>42265</v>
      </c>
      <c r="J3859" s="1">
        <v>42265</v>
      </c>
      <c r="K3859" s="1">
        <v>42325</v>
      </c>
      <c r="L3859" s="7">
        <v>179</v>
      </c>
      <c r="M3859" s="5">
        <v>-41</v>
      </c>
      <c r="N3859" s="7">
        <v>-7339</v>
      </c>
      <c r="O3859">
        <v>179</v>
      </c>
      <c r="P3859">
        <v>-41</v>
      </c>
      <c r="Q3859" s="2">
        <v>-7339</v>
      </c>
      <c r="R3859">
        <v>39.380000000000003</v>
      </c>
      <c r="V3859">
        <v>0</v>
      </c>
      <c r="W3859">
        <v>0</v>
      </c>
      <c r="X3859">
        <v>0</v>
      </c>
      <c r="Y3859">
        <v>218.38</v>
      </c>
      <c r="Z3859">
        <v>218.38</v>
      </c>
      <c r="AA3859">
        <v>218.38</v>
      </c>
      <c r="AB3859" s="1">
        <v>42382</v>
      </c>
      <c r="AC3859" t="s">
        <v>53</v>
      </c>
      <c r="AD3859" t="s">
        <v>53</v>
      </c>
      <c r="AF3859">
        <v>39.380000000000003</v>
      </c>
      <c r="AK3859">
        <v>0</v>
      </c>
      <c r="AU3859" s="6">
        <v>42284</v>
      </c>
      <c r="AV3859" s="6">
        <v>42284</v>
      </c>
      <c r="AW3859" t="s">
        <v>54</v>
      </c>
      <c r="AX3859" t="str">
        <f t="shared" si="327"/>
        <v>FOR</v>
      </c>
      <c r="AY3859" t="s">
        <v>55</v>
      </c>
    </row>
    <row r="3860" spans="1:51">
      <c r="A3860">
        <v>101317</v>
      </c>
      <c r="B3860" t="s">
        <v>578</v>
      </c>
      <c r="C3860" t="str">
        <f t="shared" si="328"/>
        <v>00592310627</v>
      </c>
      <c r="D3860" t="str">
        <f t="shared" si="328"/>
        <v>00592310627</v>
      </c>
      <c r="E3860" t="s">
        <v>52</v>
      </c>
      <c r="F3860">
        <v>2015</v>
      </c>
      <c r="G3860" t="s">
        <v>714</v>
      </c>
      <c r="H3860" s="1">
        <v>42263</v>
      </c>
      <c r="I3860" s="1">
        <v>42264</v>
      </c>
      <c r="J3860" s="1">
        <v>42263</v>
      </c>
      <c r="K3860" s="1">
        <v>42323</v>
      </c>
      <c r="L3860" s="7">
        <v>35</v>
      </c>
      <c r="M3860" s="5">
        <v>-39</v>
      </c>
      <c r="N3860" s="7">
        <v>-1365</v>
      </c>
      <c r="O3860">
        <v>35</v>
      </c>
      <c r="P3860">
        <v>-39</v>
      </c>
      <c r="Q3860" s="2">
        <v>-1365</v>
      </c>
      <c r="R3860">
        <v>7.7</v>
      </c>
      <c r="V3860">
        <v>0</v>
      </c>
      <c r="W3860">
        <v>0</v>
      </c>
      <c r="X3860">
        <v>0</v>
      </c>
      <c r="Y3860">
        <v>42.7</v>
      </c>
      <c r="Z3860">
        <v>42.7</v>
      </c>
      <c r="AA3860">
        <v>42.7</v>
      </c>
      <c r="AB3860" s="1">
        <v>42382</v>
      </c>
      <c r="AC3860" t="s">
        <v>53</v>
      </c>
      <c r="AD3860" t="s">
        <v>53</v>
      </c>
      <c r="AF3860">
        <v>7.7</v>
      </c>
      <c r="AK3860">
        <v>0</v>
      </c>
      <c r="AU3860" s="6">
        <v>42284</v>
      </c>
      <c r="AV3860" s="6">
        <v>42284</v>
      </c>
      <c r="AW3860" t="s">
        <v>54</v>
      </c>
      <c r="AX3860" t="str">
        <f t="shared" si="327"/>
        <v>FOR</v>
      </c>
      <c r="AY3860" t="s">
        <v>55</v>
      </c>
    </row>
    <row r="3861" spans="1:51">
      <c r="A3861">
        <v>101317</v>
      </c>
      <c r="B3861" t="s">
        <v>578</v>
      </c>
      <c r="C3861" t="str">
        <f t="shared" si="328"/>
        <v>00592310627</v>
      </c>
      <c r="D3861" t="str">
        <f t="shared" si="328"/>
        <v>00592310627</v>
      </c>
      <c r="E3861" t="s">
        <v>52</v>
      </c>
      <c r="F3861">
        <v>2015</v>
      </c>
      <c r="G3861" t="s">
        <v>715</v>
      </c>
      <c r="H3861" s="1">
        <v>42263</v>
      </c>
      <c r="I3861" s="1">
        <v>42264</v>
      </c>
      <c r="J3861" s="1">
        <v>42263</v>
      </c>
      <c r="K3861" s="1">
        <v>42323</v>
      </c>
      <c r="L3861" s="7">
        <v>90</v>
      </c>
      <c r="M3861" s="5">
        <v>-39</v>
      </c>
      <c r="N3861" s="7">
        <v>-3510</v>
      </c>
      <c r="O3861">
        <v>90</v>
      </c>
      <c r="P3861">
        <v>-39</v>
      </c>
      <c r="Q3861" s="2">
        <v>-3510</v>
      </c>
      <c r="R3861">
        <v>19.8</v>
      </c>
      <c r="V3861">
        <v>0</v>
      </c>
      <c r="W3861">
        <v>0</v>
      </c>
      <c r="X3861">
        <v>0</v>
      </c>
      <c r="Y3861">
        <v>109.8</v>
      </c>
      <c r="Z3861">
        <v>109.8</v>
      </c>
      <c r="AA3861">
        <v>109.8</v>
      </c>
      <c r="AB3861" s="1">
        <v>42382</v>
      </c>
      <c r="AC3861" t="s">
        <v>53</v>
      </c>
      <c r="AD3861" t="s">
        <v>53</v>
      </c>
      <c r="AF3861">
        <v>19.8</v>
      </c>
      <c r="AK3861">
        <v>0</v>
      </c>
      <c r="AU3861" s="6">
        <v>42284</v>
      </c>
      <c r="AV3861" s="6">
        <v>42284</v>
      </c>
      <c r="AW3861" t="s">
        <v>54</v>
      </c>
      <c r="AX3861" t="str">
        <f t="shared" si="327"/>
        <v>FOR</v>
      </c>
      <c r="AY3861" t="s">
        <v>55</v>
      </c>
    </row>
    <row r="3862" spans="1:51">
      <c r="A3862">
        <v>101317</v>
      </c>
      <c r="B3862" t="s">
        <v>578</v>
      </c>
      <c r="C3862" t="str">
        <f t="shared" si="328"/>
        <v>00592310627</v>
      </c>
      <c r="D3862" t="str">
        <f t="shared" si="328"/>
        <v>00592310627</v>
      </c>
      <c r="E3862" t="s">
        <v>52</v>
      </c>
      <c r="F3862">
        <v>2015</v>
      </c>
      <c r="G3862" t="s">
        <v>716</v>
      </c>
      <c r="H3862" s="1">
        <v>42263</v>
      </c>
      <c r="I3862" s="1">
        <v>42264</v>
      </c>
      <c r="J3862" s="1">
        <v>42263</v>
      </c>
      <c r="K3862" s="1">
        <v>42323</v>
      </c>
      <c r="L3862" s="7">
        <v>39.9</v>
      </c>
      <c r="M3862" s="5">
        <v>-39</v>
      </c>
      <c r="N3862" s="7">
        <v>-1556.1</v>
      </c>
      <c r="O3862">
        <v>39.9</v>
      </c>
      <c r="P3862">
        <v>-39</v>
      </c>
      <c r="Q3862" s="2">
        <v>-1556.1</v>
      </c>
      <c r="R3862">
        <v>8.7799999999999994</v>
      </c>
      <c r="V3862">
        <v>0</v>
      </c>
      <c r="W3862">
        <v>0</v>
      </c>
      <c r="X3862">
        <v>0</v>
      </c>
      <c r="Y3862">
        <v>48.68</v>
      </c>
      <c r="Z3862">
        <v>48.68</v>
      </c>
      <c r="AA3862">
        <v>48.68</v>
      </c>
      <c r="AB3862" s="1">
        <v>42382</v>
      </c>
      <c r="AC3862" t="s">
        <v>53</v>
      </c>
      <c r="AD3862" t="s">
        <v>53</v>
      </c>
      <c r="AF3862">
        <v>8.7799999999999994</v>
      </c>
      <c r="AK3862">
        <v>0</v>
      </c>
      <c r="AU3862" s="6">
        <v>42284</v>
      </c>
      <c r="AV3862" s="6">
        <v>42284</v>
      </c>
      <c r="AW3862" t="s">
        <v>54</v>
      </c>
      <c r="AX3862" t="str">
        <f t="shared" si="327"/>
        <v>FOR</v>
      </c>
      <c r="AY3862" t="s">
        <v>55</v>
      </c>
    </row>
    <row r="3863" spans="1:51">
      <c r="A3863">
        <v>101317</v>
      </c>
      <c r="B3863" t="s">
        <v>578</v>
      </c>
      <c r="C3863" t="str">
        <f t="shared" si="328"/>
        <v>00592310627</v>
      </c>
      <c r="D3863" t="str">
        <f t="shared" si="328"/>
        <v>00592310627</v>
      </c>
      <c r="E3863" t="s">
        <v>52</v>
      </c>
      <c r="F3863">
        <v>2015</v>
      </c>
      <c r="G3863" t="s">
        <v>717</v>
      </c>
      <c r="H3863" s="1">
        <v>42263</v>
      </c>
      <c r="I3863" s="1">
        <v>42264</v>
      </c>
      <c r="J3863" s="1">
        <v>42263</v>
      </c>
      <c r="K3863" s="1">
        <v>42323</v>
      </c>
      <c r="L3863" s="7">
        <v>79</v>
      </c>
      <c r="M3863" s="5">
        <v>-39</v>
      </c>
      <c r="N3863" s="7">
        <v>-3081</v>
      </c>
      <c r="O3863">
        <v>79</v>
      </c>
      <c r="P3863">
        <v>-39</v>
      </c>
      <c r="Q3863" s="2">
        <v>-3081</v>
      </c>
      <c r="R3863">
        <v>17.38</v>
      </c>
      <c r="V3863">
        <v>0</v>
      </c>
      <c r="W3863">
        <v>0</v>
      </c>
      <c r="X3863">
        <v>0</v>
      </c>
      <c r="Y3863">
        <v>96.38</v>
      </c>
      <c r="Z3863">
        <v>96.38</v>
      </c>
      <c r="AA3863">
        <v>96.38</v>
      </c>
      <c r="AB3863" s="1">
        <v>42382</v>
      </c>
      <c r="AC3863" t="s">
        <v>53</v>
      </c>
      <c r="AD3863" t="s">
        <v>53</v>
      </c>
      <c r="AF3863">
        <v>17.38</v>
      </c>
      <c r="AK3863">
        <v>0</v>
      </c>
      <c r="AU3863" s="6">
        <v>42284</v>
      </c>
      <c r="AV3863" s="6">
        <v>42284</v>
      </c>
      <c r="AW3863" t="s">
        <v>54</v>
      </c>
      <c r="AX3863" t="str">
        <f t="shared" si="327"/>
        <v>FOR</v>
      </c>
      <c r="AY3863" t="s">
        <v>55</v>
      </c>
    </row>
    <row r="3864" spans="1:51" hidden="1">
      <c r="A3864">
        <v>101320</v>
      </c>
      <c r="B3864" t="s">
        <v>718</v>
      </c>
      <c r="C3864" t="str">
        <f>"08126390155"</f>
        <v>08126390155</v>
      </c>
      <c r="D3864" t="str">
        <f>"08126390155"</f>
        <v>08126390155</v>
      </c>
      <c r="E3864" t="s">
        <v>52</v>
      </c>
      <c r="F3864">
        <v>2015</v>
      </c>
      <c r="G3864">
        <v>4126</v>
      </c>
      <c r="H3864" s="1">
        <v>42063</v>
      </c>
      <c r="I3864" s="1">
        <v>42123</v>
      </c>
      <c r="J3864" s="1">
        <v>42123</v>
      </c>
      <c r="K3864" s="1">
        <v>42183</v>
      </c>
      <c r="N3864" s="5"/>
      <c r="O3864" s="2">
        <v>4119.8</v>
      </c>
      <c r="P3864">
        <v>94</v>
      </c>
      <c r="Q3864" s="2">
        <v>387261.2</v>
      </c>
      <c r="R3864">
        <v>0</v>
      </c>
      <c r="V3864">
        <v>0</v>
      </c>
      <c r="W3864">
        <v>0</v>
      </c>
      <c r="X3864">
        <v>0</v>
      </c>
      <c r="Y3864" s="2">
        <v>5026.16</v>
      </c>
      <c r="Z3864" s="2">
        <v>5026.16</v>
      </c>
      <c r="AA3864" s="2">
        <v>5026.16</v>
      </c>
      <c r="AB3864" s="1">
        <v>42382</v>
      </c>
      <c r="AC3864" t="s">
        <v>53</v>
      </c>
      <c r="AD3864" t="s">
        <v>53</v>
      </c>
      <c r="AK3864">
        <v>0</v>
      </c>
      <c r="AU3864" s="6">
        <v>42277</v>
      </c>
      <c r="AV3864" s="6">
        <v>42277</v>
      </c>
      <c r="AW3864" t="s">
        <v>54</v>
      </c>
      <c r="AX3864" t="str">
        <f t="shared" si="327"/>
        <v>FOR</v>
      </c>
      <c r="AY3864" t="s">
        <v>55</v>
      </c>
    </row>
    <row r="3865" spans="1:51" hidden="1">
      <c r="A3865">
        <v>101325</v>
      </c>
      <c r="B3865" t="s">
        <v>719</v>
      </c>
      <c r="C3865" t="str">
        <f>"04472901000"</f>
        <v>04472901000</v>
      </c>
      <c r="D3865" t="str">
        <f>"04472901000"</f>
        <v>04472901000</v>
      </c>
      <c r="E3865" t="s">
        <v>52</v>
      </c>
      <c r="F3865">
        <v>2014</v>
      </c>
      <c r="G3865">
        <v>2752</v>
      </c>
      <c r="H3865" s="1">
        <v>41850</v>
      </c>
      <c r="I3865" s="1">
        <v>41873</v>
      </c>
      <c r="J3865" s="1">
        <v>41873</v>
      </c>
      <c r="K3865" s="1">
        <v>41963</v>
      </c>
      <c r="N3865" s="5"/>
      <c r="O3865" s="2">
        <v>2226.5</v>
      </c>
      <c r="P3865">
        <v>228</v>
      </c>
      <c r="Q3865" s="2">
        <v>507642</v>
      </c>
      <c r="R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 s="1">
        <v>42382</v>
      </c>
      <c r="AC3865" t="s">
        <v>53</v>
      </c>
      <c r="AD3865" t="s">
        <v>53</v>
      </c>
      <c r="AK3865">
        <v>0</v>
      </c>
      <c r="AU3865" s="6">
        <v>42191</v>
      </c>
      <c r="AV3865" s="6">
        <v>42191</v>
      </c>
      <c r="AW3865" t="s">
        <v>54</v>
      </c>
      <c r="AX3865" t="str">
        <f t="shared" si="327"/>
        <v>FOR</v>
      </c>
      <c r="AY3865" t="s">
        <v>55</v>
      </c>
    </row>
    <row r="3866" spans="1:51" hidden="1">
      <c r="A3866">
        <v>101335</v>
      </c>
      <c r="B3866" t="s">
        <v>720</v>
      </c>
      <c r="C3866" t="str">
        <f t="shared" ref="C3866:D3869" si="329">"00742090152"</f>
        <v>00742090152</v>
      </c>
      <c r="D3866" t="str">
        <f t="shared" si="329"/>
        <v>00742090152</v>
      </c>
      <c r="E3866" t="s">
        <v>52</v>
      </c>
      <c r="F3866">
        <v>2014</v>
      </c>
      <c r="G3866">
        <v>14201342</v>
      </c>
      <c r="H3866" s="1">
        <v>41695</v>
      </c>
      <c r="I3866" s="1">
        <v>41715</v>
      </c>
      <c r="J3866" s="1">
        <v>41715</v>
      </c>
      <c r="K3866" s="1">
        <v>41805</v>
      </c>
      <c r="N3866" s="5"/>
      <c r="O3866" s="2">
        <v>6705.12</v>
      </c>
      <c r="P3866">
        <v>270</v>
      </c>
      <c r="Q3866" s="2">
        <v>1810382.4</v>
      </c>
      <c r="R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 s="1">
        <v>42382</v>
      </c>
      <c r="AC3866" t="s">
        <v>53</v>
      </c>
      <c r="AD3866" t="s">
        <v>53</v>
      </c>
      <c r="AK3866">
        <v>0</v>
      </c>
      <c r="AU3866" s="6">
        <v>42075</v>
      </c>
      <c r="AV3866" s="6">
        <v>42075</v>
      </c>
      <c r="AW3866" t="s">
        <v>54</v>
      </c>
      <c r="AX3866" t="str">
        <f t="shared" si="327"/>
        <v>FOR</v>
      </c>
      <c r="AY3866" t="s">
        <v>55</v>
      </c>
    </row>
    <row r="3867" spans="1:51" hidden="1">
      <c r="A3867">
        <v>101335</v>
      </c>
      <c r="B3867" t="s">
        <v>720</v>
      </c>
      <c r="C3867" t="str">
        <f t="shared" si="329"/>
        <v>00742090152</v>
      </c>
      <c r="D3867" t="str">
        <f t="shared" si="329"/>
        <v>00742090152</v>
      </c>
      <c r="E3867" t="s">
        <v>52</v>
      </c>
      <c r="F3867">
        <v>2014</v>
      </c>
      <c r="G3867">
        <v>14201408</v>
      </c>
      <c r="H3867" s="1">
        <v>41697</v>
      </c>
      <c r="I3867" s="1">
        <v>41715</v>
      </c>
      <c r="J3867" s="1">
        <v>41715</v>
      </c>
      <c r="K3867" s="1">
        <v>41805</v>
      </c>
      <c r="N3867" s="5"/>
      <c r="O3867" s="2">
        <v>5002</v>
      </c>
      <c r="P3867">
        <v>270</v>
      </c>
      <c r="Q3867" s="2">
        <v>1350540</v>
      </c>
      <c r="R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 s="1">
        <v>42382</v>
      </c>
      <c r="AC3867" t="s">
        <v>53</v>
      </c>
      <c r="AD3867" t="s">
        <v>53</v>
      </c>
      <c r="AK3867">
        <v>0</v>
      </c>
      <c r="AU3867" s="6">
        <v>42075</v>
      </c>
      <c r="AV3867" s="6">
        <v>42075</v>
      </c>
      <c r="AW3867" t="s">
        <v>54</v>
      </c>
      <c r="AX3867" t="str">
        <f t="shared" si="327"/>
        <v>FOR</v>
      </c>
      <c r="AY3867" t="s">
        <v>55</v>
      </c>
    </row>
    <row r="3868" spans="1:51" hidden="1">
      <c r="A3868">
        <v>101335</v>
      </c>
      <c r="B3868" t="s">
        <v>720</v>
      </c>
      <c r="C3868" t="str">
        <f t="shared" si="329"/>
        <v>00742090152</v>
      </c>
      <c r="D3868" t="str">
        <f t="shared" si="329"/>
        <v>00742090152</v>
      </c>
      <c r="E3868" t="s">
        <v>52</v>
      </c>
      <c r="F3868">
        <v>2014</v>
      </c>
      <c r="G3868">
        <v>14204950</v>
      </c>
      <c r="H3868" s="1">
        <v>41836</v>
      </c>
      <c r="I3868" s="1">
        <v>41851</v>
      </c>
      <c r="J3868" s="1">
        <v>41851</v>
      </c>
      <c r="K3868" s="1">
        <v>41941</v>
      </c>
      <c r="N3868" s="5"/>
      <c r="O3868" s="2">
        <v>1157.78</v>
      </c>
      <c r="P3868">
        <v>308</v>
      </c>
      <c r="Q3868" s="2">
        <v>356596.24</v>
      </c>
      <c r="R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 s="1">
        <v>42382</v>
      </c>
      <c r="AC3868" t="s">
        <v>53</v>
      </c>
      <c r="AD3868" t="s">
        <v>53</v>
      </c>
      <c r="AK3868">
        <v>0</v>
      </c>
      <c r="AU3868" s="6">
        <v>42249</v>
      </c>
      <c r="AV3868" s="6">
        <v>42249</v>
      </c>
      <c r="AW3868" t="s">
        <v>54</v>
      </c>
      <c r="AX3868" t="str">
        <f t="shared" si="327"/>
        <v>FOR</v>
      </c>
      <c r="AY3868" t="s">
        <v>55</v>
      </c>
    </row>
    <row r="3869" spans="1:51">
      <c r="A3869">
        <v>101335</v>
      </c>
      <c r="B3869" t="s">
        <v>720</v>
      </c>
      <c r="C3869" t="str">
        <f t="shared" si="329"/>
        <v>00742090152</v>
      </c>
      <c r="D3869" t="str">
        <f t="shared" si="329"/>
        <v>00742090152</v>
      </c>
      <c r="E3869" t="s">
        <v>52</v>
      </c>
      <c r="F3869">
        <v>2014</v>
      </c>
      <c r="G3869">
        <v>14207390</v>
      </c>
      <c r="H3869" s="1">
        <v>41949</v>
      </c>
      <c r="I3869" s="1">
        <v>41967</v>
      </c>
      <c r="J3869" s="1">
        <v>41967</v>
      </c>
      <c r="K3869" s="1">
        <v>42027</v>
      </c>
      <c r="L3869" s="7">
        <v>7988.56</v>
      </c>
      <c r="M3869" s="5">
        <v>277</v>
      </c>
      <c r="N3869" s="7">
        <v>2212831.12</v>
      </c>
      <c r="O3869" s="2">
        <v>7988.56</v>
      </c>
      <c r="P3869">
        <v>277</v>
      </c>
      <c r="Q3869" s="2">
        <v>2212831.12</v>
      </c>
      <c r="R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 s="1">
        <v>42382</v>
      </c>
      <c r="AC3869" t="s">
        <v>53</v>
      </c>
      <c r="AD3869" t="s">
        <v>53</v>
      </c>
      <c r="AK3869">
        <v>0</v>
      </c>
      <c r="AU3869" s="6">
        <v>42304</v>
      </c>
      <c r="AV3869" s="6">
        <v>42304</v>
      </c>
      <c r="AW3869" t="s">
        <v>54</v>
      </c>
      <c r="AX3869" t="str">
        <f t="shared" si="327"/>
        <v>FOR</v>
      </c>
      <c r="AY3869" t="s">
        <v>55</v>
      </c>
    </row>
    <row r="3870" spans="1:51" hidden="1">
      <c r="A3870">
        <v>101336</v>
      </c>
      <c r="B3870" t="s">
        <v>721</v>
      </c>
      <c r="C3870" t="str">
        <f t="shared" ref="C3870:D3889" si="330">"05351490965"</f>
        <v>05351490965</v>
      </c>
      <c r="D3870" t="str">
        <f t="shared" si="330"/>
        <v>05351490965</v>
      </c>
      <c r="E3870" t="s">
        <v>52</v>
      </c>
      <c r="F3870">
        <v>2014</v>
      </c>
      <c r="G3870">
        <v>7400001229</v>
      </c>
      <c r="H3870" s="1">
        <v>41759</v>
      </c>
      <c r="I3870" s="1">
        <v>41782</v>
      </c>
      <c r="J3870" s="1">
        <v>41782</v>
      </c>
      <c r="K3870" s="1">
        <v>41872</v>
      </c>
      <c r="N3870" s="5"/>
      <c r="O3870" s="2">
        <v>5117.2</v>
      </c>
      <c r="P3870">
        <v>147</v>
      </c>
      <c r="Q3870" s="2">
        <v>752228.4</v>
      </c>
      <c r="R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 s="1">
        <v>42382</v>
      </c>
      <c r="AC3870" t="s">
        <v>53</v>
      </c>
      <c r="AD3870" t="s">
        <v>53</v>
      </c>
      <c r="AK3870">
        <v>0</v>
      </c>
      <c r="AU3870" s="6">
        <v>42019</v>
      </c>
      <c r="AV3870" s="6">
        <v>42019</v>
      </c>
      <c r="AW3870" t="s">
        <v>54</v>
      </c>
      <c r="AX3870" t="str">
        <f t="shared" si="327"/>
        <v>FOR</v>
      </c>
      <c r="AY3870" t="s">
        <v>55</v>
      </c>
    </row>
    <row r="3871" spans="1:51" hidden="1">
      <c r="A3871">
        <v>101336</v>
      </c>
      <c r="B3871" t="s">
        <v>721</v>
      </c>
      <c r="C3871" t="str">
        <f t="shared" si="330"/>
        <v>05351490965</v>
      </c>
      <c r="D3871" t="str">
        <f t="shared" si="330"/>
        <v>05351490965</v>
      </c>
      <c r="E3871" t="s">
        <v>52</v>
      </c>
      <c r="F3871">
        <v>2014</v>
      </c>
      <c r="G3871">
        <v>7400001231</v>
      </c>
      <c r="H3871" s="1">
        <v>41759</v>
      </c>
      <c r="I3871" s="1">
        <v>41782</v>
      </c>
      <c r="J3871" s="1">
        <v>41782</v>
      </c>
      <c r="K3871" s="1">
        <v>41872</v>
      </c>
      <c r="N3871" s="5"/>
      <c r="O3871" s="2">
        <v>137428.31</v>
      </c>
      <c r="P3871">
        <v>147</v>
      </c>
      <c r="Q3871" s="2">
        <v>20201961.57</v>
      </c>
      <c r="R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 s="1">
        <v>42382</v>
      </c>
      <c r="AC3871" t="s">
        <v>53</v>
      </c>
      <c r="AD3871" t="s">
        <v>53</v>
      </c>
      <c r="AK3871">
        <v>0</v>
      </c>
      <c r="AU3871" s="6">
        <v>42019</v>
      </c>
      <c r="AV3871" s="6">
        <v>42019</v>
      </c>
      <c r="AW3871" t="s">
        <v>54</v>
      </c>
      <c r="AX3871" t="str">
        <f t="shared" si="327"/>
        <v>FOR</v>
      </c>
      <c r="AY3871" t="s">
        <v>55</v>
      </c>
    </row>
    <row r="3872" spans="1:51" hidden="1">
      <c r="A3872">
        <v>101336</v>
      </c>
      <c r="B3872" t="s">
        <v>721</v>
      </c>
      <c r="C3872" t="str">
        <f t="shared" si="330"/>
        <v>05351490965</v>
      </c>
      <c r="D3872" t="str">
        <f t="shared" si="330"/>
        <v>05351490965</v>
      </c>
      <c r="E3872" t="s">
        <v>52</v>
      </c>
      <c r="F3872">
        <v>2014</v>
      </c>
      <c r="G3872">
        <v>7400001233</v>
      </c>
      <c r="H3872" s="1">
        <v>41759</v>
      </c>
      <c r="I3872" s="1">
        <v>41782</v>
      </c>
      <c r="J3872" s="1">
        <v>41782</v>
      </c>
      <c r="K3872" s="1">
        <v>41872</v>
      </c>
      <c r="N3872" s="5"/>
      <c r="O3872" s="2">
        <v>2588.6799999999998</v>
      </c>
      <c r="P3872">
        <v>147</v>
      </c>
      <c r="Q3872" s="2">
        <v>380535.96</v>
      </c>
      <c r="R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 s="1">
        <v>42382</v>
      </c>
      <c r="AC3872" t="s">
        <v>53</v>
      </c>
      <c r="AD3872" t="s">
        <v>53</v>
      </c>
      <c r="AK3872">
        <v>0</v>
      </c>
      <c r="AU3872" s="6">
        <v>42019</v>
      </c>
      <c r="AV3872" s="6">
        <v>42019</v>
      </c>
      <c r="AW3872" t="s">
        <v>54</v>
      </c>
      <c r="AX3872" t="str">
        <f t="shared" si="327"/>
        <v>FOR</v>
      </c>
      <c r="AY3872" t="s">
        <v>55</v>
      </c>
    </row>
    <row r="3873" spans="1:51" hidden="1">
      <c r="A3873">
        <v>101336</v>
      </c>
      <c r="B3873" t="s">
        <v>721</v>
      </c>
      <c r="C3873" t="str">
        <f t="shared" si="330"/>
        <v>05351490965</v>
      </c>
      <c r="D3873" t="str">
        <f t="shared" si="330"/>
        <v>05351490965</v>
      </c>
      <c r="E3873" t="s">
        <v>52</v>
      </c>
      <c r="F3873">
        <v>2014</v>
      </c>
      <c r="G3873">
        <v>7400001234</v>
      </c>
      <c r="H3873" s="1">
        <v>41759</v>
      </c>
      <c r="I3873" s="1">
        <v>41782</v>
      </c>
      <c r="J3873" s="1">
        <v>41782</v>
      </c>
      <c r="K3873" s="1">
        <v>41872</v>
      </c>
      <c r="N3873" s="5"/>
      <c r="O3873" s="2">
        <v>1086.82</v>
      </c>
      <c r="P3873">
        <v>147</v>
      </c>
      <c r="Q3873" s="2">
        <v>159762.54</v>
      </c>
      <c r="R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 s="1">
        <v>42382</v>
      </c>
      <c r="AC3873" t="s">
        <v>53</v>
      </c>
      <c r="AD3873" t="s">
        <v>53</v>
      </c>
      <c r="AK3873">
        <v>0</v>
      </c>
      <c r="AU3873" s="6">
        <v>42019</v>
      </c>
      <c r="AV3873" s="6">
        <v>42019</v>
      </c>
      <c r="AW3873" t="s">
        <v>54</v>
      </c>
      <c r="AX3873" t="str">
        <f t="shared" si="327"/>
        <v>FOR</v>
      </c>
      <c r="AY3873" t="s">
        <v>55</v>
      </c>
    </row>
    <row r="3874" spans="1:51" hidden="1">
      <c r="A3874">
        <v>101336</v>
      </c>
      <c r="B3874" t="s">
        <v>721</v>
      </c>
      <c r="C3874" t="str">
        <f t="shared" si="330"/>
        <v>05351490965</v>
      </c>
      <c r="D3874" t="str">
        <f t="shared" si="330"/>
        <v>05351490965</v>
      </c>
      <c r="E3874" t="s">
        <v>52</v>
      </c>
      <c r="F3874">
        <v>2014</v>
      </c>
      <c r="G3874">
        <v>7400003609</v>
      </c>
      <c r="H3874" s="1">
        <v>41790</v>
      </c>
      <c r="I3874" s="1">
        <v>41814</v>
      </c>
      <c r="J3874" s="1">
        <v>41814</v>
      </c>
      <c r="K3874" s="1">
        <v>41904</v>
      </c>
      <c r="N3874" s="5"/>
      <c r="O3874" s="2">
        <v>5320.88</v>
      </c>
      <c r="P3874">
        <v>158</v>
      </c>
      <c r="Q3874" s="2">
        <v>840699.04</v>
      </c>
      <c r="R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 s="1">
        <v>42382</v>
      </c>
      <c r="AC3874" t="s">
        <v>53</v>
      </c>
      <c r="AD3874" t="s">
        <v>53</v>
      </c>
      <c r="AK3874">
        <v>0</v>
      </c>
      <c r="AU3874" s="6">
        <v>42062</v>
      </c>
      <c r="AV3874" s="6">
        <v>42062</v>
      </c>
      <c r="AW3874" t="s">
        <v>54</v>
      </c>
      <c r="AX3874" t="str">
        <f t="shared" si="327"/>
        <v>FOR</v>
      </c>
      <c r="AY3874" t="s">
        <v>55</v>
      </c>
    </row>
    <row r="3875" spans="1:51" hidden="1">
      <c r="A3875">
        <v>101336</v>
      </c>
      <c r="B3875" t="s">
        <v>721</v>
      </c>
      <c r="C3875" t="str">
        <f t="shared" si="330"/>
        <v>05351490965</v>
      </c>
      <c r="D3875" t="str">
        <f t="shared" si="330"/>
        <v>05351490965</v>
      </c>
      <c r="E3875" t="s">
        <v>52</v>
      </c>
      <c r="F3875">
        <v>2014</v>
      </c>
      <c r="G3875">
        <v>7400003611</v>
      </c>
      <c r="H3875" s="1">
        <v>41790</v>
      </c>
      <c r="I3875" s="1">
        <v>41814</v>
      </c>
      <c r="J3875" s="1">
        <v>41814</v>
      </c>
      <c r="K3875" s="1">
        <v>41904</v>
      </c>
      <c r="N3875" s="5"/>
      <c r="O3875" s="2">
        <v>147002.06</v>
      </c>
      <c r="P3875">
        <v>158</v>
      </c>
      <c r="Q3875" s="2">
        <v>23226325.48</v>
      </c>
      <c r="R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 s="1">
        <v>42382</v>
      </c>
      <c r="AC3875" t="s">
        <v>53</v>
      </c>
      <c r="AD3875" t="s">
        <v>53</v>
      </c>
      <c r="AK3875">
        <v>0</v>
      </c>
      <c r="AU3875" s="6">
        <v>42062</v>
      </c>
      <c r="AV3875" s="6">
        <v>42062</v>
      </c>
      <c r="AW3875" t="s">
        <v>54</v>
      </c>
      <c r="AX3875" t="str">
        <f t="shared" si="327"/>
        <v>FOR</v>
      </c>
      <c r="AY3875" t="s">
        <v>55</v>
      </c>
    </row>
    <row r="3876" spans="1:51" hidden="1">
      <c r="A3876">
        <v>101336</v>
      </c>
      <c r="B3876" t="s">
        <v>721</v>
      </c>
      <c r="C3876" t="str">
        <f t="shared" si="330"/>
        <v>05351490965</v>
      </c>
      <c r="D3876" t="str">
        <f t="shared" si="330"/>
        <v>05351490965</v>
      </c>
      <c r="E3876" t="s">
        <v>52</v>
      </c>
      <c r="F3876">
        <v>2014</v>
      </c>
      <c r="G3876">
        <v>7400003613</v>
      </c>
      <c r="H3876" s="1">
        <v>41790</v>
      </c>
      <c r="I3876" s="1">
        <v>41814</v>
      </c>
      <c r="J3876" s="1">
        <v>41814</v>
      </c>
      <c r="K3876" s="1">
        <v>41904</v>
      </c>
      <c r="N3876" s="5"/>
      <c r="O3876" s="2">
        <v>2760.77</v>
      </c>
      <c r="P3876">
        <v>158</v>
      </c>
      <c r="Q3876" s="2">
        <v>436201.66</v>
      </c>
      <c r="R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 s="1">
        <v>42382</v>
      </c>
      <c r="AC3876" t="s">
        <v>53</v>
      </c>
      <c r="AD3876" t="s">
        <v>53</v>
      </c>
      <c r="AK3876">
        <v>0</v>
      </c>
      <c r="AU3876" s="6">
        <v>42062</v>
      </c>
      <c r="AV3876" s="6">
        <v>42062</v>
      </c>
      <c r="AW3876" t="s">
        <v>54</v>
      </c>
      <c r="AX3876" t="str">
        <f t="shared" si="327"/>
        <v>FOR</v>
      </c>
      <c r="AY3876" t="s">
        <v>55</v>
      </c>
    </row>
    <row r="3877" spans="1:51" hidden="1">
      <c r="A3877">
        <v>101336</v>
      </c>
      <c r="B3877" t="s">
        <v>721</v>
      </c>
      <c r="C3877" t="str">
        <f t="shared" si="330"/>
        <v>05351490965</v>
      </c>
      <c r="D3877" t="str">
        <f t="shared" si="330"/>
        <v>05351490965</v>
      </c>
      <c r="E3877" t="s">
        <v>52</v>
      </c>
      <c r="F3877">
        <v>2014</v>
      </c>
      <c r="G3877">
        <v>7400003614</v>
      </c>
      <c r="H3877" s="1">
        <v>41790</v>
      </c>
      <c r="I3877" s="1">
        <v>41814</v>
      </c>
      <c r="J3877" s="1">
        <v>41814</v>
      </c>
      <c r="K3877" s="1">
        <v>41904</v>
      </c>
      <c r="N3877" s="5"/>
      <c r="O3877" s="2">
        <v>1176.46</v>
      </c>
      <c r="P3877">
        <v>158</v>
      </c>
      <c r="Q3877" s="2">
        <v>185880.68</v>
      </c>
      <c r="R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 s="1">
        <v>42382</v>
      </c>
      <c r="AC3877" t="s">
        <v>53</v>
      </c>
      <c r="AD3877" t="s">
        <v>53</v>
      </c>
      <c r="AK3877">
        <v>0</v>
      </c>
      <c r="AU3877" s="6">
        <v>42062</v>
      </c>
      <c r="AV3877" s="6">
        <v>42062</v>
      </c>
      <c r="AW3877" t="s">
        <v>54</v>
      </c>
      <c r="AX3877" t="str">
        <f t="shared" si="327"/>
        <v>FOR</v>
      </c>
      <c r="AY3877" t="s">
        <v>55</v>
      </c>
    </row>
    <row r="3878" spans="1:51" hidden="1">
      <c r="A3878">
        <v>101336</v>
      </c>
      <c r="B3878" t="s">
        <v>721</v>
      </c>
      <c r="C3878" t="str">
        <f t="shared" si="330"/>
        <v>05351490965</v>
      </c>
      <c r="D3878" t="str">
        <f t="shared" si="330"/>
        <v>05351490965</v>
      </c>
      <c r="E3878" t="s">
        <v>52</v>
      </c>
      <c r="F3878">
        <v>2014</v>
      </c>
      <c r="G3878">
        <v>7400006075</v>
      </c>
      <c r="H3878" s="1">
        <v>41820</v>
      </c>
      <c r="I3878" s="1">
        <v>41893</v>
      </c>
      <c r="J3878" s="1">
        <v>41893</v>
      </c>
      <c r="K3878" s="1">
        <v>41976</v>
      </c>
      <c r="N3878" s="5"/>
      <c r="O3878" s="2">
        <v>1044.95</v>
      </c>
      <c r="P3878">
        <v>119</v>
      </c>
      <c r="Q3878" s="2">
        <v>124349.05</v>
      </c>
      <c r="R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 s="1">
        <v>42382</v>
      </c>
      <c r="AC3878" t="s">
        <v>53</v>
      </c>
      <c r="AD3878" t="s">
        <v>53</v>
      </c>
      <c r="AK3878">
        <v>0</v>
      </c>
      <c r="AU3878" s="6">
        <v>42095</v>
      </c>
      <c r="AV3878" s="6">
        <v>42095</v>
      </c>
      <c r="AW3878" t="s">
        <v>54</v>
      </c>
      <c r="AX3878" t="str">
        <f t="shared" si="327"/>
        <v>FOR</v>
      </c>
      <c r="AY3878" t="s">
        <v>55</v>
      </c>
    </row>
    <row r="3879" spans="1:51" hidden="1">
      <c r="A3879">
        <v>101336</v>
      </c>
      <c r="B3879" t="s">
        <v>721</v>
      </c>
      <c r="C3879" t="str">
        <f t="shared" si="330"/>
        <v>05351490965</v>
      </c>
      <c r="D3879" t="str">
        <f t="shared" si="330"/>
        <v>05351490965</v>
      </c>
      <c r="E3879" t="s">
        <v>52</v>
      </c>
      <c r="F3879">
        <v>2014</v>
      </c>
      <c r="G3879">
        <v>7400006077</v>
      </c>
      <c r="H3879" s="1">
        <v>41820</v>
      </c>
      <c r="I3879" s="1">
        <v>41893</v>
      </c>
      <c r="J3879" s="1">
        <v>41893</v>
      </c>
      <c r="K3879" s="1">
        <v>41983</v>
      </c>
      <c r="N3879" s="5"/>
      <c r="O3879" s="2">
        <v>2670.99</v>
      </c>
      <c r="P3879">
        <v>112</v>
      </c>
      <c r="Q3879" s="2">
        <v>299150.88</v>
      </c>
      <c r="R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 s="1">
        <v>42382</v>
      </c>
      <c r="AC3879" t="s">
        <v>53</v>
      </c>
      <c r="AD3879" t="s">
        <v>53</v>
      </c>
      <c r="AK3879">
        <v>0</v>
      </c>
      <c r="AU3879" s="6">
        <v>42095</v>
      </c>
      <c r="AV3879" s="6">
        <v>42095</v>
      </c>
      <c r="AW3879" t="s">
        <v>54</v>
      </c>
      <c r="AX3879" t="str">
        <f t="shared" si="327"/>
        <v>FOR</v>
      </c>
      <c r="AY3879" t="s">
        <v>55</v>
      </c>
    </row>
    <row r="3880" spans="1:51" hidden="1">
      <c r="A3880">
        <v>101336</v>
      </c>
      <c r="B3880" t="s">
        <v>721</v>
      </c>
      <c r="C3880" t="str">
        <f t="shared" si="330"/>
        <v>05351490965</v>
      </c>
      <c r="D3880" t="str">
        <f t="shared" si="330"/>
        <v>05351490965</v>
      </c>
      <c r="E3880" t="s">
        <v>52</v>
      </c>
      <c r="F3880">
        <v>2014</v>
      </c>
      <c r="G3880">
        <v>7400006081</v>
      </c>
      <c r="H3880" s="1">
        <v>41820</v>
      </c>
      <c r="I3880" s="1">
        <v>41893</v>
      </c>
      <c r="J3880" s="1">
        <v>41893</v>
      </c>
      <c r="K3880" s="1">
        <v>41983</v>
      </c>
      <c r="N3880" s="5"/>
      <c r="O3880" s="2">
        <v>138264.45000000001</v>
      </c>
      <c r="P3880">
        <v>112</v>
      </c>
      <c r="Q3880" s="2">
        <v>15485618.4</v>
      </c>
      <c r="R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 s="1">
        <v>42382</v>
      </c>
      <c r="AC3880" t="s">
        <v>53</v>
      </c>
      <c r="AD3880" t="s">
        <v>53</v>
      </c>
      <c r="AK3880">
        <v>0</v>
      </c>
      <c r="AU3880" s="6">
        <v>42095</v>
      </c>
      <c r="AV3880" s="6">
        <v>42095</v>
      </c>
      <c r="AW3880" t="s">
        <v>54</v>
      </c>
      <c r="AX3880" t="str">
        <f t="shared" si="327"/>
        <v>FOR</v>
      </c>
      <c r="AY3880" t="s">
        <v>55</v>
      </c>
    </row>
    <row r="3881" spans="1:51" hidden="1">
      <c r="A3881">
        <v>101336</v>
      </c>
      <c r="B3881" t="s">
        <v>721</v>
      </c>
      <c r="C3881" t="str">
        <f t="shared" si="330"/>
        <v>05351490965</v>
      </c>
      <c r="D3881" t="str">
        <f t="shared" si="330"/>
        <v>05351490965</v>
      </c>
      <c r="E3881" t="s">
        <v>52</v>
      </c>
      <c r="F3881">
        <v>2014</v>
      </c>
      <c r="G3881">
        <v>7400006083</v>
      </c>
      <c r="H3881" s="1">
        <v>41820</v>
      </c>
      <c r="I3881" s="1">
        <v>41893</v>
      </c>
      <c r="J3881" s="1">
        <v>41893</v>
      </c>
      <c r="K3881" s="1">
        <v>41983</v>
      </c>
      <c r="N3881" s="5"/>
      <c r="O3881" s="2">
        <v>5479.8</v>
      </c>
      <c r="P3881">
        <v>112</v>
      </c>
      <c r="Q3881" s="2">
        <v>613737.6</v>
      </c>
      <c r="R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 s="1">
        <v>42382</v>
      </c>
      <c r="AC3881" t="s">
        <v>53</v>
      </c>
      <c r="AD3881" t="s">
        <v>53</v>
      </c>
      <c r="AK3881">
        <v>0</v>
      </c>
      <c r="AU3881" s="6">
        <v>42095</v>
      </c>
      <c r="AV3881" s="6">
        <v>42095</v>
      </c>
      <c r="AW3881" t="s">
        <v>54</v>
      </c>
      <c r="AX3881" t="str">
        <f t="shared" si="327"/>
        <v>FOR</v>
      </c>
      <c r="AY3881" t="s">
        <v>55</v>
      </c>
    </row>
    <row r="3882" spans="1:51" hidden="1">
      <c r="A3882">
        <v>101336</v>
      </c>
      <c r="B3882" t="s">
        <v>721</v>
      </c>
      <c r="C3882" t="str">
        <f t="shared" si="330"/>
        <v>05351490965</v>
      </c>
      <c r="D3882" t="str">
        <f t="shared" si="330"/>
        <v>05351490965</v>
      </c>
      <c r="E3882" t="s">
        <v>52</v>
      </c>
      <c r="F3882">
        <v>2014</v>
      </c>
      <c r="G3882">
        <v>7400009787</v>
      </c>
      <c r="H3882" s="1">
        <v>41851</v>
      </c>
      <c r="I3882" s="1">
        <v>41879</v>
      </c>
      <c r="J3882" s="1">
        <v>41879</v>
      </c>
      <c r="K3882" s="1">
        <v>41966</v>
      </c>
      <c r="N3882" s="5"/>
      <c r="O3882" s="2">
        <v>1204.97</v>
      </c>
      <c r="P3882">
        <v>158</v>
      </c>
      <c r="Q3882" s="2">
        <v>190385.26</v>
      </c>
      <c r="R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 s="1">
        <v>42382</v>
      </c>
      <c r="AC3882" t="s">
        <v>53</v>
      </c>
      <c r="AD3882" t="s">
        <v>53</v>
      </c>
      <c r="AK3882">
        <v>0</v>
      </c>
      <c r="AU3882" s="6">
        <v>42124</v>
      </c>
      <c r="AV3882" s="6">
        <v>42124</v>
      </c>
      <c r="AW3882" t="s">
        <v>54</v>
      </c>
      <c r="AX3882" t="str">
        <f t="shared" si="327"/>
        <v>FOR</v>
      </c>
      <c r="AY3882" t="s">
        <v>55</v>
      </c>
    </row>
    <row r="3883" spans="1:51" hidden="1">
      <c r="A3883">
        <v>101336</v>
      </c>
      <c r="B3883" t="s">
        <v>721</v>
      </c>
      <c r="C3883" t="str">
        <f t="shared" si="330"/>
        <v>05351490965</v>
      </c>
      <c r="D3883" t="str">
        <f t="shared" si="330"/>
        <v>05351490965</v>
      </c>
      <c r="E3883" t="s">
        <v>52</v>
      </c>
      <c r="F3883">
        <v>2014</v>
      </c>
      <c r="G3883">
        <v>7400009788</v>
      </c>
      <c r="H3883" s="1">
        <v>41851</v>
      </c>
      <c r="I3883" s="1">
        <v>41879</v>
      </c>
      <c r="J3883" s="1">
        <v>41879</v>
      </c>
      <c r="K3883" s="1">
        <v>41969</v>
      </c>
      <c r="N3883" s="5"/>
      <c r="O3883" s="2">
        <v>3209.68</v>
      </c>
      <c r="P3883">
        <v>155</v>
      </c>
      <c r="Q3883" s="2">
        <v>497500.4</v>
      </c>
      <c r="R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 s="1">
        <v>42382</v>
      </c>
      <c r="AC3883" t="s">
        <v>53</v>
      </c>
      <c r="AD3883" t="s">
        <v>53</v>
      </c>
      <c r="AK3883">
        <v>0</v>
      </c>
      <c r="AU3883" s="6">
        <v>42124</v>
      </c>
      <c r="AV3883" s="6">
        <v>42124</v>
      </c>
      <c r="AW3883" t="s">
        <v>54</v>
      </c>
      <c r="AX3883" t="str">
        <f t="shared" si="327"/>
        <v>FOR</v>
      </c>
      <c r="AY3883" t="s">
        <v>55</v>
      </c>
    </row>
    <row r="3884" spans="1:51" hidden="1">
      <c r="A3884">
        <v>101336</v>
      </c>
      <c r="B3884" t="s">
        <v>721</v>
      </c>
      <c r="C3884" t="str">
        <f t="shared" si="330"/>
        <v>05351490965</v>
      </c>
      <c r="D3884" t="str">
        <f t="shared" si="330"/>
        <v>05351490965</v>
      </c>
      <c r="E3884" t="s">
        <v>52</v>
      </c>
      <c r="F3884">
        <v>2014</v>
      </c>
      <c r="G3884">
        <v>7400009789</v>
      </c>
      <c r="H3884" s="1">
        <v>41851</v>
      </c>
      <c r="I3884" s="1">
        <v>41879</v>
      </c>
      <c r="J3884" s="1">
        <v>41879</v>
      </c>
      <c r="K3884" s="1">
        <v>41969</v>
      </c>
      <c r="N3884" s="5"/>
      <c r="O3884" s="2">
        <v>140537.34</v>
      </c>
      <c r="P3884">
        <v>155</v>
      </c>
      <c r="Q3884" s="2">
        <v>21783287.699999999</v>
      </c>
      <c r="R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 s="1">
        <v>42382</v>
      </c>
      <c r="AC3884" t="s">
        <v>53</v>
      </c>
      <c r="AD3884" t="s">
        <v>53</v>
      </c>
      <c r="AK3884">
        <v>0</v>
      </c>
      <c r="AU3884" s="6">
        <v>42124</v>
      </c>
      <c r="AV3884" s="6">
        <v>42124</v>
      </c>
      <c r="AW3884" t="s">
        <v>54</v>
      </c>
      <c r="AX3884" t="str">
        <f t="shared" si="327"/>
        <v>FOR</v>
      </c>
      <c r="AY3884" t="s">
        <v>55</v>
      </c>
    </row>
    <row r="3885" spans="1:51" hidden="1">
      <c r="A3885">
        <v>101336</v>
      </c>
      <c r="B3885" t="s">
        <v>721</v>
      </c>
      <c r="C3885" t="str">
        <f t="shared" si="330"/>
        <v>05351490965</v>
      </c>
      <c r="D3885" t="str">
        <f t="shared" si="330"/>
        <v>05351490965</v>
      </c>
      <c r="E3885" t="s">
        <v>52</v>
      </c>
      <c r="F3885">
        <v>2014</v>
      </c>
      <c r="G3885">
        <v>7400009790</v>
      </c>
      <c r="H3885" s="1">
        <v>41851</v>
      </c>
      <c r="I3885" s="1">
        <v>41879</v>
      </c>
      <c r="J3885" s="1">
        <v>41879</v>
      </c>
      <c r="K3885" s="1">
        <v>41969</v>
      </c>
      <c r="N3885" s="5"/>
      <c r="O3885" s="2">
        <v>5519.36</v>
      </c>
      <c r="P3885">
        <v>155</v>
      </c>
      <c r="Q3885" s="2">
        <v>855500.80000000005</v>
      </c>
      <c r="R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 s="1">
        <v>42382</v>
      </c>
      <c r="AC3885" t="s">
        <v>53</v>
      </c>
      <c r="AD3885" t="s">
        <v>53</v>
      </c>
      <c r="AK3885">
        <v>0</v>
      </c>
      <c r="AU3885" s="6">
        <v>42124</v>
      </c>
      <c r="AV3885" s="6">
        <v>42124</v>
      </c>
      <c r="AW3885" t="s">
        <v>54</v>
      </c>
      <c r="AX3885" t="str">
        <f t="shared" si="327"/>
        <v>FOR</v>
      </c>
      <c r="AY3885" t="s">
        <v>55</v>
      </c>
    </row>
    <row r="3886" spans="1:51" hidden="1">
      <c r="A3886">
        <v>101336</v>
      </c>
      <c r="B3886" t="s">
        <v>721</v>
      </c>
      <c r="C3886" t="str">
        <f t="shared" si="330"/>
        <v>05351490965</v>
      </c>
      <c r="D3886" t="str">
        <f t="shared" si="330"/>
        <v>05351490965</v>
      </c>
      <c r="E3886" t="s">
        <v>52</v>
      </c>
      <c r="F3886">
        <v>2014</v>
      </c>
      <c r="G3886">
        <v>7400011823</v>
      </c>
      <c r="H3886" s="1">
        <v>41882</v>
      </c>
      <c r="I3886" s="1">
        <v>41893</v>
      </c>
      <c r="J3886" s="1">
        <v>41893</v>
      </c>
      <c r="K3886" s="1">
        <v>41983</v>
      </c>
      <c r="N3886" s="5"/>
      <c r="O3886" s="2">
        <v>1069.99</v>
      </c>
      <c r="P3886">
        <v>173</v>
      </c>
      <c r="Q3886" s="2">
        <v>185108.27</v>
      </c>
      <c r="R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 s="1">
        <v>42382</v>
      </c>
      <c r="AC3886" t="s">
        <v>53</v>
      </c>
      <c r="AD3886" t="s">
        <v>53</v>
      </c>
      <c r="AK3886">
        <v>0</v>
      </c>
      <c r="AU3886" s="6">
        <v>42156</v>
      </c>
      <c r="AV3886" s="6">
        <v>42156</v>
      </c>
      <c r="AW3886" t="s">
        <v>54</v>
      </c>
      <c r="AX3886" t="str">
        <f t="shared" si="327"/>
        <v>FOR</v>
      </c>
      <c r="AY3886" t="s">
        <v>55</v>
      </c>
    </row>
    <row r="3887" spans="1:51" hidden="1">
      <c r="A3887">
        <v>101336</v>
      </c>
      <c r="B3887" t="s">
        <v>721</v>
      </c>
      <c r="C3887" t="str">
        <f t="shared" si="330"/>
        <v>05351490965</v>
      </c>
      <c r="D3887" t="str">
        <f t="shared" si="330"/>
        <v>05351490965</v>
      </c>
      <c r="E3887" t="s">
        <v>52</v>
      </c>
      <c r="F3887">
        <v>2014</v>
      </c>
      <c r="G3887">
        <v>7400011824</v>
      </c>
      <c r="H3887" s="1">
        <v>41882</v>
      </c>
      <c r="I3887" s="1">
        <v>41897</v>
      </c>
      <c r="J3887" s="1">
        <v>41897</v>
      </c>
      <c r="K3887" s="1">
        <v>41987</v>
      </c>
      <c r="N3887" s="5"/>
      <c r="O3887" s="2">
        <v>1952.74</v>
      </c>
      <c r="P3887">
        <v>169</v>
      </c>
      <c r="Q3887" s="2">
        <v>330013.06</v>
      </c>
      <c r="R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 s="1">
        <v>42382</v>
      </c>
      <c r="AC3887" t="s">
        <v>53</v>
      </c>
      <c r="AD3887" t="s">
        <v>53</v>
      </c>
      <c r="AK3887">
        <v>0</v>
      </c>
      <c r="AU3887" s="6">
        <v>42156</v>
      </c>
      <c r="AV3887" s="6">
        <v>42156</v>
      </c>
      <c r="AW3887" t="s">
        <v>54</v>
      </c>
      <c r="AX3887" t="str">
        <f t="shared" si="327"/>
        <v>FOR</v>
      </c>
      <c r="AY3887" t="s">
        <v>55</v>
      </c>
    </row>
    <row r="3888" spans="1:51" hidden="1">
      <c r="A3888">
        <v>101336</v>
      </c>
      <c r="B3888" t="s">
        <v>721</v>
      </c>
      <c r="C3888" t="str">
        <f t="shared" si="330"/>
        <v>05351490965</v>
      </c>
      <c r="D3888" t="str">
        <f t="shared" si="330"/>
        <v>05351490965</v>
      </c>
      <c r="E3888" t="s">
        <v>52</v>
      </c>
      <c r="F3888">
        <v>2014</v>
      </c>
      <c r="G3888">
        <v>7400011826</v>
      </c>
      <c r="H3888" s="1">
        <v>41882</v>
      </c>
      <c r="I3888" s="1">
        <v>41893</v>
      </c>
      <c r="J3888" s="1">
        <v>41893</v>
      </c>
      <c r="K3888" s="1">
        <v>41983</v>
      </c>
      <c r="N3888" s="5"/>
      <c r="O3888" s="2">
        <v>126054.68</v>
      </c>
      <c r="P3888">
        <v>173</v>
      </c>
      <c r="Q3888" s="2">
        <v>21807459.640000001</v>
      </c>
      <c r="R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 s="1">
        <v>42382</v>
      </c>
      <c r="AC3888" t="s">
        <v>53</v>
      </c>
      <c r="AD3888" t="s">
        <v>53</v>
      </c>
      <c r="AK3888">
        <v>0</v>
      </c>
      <c r="AU3888" s="6">
        <v>42156</v>
      </c>
      <c r="AV3888" s="6">
        <v>42156</v>
      </c>
      <c r="AW3888" t="s">
        <v>54</v>
      </c>
      <c r="AX3888" t="str">
        <f t="shared" si="327"/>
        <v>FOR</v>
      </c>
      <c r="AY3888" t="s">
        <v>55</v>
      </c>
    </row>
    <row r="3889" spans="1:51" hidden="1">
      <c r="A3889">
        <v>101336</v>
      </c>
      <c r="B3889" t="s">
        <v>721</v>
      </c>
      <c r="C3889" t="str">
        <f t="shared" si="330"/>
        <v>05351490965</v>
      </c>
      <c r="D3889" t="str">
        <f t="shared" si="330"/>
        <v>05351490965</v>
      </c>
      <c r="E3889" t="s">
        <v>52</v>
      </c>
      <c r="F3889">
        <v>2014</v>
      </c>
      <c r="G3889">
        <v>7400011834</v>
      </c>
      <c r="H3889" s="1">
        <v>41882</v>
      </c>
      <c r="I3889" s="1">
        <v>41893</v>
      </c>
      <c r="J3889" s="1">
        <v>41893</v>
      </c>
      <c r="K3889" s="1">
        <v>41983</v>
      </c>
      <c r="N3889" s="5"/>
      <c r="O3889" s="2">
        <v>4456.01</v>
      </c>
      <c r="P3889">
        <v>173</v>
      </c>
      <c r="Q3889" s="2">
        <v>770889.73</v>
      </c>
      <c r="R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 s="1">
        <v>42382</v>
      </c>
      <c r="AC3889" t="s">
        <v>53</v>
      </c>
      <c r="AD3889" t="s">
        <v>53</v>
      </c>
      <c r="AK3889">
        <v>0</v>
      </c>
      <c r="AU3889" s="6">
        <v>42156</v>
      </c>
      <c r="AV3889" s="6">
        <v>42156</v>
      </c>
      <c r="AW3889" t="s">
        <v>54</v>
      </c>
      <c r="AX3889" t="str">
        <f t="shared" si="327"/>
        <v>FOR</v>
      </c>
      <c r="AY3889" t="s">
        <v>55</v>
      </c>
    </row>
    <row r="3890" spans="1:51" hidden="1">
      <c r="A3890">
        <v>101336</v>
      </c>
      <c r="B3890" t="s">
        <v>721</v>
      </c>
      <c r="C3890" t="str">
        <f t="shared" ref="C3890:D3909" si="331">"05351490965"</f>
        <v>05351490965</v>
      </c>
      <c r="D3890" t="str">
        <f t="shared" si="331"/>
        <v>05351490965</v>
      </c>
      <c r="E3890" t="s">
        <v>52</v>
      </c>
      <c r="F3890">
        <v>2014</v>
      </c>
      <c r="G3890">
        <v>7400013721</v>
      </c>
      <c r="H3890" s="1">
        <v>41912</v>
      </c>
      <c r="I3890" s="1">
        <v>41932</v>
      </c>
      <c r="J3890" s="1">
        <v>41932</v>
      </c>
      <c r="K3890" s="1">
        <v>41987</v>
      </c>
      <c r="N3890" s="5"/>
      <c r="O3890" s="2">
        <v>1006.47</v>
      </c>
      <c r="P3890">
        <v>199</v>
      </c>
      <c r="Q3890" s="2">
        <v>200287.53</v>
      </c>
      <c r="R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 s="1">
        <v>42382</v>
      </c>
      <c r="AC3890" t="s">
        <v>53</v>
      </c>
      <c r="AD3890" t="s">
        <v>53</v>
      </c>
      <c r="AK3890">
        <v>0</v>
      </c>
      <c r="AU3890" s="6">
        <v>42186</v>
      </c>
      <c r="AV3890" s="6">
        <v>42186</v>
      </c>
      <c r="AW3890" t="s">
        <v>54</v>
      </c>
      <c r="AX3890" t="str">
        <f t="shared" si="327"/>
        <v>FOR</v>
      </c>
      <c r="AY3890" t="s">
        <v>55</v>
      </c>
    </row>
    <row r="3891" spans="1:51" hidden="1">
      <c r="A3891">
        <v>101336</v>
      </c>
      <c r="B3891" t="s">
        <v>721</v>
      </c>
      <c r="C3891" t="str">
        <f t="shared" si="331"/>
        <v>05351490965</v>
      </c>
      <c r="D3891" t="str">
        <f t="shared" si="331"/>
        <v>05351490965</v>
      </c>
      <c r="E3891" t="s">
        <v>52</v>
      </c>
      <c r="F3891">
        <v>2014</v>
      </c>
      <c r="G3891">
        <v>7400013722</v>
      </c>
      <c r="H3891" s="1">
        <v>41912</v>
      </c>
      <c r="I3891" s="1">
        <v>41932</v>
      </c>
      <c r="J3891" s="1">
        <v>41932</v>
      </c>
      <c r="K3891" s="1">
        <v>41992</v>
      </c>
      <c r="N3891" s="5"/>
      <c r="O3891" s="2">
        <v>3067.52</v>
      </c>
      <c r="P3891">
        <v>194</v>
      </c>
      <c r="Q3891" s="2">
        <v>595098.88</v>
      </c>
      <c r="R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 s="1">
        <v>42382</v>
      </c>
      <c r="AC3891" t="s">
        <v>53</v>
      </c>
      <c r="AD3891" t="s">
        <v>53</v>
      </c>
      <c r="AK3891">
        <v>0</v>
      </c>
      <c r="AU3891" s="6">
        <v>42186</v>
      </c>
      <c r="AV3891" s="6">
        <v>42186</v>
      </c>
      <c r="AW3891" t="s">
        <v>54</v>
      </c>
      <c r="AX3891" t="str">
        <f t="shared" si="327"/>
        <v>FOR</v>
      </c>
      <c r="AY3891" t="s">
        <v>55</v>
      </c>
    </row>
    <row r="3892" spans="1:51" hidden="1">
      <c r="A3892">
        <v>101336</v>
      </c>
      <c r="B3892" t="s">
        <v>721</v>
      </c>
      <c r="C3892" t="str">
        <f t="shared" si="331"/>
        <v>05351490965</v>
      </c>
      <c r="D3892" t="str">
        <f t="shared" si="331"/>
        <v>05351490965</v>
      </c>
      <c r="E3892" t="s">
        <v>52</v>
      </c>
      <c r="F3892">
        <v>2014</v>
      </c>
      <c r="G3892">
        <v>7400013723</v>
      </c>
      <c r="H3892" s="1">
        <v>41912</v>
      </c>
      <c r="I3892" s="1">
        <v>41932</v>
      </c>
      <c r="J3892" s="1">
        <v>41932</v>
      </c>
      <c r="K3892" s="1">
        <v>41992</v>
      </c>
      <c r="N3892" s="5"/>
      <c r="O3892" s="2">
        <v>138060.78</v>
      </c>
      <c r="P3892">
        <v>194</v>
      </c>
      <c r="Q3892" s="2">
        <v>26783791.32</v>
      </c>
      <c r="R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 s="1">
        <v>42382</v>
      </c>
      <c r="AC3892" t="s">
        <v>53</v>
      </c>
      <c r="AD3892" t="s">
        <v>53</v>
      </c>
      <c r="AK3892">
        <v>0</v>
      </c>
      <c r="AU3892" s="6">
        <v>42186</v>
      </c>
      <c r="AV3892" s="6">
        <v>42186</v>
      </c>
      <c r="AW3892" t="s">
        <v>54</v>
      </c>
      <c r="AX3892" t="str">
        <f t="shared" si="327"/>
        <v>FOR</v>
      </c>
      <c r="AY3892" t="s">
        <v>55</v>
      </c>
    </row>
    <row r="3893" spans="1:51" hidden="1">
      <c r="A3893">
        <v>101336</v>
      </c>
      <c r="B3893" t="s">
        <v>721</v>
      </c>
      <c r="C3893" t="str">
        <f t="shared" si="331"/>
        <v>05351490965</v>
      </c>
      <c r="D3893" t="str">
        <f t="shared" si="331"/>
        <v>05351490965</v>
      </c>
      <c r="E3893" t="s">
        <v>52</v>
      </c>
      <c r="F3893">
        <v>2014</v>
      </c>
      <c r="G3893">
        <v>7400013725</v>
      </c>
      <c r="H3893" s="1">
        <v>41912</v>
      </c>
      <c r="I3893" s="1">
        <v>41932</v>
      </c>
      <c r="J3893" s="1">
        <v>41932</v>
      </c>
      <c r="K3893" s="1">
        <v>41992</v>
      </c>
      <c r="N3893" s="5"/>
      <c r="O3893" s="2">
        <v>5486.01</v>
      </c>
      <c r="P3893">
        <v>194</v>
      </c>
      <c r="Q3893" s="2">
        <v>1064285.94</v>
      </c>
      <c r="R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 s="1">
        <v>42382</v>
      </c>
      <c r="AC3893" t="s">
        <v>53</v>
      </c>
      <c r="AD3893" t="s">
        <v>53</v>
      </c>
      <c r="AK3893">
        <v>0</v>
      </c>
      <c r="AU3893" s="6">
        <v>42186</v>
      </c>
      <c r="AV3893" s="6">
        <v>42186</v>
      </c>
      <c r="AW3893" t="s">
        <v>54</v>
      </c>
      <c r="AX3893" t="str">
        <f t="shared" si="327"/>
        <v>FOR</v>
      </c>
      <c r="AY3893" t="s">
        <v>55</v>
      </c>
    </row>
    <row r="3894" spans="1:51" hidden="1">
      <c r="A3894">
        <v>101336</v>
      </c>
      <c r="B3894" t="s">
        <v>721</v>
      </c>
      <c r="C3894" t="str">
        <f t="shared" si="331"/>
        <v>05351490965</v>
      </c>
      <c r="D3894" t="str">
        <f t="shared" si="331"/>
        <v>05351490965</v>
      </c>
      <c r="E3894" t="s">
        <v>52</v>
      </c>
      <c r="F3894">
        <v>2014</v>
      </c>
      <c r="G3894">
        <v>7400016952</v>
      </c>
      <c r="H3894" s="1">
        <v>41943</v>
      </c>
      <c r="I3894" s="1">
        <v>41962</v>
      </c>
      <c r="J3894" s="1">
        <v>41962</v>
      </c>
      <c r="K3894" s="1">
        <v>42022</v>
      </c>
      <c r="N3894" s="5"/>
      <c r="O3894" s="2">
        <v>5738.85</v>
      </c>
      <c r="P3894">
        <v>190</v>
      </c>
      <c r="Q3894" s="2">
        <v>1090381.5</v>
      </c>
      <c r="R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 s="1">
        <v>42382</v>
      </c>
      <c r="AC3894" t="s">
        <v>53</v>
      </c>
      <c r="AD3894" t="s">
        <v>53</v>
      </c>
      <c r="AK3894">
        <v>0</v>
      </c>
      <c r="AU3894" s="6">
        <v>42212</v>
      </c>
      <c r="AV3894" s="6">
        <v>42212</v>
      </c>
      <c r="AW3894" t="s">
        <v>54</v>
      </c>
      <c r="AX3894" t="str">
        <f t="shared" si="327"/>
        <v>FOR</v>
      </c>
      <c r="AY3894" t="s">
        <v>55</v>
      </c>
    </row>
    <row r="3895" spans="1:51" hidden="1">
      <c r="A3895">
        <v>101336</v>
      </c>
      <c r="B3895" t="s">
        <v>721</v>
      </c>
      <c r="C3895" t="str">
        <f t="shared" si="331"/>
        <v>05351490965</v>
      </c>
      <c r="D3895" t="str">
        <f t="shared" si="331"/>
        <v>05351490965</v>
      </c>
      <c r="E3895" t="s">
        <v>52</v>
      </c>
      <c r="F3895">
        <v>2014</v>
      </c>
      <c r="G3895">
        <v>7400016989</v>
      </c>
      <c r="H3895" s="1">
        <v>41943</v>
      </c>
      <c r="I3895" s="1">
        <v>41962</v>
      </c>
      <c r="J3895" s="1">
        <v>41962</v>
      </c>
      <c r="K3895" s="1">
        <v>42022</v>
      </c>
      <c r="N3895" s="5"/>
      <c r="O3895" s="2">
        <v>144801.75</v>
      </c>
      <c r="P3895">
        <v>190</v>
      </c>
      <c r="Q3895" s="2">
        <v>27512332.5</v>
      </c>
      <c r="R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 s="1">
        <v>42382</v>
      </c>
      <c r="AC3895" t="s">
        <v>53</v>
      </c>
      <c r="AD3895" t="s">
        <v>53</v>
      </c>
      <c r="AK3895">
        <v>0</v>
      </c>
      <c r="AU3895" s="6">
        <v>42212</v>
      </c>
      <c r="AV3895" s="6">
        <v>42212</v>
      </c>
      <c r="AW3895" t="s">
        <v>54</v>
      </c>
      <c r="AX3895" t="str">
        <f t="shared" si="327"/>
        <v>FOR</v>
      </c>
      <c r="AY3895" t="s">
        <v>55</v>
      </c>
    </row>
    <row r="3896" spans="1:51" hidden="1">
      <c r="A3896">
        <v>101336</v>
      </c>
      <c r="B3896" t="s">
        <v>721</v>
      </c>
      <c r="C3896" t="str">
        <f t="shared" si="331"/>
        <v>05351490965</v>
      </c>
      <c r="D3896" t="str">
        <f t="shared" si="331"/>
        <v>05351490965</v>
      </c>
      <c r="E3896" t="s">
        <v>52</v>
      </c>
      <c r="F3896">
        <v>2014</v>
      </c>
      <c r="G3896">
        <v>7400016990</v>
      </c>
      <c r="H3896" s="1">
        <v>41943</v>
      </c>
      <c r="I3896" s="1">
        <v>41962</v>
      </c>
      <c r="J3896" s="1">
        <v>41962</v>
      </c>
      <c r="K3896" s="1">
        <v>42022</v>
      </c>
      <c r="N3896" s="5"/>
      <c r="O3896" s="2">
        <v>3456.58</v>
      </c>
      <c r="P3896">
        <v>190</v>
      </c>
      <c r="Q3896" s="2">
        <v>656750.19999999995</v>
      </c>
      <c r="R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 s="1">
        <v>42382</v>
      </c>
      <c r="AC3896" t="s">
        <v>53</v>
      </c>
      <c r="AD3896" t="s">
        <v>53</v>
      </c>
      <c r="AK3896">
        <v>0</v>
      </c>
      <c r="AU3896" s="6">
        <v>42212</v>
      </c>
      <c r="AV3896" s="6">
        <v>42212</v>
      </c>
      <c r="AW3896" t="s">
        <v>54</v>
      </c>
      <c r="AX3896" t="str">
        <f t="shared" si="327"/>
        <v>FOR</v>
      </c>
      <c r="AY3896" t="s">
        <v>55</v>
      </c>
    </row>
    <row r="3897" spans="1:51" hidden="1">
      <c r="A3897">
        <v>101336</v>
      </c>
      <c r="B3897" t="s">
        <v>721</v>
      </c>
      <c r="C3897" t="str">
        <f t="shared" si="331"/>
        <v>05351490965</v>
      </c>
      <c r="D3897" t="str">
        <f t="shared" si="331"/>
        <v>05351490965</v>
      </c>
      <c r="E3897" t="s">
        <v>52</v>
      </c>
      <c r="F3897">
        <v>2014</v>
      </c>
      <c r="G3897">
        <v>7400016992</v>
      </c>
      <c r="H3897" s="1">
        <v>41943</v>
      </c>
      <c r="I3897" s="1">
        <v>41962</v>
      </c>
      <c r="J3897" s="1">
        <v>41962</v>
      </c>
      <c r="K3897" s="1">
        <v>42022</v>
      </c>
      <c r="N3897" s="5"/>
      <c r="O3897" s="2">
        <v>1068.95</v>
      </c>
      <c r="P3897">
        <v>190</v>
      </c>
      <c r="Q3897" s="2">
        <v>203100.5</v>
      </c>
      <c r="R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 s="1">
        <v>42382</v>
      </c>
      <c r="AC3897" t="s">
        <v>53</v>
      </c>
      <c r="AD3897" t="s">
        <v>53</v>
      </c>
      <c r="AK3897">
        <v>0</v>
      </c>
      <c r="AU3897" s="6">
        <v>42212</v>
      </c>
      <c r="AV3897" s="6">
        <v>42212</v>
      </c>
      <c r="AW3897" t="s">
        <v>54</v>
      </c>
      <c r="AX3897" t="str">
        <f t="shared" si="327"/>
        <v>FOR</v>
      </c>
      <c r="AY3897" t="s">
        <v>55</v>
      </c>
    </row>
    <row r="3898" spans="1:51" hidden="1">
      <c r="A3898">
        <v>101336</v>
      </c>
      <c r="B3898" t="s">
        <v>721</v>
      </c>
      <c r="C3898" t="str">
        <f t="shared" si="331"/>
        <v>05351490965</v>
      </c>
      <c r="D3898" t="str">
        <f t="shared" si="331"/>
        <v>05351490965</v>
      </c>
      <c r="E3898" t="s">
        <v>52</v>
      </c>
      <c r="F3898">
        <v>2014</v>
      </c>
      <c r="G3898">
        <v>7400019734</v>
      </c>
      <c r="H3898" s="1">
        <v>41973</v>
      </c>
      <c r="I3898" s="1">
        <v>42002</v>
      </c>
      <c r="J3898" s="1">
        <v>42002</v>
      </c>
      <c r="K3898" s="1">
        <v>42062</v>
      </c>
      <c r="N3898" s="5"/>
      <c r="O3898" s="2">
        <v>5563.05</v>
      </c>
      <c r="P3898">
        <v>188</v>
      </c>
      <c r="Q3898" s="2">
        <v>1045853.4</v>
      </c>
      <c r="R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 s="1">
        <v>42382</v>
      </c>
      <c r="AC3898" t="s">
        <v>53</v>
      </c>
      <c r="AD3898" t="s">
        <v>53</v>
      </c>
      <c r="AK3898">
        <v>0</v>
      </c>
      <c r="AU3898" s="6">
        <v>42250</v>
      </c>
      <c r="AV3898" s="6">
        <v>42250</v>
      </c>
      <c r="AW3898" t="s">
        <v>54</v>
      </c>
      <c r="AX3898" t="str">
        <f t="shared" si="327"/>
        <v>FOR</v>
      </c>
      <c r="AY3898" t="s">
        <v>55</v>
      </c>
    </row>
    <row r="3899" spans="1:51" hidden="1">
      <c r="A3899">
        <v>101336</v>
      </c>
      <c r="B3899" t="s">
        <v>721</v>
      </c>
      <c r="C3899" t="str">
        <f t="shared" si="331"/>
        <v>05351490965</v>
      </c>
      <c r="D3899" t="str">
        <f t="shared" si="331"/>
        <v>05351490965</v>
      </c>
      <c r="E3899" t="s">
        <v>52</v>
      </c>
      <c r="F3899">
        <v>2014</v>
      </c>
      <c r="G3899">
        <v>7400019735</v>
      </c>
      <c r="H3899" s="1">
        <v>41973</v>
      </c>
      <c r="I3899" s="1">
        <v>42002</v>
      </c>
      <c r="J3899" s="1">
        <v>42002</v>
      </c>
      <c r="K3899" s="1">
        <v>42062</v>
      </c>
      <c r="N3899" s="5"/>
      <c r="O3899" s="2">
        <v>140689.79</v>
      </c>
      <c r="P3899">
        <v>188</v>
      </c>
      <c r="Q3899" s="2">
        <v>26449680.52</v>
      </c>
      <c r="R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 s="1">
        <v>42382</v>
      </c>
      <c r="AC3899" t="s">
        <v>53</v>
      </c>
      <c r="AD3899" t="s">
        <v>53</v>
      </c>
      <c r="AK3899">
        <v>0</v>
      </c>
      <c r="AU3899" s="6">
        <v>42250</v>
      </c>
      <c r="AV3899" s="6">
        <v>42250</v>
      </c>
      <c r="AW3899" t="s">
        <v>54</v>
      </c>
      <c r="AX3899" t="str">
        <f t="shared" si="327"/>
        <v>FOR</v>
      </c>
      <c r="AY3899" t="s">
        <v>55</v>
      </c>
    </row>
    <row r="3900" spans="1:51" hidden="1">
      <c r="A3900">
        <v>101336</v>
      </c>
      <c r="B3900" t="s">
        <v>721</v>
      </c>
      <c r="C3900" t="str">
        <f t="shared" si="331"/>
        <v>05351490965</v>
      </c>
      <c r="D3900" t="str">
        <f t="shared" si="331"/>
        <v>05351490965</v>
      </c>
      <c r="E3900" t="s">
        <v>52</v>
      </c>
      <c r="F3900">
        <v>2014</v>
      </c>
      <c r="G3900">
        <v>7400019736</v>
      </c>
      <c r="H3900" s="1">
        <v>41973</v>
      </c>
      <c r="I3900" s="1">
        <v>42002</v>
      </c>
      <c r="J3900" s="1">
        <v>42002</v>
      </c>
      <c r="K3900" s="1">
        <v>42062</v>
      </c>
      <c r="N3900" s="5"/>
      <c r="O3900" s="2">
        <v>2940.33</v>
      </c>
      <c r="P3900">
        <v>188</v>
      </c>
      <c r="Q3900" s="2">
        <v>552782.04</v>
      </c>
      <c r="R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 s="1">
        <v>42382</v>
      </c>
      <c r="AC3900" t="s">
        <v>53</v>
      </c>
      <c r="AD3900" t="s">
        <v>53</v>
      </c>
      <c r="AK3900">
        <v>0</v>
      </c>
      <c r="AU3900" s="6">
        <v>42250</v>
      </c>
      <c r="AV3900" s="6">
        <v>42250</v>
      </c>
      <c r="AW3900" t="s">
        <v>54</v>
      </c>
      <c r="AX3900" t="str">
        <f t="shared" si="327"/>
        <v>FOR</v>
      </c>
      <c r="AY3900" t="s">
        <v>55</v>
      </c>
    </row>
    <row r="3901" spans="1:51" hidden="1">
      <c r="A3901">
        <v>101336</v>
      </c>
      <c r="B3901" t="s">
        <v>721</v>
      </c>
      <c r="C3901" t="str">
        <f t="shared" si="331"/>
        <v>05351490965</v>
      </c>
      <c r="D3901" t="str">
        <f t="shared" si="331"/>
        <v>05351490965</v>
      </c>
      <c r="E3901" t="s">
        <v>52</v>
      </c>
      <c r="F3901">
        <v>2014</v>
      </c>
      <c r="G3901">
        <v>7400019737</v>
      </c>
      <c r="H3901" s="1">
        <v>41973</v>
      </c>
      <c r="I3901" s="1">
        <v>42002</v>
      </c>
      <c r="J3901" s="1">
        <v>42002</v>
      </c>
      <c r="K3901" s="1">
        <v>42062</v>
      </c>
      <c r="N3901" s="5"/>
      <c r="O3901" s="2">
        <v>1036.7</v>
      </c>
      <c r="P3901">
        <v>188</v>
      </c>
      <c r="Q3901" s="2">
        <v>194899.6</v>
      </c>
      <c r="R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 s="1">
        <v>42382</v>
      </c>
      <c r="AC3901" t="s">
        <v>53</v>
      </c>
      <c r="AD3901" t="s">
        <v>53</v>
      </c>
      <c r="AK3901">
        <v>0</v>
      </c>
      <c r="AU3901" s="6">
        <v>42250</v>
      </c>
      <c r="AV3901" s="6">
        <v>42250</v>
      </c>
      <c r="AW3901" t="s">
        <v>54</v>
      </c>
      <c r="AX3901" t="str">
        <f t="shared" si="327"/>
        <v>FOR</v>
      </c>
      <c r="AY3901" t="s">
        <v>55</v>
      </c>
    </row>
    <row r="3902" spans="1:51" hidden="1">
      <c r="A3902">
        <v>101336</v>
      </c>
      <c r="B3902" t="s">
        <v>721</v>
      </c>
      <c r="C3902" t="str">
        <f t="shared" si="331"/>
        <v>05351490965</v>
      </c>
      <c r="D3902" t="str">
        <f t="shared" si="331"/>
        <v>05351490965</v>
      </c>
      <c r="E3902" t="s">
        <v>52</v>
      </c>
      <c r="F3902">
        <v>2014</v>
      </c>
      <c r="G3902">
        <v>7400022477</v>
      </c>
      <c r="H3902" s="1">
        <v>42004</v>
      </c>
      <c r="I3902" s="1">
        <v>42024</v>
      </c>
      <c r="J3902" s="1">
        <v>42024</v>
      </c>
      <c r="K3902" s="1">
        <v>42084</v>
      </c>
      <c r="N3902" s="5"/>
      <c r="O3902" s="2">
        <v>2498.91</v>
      </c>
      <c r="P3902">
        <v>166</v>
      </c>
      <c r="Q3902" s="2">
        <v>414819.06</v>
      </c>
      <c r="R3902">
        <v>0</v>
      </c>
      <c r="V3902">
        <v>0</v>
      </c>
      <c r="W3902">
        <v>0</v>
      </c>
      <c r="X3902">
        <v>0</v>
      </c>
      <c r="Y3902">
        <v>0</v>
      </c>
      <c r="Z3902" s="2">
        <v>2498.91</v>
      </c>
      <c r="AA3902">
        <v>0</v>
      </c>
      <c r="AB3902" s="1">
        <v>42382</v>
      </c>
      <c r="AC3902" t="s">
        <v>53</v>
      </c>
      <c r="AD3902" t="s">
        <v>53</v>
      </c>
      <c r="AK3902">
        <v>0</v>
      </c>
      <c r="AU3902" s="6">
        <v>42250</v>
      </c>
      <c r="AV3902" s="6">
        <v>42250</v>
      </c>
      <c r="AW3902" t="s">
        <v>54</v>
      </c>
      <c r="AX3902" t="str">
        <f t="shared" si="327"/>
        <v>FOR</v>
      </c>
      <c r="AY3902" t="s">
        <v>55</v>
      </c>
    </row>
    <row r="3903" spans="1:51" hidden="1">
      <c r="A3903">
        <v>101336</v>
      </c>
      <c r="B3903" t="s">
        <v>721</v>
      </c>
      <c r="C3903" t="str">
        <f t="shared" si="331"/>
        <v>05351490965</v>
      </c>
      <c r="D3903" t="str">
        <f t="shared" si="331"/>
        <v>05351490965</v>
      </c>
      <c r="E3903" t="s">
        <v>52</v>
      </c>
      <c r="F3903">
        <v>2014</v>
      </c>
      <c r="G3903">
        <v>7400022480</v>
      </c>
      <c r="H3903" s="1">
        <v>42004</v>
      </c>
      <c r="I3903" s="1">
        <v>42024</v>
      </c>
      <c r="J3903" s="1">
        <v>42024</v>
      </c>
      <c r="K3903" s="1">
        <v>42084</v>
      </c>
      <c r="N3903" s="5"/>
      <c r="O3903">
        <v>956.03</v>
      </c>
      <c r="P3903">
        <v>166</v>
      </c>
      <c r="Q3903" s="2">
        <v>158700.98000000001</v>
      </c>
      <c r="R3903">
        <v>0</v>
      </c>
      <c r="V3903">
        <v>0</v>
      </c>
      <c r="W3903">
        <v>0</v>
      </c>
      <c r="X3903">
        <v>0</v>
      </c>
      <c r="Y3903">
        <v>0</v>
      </c>
      <c r="Z3903">
        <v>956.03</v>
      </c>
      <c r="AA3903">
        <v>0</v>
      </c>
      <c r="AB3903" s="1">
        <v>42382</v>
      </c>
      <c r="AC3903" t="s">
        <v>53</v>
      </c>
      <c r="AD3903" t="s">
        <v>53</v>
      </c>
      <c r="AK3903">
        <v>0</v>
      </c>
      <c r="AU3903" s="6">
        <v>42250</v>
      </c>
      <c r="AV3903" s="6">
        <v>42250</v>
      </c>
      <c r="AW3903" t="s">
        <v>54</v>
      </c>
      <c r="AX3903" t="str">
        <f t="shared" si="327"/>
        <v>FOR</v>
      </c>
      <c r="AY3903" t="s">
        <v>55</v>
      </c>
    </row>
    <row r="3904" spans="1:51" hidden="1">
      <c r="A3904">
        <v>101336</v>
      </c>
      <c r="B3904" t="s">
        <v>721</v>
      </c>
      <c r="C3904" t="str">
        <f t="shared" si="331"/>
        <v>05351490965</v>
      </c>
      <c r="D3904" t="str">
        <f t="shared" si="331"/>
        <v>05351490965</v>
      </c>
      <c r="E3904" t="s">
        <v>52</v>
      </c>
      <c r="F3904">
        <v>2014</v>
      </c>
      <c r="G3904">
        <v>7400022481</v>
      </c>
      <c r="H3904" s="1">
        <v>42004</v>
      </c>
      <c r="I3904" s="1">
        <v>42024</v>
      </c>
      <c r="J3904" s="1">
        <v>42024</v>
      </c>
      <c r="K3904" s="1">
        <v>42084</v>
      </c>
      <c r="N3904" s="5"/>
      <c r="O3904" s="2">
        <v>5001.62</v>
      </c>
      <c r="P3904">
        <v>166</v>
      </c>
      <c r="Q3904" s="2">
        <v>830268.92</v>
      </c>
      <c r="R3904">
        <v>0</v>
      </c>
      <c r="V3904">
        <v>0</v>
      </c>
      <c r="W3904">
        <v>0</v>
      </c>
      <c r="X3904">
        <v>0</v>
      </c>
      <c r="Y3904">
        <v>0</v>
      </c>
      <c r="Z3904" s="2">
        <v>5001.62</v>
      </c>
      <c r="AA3904">
        <v>0</v>
      </c>
      <c r="AB3904" s="1">
        <v>42382</v>
      </c>
      <c r="AC3904" t="s">
        <v>53</v>
      </c>
      <c r="AD3904" t="s">
        <v>53</v>
      </c>
      <c r="AK3904">
        <v>0</v>
      </c>
      <c r="AU3904" s="6">
        <v>42250</v>
      </c>
      <c r="AV3904" s="6">
        <v>42250</v>
      </c>
      <c r="AW3904" t="s">
        <v>54</v>
      </c>
      <c r="AX3904" t="str">
        <f t="shared" si="327"/>
        <v>FOR</v>
      </c>
      <c r="AY3904" t="s">
        <v>55</v>
      </c>
    </row>
    <row r="3905" spans="1:51" hidden="1">
      <c r="A3905">
        <v>101336</v>
      </c>
      <c r="B3905" t="s">
        <v>721</v>
      </c>
      <c r="C3905" t="str">
        <f t="shared" si="331"/>
        <v>05351490965</v>
      </c>
      <c r="D3905" t="str">
        <f t="shared" si="331"/>
        <v>05351490965</v>
      </c>
      <c r="E3905" t="s">
        <v>52</v>
      </c>
      <c r="F3905">
        <v>2014</v>
      </c>
      <c r="G3905">
        <v>7400022482</v>
      </c>
      <c r="H3905" s="1">
        <v>42004</v>
      </c>
      <c r="I3905" s="1">
        <v>42024</v>
      </c>
      <c r="J3905" s="1">
        <v>42024</v>
      </c>
      <c r="K3905" s="1">
        <v>42084</v>
      </c>
      <c r="N3905" s="5"/>
      <c r="O3905" s="2">
        <v>131446.29999999999</v>
      </c>
      <c r="P3905">
        <v>166</v>
      </c>
      <c r="Q3905" s="2">
        <v>21820085.800000001</v>
      </c>
      <c r="R3905">
        <v>0</v>
      </c>
      <c r="V3905">
        <v>0</v>
      </c>
      <c r="W3905">
        <v>0</v>
      </c>
      <c r="X3905">
        <v>0</v>
      </c>
      <c r="Y3905">
        <v>0</v>
      </c>
      <c r="Z3905" s="2">
        <v>131446.29999999999</v>
      </c>
      <c r="AA3905">
        <v>0</v>
      </c>
      <c r="AB3905" s="1">
        <v>42382</v>
      </c>
      <c r="AC3905" t="s">
        <v>53</v>
      </c>
      <c r="AD3905" t="s">
        <v>53</v>
      </c>
      <c r="AK3905">
        <v>0</v>
      </c>
      <c r="AU3905" s="6">
        <v>42250</v>
      </c>
      <c r="AV3905" s="6">
        <v>42250</v>
      </c>
      <c r="AW3905" t="s">
        <v>54</v>
      </c>
      <c r="AX3905" t="str">
        <f t="shared" si="327"/>
        <v>FOR</v>
      </c>
      <c r="AY3905" t="s">
        <v>55</v>
      </c>
    </row>
    <row r="3906" spans="1:51" hidden="1">
      <c r="A3906">
        <v>101336</v>
      </c>
      <c r="B3906" t="s">
        <v>721</v>
      </c>
      <c r="C3906" t="str">
        <f t="shared" si="331"/>
        <v>05351490965</v>
      </c>
      <c r="D3906" t="str">
        <f t="shared" si="331"/>
        <v>05351490965</v>
      </c>
      <c r="E3906" t="s">
        <v>52</v>
      </c>
      <c r="F3906">
        <v>2015</v>
      </c>
      <c r="G3906">
        <v>7680000900</v>
      </c>
      <c r="H3906" s="1">
        <v>42094</v>
      </c>
      <c r="I3906" s="1">
        <v>42129</v>
      </c>
      <c r="J3906" s="1">
        <v>42128</v>
      </c>
      <c r="K3906" s="1">
        <v>42188</v>
      </c>
      <c r="N3906" s="5"/>
      <c r="O3906">
        <v>914.28</v>
      </c>
      <c r="P3906">
        <v>88</v>
      </c>
      <c r="Q3906" s="2">
        <v>80456.639999999999</v>
      </c>
      <c r="R3906">
        <v>0</v>
      </c>
      <c r="V3906">
        <v>0</v>
      </c>
      <c r="W3906">
        <v>0</v>
      </c>
      <c r="X3906">
        <v>0</v>
      </c>
      <c r="Y3906">
        <v>914.28</v>
      </c>
      <c r="Z3906">
        <v>914.28</v>
      </c>
      <c r="AA3906">
        <v>914.28</v>
      </c>
      <c r="AB3906" s="1">
        <v>42382</v>
      </c>
      <c r="AC3906" t="s">
        <v>53</v>
      </c>
      <c r="AD3906" t="s">
        <v>53</v>
      </c>
      <c r="AK3906">
        <v>0</v>
      </c>
      <c r="AU3906" s="6">
        <v>42276</v>
      </c>
      <c r="AV3906" s="6">
        <v>42276</v>
      </c>
      <c r="AW3906" t="s">
        <v>54</v>
      </c>
      <c r="AX3906" t="str">
        <f t="shared" si="327"/>
        <v>FOR</v>
      </c>
      <c r="AY3906" t="s">
        <v>55</v>
      </c>
    </row>
    <row r="3907" spans="1:51" hidden="1">
      <c r="A3907">
        <v>101336</v>
      </c>
      <c r="B3907" t="s">
        <v>721</v>
      </c>
      <c r="C3907" t="str">
        <f t="shared" si="331"/>
        <v>05351490965</v>
      </c>
      <c r="D3907" t="str">
        <f t="shared" si="331"/>
        <v>05351490965</v>
      </c>
      <c r="E3907" t="s">
        <v>52</v>
      </c>
      <c r="F3907">
        <v>2015</v>
      </c>
      <c r="G3907">
        <v>7680000902</v>
      </c>
      <c r="H3907" s="1">
        <v>42094</v>
      </c>
      <c r="I3907" s="1">
        <v>42129</v>
      </c>
      <c r="J3907" s="1">
        <v>42128</v>
      </c>
      <c r="K3907" s="1">
        <v>42188</v>
      </c>
      <c r="N3907" s="5"/>
      <c r="O3907" s="2">
        <v>3319.19</v>
      </c>
      <c r="P3907">
        <v>88</v>
      </c>
      <c r="Q3907" s="2">
        <v>292088.71999999997</v>
      </c>
      <c r="R3907">
        <v>0</v>
      </c>
      <c r="V3907">
        <v>0</v>
      </c>
      <c r="W3907">
        <v>0</v>
      </c>
      <c r="X3907">
        <v>0</v>
      </c>
      <c r="Y3907" s="2">
        <v>3451.96</v>
      </c>
      <c r="Z3907" s="2">
        <v>3451.96</v>
      </c>
      <c r="AA3907" s="2">
        <v>3451.96</v>
      </c>
      <c r="AB3907" s="1">
        <v>42382</v>
      </c>
      <c r="AC3907" t="s">
        <v>53</v>
      </c>
      <c r="AD3907" t="s">
        <v>53</v>
      </c>
      <c r="AK3907">
        <v>0</v>
      </c>
      <c r="AU3907" s="6">
        <v>42276</v>
      </c>
      <c r="AV3907" s="6">
        <v>42276</v>
      </c>
      <c r="AW3907" t="s">
        <v>54</v>
      </c>
      <c r="AX3907" t="str">
        <f t="shared" ref="AX3907:AX3970" si="332">"FOR"</f>
        <v>FOR</v>
      </c>
      <c r="AY3907" t="s">
        <v>55</v>
      </c>
    </row>
    <row r="3908" spans="1:51" hidden="1">
      <c r="A3908">
        <v>101336</v>
      </c>
      <c r="B3908" t="s">
        <v>721</v>
      </c>
      <c r="C3908" t="str">
        <f t="shared" si="331"/>
        <v>05351490965</v>
      </c>
      <c r="D3908" t="str">
        <f t="shared" si="331"/>
        <v>05351490965</v>
      </c>
      <c r="E3908" t="s">
        <v>52</v>
      </c>
      <c r="F3908">
        <v>2015</v>
      </c>
      <c r="G3908">
        <v>7680000903</v>
      </c>
      <c r="H3908" s="1">
        <v>42094</v>
      </c>
      <c r="I3908" s="1">
        <v>42129</v>
      </c>
      <c r="J3908" s="1">
        <v>42128</v>
      </c>
      <c r="K3908" s="1">
        <v>42188</v>
      </c>
      <c r="N3908" s="5"/>
      <c r="O3908" s="2">
        <v>133574.24</v>
      </c>
      <c r="P3908">
        <v>88</v>
      </c>
      <c r="Q3908" s="2">
        <v>11754533.119999999</v>
      </c>
      <c r="R3908">
        <v>0</v>
      </c>
      <c r="V3908">
        <v>0</v>
      </c>
      <c r="W3908">
        <v>0</v>
      </c>
      <c r="X3908">
        <v>0</v>
      </c>
      <c r="Y3908" s="2">
        <v>133574.24</v>
      </c>
      <c r="Z3908" s="2">
        <v>133574.24</v>
      </c>
      <c r="AA3908" s="2">
        <v>133574.24</v>
      </c>
      <c r="AB3908" s="1">
        <v>42382</v>
      </c>
      <c r="AC3908" t="s">
        <v>53</v>
      </c>
      <c r="AD3908" t="s">
        <v>53</v>
      </c>
      <c r="AK3908">
        <v>0</v>
      </c>
      <c r="AU3908" s="6">
        <v>42276</v>
      </c>
      <c r="AV3908" s="6">
        <v>42276</v>
      </c>
      <c r="AW3908" t="s">
        <v>54</v>
      </c>
      <c r="AX3908" t="str">
        <f t="shared" si="332"/>
        <v>FOR</v>
      </c>
      <c r="AY3908" t="s">
        <v>55</v>
      </c>
    </row>
    <row r="3909" spans="1:51" hidden="1">
      <c r="A3909">
        <v>101336</v>
      </c>
      <c r="B3909" t="s">
        <v>721</v>
      </c>
      <c r="C3909" t="str">
        <f t="shared" si="331"/>
        <v>05351490965</v>
      </c>
      <c r="D3909" t="str">
        <f t="shared" si="331"/>
        <v>05351490965</v>
      </c>
      <c r="E3909" t="s">
        <v>52</v>
      </c>
      <c r="F3909">
        <v>2015</v>
      </c>
      <c r="G3909">
        <v>7680000904</v>
      </c>
      <c r="H3909" s="1">
        <v>42094</v>
      </c>
      <c r="I3909" s="1">
        <v>42129</v>
      </c>
      <c r="J3909" s="1">
        <v>42128</v>
      </c>
      <c r="K3909" s="1">
        <v>42188</v>
      </c>
      <c r="N3909" s="5"/>
      <c r="O3909" s="2">
        <v>4446.29</v>
      </c>
      <c r="P3909">
        <v>88</v>
      </c>
      <c r="Q3909" s="2">
        <v>391273.52</v>
      </c>
      <c r="R3909">
        <v>0</v>
      </c>
      <c r="V3909">
        <v>0</v>
      </c>
      <c r="W3909">
        <v>0</v>
      </c>
      <c r="X3909">
        <v>0</v>
      </c>
      <c r="Y3909" s="2">
        <v>4890.92</v>
      </c>
      <c r="Z3909" s="2">
        <v>4890.92</v>
      </c>
      <c r="AA3909" s="2">
        <v>4890.92</v>
      </c>
      <c r="AB3909" s="1">
        <v>42382</v>
      </c>
      <c r="AC3909" t="s">
        <v>53</v>
      </c>
      <c r="AD3909" t="s">
        <v>53</v>
      </c>
      <c r="AK3909">
        <v>0</v>
      </c>
      <c r="AU3909" s="6">
        <v>42276</v>
      </c>
      <c r="AV3909" s="6">
        <v>42276</v>
      </c>
      <c r="AW3909" t="s">
        <v>54</v>
      </c>
      <c r="AX3909" t="str">
        <f t="shared" si="332"/>
        <v>FOR</v>
      </c>
      <c r="AY3909" t="s">
        <v>55</v>
      </c>
    </row>
    <row r="3910" spans="1:51">
      <c r="A3910">
        <v>101336</v>
      </c>
      <c r="B3910" t="s">
        <v>721</v>
      </c>
      <c r="C3910" t="str">
        <f t="shared" ref="C3910:D3925" si="333">"05351490965"</f>
        <v>05351490965</v>
      </c>
      <c r="D3910" t="str">
        <f t="shared" si="333"/>
        <v>05351490965</v>
      </c>
      <c r="E3910" t="s">
        <v>52</v>
      </c>
      <c r="F3910">
        <v>2015</v>
      </c>
      <c r="G3910">
        <v>7680001723</v>
      </c>
      <c r="H3910" s="1">
        <v>42124</v>
      </c>
      <c r="I3910" s="1">
        <v>42163</v>
      </c>
      <c r="J3910" s="1">
        <v>42150</v>
      </c>
      <c r="K3910" s="1">
        <v>42210</v>
      </c>
      <c r="L3910" s="7">
        <v>4390.09</v>
      </c>
      <c r="M3910" s="5">
        <v>89</v>
      </c>
      <c r="N3910" s="7">
        <v>390718.01</v>
      </c>
      <c r="O3910" s="2">
        <v>4390.09</v>
      </c>
      <c r="P3910">
        <v>89</v>
      </c>
      <c r="Q3910" s="2">
        <v>390718.01</v>
      </c>
      <c r="R3910">
        <v>0</v>
      </c>
      <c r="V3910">
        <v>0</v>
      </c>
      <c r="W3910">
        <v>0</v>
      </c>
      <c r="X3910">
        <v>0</v>
      </c>
      <c r="Y3910" s="2">
        <v>4829.1000000000004</v>
      </c>
      <c r="Z3910" s="2">
        <v>4829.1000000000004</v>
      </c>
      <c r="AA3910" s="2">
        <v>4829.1000000000004</v>
      </c>
      <c r="AB3910" s="1">
        <v>42382</v>
      </c>
      <c r="AC3910" t="s">
        <v>53</v>
      </c>
      <c r="AD3910" t="s">
        <v>53</v>
      </c>
      <c r="AK3910">
        <v>0</v>
      </c>
      <c r="AU3910" s="6">
        <v>42299</v>
      </c>
      <c r="AV3910" s="6">
        <v>42299</v>
      </c>
      <c r="AW3910" t="s">
        <v>54</v>
      </c>
      <c r="AX3910" t="str">
        <f t="shared" si="332"/>
        <v>FOR</v>
      </c>
      <c r="AY3910" t="s">
        <v>55</v>
      </c>
    </row>
    <row r="3911" spans="1:51">
      <c r="A3911">
        <v>101336</v>
      </c>
      <c r="B3911" t="s">
        <v>721</v>
      </c>
      <c r="C3911" t="str">
        <f t="shared" si="333"/>
        <v>05351490965</v>
      </c>
      <c r="D3911" t="str">
        <f t="shared" si="333"/>
        <v>05351490965</v>
      </c>
      <c r="E3911" t="s">
        <v>52</v>
      </c>
      <c r="F3911">
        <v>2015</v>
      </c>
      <c r="G3911">
        <v>7680001724</v>
      </c>
      <c r="H3911" s="1">
        <v>42124</v>
      </c>
      <c r="I3911" s="1">
        <v>42163</v>
      </c>
      <c r="J3911" s="1">
        <v>42150</v>
      </c>
      <c r="K3911" s="1">
        <v>42210</v>
      </c>
      <c r="L3911" s="7">
        <v>121543.43</v>
      </c>
      <c r="M3911" s="5">
        <v>89</v>
      </c>
      <c r="N3911" s="7">
        <v>10817365.27</v>
      </c>
      <c r="O3911" s="2">
        <v>121543.43</v>
      </c>
      <c r="P3911">
        <v>89</v>
      </c>
      <c r="Q3911" s="2">
        <v>10817365.27</v>
      </c>
      <c r="R3911">
        <v>0</v>
      </c>
      <c r="V3911">
        <v>0</v>
      </c>
      <c r="W3911">
        <v>0</v>
      </c>
      <c r="X3911">
        <v>0</v>
      </c>
      <c r="Y3911" s="2">
        <v>121543.43</v>
      </c>
      <c r="Z3911" s="2">
        <v>121543.43</v>
      </c>
      <c r="AA3911" s="2">
        <v>121543.43</v>
      </c>
      <c r="AB3911" s="1">
        <v>42382</v>
      </c>
      <c r="AC3911" t="s">
        <v>53</v>
      </c>
      <c r="AD3911" t="s">
        <v>53</v>
      </c>
      <c r="AK3911">
        <v>0</v>
      </c>
      <c r="AU3911" s="6">
        <v>42299</v>
      </c>
      <c r="AV3911" s="6">
        <v>42299</v>
      </c>
      <c r="AW3911" t="s">
        <v>54</v>
      </c>
      <c r="AX3911" t="str">
        <f t="shared" si="332"/>
        <v>FOR</v>
      </c>
      <c r="AY3911" t="s">
        <v>55</v>
      </c>
    </row>
    <row r="3912" spans="1:51">
      <c r="A3912">
        <v>101336</v>
      </c>
      <c r="B3912" t="s">
        <v>721</v>
      </c>
      <c r="C3912" t="str">
        <f t="shared" si="333"/>
        <v>05351490965</v>
      </c>
      <c r="D3912" t="str">
        <f t="shared" si="333"/>
        <v>05351490965</v>
      </c>
      <c r="E3912" t="s">
        <v>52</v>
      </c>
      <c r="F3912">
        <v>2015</v>
      </c>
      <c r="G3912">
        <v>7680001725</v>
      </c>
      <c r="H3912" s="1">
        <v>42124</v>
      </c>
      <c r="I3912" s="1">
        <v>42163</v>
      </c>
      <c r="J3912" s="1">
        <v>42150</v>
      </c>
      <c r="K3912" s="1">
        <v>42210</v>
      </c>
      <c r="L3912" s="7">
        <v>3101.3</v>
      </c>
      <c r="M3912" s="5">
        <v>89</v>
      </c>
      <c r="N3912" s="7">
        <v>276015.7</v>
      </c>
      <c r="O3912" s="2">
        <v>3101.3</v>
      </c>
      <c r="P3912">
        <v>89</v>
      </c>
      <c r="Q3912" s="2">
        <v>276015.7</v>
      </c>
      <c r="R3912">
        <v>0</v>
      </c>
      <c r="V3912">
        <v>0</v>
      </c>
      <c r="W3912">
        <v>0</v>
      </c>
      <c r="X3912">
        <v>0</v>
      </c>
      <c r="Y3912" s="2">
        <v>3225.35</v>
      </c>
      <c r="Z3912" s="2">
        <v>3225.35</v>
      </c>
      <c r="AA3912" s="2">
        <v>3225.35</v>
      </c>
      <c r="AB3912" s="1">
        <v>42382</v>
      </c>
      <c r="AC3912" t="s">
        <v>53</v>
      </c>
      <c r="AD3912" t="s">
        <v>53</v>
      </c>
      <c r="AK3912">
        <v>0</v>
      </c>
      <c r="AU3912" s="6">
        <v>42299</v>
      </c>
      <c r="AV3912" s="6">
        <v>42299</v>
      </c>
      <c r="AW3912" t="s">
        <v>54</v>
      </c>
      <c r="AX3912" t="str">
        <f t="shared" si="332"/>
        <v>FOR</v>
      </c>
      <c r="AY3912" t="s">
        <v>55</v>
      </c>
    </row>
    <row r="3913" spans="1:51">
      <c r="A3913">
        <v>101336</v>
      </c>
      <c r="B3913" t="s">
        <v>721</v>
      </c>
      <c r="C3913" t="str">
        <f t="shared" si="333"/>
        <v>05351490965</v>
      </c>
      <c r="D3913" t="str">
        <f t="shared" si="333"/>
        <v>05351490965</v>
      </c>
      <c r="E3913" t="s">
        <v>52</v>
      </c>
      <c r="F3913">
        <v>2015</v>
      </c>
      <c r="G3913">
        <v>7680001726</v>
      </c>
      <c r="H3913" s="1">
        <v>42124</v>
      </c>
      <c r="I3913" s="1">
        <v>42163</v>
      </c>
      <c r="J3913" s="1">
        <v>42150</v>
      </c>
      <c r="K3913" s="1">
        <v>42210</v>
      </c>
      <c r="L3913" s="7">
        <v>845.59</v>
      </c>
      <c r="M3913" s="5">
        <v>89</v>
      </c>
      <c r="N3913" s="7">
        <v>75257.509999999995</v>
      </c>
      <c r="O3913">
        <v>845.59</v>
      </c>
      <c r="P3913">
        <v>89</v>
      </c>
      <c r="Q3913" s="2">
        <v>75257.509999999995</v>
      </c>
      <c r="R3913">
        <v>0</v>
      </c>
      <c r="V3913">
        <v>0</v>
      </c>
      <c r="W3913">
        <v>0</v>
      </c>
      <c r="X3913">
        <v>0</v>
      </c>
      <c r="Y3913">
        <v>845.59</v>
      </c>
      <c r="Z3913">
        <v>845.59</v>
      </c>
      <c r="AA3913">
        <v>845.59</v>
      </c>
      <c r="AB3913" s="1">
        <v>42382</v>
      </c>
      <c r="AC3913" t="s">
        <v>53</v>
      </c>
      <c r="AD3913" t="s">
        <v>53</v>
      </c>
      <c r="AK3913">
        <v>0</v>
      </c>
      <c r="AU3913" s="6">
        <v>42299</v>
      </c>
      <c r="AV3913" s="6">
        <v>42299</v>
      </c>
      <c r="AW3913" t="s">
        <v>54</v>
      </c>
      <c r="AX3913" t="str">
        <f t="shared" si="332"/>
        <v>FOR</v>
      </c>
      <c r="AY3913" t="s">
        <v>55</v>
      </c>
    </row>
    <row r="3914" spans="1:51">
      <c r="A3914">
        <v>101336</v>
      </c>
      <c r="B3914" t="s">
        <v>721</v>
      </c>
      <c r="C3914" t="str">
        <f t="shared" si="333"/>
        <v>05351490965</v>
      </c>
      <c r="D3914" t="str">
        <f t="shared" si="333"/>
        <v>05351490965</v>
      </c>
      <c r="E3914" t="s">
        <v>52</v>
      </c>
      <c r="F3914">
        <v>2015</v>
      </c>
      <c r="G3914">
        <v>7760000213</v>
      </c>
      <c r="H3914" s="1">
        <v>42035</v>
      </c>
      <c r="I3914" s="1">
        <v>42053</v>
      </c>
      <c r="J3914" s="1">
        <v>42053</v>
      </c>
      <c r="K3914" s="1">
        <v>42113</v>
      </c>
      <c r="L3914" s="7">
        <v>918.72</v>
      </c>
      <c r="M3914" s="5">
        <v>226</v>
      </c>
      <c r="N3914" s="7">
        <v>207630.72</v>
      </c>
      <c r="O3914">
        <v>918.72</v>
      </c>
      <c r="P3914">
        <v>226</v>
      </c>
      <c r="Q3914" s="2">
        <v>207630.72</v>
      </c>
      <c r="R3914">
        <v>0</v>
      </c>
      <c r="V3914">
        <v>0</v>
      </c>
      <c r="W3914">
        <v>0</v>
      </c>
      <c r="X3914">
        <v>0</v>
      </c>
      <c r="Y3914">
        <v>918.72</v>
      </c>
      <c r="Z3914">
        <v>918.72</v>
      </c>
      <c r="AA3914">
        <v>918.72</v>
      </c>
      <c r="AB3914" s="1">
        <v>42382</v>
      </c>
      <c r="AC3914" t="s">
        <v>53</v>
      </c>
      <c r="AD3914" t="s">
        <v>53</v>
      </c>
      <c r="AK3914">
        <v>0</v>
      </c>
      <c r="AU3914" s="6">
        <v>42339</v>
      </c>
      <c r="AV3914" s="6">
        <v>42339</v>
      </c>
      <c r="AW3914" t="s">
        <v>54</v>
      </c>
      <c r="AX3914" t="str">
        <f t="shared" si="332"/>
        <v>FOR</v>
      </c>
      <c r="AY3914" t="s">
        <v>55</v>
      </c>
    </row>
    <row r="3915" spans="1:51">
      <c r="A3915">
        <v>101336</v>
      </c>
      <c r="B3915" t="s">
        <v>721</v>
      </c>
      <c r="C3915" t="str">
        <f t="shared" si="333"/>
        <v>05351490965</v>
      </c>
      <c r="D3915" t="str">
        <f t="shared" si="333"/>
        <v>05351490965</v>
      </c>
      <c r="E3915" t="s">
        <v>52</v>
      </c>
      <c r="F3915">
        <v>2015</v>
      </c>
      <c r="G3915">
        <v>7760000214</v>
      </c>
      <c r="H3915" s="1">
        <v>42035</v>
      </c>
      <c r="I3915" s="1">
        <v>42053</v>
      </c>
      <c r="J3915" s="1">
        <v>42053</v>
      </c>
      <c r="K3915" s="1">
        <v>42113</v>
      </c>
      <c r="L3915" s="7">
        <v>2906.38</v>
      </c>
      <c r="M3915" s="5">
        <v>226</v>
      </c>
      <c r="N3915" s="7">
        <v>656841.88</v>
      </c>
      <c r="O3915" s="2">
        <v>2906.38</v>
      </c>
      <c r="P3915">
        <v>226</v>
      </c>
      <c r="Q3915" s="2">
        <v>656841.88</v>
      </c>
      <c r="R3915">
        <v>116.26</v>
      </c>
      <c r="V3915">
        <v>0</v>
      </c>
      <c r="W3915">
        <v>0</v>
      </c>
      <c r="X3915">
        <v>0</v>
      </c>
      <c r="Y3915" s="2">
        <v>3022.64</v>
      </c>
      <c r="Z3915" s="2">
        <v>3022.64</v>
      </c>
      <c r="AA3915" s="2">
        <v>3022.64</v>
      </c>
      <c r="AB3915" s="1">
        <v>42382</v>
      </c>
      <c r="AC3915" t="s">
        <v>53</v>
      </c>
      <c r="AD3915" t="s">
        <v>53</v>
      </c>
      <c r="AK3915">
        <v>116.26</v>
      </c>
      <c r="AU3915" s="6">
        <v>42339</v>
      </c>
      <c r="AV3915" s="6">
        <v>42339</v>
      </c>
      <c r="AW3915" t="s">
        <v>54</v>
      </c>
      <c r="AX3915" t="str">
        <f t="shared" si="332"/>
        <v>FOR</v>
      </c>
      <c r="AY3915" t="s">
        <v>55</v>
      </c>
    </row>
    <row r="3916" spans="1:51">
      <c r="A3916">
        <v>101336</v>
      </c>
      <c r="B3916" t="s">
        <v>721</v>
      </c>
      <c r="C3916" t="str">
        <f t="shared" si="333"/>
        <v>05351490965</v>
      </c>
      <c r="D3916" t="str">
        <f t="shared" si="333"/>
        <v>05351490965</v>
      </c>
      <c r="E3916" t="s">
        <v>52</v>
      </c>
      <c r="F3916">
        <v>2015</v>
      </c>
      <c r="G3916">
        <v>7760000215</v>
      </c>
      <c r="H3916" s="1">
        <v>42035</v>
      </c>
      <c r="I3916" s="1">
        <v>42053</v>
      </c>
      <c r="J3916" s="1">
        <v>42053</v>
      </c>
      <c r="K3916" s="1">
        <v>42113</v>
      </c>
      <c r="L3916" s="7">
        <v>4725.1899999999996</v>
      </c>
      <c r="M3916" s="5">
        <v>226</v>
      </c>
      <c r="N3916" s="7">
        <v>1067892.94</v>
      </c>
      <c r="O3916" s="2">
        <v>4725.1899999999996</v>
      </c>
      <c r="P3916">
        <v>226</v>
      </c>
      <c r="Q3916" s="2">
        <v>1067892.94</v>
      </c>
      <c r="R3916">
        <v>472.52</v>
      </c>
      <c r="V3916">
        <v>0</v>
      </c>
      <c r="W3916">
        <v>0</v>
      </c>
      <c r="X3916">
        <v>0</v>
      </c>
      <c r="Y3916" s="2">
        <v>5197.71</v>
      </c>
      <c r="Z3916" s="2">
        <v>5197.71</v>
      </c>
      <c r="AA3916" s="2">
        <v>5197.71</v>
      </c>
      <c r="AB3916" s="1">
        <v>42382</v>
      </c>
      <c r="AC3916" t="s">
        <v>53</v>
      </c>
      <c r="AD3916" t="s">
        <v>53</v>
      </c>
      <c r="AK3916">
        <v>472.52</v>
      </c>
      <c r="AU3916" s="6">
        <v>42339</v>
      </c>
      <c r="AV3916" s="6">
        <v>42339</v>
      </c>
      <c r="AW3916" t="s">
        <v>54</v>
      </c>
      <c r="AX3916" t="str">
        <f t="shared" si="332"/>
        <v>FOR</v>
      </c>
      <c r="AY3916" t="s">
        <v>55</v>
      </c>
    </row>
    <row r="3917" spans="1:51">
      <c r="A3917">
        <v>101336</v>
      </c>
      <c r="B3917" t="s">
        <v>721</v>
      </c>
      <c r="C3917" t="str">
        <f t="shared" si="333"/>
        <v>05351490965</v>
      </c>
      <c r="D3917" t="str">
        <f t="shared" si="333"/>
        <v>05351490965</v>
      </c>
      <c r="E3917" t="s">
        <v>52</v>
      </c>
      <c r="F3917">
        <v>2015</v>
      </c>
      <c r="G3917">
        <v>7760000216</v>
      </c>
      <c r="H3917" s="1">
        <v>42035</v>
      </c>
      <c r="I3917" s="1">
        <v>42053</v>
      </c>
      <c r="J3917" s="1">
        <v>42053</v>
      </c>
      <c r="K3917" s="1">
        <v>42113</v>
      </c>
      <c r="L3917" s="7">
        <v>127172.07</v>
      </c>
      <c r="M3917" s="5">
        <v>226</v>
      </c>
      <c r="N3917" s="7">
        <v>28740887.82</v>
      </c>
      <c r="O3917" s="2">
        <v>127172.07</v>
      </c>
      <c r="P3917">
        <v>226</v>
      </c>
      <c r="Q3917" s="2">
        <v>28740887.82</v>
      </c>
      <c r="R3917">
        <v>0</v>
      </c>
      <c r="V3917">
        <v>0</v>
      </c>
      <c r="W3917">
        <v>0</v>
      </c>
      <c r="X3917">
        <v>0</v>
      </c>
      <c r="Y3917" s="2">
        <v>127172.07</v>
      </c>
      <c r="Z3917" s="2">
        <v>127172.07</v>
      </c>
      <c r="AA3917" s="2">
        <v>127172.07</v>
      </c>
      <c r="AB3917" s="1">
        <v>42382</v>
      </c>
      <c r="AC3917" t="s">
        <v>53</v>
      </c>
      <c r="AD3917" t="s">
        <v>53</v>
      </c>
      <c r="AK3917">
        <v>0</v>
      </c>
      <c r="AU3917" s="6">
        <v>42339</v>
      </c>
      <c r="AV3917" s="6">
        <v>42339</v>
      </c>
      <c r="AW3917" t="s">
        <v>54</v>
      </c>
      <c r="AX3917" t="str">
        <f t="shared" si="332"/>
        <v>FOR</v>
      </c>
      <c r="AY3917" t="s">
        <v>55</v>
      </c>
    </row>
    <row r="3918" spans="1:51">
      <c r="A3918">
        <v>101336</v>
      </c>
      <c r="B3918" t="s">
        <v>721</v>
      </c>
      <c r="C3918" t="str">
        <f t="shared" si="333"/>
        <v>05351490965</v>
      </c>
      <c r="D3918" t="str">
        <f t="shared" si="333"/>
        <v>05351490965</v>
      </c>
      <c r="E3918" t="s">
        <v>52</v>
      </c>
      <c r="F3918">
        <v>2015</v>
      </c>
      <c r="G3918">
        <v>7760000708</v>
      </c>
      <c r="H3918" s="1">
        <v>42063</v>
      </c>
      <c r="I3918" s="1">
        <v>42107</v>
      </c>
      <c r="J3918" s="1">
        <v>42107</v>
      </c>
      <c r="K3918" s="1">
        <v>42167</v>
      </c>
      <c r="L3918" s="7">
        <v>4824.9799999999996</v>
      </c>
      <c r="M3918" s="5">
        <v>189</v>
      </c>
      <c r="N3918" s="7">
        <v>911921.22</v>
      </c>
      <c r="O3918" s="2">
        <v>4824.9799999999996</v>
      </c>
      <c r="P3918">
        <v>189</v>
      </c>
      <c r="Q3918" s="2">
        <v>911921.22</v>
      </c>
      <c r="R3918">
        <v>0</v>
      </c>
      <c r="V3918">
        <v>0</v>
      </c>
      <c r="W3918">
        <v>0</v>
      </c>
      <c r="X3918">
        <v>0</v>
      </c>
      <c r="Y3918" s="2">
        <v>4824.9799999999996</v>
      </c>
      <c r="Z3918" s="2">
        <v>4824.9799999999996</v>
      </c>
      <c r="AA3918" s="2">
        <v>4824.9799999999996</v>
      </c>
      <c r="AB3918" s="1">
        <v>42382</v>
      </c>
      <c r="AC3918" t="s">
        <v>53</v>
      </c>
      <c r="AD3918" t="s">
        <v>53</v>
      </c>
      <c r="AK3918">
        <v>0</v>
      </c>
      <c r="AU3918" s="6">
        <v>42356</v>
      </c>
      <c r="AV3918" s="6">
        <v>42356</v>
      </c>
      <c r="AW3918" t="s">
        <v>54</v>
      </c>
      <c r="AX3918" t="str">
        <f t="shared" si="332"/>
        <v>FOR</v>
      </c>
      <c r="AY3918" t="s">
        <v>55</v>
      </c>
    </row>
    <row r="3919" spans="1:51">
      <c r="A3919">
        <v>101336</v>
      </c>
      <c r="B3919" t="s">
        <v>721</v>
      </c>
      <c r="C3919" t="str">
        <f t="shared" si="333"/>
        <v>05351490965</v>
      </c>
      <c r="D3919" t="str">
        <f t="shared" si="333"/>
        <v>05351490965</v>
      </c>
      <c r="E3919" t="s">
        <v>52</v>
      </c>
      <c r="F3919">
        <v>2015</v>
      </c>
      <c r="G3919">
        <v>7760000709</v>
      </c>
      <c r="H3919" s="1">
        <v>42063</v>
      </c>
      <c r="I3919" s="1">
        <v>42107</v>
      </c>
      <c r="J3919" s="1">
        <v>42107</v>
      </c>
      <c r="K3919" s="1">
        <v>42167</v>
      </c>
      <c r="L3919" s="7">
        <v>186.27</v>
      </c>
      <c r="M3919" s="5">
        <v>189</v>
      </c>
      <c r="N3919" s="7">
        <v>35205.03</v>
      </c>
      <c r="O3919">
        <v>186.27</v>
      </c>
      <c r="P3919">
        <v>189</v>
      </c>
      <c r="Q3919" s="2">
        <v>35205.03</v>
      </c>
      <c r="R3919">
        <v>18.63</v>
      </c>
      <c r="V3919">
        <v>0</v>
      </c>
      <c r="W3919">
        <v>0</v>
      </c>
      <c r="X3919">
        <v>0</v>
      </c>
      <c r="Y3919">
        <v>204.9</v>
      </c>
      <c r="Z3919">
        <v>204.9</v>
      </c>
      <c r="AA3919">
        <v>204.9</v>
      </c>
      <c r="AB3919" s="1">
        <v>42382</v>
      </c>
      <c r="AC3919" t="s">
        <v>53</v>
      </c>
      <c r="AD3919" t="s">
        <v>53</v>
      </c>
      <c r="AK3919">
        <v>18.63</v>
      </c>
      <c r="AU3919" s="6">
        <v>42356</v>
      </c>
      <c r="AV3919" s="6">
        <v>42356</v>
      </c>
      <c r="AW3919" t="s">
        <v>54</v>
      </c>
      <c r="AX3919" t="str">
        <f t="shared" si="332"/>
        <v>FOR</v>
      </c>
      <c r="AY3919" t="s">
        <v>55</v>
      </c>
    </row>
    <row r="3920" spans="1:51">
      <c r="A3920">
        <v>101336</v>
      </c>
      <c r="B3920" t="s">
        <v>721</v>
      </c>
      <c r="C3920" t="str">
        <f t="shared" si="333"/>
        <v>05351490965</v>
      </c>
      <c r="D3920" t="str">
        <f t="shared" si="333"/>
        <v>05351490965</v>
      </c>
      <c r="E3920" t="s">
        <v>52</v>
      </c>
      <c r="F3920">
        <v>2015</v>
      </c>
      <c r="G3920">
        <v>7760000710</v>
      </c>
      <c r="H3920" s="1">
        <v>42063</v>
      </c>
      <c r="I3920" s="1">
        <v>42104</v>
      </c>
      <c r="J3920" s="1">
        <v>42104</v>
      </c>
      <c r="K3920" s="1">
        <v>42164</v>
      </c>
      <c r="L3920" s="7">
        <v>109.92</v>
      </c>
      <c r="M3920" s="5">
        <v>192</v>
      </c>
      <c r="N3920" s="7">
        <v>21104.639999999999</v>
      </c>
      <c r="O3920">
        <v>109.92</v>
      </c>
      <c r="P3920">
        <v>192</v>
      </c>
      <c r="Q3920" s="2">
        <v>21104.639999999999</v>
      </c>
      <c r="R3920">
        <v>4.4000000000000004</v>
      </c>
      <c r="V3920">
        <v>0</v>
      </c>
      <c r="W3920">
        <v>0</v>
      </c>
      <c r="X3920">
        <v>0</v>
      </c>
      <c r="Y3920">
        <v>114.32</v>
      </c>
      <c r="Z3920">
        <v>114.32</v>
      </c>
      <c r="AA3920">
        <v>114.32</v>
      </c>
      <c r="AB3920" s="1">
        <v>42382</v>
      </c>
      <c r="AC3920" t="s">
        <v>53</v>
      </c>
      <c r="AD3920" t="s">
        <v>53</v>
      </c>
      <c r="AK3920">
        <v>4.4000000000000004</v>
      </c>
      <c r="AU3920" s="6">
        <v>42356</v>
      </c>
      <c r="AV3920" s="6">
        <v>42356</v>
      </c>
      <c r="AW3920" t="s">
        <v>54</v>
      </c>
      <c r="AX3920" t="str">
        <f t="shared" si="332"/>
        <v>FOR</v>
      </c>
      <c r="AY3920" t="s">
        <v>55</v>
      </c>
    </row>
    <row r="3921" spans="1:51">
      <c r="A3921">
        <v>101336</v>
      </c>
      <c r="B3921" t="s">
        <v>721</v>
      </c>
      <c r="C3921" t="str">
        <f t="shared" si="333"/>
        <v>05351490965</v>
      </c>
      <c r="D3921" t="str">
        <f t="shared" si="333"/>
        <v>05351490965</v>
      </c>
      <c r="E3921" t="s">
        <v>52</v>
      </c>
      <c r="F3921">
        <v>2015</v>
      </c>
      <c r="G3921">
        <v>7760000711</v>
      </c>
      <c r="H3921" s="1">
        <v>42063</v>
      </c>
      <c r="I3921" s="1">
        <v>42107</v>
      </c>
      <c r="J3921" s="1">
        <v>42107</v>
      </c>
      <c r="K3921" s="1">
        <v>42167</v>
      </c>
      <c r="L3921" s="7">
        <v>35.58</v>
      </c>
      <c r="M3921" s="5">
        <v>189</v>
      </c>
      <c r="N3921" s="7">
        <v>6724.62</v>
      </c>
      <c r="O3921">
        <v>35.58</v>
      </c>
      <c r="P3921">
        <v>189</v>
      </c>
      <c r="Q3921" s="2">
        <v>6724.62</v>
      </c>
      <c r="R3921">
        <v>0</v>
      </c>
      <c r="V3921">
        <v>0</v>
      </c>
      <c r="W3921">
        <v>0</v>
      </c>
      <c r="X3921">
        <v>0</v>
      </c>
      <c r="Y3921">
        <v>35.58</v>
      </c>
      <c r="Z3921">
        <v>35.58</v>
      </c>
      <c r="AA3921">
        <v>35.58</v>
      </c>
      <c r="AB3921" s="1">
        <v>42382</v>
      </c>
      <c r="AC3921" t="s">
        <v>53</v>
      </c>
      <c r="AD3921" t="s">
        <v>53</v>
      </c>
      <c r="AK3921">
        <v>0</v>
      </c>
      <c r="AU3921" s="6">
        <v>42356</v>
      </c>
      <c r="AV3921" s="6">
        <v>42356</v>
      </c>
      <c r="AW3921" t="s">
        <v>54</v>
      </c>
      <c r="AX3921" t="str">
        <f t="shared" si="332"/>
        <v>FOR</v>
      </c>
      <c r="AY3921" t="s">
        <v>55</v>
      </c>
    </row>
    <row r="3922" spans="1:51">
      <c r="A3922">
        <v>101336</v>
      </c>
      <c r="B3922" t="s">
        <v>721</v>
      </c>
      <c r="C3922" t="str">
        <f t="shared" si="333"/>
        <v>05351490965</v>
      </c>
      <c r="D3922" t="str">
        <f t="shared" si="333"/>
        <v>05351490965</v>
      </c>
      <c r="E3922" t="s">
        <v>52</v>
      </c>
      <c r="F3922">
        <v>2015</v>
      </c>
      <c r="G3922">
        <v>7760000892</v>
      </c>
      <c r="H3922" s="1">
        <v>42063</v>
      </c>
      <c r="I3922" s="1">
        <v>42171</v>
      </c>
      <c r="J3922" s="1">
        <v>42171</v>
      </c>
      <c r="K3922" s="1">
        <v>42231</v>
      </c>
      <c r="L3922" s="7">
        <v>808.81</v>
      </c>
      <c r="M3922" s="5">
        <v>125</v>
      </c>
      <c r="N3922" s="7">
        <v>101101.25</v>
      </c>
      <c r="O3922">
        <v>808.81</v>
      </c>
      <c r="P3922">
        <v>125</v>
      </c>
      <c r="Q3922" s="2">
        <v>101101.25</v>
      </c>
      <c r="R3922">
        <v>0</v>
      </c>
      <c r="V3922">
        <v>0</v>
      </c>
      <c r="W3922">
        <v>0</v>
      </c>
      <c r="X3922">
        <v>0</v>
      </c>
      <c r="Y3922">
        <v>808.81</v>
      </c>
      <c r="Z3922">
        <v>808.81</v>
      </c>
      <c r="AA3922">
        <v>808.81</v>
      </c>
      <c r="AB3922" s="1">
        <v>42382</v>
      </c>
      <c r="AC3922" t="s">
        <v>53</v>
      </c>
      <c r="AD3922" t="s">
        <v>53</v>
      </c>
      <c r="AK3922">
        <v>0</v>
      </c>
      <c r="AU3922" s="6">
        <v>42356</v>
      </c>
      <c r="AV3922" s="6">
        <v>42356</v>
      </c>
      <c r="AW3922" t="s">
        <v>54</v>
      </c>
      <c r="AX3922" t="str">
        <f t="shared" si="332"/>
        <v>FOR</v>
      </c>
      <c r="AY3922" t="s">
        <v>55</v>
      </c>
    </row>
    <row r="3923" spans="1:51">
      <c r="A3923">
        <v>101336</v>
      </c>
      <c r="B3923" t="s">
        <v>721</v>
      </c>
      <c r="C3923" t="str">
        <f t="shared" si="333"/>
        <v>05351490965</v>
      </c>
      <c r="D3923" t="str">
        <f t="shared" si="333"/>
        <v>05351490965</v>
      </c>
      <c r="E3923" t="s">
        <v>52</v>
      </c>
      <c r="F3923">
        <v>2015</v>
      </c>
      <c r="G3923">
        <v>7760000893</v>
      </c>
      <c r="H3923" s="1">
        <v>42063</v>
      </c>
      <c r="I3923" s="1">
        <v>42171</v>
      </c>
      <c r="J3923" s="1">
        <v>42171</v>
      </c>
      <c r="K3923" s="1">
        <v>42231</v>
      </c>
      <c r="L3923" s="7">
        <v>4740.53</v>
      </c>
      <c r="M3923" s="5">
        <v>125</v>
      </c>
      <c r="N3923" s="7">
        <v>592566.25</v>
      </c>
      <c r="O3923" s="2">
        <v>4740.53</v>
      </c>
      <c r="P3923">
        <v>125</v>
      </c>
      <c r="Q3923" s="2">
        <v>592566.25</v>
      </c>
      <c r="R3923">
        <v>474.05</v>
      </c>
      <c r="V3923">
        <v>0</v>
      </c>
      <c r="W3923">
        <v>0</v>
      </c>
      <c r="X3923">
        <v>0</v>
      </c>
      <c r="Y3923" s="2">
        <v>5214.58</v>
      </c>
      <c r="Z3923" s="2">
        <v>5214.58</v>
      </c>
      <c r="AA3923" s="2">
        <v>5214.58</v>
      </c>
      <c r="AB3923" s="1">
        <v>42382</v>
      </c>
      <c r="AC3923" t="s">
        <v>53</v>
      </c>
      <c r="AD3923" t="s">
        <v>53</v>
      </c>
      <c r="AI3923">
        <v>474.05</v>
      </c>
      <c r="AK3923">
        <v>0</v>
      </c>
      <c r="AU3923" s="6">
        <v>42356</v>
      </c>
      <c r="AV3923" s="6">
        <v>42356</v>
      </c>
      <c r="AW3923" t="s">
        <v>54</v>
      </c>
      <c r="AX3923" t="str">
        <f t="shared" si="332"/>
        <v>FOR</v>
      </c>
      <c r="AY3923" t="s">
        <v>55</v>
      </c>
    </row>
    <row r="3924" spans="1:51">
      <c r="A3924">
        <v>101336</v>
      </c>
      <c r="B3924" t="s">
        <v>721</v>
      </c>
      <c r="C3924" t="str">
        <f t="shared" si="333"/>
        <v>05351490965</v>
      </c>
      <c r="D3924" t="str">
        <f t="shared" si="333"/>
        <v>05351490965</v>
      </c>
      <c r="E3924" t="s">
        <v>52</v>
      </c>
      <c r="F3924">
        <v>2015</v>
      </c>
      <c r="G3924">
        <v>7760000894</v>
      </c>
      <c r="H3924" s="1">
        <v>42063</v>
      </c>
      <c r="I3924" s="1">
        <v>42171</v>
      </c>
      <c r="J3924" s="1">
        <v>42171</v>
      </c>
      <c r="K3924" s="1">
        <v>42231</v>
      </c>
      <c r="L3924" s="7">
        <v>119183.29</v>
      </c>
      <c r="M3924" s="5">
        <v>125</v>
      </c>
      <c r="N3924" s="7">
        <v>14897911.25</v>
      </c>
      <c r="O3924" s="2">
        <v>119183.29</v>
      </c>
      <c r="P3924">
        <v>125</v>
      </c>
      <c r="Q3924" s="2">
        <v>14897911.25</v>
      </c>
      <c r="R3924">
        <v>0</v>
      </c>
      <c r="V3924">
        <v>0</v>
      </c>
      <c r="W3924">
        <v>0</v>
      </c>
      <c r="X3924">
        <v>0</v>
      </c>
      <c r="Y3924" s="2">
        <v>119183.29</v>
      </c>
      <c r="Z3924" s="2">
        <v>119183.29</v>
      </c>
      <c r="AA3924" s="2">
        <v>119183.29</v>
      </c>
      <c r="AB3924" s="1">
        <v>42382</v>
      </c>
      <c r="AC3924" t="s">
        <v>53</v>
      </c>
      <c r="AD3924" t="s">
        <v>53</v>
      </c>
      <c r="AK3924">
        <v>0</v>
      </c>
      <c r="AU3924" s="6">
        <v>42356</v>
      </c>
      <c r="AV3924" s="6">
        <v>42356</v>
      </c>
      <c r="AW3924" t="s">
        <v>54</v>
      </c>
      <c r="AX3924" t="str">
        <f t="shared" si="332"/>
        <v>FOR</v>
      </c>
      <c r="AY3924" t="s">
        <v>55</v>
      </c>
    </row>
    <row r="3925" spans="1:51">
      <c r="A3925">
        <v>101336</v>
      </c>
      <c r="B3925" t="s">
        <v>721</v>
      </c>
      <c r="C3925" t="str">
        <f t="shared" si="333"/>
        <v>05351490965</v>
      </c>
      <c r="D3925" t="str">
        <f t="shared" si="333"/>
        <v>05351490965</v>
      </c>
      <c r="E3925" t="s">
        <v>52</v>
      </c>
      <c r="F3925">
        <v>2015</v>
      </c>
      <c r="G3925">
        <v>7760000895</v>
      </c>
      <c r="H3925" s="1">
        <v>42063</v>
      </c>
      <c r="I3925" s="1">
        <v>42171</v>
      </c>
      <c r="J3925" s="1">
        <v>42171</v>
      </c>
      <c r="K3925" s="1">
        <v>42231</v>
      </c>
      <c r="L3925" s="7">
        <v>3072.25</v>
      </c>
      <c r="M3925" s="5">
        <v>125</v>
      </c>
      <c r="N3925" s="7">
        <v>384031.25</v>
      </c>
      <c r="O3925" s="2">
        <v>3072.25</v>
      </c>
      <c r="P3925">
        <v>125</v>
      </c>
      <c r="Q3925" s="2">
        <v>384031.25</v>
      </c>
      <c r="R3925">
        <v>122.89</v>
      </c>
      <c r="V3925">
        <v>0</v>
      </c>
      <c r="W3925">
        <v>0</v>
      </c>
      <c r="X3925">
        <v>0</v>
      </c>
      <c r="Y3925" s="2">
        <v>3195.14</v>
      </c>
      <c r="Z3925" s="2">
        <v>3195.14</v>
      </c>
      <c r="AA3925" s="2">
        <v>3195.14</v>
      </c>
      <c r="AB3925" s="1">
        <v>42382</v>
      </c>
      <c r="AC3925" t="s">
        <v>53</v>
      </c>
      <c r="AD3925" t="s">
        <v>53</v>
      </c>
      <c r="AI3925">
        <v>122.89</v>
      </c>
      <c r="AK3925">
        <v>0</v>
      </c>
      <c r="AU3925" s="6">
        <v>42356</v>
      </c>
      <c r="AV3925" s="6">
        <v>42356</v>
      </c>
      <c r="AW3925" t="s">
        <v>54</v>
      </c>
      <c r="AX3925" t="str">
        <f t="shared" si="332"/>
        <v>FOR</v>
      </c>
      <c r="AY3925" t="s">
        <v>55</v>
      </c>
    </row>
    <row r="3926" spans="1:51">
      <c r="A3926">
        <v>101337</v>
      </c>
      <c r="B3926" t="s">
        <v>722</v>
      </c>
      <c r="C3926" t="str">
        <f>"05206041211"</f>
        <v>05206041211</v>
      </c>
      <c r="D3926" t="str">
        <f>"05206041211"</f>
        <v>05206041211</v>
      </c>
      <c r="E3926" t="s">
        <v>52</v>
      </c>
      <c r="F3926">
        <v>2014</v>
      </c>
      <c r="G3926">
        <v>542</v>
      </c>
      <c r="H3926" s="1">
        <v>41955</v>
      </c>
      <c r="I3926" s="1">
        <v>42004</v>
      </c>
      <c r="J3926" s="1">
        <v>42004</v>
      </c>
      <c r="K3926" s="1">
        <v>42064</v>
      </c>
      <c r="L3926" s="7">
        <v>399.67</v>
      </c>
      <c r="M3926" s="5">
        <v>218</v>
      </c>
      <c r="N3926" s="7">
        <v>87128.06</v>
      </c>
      <c r="O3926">
        <v>399.67</v>
      </c>
      <c r="P3926">
        <v>218</v>
      </c>
      <c r="Q3926" s="2">
        <v>87128.06</v>
      </c>
      <c r="R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 s="1">
        <v>42382</v>
      </c>
      <c r="AC3926" t="s">
        <v>53</v>
      </c>
      <c r="AD3926" t="s">
        <v>53</v>
      </c>
      <c r="AK3926">
        <v>0</v>
      </c>
      <c r="AU3926" s="6">
        <v>42282</v>
      </c>
      <c r="AV3926" s="6">
        <v>42282</v>
      </c>
      <c r="AW3926" t="s">
        <v>54</v>
      </c>
      <c r="AX3926" t="str">
        <f t="shared" si="332"/>
        <v>FOR</v>
      </c>
      <c r="AY3926" t="s">
        <v>55</v>
      </c>
    </row>
    <row r="3927" spans="1:51">
      <c r="A3927">
        <v>101337</v>
      </c>
      <c r="B3927" t="s">
        <v>722</v>
      </c>
      <c r="C3927" t="str">
        <f>"05206041211"</f>
        <v>05206041211</v>
      </c>
      <c r="D3927" t="str">
        <f>"05206041211"</f>
        <v>05206041211</v>
      </c>
      <c r="E3927" t="s">
        <v>52</v>
      </c>
      <c r="F3927">
        <v>2014</v>
      </c>
      <c r="G3927">
        <v>590</v>
      </c>
      <c r="H3927" s="1">
        <v>41976</v>
      </c>
      <c r="I3927" s="1">
        <v>41978</v>
      </c>
      <c r="J3927" s="1">
        <v>41978</v>
      </c>
      <c r="K3927" s="1">
        <v>42038</v>
      </c>
      <c r="L3927" s="7">
        <v>405.16</v>
      </c>
      <c r="M3927" s="5">
        <v>244</v>
      </c>
      <c r="N3927" s="7">
        <v>98859.04</v>
      </c>
      <c r="O3927">
        <v>405.16</v>
      </c>
      <c r="P3927">
        <v>244</v>
      </c>
      <c r="Q3927" s="2">
        <v>98859.04</v>
      </c>
      <c r="R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 s="1">
        <v>42382</v>
      </c>
      <c r="AC3927" t="s">
        <v>53</v>
      </c>
      <c r="AD3927" t="s">
        <v>53</v>
      </c>
      <c r="AK3927">
        <v>0</v>
      </c>
      <c r="AU3927" s="6">
        <v>42282</v>
      </c>
      <c r="AV3927" s="6">
        <v>42282</v>
      </c>
      <c r="AW3927" t="s">
        <v>54</v>
      </c>
      <c r="AX3927" t="str">
        <f t="shared" si="332"/>
        <v>FOR</v>
      </c>
      <c r="AY3927" t="s">
        <v>55</v>
      </c>
    </row>
    <row r="3928" spans="1:51" hidden="1">
      <c r="A3928">
        <v>101352</v>
      </c>
      <c r="B3928" t="s">
        <v>723</v>
      </c>
      <c r="C3928" t="str">
        <f>""</f>
        <v/>
      </c>
      <c r="D3928" t="str">
        <f>""</f>
        <v/>
      </c>
      <c r="E3928" t="s">
        <v>52</v>
      </c>
      <c r="F3928">
        <v>2014</v>
      </c>
      <c r="G3928">
        <v>221</v>
      </c>
      <c r="H3928" s="1">
        <v>41785</v>
      </c>
      <c r="I3928" s="1">
        <v>41816</v>
      </c>
      <c r="J3928" s="1">
        <v>41816</v>
      </c>
      <c r="K3928" s="1">
        <v>41906</v>
      </c>
      <c r="N3928" s="5"/>
      <c r="O3928" s="2">
        <v>3000</v>
      </c>
      <c r="P3928">
        <v>205</v>
      </c>
      <c r="Q3928" s="2">
        <v>615000</v>
      </c>
      <c r="R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 s="1">
        <v>42382</v>
      </c>
      <c r="AC3928" t="s">
        <v>53</v>
      </c>
      <c r="AD3928" t="s">
        <v>53</v>
      </c>
      <c r="AK3928">
        <v>0</v>
      </c>
      <c r="AU3928" s="6">
        <v>42111</v>
      </c>
      <c r="AV3928" s="6">
        <v>42111</v>
      </c>
      <c r="AW3928" t="s">
        <v>54</v>
      </c>
      <c r="AX3928" t="str">
        <f t="shared" si="332"/>
        <v>FOR</v>
      </c>
      <c r="AY3928" t="s">
        <v>55</v>
      </c>
    </row>
    <row r="3929" spans="1:51" hidden="1">
      <c r="A3929">
        <v>101352</v>
      </c>
      <c r="B3929" t="s">
        <v>723</v>
      </c>
      <c r="C3929" t="str">
        <f>""</f>
        <v/>
      </c>
      <c r="D3929" t="str">
        <f>""</f>
        <v/>
      </c>
      <c r="E3929" t="s">
        <v>52</v>
      </c>
      <c r="F3929">
        <v>2014</v>
      </c>
      <c r="G3929">
        <v>222</v>
      </c>
      <c r="H3929" s="1">
        <v>41785</v>
      </c>
      <c r="I3929" s="1">
        <v>41816</v>
      </c>
      <c r="J3929" s="1">
        <v>41816</v>
      </c>
      <c r="K3929" s="1">
        <v>41906</v>
      </c>
      <c r="N3929" s="5"/>
      <c r="O3929" s="2">
        <v>3000</v>
      </c>
      <c r="P3929">
        <v>205</v>
      </c>
      <c r="Q3929" s="2">
        <v>615000</v>
      </c>
      <c r="R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 s="1">
        <v>42382</v>
      </c>
      <c r="AC3929" t="s">
        <v>53</v>
      </c>
      <c r="AD3929" t="s">
        <v>53</v>
      </c>
      <c r="AK3929">
        <v>0</v>
      </c>
      <c r="AU3929" s="6">
        <v>42111</v>
      </c>
      <c r="AV3929" s="6">
        <v>42111</v>
      </c>
      <c r="AW3929" t="s">
        <v>54</v>
      </c>
      <c r="AX3929" t="str">
        <f t="shared" si="332"/>
        <v>FOR</v>
      </c>
      <c r="AY3929" t="s">
        <v>55</v>
      </c>
    </row>
    <row r="3930" spans="1:51" hidden="1">
      <c r="A3930">
        <v>101352</v>
      </c>
      <c r="B3930" t="s">
        <v>723</v>
      </c>
      <c r="C3930" t="str">
        <f>""</f>
        <v/>
      </c>
      <c r="D3930" t="str">
        <f>""</f>
        <v/>
      </c>
      <c r="E3930" t="s">
        <v>52</v>
      </c>
      <c r="F3930">
        <v>2014</v>
      </c>
      <c r="G3930">
        <v>440</v>
      </c>
      <c r="H3930" s="1">
        <v>41955</v>
      </c>
      <c r="I3930" s="1">
        <v>41975</v>
      </c>
      <c r="J3930" s="1">
        <v>41975</v>
      </c>
      <c r="K3930" s="1">
        <v>42035</v>
      </c>
      <c r="N3930" s="5"/>
      <c r="O3930" s="2">
        <v>21000</v>
      </c>
      <c r="P3930">
        <v>76</v>
      </c>
      <c r="Q3930" s="2">
        <v>1596000</v>
      </c>
      <c r="R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 s="1">
        <v>42382</v>
      </c>
      <c r="AC3930" t="s">
        <v>53</v>
      </c>
      <c r="AD3930" t="s">
        <v>53</v>
      </c>
      <c r="AK3930">
        <v>0</v>
      </c>
      <c r="AU3930" s="6">
        <v>42111</v>
      </c>
      <c r="AV3930" s="6">
        <v>42111</v>
      </c>
      <c r="AW3930" t="s">
        <v>54</v>
      </c>
      <c r="AX3930" t="str">
        <f t="shared" si="332"/>
        <v>FOR</v>
      </c>
      <c r="AY3930" t="s">
        <v>55</v>
      </c>
    </row>
    <row r="3931" spans="1:51" hidden="1">
      <c r="A3931">
        <v>101352</v>
      </c>
      <c r="B3931" t="s">
        <v>723</v>
      </c>
      <c r="C3931" t="str">
        <f>""</f>
        <v/>
      </c>
      <c r="D3931" t="str">
        <f>""</f>
        <v/>
      </c>
      <c r="E3931" t="s">
        <v>52</v>
      </c>
      <c r="F3931">
        <v>2015</v>
      </c>
      <c r="G3931">
        <v>126</v>
      </c>
      <c r="H3931" s="1">
        <v>42095</v>
      </c>
      <c r="I3931" s="1">
        <v>42143</v>
      </c>
      <c r="J3931" s="1">
        <v>42143</v>
      </c>
      <c r="K3931" s="1">
        <v>42203</v>
      </c>
      <c r="N3931" s="5"/>
      <c r="O3931" s="2">
        <v>9000</v>
      </c>
      <c r="P3931">
        <v>73</v>
      </c>
      <c r="Q3931" s="2">
        <v>657000</v>
      </c>
      <c r="R3931">
        <v>0</v>
      </c>
      <c r="V3931">
        <v>0</v>
      </c>
      <c r="W3931">
        <v>0</v>
      </c>
      <c r="X3931">
        <v>0</v>
      </c>
      <c r="Y3931" s="2">
        <v>9000</v>
      </c>
      <c r="Z3931" s="2">
        <v>9000</v>
      </c>
      <c r="AA3931" s="2">
        <v>9000</v>
      </c>
      <c r="AB3931" s="1">
        <v>42382</v>
      </c>
      <c r="AC3931" t="s">
        <v>53</v>
      </c>
      <c r="AD3931" t="s">
        <v>53</v>
      </c>
      <c r="AK3931">
        <v>0</v>
      </c>
      <c r="AU3931" s="6">
        <v>42276</v>
      </c>
      <c r="AV3931" s="6">
        <v>42276</v>
      </c>
      <c r="AW3931" t="s">
        <v>54</v>
      </c>
      <c r="AX3931" t="str">
        <f t="shared" si="332"/>
        <v>FOR</v>
      </c>
      <c r="AY3931" t="s">
        <v>55</v>
      </c>
    </row>
    <row r="3932" spans="1:51" hidden="1">
      <c r="A3932">
        <v>101352</v>
      </c>
      <c r="B3932" t="s">
        <v>723</v>
      </c>
      <c r="C3932" t="str">
        <f>""</f>
        <v/>
      </c>
      <c r="D3932" t="str">
        <f>""</f>
        <v/>
      </c>
      <c r="E3932" t="s">
        <v>52</v>
      </c>
      <c r="F3932">
        <v>2015</v>
      </c>
      <c r="G3932">
        <v>187</v>
      </c>
      <c r="H3932" s="1">
        <v>42160</v>
      </c>
      <c r="I3932" s="1">
        <v>42171</v>
      </c>
      <c r="J3932" s="1">
        <v>42171</v>
      </c>
      <c r="K3932" s="1">
        <v>42231</v>
      </c>
      <c r="N3932" s="5"/>
      <c r="O3932" s="2">
        <v>3000</v>
      </c>
      <c r="P3932">
        <v>45</v>
      </c>
      <c r="Q3932" s="2">
        <v>135000</v>
      </c>
      <c r="R3932">
        <v>0</v>
      </c>
      <c r="V3932">
        <v>0</v>
      </c>
      <c r="W3932">
        <v>0</v>
      </c>
      <c r="X3932">
        <v>0</v>
      </c>
      <c r="Y3932" s="2">
        <v>3000</v>
      </c>
      <c r="Z3932" s="2">
        <v>3000</v>
      </c>
      <c r="AA3932" s="2">
        <v>3000</v>
      </c>
      <c r="AB3932" s="1">
        <v>42382</v>
      </c>
      <c r="AC3932" t="s">
        <v>53</v>
      </c>
      <c r="AD3932" t="s">
        <v>53</v>
      </c>
      <c r="AK3932">
        <v>0</v>
      </c>
      <c r="AU3932" s="6">
        <v>42276</v>
      </c>
      <c r="AV3932" s="6">
        <v>42276</v>
      </c>
      <c r="AW3932" t="s">
        <v>54</v>
      </c>
      <c r="AX3932" t="str">
        <f t="shared" si="332"/>
        <v>FOR</v>
      </c>
      <c r="AY3932" t="s">
        <v>55</v>
      </c>
    </row>
    <row r="3933" spans="1:51">
      <c r="A3933">
        <v>101352</v>
      </c>
      <c r="B3933" t="s">
        <v>723</v>
      </c>
      <c r="C3933" t="str">
        <f>""</f>
        <v/>
      </c>
      <c r="D3933" t="str">
        <f>""</f>
        <v/>
      </c>
      <c r="E3933" t="s">
        <v>52</v>
      </c>
      <c r="F3933">
        <v>2015</v>
      </c>
      <c r="G3933">
        <v>249</v>
      </c>
      <c r="H3933" s="1">
        <v>42200</v>
      </c>
      <c r="I3933" s="1">
        <v>42205</v>
      </c>
      <c r="J3933" s="1">
        <v>42205</v>
      </c>
      <c r="K3933" s="1">
        <v>42265</v>
      </c>
      <c r="L3933" s="7">
        <v>3000</v>
      </c>
      <c r="M3933" s="5">
        <v>20</v>
      </c>
      <c r="N3933" s="7">
        <v>60000</v>
      </c>
      <c r="O3933" s="2">
        <v>3000</v>
      </c>
      <c r="P3933">
        <v>20</v>
      </c>
      <c r="Q3933" s="2">
        <v>60000</v>
      </c>
      <c r="R3933">
        <v>0</v>
      </c>
      <c r="V3933">
        <v>0</v>
      </c>
      <c r="W3933">
        <v>0</v>
      </c>
      <c r="X3933">
        <v>0</v>
      </c>
      <c r="Y3933" s="2">
        <v>3000</v>
      </c>
      <c r="Z3933" s="2">
        <v>3000</v>
      </c>
      <c r="AA3933" s="2">
        <v>3000</v>
      </c>
      <c r="AB3933" s="1">
        <v>42382</v>
      </c>
      <c r="AC3933" t="s">
        <v>53</v>
      </c>
      <c r="AD3933" t="s">
        <v>53</v>
      </c>
      <c r="AK3933">
        <v>0</v>
      </c>
      <c r="AU3933" s="6">
        <v>42285</v>
      </c>
      <c r="AV3933" s="6">
        <v>42285</v>
      </c>
      <c r="AW3933" t="s">
        <v>54</v>
      </c>
      <c r="AX3933" t="str">
        <f t="shared" si="332"/>
        <v>FOR</v>
      </c>
      <c r="AY3933" t="s">
        <v>55</v>
      </c>
    </row>
    <row r="3934" spans="1:51">
      <c r="A3934">
        <v>101352</v>
      </c>
      <c r="B3934" t="s">
        <v>723</v>
      </c>
      <c r="C3934" t="str">
        <f>""</f>
        <v/>
      </c>
      <c r="D3934" t="str">
        <f>""</f>
        <v/>
      </c>
      <c r="E3934" t="s">
        <v>52</v>
      </c>
      <c r="F3934">
        <v>2015</v>
      </c>
      <c r="G3934">
        <v>321</v>
      </c>
      <c r="H3934" s="1">
        <v>42251</v>
      </c>
      <c r="I3934" s="1">
        <v>42257</v>
      </c>
      <c r="J3934" s="1">
        <v>42257</v>
      </c>
      <c r="K3934" s="1">
        <v>42317</v>
      </c>
      <c r="L3934" s="7">
        <v>9000</v>
      </c>
      <c r="M3934" s="5">
        <v>-32</v>
      </c>
      <c r="N3934" s="7">
        <v>-288000</v>
      </c>
      <c r="O3934" s="2">
        <v>9000</v>
      </c>
      <c r="P3934">
        <v>-32</v>
      </c>
      <c r="Q3934" s="2">
        <v>-288000</v>
      </c>
      <c r="R3934">
        <v>0</v>
      </c>
      <c r="V3934">
        <v>0</v>
      </c>
      <c r="W3934">
        <v>0</v>
      </c>
      <c r="X3934">
        <v>0</v>
      </c>
      <c r="Y3934" s="2">
        <v>9000</v>
      </c>
      <c r="Z3934" s="2">
        <v>9000</v>
      </c>
      <c r="AA3934" s="2">
        <v>9000</v>
      </c>
      <c r="AB3934" s="1">
        <v>42382</v>
      </c>
      <c r="AC3934" t="s">
        <v>53</v>
      </c>
      <c r="AD3934" t="s">
        <v>53</v>
      </c>
      <c r="AK3934">
        <v>0</v>
      </c>
      <c r="AU3934" s="6">
        <v>42285</v>
      </c>
      <c r="AV3934" s="6">
        <v>42285</v>
      </c>
      <c r="AW3934" t="s">
        <v>54</v>
      </c>
      <c r="AX3934" t="str">
        <f t="shared" si="332"/>
        <v>FOR</v>
      </c>
      <c r="AY3934" t="s">
        <v>55</v>
      </c>
    </row>
    <row r="3935" spans="1:51">
      <c r="A3935">
        <v>101352</v>
      </c>
      <c r="B3935" t="s">
        <v>723</v>
      </c>
      <c r="C3935" t="str">
        <f>""</f>
        <v/>
      </c>
      <c r="D3935" t="str">
        <f>""</f>
        <v/>
      </c>
      <c r="E3935" t="s">
        <v>52</v>
      </c>
      <c r="F3935">
        <v>2015</v>
      </c>
      <c r="G3935">
        <v>335</v>
      </c>
      <c r="H3935" s="1">
        <v>42312</v>
      </c>
      <c r="I3935" s="1">
        <v>42352</v>
      </c>
      <c r="J3935" s="1">
        <v>42352</v>
      </c>
      <c r="K3935" s="1">
        <v>42412</v>
      </c>
      <c r="L3935" s="7">
        <v>6000</v>
      </c>
      <c r="M3935" s="5">
        <v>-59</v>
      </c>
      <c r="N3935" s="7">
        <v>-354000</v>
      </c>
      <c r="O3935" s="2">
        <v>6000</v>
      </c>
      <c r="P3935">
        <v>-59</v>
      </c>
      <c r="Q3935" s="2">
        <v>-354000</v>
      </c>
      <c r="R3935">
        <v>0</v>
      </c>
      <c r="V3935" s="2">
        <v>6000</v>
      </c>
      <c r="W3935" s="2">
        <v>6000</v>
      </c>
      <c r="X3935" s="2">
        <v>6000</v>
      </c>
      <c r="Y3935" s="2">
        <v>6000</v>
      </c>
      <c r="Z3935" s="2">
        <v>6000</v>
      </c>
      <c r="AA3935" s="2">
        <v>6000</v>
      </c>
      <c r="AB3935" s="1">
        <v>42382</v>
      </c>
      <c r="AC3935" t="s">
        <v>53</v>
      </c>
      <c r="AD3935" t="s">
        <v>53</v>
      </c>
      <c r="AK3935">
        <v>0</v>
      </c>
      <c r="AU3935" s="6">
        <v>42353</v>
      </c>
      <c r="AV3935" s="6">
        <v>42353</v>
      </c>
      <c r="AW3935" t="s">
        <v>54</v>
      </c>
      <c r="AX3935" t="str">
        <f t="shared" si="332"/>
        <v>FOR</v>
      </c>
      <c r="AY3935" t="s">
        <v>55</v>
      </c>
    </row>
    <row r="3936" spans="1:51" hidden="1">
      <c r="A3936">
        <v>101356</v>
      </c>
      <c r="B3936" t="s">
        <v>724</v>
      </c>
      <c r="C3936" t="str">
        <f t="shared" ref="C3936:C3960" si="334">"00567650122"</f>
        <v>00567650122</v>
      </c>
      <c r="D3936" t="str">
        <f t="shared" ref="D3936:D3960" si="335">"PNILRA46P47I441K"</f>
        <v>PNILRA46P47I441K</v>
      </c>
      <c r="E3936" t="s">
        <v>52</v>
      </c>
      <c r="F3936">
        <v>2013</v>
      </c>
      <c r="G3936">
        <v>865</v>
      </c>
      <c r="H3936" s="1">
        <v>41547</v>
      </c>
      <c r="I3936" s="1">
        <v>41561</v>
      </c>
      <c r="J3936" s="1">
        <v>41561</v>
      </c>
      <c r="K3936" s="1">
        <v>41651</v>
      </c>
      <c r="N3936" s="5"/>
      <c r="O3936">
        <v>141.27000000000001</v>
      </c>
      <c r="P3936">
        <v>395</v>
      </c>
      <c r="Q3936" s="2">
        <v>55801.65</v>
      </c>
      <c r="R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 s="1">
        <v>42382</v>
      </c>
      <c r="AC3936" t="s">
        <v>53</v>
      </c>
      <c r="AD3936" t="s">
        <v>53</v>
      </c>
      <c r="AK3936">
        <v>0</v>
      </c>
      <c r="AU3936" s="6">
        <v>42046</v>
      </c>
      <c r="AV3936" s="6">
        <v>42046</v>
      </c>
      <c r="AW3936" t="s">
        <v>54</v>
      </c>
      <c r="AX3936" t="str">
        <f t="shared" si="332"/>
        <v>FOR</v>
      </c>
      <c r="AY3936" t="s">
        <v>55</v>
      </c>
    </row>
    <row r="3937" spans="1:51" hidden="1">
      <c r="A3937">
        <v>101356</v>
      </c>
      <c r="B3937" t="s">
        <v>724</v>
      </c>
      <c r="C3937" t="str">
        <f t="shared" si="334"/>
        <v>00567650122</v>
      </c>
      <c r="D3937" t="str">
        <f t="shared" si="335"/>
        <v>PNILRA46P47I441K</v>
      </c>
      <c r="E3937" t="s">
        <v>52</v>
      </c>
      <c r="F3937">
        <v>2014</v>
      </c>
      <c r="G3937">
        <v>160</v>
      </c>
      <c r="H3937" s="1">
        <v>41698</v>
      </c>
      <c r="I3937" s="1">
        <v>41712</v>
      </c>
      <c r="J3937" s="1">
        <v>41712</v>
      </c>
      <c r="K3937" s="1">
        <v>41802</v>
      </c>
      <c r="N3937" s="5"/>
      <c r="O3937">
        <v>316.41000000000003</v>
      </c>
      <c r="P3937">
        <v>216</v>
      </c>
      <c r="Q3937" s="2">
        <v>68344.56</v>
      </c>
      <c r="R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 s="1">
        <v>42382</v>
      </c>
      <c r="AC3937" t="s">
        <v>53</v>
      </c>
      <c r="AD3937" t="s">
        <v>53</v>
      </c>
      <c r="AK3937">
        <v>0</v>
      </c>
      <c r="AU3937" s="6">
        <v>42018</v>
      </c>
      <c r="AV3937" s="6">
        <v>42018</v>
      </c>
      <c r="AW3937" t="s">
        <v>54</v>
      </c>
      <c r="AX3937" t="str">
        <f t="shared" si="332"/>
        <v>FOR</v>
      </c>
      <c r="AY3937" t="s">
        <v>55</v>
      </c>
    </row>
    <row r="3938" spans="1:51" hidden="1">
      <c r="A3938">
        <v>101356</v>
      </c>
      <c r="B3938" t="s">
        <v>724</v>
      </c>
      <c r="C3938" t="str">
        <f t="shared" si="334"/>
        <v>00567650122</v>
      </c>
      <c r="D3938" t="str">
        <f t="shared" si="335"/>
        <v>PNILRA46P47I441K</v>
      </c>
      <c r="E3938" t="s">
        <v>52</v>
      </c>
      <c r="F3938">
        <v>2014</v>
      </c>
      <c r="G3938">
        <v>161</v>
      </c>
      <c r="H3938" s="1">
        <v>41698</v>
      </c>
      <c r="I3938" s="1">
        <v>41712</v>
      </c>
      <c r="J3938" s="1">
        <v>41712</v>
      </c>
      <c r="K3938" s="1">
        <v>41802</v>
      </c>
      <c r="N3938" s="5"/>
      <c r="O3938">
        <v>68.319999999999993</v>
      </c>
      <c r="P3938">
        <v>216</v>
      </c>
      <c r="Q3938" s="2">
        <v>14757.12</v>
      </c>
      <c r="R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 s="1">
        <v>42382</v>
      </c>
      <c r="AC3938" t="s">
        <v>53</v>
      </c>
      <c r="AD3938" t="s">
        <v>53</v>
      </c>
      <c r="AK3938">
        <v>0</v>
      </c>
      <c r="AU3938" s="6">
        <v>42018</v>
      </c>
      <c r="AV3938" s="6">
        <v>42018</v>
      </c>
      <c r="AW3938" t="s">
        <v>54</v>
      </c>
      <c r="AX3938" t="str">
        <f t="shared" si="332"/>
        <v>FOR</v>
      </c>
      <c r="AY3938" t="s">
        <v>55</v>
      </c>
    </row>
    <row r="3939" spans="1:51" hidden="1">
      <c r="A3939">
        <v>101356</v>
      </c>
      <c r="B3939" t="s">
        <v>724</v>
      </c>
      <c r="C3939" t="str">
        <f t="shared" si="334"/>
        <v>00567650122</v>
      </c>
      <c r="D3939" t="str">
        <f t="shared" si="335"/>
        <v>PNILRA46P47I441K</v>
      </c>
      <c r="E3939" t="s">
        <v>52</v>
      </c>
      <c r="F3939">
        <v>2014</v>
      </c>
      <c r="G3939">
        <v>321</v>
      </c>
      <c r="H3939" s="1">
        <v>41729</v>
      </c>
      <c r="I3939" s="1">
        <v>41745</v>
      </c>
      <c r="J3939" s="1">
        <v>41745</v>
      </c>
      <c r="K3939" s="1">
        <v>41835</v>
      </c>
      <c r="N3939" s="5"/>
      <c r="O3939">
        <v>341.91</v>
      </c>
      <c r="P3939">
        <v>202</v>
      </c>
      <c r="Q3939" s="2">
        <v>69065.820000000007</v>
      </c>
      <c r="R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 s="1">
        <v>42382</v>
      </c>
      <c r="AC3939" t="s">
        <v>53</v>
      </c>
      <c r="AD3939" t="s">
        <v>53</v>
      </c>
      <c r="AK3939">
        <v>0</v>
      </c>
      <c r="AU3939" s="6">
        <v>42037</v>
      </c>
      <c r="AV3939" s="6">
        <v>42037</v>
      </c>
      <c r="AW3939" t="s">
        <v>54</v>
      </c>
      <c r="AX3939" t="str">
        <f t="shared" si="332"/>
        <v>FOR</v>
      </c>
      <c r="AY3939" t="s">
        <v>55</v>
      </c>
    </row>
    <row r="3940" spans="1:51" hidden="1">
      <c r="A3940">
        <v>101356</v>
      </c>
      <c r="B3940" t="s">
        <v>724</v>
      </c>
      <c r="C3940" t="str">
        <f t="shared" si="334"/>
        <v>00567650122</v>
      </c>
      <c r="D3940" t="str">
        <f t="shared" si="335"/>
        <v>PNILRA46P47I441K</v>
      </c>
      <c r="E3940" t="s">
        <v>52</v>
      </c>
      <c r="F3940">
        <v>2014</v>
      </c>
      <c r="G3940">
        <v>322</v>
      </c>
      <c r="H3940" s="1">
        <v>41729</v>
      </c>
      <c r="I3940" s="1">
        <v>41745</v>
      </c>
      <c r="J3940" s="1">
        <v>41745</v>
      </c>
      <c r="K3940" s="1">
        <v>41835</v>
      </c>
      <c r="N3940" s="5"/>
      <c r="O3940">
        <v>142.44</v>
      </c>
      <c r="P3940">
        <v>202</v>
      </c>
      <c r="Q3940" s="2">
        <v>28772.880000000001</v>
      </c>
      <c r="R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 s="1">
        <v>42382</v>
      </c>
      <c r="AC3940" t="s">
        <v>53</v>
      </c>
      <c r="AD3940" t="s">
        <v>53</v>
      </c>
      <c r="AK3940">
        <v>0</v>
      </c>
      <c r="AU3940" s="6">
        <v>42037</v>
      </c>
      <c r="AV3940" s="6">
        <v>42037</v>
      </c>
      <c r="AW3940" t="s">
        <v>54</v>
      </c>
      <c r="AX3940" t="str">
        <f t="shared" si="332"/>
        <v>FOR</v>
      </c>
      <c r="AY3940" t="s">
        <v>55</v>
      </c>
    </row>
    <row r="3941" spans="1:51" hidden="1">
      <c r="A3941">
        <v>101356</v>
      </c>
      <c r="B3941" t="s">
        <v>724</v>
      </c>
      <c r="C3941" t="str">
        <f t="shared" si="334"/>
        <v>00567650122</v>
      </c>
      <c r="D3941" t="str">
        <f t="shared" si="335"/>
        <v>PNILRA46P47I441K</v>
      </c>
      <c r="E3941" t="s">
        <v>52</v>
      </c>
      <c r="F3941">
        <v>2014</v>
      </c>
      <c r="G3941">
        <v>411</v>
      </c>
      <c r="H3941" s="1">
        <v>41759</v>
      </c>
      <c r="I3941" s="1">
        <v>41773</v>
      </c>
      <c r="J3941" s="1">
        <v>41773</v>
      </c>
      <c r="K3941" s="1">
        <v>41863</v>
      </c>
      <c r="N3941" s="5"/>
      <c r="O3941">
        <v>324.52</v>
      </c>
      <c r="P3941">
        <v>199</v>
      </c>
      <c r="Q3941" s="2">
        <v>64579.48</v>
      </c>
      <c r="R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 s="1">
        <v>42382</v>
      </c>
      <c r="AC3941" t="s">
        <v>53</v>
      </c>
      <c r="AD3941" t="s">
        <v>53</v>
      </c>
      <c r="AK3941">
        <v>0</v>
      </c>
      <c r="AU3941" s="6">
        <v>42062</v>
      </c>
      <c r="AV3941" s="6">
        <v>42062</v>
      </c>
      <c r="AW3941" t="s">
        <v>54</v>
      </c>
      <c r="AX3941" t="str">
        <f t="shared" si="332"/>
        <v>FOR</v>
      </c>
      <c r="AY3941" t="s">
        <v>55</v>
      </c>
    </row>
    <row r="3942" spans="1:51" hidden="1">
      <c r="A3942">
        <v>101356</v>
      </c>
      <c r="B3942" t="s">
        <v>724</v>
      </c>
      <c r="C3942" t="str">
        <f t="shared" si="334"/>
        <v>00567650122</v>
      </c>
      <c r="D3942" t="str">
        <f t="shared" si="335"/>
        <v>PNILRA46P47I441K</v>
      </c>
      <c r="E3942" t="s">
        <v>52</v>
      </c>
      <c r="F3942">
        <v>2014</v>
      </c>
      <c r="G3942">
        <v>501</v>
      </c>
      <c r="H3942" s="1">
        <v>41789</v>
      </c>
      <c r="I3942" s="1">
        <v>41796</v>
      </c>
      <c r="J3942" s="1">
        <v>41796</v>
      </c>
      <c r="K3942" s="1">
        <v>41886</v>
      </c>
      <c r="N3942" s="5"/>
      <c r="O3942">
        <v>319.88</v>
      </c>
      <c r="P3942">
        <v>210</v>
      </c>
      <c r="Q3942" s="2">
        <v>67174.8</v>
      </c>
      <c r="R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 s="1">
        <v>42382</v>
      </c>
      <c r="AC3942" t="s">
        <v>53</v>
      </c>
      <c r="AD3942" t="s">
        <v>53</v>
      </c>
      <c r="AK3942">
        <v>0</v>
      </c>
      <c r="AU3942" s="6">
        <v>42096</v>
      </c>
      <c r="AV3942" s="6">
        <v>42096</v>
      </c>
      <c r="AW3942" t="s">
        <v>54</v>
      </c>
      <c r="AX3942" t="str">
        <f t="shared" si="332"/>
        <v>FOR</v>
      </c>
      <c r="AY3942" t="s">
        <v>55</v>
      </c>
    </row>
    <row r="3943" spans="1:51" hidden="1">
      <c r="A3943">
        <v>101356</v>
      </c>
      <c r="B3943" t="s">
        <v>724</v>
      </c>
      <c r="C3943" t="str">
        <f t="shared" si="334"/>
        <v>00567650122</v>
      </c>
      <c r="D3943" t="str">
        <f t="shared" si="335"/>
        <v>PNILRA46P47I441K</v>
      </c>
      <c r="E3943" t="s">
        <v>52</v>
      </c>
      <c r="F3943">
        <v>2014</v>
      </c>
      <c r="G3943">
        <v>502</v>
      </c>
      <c r="H3943" s="1">
        <v>41789</v>
      </c>
      <c r="I3943" s="1">
        <v>41796</v>
      </c>
      <c r="J3943" s="1">
        <v>41796</v>
      </c>
      <c r="K3943" s="1">
        <v>41886</v>
      </c>
      <c r="N3943" s="5"/>
      <c r="O3943">
        <v>68.319999999999993</v>
      </c>
      <c r="P3943">
        <v>210</v>
      </c>
      <c r="Q3943" s="2">
        <v>14347.2</v>
      </c>
      <c r="R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 s="1">
        <v>42382</v>
      </c>
      <c r="AC3943" t="s">
        <v>53</v>
      </c>
      <c r="AD3943" t="s">
        <v>53</v>
      </c>
      <c r="AK3943">
        <v>0</v>
      </c>
      <c r="AU3943" s="6">
        <v>42096</v>
      </c>
      <c r="AV3943" s="6">
        <v>42096</v>
      </c>
      <c r="AW3943" t="s">
        <v>54</v>
      </c>
      <c r="AX3943" t="str">
        <f t="shared" si="332"/>
        <v>FOR</v>
      </c>
      <c r="AY3943" t="s">
        <v>55</v>
      </c>
    </row>
    <row r="3944" spans="1:51" hidden="1">
      <c r="A3944">
        <v>101356</v>
      </c>
      <c r="B3944" t="s">
        <v>724</v>
      </c>
      <c r="C3944" t="str">
        <f t="shared" si="334"/>
        <v>00567650122</v>
      </c>
      <c r="D3944" t="str">
        <f t="shared" si="335"/>
        <v>PNILRA46P47I441K</v>
      </c>
      <c r="E3944" t="s">
        <v>52</v>
      </c>
      <c r="F3944">
        <v>2014</v>
      </c>
      <c r="G3944">
        <v>582</v>
      </c>
      <c r="H3944" s="1">
        <v>41813</v>
      </c>
      <c r="I3944" s="1">
        <v>41817</v>
      </c>
      <c r="J3944" s="1">
        <v>41817</v>
      </c>
      <c r="K3944" s="1">
        <v>41907</v>
      </c>
      <c r="N3944" s="5"/>
      <c r="O3944">
        <v>51.85</v>
      </c>
      <c r="P3944">
        <v>225</v>
      </c>
      <c r="Q3944" s="2">
        <v>11666.25</v>
      </c>
      <c r="R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 s="1">
        <v>42382</v>
      </c>
      <c r="AC3944" t="s">
        <v>53</v>
      </c>
      <c r="AD3944" t="s">
        <v>53</v>
      </c>
      <c r="AK3944">
        <v>0</v>
      </c>
      <c r="AU3944" s="6">
        <v>42132</v>
      </c>
      <c r="AV3944" s="6">
        <v>42132</v>
      </c>
      <c r="AW3944" t="s">
        <v>54</v>
      </c>
      <c r="AX3944" t="str">
        <f t="shared" si="332"/>
        <v>FOR</v>
      </c>
      <c r="AY3944" t="s">
        <v>55</v>
      </c>
    </row>
    <row r="3945" spans="1:51" hidden="1">
      <c r="A3945">
        <v>101356</v>
      </c>
      <c r="B3945" t="s">
        <v>724</v>
      </c>
      <c r="C3945" t="str">
        <f t="shared" si="334"/>
        <v>00567650122</v>
      </c>
      <c r="D3945" t="str">
        <f t="shared" si="335"/>
        <v>PNILRA46P47I441K</v>
      </c>
      <c r="E3945" t="s">
        <v>52</v>
      </c>
      <c r="F3945">
        <v>2014</v>
      </c>
      <c r="G3945">
        <v>665</v>
      </c>
      <c r="H3945" s="1">
        <v>41820</v>
      </c>
      <c r="I3945" s="1">
        <v>41834</v>
      </c>
      <c r="J3945" s="1">
        <v>41834</v>
      </c>
      <c r="K3945" s="1">
        <v>41924</v>
      </c>
      <c r="N3945" s="5"/>
      <c r="O3945">
        <v>331.47</v>
      </c>
      <c r="P3945">
        <v>208</v>
      </c>
      <c r="Q3945" s="2">
        <v>68945.759999999995</v>
      </c>
      <c r="R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 s="1">
        <v>42382</v>
      </c>
      <c r="AC3945" t="s">
        <v>53</v>
      </c>
      <c r="AD3945" t="s">
        <v>53</v>
      </c>
      <c r="AK3945">
        <v>0</v>
      </c>
      <c r="AU3945" s="6">
        <v>42132</v>
      </c>
      <c r="AV3945" s="6">
        <v>42132</v>
      </c>
      <c r="AW3945" t="s">
        <v>54</v>
      </c>
      <c r="AX3945" t="str">
        <f t="shared" si="332"/>
        <v>FOR</v>
      </c>
      <c r="AY3945" t="s">
        <v>55</v>
      </c>
    </row>
    <row r="3946" spans="1:51" hidden="1">
      <c r="A3946">
        <v>101356</v>
      </c>
      <c r="B3946" t="s">
        <v>724</v>
      </c>
      <c r="C3946" t="str">
        <f t="shared" si="334"/>
        <v>00567650122</v>
      </c>
      <c r="D3946" t="str">
        <f t="shared" si="335"/>
        <v>PNILRA46P47I441K</v>
      </c>
      <c r="E3946" t="s">
        <v>52</v>
      </c>
      <c r="F3946">
        <v>2014</v>
      </c>
      <c r="G3946">
        <v>666</v>
      </c>
      <c r="H3946" s="1">
        <v>41820</v>
      </c>
      <c r="I3946" s="1">
        <v>41834</v>
      </c>
      <c r="J3946" s="1">
        <v>41834</v>
      </c>
      <c r="K3946" s="1">
        <v>41924</v>
      </c>
      <c r="N3946" s="5"/>
      <c r="O3946">
        <v>142.44</v>
      </c>
      <c r="P3946">
        <v>208</v>
      </c>
      <c r="Q3946" s="2">
        <v>29627.52</v>
      </c>
      <c r="R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 s="1">
        <v>42382</v>
      </c>
      <c r="AC3946" t="s">
        <v>53</v>
      </c>
      <c r="AD3946" t="s">
        <v>53</v>
      </c>
      <c r="AK3946">
        <v>0</v>
      </c>
      <c r="AU3946" s="6">
        <v>42132</v>
      </c>
      <c r="AV3946" s="6">
        <v>42132</v>
      </c>
      <c r="AW3946" t="s">
        <v>54</v>
      </c>
      <c r="AX3946" t="str">
        <f t="shared" si="332"/>
        <v>FOR</v>
      </c>
      <c r="AY3946" t="s">
        <v>55</v>
      </c>
    </row>
    <row r="3947" spans="1:51" hidden="1">
      <c r="A3947">
        <v>101356</v>
      </c>
      <c r="B3947" t="s">
        <v>724</v>
      </c>
      <c r="C3947" t="str">
        <f t="shared" si="334"/>
        <v>00567650122</v>
      </c>
      <c r="D3947" t="str">
        <f t="shared" si="335"/>
        <v>PNILRA46P47I441K</v>
      </c>
      <c r="E3947" t="s">
        <v>52</v>
      </c>
      <c r="F3947">
        <v>2014</v>
      </c>
      <c r="G3947">
        <v>758</v>
      </c>
      <c r="H3947" s="1">
        <v>41851</v>
      </c>
      <c r="I3947" s="1">
        <v>41873</v>
      </c>
      <c r="J3947" s="1">
        <v>41873</v>
      </c>
      <c r="K3947" s="1">
        <v>41963</v>
      </c>
      <c r="N3947" s="5"/>
      <c r="O3947">
        <v>319.88</v>
      </c>
      <c r="P3947">
        <v>196</v>
      </c>
      <c r="Q3947" s="2">
        <v>62696.480000000003</v>
      </c>
      <c r="R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 s="1">
        <v>42382</v>
      </c>
      <c r="AC3947" t="s">
        <v>53</v>
      </c>
      <c r="AD3947" t="s">
        <v>53</v>
      </c>
      <c r="AK3947">
        <v>0</v>
      </c>
      <c r="AU3947" s="6">
        <v>42159</v>
      </c>
      <c r="AV3947" s="6">
        <v>42159</v>
      </c>
      <c r="AW3947" t="s">
        <v>54</v>
      </c>
      <c r="AX3947" t="str">
        <f t="shared" si="332"/>
        <v>FOR</v>
      </c>
      <c r="AY3947" t="s">
        <v>55</v>
      </c>
    </row>
    <row r="3948" spans="1:51" hidden="1">
      <c r="A3948">
        <v>101356</v>
      </c>
      <c r="B3948" t="s">
        <v>724</v>
      </c>
      <c r="C3948" t="str">
        <f t="shared" si="334"/>
        <v>00567650122</v>
      </c>
      <c r="D3948" t="str">
        <f t="shared" si="335"/>
        <v>PNILRA46P47I441K</v>
      </c>
      <c r="E3948" t="s">
        <v>52</v>
      </c>
      <c r="F3948">
        <v>2014</v>
      </c>
      <c r="G3948">
        <v>846</v>
      </c>
      <c r="H3948" s="1">
        <v>41880</v>
      </c>
      <c r="I3948" s="1">
        <v>41913</v>
      </c>
      <c r="J3948" s="1">
        <v>41913</v>
      </c>
      <c r="K3948" s="1">
        <v>42003</v>
      </c>
      <c r="N3948" s="5"/>
      <c r="O3948">
        <v>319.88</v>
      </c>
      <c r="P3948">
        <v>156</v>
      </c>
      <c r="Q3948" s="2">
        <v>49901.279999999999</v>
      </c>
      <c r="R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 s="1">
        <v>42382</v>
      </c>
      <c r="AC3948" t="s">
        <v>53</v>
      </c>
      <c r="AD3948" t="s">
        <v>53</v>
      </c>
      <c r="AK3948">
        <v>0</v>
      </c>
      <c r="AU3948" s="6">
        <v>42159</v>
      </c>
      <c r="AV3948" s="6">
        <v>42159</v>
      </c>
      <c r="AW3948" t="s">
        <v>54</v>
      </c>
      <c r="AX3948" t="str">
        <f t="shared" si="332"/>
        <v>FOR</v>
      </c>
      <c r="AY3948" t="s">
        <v>55</v>
      </c>
    </row>
    <row r="3949" spans="1:51" hidden="1">
      <c r="A3949">
        <v>101356</v>
      </c>
      <c r="B3949" t="s">
        <v>724</v>
      </c>
      <c r="C3949" t="str">
        <f t="shared" si="334"/>
        <v>00567650122</v>
      </c>
      <c r="D3949" t="str">
        <f t="shared" si="335"/>
        <v>PNILRA46P47I441K</v>
      </c>
      <c r="E3949" t="s">
        <v>52</v>
      </c>
      <c r="F3949">
        <v>2014</v>
      </c>
      <c r="G3949">
        <v>847</v>
      </c>
      <c r="H3949" s="1">
        <v>41880</v>
      </c>
      <c r="I3949" s="1">
        <v>41913</v>
      </c>
      <c r="J3949" s="1">
        <v>41913</v>
      </c>
      <c r="K3949" s="1">
        <v>42003</v>
      </c>
      <c r="N3949" s="5"/>
      <c r="O3949">
        <v>68.319999999999993</v>
      </c>
      <c r="P3949">
        <v>156</v>
      </c>
      <c r="Q3949" s="2">
        <v>10657.92</v>
      </c>
      <c r="R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 s="1">
        <v>42382</v>
      </c>
      <c r="AC3949" t="s">
        <v>53</v>
      </c>
      <c r="AD3949" t="s">
        <v>53</v>
      </c>
      <c r="AK3949">
        <v>0</v>
      </c>
      <c r="AU3949" s="6">
        <v>42159</v>
      </c>
      <c r="AV3949" s="6">
        <v>42159</v>
      </c>
      <c r="AW3949" t="s">
        <v>54</v>
      </c>
      <c r="AX3949" t="str">
        <f t="shared" si="332"/>
        <v>FOR</v>
      </c>
      <c r="AY3949" t="s">
        <v>55</v>
      </c>
    </row>
    <row r="3950" spans="1:51" hidden="1">
      <c r="A3950">
        <v>101356</v>
      </c>
      <c r="B3950" t="s">
        <v>724</v>
      </c>
      <c r="C3950" t="str">
        <f t="shared" si="334"/>
        <v>00567650122</v>
      </c>
      <c r="D3950" t="str">
        <f t="shared" si="335"/>
        <v>PNILRA46P47I441K</v>
      </c>
      <c r="E3950" t="s">
        <v>52</v>
      </c>
      <c r="F3950">
        <v>2014</v>
      </c>
      <c r="G3950">
        <v>969</v>
      </c>
      <c r="H3950" s="1">
        <v>41912</v>
      </c>
      <c r="I3950" s="1">
        <v>41929</v>
      </c>
      <c r="J3950" s="1">
        <v>41929</v>
      </c>
      <c r="K3950" s="1">
        <v>41989</v>
      </c>
      <c r="N3950" s="5"/>
      <c r="O3950">
        <v>332.63</v>
      </c>
      <c r="P3950">
        <v>260</v>
      </c>
      <c r="Q3950" s="2">
        <v>86483.8</v>
      </c>
      <c r="R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 s="1">
        <v>42382</v>
      </c>
      <c r="AC3950" t="s">
        <v>53</v>
      </c>
      <c r="AD3950" t="s">
        <v>53</v>
      </c>
      <c r="AK3950">
        <v>0</v>
      </c>
      <c r="AU3950" s="6">
        <v>42249</v>
      </c>
      <c r="AV3950" s="6">
        <v>42249</v>
      </c>
      <c r="AW3950" t="s">
        <v>54</v>
      </c>
      <c r="AX3950" t="str">
        <f t="shared" si="332"/>
        <v>FOR</v>
      </c>
      <c r="AY3950" t="s">
        <v>55</v>
      </c>
    </row>
    <row r="3951" spans="1:51" hidden="1">
      <c r="A3951">
        <v>101356</v>
      </c>
      <c r="B3951" t="s">
        <v>724</v>
      </c>
      <c r="C3951" t="str">
        <f t="shared" si="334"/>
        <v>00567650122</v>
      </c>
      <c r="D3951" t="str">
        <f t="shared" si="335"/>
        <v>PNILRA46P47I441K</v>
      </c>
      <c r="E3951" t="s">
        <v>52</v>
      </c>
      <c r="F3951">
        <v>2014</v>
      </c>
      <c r="G3951">
        <v>970</v>
      </c>
      <c r="H3951" s="1">
        <v>41912</v>
      </c>
      <c r="I3951" s="1">
        <v>41929</v>
      </c>
      <c r="J3951" s="1">
        <v>41929</v>
      </c>
      <c r="K3951" s="1">
        <v>41989</v>
      </c>
      <c r="N3951" s="5"/>
      <c r="O3951">
        <v>142.44</v>
      </c>
      <c r="P3951">
        <v>260</v>
      </c>
      <c r="Q3951" s="2">
        <v>37034.400000000001</v>
      </c>
      <c r="R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 s="1">
        <v>42382</v>
      </c>
      <c r="AC3951" t="s">
        <v>53</v>
      </c>
      <c r="AD3951" t="s">
        <v>53</v>
      </c>
      <c r="AK3951">
        <v>0</v>
      </c>
      <c r="AU3951" s="6">
        <v>42249</v>
      </c>
      <c r="AV3951" s="6">
        <v>42249</v>
      </c>
      <c r="AW3951" t="s">
        <v>54</v>
      </c>
      <c r="AX3951" t="str">
        <f t="shared" si="332"/>
        <v>FOR</v>
      </c>
      <c r="AY3951" t="s">
        <v>55</v>
      </c>
    </row>
    <row r="3952" spans="1:51" hidden="1">
      <c r="A3952">
        <v>101356</v>
      </c>
      <c r="B3952" t="s">
        <v>724</v>
      </c>
      <c r="C3952" t="str">
        <f t="shared" si="334"/>
        <v>00567650122</v>
      </c>
      <c r="D3952" t="str">
        <f t="shared" si="335"/>
        <v>PNILRA46P47I441K</v>
      </c>
      <c r="E3952" t="s">
        <v>52</v>
      </c>
      <c r="F3952">
        <v>2014</v>
      </c>
      <c r="G3952">
        <v>1110</v>
      </c>
      <c r="H3952" s="1">
        <v>41943</v>
      </c>
      <c r="I3952" s="1">
        <v>41962</v>
      </c>
      <c r="J3952" s="1">
        <v>41962</v>
      </c>
      <c r="K3952" s="1">
        <v>42022</v>
      </c>
      <c r="N3952" s="5"/>
      <c r="O3952">
        <v>324.52</v>
      </c>
      <c r="P3952">
        <v>255</v>
      </c>
      <c r="Q3952" s="2">
        <v>82752.600000000006</v>
      </c>
      <c r="R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 s="1">
        <v>42382</v>
      </c>
      <c r="AC3952" t="s">
        <v>53</v>
      </c>
      <c r="AD3952" t="s">
        <v>53</v>
      </c>
      <c r="AK3952">
        <v>0</v>
      </c>
      <c r="AU3952" s="6">
        <v>42277</v>
      </c>
      <c r="AV3952" s="6">
        <v>42277</v>
      </c>
      <c r="AW3952" t="s">
        <v>54</v>
      </c>
      <c r="AX3952" t="str">
        <f t="shared" si="332"/>
        <v>FOR</v>
      </c>
      <c r="AY3952" t="s">
        <v>55</v>
      </c>
    </row>
    <row r="3953" spans="1:51" hidden="1">
      <c r="A3953">
        <v>101356</v>
      </c>
      <c r="B3953" t="s">
        <v>724</v>
      </c>
      <c r="C3953" t="str">
        <f t="shared" si="334"/>
        <v>00567650122</v>
      </c>
      <c r="D3953" t="str">
        <f t="shared" si="335"/>
        <v>PNILRA46P47I441K</v>
      </c>
      <c r="E3953" t="s">
        <v>52</v>
      </c>
      <c r="F3953">
        <v>2014</v>
      </c>
      <c r="G3953">
        <v>1202</v>
      </c>
      <c r="H3953" s="1">
        <v>41971</v>
      </c>
      <c r="I3953" s="1">
        <v>42002</v>
      </c>
      <c r="J3953" s="1">
        <v>42002</v>
      </c>
      <c r="K3953" s="1">
        <v>42062</v>
      </c>
      <c r="N3953" s="5"/>
      <c r="O3953">
        <v>322.2</v>
      </c>
      <c r="P3953">
        <v>215</v>
      </c>
      <c r="Q3953" s="2">
        <v>69273</v>
      </c>
      <c r="R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 s="1">
        <v>42382</v>
      </c>
      <c r="AC3953" t="s">
        <v>53</v>
      </c>
      <c r="AD3953" t="s">
        <v>53</v>
      </c>
      <c r="AK3953">
        <v>0</v>
      </c>
      <c r="AU3953" s="6">
        <v>42277</v>
      </c>
      <c r="AV3953" s="6">
        <v>42277</v>
      </c>
      <c r="AW3953" t="s">
        <v>54</v>
      </c>
      <c r="AX3953" t="str">
        <f t="shared" si="332"/>
        <v>FOR</v>
      </c>
      <c r="AY3953" t="s">
        <v>55</v>
      </c>
    </row>
    <row r="3954" spans="1:51" hidden="1">
      <c r="A3954">
        <v>101356</v>
      </c>
      <c r="B3954" t="s">
        <v>724</v>
      </c>
      <c r="C3954" t="str">
        <f t="shared" si="334"/>
        <v>00567650122</v>
      </c>
      <c r="D3954" t="str">
        <f t="shared" si="335"/>
        <v>PNILRA46P47I441K</v>
      </c>
      <c r="E3954" t="s">
        <v>52</v>
      </c>
      <c r="F3954">
        <v>2014</v>
      </c>
      <c r="G3954">
        <v>1203</v>
      </c>
      <c r="H3954" s="1">
        <v>41971</v>
      </c>
      <c r="I3954" s="1">
        <v>42002</v>
      </c>
      <c r="J3954" s="1">
        <v>42002</v>
      </c>
      <c r="K3954" s="1">
        <v>42062</v>
      </c>
      <c r="N3954" s="5"/>
      <c r="O3954">
        <v>68.319999999999993</v>
      </c>
      <c r="P3954">
        <v>215</v>
      </c>
      <c r="Q3954" s="2">
        <v>14688.8</v>
      </c>
      <c r="R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 s="1">
        <v>42382</v>
      </c>
      <c r="AC3954" t="s">
        <v>53</v>
      </c>
      <c r="AD3954" t="s">
        <v>53</v>
      </c>
      <c r="AK3954">
        <v>0</v>
      </c>
      <c r="AU3954" s="6">
        <v>42277</v>
      </c>
      <c r="AV3954" s="6">
        <v>42277</v>
      </c>
      <c r="AW3954" t="s">
        <v>54</v>
      </c>
      <c r="AX3954" t="str">
        <f t="shared" si="332"/>
        <v>FOR</v>
      </c>
      <c r="AY3954" t="s">
        <v>55</v>
      </c>
    </row>
    <row r="3955" spans="1:51" hidden="1">
      <c r="A3955">
        <v>101356</v>
      </c>
      <c r="B3955" t="s">
        <v>724</v>
      </c>
      <c r="C3955" t="str">
        <f t="shared" si="334"/>
        <v>00567650122</v>
      </c>
      <c r="D3955" t="str">
        <f t="shared" si="335"/>
        <v>PNILRA46P47I441K</v>
      </c>
      <c r="E3955" t="s">
        <v>52</v>
      </c>
      <c r="F3955">
        <v>2014</v>
      </c>
      <c r="G3955">
        <v>1289</v>
      </c>
      <c r="H3955" s="1">
        <v>42004</v>
      </c>
      <c r="I3955" s="1">
        <v>42024</v>
      </c>
      <c r="J3955" s="1">
        <v>42024</v>
      </c>
      <c r="K3955" s="1">
        <v>42084</v>
      </c>
      <c r="N3955" s="5"/>
      <c r="O3955">
        <v>45.14</v>
      </c>
      <c r="P3955">
        <v>193</v>
      </c>
      <c r="Q3955" s="2">
        <v>8712.02</v>
      </c>
      <c r="R3955">
        <v>0</v>
      </c>
      <c r="V3955">
        <v>0</v>
      </c>
      <c r="W3955">
        <v>0</v>
      </c>
      <c r="X3955">
        <v>0</v>
      </c>
      <c r="Y3955">
        <v>0</v>
      </c>
      <c r="Z3955">
        <v>45.14</v>
      </c>
      <c r="AA3955">
        <v>0</v>
      </c>
      <c r="AB3955" s="1">
        <v>42382</v>
      </c>
      <c r="AC3955" t="s">
        <v>53</v>
      </c>
      <c r="AD3955" t="s">
        <v>53</v>
      </c>
      <c r="AK3955">
        <v>0</v>
      </c>
      <c r="AU3955" s="6">
        <v>42277</v>
      </c>
      <c r="AV3955" s="6">
        <v>42277</v>
      </c>
      <c r="AW3955" t="s">
        <v>54</v>
      </c>
      <c r="AX3955" t="str">
        <f t="shared" si="332"/>
        <v>FOR</v>
      </c>
      <c r="AY3955" t="s">
        <v>55</v>
      </c>
    </row>
    <row r="3956" spans="1:51" hidden="1">
      <c r="A3956">
        <v>101356</v>
      </c>
      <c r="B3956" t="s">
        <v>724</v>
      </c>
      <c r="C3956" t="str">
        <f t="shared" si="334"/>
        <v>00567650122</v>
      </c>
      <c r="D3956" t="str">
        <f t="shared" si="335"/>
        <v>PNILRA46P47I441K</v>
      </c>
      <c r="E3956" t="s">
        <v>52</v>
      </c>
      <c r="F3956">
        <v>2014</v>
      </c>
      <c r="G3956">
        <v>1360</v>
      </c>
      <c r="H3956" s="1">
        <v>42004</v>
      </c>
      <c r="I3956" s="1">
        <v>42024</v>
      </c>
      <c r="J3956" s="1">
        <v>42024</v>
      </c>
      <c r="K3956" s="1">
        <v>42084</v>
      </c>
      <c r="N3956" s="5"/>
      <c r="O3956">
        <v>319.88</v>
      </c>
      <c r="P3956">
        <v>193</v>
      </c>
      <c r="Q3956" s="2">
        <v>61736.84</v>
      </c>
      <c r="R3956">
        <v>0</v>
      </c>
      <c r="V3956">
        <v>0</v>
      </c>
      <c r="W3956">
        <v>0</v>
      </c>
      <c r="X3956">
        <v>0</v>
      </c>
      <c r="Y3956">
        <v>0</v>
      </c>
      <c r="Z3956">
        <v>319.88</v>
      </c>
      <c r="AA3956">
        <v>0</v>
      </c>
      <c r="AB3956" s="1">
        <v>42382</v>
      </c>
      <c r="AC3956" t="s">
        <v>53</v>
      </c>
      <c r="AD3956" t="s">
        <v>53</v>
      </c>
      <c r="AK3956">
        <v>0</v>
      </c>
      <c r="AU3956" s="6">
        <v>42277</v>
      </c>
      <c r="AV3956" s="6">
        <v>42277</v>
      </c>
      <c r="AW3956" t="s">
        <v>54</v>
      </c>
      <c r="AX3956" t="str">
        <f t="shared" si="332"/>
        <v>FOR</v>
      </c>
      <c r="AY3956" t="s">
        <v>55</v>
      </c>
    </row>
    <row r="3957" spans="1:51" hidden="1">
      <c r="A3957">
        <v>101356</v>
      </c>
      <c r="B3957" t="s">
        <v>724</v>
      </c>
      <c r="C3957" t="str">
        <f t="shared" si="334"/>
        <v>00567650122</v>
      </c>
      <c r="D3957" t="str">
        <f t="shared" si="335"/>
        <v>PNILRA46P47I441K</v>
      </c>
      <c r="E3957" t="s">
        <v>52</v>
      </c>
      <c r="F3957">
        <v>2014</v>
      </c>
      <c r="G3957">
        <v>1361</v>
      </c>
      <c r="H3957" s="1">
        <v>42004</v>
      </c>
      <c r="I3957" s="1">
        <v>42024</v>
      </c>
      <c r="J3957" s="1">
        <v>42024</v>
      </c>
      <c r="K3957" s="1">
        <v>42084</v>
      </c>
      <c r="N3957" s="5"/>
      <c r="O3957">
        <v>142.44</v>
      </c>
      <c r="P3957">
        <v>193</v>
      </c>
      <c r="Q3957" s="2">
        <v>27490.92</v>
      </c>
      <c r="R3957">
        <v>0</v>
      </c>
      <c r="V3957">
        <v>0</v>
      </c>
      <c r="W3957">
        <v>0</v>
      </c>
      <c r="X3957">
        <v>0</v>
      </c>
      <c r="Y3957">
        <v>0</v>
      </c>
      <c r="Z3957">
        <v>142.44</v>
      </c>
      <c r="AA3957">
        <v>0</v>
      </c>
      <c r="AB3957" s="1">
        <v>42382</v>
      </c>
      <c r="AC3957" t="s">
        <v>53</v>
      </c>
      <c r="AD3957" t="s">
        <v>53</v>
      </c>
      <c r="AK3957">
        <v>0</v>
      </c>
      <c r="AU3957" s="6">
        <v>42277</v>
      </c>
      <c r="AV3957" s="6">
        <v>42277</v>
      </c>
      <c r="AW3957" t="s">
        <v>54</v>
      </c>
      <c r="AX3957" t="str">
        <f t="shared" si="332"/>
        <v>FOR</v>
      </c>
      <c r="AY3957" t="s">
        <v>55</v>
      </c>
    </row>
    <row r="3958" spans="1:51">
      <c r="A3958">
        <v>101356</v>
      </c>
      <c r="B3958" t="s">
        <v>724</v>
      </c>
      <c r="C3958" t="str">
        <f t="shared" si="334"/>
        <v>00567650122</v>
      </c>
      <c r="D3958" t="str">
        <f t="shared" si="335"/>
        <v>PNILRA46P47I441K</v>
      </c>
      <c r="E3958" t="s">
        <v>52</v>
      </c>
      <c r="F3958">
        <v>2015</v>
      </c>
      <c r="G3958">
        <v>70</v>
      </c>
      <c r="H3958" s="1">
        <v>42062</v>
      </c>
      <c r="I3958" s="1">
        <v>42095</v>
      </c>
      <c r="J3958" s="1">
        <v>42095</v>
      </c>
      <c r="K3958" s="1">
        <v>42155</v>
      </c>
      <c r="L3958" s="7">
        <v>261.25</v>
      </c>
      <c r="M3958" s="5">
        <v>201</v>
      </c>
      <c r="N3958" s="7">
        <v>52511.25</v>
      </c>
      <c r="O3958">
        <v>261.25</v>
      </c>
      <c r="P3958">
        <v>201</v>
      </c>
      <c r="Q3958" s="2">
        <v>52511.25</v>
      </c>
      <c r="R3958">
        <v>57.48</v>
      </c>
      <c r="V3958">
        <v>0</v>
      </c>
      <c r="W3958">
        <v>0</v>
      </c>
      <c r="X3958">
        <v>0</v>
      </c>
      <c r="Y3958">
        <v>318.73</v>
      </c>
      <c r="Z3958">
        <v>318.73</v>
      </c>
      <c r="AA3958">
        <v>318.73</v>
      </c>
      <c r="AB3958" s="1">
        <v>42382</v>
      </c>
      <c r="AC3958" t="s">
        <v>53</v>
      </c>
      <c r="AD3958" t="s">
        <v>53</v>
      </c>
      <c r="AK3958">
        <v>57.48</v>
      </c>
      <c r="AU3958" s="6">
        <v>42356</v>
      </c>
      <c r="AV3958" s="6">
        <v>42356</v>
      </c>
      <c r="AW3958" t="s">
        <v>54</v>
      </c>
      <c r="AX3958" t="str">
        <f t="shared" si="332"/>
        <v>FOR</v>
      </c>
      <c r="AY3958" t="s">
        <v>55</v>
      </c>
    </row>
    <row r="3959" spans="1:51">
      <c r="A3959">
        <v>101356</v>
      </c>
      <c r="B3959" t="s">
        <v>724</v>
      </c>
      <c r="C3959" t="str">
        <f t="shared" si="334"/>
        <v>00567650122</v>
      </c>
      <c r="D3959" t="str">
        <f t="shared" si="335"/>
        <v>PNILRA46P47I441K</v>
      </c>
      <c r="E3959" t="s">
        <v>52</v>
      </c>
      <c r="F3959">
        <v>2015</v>
      </c>
      <c r="G3959">
        <v>162</v>
      </c>
      <c r="H3959" s="1">
        <v>42062</v>
      </c>
      <c r="I3959" s="1">
        <v>42095</v>
      </c>
      <c r="J3959" s="1">
        <v>42095</v>
      </c>
      <c r="K3959" s="1">
        <v>42155</v>
      </c>
      <c r="L3959" s="7">
        <v>260.3</v>
      </c>
      <c r="M3959" s="5">
        <v>201</v>
      </c>
      <c r="N3959" s="7">
        <v>52320.3</v>
      </c>
      <c r="O3959">
        <v>260.3</v>
      </c>
      <c r="P3959">
        <v>201</v>
      </c>
      <c r="Q3959" s="2">
        <v>52320.3</v>
      </c>
      <c r="R3959">
        <v>57.27</v>
      </c>
      <c r="V3959">
        <v>0</v>
      </c>
      <c r="W3959">
        <v>0</v>
      </c>
      <c r="X3959">
        <v>0</v>
      </c>
      <c r="Y3959">
        <v>317.57</v>
      </c>
      <c r="Z3959">
        <v>317.57</v>
      </c>
      <c r="AA3959">
        <v>317.57</v>
      </c>
      <c r="AB3959" s="1">
        <v>42382</v>
      </c>
      <c r="AC3959" t="s">
        <v>53</v>
      </c>
      <c r="AD3959" t="s">
        <v>53</v>
      </c>
      <c r="AK3959">
        <v>57.27</v>
      </c>
      <c r="AU3959" s="6">
        <v>42356</v>
      </c>
      <c r="AV3959" s="6">
        <v>42356</v>
      </c>
      <c r="AW3959" t="s">
        <v>54</v>
      </c>
      <c r="AX3959" t="str">
        <f t="shared" si="332"/>
        <v>FOR</v>
      </c>
      <c r="AY3959" t="s">
        <v>55</v>
      </c>
    </row>
    <row r="3960" spans="1:51">
      <c r="A3960">
        <v>101356</v>
      </c>
      <c r="B3960" t="s">
        <v>724</v>
      </c>
      <c r="C3960" t="str">
        <f t="shared" si="334"/>
        <v>00567650122</v>
      </c>
      <c r="D3960" t="str">
        <f t="shared" si="335"/>
        <v>PNILRA46P47I441K</v>
      </c>
      <c r="E3960" t="s">
        <v>52</v>
      </c>
      <c r="F3960">
        <v>2015</v>
      </c>
      <c r="G3960">
        <v>163</v>
      </c>
      <c r="H3960" s="1">
        <v>42062</v>
      </c>
      <c r="I3960" s="1">
        <v>42095</v>
      </c>
      <c r="J3960" s="1">
        <v>42095</v>
      </c>
      <c r="K3960" s="1">
        <v>42155</v>
      </c>
      <c r="L3960" s="7">
        <v>56</v>
      </c>
      <c r="M3960" s="5">
        <v>201</v>
      </c>
      <c r="N3960" s="7">
        <v>11256</v>
      </c>
      <c r="O3960">
        <v>56</v>
      </c>
      <c r="P3960">
        <v>201</v>
      </c>
      <c r="Q3960" s="2">
        <v>11256</v>
      </c>
      <c r="R3960">
        <v>12.32</v>
      </c>
      <c r="V3960">
        <v>0</v>
      </c>
      <c r="W3960">
        <v>0</v>
      </c>
      <c r="X3960">
        <v>0</v>
      </c>
      <c r="Y3960">
        <v>68.319999999999993</v>
      </c>
      <c r="Z3960">
        <v>68.319999999999993</v>
      </c>
      <c r="AA3960">
        <v>68.319999999999993</v>
      </c>
      <c r="AB3960" s="1">
        <v>42382</v>
      </c>
      <c r="AC3960" t="s">
        <v>53</v>
      </c>
      <c r="AD3960" t="s">
        <v>53</v>
      </c>
      <c r="AK3960">
        <v>12.32</v>
      </c>
      <c r="AU3960" s="6">
        <v>42356</v>
      </c>
      <c r="AV3960" s="6">
        <v>42356</v>
      </c>
      <c r="AW3960" t="s">
        <v>54</v>
      </c>
      <c r="AX3960" t="str">
        <f t="shared" si="332"/>
        <v>FOR</v>
      </c>
      <c r="AY3960" t="s">
        <v>55</v>
      </c>
    </row>
    <row r="3961" spans="1:51" hidden="1">
      <c r="A3961">
        <v>101358</v>
      </c>
      <c r="B3961" t="s">
        <v>725</v>
      </c>
      <c r="C3961" t="str">
        <f>"05158401009"</f>
        <v>05158401009</v>
      </c>
      <c r="D3961" t="str">
        <f>"05158401009"</f>
        <v>05158401009</v>
      </c>
      <c r="E3961" t="s">
        <v>52</v>
      </c>
      <c r="F3961">
        <v>2015</v>
      </c>
      <c r="G3961" t="s">
        <v>726</v>
      </c>
      <c r="H3961" s="1">
        <v>42165</v>
      </c>
      <c r="I3961" s="1">
        <v>42167</v>
      </c>
      <c r="J3961" s="1">
        <v>42166</v>
      </c>
      <c r="K3961" s="1">
        <v>42226</v>
      </c>
      <c r="N3961" s="5"/>
      <c r="O3961">
        <v>921</v>
      </c>
      <c r="P3961">
        <v>-42</v>
      </c>
      <c r="Q3961" s="2">
        <v>-38682</v>
      </c>
      <c r="R3961">
        <v>202.62</v>
      </c>
      <c r="V3961">
        <v>0</v>
      </c>
      <c r="W3961">
        <v>0</v>
      </c>
      <c r="X3961">
        <v>0</v>
      </c>
      <c r="Y3961" s="2">
        <v>1123.6199999999999</v>
      </c>
      <c r="Z3961" s="2">
        <v>1123.6199999999999</v>
      </c>
      <c r="AA3961" s="2">
        <v>1123.6199999999999</v>
      </c>
      <c r="AB3961" s="1">
        <v>42382</v>
      </c>
      <c r="AC3961" t="s">
        <v>53</v>
      </c>
      <c r="AD3961" t="s">
        <v>53</v>
      </c>
      <c r="AI3961">
        <v>202.62</v>
      </c>
      <c r="AK3961">
        <v>0</v>
      </c>
      <c r="AU3961" s="6">
        <v>42184</v>
      </c>
      <c r="AV3961" s="6">
        <v>42184</v>
      </c>
      <c r="AW3961" t="s">
        <v>54</v>
      </c>
      <c r="AX3961" t="str">
        <f t="shared" si="332"/>
        <v>FOR</v>
      </c>
      <c r="AY3961" t="s">
        <v>55</v>
      </c>
    </row>
    <row r="3962" spans="1:51" hidden="1">
      <c r="A3962">
        <v>101372</v>
      </c>
      <c r="B3962" t="s">
        <v>727</v>
      </c>
      <c r="C3962" t="str">
        <f>"01165870625"</f>
        <v>01165870625</v>
      </c>
      <c r="D3962" t="str">
        <f>"DNCNZR62A18A783S"</f>
        <v>DNCNZR62A18A783S</v>
      </c>
      <c r="E3962" t="s">
        <v>52</v>
      </c>
      <c r="F3962">
        <v>2015</v>
      </c>
      <c r="G3962">
        <v>31</v>
      </c>
      <c r="H3962" s="1">
        <v>42151</v>
      </c>
      <c r="I3962" s="1">
        <v>42177</v>
      </c>
      <c r="J3962" s="1">
        <v>42172</v>
      </c>
      <c r="K3962" s="1">
        <v>42232</v>
      </c>
      <c r="N3962" s="5"/>
      <c r="O3962">
        <v>500</v>
      </c>
      <c r="P3962">
        <v>-48</v>
      </c>
      <c r="Q3962" s="2">
        <v>-24000</v>
      </c>
      <c r="R3962">
        <v>110</v>
      </c>
      <c r="V3962">
        <v>0</v>
      </c>
      <c r="W3962">
        <v>0</v>
      </c>
      <c r="X3962">
        <v>0</v>
      </c>
      <c r="Y3962">
        <v>610</v>
      </c>
      <c r="Z3962">
        <v>610</v>
      </c>
      <c r="AA3962">
        <v>610</v>
      </c>
      <c r="AB3962" s="1">
        <v>42382</v>
      </c>
      <c r="AC3962" t="s">
        <v>53</v>
      </c>
      <c r="AD3962" t="s">
        <v>53</v>
      </c>
      <c r="AI3962">
        <v>110</v>
      </c>
      <c r="AK3962">
        <v>0</v>
      </c>
      <c r="AU3962" s="6">
        <v>42184</v>
      </c>
      <c r="AV3962" s="6">
        <v>42184</v>
      </c>
      <c r="AW3962" t="s">
        <v>54</v>
      </c>
      <c r="AX3962" t="str">
        <f t="shared" si="332"/>
        <v>FOR</v>
      </c>
      <c r="AY3962" t="s">
        <v>55</v>
      </c>
    </row>
    <row r="3963" spans="1:51" hidden="1">
      <c r="A3963">
        <v>101378</v>
      </c>
      <c r="B3963" t="s">
        <v>728</v>
      </c>
      <c r="C3963" t="str">
        <f>"03386990711"</f>
        <v>03386990711</v>
      </c>
      <c r="D3963" t="str">
        <f>"03386990711"</f>
        <v>03386990711</v>
      </c>
      <c r="E3963" t="s">
        <v>52</v>
      </c>
      <c r="F3963">
        <v>2014</v>
      </c>
      <c r="G3963">
        <v>117</v>
      </c>
      <c r="H3963" s="1">
        <v>41753</v>
      </c>
      <c r="I3963" s="1">
        <v>41795</v>
      </c>
      <c r="J3963" s="1">
        <v>41795</v>
      </c>
      <c r="K3963" s="1">
        <v>41885</v>
      </c>
      <c r="N3963" s="5"/>
      <c r="O3963" s="2">
        <v>3513.6</v>
      </c>
      <c r="P3963">
        <v>133</v>
      </c>
      <c r="Q3963" s="2">
        <v>467308.79999999999</v>
      </c>
      <c r="R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 s="1">
        <v>42382</v>
      </c>
      <c r="AC3963" t="s">
        <v>53</v>
      </c>
      <c r="AD3963" t="s">
        <v>53</v>
      </c>
      <c r="AK3963">
        <v>0</v>
      </c>
      <c r="AU3963" s="6">
        <v>42018</v>
      </c>
      <c r="AV3963" s="6">
        <v>42018</v>
      </c>
      <c r="AW3963" t="s">
        <v>54</v>
      </c>
      <c r="AX3963" t="str">
        <f t="shared" si="332"/>
        <v>FOR</v>
      </c>
      <c r="AY3963" t="s">
        <v>55</v>
      </c>
    </row>
    <row r="3964" spans="1:51" hidden="1">
      <c r="A3964">
        <v>101391</v>
      </c>
      <c r="B3964" t="s">
        <v>729</v>
      </c>
      <c r="C3964" t="str">
        <f t="shared" ref="C3964:D3968" si="336">"06349620960"</f>
        <v>06349620960</v>
      </c>
      <c r="D3964" t="str">
        <f t="shared" si="336"/>
        <v>06349620960</v>
      </c>
      <c r="E3964" t="s">
        <v>52</v>
      </c>
      <c r="F3964">
        <v>2013</v>
      </c>
      <c r="G3964">
        <v>1301844</v>
      </c>
      <c r="H3964" s="1">
        <v>41607</v>
      </c>
      <c r="I3964" s="1">
        <v>41621</v>
      </c>
      <c r="J3964" s="1">
        <v>41621</v>
      </c>
      <c r="K3964" s="1">
        <v>41711</v>
      </c>
      <c r="N3964" s="5"/>
      <c r="O3964" s="2">
        <v>1615.87</v>
      </c>
      <c r="P3964">
        <v>313</v>
      </c>
      <c r="Q3964" s="2">
        <v>505767.31</v>
      </c>
      <c r="R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 s="1">
        <v>42382</v>
      </c>
      <c r="AC3964" t="s">
        <v>53</v>
      </c>
      <c r="AD3964" t="s">
        <v>53</v>
      </c>
      <c r="AK3964">
        <v>0</v>
      </c>
      <c r="AU3964" s="6">
        <v>42024</v>
      </c>
      <c r="AV3964" s="6">
        <v>42024</v>
      </c>
      <c r="AW3964" t="s">
        <v>54</v>
      </c>
      <c r="AX3964" t="str">
        <f t="shared" si="332"/>
        <v>FOR</v>
      </c>
      <c r="AY3964" t="s">
        <v>55</v>
      </c>
    </row>
    <row r="3965" spans="1:51" hidden="1">
      <c r="A3965">
        <v>101391</v>
      </c>
      <c r="B3965" t="s">
        <v>729</v>
      </c>
      <c r="C3965" t="str">
        <f t="shared" si="336"/>
        <v>06349620960</v>
      </c>
      <c r="D3965" t="str">
        <f t="shared" si="336"/>
        <v>06349620960</v>
      </c>
      <c r="E3965" t="s">
        <v>52</v>
      </c>
      <c r="F3965">
        <v>2013</v>
      </c>
      <c r="G3965">
        <v>1302003</v>
      </c>
      <c r="H3965" s="1">
        <v>41627</v>
      </c>
      <c r="I3965" s="1">
        <v>41639</v>
      </c>
      <c r="J3965" s="1">
        <v>41639</v>
      </c>
      <c r="K3965" s="1">
        <v>41729</v>
      </c>
      <c r="N3965" s="5"/>
      <c r="O3965">
        <v>130.44</v>
      </c>
      <c r="P3965">
        <v>295</v>
      </c>
      <c r="Q3965" s="2">
        <v>38479.800000000003</v>
      </c>
      <c r="R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 s="1">
        <v>42382</v>
      </c>
      <c r="AC3965" t="s">
        <v>53</v>
      </c>
      <c r="AD3965" t="s">
        <v>53</v>
      </c>
      <c r="AK3965">
        <v>0</v>
      </c>
      <c r="AU3965" s="6">
        <v>42024</v>
      </c>
      <c r="AV3965" s="6">
        <v>42024</v>
      </c>
      <c r="AW3965" t="s">
        <v>54</v>
      </c>
      <c r="AX3965" t="str">
        <f t="shared" si="332"/>
        <v>FOR</v>
      </c>
      <c r="AY3965" t="s">
        <v>55</v>
      </c>
    </row>
    <row r="3966" spans="1:51" hidden="1">
      <c r="A3966">
        <v>101391</v>
      </c>
      <c r="B3966" t="s">
        <v>729</v>
      </c>
      <c r="C3966" t="str">
        <f t="shared" si="336"/>
        <v>06349620960</v>
      </c>
      <c r="D3966" t="str">
        <f t="shared" si="336"/>
        <v>06349620960</v>
      </c>
      <c r="E3966" t="s">
        <v>52</v>
      </c>
      <c r="F3966">
        <v>2014</v>
      </c>
      <c r="G3966">
        <v>1401596</v>
      </c>
      <c r="H3966" s="1">
        <v>41908</v>
      </c>
      <c r="I3966" s="1">
        <v>41920</v>
      </c>
      <c r="J3966" s="1">
        <v>41920</v>
      </c>
      <c r="K3966" s="1">
        <v>42010</v>
      </c>
      <c r="N3966" s="5"/>
      <c r="O3966">
        <v>486.94</v>
      </c>
      <c r="P3966">
        <v>14</v>
      </c>
      <c r="Q3966" s="2">
        <v>6817.16</v>
      </c>
      <c r="R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 s="1">
        <v>42382</v>
      </c>
      <c r="AC3966" t="s">
        <v>53</v>
      </c>
      <c r="AD3966" t="s">
        <v>53</v>
      </c>
      <c r="AK3966">
        <v>0</v>
      </c>
      <c r="AU3966" s="6">
        <v>42024</v>
      </c>
      <c r="AV3966" s="6">
        <v>42024</v>
      </c>
      <c r="AW3966" t="s">
        <v>54</v>
      </c>
      <c r="AX3966" t="str">
        <f t="shared" si="332"/>
        <v>FOR</v>
      </c>
      <c r="AY3966" t="s">
        <v>55</v>
      </c>
    </row>
    <row r="3967" spans="1:51" hidden="1">
      <c r="A3967">
        <v>101391</v>
      </c>
      <c r="B3967" t="s">
        <v>729</v>
      </c>
      <c r="C3967" t="str">
        <f t="shared" si="336"/>
        <v>06349620960</v>
      </c>
      <c r="D3967" t="str">
        <f t="shared" si="336"/>
        <v>06349620960</v>
      </c>
      <c r="E3967" t="s">
        <v>52</v>
      </c>
      <c r="F3967">
        <v>2014</v>
      </c>
      <c r="G3967">
        <v>1401597</v>
      </c>
      <c r="H3967" s="1">
        <v>41908</v>
      </c>
      <c r="I3967" s="1">
        <v>41920</v>
      </c>
      <c r="J3967" s="1">
        <v>41920</v>
      </c>
      <c r="K3967" s="1">
        <v>42010</v>
      </c>
      <c r="N3967" s="5"/>
      <c r="O3967">
        <v>502.49</v>
      </c>
      <c r="P3967">
        <v>14</v>
      </c>
      <c r="Q3967" s="2">
        <v>7034.86</v>
      </c>
      <c r="R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 s="1">
        <v>42382</v>
      </c>
      <c r="AC3967" t="s">
        <v>53</v>
      </c>
      <c r="AD3967" t="s">
        <v>53</v>
      </c>
      <c r="AK3967">
        <v>0</v>
      </c>
      <c r="AU3967" s="6">
        <v>42024</v>
      </c>
      <c r="AV3967" s="6">
        <v>42024</v>
      </c>
      <c r="AW3967" t="s">
        <v>54</v>
      </c>
      <c r="AX3967" t="str">
        <f t="shared" si="332"/>
        <v>FOR</v>
      </c>
      <c r="AY3967" t="s">
        <v>55</v>
      </c>
    </row>
    <row r="3968" spans="1:51" hidden="1">
      <c r="A3968">
        <v>101391</v>
      </c>
      <c r="B3968" t="s">
        <v>729</v>
      </c>
      <c r="C3968" t="str">
        <f t="shared" si="336"/>
        <v>06349620960</v>
      </c>
      <c r="D3968" t="str">
        <f t="shared" si="336"/>
        <v>06349620960</v>
      </c>
      <c r="E3968" t="s">
        <v>52</v>
      </c>
      <c r="F3968">
        <v>2014</v>
      </c>
      <c r="G3968">
        <v>1401598</v>
      </c>
      <c r="H3968" s="1">
        <v>41908</v>
      </c>
      <c r="I3968" s="1">
        <v>41920</v>
      </c>
      <c r="J3968" s="1">
        <v>41920</v>
      </c>
      <c r="K3968" s="1">
        <v>42010</v>
      </c>
      <c r="N3968" s="5"/>
      <c r="O3968">
        <v>94.43</v>
      </c>
      <c r="P3968">
        <v>14</v>
      </c>
      <c r="Q3968" s="2">
        <v>1322.02</v>
      </c>
      <c r="R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 s="1">
        <v>42382</v>
      </c>
      <c r="AC3968" t="s">
        <v>53</v>
      </c>
      <c r="AD3968" t="s">
        <v>53</v>
      </c>
      <c r="AK3968">
        <v>0</v>
      </c>
      <c r="AU3968" s="6">
        <v>42024</v>
      </c>
      <c r="AV3968" s="6">
        <v>42024</v>
      </c>
      <c r="AW3968" t="s">
        <v>54</v>
      </c>
      <c r="AX3968" t="str">
        <f t="shared" si="332"/>
        <v>FOR</v>
      </c>
      <c r="AY3968" t="s">
        <v>55</v>
      </c>
    </row>
    <row r="3969" spans="1:51" hidden="1">
      <c r="A3969">
        <v>101398</v>
      </c>
      <c r="B3969" t="s">
        <v>730</v>
      </c>
      <c r="C3969" t="str">
        <f t="shared" ref="C3969:D3986" si="337">"05815611008"</f>
        <v>05815611008</v>
      </c>
      <c r="D3969" t="str">
        <f t="shared" si="337"/>
        <v>05815611008</v>
      </c>
      <c r="E3969" t="s">
        <v>52</v>
      </c>
      <c r="F3969">
        <v>2014</v>
      </c>
      <c r="G3969">
        <v>11235</v>
      </c>
      <c r="H3969" s="1">
        <v>41831</v>
      </c>
      <c r="I3969" s="1">
        <v>41845</v>
      </c>
      <c r="J3969" s="1">
        <v>41845</v>
      </c>
      <c r="K3969" s="1">
        <v>41935</v>
      </c>
      <c r="N3969" s="5"/>
      <c r="O3969" s="2">
        <v>1149.79</v>
      </c>
      <c r="P3969">
        <v>89</v>
      </c>
      <c r="Q3969" s="2">
        <v>102331.31</v>
      </c>
      <c r="R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 s="1">
        <v>42382</v>
      </c>
      <c r="AC3969" t="s">
        <v>53</v>
      </c>
      <c r="AD3969" t="s">
        <v>53</v>
      </c>
      <c r="AK3969">
        <v>0</v>
      </c>
      <c r="AU3969" s="6">
        <v>42024</v>
      </c>
      <c r="AV3969" s="6">
        <v>42024</v>
      </c>
      <c r="AW3969" t="s">
        <v>54</v>
      </c>
      <c r="AX3969" t="str">
        <f t="shared" si="332"/>
        <v>FOR</v>
      </c>
      <c r="AY3969" t="s">
        <v>55</v>
      </c>
    </row>
    <row r="3970" spans="1:51" hidden="1">
      <c r="A3970">
        <v>101398</v>
      </c>
      <c r="B3970" t="s">
        <v>730</v>
      </c>
      <c r="C3970" t="str">
        <f t="shared" si="337"/>
        <v>05815611008</v>
      </c>
      <c r="D3970" t="str">
        <f t="shared" si="337"/>
        <v>05815611008</v>
      </c>
      <c r="E3970" t="s">
        <v>52</v>
      </c>
      <c r="F3970">
        <v>2014</v>
      </c>
      <c r="G3970">
        <v>12371</v>
      </c>
      <c r="H3970" s="1">
        <v>41871</v>
      </c>
      <c r="I3970" s="1">
        <v>41879</v>
      </c>
      <c r="J3970" s="1">
        <v>41879</v>
      </c>
      <c r="K3970" s="1">
        <v>41969</v>
      </c>
      <c r="N3970" s="5"/>
      <c r="O3970" s="2">
        <v>1149.79</v>
      </c>
      <c r="P3970">
        <v>55</v>
      </c>
      <c r="Q3970" s="2">
        <v>63238.45</v>
      </c>
      <c r="R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 s="1">
        <v>42382</v>
      </c>
      <c r="AC3970" t="s">
        <v>53</v>
      </c>
      <c r="AD3970" t="s">
        <v>53</v>
      </c>
      <c r="AK3970">
        <v>0</v>
      </c>
      <c r="AU3970" s="6">
        <v>42024</v>
      </c>
      <c r="AV3970" s="6">
        <v>42024</v>
      </c>
      <c r="AW3970" t="s">
        <v>54</v>
      </c>
      <c r="AX3970" t="str">
        <f t="shared" si="332"/>
        <v>FOR</v>
      </c>
      <c r="AY3970" t="s">
        <v>55</v>
      </c>
    </row>
    <row r="3971" spans="1:51" hidden="1">
      <c r="A3971">
        <v>101398</v>
      </c>
      <c r="B3971" t="s">
        <v>730</v>
      </c>
      <c r="C3971" t="str">
        <f t="shared" si="337"/>
        <v>05815611008</v>
      </c>
      <c r="D3971" t="str">
        <f t="shared" si="337"/>
        <v>05815611008</v>
      </c>
      <c r="E3971" t="s">
        <v>52</v>
      </c>
      <c r="F3971">
        <v>2014</v>
      </c>
      <c r="G3971">
        <v>13671</v>
      </c>
      <c r="H3971" s="1">
        <v>41897</v>
      </c>
      <c r="I3971" s="1">
        <v>41907</v>
      </c>
      <c r="J3971" s="1">
        <v>41907</v>
      </c>
      <c r="K3971" s="1">
        <v>41997</v>
      </c>
      <c r="N3971" s="5"/>
      <c r="O3971" s="2">
        <v>1149.79</v>
      </c>
      <c r="P3971">
        <v>27</v>
      </c>
      <c r="Q3971" s="2">
        <v>31044.33</v>
      </c>
      <c r="R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 s="1">
        <v>42382</v>
      </c>
      <c r="AC3971" t="s">
        <v>53</v>
      </c>
      <c r="AD3971" t="s">
        <v>53</v>
      </c>
      <c r="AK3971">
        <v>0</v>
      </c>
      <c r="AU3971" s="6">
        <v>42024</v>
      </c>
      <c r="AV3971" s="6">
        <v>42024</v>
      </c>
      <c r="AW3971" t="s">
        <v>54</v>
      </c>
      <c r="AX3971" t="str">
        <f t="shared" ref="AX3971:AX4034" si="338">"FOR"</f>
        <v>FOR</v>
      </c>
      <c r="AY3971" t="s">
        <v>55</v>
      </c>
    </row>
    <row r="3972" spans="1:51" hidden="1">
      <c r="A3972">
        <v>101398</v>
      </c>
      <c r="B3972" t="s">
        <v>730</v>
      </c>
      <c r="C3972" t="str">
        <f t="shared" si="337"/>
        <v>05815611008</v>
      </c>
      <c r="D3972" t="str">
        <f t="shared" si="337"/>
        <v>05815611008</v>
      </c>
      <c r="E3972" t="s">
        <v>52</v>
      </c>
      <c r="F3972">
        <v>2014</v>
      </c>
      <c r="G3972">
        <v>16562</v>
      </c>
      <c r="H3972" s="1">
        <v>41926</v>
      </c>
      <c r="I3972" s="1">
        <v>41932</v>
      </c>
      <c r="J3972" s="1">
        <v>41932</v>
      </c>
      <c r="K3972" s="1">
        <v>41992</v>
      </c>
      <c r="N3972" s="5"/>
      <c r="O3972" s="2">
        <v>1149.79</v>
      </c>
      <c r="P3972">
        <v>32</v>
      </c>
      <c r="Q3972" s="2">
        <v>36793.279999999999</v>
      </c>
      <c r="R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 s="1">
        <v>42382</v>
      </c>
      <c r="AC3972" t="s">
        <v>53</v>
      </c>
      <c r="AD3972" t="s">
        <v>53</v>
      </c>
      <c r="AK3972">
        <v>0</v>
      </c>
      <c r="AU3972" s="6">
        <v>42024</v>
      </c>
      <c r="AV3972" s="6">
        <v>42024</v>
      </c>
      <c r="AW3972" t="s">
        <v>54</v>
      </c>
      <c r="AX3972" t="str">
        <f t="shared" si="338"/>
        <v>FOR</v>
      </c>
      <c r="AY3972" t="s">
        <v>55</v>
      </c>
    </row>
    <row r="3973" spans="1:51" hidden="1">
      <c r="A3973">
        <v>101398</v>
      </c>
      <c r="B3973" t="s">
        <v>730</v>
      </c>
      <c r="C3973" t="str">
        <f t="shared" si="337"/>
        <v>05815611008</v>
      </c>
      <c r="D3973" t="str">
        <f t="shared" si="337"/>
        <v>05815611008</v>
      </c>
      <c r="E3973" t="s">
        <v>52</v>
      </c>
      <c r="F3973">
        <v>2014</v>
      </c>
      <c r="G3973">
        <v>19035</v>
      </c>
      <c r="H3973" s="1">
        <v>41962</v>
      </c>
      <c r="I3973" s="1">
        <v>41974</v>
      </c>
      <c r="J3973" s="1">
        <v>41974</v>
      </c>
      <c r="K3973" s="1">
        <v>42034</v>
      </c>
      <c r="N3973" s="5"/>
      <c r="O3973" s="2">
        <v>1149.79</v>
      </c>
      <c r="P3973">
        <v>-10</v>
      </c>
      <c r="Q3973" s="2">
        <v>-11497.9</v>
      </c>
      <c r="R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 s="1">
        <v>42382</v>
      </c>
      <c r="AC3973" t="s">
        <v>53</v>
      </c>
      <c r="AD3973" t="s">
        <v>53</v>
      </c>
      <c r="AK3973">
        <v>0</v>
      </c>
      <c r="AU3973" s="6">
        <v>42024</v>
      </c>
      <c r="AV3973" s="6">
        <v>42024</v>
      </c>
      <c r="AW3973" t="s">
        <v>54</v>
      </c>
      <c r="AX3973" t="str">
        <f t="shared" si="338"/>
        <v>FOR</v>
      </c>
      <c r="AY3973" t="s">
        <v>55</v>
      </c>
    </row>
    <row r="3974" spans="1:51" hidden="1">
      <c r="A3974">
        <v>101398</v>
      </c>
      <c r="B3974" t="s">
        <v>730</v>
      </c>
      <c r="C3974" t="str">
        <f t="shared" si="337"/>
        <v>05815611008</v>
      </c>
      <c r="D3974" t="str">
        <f t="shared" si="337"/>
        <v>05815611008</v>
      </c>
      <c r="E3974" t="s">
        <v>52</v>
      </c>
      <c r="F3974">
        <v>2014</v>
      </c>
      <c r="G3974">
        <v>20954</v>
      </c>
      <c r="H3974" s="1">
        <v>41982</v>
      </c>
      <c r="I3974" s="1">
        <v>41990</v>
      </c>
      <c r="J3974" s="1">
        <v>41990</v>
      </c>
      <c r="K3974" s="1">
        <v>42050</v>
      </c>
      <c r="N3974" s="5"/>
      <c r="O3974" s="2">
        <v>1149.79</v>
      </c>
      <c r="P3974">
        <v>-26</v>
      </c>
      <c r="Q3974" s="2">
        <v>-29894.54</v>
      </c>
      <c r="R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 s="1">
        <v>42382</v>
      </c>
      <c r="AC3974" t="s">
        <v>53</v>
      </c>
      <c r="AD3974" t="s">
        <v>53</v>
      </c>
      <c r="AK3974">
        <v>0</v>
      </c>
      <c r="AU3974" s="6">
        <v>42024</v>
      </c>
      <c r="AV3974" s="6">
        <v>42024</v>
      </c>
      <c r="AW3974" t="s">
        <v>54</v>
      </c>
      <c r="AX3974" t="str">
        <f t="shared" si="338"/>
        <v>FOR</v>
      </c>
      <c r="AY3974" t="s">
        <v>55</v>
      </c>
    </row>
    <row r="3975" spans="1:51" hidden="1">
      <c r="A3975">
        <v>101398</v>
      </c>
      <c r="B3975" t="s">
        <v>730</v>
      </c>
      <c r="C3975" t="str">
        <f t="shared" si="337"/>
        <v>05815611008</v>
      </c>
      <c r="D3975" t="str">
        <f t="shared" si="337"/>
        <v>05815611008</v>
      </c>
      <c r="E3975" t="s">
        <v>52</v>
      </c>
      <c r="F3975">
        <v>2015</v>
      </c>
      <c r="G3975">
        <v>1635</v>
      </c>
      <c r="H3975" s="1">
        <v>42027</v>
      </c>
      <c r="I3975" s="1">
        <v>42044</v>
      </c>
      <c r="J3975" s="1">
        <v>42044</v>
      </c>
      <c r="K3975" s="1">
        <v>42104</v>
      </c>
      <c r="N3975" s="5"/>
      <c r="O3975" s="2">
        <v>1188.58</v>
      </c>
      <c r="P3975">
        <v>28</v>
      </c>
      <c r="Q3975" s="2">
        <v>33280.239999999998</v>
      </c>
      <c r="R3975">
        <v>0</v>
      </c>
      <c r="V3975">
        <v>0</v>
      </c>
      <c r="W3975">
        <v>0</v>
      </c>
      <c r="X3975">
        <v>0</v>
      </c>
      <c r="Y3975">
        <v>0</v>
      </c>
      <c r="Z3975" s="2">
        <v>1450.07</v>
      </c>
      <c r="AA3975" s="2">
        <v>1450.07</v>
      </c>
      <c r="AB3975" s="1">
        <v>42382</v>
      </c>
      <c r="AC3975" t="s">
        <v>53</v>
      </c>
      <c r="AD3975" t="s">
        <v>53</v>
      </c>
      <c r="AK3975">
        <v>0</v>
      </c>
      <c r="AU3975" s="6">
        <v>42132</v>
      </c>
      <c r="AV3975" s="6">
        <v>42132</v>
      </c>
      <c r="AW3975" t="s">
        <v>54</v>
      </c>
      <c r="AX3975" t="str">
        <f t="shared" si="338"/>
        <v>FOR</v>
      </c>
      <c r="AY3975" t="s">
        <v>55</v>
      </c>
    </row>
    <row r="3976" spans="1:51" hidden="1">
      <c r="A3976">
        <v>101398</v>
      </c>
      <c r="B3976" t="s">
        <v>730</v>
      </c>
      <c r="C3976" t="str">
        <f t="shared" si="337"/>
        <v>05815611008</v>
      </c>
      <c r="D3976" t="str">
        <f t="shared" si="337"/>
        <v>05815611008</v>
      </c>
      <c r="E3976" t="s">
        <v>52</v>
      </c>
      <c r="F3976">
        <v>2015</v>
      </c>
      <c r="G3976">
        <v>3411</v>
      </c>
      <c r="H3976" s="1">
        <v>42087</v>
      </c>
      <c r="I3976" s="1">
        <v>42109</v>
      </c>
      <c r="J3976" s="1">
        <v>42109</v>
      </c>
      <c r="K3976" s="1">
        <v>42169</v>
      </c>
      <c r="N3976" s="5"/>
      <c r="O3976" s="2">
        <v>1073.3599999999999</v>
      </c>
      <c r="P3976">
        <v>-37</v>
      </c>
      <c r="Q3976" s="2">
        <v>-39714.32</v>
      </c>
      <c r="R3976">
        <v>0</v>
      </c>
      <c r="V3976">
        <v>0</v>
      </c>
      <c r="W3976">
        <v>0</v>
      </c>
      <c r="X3976">
        <v>0</v>
      </c>
      <c r="Y3976" s="2">
        <v>1309.5</v>
      </c>
      <c r="Z3976" s="2">
        <v>1309.5</v>
      </c>
      <c r="AA3976" s="2">
        <v>1309.5</v>
      </c>
      <c r="AB3976" s="1">
        <v>42382</v>
      </c>
      <c r="AC3976" t="s">
        <v>53</v>
      </c>
      <c r="AD3976" t="s">
        <v>53</v>
      </c>
      <c r="AK3976">
        <v>0</v>
      </c>
      <c r="AU3976" s="6">
        <v>42132</v>
      </c>
      <c r="AV3976" s="6">
        <v>42132</v>
      </c>
      <c r="AW3976" t="s">
        <v>54</v>
      </c>
      <c r="AX3976" t="str">
        <f t="shared" si="338"/>
        <v>FOR</v>
      </c>
      <c r="AY3976" t="s">
        <v>55</v>
      </c>
    </row>
    <row r="3977" spans="1:51" hidden="1">
      <c r="A3977">
        <v>101398</v>
      </c>
      <c r="B3977" t="s">
        <v>730</v>
      </c>
      <c r="C3977" t="str">
        <f t="shared" si="337"/>
        <v>05815611008</v>
      </c>
      <c r="D3977" t="str">
        <f t="shared" si="337"/>
        <v>05815611008</v>
      </c>
      <c r="E3977" t="s">
        <v>52</v>
      </c>
      <c r="F3977">
        <v>2015</v>
      </c>
      <c r="G3977">
        <v>3412</v>
      </c>
      <c r="H3977" s="1">
        <v>42087</v>
      </c>
      <c r="I3977" s="1">
        <v>42109</v>
      </c>
      <c r="J3977" s="1">
        <v>42109</v>
      </c>
      <c r="K3977" s="1">
        <v>42169</v>
      </c>
      <c r="N3977" s="5"/>
      <c r="O3977" s="2">
        <v>1073.3599999999999</v>
      </c>
      <c r="P3977">
        <v>-37</v>
      </c>
      <c r="Q3977" s="2">
        <v>-39714.32</v>
      </c>
      <c r="R3977">
        <v>0</v>
      </c>
      <c r="V3977">
        <v>0</v>
      </c>
      <c r="W3977">
        <v>0</v>
      </c>
      <c r="X3977">
        <v>0</v>
      </c>
      <c r="Y3977" s="2">
        <v>1309.5</v>
      </c>
      <c r="Z3977" s="2">
        <v>1309.5</v>
      </c>
      <c r="AA3977" s="2">
        <v>1309.5</v>
      </c>
      <c r="AB3977" s="1">
        <v>42382</v>
      </c>
      <c r="AC3977" t="s">
        <v>53</v>
      </c>
      <c r="AD3977" t="s">
        <v>53</v>
      </c>
      <c r="AK3977">
        <v>0</v>
      </c>
      <c r="AU3977" s="6">
        <v>42132</v>
      </c>
      <c r="AV3977" s="6">
        <v>42132</v>
      </c>
      <c r="AW3977" t="s">
        <v>54</v>
      </c>
      <c r="AX3977" t="str">
        <f t="shared" si="338"/>
        <v>FOR</v>
      </c>
      <c r="AY3977" t="s">
        <v>55</v>
      </c>
    </row>
    <row r="3978" spans="1:51" hidden="1">
      <c r="A3978">
        <v>101398</v>
      </c>
      <c r="B3978" t="s">
        <v>730</v>
      </c>
      <c r="C3978" t="str">
        <f t="shared" si="337"/>
        <v>05815611008</v>
      </c>
      <c r="D3978" t="str">
        <f t="shared" si="337"/>
        <v>05815611008</v>
      </c>
      <c r="E3978" t="s">
        <v>52</v>
      </c>
      <c r="F3978">
        <v>2015</v>
      </c>
      <c r="G3978">
        <v>8375</v>
      </c>
      <c r="H3978" s="1">
        <v>42179</v>
      </c>
      <c r="I3978" s="1">
        <v>42185</v>
      </c>
      <c r="J3978" s="1">
        <v>42181</v>
      </c>
      <c r="K3978" s="1">
        <v>42241</v>
      </c>
      <c r="N3978" s="5"/>
      <c r="O3978" s="2">
        <v>1068.8800000000001</v>
      </c>
      <c r="P3978">
        <v>34</v>
      </c>
      <c r="Q3978" s="2">
        <v>36341.919999999998</v>
      </c>
      <c r="R3978">
        <v>0</v>
      </c>
      <c r="V3978">
        <v>0</v>
      </c>
      <c r="W3978">
        <v>0</v>
      </c>
      <c r="X3978">
        <v>0</v>
      </c>
      <c r="Y3978" s="2">
        <v>1304.03</v>
      </c>
      <c r="Z3978" s="2">
        <v>1304.03</v>
      </c>
      <c r="AA3978" s="2">
        <v>1304.03</v>
      </c>
      <c r="AB3978" s="1">
        <v>42382</v>
      </c>
      <c r="AC3978" t="s">
        <v>53</v>
      </c>
      <c r="AD3978" t="s">
        <v>53</v>
      </c>
      <c r="AK3978">
        <v>0</v>
      </c>
      <c r="AU3978" s="6">
        <v>42275</v>
      </c>
      <c r="AV3978" s="6">
        <v>42275</v>
      </c>
      <c r="AW3978" t="s">
        <v>54</v>
      </c>
      <c r="AX3978" t="str">
        <f t="shared" si="338"/>
        <v>FOR</v>
      </c>
      <c r="AY3978" t="s">
        <v>55</v>
      </c>
    </row>
    <row r="3979" spans="1:51" hidden="1">
      <c r="A3979">
        <v>101398</v>
      </c>
      <c r="B3979" t="s">
        <v>730</v>
      </c>
      <c r="C3979" t="str">
        <f t="shared" si="337"/>
        <v>05815611008</v>
      </c>
      <c r="D3979" t="str">
        <f t="shared" si="337"/>
        <v>05815611008</v>
      </c>
      <c r="E3979" t="s">
        <v>52</v>
      </c>
      <c r="F3979">
        <v>2015</v>
      </c>
      <c r="G3979">
        <v>8376</v>
      </c>
      <c r="H3979" s="1">
        <v>42179</v>
      </c>
      <c r="I3979" s="1">
        <v>42185</v>
      </c>
      <c r="J3979" s="1">
        <v>42181</v>
      </c>
      <c r="K3979" s="1">
        <v>42241</v>
      </c>
      <c r="N3979" s="5"/>
      <c r="O3979" s="2">
        <v>1068.8800000000001</v>
      </c>
      <c r="P3979">
        <v>34</v>
      </c>
      <c r="Q3979" s="2">
        <v>36341.919999999998</v>
      </c>
      <c r="R3979">
        <v>0</v>
      </c>
      <c r="V3979">
        <v>0</v>
      </c>
      <c r="W3979">
        <v>0</v>
      </c>
      <c r="X3979">
        <v>0</v>
      </c>
      <c r="Y3979" s="2">
        <v>1304.03</v>
      </c>
      <c r="Z3979" s="2">
        <v>1304.03</v>
      </c>
      <c r="AA3979" s="2">
        <v>1304.03</v>
      </c>
      <c r="AB3979" s="1">
        <v>42382</v>
      </c>
      <c r="AC3979" t="s">
        <v>53</v>
      </c>
      <c r="AD3979" t="s">
        <v>53</v>
      </c>
      <c r="AK3979">
        <v>0</v>
      </c>
      <c r="AU3979" s="6">
        <v>42275</v>
      </c>
      <c r="AV3979" s="6">
        <v>42275</v>
      </c>
      <c r="AW3979" t="s">
        <v>54</v>
      </c>
      <c r="AX3979" t="str">
        <f t="shared" si="338"/>
        <v>FOR</v>
      </c>
      <c r="AY3979" t="s">
        <v>55</v>
      </c>
    </row>
    <row r="3980" spans="1:51" hidden="1">
      <c r="A3980">
        <v>101398</v>
      </c>
      <c r="B3980" t="s">
        <v>730</v>
      </c>
      <c r="C3980" t="str">
        <f t="shared" si="337"/>
        <v>05815611008</v>
      </c>
      <c r="D3980" t="str">
        <f t="shared" si="337"/>
        <v>05815611008</v>
      </c>
      <c r="E3980" t="s">
        <v>52</v>
      </c>
      <c r="F3980">
        <v>2015</v>
      </c>
      <c r="G3980">
        <v>8377</v>
      </c>
      <c r="H3980" s="1">
        <v>42179</v>
      </c>
      <c r="I3980" s="1">
        <v>42185</v>
      </c>
      <c r="J3980" s="1">
        <v>42181</v>
      </c>
      <c r="K3980" s="1">
        <v>42241</v>
      </c>
      <c r="N3980" s="5"/>
      <c r="O3980" s="2">
        <v>1068.8800000000001</v>
      </c>
      <c r="P3980">
        <v>34</v>
      </c>
      <c r="Q3980" s="2">
        <v>36341.919999999998</v>
      </c>
      <c r="R3980">
        <v>0</v>
      </c>
      <c r="V3980">
        <v>0</v>
      </c>
      <c r="W3980">
        <v>0</v>
      </c>
      <c r="X3980">
        <v>0</v>
      </c>
      <c r="Y3980" s="2">
        <v>1304.03</v>
      </c>
      <c r="Z3980" s="2">
        <v>1304.03</v>
      </c>
      <c r="AA3980" s="2">
        <v>1304.03</v>
      </c>
      <c r="AB3980" s="1">
        <v>42382</v>
      </c>
      <c r="AC3980" t="s">
        <v>53</v>
      </c>
      <c r="AD3980" t="s">
        <v>53</v>
      </c>
      <c r="AK3980">
        <v>0</v>
      </c>
      <c r="AU3980" s="6">
        <v>42275</v>
      </c>
      <c r="AV3980" s="6">
        <v>42275</v>
      </c>
      <c r="AW3980" t="s">
        <v>54</v>
      </c>
      <c r="AX3980" t="str">
        <f t="shared" si="338"/>
        <v>FOR</v>
      </c>
      <c r="AY3980" t="s">
        <v>55</v>
      </c>
    </row>
    <row r="3981" spans="1:51" hidden="1">
      <c r="A3981">
        <v>101398</v>
      </c>
      <c r="B3981" t="s">
        <v>730</v>
      </c>
      <c r="C3981" t="str">
        <f t="shared" si="337"/>
        <v>05815611008</v>
      </c>
      <c r="D3981" t="str">
        <f t="shared" si="337"/>
        <v>05815611008</v>
      </c>
      <c r="E3981" t="s">
        <v>52</v>
      </c>
      <c r="F3981">
        <v>2015</v>
      </c>
      <c r="G3981">
        <v>10287</v>
      </c>
      <c r="H3981" s="1">
        <v>42214</v>
      </c>
      <c r="I3981" s="1">
        <v>42227</v>
      </c>
      <c r="J3981" s="1">
        <v>42215</v>
      </c>
      <c r="K3981" s="1">
        <v>42275</v>
      </c>
      <c r="N3981" s="5"/>
      <c r="O3981" s="2">
        <v>1068.8800000000001</v>
      </c>
      <c r="Q3981">
        <v>0</v>
      </c>
      <c r="R3981">
        <v>0</v>
      </c>
      <c r="V3981">
        <v>0</v>
      </c>
      <c r="W3981">
        <v>0</v>
      </c>
      <c r="X3981">
        <v>0</v>
      </c>
      <c r="Y3981" s="2">
        <v>1304.03</v>
      </c>
      <c r="Z3981" s="2">
        <v>1304.03</v>
      </c>
      <c r="AA3981" s="2">
        <v>1304.03</v>
      </c>
      <c r="AB3981" s="1">
        <v>42382</v>
      </c>
      <c r="AC3981" t="s">
        <v>53</v>
      </c>
      <c r="AD3981" t="s">
        <v>53</v>
      </c>
      <c r="AK3981">
        <v>0</v>
      </c>
      <c r="AU3981" s="6">
        <v>42275</v>
      </c>
      <c r="AV3981" s="6">
        <v>42275</v>
      </c>
      <c r="AW3981" t="s">
        <v>54</v>
      </c>
      <c r="AX3981" t="str">
        <f t="shared" si="338"/>
        <v>FOR</v>
      </c>
      <c r="AY3981" t="s">
        <v>55</v>
      </c>
    </row>
    <row r="3982" spans="1:51" hidden="1">
      <c r="A3982">
        <v>101398</v>
      </c>
      <c r="B3982" t="s">
        <v>730</v>
      </c>
      <c r="C3982" t="str">
        <f t="shared" si="337"/>
        <v>05815611008</v>
      </c>
      <c r="D3982" t="str">
        <f t="shared" si="337"/>
        <v>05815611008</v>
      </c>
      <c r="E3982" t="s">
        <v>52</v>
      </c>
      <c r="F3982">
        <v>2015</v>
      </c>
      <c r="G3982">
        <v>11612</v>
      </c>
      <c r="H3982" s="1">
        <v>42235</v>
      </c>
      <c r="I3982" s="1">
        <v>42237</v>
      </c>
      <c r="J3982" s="1">
        <v>42236</v>
      </c>
      <c r="K3982" s="1">
        <v>42296</v>
      </c>
      <c r="N3982" s="5"/>
      <c r="O3982" s="2">
        <v>1068.8800000000001</v>
      </c>
      <c r="P3982">
        <v>-21</v>
      </c>
      <c r="Q3982" s="2">
        <v>-22446.48</v>
      </c>
      <c r="R3982">
        <v>0</v>
      </c>
      <c r="V3982">
        <v>0</v>
      </c>
      <c r="W3982">
        <v>0</v>
      </c>
      <c r="X3982">
        <v>0</v>
      </c>
      <c r="Y3982" s="2">
        <v>1304.03</v>
      </c>
      <c r="Z3982" s="2">
        <v>1304.03</v>
      </c>
      <c r="AA3982" s="2">
        <v>1304.03</v>
      </c>
      <c r="AB3982" s="1">
        <v>42382</v>
      </c>
      <c r="AC3982" t="s">
        <v>53</v>
      </c>
      <c r="AD3982" t="s">
        <v>53</v>
      </c>
      <c r="AK3982">
        <v>0</v>
      </c>
      <c r="AU3982" s="6">
        <v>42275</v>
      </c>
      <c r="AV3982" s="6">
        <v>42275</v>
      </c>
      <c r="AW3982" t="s">
        <v>54</v>
      </c>
      <c r="AX3982" t="str">
        <f t="shared" si="338"/>
        <v>FOR</v>
      </c>
      <c r="AY3982" t="s">
        <v>55</v>
      </c>
    </row>
    <row r="3983" spans="1:51">
      <c r="A3983">
        <v>101398</v>
      </c>
      <c r="B3983" t="s">
        <v>730</v>
      </c>
      <c r="C3983" t="str">
        <f t="shared" si="337"/>
        <v>05815611008</v>
      </c>
      <c r="D3983" t="str">
        <f t="shared" si="337"/>
        <v>05815611008</v>
      </c>
      <c r="E3983" t="s">
        <v>52</v>
      </c>
      <c r="F3983">
        <v>2015</v>
      </c>
      <c r="G3983">
        <v>17169</v>
      </c>
      <c r="H3983" s="1">
        <v>42327</v>
      </c>
      <c r="I3983" s="1">
        <v>42331</v>
      </c>
      <c r="J3983" s="1">
        <v>42328</v>
      </c>
      <c r="K3983" s="1">
        <v>42388</v>
      </c>
      <c r="L3983" s="7">
        <v>629.75</v>
      </c>
      <c r="M3983" s="5">
        <v>-33</v>
      </c>
      <c r="N3983" s="7">
        <v>-20781.75</v>
      </c>
      <c r="O3983">
        <v>629.75</v>
      </c>
      <c r="P3983">
        <v>-33</v>
      </c>
      <c r="Q3983" s="2">
        <v>-20781.75</v>
      </c>
      <c r="R3983">
        <v>138.55000000000001</v>
      </c>
      <c r="V3983">
        <v>768.3</v>
      </c>
      <c r="W3983">
        <v>768.3</v>
      </c>
      <c r="X3983">
        <v>768.3</v>
      </c>
      <c r="Y3983">
        <v>768.3</v>
      </c>
      <c r="Z3983">
        <v>768.3</v>
      </c>
      <c r="AA3983">
        <v>768.3</v>
      </c>
      <c r="AB3983" s="1">
        <v>42382</v>
      </c>
      <c r="AC3983" t="s">
        <v>53</v>
      </c>
      <c r="AD3983" t="s">
        <v>53</v>
      </c>
      <c r="AK3983">
        <v>0</v>
      </c>
      <c r="AM3983">
        <v>138.55000000000001</v>
      </c>
      <c r="AU3983" s="6">
        <v>42355</v>
      </c>
      <c r="AV3983" s="6">
        <v>42355</v>
      </c>
      <c r="AW3983" t="s">
        <v>54</v>
      </c>
      <c r="AX3983" t="str">
        <f t="shared" si="338"/>
        <v>FOR</v>
      </c>
      <c r="AY3983" t="s">
        <v>55</v>
      </c>
    </row>
    <row r="3984" spans="1:51">
      <c r="A3984">
        <v>101398</v>
      </c>
      <c r="B3984" t="s">
        <v>730</v>
      </c>
      <c r="C3984" t="str">
        <f t="shared" si="337"/>
        <v>05815611008</v>
      </c>
      <c r="D3984" t="str">
        <f t="shared" si="337"/>
        <v>05815611008</v>
      </c>
      <c r="E3984" t="s">
        <v>52</v>
      </c>
      <c r="F3984">
        <v>2015</v>
      </c>
      <c r="G3984">
        <v>17170</v>
      </c>
      <c r="H3984" s="1">
        <v>42327</v>
      </c>
      <c r="I3984" s="1">
        <v>42331</v>
      </c>
      <c r="J3984" s="1">
        <v>42328</v>
      </c>
      <c r="K3984" s="1">
        <v>42388</v>
      </c>
      <c r="L3984" s="7">
        <v>1624.6</v>
      </c>
      <c r="M3984" s="5">
        <v>-33</v>
      </c>
      <c r="N3984" s="7">
        <v>-53611.8</v>
      </c>
      <c r="O3984" s="2">
        <v>1624.6</v>
      </c>
      <c r="P3984">
        <v>-33</v>
      </c>
      <c r="Q3984" s="2">
        <v>-53611.8</v>
      </c>
      <c r="R3984">
        <v>357.41</v>
      </c>
      <c r="V3984" s="2">
        <v>1982.01</v>
      </c>
      <c r="W3984" s="2">
        <v>1982.01</v>
      </c>
      <c r="X3984" s="2">
        <v>1982.01</v>
      </c>
      <c r="Y3984" s="2">
        <v>1982.01</v>
      </c>
      <c r="Z3984" s="2">
        <v>1982.01</v>
      </c>
      <c r="AA3984" s="2">
        <v>1982.01</v>
      </c>
      <c r="AB3984" s="1">
        <v>42382</v>
      </c>
      <c r="AC3984" t="s">
        <v>53</v>
      </c>
      <c r="AD3984" t="s">
        <v>53</v>
      </c>
      <c r="AK3984">
        <v>0</v>
      </c>
      <c r="AM3984">
        <v>357.41</v>
      </c>
      <c r="AU3984" s="6">
        <v>42355</v>
      </c>
      <c r="AV3984" s="6">
        <v>42355</v>
      </c>
      <c r="AW3984" t="s">
        <v>54</v>
      </c>
      <c r="AX3984" t="str">
        <f t="shared" si="338"/>
        <v>FOR</v>
      </c>
      <c r="AY3984" t="s">
        <v>55</v>
      </c>
    </row>
    <row r="3985" spans="1:51">
      <c r="A3985">
        <v>101398</v>
      </c>
      <c r="B3985" t="s">
        <v>730</v>
      </c>
      <c r="C3985" t="str">
        <f t="shared" si="337"/>
        <v>05815611008</v>
      </c>
      <c r="D3985" t="str">
        <f t="shared" si="337"/>
        <v>05815611008</v>
      </c>
      <c r="E3985" t="s">
        <v>52</v>
      </c>
      <c r="F3985">
        <v>2015</v>
      </c>
      <c r="G3985">
        <v>17171</v>
      </c>
      <c r="H3985" s="1">
        <v>42327</v>
      </c>
      <c r="I3985" s="1">
        <v>42331</v>
      </c>
      <c r="J3985" s="1">
        <v>42328</v>
      </c>
      <c r="K3985" s="1">
        <v>42388</v>
      </c>
      <c r="L3985" s="7">
        <v>1624.6</v>
      </c>
      <c r="M3985" s="5">
        <v>-33</v>
      </c>
      <c r="N3985" s="7">
        <v>-53611.8</v>
      </c>
      <c r="O3985" s="2">
        <v>1624.6</v>
      </c>
      <c r="P3985">
        <v>-33</v>
      </c>
      <c r="Q3985" s="2">
        <v>-53611.8</v>
      </c>
      <c r="R3985">
        <v>357.41</v>
      </c>
      <c r="V3985" s="2">
        <v>1982.01</v>
      </c>
      <c r="W3985" s="2">
        <v>1982.01</v>
      </c>
      <c r="X3985" s="2">
        <v>1982.01</v>
      </c>
      <c r="Y3985" s="2">
        <v>1982.01</v>
      </c>
      <c r="Z3985" s="2">
        <v>1982.01</v>
      </c>
      <c r="AA3985" s="2">
        <v>1982.01</v>
      </c>
      <c r="AB3985" s="1">
        <v>42382</v>
      </c>
      <c r="AC3985" t="s">
        <v>53</v>
      </c>
      <c r="AD3985" t="s">
        <v>53</v>
      </c>
      <c r="AK3985">
        <v>0</v>
      </c>
      <c r="AM3985">
        <v>357.41</v>
      </c>
      <c r="AU3985" s="6">
        <v>42355</v>
      </c>
      <c r="AV3985" s="6">
        <v>42355</v>
      </c>
      <c r="AW3985" t="s">
        <v>54</v>
      </c>
      <c r="AX3985" t="str">
        <f t="shared" si="338"/>
        <v>FOR</v>
      </c>
      <c r="AY3985" t="s">
        <v>55</v>
      </c>
    </row>
    <row r="3986" spans="1:51">
      <c r="A3986">
        <v>101398</v>
      </c>
      <c r="B3986" t="s">
        <v>730</v>
      </c>
      <c r="C3986" t="str">
        <f t="shared" si="337"/>
        <v>05815611008</v>
      </c>
      <c r="D3986" t="str">
        <f t="shared" si="337"/>
        <v>05815611008</v>
      </c>
      <c r="E3986" t="s">
        <v>52</v>
      </c>
      <c r="F3986">
        <v>2015</v>
      </c>
      <c r="G3986">
        <v>17172</v>
      </c>
      <c r="H3986" s="1">
        <v>42327</v>
      </c>
      <c r="I3986" s="1">
        <v>42331</v>
      </c>
      <c r="J3986" s="1">
        <v>42328</v>
      </c>
      <c r="K3986" s="1">
        <v>42388</v>
      </c>
      <c r="L3986" s="7">
        <v>1624.6</v>
      </c>
      <c r="M3986" s="5">
        <v>-33</v>
      </c>
      <c r="N3986" s="7">
        <v>-53611.8</v>
      </c>
      <c r="O3986" s="2">
        <v>1624.6</v>
      </c>
      <c r="P3986">
        <v>-33</v>
      </c>
      <c r="Q3986" s="2">
        <v>-53611.8</v>
      </c>
      <c r="R3986">
        <v>357.41</v>
      </c>
      <c r="V3986" s="2">
        <v>1982.01</v>
      </c>
      <c r="W3986" s="2">
        <v>1982.01</v>
      </c>
      <c r="X3986" s="2">
        <v>1982.01</v>
      </c>
      <c r="Y3986" s="2">
        <v>1982.01</v>
      </c>
      <c r="Z3986" s="2">
        <v>1982.01</v>
      </c>
      <c r="AA3986" s="2">
        <v>1982.01</v>
      </c>
      <c r="AB3986" s="1">
        <v>42382</v>
      </c>
      <c r="AC3986" t="s">
        <v>53</v>
      </c>
      <c r="AD3986" t="s">
        <v>53</v>
      </c>
      <c r="AK3986">
        <v>0</v>
      </c>
      <c r="AM3986">
        <v>357.41</v>
      </c>
      <c r="AU3986" s="6">
        <v>42355</v>
      </c>
      <c r="AV3986" s="6">
        <v>42355</v>
      </c>
      <c r="AW3986" t="s">
        <v>54</v>
      </c>
      <c r="AX3986" t="str">
        <f t="shared" si="338"/>
        <v>FOR</v>
      </c>
      <c r="AY3986" t="s">
        <v>55</v>
      </c>
    </row>
    <row r="3987" spans="1:51" hidden="1">
      <c r="A3987">
        <v>101408</v>
      </c>
      <c r="B3987" t="s">
        <v>731</v>
      </c>
      <c r="C3987" t="str">
        <f t="shared" ref="C3987:D3997" si="339">"02571210349"</f>
        <v>02571210349</v>
      </c>
      <c r="D3987" t="str">
        <f t="shared" si="339"/>
        <v>02571210349</v>
      </c>
      <c r="E3987" t="s">
        <v>52</v>
      </c>
      <c r="F3987">
        <v>2014</v>
      </c>
      <c r="G3987">
        <v>1</v>
      </c>
      <c r="H3987" s="1">
        <v>41702</v>
      </c>
      <c r="I3987" s="1">
        <v>41711</v>
      </c>
      <c r="J3987" s="1">
        <v>41711</v>
      </c>
      <c r="K3987" s="1">
        <v>41801</v>
      </c>
      <c r="N3987" s="5"/>
      <c r="O3987" s="2">
        <v>1068.72</v>
      </c>
      <c r="P3987">
        <v>233</v>
      </c>
      <c r="Q3987" s="2">
        <v>249011.76</v>
      </c>
      <c r="R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 s="1">
        <v>42382</v>
      </c>
      <c r="AC3987" t="s">
        <v>53</v>
      </c>
      <c r="AD3987" t="s">
        <v>53</v>
      </c>
      <c r="AK3987">
        <v>0</v>
      </c>
      <c r="AU3987" s="6">
        <v>42034</v>
      </c>
      <c r="AV3987" s="6">
        <v>42034</v>
      </c>
      <c r="AW3987" t="s">
        <v>54</v>
      </c>
      <c r="AX3987" t="str">
        <f t="shared" si="338"/>
        <v>FOR</v>
      </c>
      <c r="AY3987" t="s">
        <v>55</v>
      </c>
    </row>
    <row r="3988" spans="1:51" hidden="1">
      <c r="A3988">
        <v>101408</v>
      </c>
      <c r="B3988" t="s">
        <v>731</v>
      </c>
      <c r="C3988" t="str">
        <f t="shared" si="339"/>
        <v>02571210349</v>
      </c>
      <c r="D3988" t="str">
        <f t="shared" si="339"/>
        <v>02571210349</v>
      </c>
      <c r="E3988" t="s">
        <v>52</v>
      </c>
      <c r="F3988">
        <v>2014</v>
      </c>
      <c r="G3988">
        <v>5</v>
      </c>
      <c r="H3988" s="1">
        <v>41852</v>
      </c>
      <c r="I3988" s="1">
        <v>41852</v>
      </c>
      <c r="J3988" s="1">
        <v>41852</v>
      </c>
      <c r="K3988" s="1">
        <v>41942</v>
      </c>
      <c r="N3988" s="5"/>
      <c r="O3988" s="2">
        <v>9879.68</v>
      </c>
      <c r="P3988">
        <v>152</v>
      </c>
      <c r="Q3988" s="2">
        <v>1501711.3600000001</v>
      </c>
      <c r="R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 s="1">
        <v>42382</v>
      </c>
      <c r="AC3988" t="s">
        <v>53</v>
      </c>
      <c r="AD3988" t="s">
        <v>53</v>
      </c>
      <c r="AK3988">
        <v>0</v>
      </c>
      <c r="AU3988" s="6">
        <v>42094</v>
      </c>
      <c r="AV3988" s="6">
        <v>42094</v>
      </c>
      <c r="AW3988" t="s">
        <v>54</v>
      </c>
      <c r="AX3988" t="str">
        <f t="shared" si="338"/>
        <v>FOR</v>
      </c>
      <c r="AY3988" t="s">
        <v>55</v>
      </c>
    </row>
    <row r="3989" spans="1:51" hidden="1">
      <c r="A3989">
        <v>101408</v>
      </c>
      <c r="B3989" t="s">
        <v>731</v>
      </c>
      <c r="C3989" t="str">
        <f t="shared" si="339"/>
        <v>02571210349</v>
      </c>
      <c r="D3989" t="str">
        <f t="shared" si="339"/>
        <v>02571210349</v>
      </c>
      <c r="E3989" t="s">
        <v>52</v>
      </c>
      <c r="F3989">
        <v>2014</v>
      </c>
      <c r="G3989">
        <v>6</v>
      </c>
      <c r="H3989" s="1">
        <v>41852</v>
      </c>
      <c r="I3989" s="1">
        <v>41852</v>
      </c>
      <c r="J3989" s="1">
        <v>41852</v>
      </c>
      <c r="K3989" s="1">
        <v>41942</v>
      </c>
      <c r="N3989" s="5"/>
      <c r="O3989" s="2">
        <v>4837.93</v>
      </c>
      <c r="P3989">
        <v>152</v>
      </c>
      <c r="Q3989" s="2">
        <v>735365.36</v>
      </c>
      <c r="R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 s="1">
        <v>42382</v>
      </c>
      <c r="AC3989" t="s">
        <v>53</v>
      </c>
      <c r="AD3989" t="s">
        <v>53</v>
      </c>
      <c r="AK3989">
        <v>0</v>
      </c>
      <c r="AU3989" s="6">
        <v>42094</v>
      </c>
      <c r="AV3989" s="6">
        <v>42094</v>
      </c>
      <c r="AW3989" t="s">
        <v>54</v>
      </c>
      <c r="AX3989" t="str">
        <f t="shared" si="338"/>
        <v>FOR</v>
      </c>
      <c r="AY3989" t="s">
        <v>55</v>
      </c>
    </row>
    <row r="3990" spans="1:51" hidden="1">
      <c r="A3990">
        <v>101408</v>
      </c>
      <c r="B3990" t="s">
        <v>731</v>
      </c>
      <c r="C3990" t="str">
        <f t="shared" si="339"/>
        <v>02571210349</v>
      </c>
      <c r="D3990" t="str">
        <f t="shared" si="339"/>
        <v>02571210349</v>
      </c>
      <c r="E3990" t="s">
        <v>52</v>
      </c>
      <c r="F3990">
        <v>2014</v>
      </c>
      <c r="G3990">
        <v>19</v>
      </c>
      <c r="H3990" s="1">
        <v>42004</v>
      </c>
      <c r="I3990" s="1">
        <v>42004</v>
      </c>
      <c r="J3990" s="1">
        <v>42004</v>
      </c>
      <c r="K3990" s="1">
        <v>42064</v>
      </c>
      <c r="N3990" s="5"/>
      <c r="O3990" s="2">
        <v>11025.55</v>
      </c>
      <c r="P3990">
        <v>117</v>
      </c>
      <c r="Q3990" s="2">
        <v>1289989.3500000001</v>
      </c>
      <c r="R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 s="1">
        <v>42382</v>
      </c>
      <c r="AC3990" t="s">
        <v>53</v>
      </c>
      <c r="AD3990" t="s">
        <v>53</v>
      </c>
      <c r="AK3990">
        <v>0</v>
      </c>
      <c r="AU3990" s="6">
        <v>42181</v>
      </c>
      <c r="AV3990" s="6">
        <v>42181</v>
      </c>
      <c r="AW3990" t="s">
        <v>54</v>
      </c>
      <c r="AX3990" t="str">
        <f t="shared" si="338"/>
        <v>FOR</v>
      </c>
      <c r="AY3990" t="s">
        <v>55</v>
      </c>
    </row>
    <row r="3991" spans="1:51" hidden="1">
      <c r="A3991">
        <v>101408</v>
      </c>
      <c r="B3991" t="s">
        <v>731</v>
      </c>
      <c r="C3991" t="str">
        <f t="shared" si="339"/>
        <v>02571210349</v>
      </c>
      <c r="D3991" t="str">
        <f t="shared" si="339"/>
        <v>02571210349</v>
      </c>
      <c r="E3991" t="s">
        <v>52</v>
      </c>
      <c r="F3991">
        <v>2014</v>
      </c>
      <c r="G3991">
        <v>20</v>
      </c>
      <c r="H3991" s="1">
        <v>42004</v>
      </c>
      <c r="I3991" s="1">
        <v>42004</v>
      </c>
      <c r="J3991" s="1">
        <v>42004</v>
      </c>
      <c r="K3991" s="1">
        <v>42064</v>
      </c>
      <c r="N3991" s="5"/>
      <c r="O3991" s="2">
        <v>2112.31</v>
      </c>
      <c r="P3991">
        <v>117</v>
      </c>
      <c r="Q3991" s="2">
        <v>247140.27</v>
      </c>
      <c r="R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 s="1">
        <v>42382</v>
      </c>
      <c r="AC3991" t="s">
        <v>53</v>
      </c>
      <c r="AD3991" t="s">
        <v>53</v>
      </c>
      <c r="AK3991">
        <v>0</v>
      </c>
      <c r="AU3991" s="6">
        <v>42181</v>
      </c>
      <c r="AV3991" s="6">
        <v>42181</v>
      </c>
      <c r="AW3991" t="s">
        <v>54</v>
      </c>
      <c r="AX3991" t="str">
        <f t="shared" si="338"/>
        <v>FOR</v>
      </c>
      <c r="AY3991" t="s">
        <v>55</v>
      </c>
    </row>
    <row r="3992" spans="1:51">
      <c r="A3992">
        <v>101408</v>
      </c>
      <c r="B3992" t="s">
        <v>731</v>
      </c>
      <c r="C3992" t="str">
        <f t="shared" si="339"/>
        <v>02571210349</v>
      </c>
      <c r="D3992" t="str">
        <f t="shared" si="339"/>
        <v>02571210349</v>
      </c>
      <c r="E3992" t="s">
        <v>52</v>
      </c>
      <c r="F3992">
        <v>2015</v>
      </c>
      <c r="G3992">
        <v>5</v>
      </c>
      <c r="H3992" s="1">
        <v>42030</v>
      </c>
      <c r="I3992" s="1">
        <v>42044</v>
      </c>
      <c r="J3992" s="1">
        <v>42044</v>
      </c>
      <c r="K3992" s="1">
        <v>42104</v>
      </c>
      <c r="L3992" s="7">
        <v>4922.05</v>
      </c>
      <c r="M3992" s="5">
        <v>178</v>
      </c>
      <c r="N3992" s="7">
        <v>876124.9</v>
      </c>
      <c r="O3992" s="2">
        <v>4922.05</v>
      </c>
      <c r="P3992">
        <v>178</v>
      </c>
      <c r="Q3992" s="2">
        <v>876124.9</v>
      </c>
      <c r="R3992">
        <v>0</v>
      </c>
      <c r="V3992">
        <v>0</v>
      </c>
      <c r="W3992">
        <v>0</v>
      </c>
      <c r="X3992">
        <v>0</v>
      </c>
      <c r="Y3992" s="2">
        <v>6004.9</v>
      </c>
      <c r="Z3992" s="2">
        <v>6004.9</v>
      </c>
      <c r="AA3992" s="2">
        <v>6004.9</v>
      </c>
      <c r="AB3992" s="1">
        <v>42382</v>
      </c>
      <c r="AC3992" t="s">
        <v>53</v>
      </c>
      <c r="AD3992" t="s">
        <v>53</v>
      </c>
      <c r="AK3992">
        <v>0</v>
      </c>
      <c r="AU3992" s="6">
        <v>42282</v>
      </c>
      <c r="AV3992" s="6">
        <v>42282</v>
      </c>
      <c r="AW3992" t="s">
        <v>54</v>
      </c>
      <c r="AX3992" t="str">
        <f t="shared" si="338"/>
        <v>FOR</v>
      </c>
      <c r="AY3992" t="s">
        <v>55</v>
      </c>
    </row>
    <row r="3993" spans="1:51">
      <c r="A3993">
        <v>101408</v>
      </c>
      <c r="B3993" t="s">
        <v>731</v>
      </c>
      <c r="C3993" t="str">
        <f t="shared" si="339"/>
        <v>02571210349</v>
      </c>
      <c r="D3993" t="str">
        <f t="shared" si="339"/>
        <v>02571210349</v>
      </c>
      <c r="E3993" t="s">
        <v>52</v>
      </c>
      <c r="F3993">
        <v>2015</v>
      </c>
      <c r="G3993" s="4" t="s">
        <v>732</v>
      </c>
      <c r="H3993" s="1">
        <v>42195</v>
      </c>
      <c r="I3993" s="1">
        <v>42202</v>
      </c>
      <c r="J3993" s="1">
        <v>42201</v>
      </c>
      <c r="K3993" s="1">
        <v>42261</v>
      </c>
      <c r="L3993" s="7">
        <v>2988.5</v>
      </c>
      <c r="M3993" s="5">
        <v>79</v>
      </c>
      <c r="N3993" s="7">
        <v>236091.5</v>
      </c>
      <c r="O3993" s="2">
        <v>2988.5</v>
      </c>
      <c r="P3993">
        <v>79</v>
      </c>
      <c r="Q3993" s="2">
        <v>236091.5</v>
      </c>
      <c r="R3993">
        <v>657.47</v>
      </c>
      <c r="V3993">
        <v>0</v>
      </c>
      <c r="W3993">
        <v>0</v>
      </c>
      <c r="X3993">
        <v>0</v>
      </c>
      <c r="Y3993" s="2">
        <v>3645.97</v>
      </c>
      <c r="Z3993" s="2">
        <v>3645.97</v>
      </c>
      <c r="AA3993" s="2">
        <v>3645.97</v>
      </c>
      <c r="AB3993" s="1">
        <v>42382</v>
      </c>
      <c r="AC3993" t="s">
        <v>53</v>
      </c>
      <c r="AD3993" t="s">
        <v>53</v>
      </c>
      <c r="AH3993">
        <v>657.47</v>
      </c>
      <c r="AK3993">
        <v>0</v>
      </c>
      <c r="AU3993" s="6">
        <v>42340</v>
      </c>
      <c r="AV3993" s="6">
        <v>42340</v>
      </c>
      <c r="AW3993" t="s">
        <v>54</v>
      </c>
      <c r="AX3993" t="str">
        <f t="shared" si="338"/>
        <v>FOR</v>
      </c>
      <c r="AY3993" t="s">
        <v>55</v>
      </c>
    </row>
    <row r="3994" spans="1:51">
      <c r="A3994">
        <v>101408</v>
      </c>
      <c r="B3994" t="s">
        <v>731</v>
      </c>
      <c r="C3994" t="str">
        <f t="shared" si="339"/>
        <v>02571210349</v>
      </c>
      <c r="D3994" t="str">
        <f t="shared" si="339"/>
        <v>02571210349</v>
      </c>
      <c r="E3994" t="s">
        <v>52</v>
      </c>
      <c r="F3994">
        <v>2015</v>
      </c>
      <c r="G3994" s="4" t="s">
        <v>733</v>
      </c>
      <c r="H3994" s="1">
        <v>42207</v>
      </c>
      <c r="I3994" s="1">
        <v>42215</v>
      </c>
      <c r="J3994" s="1">
        <v>42214</v>
      </c>
      <c r="K3994" s="1">
        <v>42274</v>
      </c>
      <c r="L3994" s="7">
        <v>2988.5</v>
      </c>
      <c r="M3994" s="5">
        <v>66</v>
      </c>
      <c r="N3994" s="7">
        <v>197241</v>
      </c>
      <c r="O3994" s="2">
        <v>2988.5</v>
      </c>
      <c r="P3994">
        <v>66</v>
      </c>
      <c r="Q3994" s="2">
        <v>197241</v>
      </c>
      <c r="R3994">
        <v>657.47</v>
      </c>
      <c r="V3994">
        <v>0</v>
      </c>
      <c r="W3994">
        <v>0</v>
      </c>
      <c r="X3994">
        <v>0</v>
      </c>
      <c r="Y3994" s="2">
        <v>3645.97</v>
      </c>
      <c r="Z3994" s="2">
        <v>3645.97</v>
      </c>
      <c r="AA3994" s="2">
        <v>3645.97</v>
      </c>
      <c r="AB3994" s="1">
        <v>42382</v>
      </c>
      <c r="AC3994" t="s">
        <v>53</v>
      </c>
      <c r="AD3994" t="s">
        <v>53</v>
      </c>
      <c r="AH3994">
        <v>657.47</v>
      </c>
      <c r="AK3994">
        <v>0</v>
      </c>
      <c r="AU3994" s="6">
        <v>42340</v>
      </c>
      <c r="AV3994" s="6">
        <v>42340</v>
      </c>
      <c r="AW3994" t="s">
        <v>54</v>
      </c>
      <c r="AX3994" t="str">
        <f t="shared" si="338"/>
        <v>FOR</v>
      </c>
      <c r="AY3994" t="s">
        <v>55</v>
      </c>
    </row>
    <row r="3995" spans="1:51">
      <c r="A3995">
        <v>101408</v>
      </c>
      <c r="B3995" t="s">
        <v>731</v>
      </c>
      <c r="C3995" t="str">
        <f t="shared" si="339"/>
        <v>02571210349</v>
      </c>
      <c r="D3995" t="str">
        <f t="shared" si="339"/>
        <v>02571210349</v>
      </c>
      <c r="E3995" t="s">
        <v>52</v>
      </c>
      <c r="F3995">
        <v>2015</v>
      </c>
      <c r="G3995" s="4" t="s">
        <v>734</v>
      </c>
      <c r="H3995" s="1">
        <v>42216</v>
      </c>
      <c r="I3995" s="1">
        <v>42226</v>
      </c>
      <c r="J3995" s="1">
        <v>42223</v>
      </c>
      <c r="K3995" s="1">
        <v>42283</v>
      </c>
      <c r="L3995" s="7">
        <v>766.5</v>
      </c>
      <c r="M3995" s="5">
        <v>57</v>
      </c>
      <c r="N3995" s="7">
        <v>43690.5</v>
      </c>
      <c r="O3995">
        <v>766.5</v>
      </c>
      <c r="P3995">
        <v>57</v>
      </c>
      <c r="Q3995" s="2">
        <v>43690.5</v>
      </c>
      <c r="R3995">
        <v>168.63</v>
      </c>
      <c r="V3995">
        <v>0</v>
      </c>
      <c r="W3995">
        <v>0</v>
      </c>
      <c r="X3995">
        <v>0</v>
      </c>
      <c r="Y3995">
        <v>935.13</v>
      </c>
      <c r="Z3995">
        <v>935.13</v>
      </c>
      <c r="AA3995">
        <v>935.13</v>
      </c>
      <c r="AB3995" s="1">
        <v>42382</v>
      </c>
      <c r="AC3995" t="s">
        <v>53</v>
      </c>
      <c r="AD3995" t="s">
        <v>53</v>
      </c>
      <c r="AG3995">
        <v>168.63</v>
      </c>
      <c r="AK3995">
        <v>0</v>
      </c>
      <c r="AU3995" s="6">
        <v>42340</v>
      </c>
      <c r="AV3995" s="6">
        <v>42340</v>
      </c>
      <c r="AW3995" t="s">
        <v>54</v>
      </c>
      <c r="AX3995" t="str">
        <f t="shared" si="338"/>
        <v>FOR</v>
      </c>
      <c r="AY3995" t="s">
        <v>55</v>
      </c>
    </row>
    <row r="3996" spans="1:51">
      <c r="A3996">
        <v>101408</v>
      </c>
      <c r="B3996" t="s">
        <v>731</v>
      </c>
      <c r="C3996" t="str">
        <f t="shared" si="339"/>
        <v>02571210349</v>
      </c>
      <c r="D3996" t="str">
        <f t="shared" si="339"/>
        <v>02571210349</v>
      </c>
      <c r="E3996" t="s">
        <v>52</v>
      </c>
      <c r="F3996">
        <v>2015</v>
      </c>
      <c r="G3996" s="4" t="s">
        <v>735</v>
      </c>
      <c r="H3996" s="1">
        <v>42258</v>
      </c>
      <c r="I3996" s="1">
        <v>42270</v>
      </c>
      <c r="J3996" s="1">
        <v>42270</v>
      </c>
      <c r="K3996" s="1">
        <v>42330</v>
      </c>
      <c r="L3996" s="7">
        <v>4214</v>
      </c>
      <c r="M3996" s="5">
        <v>25</v>
      </c>
      <c r="N3996" s="7">
        <v>105350</v>
      </c>
      <c r="O3996" s="2">
        <v>4214</v>
      </c>
      <c r="P3996">
        <v>25</v>
      </c>
      <c r="Q3996" s="2">
        <v>105350</v>
      </c>
      <c r="R3996">
        <v>927.08</v>
      </c>
      <c r="V3996">
        <v>0</v>
      </c>
      <c r="W3996">
        <v>0</v>
      </c>
      <c r="X3996">
        <v>0</v>
      </c>
      <c r="Y3996" s="2">
        <v>5141.08</v>
      </c>
      <c r="Z3996" s="2">
        <v>5141.08</v>
      </c>
      <c r="AA3996" s="2">
        <v>5141.08</v>
      </c>
      <c r="AB3996" s="1">
        <v>42382</v>
      </c>
      <c r="AC3996" t="s">
        <v>53</v>
      </c>
      <c r="AD3996" t="s">
        <v>53</v>
      </c>
      <c r="AF3996">
        <v>927.08</v>
      </c>
      <c r="AK3996">
        <v>0</v>
      </c>
      <c r="AU3996" s="6">
        <v>42355</v>
      </c>
      <c r="AV3996" s="6">
        <v>42355</v>
      </c>
      <c r="AW3996" t="s">
        <v>54</v>
      </c>
      <c r="AX3996" t="str">
        <f t="shared" si="338"/>
        <v>FOR</v>
      </c>
      <c r="AY3996" t="s">
        <v>55</v>
      </c>
    </row>
    <row r="3997" spans="1:51">
      <c r="A3997">
        <v>101408</v>
      </c>
      <c r="B3997" t="s">
        <v>731</v>
      </c>
      <c r="C3997" t="str">
        <f t="shared" si="339"/>
        <v>02571210349</v>
      </c>
      <c r="D3997" t="str">
        <f t="shared" si="339"/>
        <v>02571210349</v>
      </c>
      <c r="E3997" t="s">
        <v>52</v>
      </c>
      <c r="F3997">
        <v>2015</v>
      </c>
      <c r="G3997" t="s">
        <v>736</v>
      </c>
      <c r="H3997" s="1">
        <v>42123</v>
      </c>
      <c r="I3997" s="1">
        <v>42160</v>
      </c>
      <c r="J3997" s="1">
        <v>42149</v>
      </c>
      <c r="K3997" s="1">
        <v>42209</v>
      </c>
      <c r="L3997" s="7">
        <v>766.5</v>
      </c>
      <c r="M3997" s="5">
        <v>146</v>
      </c>
      <c r="N3997" s="7">
        <v>111909</v>
      </c>
      <c r="O3997">
        <v>766.5</v>
      </c>
      <c r="P3997">
        <v>146</v>
      </c>
      <c r="Q3997" s="2">
        <v>111909</v>
      </c>
      <c r="R3997">
        <v>168.63</v>
      </c>
      <c r="V3997">
        <v>0</v>
      </c>
      <c r="W3997">
        <v>0</v>
      </c>
      <c r="X3997">
        <v>0</v>
      </c>
      <c r="Y3997">
        <v>935.13</v>
      </c>
      <c r="Z3997">
        <v>935.13</v>
      </c>
      <c r="AA3997">
        <v>935.13</v>
      </c>
      <c r="AB3997" s="1">
        <v>42382</v>
      </c>
      <c r="AC3997" t="s">
        <v>53</v>
      </c>
      <c r="AD3997" t="s">
        <v>53</v>
      </c>
      <c r="AJ3997">
        <v>168.63</v>
      </c>
      <c r="AK3997">
        <v>0</v>
      </c>
      <c r="AU3997" s="6">
        <v>42355</v>
      </c>
      <c r="AV3997" s="6">
        <v>42355</v>
      </c>
      <c r="AW3997" t="s">
        <v>54</v>
      </c>
      <c r="AX3997" t="str">
        <f t="shared" si="338"/>
        <v>FOR</v>
      </c>
      <c r="AY3997" t="s">
        <v>55</v>
      </c>
    </row>
    <row r="3998" spans="1:51">
      <c r="A3998">
        <v>101439</v>
      </c>
      <c r="B3998" t="s">
        <v>737</v>
      </c>
      <c r="C3998" t="str">
        <f>"03878140239"</f>
        <v>03878140239</v>
      </c>
      <c r="D3998" t="str">
        <f>"03878140239"</f>
        <v>03878140239</v>
      </c>
      <c r="E3998" t="s">
        <v>52</v>
      </c>
      <c r="F3998">
        <v>2014</v>
      </c>
      <c r="G3998">
        <v>75004297</v>
      </c>
      <c r="H3998" s="1">
        <v>41934</v>
      </c>
      <c r="I3998" s="1">
        <v>41941</v>
      </c>
      <c r="J3998" s="1">
        <v>41941</v>
      </c>
      <c r="K3998" s="1">
        <v>42001</v>
      </c>
      <c r="L3998" s="7">
        <v>3981.88</v>
      </c>
      <c r="M3998" s="5">
        <v>281</v>
      </c>
      <c r="N3998" s="7">
        <v>1118908.28</v>
      </c>
      <c r="O3998" s="2">
        <v>3981.88</v>
      </c>
      <c r="P3998">
        <v>281</v>
      </c>
      <c r="Q3998" s="2">
        <v>1118908.28</v>
      </c>
      <c r="R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 s="1">
        <v>42382</v>
      </c>
      <c r="AC3998" t="s">
        <v>53</v>
      </c>
      <c r="AD3998" t="s">
        <v>53</v>
      </c>
      <c r="AK3998">
        <v>0</v>
      </c>
      <c r="AU3998" s="6">
        <v>42282</v>
      </c>
      <c r="AV3998" s="6">
        <v>42282</v>
      </c>
      <c r="AW3998" t="s">
        <v>54</v>
      </c>
      <c r="AX3998" t="str">
        <f t="shared" si="338"/>
        <v>FOR</v>
      </c>
      <c r="AY3998" t="s">
        <v>55</v>
      </c>
    </row>
    <row r="3999" spans="1:51">
      <c r="A3999">
        <v>101439</v>
      </c>
      <c r="B3999" t="s">
        <v>737</v>
      </c>
      <c r="C3999" t="str">
        <f>"03878140239"</f>
        <v>03878140239</v>
      </c>
      <c r="D3999" t="str">
        <f>"03878140239"</f>
        <v>03878140239</v>
      </c>
      <c r="E3999" t="s">
        <v>52</v>
      </c>
      <c r="F3999">
        <v>2014</v>
      </c>
      <c r="G3999">
        <v>75004758</v>
      </c>
      <c r="H3999" s="1">
        <v>41968</v>
      </c>
      <c r="I3999" s="1">
        <v>41978</v>
      </c>
      <c r="J3999" s="1">
        <v>41978</v>
      </c>
      <c r="K3999" s="1">
        <v>42038</v>
      </c>
      <c r="L3999" s="7">
        <v>3981.88</v>
      </c>
      <c r="M3999" s="5">
        <v>244</v>
      </c>
      <c r="N3999" s="7">
        <v>971578.72</v>
      </c>
      <c r="O3999" s="2">
        <v>3981.88</v>
      </c>
      <c r="P3999">
        <v>244</v>
      </c>
      <c r="Q3999" s="2">
        <v>971578.72</v>
      </c>
      <c r="R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 s="1">
        <v>42382</v>
      </c>
      <c r="AC3999" t="s">
        <v>53</v>
      </c>
      <c r="AD3999" t="s">
        <v>53</v>
      </c>
      <c r="AK3999">
        <v>0</v>
      </c>
      <c r="AU3999" s="6">
        <v>42282</v>
      </c>
      <c r="AV3999" s="6">
        <v>42282</v>
      </c>
      <c r="AW3999" t="s">
        <v>54</v>
      </c>
      <c r="AX3999" t="str">
        <f t="shared" si="338"/>
        <v>FOR</v>
      </c>
      <c r="AY3999" t="s">
        <v>55</v>
      </c>
    </row>
    <row r="4000" spans="1:51" hidden="1">
      <c r="A4000">
        <v>101446</v>
      </c>
      <c r="B4000" t="s">
        <v>738</v>
      </c>
      <c r="C4000" t="str">
        <f>"01121130197"</f>
        <v>01121130197</v>
      </c>
      <c r="D4000" t="str">
        <f>"01121130197"</f>
        <v>01121130197</v>
      </c>
      <c r="E4000" t="s">
        <v>52</v>
      </c>
      <c r="F4000">
        <v>2014</v>
      </c>
      <c r="G4000">
        <v>6628</v>
      </c>
      <c r="H4000" s="1">
        <v>41814</v>
      </c>
      <c r="I4000" s="1">
        <v>41821</v>
      </c>
      <c r="J4000" s="1">
        <v>41821</v>
      </c>
      <c r="K4000" s="1">
        <v>41911</v>
      </c>
      <c r="N4000" s="5"/>
      <c r="O4000" s="2">
        <v>1204.1400000000001</v>
      </c>
      <c r="P4000">
        <v>219</v>
      </c>
      <c r="Q4000" s="2">
        <v>263706.65999999997</v>
      </c>
      <c r="R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 s="1">
        <v>42382</v>
      </c>
      <c r="AC4000" t="s">
        <v>53</v>
      </c>
      <c r="AD4000" t="s">
        <v>53</v>
      </c>
      <c r="AK4000">
        <v>0</v>
      </c>
      <c r="AU4000" s="6">
        <v>42130</v>
      </c>
      <c r="AV4000" s="6">
        <v>42130</v>
      </c>
      <c r="AW4000" t="s">
        <v>54</v>
      </c>
      <c r="AX4000" t="str">
        <f t="shared" si="338"/>
        <v>FOR</v>
      </c>
      <c r="AY4000" t="s">
        <v>55</v>
      </c>
    </row>
    <row r="4001" spans="1:51" hidden="1">
      <c r="A4001">
        <v>101446</v>
      </c>
      <c r="B4001" t="s">
        <v>738</v>
      </c>
      <c r="C4001" t="str">
        <f>"01121130197"</f>
        <v>01121130197</v>
      </c>
      <c r="D4001" t="str">
        <f>"01121130197"</f>
        <v>01121130197</v>
      </c>
      <c r="E4001" t="s">
        <v>52</v>
      </c>
      <c r="F4001">
        <v>2014</v>
      </c>
      <c r="G4001">
        <v>7473</v>
      </c>
      <c r="H4001" s="1">
        <v>41844</v>
      </c>
      <c r="I4001" s="1">
        <v>41848</v>
      </c>
      <c r="J4001" s="1">
        <v>41848</v>
      </c>
      <c r="K4001" s="1">
        <v>41938</v>
      </c>
      <c r="N4001" s="5"/>
      <c r="O4001">
        <v>268.55</v>
      </c>
      <c r="P4001">
        <v>192</v>
      </c>
      <c r="Q4001" s="2">
        <v>51561.599999999999</v>
      </c>
      <c r="R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 s="1">
        <v>42382</v>
      </c>
      <c r="AC4001" t="s">
        <v>53</v>
      </c>
      <c r="AD4001" t="s">
        <v>53</v>
      </c>
      <c r="AK4001">
        <v>0</v>
      </c>
      <c r="AU4001" s="6">
        <v>42130</v>
      </c>
      <c r="AV4001" s="6">
        <v>42130</v>
      </c>
      <c r="AW4001" t="s">
        <v>54</v>
      </c>
      <c r="AX4001" t="str">
        <f t="shared" si="338"/>
        <v>FOR</v>
      </c>
      <c r="AY4001" t="s">
        <v>55</v>
      </c>
    </row>
    <row r="4002" spans="1:51" hidden="1">
      <c r="A4002">
        <v>101457</v>
      </c>
      <c r="B4002" t="s">
        <v>739</v>
      </c>
      <c r="C4002" t="str">
        <f>"00035270628"</f>
        <v>00035270628</v>
      </c>
      <c r="D4002" t="str">
        <f>"00035270628"</f>
        <v>00035270628</v>
      </c>
      <c r="E4002" t="s">
        <v>52</v>
      </c>
      <c r="F4002">
        <v>2015</v>
      </c>
      <c r="G4002" t="s">
        <v>740</v>
      </c>
      <c r="H4002" s="1">
        <v>42027</v>
      </c>
      <c r="I4002" s="1">
        <v>42038</v>
      </c>
      <c r="J4002" s="1">
        <v>42038</v>
      </c>
      <c r="K4002" s="1">
        <v>42098</v>
      </c>
      <c r="N4002" s="5"/>
      <c r="O4002">
        <v>140.91999999999999</v>
      </c>
      <c r="P4002">
        <v>25</v>
      </c>
      <c r="Q4002" s="2">
        <v>3523</v>
      </c>
      <c r="R4002">
        <v>31</v>
      </c>
      <c r="V4002">
        <v>0</v>
      </c>
      <c r="W4002">
        <v>0</v>
      </c>
      <c r="X4002">
        <v>0</v>
      </c>
      <c r="Y4002">
        <v>171.92</v>
      </c>
      <c r="Z4002">
        <v>171.92</v>
      </c>
      <c r="AA4002">
        <v>171.92</v>
      </c>
      <c r="AB4002" s="1">
        <v>42382</v>
      </c>
      <c r="AC4002" t="s">
        <v>53</v>
      </c>
      <c r="AD4002" t="s">
        <v>53</v>
      </c>
      <c r="AK4002">
        <v>31</v>
      </c>
      <c r="AU4002" s="6">
        <v>42123</v>
      </c>
      <c r="AV4002" s="6">
        <v>42123</v>
      </c>
      <c r="AW4002" t="s">
        <v>54</v>
      </c>
      <c r="AX4002" t="str">
        <f t="shared" si="338"/>
        <v>FOR</v>
      </c>
      <c r="AY4002" t="s">
        <v>55</v>
      </c>
    </row>
    <row r="4003" spans="1:51" hidden="1">
      <c r="A4003">
        <v>101474</v>
      </c>
      <c r="B4003" t="s">
        <v>741</v>
      </c>
      <c r="C4003" t="str">
        <f t="shared" ref="C4003:D4006" si="340">"09971540159"</f>
        <v>09971540159</v>
      </c>
      <c r="D4003" t="str">
        <f t="shared" si="340"/>
        <v>09971540159</v>
      </c>
      <c r="E4003" t="s">
        <v>52</v>
      </c>
      <c r="F4003">
        <v>2014</v>
      </c>
      <c r="G4003">
        <v>3481</v>
      </c>
      <c r="H4003" s="1">
        <v>41936</v>
      </c>
      <c r="I4003" s="1">
        <v>41956</v>
      </c>
      <c r="J4003" s="1">
        <v>41956</v>
      </c>
      <c r="K4003" s="1">
        <v>42016</v>
      </c>
      <c r="N4003" s="5"/>
      <c r="O4003" s="2">
        <v>1171.2</v>
      </c>
      <c r="P4003">
        <v>56</v>
      </c>
      <c r="Q4003" s="2">
        <v>65587.199999999997</v>
      </c>
      <c r="R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 s="1">
        <v>42382</v>
      </c>
      <c r="AC4003" t="s">
        <v>53</v>
      </c>
      <c r="AD4003" t="s">
        <v>53</v>
      </c>
      <c r="AK4003">
        <v>0</v>
      </c>
      <c r="AU4003" s="6">
        <v>42072</v>
      </c>
      <c r="AV4003" s="6">
        <v>42072</v>
      </c>
      <c r="AW4003" t="s">
        <v>54</v>
      </c>
      <c r="AX4003" t="str">
        <f t="shared" si="338"/>
        <v>FOR</v>
      </c>
      <c r="AY4003" t="s">
        <v>55</v>
      </c>
    </row>
    <row r="4004" spans="1:51" hidden="1">
      <c r="A4004">
        <v>101474</v>
      </c>
      <c r="B4004" t="s">
        <v>741</v>
      </c>
      <c r="C4004" t="str">
        <f t="shared" si="340"/>
        <v>09971540159</v>
      </c>
      <c r="D4004" t="str">
        <f t="shared" si="340"/>
        <v>09971540159</v>
      </c>
      <c r="E4004" t="s">
        <v>52</v>
      </c>
      <c r="F4004">
        <v>2015</v>
      </c>
      <c r="G4004" t="s">
        <v>742</v>
      </c>
      <c r="H4004" s="1">
        <v>42034</v>
      </c>
      <c r="I4004" s="1">
        <v>42086</v>
      </c>
      <c r="J4004" s="1">
        <v>42086</v>
      </c>
      <c r="K4004" s="1">
        <v>42146</v>
      </c>
      <c r="N4004" s="5"/>
      <c r="O4004" s="2">
        <v>1280</v>
      </c>
      <c r="P4004">
        <v>45</v>
      </c>
      <c r="Q4004" s="2">
        <v>57600</v>
      </c>
      <c r="R4004">
        <v>0</v>
      </c>
      <c r="V4004">
        <v>0</v>
      </c>
      <c r="W4004">
        <v>0</v>
      </c>
      <c r="X4004">
        <v>0</v>
      </c>
      <c r="Y4004" s="2">
        <v>1561.6</v>
      </c>
      <c r="Z4004" s="2">
        <v>1561.6</v>
      </c>
      <c r="AA4004" s="2">
        <v>1561.6</v>
      </c>
      <c r="AB4004" s="1">
        <v>42382</v>
      </c>
      <c r="AC4004" t="s">
        <v>53</v>
      </c>
      <c r="AD4004" t="s">
        <v>53</v>
      </c>
      <c r="AK4004">
        <v>0</v>
      </c>
      <c r="AU4004" s="6">
        <v>42191</v>
      </c>
      <c r="AV4004" s="6">
        <v>42191</v>
      </c>
      <c r="AW4004" t="s">
        <v>54</v>
      </c>
      <c r="AX4004" t="str">
        <f t="shared" si="338"/>
        <v>FOR</v>
      </c>
      <c r="AY4004" t="s">
        <v>55</v>
      </c>
    </row>
    <row r="4005" spans="1:51" hidden="1">
      <c r="A4005">
        <v>101474</v>
      </c>
      <c r="B4005" t="s">
        <v>741</v>
      </c>
      <c r="C4005" t="str">
        <f t="shared" si="340"/>
        <v>09971540159</v>
      </c>
      <c r="D4005" t="str">
        <f t="shared" si="340"/>
        <v>09971540159</v>
      </c>
      <c r="E4005" t="s">
        <v>52</v>
      </c>
      <c r="F4005">
        <v>2015</v>
      </c>
      <c r="G4005" t="s">
        <v>743</v>
      </c>
      <c r="H4005" s="1">
        <v>42132</v>
      </c>
      <c r="I4005" s="1">
        <v>42158</v>
      </c>
      <c r="J4005" s="1">
        <v>42138</v>
      </c>
      <c r="K4005" s="1">
        <v>42198</v>
      </c>
      <c r="N4005" s="5"/>
      <c r="O4005">
        <v>640</v>
      </c>
      <c r="P4005">
        <v>77</v>
      </c>
      <c r="Q4005" s="2">
        <v>49280</v>
      </c>
      <c r="R4005">
        <v>0</v>
      </c>
      <c r="V4005">
        <v>0</v>
      </c>
      <c r="W4005">
        <v>0</v>
      </c>
      <c r="X4005">
        <v>0</v>
      </c>
      <c r="Y4005">
        <v>780.8</v>
      </c>
      <c r="Z4005">
        <v>780.8</v>
      </c>
      <c r="AA4005">
        <v>780.8</v>
      </c>
      <c r="AB4005" s="1">
        <v>42382</v>
      </c>
      <c r="AC4005" t="s">
        <v>53</v>
      </c>
      <c r="AD4005" t="s">
        <v>53</v>
      </c>
      <c r="AK4005">
        <v>0</v>
      </c>
      <c r="AU4005" s="6">
        <v>42275</v>
      </c>
      <c r="AV4005" s="6">
        <v>42275</v>
      </c>
      <c r="AW4005" t="s">
        <v>54</v>
      </c>
      <c r="AX4005" t="str">
        <f t="shared" si="338"/>
        <v>FOR</v>
      </c>
      <c r="AY4005" t="s">
        <v>55</v>
      </c>
    </row>
    <row r="4006" spans="1:51" hidden="1">
      <c r="A4006">
        <v>101474</v>
      </c>
      <c r="B4006" t="s">
        <v>741</v>
      </c>
      <c r="C4006" t="str">
        <f t="shared" si="340"/>
        <v>09971540159</v>
      </c>
      <c r="D4006" t="str">
        <f t="shared" si="340"/>
        <v>09971540159</v>
      </c>
      <c r="E4006" t="s">
        <v>52</v>
      </c>
      <c r="F4006">
        <v>2015</v>
      </c>
      <c r="G4006" t="s">
        <v>744</v>
      </c>
      <c r="H4006" s="1">
        <v>42185</v>
      </c>
      <c r="I4006" s="1">
        <v>42191</v>
      </c>
      <c r="J4006" s="1">
        <v>42188</v>
      </c>
      <c r="K4006" s="1">
        <v>42248</v>
      </c>
      <c r="N4006" s="5"/>
      <c r="O4006">
        <v>480</v>
      </c>
      <c r="P4006">
        <v>27</v>
      </c>
      <c r="Q4006" s="2">
        <v>12960</v>
      </c>
      <c r="R4006">
        <v>0</v>
      </c>
      <c r="V4006">
        <v>0</v>
      </c>
      <c r="W4006">
        <v>0</v>
      </c>
      <c r="X4006">
        <v>0</v>
      </c>
      <c r="Y4006">
        <v>585.6</v>
      </c>
      <c r="Z4006">
        <v>585.6</v>
      </c>
      <c r="AA4006">
        <v>585.6</v>
      </c>
      <c r="AB4006" s="1">
        <v>42382</v>
      </c>
      <c r="AC4006" t="s">
        <v>53</v>
      </c>
      <c r="AD4006" t="s">
        <v>53</v>
      </c>
      <c r="AK4006">
        <v>0</v>
      </c>
      <c r="AU4006" s="6">
        <v>42275</v>
      </c>
      <c r="AV4006" s="6">
        <v>42275</v>
      </c>
      <c r="AW4006" t="s">
        <v>54</v>
      </c>
      <c r="AX4006" t="str">
        <f t="shared" si="338"/>
        <v>FOR</v>
      </c>
      <c r="AY4006" t="s">
        <v>55</v>
      </c>
    </row>
    <row r="4007" spans="1:51" hidden="1">
      <c r="A4007">
        <v>101477</v>
      </c>
      <c r="B4007" t="s">
        <v>745</v>
      </c>
      <c r="C4007" t="str">
        <f t="shared" ref="C4007:D4017" si="341">"00977960327"</f>
        <v>00977960327</v>
      </c>
      <c r="D4007" t="str">
        <f t="shared" si="341"/>
        <v>00977960327</v>
      </c>
      <c r="E4007" t="s">
        <v>52</v>
      </c>
      <c r="F4007">
        <v>2014</v>
      </c>
      <c r="G4007">
        <v>7</v>
      </c>
      <c r="H4007" s="1">
        <v>41654</v>
      </c>
      <c r="I4007" s="1">
        <v>41663</v>
      </c>
      <c r="J4007" s="1">
        <v>41663</v>
      </c>
      <c r="K4007" s="1">
        <v>41753</v>
      </c>
      <c r="N4007" s="5"/>
      <c r="O4007">
        <v>481.66</v>
      </c>
      <c r="P4007">
        <v>343</v>
      </c>
      <c r="Q4007" s="2">
        <v>165209.38</v>
      </c>
      <c r="R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 s="1">
        <v>42382</v>
      </c>
      <c r="AC4007" t="s">
        <v>53</v>
      </c>
      <c r="AD4007" t="s">
        <v>53</v>
      </c>
      <c r="AK4007">
        <v>0</v>
      </c>
      <c r="AU4007" s="6">
        <v>42096</v>
      </c>
      <c r="AV4007" s="6">
        <v>42096</v>
      </c>
      <c r="AW4007" t="s">
        <v>54</v>
      </c>
      <c r="AX4007" t="str">
        <f t="shared" si="338"/>
        <v>FOR</v>
      </c>
      <c r="AY4007" t="s">
        <v>55</v>
      </c>
    </row>
    <row r="4008" spans="1:51" hidden="1">
      <c r="A4008">
        <v>101477</v>
      </c>
      <c r="B4008" t="s">
        <v>745</v>
      </c>
      <c r="C4008" t="str">
        <f t="shared" si="341"/>
        <v>00977960327</v>
      </c>
      <c r="D4008" t="str">
        <f t="shared" si="341"/>
        <v>00977960327</v>
      </c>
      <c r="E4008" t="s">
        <v>52</v>
      </c>
      <c r="F4008">
        <v>2014</v>
      </c>
      <c r="G4008">
        <v>612</v>
      </c>
      <c r="H4008" s="1">
        <v>41759</v>
      </c>
      <c r="I4008" s="1">
        <v>41771</v>
      </c>
      <c r="J4008" s="1">
        <v>41771</v>
      </c>
      <c r="K4008" s="1">
        <v>41861</v>
      </c>
      <c r="N4008" s="5"/>
      <c r="O4008">
        <v>732</v>
      </c>
      <c r="P4008">
        <v>235</v>
      </c>
      <c r="Q4008" s="2">
        <v>172020</v>
      </c>
      <c r="R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 s="1">
        <v>42382</v>
      </c>
      <c r="AC4008" t="s">
        <v>53</v>
      </c>
      <c r="AD4008" t="s">
        <v>53</v>
      </c>
      <c r="AK4008">
        <v>0</v>
      </c>
      <c r="AU4008" s="6">
        <v>42096</v>
      </c>
      <c r="AV4008" s="6">
        <v>42096</v>
      </c>
      <c r="AW4008" t="s">
        <v>54</v>
      </c>
      <c r="AX4008" t="str">
        <f t="shared" si="338"/>
        <v>FOR</v>
      </c>
      <c r="AY4008" t="s">
        <v>55</v>
      </c>
    </row>
    <row r="4009" spans="1:51" hidden="1">
      <c r="A4009">
        <v>101477</v>
      </c>
      <c r="B4009" t="s">
        <v>745</v>
      </c>
      <c r="C4009" t="str">
        <f t="shared" si="341"/>
        <v>00977960327</v>
      </c>
      <c r="D4009" t="str">
        <f t="shared" si="341"/>
        <v>00977960327</v>
      </c>
      <c r="E4009" t="s">
        <v>52</v>
      </c>
      <c r="F4009">
        <v>2014</v>
      </c>
      <c r="G4009">
        <v>613</v>
      </c>
      <c r="H4009" s="1">
        <v>41759</v>
      </c>
      <c r="I4009" s="1">
        <v>41771</v>
      </c>
      <c r="J4009" s="1">
        <v>41771</v>
      </c>
      <c r="K4009" s="1">
        <v>41861</v>
      </c>
      <c r="N4009" s="5"/>
      <c r="O4009">
        <v>702.72</v>
      </c>
      <c r="P4009">
        <v>235</v>
      </c>
      <c r="Q4009" s="2">
        <v>165139.20000000001</v>
      </c>
      <c r="R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 s="1">
        <v>42382</v>
      </c>
      <c r="AC4009" t="s">
        <v>53</v>
      </c>
      <c r="AD4009" t="s">
        <v>53</v>
      </c>
      <c r="AK4009">
        <v>0</v>
      </c>
      <c r="AU4009" s="6">
        <v>42096</v>
      </c>
      <c r="AV4009" s="6">
        <v>42096</v>
      </c>
      <c r="AW4009" t="s">
        <v>54</v>
      </c>
      <c r="AX4009" t="str">
        <f t="shared" si="338"/>
        <v>FOR</v>
      </c>
      <c r="AY4009" t="s">
        <v>55</v>
      </c>
    </row>
    <row r="4010" spans="1:51" hidden="1">
      <c r="A4010">
        <v>101477</v>
      </c>
      <c r="B4010" t="s">
        <v>745</v>
      </c>
      <c r="C4010" t="str">
        <f t="shared" si="341"/>
        <v>00977960327</v>
      </c>
      <c r="D4010" t="str">
        <f t="shared" si="341"/>
        <v>00977960327</v>
      </c>
      <c r="E4010" t="s">
        <v>52</v>
      </c>
      <c r="F4010">
        <v>2014</v>
      </c>
      <c r="G4010">
        <v>769</v>
      </c>
      <c r="H4010" s="1">
        <v>41790</v>
      </c>
      <c r="I4010" s="1">
        <v>41802</v>
      </c>
      <c r="J4010" s="1">
        <v>41802</v>
      </c>
      <c r="K4010" s="1">
        <v>41892</v>
      </c>
      <c r="N4010" s="5"/>
      <c r="O4010" s="2">
        <v>3879.23</v>
      </c>
      <c r="P4010">
        <v>204</v>
      </c>
      <c r="Q4010" s="2">
        <v>791362.92</v>
      </c>
      <c r="R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 s="1">
        <v>42382</v>
      </c>
      <c r="AC4010" t="s">
        <v>53</v>
      </c>
      <c r="AD4010" t="s">
        <v>53</v>
      </c>
      <c r="AK4010">
        <v>0</v>
      </c>
      <c r="AU4010" s="6">
        <v>42096</v>
      </c>
      <c r="AV4010" s="6">
        <v>42096</v>
      </c>
      <c r="AW4010" t="s">
        <v>54</v>
      </c>
      <c r="AX4010" t="str">
        <f t="shared" si="338"/>
        <v>FOR</v>
      </c>
      <c r="AY4010" t="s">
        <v>55</v>
      </c>
    </row>
    <row r="4011" spans="1:51" hidden="1">
      <c r="A4011">
        <v>101477</v>
      </c>
      <c r="B4011" t="s">
        <v>745</v>
      </c>
      <c r="C4011" t="str">
        <f t="shared" si="341"/>
        <v>00977960327</v>
      </c>
      <c r="D4011" t="str">
        <f t="shared" si="341"/>
        <v>00977960327</v>
      </c>
      <c r="E4011" t="s">
        <v>52</v>
      </c>
      <c r="F4011">
        <v>2014</v>
      </c>
      <c r="G4011">
        <v>1811</v>
      </c>
      <c r="H4011" s="1">
        <v>42004</v>
      </c>
      <c r="I4011" s="1">
        <v>42019</v>
      </c>
      <c r="J4011" s="1">
        <v>42019</v>
      </c>
      <c r="K4011" s="1">
        <v>42079</v>
      </c>
      <c r="N4011" s="5"/>
      <c r="O4011" s="2">
        <v>2843.82</v>
      </c>
      <c r="P4011">
        <v>80</v>
      </c>
      <c r="Q4011" s="2">
        <v>227505.6</v>
      </c>
      <c r="R4011">
        <v>0</v>
      </c>
      <c r="V4011">
        <v>0</v>
      </c>
      <c r="W4011">
        <v>0</v>
      </c>
      <c r="X4011">
        <v>0</v>
      </c>
      <c r="Y4011">
        <v>0</v>
      </c>
      <c r="Z4011" s="2">
        <v>2843.82</v>
      </c>
      <c r="AA4011">
        <v>0</v>
      </c>
      <c r="AB4011" s="1">
        <v>42382</v>
      </c>
      <c r="AC4011" t="s">
        <v>53</v>
      </c>
      <c r="AD4011" t="s">
        <v>53</v>
      </c>
      <c r="AK4011">
        <v>0</v>
      </c>
      <c r="AU4011" s="6">
        <v>42159</v>
      </c>
      <c r="AV4011" s="6">
        <v>42159</v>
      </c>
      <c r="AW4011" t="s">
        <v>54</v>
      </c>
      <c r="AX4011" t="str">
        <f t="shared" si="338"/>
        <v>FOR</v>
      </c>
      <c r="AY4011" t="s">
        <v>55</v>
      </c>
    </row>
    <row r="4012" spans="1:51">
      <c r="A4012">
        <v>101477</v>
      </c>
      <c r="B4012" t="s">
        <v>745</v>
      </c>
      <c r="C4012" t="str">
        <f t="shared" si="341"/>
        <v>00977960327</v>
      </c>
      <c r="D4012" t="str">
        <f t="shared" si="341"/>
        <v>00977960327</v>
      </c>
      <c r="E4012" t="s">
        <v>52</v>
      </c>
      <c r="F4012">
        <v>2015</v>
      </c>
      <c r="G4012">
        <v>4</v>
      </c>
      <c r="H4012" s="1">
        <v>42121</v>
      </c>
      <c r="I4012" s="1">
        <v>42128</v>
      </c>
      <c r="J4012" s="1">
        <v>42124</v>
      </c>
      <c r="K4012" s="1">
        <v>42184</v>
      </c>
      <c r="L4012" s="7">
        <v>140</v>
      </c>
      <c r="M4012" s="5">
        <v>175</v>
      </c>
      <c r="N4012" s="7">
        <v>24500</v>
      </c>
      <c r="O4012">
        <v>140</v>
      </c>
      <c r="P4012">
        <v>175</v>
      </c>
      <c r="Q4012" s="2">
        <v>24500</v>
      </c>
      <c r="R4012">
        <v>30.8</v>
      </c>
      <c r="V4012">
        <v>0</v>
      </c>
      <c r="W4012">
        <v>0</v>
      </c>
      <c r="X4012">
        <v>0</v>
      </c>
      <c r="Y4012">
        <v>170.8</v>
      </c>
      <c r="Z4012">
        <v>170.8</v>
      </c>
      <c r="AA4012">
        <v>170.8</v>
      </c>
      <c r="AB4012" s="1">
        <v>42382</v>
      </c>
      <c r="AC4012" t="s">
        <v>53</v>
      </c>
      <c r="AD4012" t="s">
        <v>53</v>
      </c>
      <c r="AK4012">
        <v>30.8</v>
      </c>
      <c r="AU4012" s="6">
        <v>42359</v>
      </c>
      <c r="AV4012" s="6">
        <v>42359</v>
      </c>
      <c r="AW4012" t="s">
        <v>54</v>
      </c>
      <c r="AX4012" t="str">
        <f t="shared" si="338"/>
        <v>FOR</v>
      </c>
      <c r="AY4012" t="s">
        <v>55</v>
      </c>
    </row>
    <row r="4013" spans="1:51">
      <c r="A4013">
        <v>101477</v>
      </c>
      <c r="B4013" t="s">
        <v>745</v>
      </c>
      <c r="C4013" t="str">
        <f t="shared" si="341"/>
        <v>00977960327</v>
      </c>
      <c r="D4013" t="str">
        <f t="shared" si="341"/>
        <v>00977960327</v>
      </c>
      <c r="E4013" t="s">
        <v>52</v>
      </c>
      <c r="F4013">
        <v>2015</v>
      </c>
      <c r="G4013">
        <v>5</v>
      </c>
      <c r="H4013" s="1">
        <v>42121</v>
      </c>
      <c r="I4013" s="1">
        <v>42128</v>
      </c>
      <c r="J4013" s="1">
        <v>42124</v>
      </c>
      <c r="K4013" s="1">
        <v>42184</v>
      </c>
      <c r="L4013" s="7">
        <v>5180</v>
      </c>
      <c r="M4013" s="5">
        <v>175</v>
      </c>
      <c r="N4013" s="7">
        <v>906500</v>
      </c>
      <c r="O4013" s="2">
        <v>5180</v>
      </c>
      <c r="P4013">
        <v>175</v>
      </c>
      <c r="Q4013" s="2">
        <v>906500</v>
      </c>
      <c r="R4013" s="2">
        <v>1139.5999999999999</v>
      </c>
      <c r="V4013">
        <v>0</v>
      </c>
      <c r="W4013">
        <v>0</v>
      </c>
      <c r="X4013">
        <v>0</v>
      </c>
      <c r="Y4013" s="2">
        <v>6319.6</v>
      </c>
      <c r="Z4013" s="2">
        <v>6319.6</v>
      </c>
      <c r="AA4013" s="2">
        <v>6319.6</v>
      </c>
      <c r="AB4013" s="1">
        <v>42382</v>
      </c>
      <c r="AC4013" t="s">
        <v>53</v>
      </c>
      <c r="AD4013" t="s">
        <v>53</v>
      </c>
      <c r="AK4013" s="2">
        <v>1139.5999999999999</v>
      </c>
      <c r="AU4013" s="6">
        <v>42359</v>
      </c>
      <c r="AV4013" s="6">
        <v>42359</v>
      </c>
      <c r="AW4013" t="s">
        <v>54</v>
      </c>
      <c r="AX4013" t="str">
        <f t="shared" si="338"/>
        <v>FOR</v>
      </c>
      <c r="AY4013" t="s">
        <v>55</v>
      </c>
    </row>
    <row r="4014" spans="1:51">
      <c r="A4014">
        <v>101477</v>
      </c>
      <c r="B4014" t="s">
        <v>745</v>
      </c>
      <c r="C4014" t="str">
        <f t="shared" si="341"/>
        <v>00977960327</v>
      </c>
      <c r="D4014" t="str">
        <f t="shared" si="341"/>
        <v>00977960327</v>
      </c>
      <c r="E4014" t="s">
        <v>52</v>
      </c>
      <c r="F4014">
        <v>2015</v>
      </c>
      <c r="G4014">
        <v>6</v>
      </c>
      <c r="H4014" s="1">
        <v>42121</v>
      </c>
      <c r="I4014" s="1">
        <v>42128</v>
      </c>
      <c r="J4014" s="1">
        <v>42124</v>
      </c>
      <c r="K4014" s="1">
        <v>42184</v>
      </c>
      <c r="L4014" s="7">
        <v>495</v>
      </c>
      <c r="M4014" s="5">
        <v>175</v>
      </c>
      <c r="N4014" s="7">
        <v>86625</v>
      </c>
      <c r="O4014">
        <v>495</v>
      </c>
      <c r="P4014">
        <v>175</v>
      </c>
      <c r="Q4014" s="2">
        <v>86625</v>
      </c>
      <c r="R4014">
        <v>108.9</v>
      </c>
      <c r="V4014">
        <v>0</v>
      </c>
      <c r="W4014">
        <v>0</v>
      </c>
      <c r="X4014">
        <v>0</v>
      </c>
      <c r="Y4014">
        <v>603.9</v>
      </c>
      <c r="Z4014">
        <v>603.9</v>
      </c>
      <c r="AA4014">
        <v>603.9</v>
      </c>
      <c r="AB4014" s="1">
        <v>42382</v>
      </c>
      <c r="AC4014" t="s">
        <v>53</v>
      </c>
      <c r="AD4014" t="s">
        <v>53</v>
      </c>
      <c r="AK4014">
        <v>108.9</v>
      </c>
      <c r="AU4014" s="6">
        <v>42359</v>
      </c>
      <c r="AV4014" s="6">
        <v>42359</v>
      </c>
      <c r="AW4014" t="s">
        <v>54</v>
      </c>
      <c r="AX4014" t="str">
        <f t="shared" si="338"/>
        <v>FOR</v>
      </c>
      <c r="AY4014" t="s">
        <v>55</v>
      </c>
    </row>
    <row r="4015" spans="1:51">
      <c r="A4015">
        <v>101477</v>
      </c>
      <c r="B4015" t="s">
        <v>745</v>
      </c>
      <c r="C4015" t="str">
        <f t="shared" si="341"/>
        <v>00977960327</v>
      </c>
      <c r="D4015" t="str">
        <f t="shared" si="341"/>
        <v>00977960327</v>
      </c>
      <c r="E4015" t="s">
        <v>52</v>
      </c>
      <c r="F4015">
        <v>2015</v>
      </c>
      <c r="G4015">
        <v>361</v>
      </c>
      <c r="H4015" s="1">
        <v>42093</v>
      </c>
      <c r="I4015" s="1">
        <v>42095</v>
      </c>
      <c r="J4015" s="1">
        <v>42095</v>
      </c>
      <c r="K4015" s="1">
        <v>42155</v>
      </c>
      <c r="L4015" s="7">
        <v>3732.5</v>
      </c>
      <c r="M4015" s="5">
        <v>204</v>
      </c>
      <c r="N4015" s="7">
        <v>761430</v>
      </c>
      <c r="O4015" s="2">
        <v>3732.5</v>
      </c>
      <c r="P4015">
        <v>204</v>
      </c>
      <c r="Q4015" s="2">
        <v>761430</v>
      </c>
      <c r="R4015">
        <v>821.15</v>
      </c>
      <c r="V4015">
        <v>0</v>
      </c>
      <c r="W4015">
        <v>0</v>
      </c>
      <c r="X4015">
        <v>0</v>
      </c>
      <c r="Y4015" s="2">
        <v>4553.6499999999996</v>
      </c>
      <c r="Z4015" s="2">
        <v>4553.6499999999996</v>
      </c>
      <c r="AA4015" s="2">
        <v>4553.6499999999996</v>
      </c>
      <c r="AB4015" s="1">
        <v>42382</v>
      </c>
      <c r="AC4015" t="s">
        <v>53</v>
      </c>
      <c r="AD4015" t="s">
        <v>53</v>
      </c>
      <c r="AK4015">
        <v>821.15</v>
      </c>
      <c r="AU4015" s="6">
        <v>42359</v>
      </c>
      <c r="AV4015" s="6">
        <v>42359</v>
      </c>
      <c r="AW4015" t="s">
        <v>54</v>
      </c>
      <c r="AX4015" t="str">
        <f t="shared" si="338"/>
        <v>FOR</v>
      </c>
      <c r="AY4015" t="s">
        <v>55</v>
      </c>
    </row>
    <row r="4016" spans="1:51">
      <c r="A4016">
        <v>101477</v>
      </c>
      <c r="B4016" t="s">
        <v>745</v>
      </c>
      <c r="C4016" t="str">
        <f t="shared" si="341"/>
        <v>00977960327</v>
      </c>
      <c r="D4016" t="str">
        <f t="shared" si="341"/>
        <v>00977960327</v>
      </c>
      <c r="E4016" t="s">
        <v>52</v>
      </c>
      <c r="F4016">
        <v>2015</v>
      </c>
      <c r="G4016">
        <v>366</v>
      </c>
      <c r="H4016" s="1">
        <v>42093</v>
      </c>
      <c r="I4016" s="1">
        <v>42095</v>
      </c>
      <c r="J4016" s="1">
        <v>42095</v>
      </c>
      <c r="K4016" s="1">
        <v>42155</v>
      </c>
      <c r="L4016" s="7">
        <v>4921</v>
      </c>
      <c r="M4016" s="5">
        <v>204</v>
      </c>
      <c r="N4016" s="7">
        <v>1003884</v>
      </c>
      <c r="O4016" s="2">
        <v>4921</v>
      </c>
      <c r="P4016">
        <v>204</v>
      </c>
      <c r="Q4016" s="2">
        <v>1003884</v>
      </c>
      <c r="R4016" s="2">
        <v>1082.6199999999999</v>
      </c>
      <c r="V4016">
        <v>0</v>
      </c>
      <c r="W4016">
        <v>0</v>
      </c>
      <c r="X4016">
        <v>0</v>
      </c>
      <c r="Y4016" s="2">
        <v>6003.62</v>
      </c>
      <c r="Z4016" s="2">
        <v>6003.62</v>
      </c>
      <c r="AA4016" s="2">
        <v>6003.62</v>
      </c>
      <c r="AB4016" s="1">
        <v>42382</v>
      </c>
      <c r="AC4016" t="s">
        <v>53</v>
      </c>
      <c r="AD4016" t="s">
        <v>53</v>
      </c>
      <c r="AK4016" s="2">
        <v>1082.6199999999999</v>
      </c>
      <c r="AU4016" s="6">
        <v>42359</v>
      </c>
      <c r="AV4016" s="6">
        <v>42359</v>
      </c>
      <c r="AW4016" t="s">
        <v>54</v>
      </c>
      <c r="AX4016" t="str">
        <f t="shared" si="338"/>
        <v>FOR</v>
      </c>
      <c r="AY4016" t="s">
        <v>55</v>
      </c>
    </row>
    <row r="4017" spans="1:51">
      <c r="A4017">
        <v>101477</v>
      </c>
      <c r="B4017" t="s">
        <v>745</v>
      </c>
      <c r="C4017" t="str">
        <f t="shared" si="341"/>
        <v>00977960327</v>
      </c>
      <c r="D4017" t="str">
        <f t="shared" si="341"/>
        <v>00977960327</v>
      </c>
      <c r="E4017" t="s">
        <v>52</v>
      </c>
      <c r="F4017">
        <v>2015</v>
      </c>
      <c r="G4017">
        <v>385</v>
      </c>
      <c r="H4017" s="1">
        <v>42297</v>
      </c>
      <c r="I4017" s="1">
        <v>42299</v>
      </c>
      <c r="J4017" s="1">
        <v>42297</v>
      </c>
      <c r="K4017" s="1">
        <v>42357</v>
      </c>
      <c r="L4017" s="7">
        <v>147.9</v>
      </c>
      <c r="M4017" s="5">
        <v>2</v>
      </c>
      <c r="N4017" s="7">
        <v>295.8</v>
      </c>
      <c r="O4017">
        <v>147.9</v>
      </c>
      <c r="P4017">
        <v>2</v>
      </c>
      <c r="Q4017">
        <v>295.8</v>
      </c>
      <c r="R4017">
        <v>32.54</v>
      </c>
      <c r="V4017">
        <v>180.44</v>
      </c>
      <c r="W4017">
        <v>180.44</v>
      </c>
      <c r="X4017">
        <v>180.44</v>
      </c>
      <c r="Y4017">
        <v>180.44</v>
      </c>
      <c r="Z4017">
        <v>180.44</v>
      </c>
      <c r="AA4017">
        <v>180.44</v>
      </c>
      <c r="AB4017" s="1">
        <v>42382</v>
      </c>
      <c r="AC4017" t="s">
        <v>53</v>
      </c>
      <c r="AD4017" t="s">
        <v>53</v>
      </c>
      <c r="AE4017">
        <v>32.54</v>
      </c>
      <c r="AK4017">
        <v>0</v>
      </c>
      <c r="AU4017" s="6">
        <v>42359</v>
      </c>
      <c r="AV4017" s="6">
        <v>42359</v>
      </c>
      <c r="AW4017" t="s">
        <v>54</v>
      </c>
      <c r="AX4017" t="str">
        <f t="shared" si="338"/>
        <v>FOR</v>
      </c>
      <c r="AY4017" t="s">
        <v>55</v>
      </c>
    </row>
    <row r="4018" spans="1:51" hidden="1">
      <c r="A4018">
        <v>101480</v>
      </c>
      <c r="B4018" t="s">
        <v>746</v>
      </c>
      <c r="C4018" t="str">
        <f>"01326911003"</f>
        <v>01326911003</v>
      </c>
      <c r="D4018" t="str">
        <f>"04920740588"</f>
        <v>04920740588</v>
      </c>
      <c r="E4018" t="s">
        <v>52</v>
      </c>
      <c r="F4018">
        <v>2014</v>
      </c>
      <c r="G4018">
        <v>1250</v>
      </c>
      <c r="H4018" s="1">
        <v>41778</v>
      </c>
      <c r="I4018" s="1">
        <v>41788</v>
      </c>
      <c r="J4018" s="1">
        <v>41788</v>
      </c>
      <c r="K4018" s="1">
        <v>41878</v>
      </c>
      <c r="N4018" s="5"/>
      <c r="O4018">
        <v>634.4</v>
      </c>
      <c r="P4018">
        <v>281</v>
      </c>
      <c r="Q4018" s="2">
        <v>178266.4</v>
      </c>
      <c r="R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 s="1">
        <v>42382</v>
      </c>
      <c r="AC4018" t="s">
        <v>53</v>
      </c>
      <c r="AD4018" t="s">
        <v>53</v>
      </c>
      <c r="AK4018">
        <v>0</v>
      </c>
      <c r="AU4018" s="6">
        <v>42159</v>
      </c>
      <c r="AV4018" s="6">
        <v>42159</v>
      </c>
      <c r="AW4018" t="s">
        <v>54</v>
      </c>
      <c r="AX4018" t="str">
        <f t="shared" si="338"/>
        <v>FOR</v>
      </c>
      <c r="AY4018" t="s">
        <v>55</v>
      </c>
    </row>
    <row r="4019" spans="1:51" hidden="1">
      <c r="A4019">
        <v>101484</v>
      </c>
      <c r="B4019" t="s">
        <v>747</v>
      </c>
      <c r="C4019" t="str">
        <f t="shared" ref="C4019:C4028" si="342">"01372690626"</f>
        <v>01372690626</v>
      </c>
      <c r="D4019" t="str">
        <f>""</f>
        <v/>
      </c>
      <c r="E4019" t="s">
        <v>52</v>
      </c>
      <c r="F4019">
        <v>2015</v>
      </c>
      <c r="G4019">
        <v>120</v>
      </c>
      <c r="H4019" s="1">
        <v>42024</v>
      </c>
      <c r="I4019" s="1">
        <v>42025</v>
      </c>
      <c r="J4019" s="1">
        <v>42025</v>
      </c>
      <c r="K4019" s="1">
        <v>42085</v>
      </c>
      <c r="N4019" s="5"/>
      <c r="O4019" s="2">
        <v>3441.3</v>
      </c>
      <c r="P4019">
        <v>-60</v>
      </c>
      <c r="Q4019" s="2">
        <v>-206478</v>
      </c>
      <c r="R4019">
        <v>0</v>
      </c>
      <c r="V4019">
        <v>0</v>
      </c>
      <c r="W4019">
        <v>0</v>
      </c>
      <c r="X4019">
        <v>0</v>
      </c>
      <c r="Y4019" s="2">
        <v>3441.3</v>
      </c>
      <c r="Z4019" s="2">
        <v>3441.3</v>
      </c>
      <c r="AA4019" s="2">
        <v>3441.3</v>
      </c>
      <c r="AB4019" s="1">
        <v>42382</v>
      </c>
      <c r="AC4019" t="s">
        <v>53</v>
      </c>
      <c r="AD4019" t="s">
        <v>53</v>
      </c>
      <c r="AK4019">
        <v>0</v>
      </c>
      <c r="AU4019" s="6">
        <v>42025</v>
      </c>
      <c r="AV4019" s="6">
        <v>42025</v>
      </c>
      <c r="AW4019" t="s">
        <v>54</v>
      </c>
      <c r="AX4019" t="str">
        <f t="shared" si="338"/>
        <v>FOR</v>
      </c>
      <c r="AY4019" t="s">
        <v>55</v>
      </c>
    </row>
    <row r="4020" spans="1:51" hidden="1">
      <c r="A4020">
        <v>101484</v>
      </c>
      <c r="B4020" t="s">
        <v>747</v>
      </c>
      <c r="C4020" t="str">
        <f t="shared" si="342"/>
        <v>01372690626</v>
      </c>
      <c r="D4020" t="str">
        <f>""</f>
        <v/>
      </c>
      <c r="E4020" t="s">
        <v>52</v>
      </c>
      <c r="F4020">
        <v>2015</v>
      </c>
      <c r="G4020">
        <v>219</v>
      </c>
      <c r="H4020" s="1">
        <v>42054</v>
      </c>
      <c r="I4020" s="1">
        <v>42054</v>
      </c>
      <c r="J4020" s="1">
        <v>42054</v>
      </c>
      <c r="K4020" s="1">
        <v>42114</v>
      </c>
      <c r="N4020" s="5"/>
      <c r="O4020" s="2">
        <v>3947.4</v>
      </c>
      <c r="P4020">
        <v>-56</v>
      </c>
      <c r="Q4020" s="2">
        <v>-221054.4</v>
      </c>
      <c r="R4020">
        <v>0</v>
      </c>
      <c r="V4020">
        <v>0</v>
      </c>
      <c r="W4020">
        <v>0</v>
      </c>
      <c r="X4020">
        <v>0</v>
      </c>
      <c r="Y4020" s="2">
        <v>3947.4</v>
      </c>
      <c r="Z4020" s="2">
        <v>3947.4</v>
      </c>
      <c r="AA4020" s="2">
        <v>3947.4</v>
      </c>
      <c r="AB4020" s="1">
        <v>42382</v>
      </c>
      <c r="AC4020" t="s">
        <v>53</v>
      </c>
      <c r="AD4020" t="s">
        <v>53</v>
      </c>
      <c r="AK4020">
        <v>0</v>
      </c>
      <c r="AU4020" s="6">
        <v>42058</v>
      </c>
      <c r="AV4020" s="6">
        <v>42058</v>
      </c>
      <c r="AW4020" t="s">
        <v>54</v>
      </c>
      <c r="AX4020" t="str">
        <f t="shared" si="338"/>
        <v>FOR</v>
      </c>
      <c r="AY4020" t="s">
        <v>55</v>
      </c>
    </row>
    <row r="4021" spans="1:51" hidden="1">
      <c r="A4021">
        <v>101484</v>
      </c>
      <c r="B4021" t="s">
        <v>747</v>
      </c>
      <c r="C4021" t="str">
        <f t="shared" si="342"/>
        <v>01372690626</v>
      </c>
      <c r="D4021" t="str">
        <f>""</f>
        <v/>
      </c>
      <c r="E4021" t="s">
        <v>52</v>
      </c>
      <c r="F4021">
        <v>2015</v>
      </c>
      <c r="G4021">
        <v>320</v>
      </c>
      <c r="H4021" s="1">
        <v>42083</v>
      </c>
      <c r="I4021" s="1">
        <v>42086</v>
      </c>
      <c r="J4021" s="1">
        <v>42086</v>
      </c>
      <c r="K4021" s="1">
        <v>42146</v>
      </c>
      <c r="N4021" s="5"/>
      <c r="O4021" s="2">
        <v>3947.4</v>
      </c>
      <c r="P4021">
        <v>-60</v>
      </c>
      <c r="Q4021" s="2">
        <v>-236844</v>
      </c>
      <c r="R4021">
        <v>0</v>
      </c>
      <c r="V4021">
        <v>0</v>
      </c>
      <c r="W4021">
        <v>0</v>
      </c>
      <c r="X4021">
        <v>0</v>
      </c>
      <c r="Y4021" s="2">
        <v>3947.4</v>
      </c>
      <c r="Z4021" s="2">
        <v>3947.4</v>
      </c>
      <c r="AA4021" s="2">
        <v>3947.4</v>
      </c>
      <c r="AB4021" s="1">
        <v>42382</v>
      </c>
      <c r="AC4021" t="s">
        <v>53</v>
      </c>
      <c r="AD4021" t="s">
        <v>53</v>
      </c>
      <c r="AK4021">
        <v>0</v>
      </c>
      <c r="AU4021" s="6">
        <v>42086</v>
      </c>
      <c r="AV4021" s="6">
        <v>42086</v>
      </c>
      <c r="AW4021" t="s">
        <v>54</v>
      </c>
      <c r="AX4021" t="str">
        <f t="shared" si="338"/>
        <v>FOR</v>
      </c>
      <c r="AY4021" t="s">
        <v>55</v>
      </c>
    </row>
    <row r="4022" spans="1:51" hidden="1">
      <c r="A4022">
        <v>101484</v>
      </c>
      <c r="B4022" t="s">
        <v>747</v>
      </c>
      <c r="C4022" t="str">
        <f t="shared" si="342"/>
        <v>01372690626</v>
      </c>
      <c r="D4022" t="str">
        <f>""</f>
        <v/>
      </c>
      <c r="E4022" t="s">
        <v>52</v>
      </c>
      <c r="F4022">
        <v>2015</v>
      </c>
      <c r="G4022">
        <v>420</v>
      </c>
      <c r="H4022" s="1">
        <v>42114</v>
      </c>
      <c r="I4022" s="1">
        <v>42115</v>
      </c>
      <c r="J4022" s="1">
        <v>42115</v>
      </c>
      <c r="K4022" s="1">
        <v>42175</v>
      </c>
      <c r="N4022" s="5"/>
      <c r="O4022" s="2">
        <v>3947.4</v>
      </c>
      <c r="P4022">
        <v>-59</v>
      </c>
      <c r="Q4022" s="2">
        <v>-232896.6</v>
      </c>
      <c r="R4022">
        <v>0</v>
      </c>
      <c r="V4022">
        <v>0</v>
      </c>
      <c r="W4022">
        <v>0</v>
      </c>
      <c r="X4022">
        <v>0</v>
      </c>
      <c r="Y4022" s="2">
        <v>3947.4</v>
      </c>
      <c r="Z4022" s="2">
        <v>3947.4</v>
      </c>
      <c r="AA4022" s="2">
        <v>3947.4</v>
      </c>
      <c r="AB4022" s="1">
        <v>42382</v>
      </c>
      <c r="AC4022" t="s">
        <v>53</v>
      </c>
      <c r="AD4022" t="s">
        <v>53</v>
      </c>
      <c r="AK4022">
        <v>0</v>
      </c>
      <c r="AU4022" s="6">
        <v>42116</v>
      </c>
      <c r="AV4022" s="6">
        <v>42116</v>
      </c>
      <c r="AW4022" t="s">
        <v>54</v>
      </c>
      <c r="AX4022" t="str">
        <f t="shared" si="338"/>
        <v>FOR</v>
      </c>
      <c r="AY4022" t="s">
        <v>55</v>
      </c>
    </row>
    <row r="4023" spans="1:51" hidden="1">
      <c r="A4023">
        <v>101484</v>
      </c>
      <c r="B4023" t="s">
        <v>747</v>
      </c>
      <c r="C4023" t="str">
        <f t="shared" si="342"/>
        <v>01372690626</v>
      </c>
      <c r="D4023" t="str">
        <f>""</f>
        <v/>
      </c>
      <c r="E4023" t="s">
        <v>52</v>
      </c>
      <c r="F4023">
        <v>2015</v>
      </c>
      <c r="G4023">
        <v>520</v>
      </c>
      <c r="H4023" s="1">
        <v>42144</v>
      </c>
      <c r="I4023" s="1">
        <v>42144</v>
      </c>
      <c r="J4023" s="1">
        <v>42144</v>
      </c>
      <c r="K4023" s="1">
        <v>42204</v>
      </c>
      <c r="N4023" s="5"/>
      <c r="O4023" s="2">
        <v>3947.4</v>
      </c>
      <c r="P4023">
        <v>-60</v>
      </c>
      <c r="Q4023" s="2">
        <v>-236844</v>
      </c>
      <c r="R4023">
        <v>0</v>
      </c>
      <c r="V4023">
        <v>0</v>
      </c>
      <c r="W4023">
        <v>0</v>
      </c>
      <c r="X4023">
        <v>0</v>
      </c>
      <c r="Y4023" s="2">
        <v>3947.4</v>
      </c>
      <c r="Z4023" s="2">
        <v>3947.4</v>
      </c>
      <c r="AA4023" s="2">
        <v>3947.4</v>
      </c>
      <c r="AB4023" s="1">
        <v>42382</v>
      </c>
      <c r="AC4023" t="s">
        <v>53</v>
      </c>
      <c r="AD4023" t="s">
        <v>53</v>
      </c>
      <c r="AK4023">
        <v>0</v>
      </c>
      <c r="AU4023" s="6">
        <v>42144</v>
      </c>
      <c r="AV4023" s="6">
        <v>42144</v>
      </c>
      <c r="AW4023" t="s">
        <v>54</v>
      </c>
      <c r="AX4023" t="str">
        <f t="shared" si="338"/>
        <v>FOR</v>
      </c>
      <c r="AY4023" t="s">
        <v>55</v>
      </c>
    </row>
    <row r="4024" spans="1:51" hidden="1">
      <c r="A4024">
        <v>101484</v>
      </c>
      <c r="B4024" t="s">
        <v>747</v>
      </c>
      <c r="C4024" t="str">
        <f t="shared" si="342"/>
        <v>01372690626</v>
      </c>
      <c r="D4024" t="str">
        <f>""</f>
        <v/>
      </c>
      <c r="E4024" t="s">
        <v>52</v>
      </c>
      <c r="F4024">
        <v>2015</v>
      </c>
      <c r="G4024">
        <v>619</v>
      </c>
      <c r="H4024" s="1">
        <v>42174</v>
      </c>
      <c r="I4024" s="1">
        <v>42174</v>
      </c>
      <c r="J4024" s="1">
        <v>42174</v>
      </c>
      <c r="K4024" s="1">
        <v>42234</v>
      </c>
      <c r="N4024" s="5"/>
      <c r="O4024" s="2">
        <v>4204.29</v>
      </c>
      <c r="P4024">
        <v>-57</v>
      </c>
      <c r="Q4024" s="2">
        <v>-239644.53</v>
      </c>
      <c r="R4024">
        <v>0</v>
      </c>
      <c r="V4024">
        <v>0</v>
      </c>
      <c r="W4024">
        <v>0</v>
      </c>
      <c r="X4024">
        <v>0</v>
      </c>
      <c r="Y4024" s="2">
        <v>4204.29</v>
      </c>
      <c r="Z4024" s="2">
        <v>4204.29</v>
      </c>
      <c r="AA4024" s="2">
        <v>4204.29</v>
      </c>
      <c r="AB4024" s="1">
        <v>42382</v>
      </c>
      <c r="AC4024" t="s">
        <v>53</v>
      </c>
      <c r="AD4024" t="s">
        <v>53</v>
      </c>
      <c r="AK4024">
        <v>0</v>
      </c>
      <c r="AU4024" s="6">
        <v>42177</v>
      </c>
      <c r="AV4024" s="6">
        <v>42177</v>
      </c>
      <c r="AW4024" t="s">
        <v>54</v>
      </c>
      <c r="AX4024" t="str">
        <f t="shared" si="338"/>
        <v>FOR</v>
      </c>
      <c r="AY4024" t="s">
        <v>55</v>
      </c>
    </row>
    <row r="4025" spans="1:51" hidden="1">
      <c r="A4025">
        <v>101484</v>
      </c>
      <c r="B4025" t="s">
        <v>747</v>
      </c>
      <c r="C4025" t="str">
        <f t="shared" si="342"/>
        <v>01372690626</v>
      </c>
      <c r="D4025" t="str">
        <f>""</f>
        <v/>
      </c>
      <c r="E4025" t="s">
        <v>52</v>
      </c>
      <c r="F4025">
        <v>2015</v>
      </c>
      <c r="G4025">
        <v>721</v>
      </c>
      <c r="H4025" s="1">
        <v>42206</v>
      </c>
      <c r="I4025" s="1">
        <v>42206</v>
      </c>
      <c r="J4025" s="1">
        <v>42206</v>
      </c>
      <c r="K4025" s="1">
        <v>42266</v>
      </c>
      <c r="N4025" s="5"/>
      <c r="O4025" s="2">
        <v>3996.06</v>
      </c>
      <c r="P4025">
        <v>-60</v>
      </c>
      <c r="Q4025" s="2">
        <v>-239763.6</v>
      </c>
      <c r="R4025">
        <v>0</v>
      </c>
      <c r="V4025">
        <v>0</v>
      </c>
      <c r="W4025">
        <v>0</v>
      </c>
      <c r="X4025">
        <v>0</v>
      </c>
      <c r="Y4025" s="2">
        <v>3996.06</v>
      </c>
      <c r="Z4025" s="2">
        <v>3996.06</v>
      </c>
      <c r="AA4025" s="2">
        <v>3996.06</v>
      </c>
      <c r="AB4025" s="1">
        <v>42382</v>
      </c>
      <c r="AC4025" t="s">
        <v>53</v>
      </c>
      <c r="AD4025" t="s">
        <v>53</v>
      </c>
      <c r="AK4025">
        <v>0</v>
      </c>
      <c r="AU4025" s="6">
        <v>42206</v>
      </c>
      <c r="AV4025" s="6">
        <v>42206</v>
      </c>
      <c r="AW4025" t="s">
        <v>54</v>
      </c>
      <c r="AX4025" t="str">
        <f t="shared" si="338"/>
        <v>FOR</v>
      </c>
      <c r="AY4025" t="s">
        <v>55</v>
      </c>
    </row>
    <row r="4026" spans="1:51" hidden="1">
      <c r="A4026">
        <v>101484</v>
      </c>
      <c r="B4026" t="s">
        <v>747</v>
      </c>
      <c r="C4026" t="str">
        <f t="shared" si="342"/>
        <v>01372690626</v>
      </c>
      <c r="D4026" t="str">
        <f>""</f>
        <v/>
      </c>
      <c r="E4026" t="s">
        <v>52</v>
      </c>
      <c r="F4026">
        <v>2015</v>
      </c>
      <c r="G4026">
        <v>819</v>
      </c>
      <c r="H4026" s="1">
        <v>42235</v>
      </c>
      <c r="I4026" s="1">
        <v>42236</v>
      </c>
      <c r="J4026" s="1">
        <v>42236</v>
      </c>
      <c r="K4026" s="1">
        <v>42296</v>
      </c>
      <c r="N4026" s="5"/>
      <c r="O4026" s="2">
        <v>4127.55</v>
      </c>
      <c r="P4026">
        <v>-60</v>
      </c>
      <c r="Q4026" s="2">
        <v>-247653</v>
      </c>
      <c r="R4026">
        <v>0</v>
      </c>
      <c r="V4026">
        <v>0</v>
      </c>
      <c r="W4026">
        <v>0</v>
      </c>
      <c r="X4026">
        <v>0</v>
      </c>
      <c r="Y4026" s="2">
        <v>4127.55</v>
      </c>
      <c r="Z4026" s="2">
        <v>4127.55</v>
      </c>
      <c r="AA4026" s="2">
        <v>4127.55</v>
      </c>
      <c r="AB4026" s="1">
        <v>42382</v>
      </c>
      <c r="AC4026" t="s">
        <v>53</v>
      </c>
      <c r="AD4026" t="s">
        <v>53</v>
      </c>
      <c r="AK4026">
        <v>0</v>
      </c>
      <c r="AU4026" s="6">
        <v>42236</v>
      </c>
      <c r="AV4026" s="6">
        <v>42236</v>
      </c>
      <c r="AW4026" t="s">
        <v>54</v>
      </c>
      <c r="AX4026" t="str">
        <f t="shared" si="338"/>
        <v>FOR</v>
      </c>
      <c r="AY4026" t="s">
        <v>55</v>
      </c>
    </row>
    <row r="4027" spans="1:51" hidden="1">
      <c r="A4027">
        <v>101484</v>
      </c>
      <c r="B4027" t="s">
        <v>747</v>
      </c>
      <c r="C4027" t="str">
        <f t="shared" si="342"/>
        <v>01372690626</v>
      </c>
      <c r="D4027" t="str">
        <f>""</f>
        <v/>
      </c>
      <c r="E4027" t="s">
        <v>52</v>
      </c>
      <c r="F4027">
        <v>2015</v>
      </c>
      <c r="G4027">
        <v>918</v>
      </c>
      <c r="H4027" s="1">
        <v>42265</v>
      </c>
      <c r="I4027" s="1">
        <v>42268</v>
      </c>
      <c r="J4027" s="1">
        <v>42268</v>
      </c>
      <c r="K4027" s="1">
        <v>42328</v>
      </c>
      <c r="N4027" s="5"/>
      <c r="O4027" s="2">
        <v>4127.55</v>
      </c>
      <c r="P4027">
        <v>-58</v>
      </c>
      <c r="Q4027" s="2">
        <v>-239397.9</v>
      </c>
      <c r="R4027">
        <v>0</v>
      </c>
      <c r="V4027">
        <v>0</v>
      </c>
      <c r="W4027">
        <v>0</v>
      </c>
      <c r="X4027">
        <v>0</v>
      </c>
      <c r="Y4027" s="2">
        <v>4127.55</v>
      </c>
      <c r="Z4027" s="2">
        <v>4127.55</v>
      </c>
      <c r="AA4027" s="2">
        <v>4127.55</v>
      </c>
      <c r="AB4027" s="1">
        <v>42382</v>
      </c>
      <c r="AC4027" t="s">
        <v>53</v>
      </c>
      <c r="AD4027" t="s">
        <v>53</v>
      </c>
      <c r="AK4027">
        <v>0</v>
      </c>
      <c r="AU4027" s="6">
        <v>42270</v>
      </c>
      <c r="AV4027" s="6">
        <v>42270</v>
      </c>
      <c r="AW4027" t="s">
        <v>54</v>
      </c>
      <c r="AX4027" t="str">
        <f t="shared" si="338"/>
        <v>FOR</v>
      </c>
      <c r="AY4027" t="s">
        <v>55</v>
      </c>
    </row>
    <row r="4028" spans="1:51" hidden="1">
      <c r="A4028">
        <v>101484</v>
      </c>
      <c r="B4028" t="s">
        <v>747</v>
      </c>
      <c r="C4028" t="str">
        <f t="shared" si="342"/>
        <v>01372690626</v>
      </c>
      <c r="D4028" t="str">
        <f>""</f>
        <v/>
      </c>
      <c r="E4028" t="s">
        <v>52</v>
      </c>
      <c r="F4028">
        <v>2015</v>
      </c>
      <c r="G4028">
        <v>1021</v>
      </c>
      <c r="H4028" s="1">
        <v>42298</v>
      </c>
      <c r="I4028" s="1">
        <v>42268</v>
      </c>
      <c r="J4028" s="1">
        <v>42268</v>
      </c>
      <c r="K4028" s="1">
        <v>42328</v>
      </c>
      <c r="L4028" s="7">
        <v>4194.55</v>
      </c>
      <c r="M4028" s="5">
        <v>-30</v>
      </c>
      <c r="N4028" s="7">
        <v>-125836.5</v>
      </c>
      <c r="O4028" s="2">
        <v>4194.55</v>
      </c>
      <c r="P4028">
        <v>-30</v>
      </c>
      <c r="Q4028" s="2">
        <v>-125836.5</v>
      </c>
      <c r="R4028">
        <v>0</v>
      </c>
      <c r="V4028" s="2">
        <v>4194.55</v>
      </c>
      <c r="W4028">
        <v>0</v>
      </c>
      <c r="X4028" s="2">
        <v>4194.55</v>
      </c>
      <c r="Y4028" s="2">
        <v>4194.55</v>
      </c>
      <c r="Z4028" s="2">
        <v>4194.55</v>
      </c>
      <c r="AA4028" s="2">
        <v>4194.55</v>
      </c>
      <c r="AB4028" s="1">
        <v>42382</v>
      </c>
      <c r="AC4028" t="s">
        <v>53</v>
      </c>
      <c r="AD4028" t="s">
        <v>53</v>
      </c>
      <c r="AK4028">
        <v>0</v>
      </c>
      <c r="AU4028" s="6">
        <v>42298</v>
      </c>
      <c r="AV4028" s="6">
        <v>42298</v>
      </c>
      <c r="AW4028" t="s">
        <v>54</v>
      </c>
      <c r="AX4028" t="str">
        <f t="shared" si="338"/>
        <v>FOR</v>
      </c>
      <c r="AY4028" t="s">
        <v>55</v>
      </c>
    </row>
    <row r="4029" spans="1:51" hidden="1">
      <c r="A4029">
        <v>101492</v>
      </c>
      <c r="B4029" t="s">
        <v>748</v>
      </c>
      <c r="C4029" t="str">
        <f>"04488650484"</f>
        <v>04488650484</v>
      </c>
      <c r="D4029" t="str">
        <f>""</f>
        <v/>
      </c>
      <c r="E4029" t="s">
        <v>52</v>
      </c>
      <c r="F4029">
        <v>2015</v>
      </c>
      <c r="G4029">
        <v>109150838</v>
      </c>
      <c r="H4029" s="1">
        <v>42090</v>
      </c>
      <c r="I4029" s="1">
        <v>42118</v>
      </c>
      <c r="J4029" s="1">
        <v>42118</v>
      </c>
      <c r="K4029" s="1">
        <v>42178</v>
      </c>
      <c r="N4029" s="5"/>
      <c r="O4029" s="2">
        <v>1185.5</v>
      </c>
      <c r="P4029">
        <v>70</v>
      </c>
      <c r="Q4029" s="2">
        <v>82985</v>
      </c>
      <c r="R4029">
        <v>0</v>
      </c>
      <c r="V4029">
        <v>0</v>
      </c>
      <c r="W4029">
        <v>0</v>
      </c>
      <c r="X4029">
        <v>0</v>
      </c>
      <c r="Y4029" s="2">
        <v>1446.31</v>
      </c>
      <c r="Z4029" s="2">
        <v>1446.31</v>
      </c>
      <c r="AA4029" s="2">
        <v>1446.31</v>
      </c>
      <c r="AB4029" s="1">
        <v>42382</v>
      </c>
      <c r="AC4029" t="s">
        <v>53</v>
      </c>
      <c r="AD4029" t="s">
        <v>53</v>
      </c>
      <c r="AK4029">
        <v>0</v>
      </c>
      <c r="AU4029" s="6">
        <v>42248</v>
      </c>
      <c r="AV4029" s="6">
        <v>42248</v>
      </c>
      <c r="AW4029" t="s">
        <v>54</v>
      </c>
      <c r="AX4029" t="str">
        <f t="shared" si="338"/>
        <v>FOR</v>
      </c>
      <c r="AY4029" t="s">
        <v>55</v>
      </c>
    </row>
    <row r="4030" spans="1:51">
      <c r="A4030">
        <v>101510</v>
      </c>
      <c r="B4030" t="s">
        <v>749</v>
      </c>
      <c r="C4030" t="str">
        <f>"06983930634"</f>
        <v>06983930634</v>
      </c>
      <c r="D4030" t="str">
        <f>"02512201217"</f>
        <v>02512201217</v>
      </c>
      <c r="E4030" t="s">
        <v>52</v>
      </c>
      <c r="F4030">
        <v>2014</v>
      </c>
      <c r="G4030">
        <v>268</v>
      </c>
      <c r="H4030" s="1">
        <v>41946</v>
      </c>
      <c r="I4030" s="1">
        <v>41967</v>
      </c>
      <c r="J4030" s="1">
        <v>41967</v>
      </c>
      <c r="K4030" s="1">
        <v>42027</v>
      </c>
      <c r="L4030" s="7">
        <v>14667.33</v>
      </c>
      <c r="M4030" s="5">
        <v>311</v>
      </c>
      <c r="N4030" s="7">
        <v>4561539.63</v>
      </c>
      <c r="O4030" s="2">
        <v>14667.33</v>
      </c>
      <c r="P4030">
        <v>311</v>
      </c>
      <c r="Q4030" s="2">
        <v>4561539.63</v>
      </c>
      <c r="R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 s="1">
        <v>42382</v>
      </c>
      <c r="AC4030" t="s">
        <v>53</v>
      </c>
      <c r="AD4030" t="s">
        <v>53</v>
      </c>
      <c r="AK4030">
        <v>0</v>
      </c>
      <c r="AU4030" s="6">
        <v>42338</v>
      </c>
      <c r="AV4030" s="6">
        <v>42338</v>
      </c>
      <c r="AW4030" t="s">
        <v>54</v>
      </c>
      <c r="AX4030" t="str">
        <f t="shared" si="338"/>
        <v>FOR</v>
      </c>
      <c r="AY4030" t="s">
        <v>55</v>
      </c>
    </row>
    <row r="4031" spans="1:51" hidden="1">
      <c r="A4031">
        <v>101515</v>
      </c>
      <c r="B4031" t="s">
        <v>750</v>
      </c>
      <c r="C4031" t="str">
        <f t="shared" ref="C4031:D4050" si="343">"01764680649"</f>
        <v>01764680649</v>
      </c>
      <c r="D4031" t="str">
        <f t="shared" si="343"/>
        <v>01764680649</v>
      </c>
      <c r="E4031" t="s">
        <v>52</v>
      </c>
      <c r="F4031">
        <v>2013</v>
      </c>
      <c r="G4031">
        <v>10324</v>
      </c>
      <c r="H4031" s="1">
        <v>41306</v>
      </c>
      <c r="I4031" s="1">
        <v>41323</v>
      </c>
      <c r="J4031" s="1">
        <v>41323</v>
      </c>
      <c r="K4031" s="1">
        <v>41413</v>
      </c>
      <c r="N4031" s="5"/>
      <c r="O4031" s="2">
        <v>4900</v>
      </c>
      <c r="P4031">
        <v>606</v>
      </c>
      <c r="Q4031" s="2">
        <v>2969400</v>
      </c>
      <c r="R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 s="1">
        <v>42382</v>
      </c>
      <c r="AC4031" t="s">
        <v>53</v>
      </c>
      <c r="AD4031" t="s">
        <v>53</v>
      </c>
      <c r="AK4031">
        <v>0</v>
      </c>
      <c r="AU4031" s="6">
        <v>42019</v>
      </c>
      <c r="AV4031" s="6">
        <v>42019</v>
      </c>
      <c r="AW4031" t="s">
        <v>54</v>
      </c>
      <c r="AX4031" t="str">
        <f t="shared" si="338"/>
        <v>FOR</v>
      </c>
      <c r="AY4031" t="s">
        <v>55</v>
      </c>
    </row>
    <row r="4032" spans="1:51" hidden="1">
      <c r="A4032">
        <v>101515</v>
      </c>
      <c r="B4032" t="s">
        <v>750</v>
      </c>
      <c r="C4032" t="str">
        <f t="shared" si="343"/>
        <v>01764680649</v>
      </c>
      <c r="D4032" t="str">
        <f t="shared" si="343"/>
        <v>01764680649</v>
      </c>
      <c r="E4032" t="s">
        <v>52</v>
      </c>
      <c r="F4032">
        <v>2013</v>
      </c>
      <c r="G4032">
        <v>16988</v>
      </c>
      <c r="H4032" s="1">
        <v>41334</v>
      </c>
      <c r="I4032" s="1">
        <v>41351</v>
      </c>
      <c r="J4032" s="1">
        <v>41351</v>
      </c>
      <c r="K4032" s="1">
        <v>41441</v>
      </c>
      <c r="N4032" s="5"/>
      <c r="O4032" s="2">
        <v>4900</v>
      </c>
      <c r="P4032">
        <v>578</v>
      </c>
      <c r="Q4032" s="2">
        <v>2832200</v>
      </c>
      <c r="R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 s="1">
        <v>42382</v>
      </c>
      <c r="AC4032" t="s">
        <v>53</v>
      </c>
      <c r="AD4032" t="s">
        <v>53</v>
      </c>
      <c r="AK4032">
        <v>0</v>
      </c>
      <c r="AU4032" s="6">
        <v>42019</v>
      </c>
      <c r="AV4032" s="6">
        <v>42019</v>
      </c>
      <c r="AW4032" t="s">
        <v>54</v>
      </c>
      <c r="AX4032" t="str">
        <f t="shared" si="338"/>
        <v>FOR</v>
      </c>
      <c r="AY4032" t="s">
        <v>55</v>
      </c>
    </row>
    <row r="4033" spans="1:51" hidden="1">
      <c r="A4033">
        <v>101515</v>
      </c>
      <c r="B4033" t="s">
        <v>750</v>
      </c>
      <c r="C4033" t="str">
        <f t="shared" si="343"/>
        <v>01764680649</v>
      </c>
      <c r="D4033" t="str">
        <f t="shared" si="343"/>
        <v>01764680649</v>
      </c>
      <c r="E4033" t="s">
        <v>52</v>
      </c>
      <c r="F4033">
        <v>2013</v>
      </c>
      <c r="G4033">
        <v>23516</v>
      </c>
      <c r="H4033" s="1">
        <v>41366</v>
      </c>
      <c r="I4033" s="1">
        <v>41397</v>
      </c>
      <c r="J4033" s="1">
        <v>41397</v>
      </c>
      <c r="K4033" s="1">
        <v>41487</v>
      </c>
      <c r="N4033" s="5"/>
      <c r="O4033" s="2">
        <v>4900</v>
      </c>
      <c r="P4033">
        <v>532</v>
      </c>
      <c r="Q4033" s="2">
        <v>2606800</v>
      </c>
      <c r="R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 s="1">
        <v>42382</v>
      </c>
      <c r="AC4033" t="s">
        <v>53</v>
      </c>
      <c r="AD4033" t="s">
        <v>53</v>
      </c>
      <c r="AK4033">
        <v>0</v>
      </c>
      <c r="AU4033" s="6">
        <v>42019</v>
      </c>
      <c r="AV4033" s="6">
        <v>42019</v>
      </c>
      <c r="AW4033" t="s">
        <v>54</v>
      </c>
      <c r="AX4033" t="str">
        <f t="shared" si="338"/>
        <v>FOR</v>
      </c>
      <c r="AY4033" t="s">
        <v>55</v>
      </c>
    </row>
    <row r="4034" spans="1:51" hidden="1">
      <c r="A4034">
        <v>101515</v>
      </c>
      <c r="B4034" t="s">
        <v>750</v>
      </c>
      <c r="C4034" t="str">
        <f t="shared" si="343"/>
        <v>01764680649</v>
      </c>
      <c r="D4034" t="str">
        <f t="shared" si="343"/>
        <v>01764680649</v>
      </c>
      <c r="E4034" t="s">
        <v>52</v>
      </c>
      <c r="F4034">
        <v>2013</v>
      </c>
      <c r="G4034">
        <v>30243</v>
      </c>
      <c r="H4034" s="1">
        <v>41396</v>
      </c>
      <c r="I4034" s="1">
        <v>41411</v>
      </c>
      <c r="J4034" s="1">
        <v>41411</v>
      </c>
      <c r="K4034" s="1">
        <v>41501</v>
      </c>
      <c r="N4034" s="5"/>
      <c r="O4034" s="2">
        <v>4900</v>
      </c>
      <c r="P4034">
        <v>518</v>
      </c>
      <c r="Q4034" s="2">
        <v>2538200</v>
      </c>
      <c r="R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 s="1">
        <v>42382</v>
      </c>
      <c r="AC4034" t="s">
        <v>53</v>
      </c>
      <c r="AD4034" t="s">
        <v>53</v>
      </c>
      <c r="AK4034">
        <v>0</v>
      </c>
      <c r="AU4034" s="6">
        <v>42019</v>
      </c>
      <c r="AV4034" s="6">
        <v>42019</v>
      </c>
      <c r="AW4034" t="s">
        <v>54</v>
      </c>
      <c r="AX4034" t="str">
        <f t="shared" si="338"/>
        <v>FOR</v>
      </c>
      <c r="AY4034" t="s">
        <v>55</v>
      </c>
    </row>
    <row r="4035" spans="1:51" hidden="1">
      <c r="A4035">
        <v>101515</v>
      </c>
      <c r="B4035" t="s">
        <v>750</v>
      </c>
      <c r="C4035" t="str">
        <f t="shared" si="343"/>
        <v>01764680649</v>
      </c>
      <c r="D4035" t="str">
        <f t="shared" si="343"/>
        <v>01764680649</v>
      </c>
      <c r="E4035" t="s">
        <v>52</v>
      </c>
      <c r="F4035">
        <v>2013</v>
      </c>
      <c r="G4035">
        <v>39429</v>
      </c>
      <c r="H4035" s="1">
        <v>41426</v>
      </c>
      <c r="I4035" s="1">
        <v>41466</v>
      </c>
      <c r="J4035" s="1">
        <v>41466</v>
      </c>
      <c r="K4035" s="1">
        <v>41556</v>
      </c>
      <c r="N4035" s="5"/>
      <c r="O4035" s="2">
        <v>4900</v>
      </c>
      <c r="P4035">
        <v>463</v>
      </c>
      <c r="Q4035" s="2">
        <v>2268700</v>
      </c>
      <c r="R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 s="1">
        <v>42382</v>
      </c>
      <c r="AC4035" t="s">
        <v>53</v>
      </c>
      <c r="AD4035" t="s">
        <v>53</v>
      </c>
      <c r="AK4035">
        <v>0</v>
      </c>
      <c r="AU4035" s="6">
        <v>42019</v>
      </c>
      <c r="AV4035" s="6">
        <v>42019</v>
      </c>
      <c r="AW4035" t="s">
        <v>54</v>
      </c>
      <c r="AX4035" t="str">
        <f t="shared" ref="AX4035:AX4098" si="344">"FOR"</f>
        <v>FOR</v>
      </c>
      <c r="AY4035" t="s">
        <v>55</v>
      </c>
    </row>
    <row r="4036" spans="1:51" hidden="1">
      <c r="A4036">
        <v>101515</v>
      </c>
      <c r="B4036" t="s">
        <v>750</v>
      </c>
      <c r="C4036" t="str">
        <f t="shared" si="343"/>
        <v>01764680649</v>
      </c>
      <c r="D4036" t="str">
        <f t="shared" si="343"/>
        <v>01764680649</v>
      </c>
      <c r="E4036" t="s">
        <v>52</v>
      </c>
      <c r="F4036">
        <v>2013</v>
      </c>
      <c r="G4036">
        <v>46229</v>
      </c>
      <c r="H4036" s="1">
        <v>41456</v>
      </c>
      <c r="I4036" s="1">
        <v>41484</v>
      </c>
      <c r="J4036" s="1">
        <v>41484</v>
      </c>
      <c r="K4036" s="1">
        <v>41574</v>
      </c>
      <c r="N4036" s="5"/>
      <c r="O4036" s="2">
        <v>4900</v>
      </c>
      <c r="P4036">
        <v>445</v>
      </c>
      <c r="Q4036" s="2">
        <v>2180500</v>
      </c>
      <c r="R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 s="1">
        <v>42382</v>
      </c>
      <c r="AC4036" t="s">
        <v>53</v>
      </c>
      <c r="AD4036" t="s">
        <v>53</v>
      </c>
      <c r="AK4036">
        <v>0</v>
      </c>
      <c r="AU4036" s="6">
        <v>42019</v>
      </c>
      <c r="AV4036" s="6">
        <v>42019</v>
      </c>
      <c r="AW4036" t="s">
        <v>54</v>
      </c>
      <c r="AX4036" t="str">
        <f t="shared" si="344"/>
        <v>FOR</v>
      </c>
      <c r="AY4036" t="s">
        <v>55</v>
      </c>
    </row>
    <row r="4037" spans="1:51" hidden="1">
      <c r="A4037">
        <v>101515</v>
      </c>
      <c r="B4037" t="s">
        <v>750</v>
      </c>
      <c r="C4037" t="str">
        <f t="shared" si="343"/>
        <v>01764680649</v>
      </c>
      <c r="D4037" t="str">
        <f t="shared" si="343"/>
        <v>01764680649</v>
      </c>
      <c r="E4037" t="s">
        <v>52</v>
      </c>
      <c r="F4037">
        <v>2013</v>
      </c>
      <c r="G4037">
        <v>52121</v>
      </c>
      <c r="H4037" s="1">
        <v>41487</v>
      </c>
      <c r="I4037" s="1">
        <v>41514</v>
      </c>
      <c r="J4037" s="1">
        <v>41514</v>
      </c>
      <c r="K4037" s="1">
        <v>41604</v>
      </c>
      <c r="N4037" s="5"/>
      <c r="O4037" s="2">
        <v>4900</v>
      </c>
      <c r="P4037">
        <v>415</v>
      </c>
      <c r="Q4037" s="2">
        <v>2033500</v>
      </c>
      <c r="R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 s="1">
        <v>42382</v>
      </c>
      <c r="AC4037" t="s">
        <v>53</v>
      </c>
      <c r="AD4037" t="s">
        <v>53</v>
      </c>
      <c r="AK4037">
        <v>0</v>
      </c>
      <c r="AU4037" s="6">
        <v>42019</v>
      </c>
      <c r="AV4037" s="6">
        <v>42019</v>
      </c>
      <c r="AW4037" t="s">
        <v>54</v>
      </c>
      <c r="AX4037" t="str">
        <f t="shared" si="344"/>
        <v>FOR</v>
      </c>
      <c r="AY4037" t="s">
        <v>55</v>
      </c>
    </row>
    <row r="4038" spans="1:51" hidden="1">
      <c r="A4038">
        <v>101515</v>
      </c>
      <c r="B4038" t="s">
        <v>750</v>
      </c>
      <c r="C4038" t="str">
        <f t="shared" si="343"/>
        <v>01764680649</v>
      </c>
      <c r="D4038" t="str">
        <f t="shared" si="343"/>
        <v>01764680649</v>
      </c>
      <c r="E4038" t="s">
        <v>52</v>
      </c>
      <c r="F4038">
        <v>2013</v>
      </c>
      <c r="G4038">
        <v>59154</v>
      </c>
      <c r="H4038" s="1">
        <v>41519</v>
      </c>
      <c r="I4038" s="1">
        <v>41540</v>
      </c>
      <c r="J4038" s="1">
        <v>41540</v>
      </c>
      <c r="K4038" s="1">
        <v>41630</v>
      </c>
      <c r="N4038" s="5"/>
      <c r="O4038" s="2">
        <v>4900</v>
      </c>
      <c r="P4038">
        <v>389</v>
      </c>
      <c r="Q4038" s="2">
        <v>1906100</v>
      </c>
      <c r="R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 s="1">
        <v>42382</v>
      </c>
      <c r="AC4038" t="s">
        <v>53</v>
      </c>
      <c r="AD4038" t="s">
        <v>53</v>
      </c>
      <c r="AK4038">
        <v>0</v>
      </c>
      <c r="AU4038" s="6">
        <v>42019</v>
      </c>
      <c r="AV4038" s="6">
        <v>42019</v>
      </c>
      <c r="AW4038" t="s">
        <v>54</v>
      </c>
      <c r="AX4038" t="str">
        <f t="shared" si="344"/>
        <v>FOR</v>
      </c>
      <c r="AY4038" t="s">
        <v>55</v>
      </c>
    </row>
    <row r="4039" spans="1:51" hidden="1">
      <c r="A4039">
        <v>101515</v>
      </c>
      <c r="B4039" t="s">
        <v>750</v>
      </c>
      <c r="C4039" t="str">
        <f t="shared" si="343"/>
        <v>01764680649</v>
      </c>
      <c r="D4039" t="str">
        <f t="shared" si="343"/>
        <v>01764680649</v>
      </c>
      <c r="E4039" t="s">
        <v>52</v>
      </c>
      <c r="F4039">
        <v>2013</v>
      </c>
      <c r="G4039">
        <v>65732</v>
      </c>
      <c r="H4039" s="1">
        <v>41548</v>
      </c>
      <c r="I4039" s="1">
        <v>41591</v>
      </c>
      <c r="J4039" s="1">
        <v>41591</v>
      </c>
      <c r="K4039" s="1">
        <v>41681</v>
      </c>
      <c r="N4039" s="5"/>
      <c r="O4039" s="2">
        <v>4940.5</v>
      </c>
      <c r="P4039">
        <v>338</v>
      </c>
      <c r="Q4039" s="2">
        <v>1669889</v>
      </c>
      <c r="R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 s="1">
        <v>42382</v>
      </c>
      <c r="AC4039" t="s">
        <v>53</v>
      </c>
      <c r="AD4039" t="s">
        <v>53</v>
      </c>
      <c r="AK4039">
        <v>0</v>
      </c>
      <c r="AU4039" s="6">
        <v>42019</v>
      </c>
      <c r="AV4039" s="6">
        <v>42019</v>
      </c>
      <c r="AW4039" t="s">
        <v>54</v>
      </c>
      <c r="AX4039" t="str">
        <f t="shared" si="344"/>
        <v>FOR</v>
      </c>
      <c r="AY4039" t="s">
        <v>55</v>
      </c>
    </row>
    <row r="4040" spans="1:51" hidden="1">
      <c r="A4040">
        <v>101515</v>
      </c>
      <c r="B4040" t="s">
        <v>750</v>
      </c>
      <c r="C4040" t="str">
        <f t="shared" si="343"/>
        <v>01764680649</v>
      </c>
      <c r="D4040" t="str">
        <f t="shared" si="343"/>
        <v>01764680649</v>
      </c>
      <c r="E4040" t="s">
        <v>52</v>
      </c>
      <c r="F4040">
        <v>2013</v>
      </c>
      <c r="G4040">
        <v>72037</v>
      </c>
      <c r="H4040" s="1">
        <v>41580</v>
      </c>
      <c r="I4040" s="1">
        <v>41598</v>
      </c>
      <c r="J4040" s="1">
        <v>41598</v>
      </c>
      <c r="K4040" s="1">
        <v>41688</v>
      </c>
      <c r="N4040" s="5"/>
      <c r="O4040" s="2">
        <v>4940.5</v>
      </c>
      <c r="P4040">
        <v>331</v>
      </c>
      <c r="Q4040" s="2">
        <v>1635305.5</v>
      </c>
      <c r="R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 s="1">
        <v>42382</v>
      </c>
      <c r="AC4040" t="s">
        <v>53</v>
      </c>
      <c r="AD4040" t="s">
        <v>53</v>
      </c>
      <c r="AK4040">
        <v>0</v>
      </c>
      <c r="AU4040" s="6">
        <v>42019</v>
      </c>
      <c r="AV4040" s="6">
        <v>42019</v>
      </c>
      <c r="AW4040" t="s">
        <v>54</v>
      </c>
      <c r="AX4040" t="str">
        <f t="shared" si="344"/>
        <v>FOR</v>
      </c>
      <c r="AY4040" t="s">
        <v>55</v>
      </c>
    </row>
    <row r="4041" spans="1:51" hidden="1">
      <c r="A4041">
        <v>101515</v>
      </c>
      <c r="B4041" t="s">
        <v>750</v>
      </c>
      <c r="C4041" t="str">
        <f t="shared" si="343"/>
        <v>01764680649</v>
      </c>
      <c r="D4041" t="str">
        <f t="shared" si="343"/>
        <v>01764680649</v>
      </c>
      <c r="E4041" t="s">
        <v>52</v>
      </c>
      <c r="F4041">
        <v>2013</v>
      </c>
      <c r="G4041">
        <v>78442</v>
      </c>
      <c r="H4041" s="1">
        <v>41610</v>
      </c>
      <c r="I4041" s="1">
        <v>42004</v>
      </c>
      <c r="J4041" s="1">
        <v>42004</v>
      </c>
      <c r="K4041" s="1">
        <v>42064</v>
      </c>
      <c r="N4041" s="5"/>
      <c r="O4041" s="2">
        <v>4940.5</v>
      </c>
      <c r="P4041">
        <v>-45</v>
      </c>
      <c r="Q4041" s="2">
        <v>-222322.5</v>
      </c>
      <c r="R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 s="1">
        <v>42382</v>
      </c>
      <c r="AC4041" t="s">
        <v>53</v>
      </c>
      <c r="AD4041" t="s">
        <v>53</v>
      </c>
      <c r="AK4041">
        <v>0</v>
      </c>
      <c r="AU4041" s="6">
        <v>42019</v>
      </c>
      <c r="AV4041" s="6">
        <v>42019</v>
      </c>
      <c r="AW4041" t="s">
        <v>54</v>
      </c>
      <c r="AX4041" t="str">
        <f t="shared" si="344"/>
        <v>FOR</v>
      </c>
      <c r="AY4041" t="s">
        <v>55</v>
      </c>
    </row>
    <row r="4042" spans="1:51" hidden="1">
      <c r="A4042">
        <v>101515</v>
      </c>
      <c r="B4042" t="s">
        <v>750</v>
      </c>
      <c r="C4042" t="str">
        <f t="shared" si="343"/>
        <v>01764680649</v>
      </c>
      <c r="D4042" t="str">
        <f t="shared" si="343"/>
        <v>01764680649</v>
      </c>
      <c r="E4042" t="s">
        <v>52</v>
      </c>
      <c r="F4042">
        <v>2014</v>
      </c>
      <c r="G4042">
        <v>6075</v>
      </c>
      <c r="H4042" s="1">
        <v>41646</v>
      </c>
      <c r="I4042" s="1">
        <v>42004</v>
      </c>
      <c r="J4042" s="1">
        <v>42004</v>
      </c>
      <c r="K4042" s="1">
        <v>42064</v>
      </c>
      <c r="N4042" s="5"/>
      <c r="O4042" s="2">
        <v>4940.5</v>
      </c>
      <c r="P4042">
        <v>-27</v>
      </c>
      <c r="Q4042" s="2">
        <v>-133393.5</v>
      </c>
      <c r="R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 s="1">
        <v>42382</v>
      </c>
      <c r="AC4042" t="s">
        <v>53</v>
      </c>
      <c r="AD4042" t="s">
        <v>53</v>
      </c>
      <c r="AK4042">
        <v>0</v>
      </c>
      <c r="AU4042" s="6">
        <v>42037</v>
      </c>
      <c r="AV4042" s="6">
        <v>42037</v>
      </c>
      <c r="AW4042" t="s">
        <v>54</v>
      </c>
      <c r="AX4042" t="str">
        <f t="shared" si="344"/>
        <v>FOR</v>
      </c>
      <c r="AY4042" t="s">
        <v>55</v>
      </c>
    </row>
    <row r="4043" spans="1:51" hidden="1">
      <c r="A4043">
        <v>101515</v>
      </c>
      <c r="B4043" t="s">
        <v>750</v>
      </c>
      <c r="C4043" t="str">
        <f t="shared" si="343"/>
        <v>01764680649</v>
      </c>
      <c r="D4043" t="str">
        <f t="shared" si="343"/>
        <v>01764680649</v>
      </c>
      <c r="E4043" t="s">
        <v>52</v>
      </c>
      <c r="F4043">
        <v>2014</v>
      </c>
      <c r="G4043">
        <v>12477</v>
      </c>
      <c r="H4043" s="1">
        <v>41671</v>
      </c>
      <c r="I4043" s="1">
        <v>42004</v>
      </c>
      <c r="J4043" s="1">
        <v>42004</v>
      </c>
      <c r="K4043" s="1">
        <v>42064</v>
      </c>
      <c r="N4043" s="5"/>
      <c r="O4043" s="2">
        <v>4940.5</v>
      </c>
      <c r="P4043">
        <v>-27</v>
      </c>
      <c r="Q4043" s="2">
        <v>-133393.5</v>
      </c>
      <c r="R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 s="1">
        <v>42382</v>
      </c>
      <c r="AC4043" t="s">
        <v>53</v>
      </c>
      <c r="AD4043" t="s">
        <v>53</v>
      </c>
      <c r="AK4043">
        <v>0</v>
      </c>
      <c r="AU4043" s="6">
        <v>42037</v>
      </c>
      <c r="AV4043" s="6">
        <v>42037</v>
      </c>
      <c r="AW4043" t="s">
        <v>54</v>
      </c>
      <c r="AX4043" t="str">
        <f t="shared" si="344"/>
        <v>FOR</v>
      </c>
      <c r="AY4043" t="s">
        <v>55</v>
      </c>
    </row>
    <row r="4044" spans="1:51" hidden="1">
      <c r="A4044">
        <v>101515</v>
      </c>
      <c r="B4044" t="s">
        <v>750</v>
      </c>
      <c r="C4044" t="str">
        <f t="shared" si="343"/>
        <v>01764680649</v>
      </c>
      <c r="D4044" t="str">
        <f t="shared" si="343"/>
        <v>01764680649</v>
      </c>
      <c r="E4044" t="s">
        <v>52</v>
      </c>
      <c r="F4044">
        <v>2014</v>
      </c>
      <c r="G4044">
        <v>16540</v>
      </c>
      <c r="H4044" s="1">
        <v>41699</v>
      </c>
      <c r="I4044" s="1">
        <v>42004</v>
      </c>
      <c r="J4044" s="1">
        <v>42004</v>
      </c>
      <c r="K4044" s="1">
        <v>42064</v>
      </c>
      <c r="N4044" s="5"/>
      <c r="O4044" s="2">
        <v>4940.5</v>
      </c>
      <c r="P4044">
        <v>-27</v>
      </c>
      <c r="Q4044" s="2">
        <v>-133393.5</v>
      </c>
      <c r="R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 s="1">
        <v>42382</v>
      </c>
      <c r="AC4044" t="s">
        <v>53</v>
      </c>
      <c r="AD4044" t="s">
        <v>53</v>
      </c>
      <c r="AK4044">
        <v>0</v>
      </c>
      <c r="AU4044" s="6">
        <v>42037</v>
      </c>
      <c r="AV4044" s="6">
        <v>42037</v>
      </c>
      <c r="AW4044" t="s">
        <v>54</v>
      </c>
      <c r="AX4044" t="str">
        <f t="shared" si="344"/>
        <v>FOR</v>
      </c>
      <c r="AY4044" t="s">
        <v>55</v>
      </c>
    </row>
    <row r="4045" spans="1:51" hidden="1">
      <c r="A4045">
        <v>101515</v>
      </c>
      <c r="B4045" t="s">
        <v>750</v>
      </c>
      <c r="C4045" t="str">
        <f t="shared" si="343"/>
        <v>01764680649</v>
      </c>
      <c r="D4045" t="str">
        <f t="shared" si="343"/>
        <v>01764680649</v>
      </c>
      <c r="E4045" t="s">
        <v>52</v>
      </c>
      <c r="F4045">
        <v>2014</v>
      </c>
      <c r="G4045">
        <v>23282</v>
      </c>
      <c r="H4045" s="1">
        <v>41730</v>
      </c>
      <c r="I4045" s="1">
        <v>42004</v>
      </c>
      <c r="J4045" s="1">
        <v>42004</v>
      </c>
      <c r="K4045" s="1">
        <v>42064</v>
      </c>
      <c r="N4045" s="5"/>
      <c r="O4045" s="2">
        <v>4940.5</v>
      </c>
      <c r="P4045">
        <v>-2</v>
      </c>
      <c r="Q4045" s="2">
        <v>-9881</v>
      </c>
      <c r="R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 s="1">
        <v>42382</v>
      </c>
      <c r="AC4045" t="s">
        <v>53</v>
      </c>
      <c r="AD4045" t="s">
        <v>53</v>
      </c>
      <c r="AK4045">
        <v>0</v>
      </c>
      <c r="AU4045" s="6">
        <v>42062</v>
      </c>
      <c r="AV4045" s="6">
        <v>42062</v>
      </c>
      <c r="AW4045" t="s">
        <v>54</v>
      </c>
      <c r="AX4045" t="str">
        <f t="shared" si="344"/>
        <v>FOR</v>
      </c>
      <c r="AY4045" t="s">
        <v>55</v>
      </c>
    </row>
    <row r="4046" spans="1:51" hidden="1">
      <c r="A4046">
        <v>101515</v>
      </c>
      <c r="B4046" t="s">
        <v>750</v>
      </c>
      <c r="C4046" t="str">
        <f t="shared" si="343"/>
        <v>01764680649</v>
      </c>
      <c r="D4046" t="str">
        <f t="shared" si="343"/>
        <v>01764680649</v>
      </c>
      <c r="E4046" t="s">
        <v>52</v>
      </c>
      <c r="F4046">
        <v>2014</v>
      </c>
      <c r="G4046">
        <v>31782</v>
      </c>
      <c r="H4046" s="1">
        <v>41761</v>
      </c>
      <c r="I4046" s="1">
        <v>42004</v>
      </c>
      <c r="J4046" s="1">
        <v>42004</v>
      </c>
      <c r="K4046" s="1">
        <v>42064</v>
      </c>
      <c r="N4046" s="5"/>
      <c r="O4046" s="2">
        <v>4940.5</v>
      </c>
      <c r="P4046">
        <v>-2</v>
      </c>
      <c r="Q4046" s="2">
        <v>-9881</v>
      </c>
      <c r="R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 s="1">
        <v>42382</v>
      </c>
      <c r="AC4046" t="s">
        <v>53</v>
      </c>
      <c r="AD4046" t="s">
        <v>53</v>
      </c>
      <c r="AK4046">
        <v>0</v>
      </c>
      <c r="AU4046" s="6">
        <v>42062</v>
      </c>
      <c r="AV4046" s="6">
        <v>42062</v>
      </c>
      <c r="AW4046" t="s">
        <v>54</v>
      </c>
      <c r="AX4046" t="str">
        <f t="shared" si="344"/>
        <v>FOR</v>
      </c>
      <c r="AY4046" t="s">
        <v>55</v>
      </c>
    </row>
    <row r="4047" spans="1:51" hidden="1">
      <c r="A4047">
        <v>101515</v>
      </c>
      <c r="B4047" t="s">
        <v>750</v>
      </c>
      <c r="C4047" t="str">
        <f t="shared" si="343"/>
        <v>01764680649</v>
      </c>
      <c r="D4047" t="str">
        <f t="shared" si="343"/>
        <v>01764680649</v>
      </c>
      <c r="E4047" t="s">
        <v>52</v>
      </c>
      <c r="F4047">
        <v>2014</v>
      </c>
      <c r="G4047">
        <v>38094</v>
      </c>
      <c r="H4047" s="1">
        <v>41793</v>
      </c>
      <c r="I4047" s="1">
        <v>42004</v>
      </c>
      <c r="J4047" s="1">
        <v>42004</v>
      </c>
      <c r="K4047" s="1">
        <v>42064</v>
      </c>
      <c r="N4047" s="5"/>
      <c r="O4047" s="2">
        <v>4940.5</v>
      </c>
      <c r="P4047">
        <v>-2</v>
      </c>
      <c r="Q4047" s="2">
        <v>-9881</v>
      </c>
      <c r="R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 s="1">
        <v>42382</v>
      </c>
      <c r="AC4047" t="s">
        <v>53</v>
      </c>
      <c r="AD4047" t="s">
        <v>53</v>
      </c>
      <c r="AK4047">
        <v>0</v>
      </c>
      <c r="AU4047" s="6">
        <v>42062</v>
      </c>
      <c r="AV4047" s="6">
        <v>42062</v>
      </c>
      <c r="AW4047" t="s">
        <v>54</v>
      </c>
      <c r="AX4047" t="str">
        <f t="shared" si="344"/>
        <v>FOR</v>
      </c>
      <c r="AY4047" t="s">
        <v>55</v>
      </c>
    </row>
    <row r="4048" spans="1:51" hidden="1">
      <c r="A4048">
        <v>101515</v>
      </c>
      <c r="B4048" t="s">
        <v>750</v>
      </c>
      <c r="C4048" t="str">
        <f t="shared" si="343"/>
        <v>01764680649</v>
      </c>
      <c r="D4048" t="str">
        <f t="shared" si="343"/>
        <v>01764680649</v>
      </c>
      <c r="E4048" t="s">
        <v>52</v>
      </c>
      <c r="F4048">
        <v>2014</v>
      </c>
      <c r="G4048">
        <v>42395</v>
      </c>
      <c r="H4048" s="1">
        <v>41821</v>
      </c>
      <c r="I4048" s="1">
        <v>41935</v>
      </c>
      <c r="J4048" s="1">
        <v>41935</v>
      </c>
      <c r="K4048" s="1">
        <v>41995</v>
      </c>
      <c r="N4048" s="5"/>
      <c r="O4048" s="2">
        <v>16250.4</v>
      </c>
      <c r="P4048">
        <v>24</v>
      </c>
      <c r="Q4048" s="2">
        <v>390009.59999999998</v>
      </c>
      <c r="R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 s="1">
        <v>42382</v>
      </c>
      <c r="AC4048" t="s">
        <v>53</v>
      </c>
      <c r="AD4048" t="s">
        <v>53</v>
      </c>
      <c r="AK4048">
        <v>0</v>
      </c>
      <c r="AU4048" s="6">
        <v>42019</v>
      </c>
      <c r="AV4048" s="6">
        <v>42019</v>
      </c>
      <c r="AW4048" t="s">
        <v>54</v>
      </c>
      <c r="AX4048" t="str">
        <f t="shared" si="344"/>
        <v>FOR</v>
      </c>
      <c r="AY4048" t="s">
        <v>55</v>
      </c>
    </row>
    <row r="4049" spans="1:51" hidden="1">
      <c r="A4049">
        <v>101515</v>
      </c>
      <c r="B4049" t="s">
        <v>750</v>
      </c>
      <c r="C4049" t="str">
        <f t="shared" si="343"/>
        <v>01764680649</v>
      </c>
      <c r="D4049" t="str">
        <f t="shared" si="343"/>
        <v>01764680649</v>
      </c>
      <c r="E4049" t="s">
        <v>52</v>
      </c>
      <c r="F4049">
        <v>2014</v>
      </c>
      <c r="G4049">
        <v>42396</v>
      </c>
      <c r="H4049" s="1">
        <v>41821</v>
      </c>
      <c r="I4049" s="1">
        <v>41935</v>
      </c>
      <c r="J4049" s="1">
        <v>41935</v>
      </c>
      <c r="K4049" s="1">
        <v>41995</v>
      </c>
      <c r="N4049" s="5"/>
      <c r="O4049" s="2">
        <v>2527.84</v>
      </c>
      <c r="P4049">
        <v>67</v>
      </c>
      <c r="Q4049" s="2">
        <v>169365.28</v>
      </c>
      <c r="R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 s="1">
        <v>42382</v>
      </c>
      <c r="AC4049" t="s">
        <v>53</v>
      </c>
      <c r="AD4049" t="s">
        <v>53</v>
      </c>
      <c r="AK4049">
        <v>0</v>
      </c>
      <c r="AU4049" s="6">
        <v>42062</v>
      </c>
      <c r="AV4049" s="6">
        <v>42062</v>
      </c>
      <c r="AW4049" t="s">
        <v>54</v>
      </c>
      <c r="AX4049" t="str">
        <f t="shared" si="344"/>
        <v>FOR</v>
      </c>
      <c r="AY4049" t="s">
        <v>55</v>
      </c>
    </row>
    <row r="4050" spans="1:51" hidden="1">
      <c r="A4050">
        <v>101515</v>
      </c>
      <c r="B4050" t="s">
        <v>750</v>
      </c>
      <c r="C4050" t="str">
        <f t="shared" si="343"/>
        <v>01764680649</v>
      </c>
      <c r="D4050" t="str">
        <f t="shared" si="343"/>
        <v>01764680649</v>
      </c>
      <c r="E4050" t="s">
        <v>52</v>
      </c>
      <c r="F4050">
        <v>2014</v>
      </c>
      <c r="G4050">
        <v>42397</v>
      </c>
      <c r="H4050" s="1">
        <v>41821</v>
      </c>
      <c r="I4050" s="1">
        <v>41935</v>
      </c>
      <c r="J4050" s="1">
        <v>41935</v>
      </c>
      <c r="K4050" s="1">
        <v>41995</v>
      </c>
      <c r="N4050" s="5"/>
      <c r="O4050" s="2">
        <v>4062.6</v>
      </c>
      <c r="P4050">
        <v>24</v>
      </c>
      <c r="Q4050" s="2">
        <v>97502.399999999994</v>
      </c>
      <c r="R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 s="1">
        <v>42382</v>
      </c>
      <c r="AC4050" t="s">
        <v>53</v>
      </c>
      <c r="AD4050" t="s">
        <v>53</v>
      </c>
      <c r="AK4050">
        <v>0</v>
      </c>
      <c r="AU4050" s="6">
        <v>42019</v>
      </c>
      <c r="AV4050" s="6">
        <v>42019</v>
      </c>
      <c r="AW4050" t="s">
        <v>54</v>
      </c>
      <c r="AX4050" t="str">
        <f t="shared" si="344"/>
        <v>FOR</v>
      </c>
      <c r="AY4050" t="s">
        <v>55</v>
      </c>
    </row>
    <row r="4051" spans="1:51" hidden="1">
      <c r="A4051">
        <v>101515</v>
      </c>
      <c r="B4051" t="s">
        <v>750</v>
      </c>
      <c r="C4051" t="str">
        <f t="shared" ref="C4051:D4068" si="345">"01764680649"</f>
        <v>01764680649</v>
      </c>
      <c r="D4051" t="str">
        <f t="shared" si="345"/>
        <v>01764680649</v>
      </c>
      <c r="E4051" t="s">
        <v>52</v>
      </c>
      <c r="F4051">
        <v>2014</v>
      </c>
      <c r="G4051">
        <v>42398</v>
      </c>
      <c r="H4051" s="1">
        <v>41821</v>
      </c>
      <c r="I4051" s="1">
        <v>42004</v>
      </c>
      <c r="J4051" s="1">
        <v>42004</v>
      </c>
      <c r="K4051" s="1">
        <v>42064</v>
      </c>
      <c r="N4051" s="5"/>
      <c r="O4051" s="2">
        <v>4940.5</v>
      </c>
      <c r="P4051">
        <v>-2</v>
      </c>
      <c r="Q4051" s="2">
        <v>-9881</v>
      </c>
      <c r="R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 s="1">
        <v>42382</v>
      </c>
      <c r="AC4051" t="s">
        <v>53</v>
      </c>
      <c r="AD4051" t="s">
        <v>53</v>
      </c>
      <c r="AK4051">
        <v>0</v>
      </c>
      <c r="AU4051" s="6">
        <v>42062</v>
      </c>
      <c r="AV4051" s="6">
        <v>42062</v>
      </c>
      <c r="AW4051" t="s">
        <v>54</v>
      </c>
      <c r="AX4051" t="str">
        <f t="shared" si="344"/>
        <v>FOR</v>
      </c>
      <c r="AY4051" t="s">
        <v>55</v>
      </c>
    </row>
    <row r="4052" spans="1:51" hidden="1">
      <c r="A4052">
        <v>101515</v>
      </c>
      <c r="B4052" t="s">
        <v>750</v>
      </c>
      <c r="C4052" t="str">
        <f t="shared" si="345"/>
        <v>01764680649</v>
      </c>
      <c r="D4052" t="str">
        <f t="shared" si="345"/>
        <v>01764680649</v>
      </c>
      <c r="E4052" t="s">
        <v>52</v>
      </c>
      <c r="F4052">
        <v>2014</v>
      </c>
      <c r="G4052">
        <v>51020</v>
      </c>
      <c r="H4052" s="1">
        <v>41852</v>
      </c>
      <c r="I4052" s="1">
        <v>41935</v>
      </c>
      <c r="J4052" s="1">
        <v>41935</v>
      </c>
      <c r="K4052" s="1">
        <v>41995</v>
      </c>
      <c r="N4052" s="5"/>
      <c r="O4052" s="2">
        <v>16792.080000000002</v>
      </c>
      <c r="P4052">
        <v>67</v>
      </c>
      <c r="Q4052" s="2">
        <v>1125069.3600000001</v>
      </c>
      <c r="R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 s="1">
        <v>42382</v>
      </c>
      <c r="AC4052" t="s">
        <v>53</v>
      </c>
      <c r="AD4052" t="s">
        <v>53</v>
      </c>
      <c r="AK4052">
        <v>0</v>
      </c>
      <c r="AU4052" s="6">
        <v>42062</v>
      </c>
      <c r="AV4052" s="6">
        <v>42062</v>
      </c>
      <c r="AW4052" t="s">
        <v>54</v>
      </c>
      <c r="AX4052" t="str">
        <f t="shared" si="344"/>
        <v>FOR</v>
      </c>
      <c r="AY4052" t="s">
        <v>55</v>
      </c>
    </row>
    <row r="4053" spans="1:51" hidden="1">
      <c r="A4053">
        <v>101515</v>
      </c>
      <c r="B4053" t="s">
        <v>750</v>
      </c>
      <c r="C4053" t="str">
        <f t="shared" si="345"/>
        <v>01764680649</v>
      </c>
      <c r="D4053" t="str">
        <f t="shared" si="345"/>
        <v>01764680649</v>
      </c>
      <c r="E4053" t="s">
        <v>52</v>
      </c>
      <c r="F4053">
        <v>2014</v>
      </c>
      <c r="G4053">
        <v>51021</v>
      </c>
      <c r="H4053" s="1">
        <v>41852</v>
      </c>
      <c r="I4053" s="1">
        <v>41935</v>
      </c>
      <c r="J4053" s="1">
        <v>41935</v>
      </c>
      <c r="K4053" s="1">
        <v>41995</v>
      </c>
      <c r="N4053" s="5"/>
      <c r="O4053" s="2">
        <v>2934.1</v>
      </c>
      <c r="P4053">
        <v>67</v>
      </c>
      <c r="Q4053" s="2">
        <v>196584.7</v>
      </c>
      <c r="R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 s="1">
        <v>42382</v>
      </c>
      <c r="AC4053" t="s">
        <v>53</v>
      </c>
      <c r="AD4053" t="s">
        <v>53</v>
      </c>
      <c r="AK4053">
        <v>0</v>
      </c>
      <c r="AU4053" s="6">
        <v>42062</v>
      </c>
      <c r="AV4053" s="6">
        <v>42062</v>
      </c>
      <c r="AW4053" t="s">
        <v>54</v>
      </c>
      <c r="AX4053" t="str">
        <f t="shared" si="344"/>
        <v>FOR</v>
      </c>
      <c r="AY4053" t="s">
        <v>55</v>
      </c>
    </row>
    <row r="4054" spans="1:51" hidden="1">
      <c r="A4054">
        <v>101515</v>
      </c>
      <c r="B4054" t="s">
        <v>750</v>
      </c>
      <c r="C4054" t="str">
        <f t="shared" si="345"/>
        <v>01764680649</v>
      </c>
      <c r="D4054" t="str">
        <f t="shared" si="345"/>
        <v>01764680649</v>
      </c>
      <c r="E4054" t="s">
        <v>52</v>
      </c>
      <c r="F4054">
        <v>2014</v>
      </c>
      <c r="G4054">
        <v>51022</v>
      </c>
      <c r="H4054" s="1">
        <v>41852</v>
      </c>
      <c r="I4054" s="1">
        <v>41935</v>
      </c>
      <c r="J4054" s="1">
        <v>41935</v>
      </c>
      <c r="K4054" s="1">
        <v>41995</v>
      </c>
      <c r="N4054" s="5"/>
      <c r="O4054" s="2">
        <v>4333.4399999999996</v>
      </c>
      <c r="P4054">
        <v>67</v>
      </c>
      <c r="Q4054" s="2">
        <v>290340.47999999998</v>
      </c>
      <c r="R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 s="1">
        <v>42382</v>
      </c>
      <c r="AC4054" t="s">
        <v>53</v>
      </c>
      <c r="AD4054" t="s">
        <v>53</v>
      </c>
      <c r="AK4054">
        <v>0</v>
      </c>
      <c r="AU4054" s="6">
        <v>42062</v>
      </c>
      <c r="AV4054" s="6">
        <v>42062</v>
      </c>
      <c r="AW4054" t="s">
        <v>54</v>
      </c>
      <c r="AX4054" t="str">
        <f t="shared" si="344"/>
        <v>FOR</v>
      </c>
      <c r="AY4054" t="s">
        <v>55</v>
      </c>
    </row>
    <row r="4055" spans="1:51" hidden="1">
      <c r="A4055">
        <v>101515</v>
      </c>
      <c r="B4055" t="s">
        <v>750</v>
      </c>
      <c r="C4055" t="str">
        <f t="shared" si="345"/>
        <v>01764680649</v>
      </c>
      <c r="D4055" t="str">
        <f t="shared" si="345"/>
        <v>01764680649</v>
      </c>
      <c r="E4055" t="s">
        <v>52</v>
      </c>
      <c r="F4055">
        <v>2014</v>
      </c>
      <c r="G4055">
        <v>51023</v>
      </c>
      <c r="H4055" s="1">
        <v>41852</v>
      </c>
      <c r="I4055" s="1">
        <v>42004</v>
      </c>
      <c r="J4055" s="1">
        <v>42004</v>
      </c>
      <c r="K4055" s="1">
        <v>42064</v>
      </c>
      <c r="N4055" s="5"/>
      <c r="O4055" s="2">
        <v>4940.5</v>
      </c>
      <c r="P4055">
        <v>-2</v>
      </c>
      <c r="Q4055" s="2">
        <v>-9881</v>
      </c>
      <c r="R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 s="1">
        <v>42382</v>
      </c>
      <c r="AC4055" t="s">
        <v>53</v>
      </c>
      <c r="AD4055" t="s">
        <v>53</v>
      </c>
      <c r="AK4055">
        <v>0</v>
      </c>
      <c r="AU4055" s="6">
        <v>42062</v>
      </c>
      <c r="AV4055" s="6">
        <v>42062</v>
      </c>
      <c r="AW4055" t="s">
        <v>54</v>
      </c>
      <c r="AX4055" t="str">
        <f t="shared" si="344"/>
        <v>FOR</v>
      </c>
      <c r="AY4055" t="s">
        <v>55</v>
      </c>
    </row>
    <row r="4056" spans="1:51" hidden="1">
      <c r="A4056">
        <v>101515</v>
      </c>
      <c r="B4056" t="s">
        <v>750</v>
      </c>
      <c r="C4056" t="str">
        <f t="shared" si="345"/>
        <v>01764680649</v>
      </c>
      <c r="D4056" t="str">
        <f t="shared" si="345"/>
        <v>01764680649</v>
      </c>
      <c r="E4056" t="s">
        <v>52</v>
      </c>
      <c r="F4056">
        <v>2014</v>
      </c>
      <c r="G4056">
        <v>64453</v>
      </c>
      <c r="H4056" s="1">
        <v>41913</v>
      </c>
      <c r="I4056" s="1">
        <v>41995</v>
      </c>
      <c r="J4056" s="1">
        <v>41995</v>
      </c>
      <c r="K4056" s="1">
        <v>42055</v>
      </c>
      <c r="N4056" s="5"/>
      <c r="O4056" s="2">
        <v>2003.85</v>
      </c>
      <c r="P4056">
        <v>39</v>
      </c>
      <c r="Q4056" s="2">
        <v>78150.149999999994</v>
      </c>
      <c r="R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 s="1">
        <v>42382</v>
      </c>
      <c r="AC4056" t="s">
        <v>53</v>
      </c>
      <c r="AD4056" t="s">
        <v>53</v>
      </c>
      <c r="AK4056">
        <v>0</v>
      </c>
      <c r="AU4056" s="6">
        <v>42094</v>
      </c>
      <c r="AV4056" s="6">
        <v>42094</v>
      </c>
      <c r="AW4056" t="s">
        <v>54</v>
      </c>
      <c r="AX4056" t="str">
        <f t="shared" si="344"/>
        <v>FOR</v>
      </c>
      <c r="AY4056" t="s">
        <v>55</v>
      </c>
    </row>
    <row r="4057" spans="1:51" hidden="1">
      <c r="A4057">
        <v>101515</v>
      </c>
      <c r="B4057" t="s">
        <v>750</v>
      </c>
      <c r="C4057" t="str">
        <f t="shared" si="345"/>
        <v>01764680649</v>
      </c>
      <c r="D4057" t="str">
        <f t="shared" si="345"/>
        <v>01764680649</v>
      </c>
      <c r="E4057" t="s">
        <v>52</v>
      </c>
      <c r="F4057">
        <v>2015</v>
      </c>
      <c r="G4057">
        <v>85</v>
      </c>
      <c r="H4057" s="1">
        <v>42038</v>
      </c>
      <c r="I4057" s="1">
        <v>42068</v>
      </c>
      <c r="J4057" s="1">
        <v>42068</v>
      </c>
      <c r="K4057" s="1">
        <v>42128</v>
      </c>
      <c r="N4057" s="5"/>
      <c r="O4057" s="2">
        <v>17028.669999999998</v>
      </c>
      <c r="P4057">
        <v>53</v>
      </c>
      <c r="Q4057" s="2">
        <v>902519.51</v>
      </c>
      <c r="R4057">
        <v>0</v>
      </c>
      <c r="V4057">
        <v>0</v>
      </c>
      <c r="W4057">
        <v>0</v>
      </c>
      <c r="X4057">
        <v>0</v>
      </c>
      <c r="Y4057" s="2">
        <v>20774.98</v>
      </c>
      <c r="Z4057" s="2">
        <v>20774.98</v>
      </c>
      <c r="AA4057" s="2">
        <v>20774.98</v>
      </c>
      <c r="AB4057" s="1">
        <v>42382</v>
      </c>
      <c r="AC4057" t="s">
        <v>53</v>
      </c>
      <c r="AD4057" t="s">
        <v>53</v>
      </c>
      <c r="AK4057">
        <v>0</v>
      </c>
      <c r="AU4057" s="6">
        <v>42181</v>
      </c>
      <c r="AV4057" s="6">
        <v>42181</v>
      </c>
      <c r="AW4057" t="s">
        <v>54</v>
      </c>
      <c r="AX4057" t="str">
        <f t="shared" si="344"/>
        <v>FOR</v>
      </c>
      <c r="AY4057" t="s">
        <v>55</v>
      </c>
    </row>
    <row r="4058" spans="1:51" hidden="1">
      <c r="A4058">
        <v>101515</v>
      </c>
      <c r="B4058" t="s">
        <v>750</v>
      </c>
      <c r="C4058" t="str">
        <f t="shared" si="345"/>
        <v>01764680649</v>
      </c>
      <c r="D4058" t="str">
        <f t="shared" si="345"/>
        <v>01764680649</v>
      </c>
      <c r="E4058" t="s">
        <v>52</v>
      </c>
      <c r="F4058">
        <v>2015</v>
      </c>
      <c r="G4058">
        <v>147</v>
      </c>
      <c r="H4058" s="1">
        <v>42065</v>
      </c>
      <c r="I4058" s="1">
        <v>42095</v>
      </c>
      <c r="J4058" s="1">
        <v>42095</v>
      </c>
      <c r="K4058" s="1">
        <v>42155</v>
      </c>
      <c r="N4058" s="5"/>
      <c r="O4058" s="2">
        <v>17028.669999999998</v>
      </c>
      <c r="P4058">
        <v>26</v>
      </c>
      <c r="Q4058" s="2">
        <v>442745.42</v>
      </c>
      <c r="R4058">
        <v>0</v>
      </c>
      <c r="V4058">
        <v>0</v>
      </c>
      <c r="W4058">
        <v>0</v>
      </c>
      <c r="X4058">
        <v>0</v>
      </c>
      <c r="Y4058" s="2">
        <v>20774.98</v>
      </c>
      <c r="Z4058" s="2">
        <v>20774.98</v>
      </c>
      <c r="AA4058" s="2">
        <v>20774.98</v>
      </c>
      <c r="AB4058" s="1">
        <v>42382</v>
      </c>
      <c r="AC4058" t="s">
        <v>53</v>
      </c>
      <c r="AD4058" t="s">
        <v>53</v>
      </c>
      <c r="AK4058">
        <v>0</v>
      </c>
      <c r="AU4058" s="6">
        <v>42181</v>
      </c>
      <c r="AV4058" s="6">
        <v>42181</v>
      </c>
      <c r="AW4058" t="s">
        <v>54</v>
      </c>
      <c r="AX4058" t="str">
        <f t="shared" si="344"/>
        <v>FOR</v>
      </c>
      <c r="AY4058" t="s">
        <v>55</v>
      </c>
    </row>
    <row r="4059" spans="1:51" hidden="1">
      <c r="A4059">
        <v>101515</v>
      </c>
      <c r="B4059" t="s">
        <v>750</v>
      </c>
      <c r="C4059" t="str">
        <f t="shared" si="345"/>
        <v>01764680649</v>
      </c>
      <c r="D4059" t="str">
        <f t="shared" si="345"/>
        <v>01764680649</v>
      </c>
      <c r="E4059" t="s">
        <v>52</v>
      </c>
      <c r="F4059">
        <v>2015</v>
      </c>
      <c r="G4059" t="s">
        <v>751</v>
      </c>
      <c r="H4059" s="1">
        <v>42095</v>
      </c>
      <c r="I4059" s="1">
        <v>42186</v>
      </c>
      <c r="J4059" s="1">
        <v>42185</v>
      </c>
      <c r="K4059" s="1">
        <v>42245</v>
      </c>
      <c r="N4059" s="5"/>
      <c r="O4059" s="2">
        <v>17028.669999999998</v>
      </c>
      <c r="P4059">
        <v>-33</v>
      </c>
      <c r="Q4059" s="2">
        <v>-561946.11</v>
      </c>
      <c r="R4059">
        <v>0</v>
      </c>
      <c r="V4059">
        <v>0</v>
      </c>
      <c r="W4059">
        <v>0</v>
      </c>
      <c r="X4059">
        <v>0</v>
      </c>
      <c r="Y4059" s="2">
        <v>20774.98</v>
      </c>
      <c r="Z4059" s="2">
        <v>20774.98</v>
      </c>
      <c r="AA4059" s="2">
        <v>20774.98</v>
      </c>
      <c r="AB4059" s="1">
        <v>42382</v>
      </c>
      <c r="AC4059" t="s">
        <v>53</v>
      </c>
      <c r="AD4059" t="s">
        <v>53</v>
      </c>
      <c r="AK4059">
        <v>0</v>
      </c>
      <c r="AU4059" s="6">
        <v>42212</v>
      </c>
      <c r="AV4059" s="6">
        <v>42212</v>
      </c>
      <c r="AW4059" t="s">
        <v>54</v>
      </c>
      <c r="AX4059" t="str">
        <f t="shared" si="344"/>
        <v>FOR</v>
      </c>
      <c r="AY4059" t="s">
        <v>55</v>
      </c>
    </row>
    <row r="4060" spans="1:51" hidden="1">
      <c r="A4060">
        <v>101515</v>
      </c>
      <c r="B4060" t="s">
        <v>750</v>
      </c>
      <c r="C4060" t="str">
        <f t="shared" si="345"/>
        <v>01764680649</v>
      </c>
      <c r="D4060" t="str">
        <f t="shared" si="345"/>
        <v>01764680649</v>
      </c>
      <c r="E4060" t="s">
        <v>52</v>
      </c>
      <c r="F4060">
        <v>2015</v>
      </c>
      <c r="G4060" t="s">
        <v>752</v>
      </c>
      <c r="H4060" s="1">
        <v>42095</v>
      </c>
      <c r="I4060" s="1">
        <v>42193</v>
      </c>
      <c r="J4060" s="1">
        <v>42192</v>
      </c>
      <c r="K4060" s="1">
        <v>42252</v>
      </c>
      <c r="N4060" s="5"/>
      <c r="O4060">
        <v>404.46</v>
      </c>
      <c r="P4060">
        <v>-40</v>
      </c>
      <c r="Q4060" s="2">
        <v>-16178.4</v>
      </c>
      <c r="R4060">
        <v>0</v>
      </c>
      <c r="V4060">
        <v>0</v>
      </c>
      <c r="W4060">
        <v>0</v>
      </c>
      <c r="X4060">
        <v>0</v>
      </c>
      <c r="Y4060">
        <v>493.44</v>
      </c>
      <c r="Z4060">
        <v>493.44</v>
      </c>
      <c r="AA4060">
        <v>493.44</v>
      </c>
      <c r="AB4060" s="1">
        <v>42382</v>
      </c>
      <c r="AC4060" t="s">
        <v>53</v>
      </c>
      <c r="AD4060" t="s">
        <v>53</v>
      </c>
      <c r="AK4060">
        <v>0</v>
      </c>
      <c r="AU4060" s="6">
        <v>42212</v>
      </c>
      <c r="AV4060" s="6">
        <v>42212</v>
      </c>
      <c r="AW4060" t="s">
        <v>54</v>
      </c>
      <c r="AX4060" t="str">
        <f t="shared" si="344"/>
        <v>FOR</v>
      </c>
      <c r="AY4060" t="s">
        <v>55</v>
      </c>
    </row>
    <row r="4061" spans="1:51" hidden="1">
      <c r="A4061">
        <v>101515</v>
      </c>
      <c r="B4061" t="s">
        <v>750</v>
      </c>
      <c r="C4061" t="str">
        <f t="shared" si="345"/>
        <v>01764680649</v>
      </c>
      <c r="D4061" t="str">
        <f t="shared" si="345"/>
        <v>01764680649</v>
      </c>
      <c r="E4061" t="s">
        <v>52</v>
      </c>
      <c r="F4061">
        <v>2015</v>
      </c>
      <c r="G4061" t="s">
        <v>753</v>
      </c>
      <c r="H4061" s="1">
        <v>42126</v>
      </c>
      <c r="I4061" s="1">
        <v>42193</v>
      </c>
      <c r="J4061" s="1">
        <v>42185</v>
      </c>
      <c r="K4061" s="1">
        <v>42245</v>
      </c>
      <c r="N4061" s="5"/>
      <c r="O4061">
        <v>154.08000000000001</v>
      </c>
      <c r="P4061">
        <v>5</v>
      </c>
      <c r="Q4061">
        <v>770.4</v>
      </c>
      <c r="R4061">
        <v>0</v>
      </c>
      <c r="V4061">
        <v>0</v>
      </c>
      <c r="W4061">
        <v>0</v>
      </c>
      <c r="X4061">
        <v>0</v>
      </c>
      <c r="Y4061">
        <v>187.98</v>
      </c>
      <c r="Z4061">
        <v>187.98</v>
      </c>
      <c r="AA4061">
        <v>187.98</v>
      </c>
      <c r="AB4061" s="1">
        <v>42382</v>
      </c>
      <c r="AC4061" t="s">
        <v>53</v>
      </c>
      <c r="AD4061" t="s">
        <v>53</v>
      </c>
      <c r="AK4061">
        <v>0</v>
      </c>
      <c r="AU4061" s="6">
        <v>42250</v>
      </c>
      <c r="AV4061" s="6">
        <v>42250</v>
      </c>
      <c r="AW4061" t="s">
        <v>54</v>
      </c>
      <c r="AX4061" t="str">
        <f t="shared" si="344"/>
        <v>FOR</v>
      </c>
      <c r="AY4061" t="s">
        <v>55</v>
      </c>
    </row>
    <row r="4062" spans="1:51" hidden="1">
      <c r="A4062">
        <v>101515</v>
      </c>
      <c r="B4062" t="s">
        <v>750</v>
      </c>
      <c r="C4062" t="str">
        <f t="shared" si="345"/>
        <v>01764680649</v>
      </c>
      <c r="D4062" t="str">
        <f t="shared" si="345"/>
        <v>01764680649</v>
      </c>
      <c r="E4062" t="s">
        <v>52</v>
      </c>
      <c r="F4062">
        <v>2015</v>
      </c>
      <c r="G4062" t="s">
        <v>754</v>
      </c>
      <c r="H4062" s="1">
        <v>42126</v>
      </c>
      <c r="I4062" s="1">
        <v>42188</v>
      </c>
      <c r="J4062" s="1">
        <v>42187</v>
      </c>
      <c r="K4062" s="1">
        <v>42247</v>
      </c>
      <c r="N4062" s="5"/>
      <c r="O4062" s="2">
        <v>17028.669999999998</v>
      </c>
      <c r="P4062">
        <v>3</v>
      </c>
      <c r="Q4062" s="2">
        <v>51086.01</v>
      </c>
      <c r="R4062">
        <v>0</v>
      </c>
      <c r="V4062">
        <v>0</v>
      </c>
      <c r="W4062">
        <v>0</v>
      </c>
      <c r="X4062">
        <v>0</v>
      </c>
      <c r="Y4062" s="2">
        <v>20774.98</v>
      </c>
      <c r="Z4062" s="2">
        <v>20774.98</v>
      </c>
      <c r="AA4062" s="2">
        <v>20774.98</v>
      </c>
      <c r="AB4062" s="1">
        <v>42382</v>
      </c>
      <c r="AC4062" t="s">
        <v>53</v>
      </c>
      <c r="AD4062" t="s">
        <v>53</v>
      </c>
      <c r="AK4062">
        <v>0</v>
      </c>
      <c r="AU4062" s="6">
        <v>42250</v>
      </c>
      <c r="AV4062" s="6">
        <v>42250</v>
      </c>
      <c r="AW4062" t="s">
        <v>54</v>
      </c>
      <c r="AX4062" t="str">
        <f t="shared" si="344"/>
        <v>FOR</v>
      </c>
      <c r="AY4062" t="s">
        <v>55</v>
      </c>
    </row>
    <row r="4063" spans="1:51" hidden="1">
      <c r="A4063">
        <v>101515</v>
      </c>
      <c r="B4063" t="s">
        <v>750</v>
      </c>
      <c r="C4063" t="str">
        <f t="shared" si="345"/>
        <v>01764680649</v>
      </c>
      <c r="D4063" t="str">
        <f t="shared" si="345"/>
        <v>01764680649</v>
      </c>
      <c r="E4063" t="s">
        <v>52</v>
      </c>
      <c r="F4063">
        <v>2015</v>
      </c>
      <c r="G4063" t="s">
        <v>755</v>
      </c>
      <c r="H4063" s="1">
        <v>42158</v>
      </c>
      <c r="I4063" s="1">
        <v>42186</v>
      </c>
      <c r="J4063" s="1">
        <v>42185</v>
      </c>
      <c r="K4063" s="1">
        <v>42245</v>
      </c>
      <c r="N4063" s="5"/>
      <c r="O4063" s="2">
        <v>17028.669999999998</v>
      </c>
      <c r="P4063">
        <v>5</v>
      </c>
      <c r="Q4063" s="2">
        <v>85143.35</v>
      </c>
      <c r="R4063">
        <v>0</v>
      </c>
      <c r="V4063">
        <v>0</v>
      </c>
      <c r="W4063">
        <v>0</v>
      </c>
      <c r="X4063">
        <v>0</v>
      </c>
      <c r="Y4063" s="2">
        <v>20774.98</v>
      </c>
      <c r="Z4063" s="2">
        <v>20774.98</v>
      </c>
      <c r="AA4063" s="2">
        <v>20774.98</v>
      </c>
      <c r="AB4063" s="1">
        <v>42382</v>
      </c>
      <c r="AC4063" t="s">
        <v>53</v>
      </c>
      <c r="AD4063" t="s">
        <v>53</v>
      </c>
      <c r="AK4063">
        <v>0</v>
      </c>
      <c r="AU4063" s="6">
        <v>42250</v>
      </c>
      <c r="AV4063" s="6">
        <v>42250</v>
      </c>
      <c r="AW4063" t="s">
        <v>54</v>
      </c>
      <c r="AX4063" t="str">
        <f t="shared" si="344"/>
        <v>FOR</v>
      </c>
      <c r="AY4063" t="s">
        <v>55</v>
      </c>
    </row>
    <row r="4064" spans="1:51" hidden="1">
      <c r="A4064">
        <v>101515</v>
      </c>
      <c r="B4064" t="s">
        <v>750</v>
      </c>
      <c r="C4064" t="str">
        <f t="shared" si="345"/>
        <v>01764680649</v>
      </c>
      <c r="D4064" t="str">
        <f t="shared" si="345"/>
        <v>01764680649</v>
      </c>
      <c r="E4064" t="s">
        <v>52</v>
      </c>
      <c r="F4064">
        <v>2015</v>
      </c>
      <c r="G4064" t="s">
        <v>756</v>
      </c>
      <c r="H4064" s="1">
        <v>42158</v>
      </c>
      <c r="I4064" s="1">
        <v>42193</v>
      </c>
      <c r="J4064" s="1">
        <v>42185</v>
      </c>
      <c r="K4064" s="1">
        <v>42245</v>
      </c>
      <c r="N4064" s="5"/>
      <c r="O4064">
        <v>48.15</v>
      </c>
      <c r="P4064">
        <v>5</v>
      </c>
      <c r="Q4064">
        <v>240.75</v>
      </c>
      <c r="R4064">
        <v>0</v>
      </c>
      <c r="V4064">
        <v>0</v>
      </c>
      <c r="W4064">
        <v>0</v>
      </c>
      <c r="X4064">
        <v>0</v>
      </c>
      <c r="Y4064">
        <v>58.74</v>
      </c>
      <c r="Z4064">
        <v>58.74</v>
      </c>
      <c r="AA4064">
        <v>58.74</v>
      </c>
      <c r="AB4064" s="1">
        <v>42382</v>
      </c>
      <c r="AC4064" t="s">
        <v>53</v>
      </c>
      <c r="AD4064" t="s">
        <v>53</v>
      </c>
      <c r="AK4064">
        <v>0</v>
      </c>
      <c r="AU4064" s="6">
        <v>42250</v>
      </c>
      <c r="AV4064" s="6">
        <v>42250</v>
      </c>
      <c r="AW4064" t="s">
        <v>54</v>
      </c>
      <c r="AX4064" t="str">
        <f t="shared" si="344"/>
        <v>FOR</v>
      </c>
      <c r="AY4064" t="s">
        <v>55</v>
      </c>
    </row>
    <row r="4065" spans="1:51">
      <c r="A4065">
        <v>101515</v>
      </c>
      <c r="B4065" t="s">
        <v>750</v>
      </c>
      <c r="C4065" t="str">
        <f t="shared" si="345"/>
        <v>01764680649</v>
      </c>
      <c r="D4065" t="str">
        <f t="shared" si="345"/>
        <v>01764680649</v>
      </c>
      <c r="E4065" t="s">
        <v>52</v>
      </c>
      <c r="F4065">
        <v>2015</v>
      </c>
      <c r="G4065" t="s">
        <v>757</v>
      </c>
      <c r="H4065" s="1">
        <v>42186</v>
      </c>
      <c r="I4065" s="1">
        <v>42227</v>
      </c>
      <c r="J4065" s="1">
        <v>42214</v>
      </c>
      <c r="K4065" s="1">
        <v>42274</v>
      </c>
      <c r="L4065" s="7">
        <v>17028.669999999998</v>
      </c>
      <c r="M4065" s="5">
        <v>9</v>
      </c>
      <c r="N4065" s="7">
        <v>153258.03</v>
      </c>
      <c r="O4065" s="2">
        <v>17028.669999999998</v>
      </c>
      <c r="P4065">
        <v>9</v>
      </c>
      <c r="Q4065" s="2">
        <v>153258.03</v>
      </c>
      <c r="R4065">
        <v>0</v>
      </c>
      <c r="V4065">
        <v>0</v>
      </c>
      <c r="W4065">
        <v>0</v>
      </c>
      <c r="X4065">
        <v>0</v>
      </c>
      <c r="Y4065" s="2">
        <v>20774.98</v>
      </c>
      <c r="Z4065" s="2">
        <v>20774.98</v>
      </c>
      <c r="AA4065" s="2">
        <v>20774.98</v>
      </c>
      <c r="AB4065" s="1">
        <v>42382</v>
      </c>
      <c r="AC4065" t="s">
        <v>53</v>
      </c>
      <c r="AD4065" t="s">
        <v>53</v>
      </c>
      <c r="AK4065">
        <v>0</v>
      </c>
      <c r="AU4065" s="6">
        <v>42283</v>
      </c>
      <c r="AV4065" s="6">
        <v>42283</v>
      </c>
      <c r="AW4065" t="s">
        <v>54</v>
      </c>
      <c r="AX4065" t="str">
        <f t="shared" si="344"/>
        <v>FOR</v>
      </c>
      <c r="AY4065" t="s">
        <v>55</v>
      </c>
    </row>
    <row r="4066" spans="1:51">
      <c r="A4066">
        <v>101515</v>
      </c>
      <c r="B4066" t="s">
        <v>750</v>
      </c>
      <c r="C4066" t="str">
        <f t="shared" si="345"/>
        <v>01764680649</v>
      </c>
      <c r="D4066" t="str">
        <f t="shared" si="345"/>
        <v>01764680649</v>
      </c>
      <c r="E4066" t="s">
        <v>52</v>
      </c>
      <c r="F4066">
        <v>2015</v>
      </c>
      <c r="G4066" t="s">
        <v>758</v>
      </c>
      <c r="H4066" s="1">
        <v>42217</v>
      </c>
      <c r="I4066" s="1">
        <v>42248</v>
      </c>
      <c r="J4066" s="1">
        <v>42244</v>
      </c>
      <c r="K4066" s="1">
        <v>42304</v>
      </c>
      <c r="L4066" s="7">
        <v>17028.669999999998</v>
      </c>
      <c r="M4066" s="5">
        <v>-21</v>
      </c>
      <c r="N4066" s="7">
        <v>-357602.07</v>
      </c>
      <c r="O4066" s="2">
        <v>17028.669999999998</v>
      </c>
      <c r="P4066">
        <v>-21</v>
      </c>
      <c r="Q4066" s="2">
        <v>-357602.07</v>
      </c>
      <c r="R4066">
        <v>0</v>
      </c>
      <c r="V4066">
        <v>0</v>
      </c>
      <c r="W4066">
        <v>0</v>
      </c>
      <c r="X4066">
        <v>0</v>
      </c>
      <c r="Y4066" s="2">
        <v>20774.98</v>
      </c>
      <c r="Z4066" s="2">
        <v>20774.98</v>
      </c>
      <c r="AA4066" s="2">
        <v>20774.98</v>
      </c>
      <c r="AB4066" s="1">
        <v>42382</v>
      </c>
      <c r="AC4066" t="s">
        <v>53</v>
      </c>
      <c r="AD4066" t="s">
        <v>53</v>
      </c>
      <c r="AK4066">
        <v>0</v>
      </c>
      <c r="AU4066" s="6">
        <v>42283</v>
      </c>
      <c r="AV4066" s="6">
        <v>42283</v>
      </c>
      <c r="AW4066" t="s">
        <v>54</v>
      </c>
      <c r="AX4066" t="str">
        <f t="shared" si="344"/>
        <v>FOR</v>
      </c>
      <c r="AY4066" t="s">
        <v>55</v>
      </c>
    </row>
    <row r="4067" spans="1:51">
      <c r="A4067">
        <v>101515</v>
      </c>
      <c r="B4067" t="s">
        <v>750</v>
      </c>
      <c r="C4067" t="str">
        <f t="shared" si="345"/>
        <v>01764680649</v>
      </c>
      <c r="D4067" t="str">
        <f t="shared" si="345"/>
        <v>01764680649</v>
      </c>
      <c r="E4067" t="s">
        <v>52</v>
      </c>
      <c r="F4067">
        <v>2015</v>
      </c>
      <c r="G4067" t="s">
        <v>759</v>
      </c>
      <c r="H4067" s="1">
        <v>42248</v>
      </c>
      <c r="I4067" s="1">
        <v>42275</v>
      </c>
      <c r="J4067" s="1">
        <v>42272</v>
      </c>
      <c r="K4067" s="1">
        <v>42332</v>
      </c>
      <c r="L4067" s="7">
        <v>17028.669999999998</v>
      </c>
      <c r="M4067" s="5">
        <v>-49</v>
      </c>
      <c r="N4067" s="7">
        <v>-834404.83</v>
      </c>
      <c r="O4067" s="2">
        <v>17028.669999999998</v>
      </c>
      <c r="P4067">
        <v>-49</v>
      </c>
      <c r="Q4067" s="2">
        <v>-834404.83</v>
      </c>
      <c r="R4067">
        <v>0</v>
      </c>
      <c r="V4067">
        <v>0</v>
      </c>
      <c r="W4067">
        <v>0</v>
      </c>
      <c r="X4067">
        <v>0</v>
      </c>
      <c r="Y4067" s="2">
        <v>20774.98</v>
      </c>
      <c r="Z4067" s="2">
        <v>20774.98</v>
      </c>
      <c r="AA4067" s="2">
        <v>20774.98</v>
      </c>
      <c r="AB4067" s="1">
        <v>42382</v>
      </c>
      <c r="AC4067" t="s">
        <v>53</v>
      </c>
      <c r="AD4067" t="s">
        <v>53</v>
      </c>
      <c r="AK4067">
        <v>0</v>
      </c>
      <c r="AU4067" s="6">
        <v>42283</v>
      </c>
      <c r="AV4067" s="6">
        <v>42283</v>
      </c>
      <c r="AW4067" t="s">
        <v>54</v>
      </c>
      <c r="AX4067" t="str">
        <f t="shared" si="344"/>
        <v>FOR</v>
      </c>
      <c r="AY4067" t="s">
        <v>55</v>
      </c>
    </row>
    <row r="4068" spans="1:51">
      <c r="A4068">
        <v>101515</v>
      </c>
      <c r="B4068" t="s">
        <v>750</v>
      </c>
      <c r="C4068" t="str">
        <f t="shared" si="345"/>
        <v>01764680649</v>
      </c>
      <c r="D4068" t="str">
        <f t="shared" si="345"/>
        <v>01764680649</v>
      </c>
      <c r="E4068" t="s">
        <v>52</v>
      </c>
      <c r="F4068">
        <v>2015</v>
      </c>
      <c r="G4068" t="s">
        <v>760</v>
      </c>
      <c r="H4068" s="1">
        <v>42277</v>
      </c>
      <c r="I4068" s="1">
        <v>42300</v>
      </c>
      <c r="J4068" s="1">
        <v>42299</v>
      </c>
      <c r="K4068" s="1">
        <v>42359</v>
      </c>
      <c r="L4068" s="7">
        <v>17028.669999999998</v>
      </c>
      <c r="M4068" s="5">
        <v>-41</v>
      </c>
      <c r="N4068" s="7">
        <v>-698175.47</v>
      </c>
      <c r="O4068" s="2">
        <v>17028.669999999998</v>
      </c>
      <c r="P4068">
        <v>-41</v>
      </c>
      <c r="Q4068" s="2">
        <v>-698175.47</v>
      </c>
      <c r="R4068">
        <v>0</v>
      </c>
      <c r="V4068">
        <v>0</v>
      </c>
      <c r="W4068" s="2">
        <v>20774.98</v>
      </c>
      <c r="X4068">
        <v>0</v>
      </c>
      <c r="Y4068" s="2">
        <v>20774.98</v>
      </c>
      <c r="Z4068" s="2">
        <v>20774.98</v>
      </c>
      <c r="AA4068" s="2">
        <v>20774.98</v>
      </c>
      <c r="AB4068" s="1">
        <v>42382</v>
      </c>
      <c r="AC4068" t="s">
        <v>53</v>
      </c>
      <c r="AD4068" t="s">
        <v>53</v>
      </c>
      <c r="AK4068">
        <v>0</v>
      </c>
      <c r="AU4068" s="6">
        <v>42318</v>
      </c>
      <c r="AV4068" s="6">
        <v>42318</v>
      </c>
      <c r="AW4068" t="s">
        <v>54</v>
      </c>
      <c r="AX4068" t="str">
        <f t="shared" si="344"/>
        <v>FOR</v>
      </c>
      <c r="AY4068" t="s">
        <v>55</v>
      </c>
    </row>
    <row r="4069" spans="1:51" hidden="1">
      <c r="A4069">
        <v>101533</v>
      </c>
      <c r="B4069" t="s">
        <v>761</v>
      </c>
      <c r="C4069" t="str">
        <f>"02817380658"</f>
        <v>02817380658</v>
      </c>
      <c r="D4069" t="str">
        <f>"02817380658"</f>
        <v>02817380658</v>
      </c>
      <c r="E4069" t="s">
        <v>52</v>
      </c>
      <c r="F4069">
        <v>2014</v>
      </c>
      <c r="G4069">
        <v>265</v>
      </c>
      <c r="H4069" s="1">
        <v>42004</v>
      </c>
      <c r="I4069" s="1">
        <v>42004</v>
      </c>
      <c r="J4069" s="1">
        <v>42004</v>
      </c>
      <c r="K4069" s="1">
        <v>42064</v>
      </c>
      <c r="N4069" s="5"/>
      <c r="O4069">
        <v>40</v>
      </c>
      <c r="P4069">
        <v>-25</v>
      </c>
      <c r="Q4069" s="2">
        <v>-1000</v>
      </c>
      <c r="R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 s="1">
        <v>42382</v>
      </c>
      <c r="AC4069" t="s">
        <v>53</v>
      </c>
      <c r="AD4069" t="s">
        <v>53</v>
      </c>
      <c r="AK4069">
        <v>0</v>
      </c>
      <c r="AU4069" s="6">
        <v>42039</v>
      </c>
      <c r="AV4069" s="6">
        <v>42039</v>
      </c>
      <c r="AW4069" t="s">
        <v>54</v>
      </c>
      <c r="AX4069" t="str">
        <f t="shared" si="344"/>
        <v>FOR</v>
      </c>
      <c r="AY4069" t="s">
        <v>55</v>
      </c>
    </row>
    <row r="4070" spans="1:51" hidden="1">
      <c r="A4070">
        <v>101533</v>
      </c>
      <c r="B4070" t="s">
        <v>761</v>
      </c>
      <c r="C4070" t="str">
        <f>"02817380658"</f>
        <v>02817380658</v>
      </c>
      <c r="D4070" t="str">
        <f>"02817380658"</f>
        <v>02817380658</v>
      </c>
      <c r="E4070" t="s">
        <v>52</v>
      </c>
      <c r="F4070">
        <v>2015</v>
      </c>
      <c r="G4070">
        <v>2</v>
      </c>
      <c r="H4070" s="1">
        <v>42013</v>
      </c>
      <c r="I4070" s="1">
        <v>42013</v>
      </c>
      <c r="J4070" s="1">
        <v>42013</v>
      </c>
      <c r="K4070" s="1">
        <v>42073</v>
      </c>
      <c r="N4070" s="5"/>
      <c r="O4070" s="2">
        <v>2343.42</v>
      </c>
      <c r="P4070">
        <v>-34</v>
      </c>
      <c r="Q4070" s="2">
        <v>-79676.28</v>
      </c>
      <c r="R4070">
        <v>0</v>
      </c>
      <c r="V4070">
        <v>0</v>
      </c>
      <c r="W4070">
        <v>0</v>
      </c>
      <c r="X4070">
        <v>0</v>
      </c>
      <c r="Y4070" s="2">
        <v>2343.42</v>
      </c>
      <c r="Z4070" s="2">
        <v>2343.42</v>
      </c>
      <c r="AA4070" s="2">
        <v>2343.42</v>
      </c>
      <c r="AB4070" s="1">
        <v>42382</v>
      </c>
      <c r="AC4070" t="s">
        <v>53</v>
      </c>
      <c r="AD4070" t="s">
        <v>53</v>
      </c>
      <c r="AK4070">
        <v>0</v>
      </c>
      <c r="AU4070" s="6">
        <v>42039</v>
      </c>
      <c r="AV4070" s="6">
        <v>42039</v>
      </c>
      <c r="AW4070" t="s">
        <v>54</v>
      </c>
      <c r="AX4070" t="str">
        <f t="shared" si="344"/>
        <v>FOR</v>
      </c>
      <c r="AY4070" t="s">
        <v>55</v>
      </c>
    </row>
    <row r="4071" spans="1:51" hidden="1">
      <c r="A4071">
        <v>101535</v>
      </c>
      <c r="B4071" t="s">
        <v>762</v>
      </c>
      <c r="C4071" t="str">
        <f t="shared" ref="C4071:D4082" si="346">"02805490162"</f>
        <v>02805490162</v>
      </c>
      <c r="D4071" t="str">
        <f t="shared" si="346"/>
        <v>02805490162</v>
      </c>
      <c r="E4071" t="s">
        <v>52</v>
      </c>
      <c r="F4071">
        <v>2015</v>
      </c>
      <c r="G4071">
        <v>120</v>
      </c>
      <c r="H4071" s="1">
        <v>42024</v>
      </c>
      <c r="I4071" s="1">
        <v>42025</v>
      </c>
      <c r="J4071" s="1">
        <v>42025</v>
      </c>
      <c r="K4071" s="1">
        <v>42085</v>
      </c>
      <c r="N4071" s="5"/>
      <c r="O4071">
        <v>637</v>
      </c>
      <c r="P4071">
        <v>-60</v>
      </c>
      <c r="Q4071" s="2">
        <v>-38220</v>
      </c>
      <c r="R4071">
        <v>0</v>
      </c>
      <c r="V4071">
        <v>0</v>
      </c>
      <c r="W4071">
        <v>0</v>
      </c>
      <c r="X4071">
        <v>0</v>
      </c>
      <c r="Y4071">
        <v>637</v>
      </c>
      <c r="Z4071">
        <v>637</v>
      </c>
      <c r="AA4071">
        <v>637</v>
      </c>
      <c r="AB4071" s="1">
        <v>42382</v>
      </c>
      <c r="AC4071" t="s">
        <v>53</v>
      </c>
      <c r="AD4071" t="s">
        <v>53</v>
      </c>
      <c r="AK4071">
        <v>0</v>
      </c>
      <c r="AU4071" s="6">
        <v>42025</v>
      </c>
      <c r="AV4071" s="6">
        <v>42025</v>
      </c>
      <c r="AW4071" t="s">
        <v>54</v>
      </c>
      <c r="AX4071" t="str">
        <f t="shared" si="344"/>
        <v>FOR</v>
      </c>
      <c r="AY4071" t="s">
        <v>55</v>
      </c>
    </row>
    <row r="4072" spans="1:51" hidden="1">
      <c r="A4072">
        <v>101535</v>
      </c>
      <c r="B4072" t="s">
        <v>762</v>
      </c>
      <c r="C4072" t="str">
        <f t="shared" si="346"/>
        <v>02805490162</v>
      </c>
      <c r="D4072" t="str">
        <f t="shared" si="346"/>
        <v>02805490162</v>
      </c>
      <c r="E4072" t="s">
        <v>52</v>
      </c>
      <c r="F4072">
        <v>2015</v>
      </c>
      <c r="G4072">
        <v>219</v>
      </c>
      <c r="H4072" s="1">
        <v>42054</v>
      </c>
      <c r="I4072" s="1">
        <v>42054</v>
      </c>
      <c r="J4072" s="1">
        <v>42054</v>
      </c>
      <c r="K4072" s="1">
        <v>42114</v>
      </c>
      <c r="N4072" s="5"/>
      <c r="O4072">
        <v>637</v>
      </c>
      <c r="P4072">
        <v>-56</v>
      </c>
      <c r="Q4072" s="2">
        <v>-35672</v>
      </c>
      <c r="R4072">
        <v>0</v>
      </c>
      <c r="V4072">
        <v>0</v>
      </c>
      <c r="W4072">
        <v>0</v>
      </c>
      <c r="X4072">
        <v>0</v>
      </c>
      <c r="Y4072">
        <v>637</v>
      </c>
      <c r="Z4072">
        <v>637</v>
      </c>
      <c r="AA4072">
        <v>637</v>
      </c>
      <c r="AB4072" s="1">
        <v>42382</v>
      </c>
      <c r="AC4072" t="s">
        <v>53</v>
      </c>
      <c r="AD4072" t="s">
        <v>53</v>
      </c>
      <c r="AK4072">
        <v>0</v>
      </c>
      <c r="AU4072" s="6">
        <v>42058</v>
      </c>
      <c r="AV4072" s="6">
        <v>42058</v>
      </c>
      <c r="AW4072" t="s">
        <v>54</v>
      </c>
      <c r="AX4072" t="str">
        <f t="shared" si="344"/>
        <v>FOR</v>
      </c>
      <c r="AY4072" t="s">
        <v>55</v>
      </c>
    </row>
    <row r="4073" spans="1:51" hidden="1">
      <c r="A4073">
        <v>101535</v>
      </c>
      <c r="B4073" t="s">
        <v>762</v>
      </c>
      <c r="C4073" t="str">
        <f t="shared" si="346"/>
        <v>02805490162</v>
      </c>
      <c r="D4073" t="str">
        <f t="shared" si="346"/>
        <v>02805490162</v>
      </c>
      <c r="E4073" t="s">
        <v>52</v>
      </c>
      <c r="F4073">
        <v>2015</v>
      </c>
      <c r="G4073">
        <v>320</v>
      </c>
      <c r="H4073" s="1">
        <v>42083</v>
      </c>
      <c r="I4073" s="1">
        <v>42086</v>
      </c>
      <c r="J4073" s="1">
        <v>42086</v>
      </c>
      <c r="K4073" s="1">
        <v>42146</v>
      </c>
      <c r="N4073" s="5"/>
      <c r="O4073">
        <v>637</v>
      </c>
      <c r="P4073">
        <v>-60</v>
      </c>
      <c r="Q4073" s="2">
        <v>-38220</v>
      </c>
      <c r="R4073">
        <v>0</v>
      </c>
      <c r="V4073">
        <v>0</v>
      </c>
      <c r="W4073">
        <v>0</v>
      </c>
      <c r="X4073">
        <v>0</v>
      </c>
      <c r="Y4073">
        <v>637</v>
      </c>
      <c r="Z4073">
        <v>637</v>
      </c>
      <c r="AA4073">
        <v>637</v>
      </c>
      <c r="AB4073" s="1">
        <v>42382</v>
      </c>
      <c r="AC4073" t="s">
        <v>53</v>
      </c>
      <c r="AD4073" t="s">
        <v>53</v>
      </c>
      <c r="AK4073">
        <v>0</v>
      </c>
      <c r="AU4073" s="6">
        <v>42086</v>
      </c>
      <c r="AV4073" s="6">
        <v>42086</v>
      </c>
      <c r="AW4073" t="s">
        <v>54</v>
      </c>
      <c r="AX4073" t="str">
        <f t="shared" si="344"/>
        <v>FOR</v>
      </c>
      <c r="AY4073" t="s">
        <v>55</v>
      </c>
    </row>
    <row r="4074" spans="1:51" hidden="1">
      <c r="A4074">
        <v>101535</v>
      </c>
      <c r="B4074" t="s">
        <v>762</v>
      </c>
      <c r="C4074" t="str">
        <f t="shared" si="346"/>
        <v>02805490162</v>
      </c>
      <c r="D4074" t="str">
        <f t="shared" si="346"/>
        <v>02805490162</v>
      </c>
      <c r="E4074" t="s">
        <v>52</v>
      </c>
      <c r="F4074">
        <v>2015</v>
      </c>
      <c r="G4074">
        <v>420</v>
      </c>
      <c r="H4074" s="1">
        <v>42114</v>
      </c>
      <c r="I4074" s="1">
        <v>42115</v>
      </c>
      <c r="J4074" s="1">
        <v>42115</v>
      </c>
      <c r="K4074" s="1">
        <v>42175</v>
      </c>
      <c r="N4074" s="5"/>
      <c r="O4074">
        <v>637</v>
      </c>
      <c r="P4074">
        <v>-59</v>
      </c>
      <c r="Q4074" s="2">
        <v>-37583</v>
      </c>
      <c r="R4074">
        <v>0</v>
      </c>
      <c r="V4074">
        <v>0</v>
      </c>
      <c r="W4074">
        <v>0</v>
      </c>
      <c r="X4074">
        <v>0</v>
      </c>
      <c r="Y4074">
        <v>637</v>
      </c>
      <c r="Z4074">
        <v>637</v>
      </c>
      <c r="AA4074">
        <v>637</v>
      </c>
      <c r="AB4074" s="1">
        <v>42382</v>
      </c>
      <c r="AC4074" t="s">
        <v>53</v>
      </c>
      <c r="AD4074" t="s">
        <v>53</v>
      </c>
      <c r="AK4074">
        <v>0</v>
      </c>
      <c r="AU4074" s="6">
        <v>42116</v>
      </c>
      <c r="AV4074" s="6">
        <v>42116</v>
      </c>
      <c r="AW4074" t="s">
        <v>54</v>
      </c>
      <c r="AX4074" t="str">
        <f t="shared" si="344"/>
        <v>FOR</v>
      </c>
      <c r="AY4074" t="s">
        <v>55</v>
      </c>
    </row>
    <row r="4075" spans="1:51" hidden="1">
      <c r="A4075">
        <v>101535</v>
      </c>
      <c r="B4075" t="s">
        <v>762</v>
      </c>
      <c r="C4075" t="str">
        <f t="shared" si="346"/>
        <v>02805490162</v>
      </c>
      <c r="D4075" t="str">
        <f t="shared" si="346"/>
        <v>02805490162</v>
      </c>
      <c r="E4075" t="s">
        <v>52</v>
      </c>
      <c r="F4075">
        <v>2015</v>
      </c>
      <c r="G4075">
        <v>520</v>
      </c>
      <c r="H4075" s="1">
        <v>42144</v>
      </c>
      <c r="I4075" s="1">
        <v>42144</v>
      </c>
      <c r="J4075" s="1">
        <v>42144</v>
      </c>
      <c r="K4075" s="1">
        <v>42204</v>
      </c>
      <c r="N4075" s="5"/>
      <c r="O4075">
        <v>637</v>
      </c>
      <c r="P4075">
        <v>-60</v>
      </c>
      <c r="Q4075" s="2">
        <v>-38220</v>
      </c>
      <c r="R4075">
        <v>0</v>
      </c>
      <c r="V4075">
        <v>0</v>
      </c>
      <c r="W4075">
        <v>0</v>
      </c>
      <c r="X4075">
        <v>0</v>
      </c>
      <c r="Y4075">
        <v>637</v>
      </c>
      <c r="Z4075">
        <v>637</v>
      </c>
      <c r="AA4075">
        <v>637</v>
      </c>
      <c r="AB4075" s="1">
        <v>42382</v>
      </c>
      <c r="AC4075" t="s">
        <v>53</v>
      </c>
      <c r="AD4075" t="s">
        <v>53</v>
      </c>
      <c r="AK4075">
        <v>0</v>
      </c>
      <c r="AU4075" s="6">
        <v>42144</v>
      </c>
      <c r="AV4075" s="6">
        <v>42144</v>
      </c>
      <c r="AW4075" t="s">
        <v>54</v>
      </c>
      <c r="AX4075" t="str">
        <f t="shared" si="344"/>
        <v>FOR</v>
      </c>
      <c r="AY4075" t="s">
        <v>55</v>
      </c>
    </row>
    <row r="4076" spans="1:51" hidden="1">
      <c r="A4076">
        <v>101535</v>
      </c>
      <c r="B4076" t="s">
        <v>762</v>
      </c>
      <c r="C4076" t="str">
        <f t="shared" si="346"/>
        <v>02805490162</v>
      </c>
      <c r="D4076" t="str">
        <f t="shared" si="346"/>
        <v>02805490162</v>
      </c>
      <c r="E4076" t="s">
        <v>52</v>
      </c>
      <c r="F4076">
        <v>2015</v>
      </c>
      <c r="G4076">
        <v>619</v>
      </c>
      <c r="H4076" s="1">
        <v>42174</v>
      </c>
      <c r="I4076" s="1">
        <v>42174</v>
      </c>
      <c r="J4076" s="1">
        <v>42174</v>
      </c>
      <c r="K4076" s="1">
        <v>42234</v>
      </c>
      <c r="N4076" s="5"/>
      <c r="O4076">
        <v>637</v>
      </c>
      <c r="P4076">
        <v>-57</v>
      </c>
      <c r="Q4076" s="2">
        <v>-36309</v>
      </c>
      <c r="R4076">
        <v>0</v>
      </c>
      <c r="V4076">
        <v>0</v>
      </c>
      <c r="W4076">
        <v>0</v>
      </c>
      <c r="X4076">
        <v>0</v>
      </c>
      <c r="Y4076">
        <v>637</v>
      </c>
      <c r="Z4076">
        <v>637</v>
      </c>
      <c r="AA4076">
        <v>637</v>
      </c>
      <c r="AB4076" s="1">
        <v>42382</v>
      </c>
      <c r="AC4076" t="s">
        <v>53</v>
      </c>
      <c r="AD4076" t="s">
        <v>53</v>
      </c>
      <c r="AK4076">
        <v>0</v>
      </c>
      <c r="AU4076" s="6">
        <v>42177</v>
      </c>
      <c r="AV4076" s="6">
        <v>42177</v>
      </c>
      <c r="AW4076" t="s">
        <v>54</v>
      </c>
      <c r="AX4076" t="str">
        <f t="shared" si="344"/>
        <v>FOR</v>
      </c>
      <c r="AY4076" t="s">
        <v>55</v>
      </c>
    </row>
    <row r="4077" spans="1:51" hidden="1">
      <c r="A4077">
        <v>101535</v>
      </c>
      <c r="B4077" t="s">
        <v>762</v>
      </c>
      <c r="C4077" t="str">
        <f t="shared" si="346"/>
        <v>02805490162</v>
      </c>
      <c r="D4077" t="str">
        <f t="shared" si="346"/>
        <v>02805490162</v>
      </c>
      <c r="E4077" t="s">
        <v>52</v>
      </c>
      <c r="F4077">
        <v>2015</v>
      </c>
      <c r="G4077">
        <v>721</v>
      </c>
      <c r="H4077" s="1">
        <v>42206</v>
      </c>
      <c r="I4077" s="1">
        <v>42206</v>
      </c>
      <c r="J4077" s="1">
        <v>42206</v>
      </c>
      <c r="K4077" s="1">
        <v>42266</v>
      </c>
      <c r="N4077" s="5"/>
      <c r="O4077">
        <v>637</v>
      </c>
      <c r="P4077">
        <v>-60</v>
      </c>
      <c r="Q4077" s="2">
        <v>-38220</v>
      </c>
      <c r="R4077">
        <v>0</v>
      </c>
      <c r="V4077">
        <v>0</v>
      </c>
      <c r="W4077">
        <v>0</v>
      </c>
      <c r="X4077">
        <v>0</v>
      </c>
      <c r="Y4077">
        <v>637</v>
      </c>
      <c r="Z4077">
        <v>637</v>
      </c>
      <c r="AA4077">
        <v>637</v>
      </c>
      <c r="AB4077" s="1">
        <v>42382</v>
      </c>
      <c r="AC4077" t="s">
        <v>53</v>
      </c>
      <c r="AD4077" t="s">
        <v>53</v>
      </c>
      <c r="AK4077">
        <v>0</v>
      </c>
      <c r="AU4077" s="6">
        <v>42206</v>
      </c>
      <c r="AV4077" s="6">
        <v>42206</v>
      </c>
      <c r="AW4077" t="s">
        <v>54</v>
      </c>
      <c r="AX4077" t="str">
        <f t="shared" si="344"/>
        <v>FOR</v>
      </c>
      <c r="AY4077" t="s">
        <v>55</v>
      </c>
    </row>
    <row r="4078" spans="1:51" hidden="1">
      <c r="A4078">
        <v>101535</v>
      </c>
      <c r="B4078" t="s">
        <v>762</v>
      </c>
      <c r="C4078" t="str">
        <f t="shared" si="346"/>
        <v>02805490162</v>
      </c>
      <c r="D4078" t="str">
        <f t="shared" si="346"/>
        <v>02805490162</v>
      </c>
      <c r="E4078" t="s">
        <v>52</v>
      </c>
      <c r="F4078">
        <v>2015</v>
      </c>
      <c r="G4078">
        <v>819</v>
      </c>
      <c r="H4078" s="1">
        <v>42235</v>
      </c>
      <c r="I4078" s="1">
        <v>42236</v>
      </c>
      <c r="J4078" s="1">
        <v>42236</v>
      </c>
      <c r="K4078" s="1">
        <v>42296</v>
      </c>
      <c r="N4078" s="5"/>
      <c r="O4078">
        <v>637</v>
      </c>
      <c r="P4078">
        <v>-60</v>
      </c>
      <c r="Q4078" s="2">
        <v>-38220</v>
      </c>
      <c r="R4078">
        <v>0</v>
      </c>
      <c r="V4078">
        <v>0</v>
      </c>
      <c r="W4078">
        <v>0</v>
      </c>
      <c r="X4078">
        <v>0</v>
      </c>
      <c r="Y4078">
        <v>637</v>
      </c>
      <c r="Z4078">
        <v>637</v>
      </c>
      <c r="AA4078">
        <v>637</v>
      </c>
      <c r="AB4078" s="1">
        <v>42382</v>
      </c>
      <c r="AC4078" t="s">
        <v>53</v>
      </c>
      <c r="AD4078" t="s">
        <v>53</v>
      </c>
      <c r="AK4078">
        <v>0</v>
      </c>
      <c r="AU4078" s="6">
        <v>42236</v>
      </c>
      <c r="AV4078" s="6">
        <v>42236</v>
      </c>
      <c r="AW4078" t="s">
        <v>54</v>
      </c>
      <c r="AX4078" t="str">
        <f t="shared" si="344"/>
        <v>FOR</v>
      </c>
      <c r="AY4078" t="s">
        <v>55</v>
      </c>
    </row>
    <row r="4079" spans="1:51" hidden="1">
      <c r="A4079">
        <v>101535</v>
      </c>
      <c r="B4079" t="s">
        <v>762</v>
      </c>
      <c r="C4079" t="str">
        <f t="shared" si="346"/>
        <v>02805490162</v>
      </c>
      <c r="D4079" t="str">
        <f t="shared" si="346"/>
        <v>02805490162</v>
      </c>
      <c r="E4079" t="s">
        <v>52</v>
      </c>
      <c r="F4079">
        <v>2015</v>
      </c>
      <c r="G4079">
        <v>918</v>
      </c>
      <c r="H4079" s="1">
        <v>42265</v>
      </c>
      <c r="I4079" s="1">
        <v>42268</v>
      </c>
      <c r="J4079" s="1">
        <v>42268</v>
      </c>
      <c r="K4079" s="1">
        <v>42328</v>
      </c>
      <c r="N4079" s="5"/>
      <c r="O4079">
        <v>637</v>
      </c>
      <c r="P4079">
        <v>-58</v>
      </c>
      <c r="Q4079" s="2">
        <v>-36946</v>
      </c>
      <c r="R4079">
        <v>0</v>
      </c>
      <c r="V4079">
        <v>0</v>
      </c>
      <c r="W4079">
        <v>0</v>
      </c>
      <c r="X4079">
        <v>0</v>
      </c>
      <c r="Y4079">
        <v>637</v>
      </c>
      <c r="Z4079">
        <v>637</v>
      </c>
      <c r="AA4079">
        <v>637</v>
      </c>
      <c r="AB4079" s="1">
        <v>42382</v>
      </c>
      <c r="AC4079" t="s">
        <v>53</v>
      </c>
      <c r="AD4079" t="s">
        <v>53</v>
      </c>
      <c r="AK4079">
        <v>0</v>
      </c>
      <c r="AU4079" s="6">
        <v>42270</v>
      </c>
      <c r="AV4079" s="6">
        <v>42270</v>
      </c>
      <c r="AW4079" t="s">
        <v>54</v>
      </c>
      <c r="AX4079" t="str">
        <f t="shared" si="344"/>
        <v>FOR</v>
      </c>
      <c r="AY4079" t="s">
        <v>55</v>
      </c>
    </row>
    <row r="4080" spans="1:51" hidden="1">
      <c r="A4080">
        <v>101535</v>
      </c>
      <c r="B4080" t="s">
        <v>762</v>
      </c>
      <c r="C4080" t="str">
        <f t="shared" si="346"/>
        <v>02805490162</v>
      </c>
      <c r="D4080" t="str">
        <f t="shared" si="346"/>
        <v>02805490162</v>
      </c>
      <c r="E4080" t="s">
        <v>52</v>
      </c>
      <c r="F4080">
        <v>2015</v>
      </c>
      <c r="G4080">
        <v>1021</v>
      </c>
      <c r="H4080" s="1">
        <v>42298</v>
      </c>
      <c r="I4080" s="1">
        <v>42268</v>
      </c>
      <c r="J4080" s="1">
        <v>42268</v>
      </c>
      <c r="K4080" s="1">
        <v>42328</v>
      </c>
      <c r="L4080" s="5">
        <v>637</v>
      </c>
      <c r="M4080" s="5">
        <v>-30</v>
      </c>
      <c r="N4080" s="7">
        <v>-19110</v>
      </c>
      <c r="O4080">
        <v>637</v>
      </c>
      <c r="P4080">
        <v>-30</v>
      </c>
      <c r="Q4080" s="2">
        <v>-19110</v>
      </c>
      <c r="R4080">
        <v>0</v>
      </c>
      <c r="V4080">
        <v>637</v>
      </c>
      <c r="W4080">
        <v>0</v>
      </c>
      <c r="X4080">
        <v>637</v>
      </c>
      <c r="Y4080">
        <v>637</v>
      </c>
      <c r="Z4080">
        <v>637</v>
      </c>
      <c r="AA4080">
        <v>637</v>
      </c>
      <c r="AB4080" s="1">
        <v>42382</v>
      </c>
      <c r="AC4080" t="s">
        <v>53</v>
      </c>
      <c r="AD4080" t="s">
        <v>53</v>
      </c>
      <c r="AK4080">
        <v>0</v>
      </c>
      <c r="AU4080" s="6">
        <v>42298</v>
      </c>
      <c r="AV4080" s="6">
        <v>42298</v>
      </c>
      <c r="AW4080" t="s">
        <v>54</v>
      </c>
      <c r="AX4080" t="str">
        <f t="shared" si="344"/>
        <v>FOR</v>
      </c>
      <c r="AY4080" t="s">
        <v>55</v>
      </c>
    </row>
    <row r="4081" spans="1:51" hidden="1">
      <c r="A4081">
        <v>101535</v>
      </c>
      <c r="B4081" t="s">
        <v>762</v>
      </c>
      <c r="C4081" t="str">
        <f t="shared" si="346"/>
        <v>02805490162</v>
      </c>
      <c r="D4081" t="str">
        <f t="shared" si="346"/>
        <v>02805490162</v>
      </c>
      <c r="E4081" t="s">
        <v>52</v>
      </c>
      <c r="F4081">
        <v>2015</v>
      </c>
      <c r="G4081">
        <v>1120</v>
      </c>
      <c r="H4081" s="1">
        <v>42328</v>
      </c>
      <c r="I4081" s="1">
        <v>42331</v>
      </c>
      <c r="J4081" s="1">
        <v>42331</v>
      </c>
      <c r="K4081" s="1">
        <v>42391</v>
      </c>
      <c r="L4081" s="5">
        <v>637</v>
      </c>
      <c r="M4081" s="5">
        <v>-58</v>
      </c>
      <c r="N4081" s="7">
        <v>-36946</v>
      </c>
      <c r="O4081">
        <v>637</v>
      </c>
      <c r="P4081">
        <v>-58</v>
      </c>
      <c r="Q4081" s="2">
        <v>-36946</v>
      </c>
      <c r="R4081">
        <v>0</v>
      </c>
      <c r="V4081">
        <v>637</v>
      </c>
      <c r="W4081">
        <v>637</v>
      </c>
      <c r="X4081">
        <v>637</v>
      </c>
      <c r="Y4081">
        <v>637</v>
      </c>
      <c r="Z4081">
        <v>637</v>
      </c>
      <c r="AA4081">
        <v>637</v>
      </c>
      <c r="AB4081" s="1">
        <v>42382</v>
      </c>
      <c r="AC4081" t="s">
        <v>53</v>
      </c>
      <c r="AD4081" t="s">
        <v>53</v>
      </c>
      <c r="AK4081">
        <v>0</v>
      </c>
      <c r="AU4081" s="6">
        <v>42333</v>
      </c>
      <c r="AV4081" s="6">
        <v>42333</v>
      </c>
      <c r="AW4081" t="s">
        <v>54</v>
      </c>
      <c r="AX4081" t="str">
        <f t="shared" si="344"/>
        <v>FOR</v>
      </c>
      <c r="AY4081" t="s">
        <v>55</v>
      </c>
    </row>
    <row r="4082" spans="1:51" hidden="1">
      <c r="A4082">
        <v>101535</v>
      </c>
      <c r="B4082" t="s">
        <v>762</v>
      </c>
      <c r="C4082" t="str">
        <f t="shared" si="346"/>
        <v>02805490162</v>
      </c>
      <c r="D4082" t="str">
        <f t="shared" si="346"/>
        <v>02805490162</v>
      </c>
      <c r="E4082" t="s">
        <v>52</v>
      </c>
      <c r="F4082">
        <v>2015</v>
      </c>
      <c r="G4082">
        <v>1211</v>
      </c>
      <c r="H4082" s="1">
        <v>42349</v>
      </c>
      <c r="I4082" s="1">
        <v>42349</v>
      </c>
      <c r="J4082" s="1">
        <v>42349</v>
      </c>
      <c r="K4082" s="1">
        <v>42409</v>
      </c>
      <c r="L4082" s="5">
        <v>637</v>
      </c>
      <c r="M4082" s="5">
        <v>-60</v>
      </c>
      <c r="N4082" s="7">
        <v>-38220</v>
      </c>
      <c r="O4082">
        <v>637</v>
      </c>
      <c r="P4082">
        <v>-60</v>
      </c>
      <c r="Q4082" s="2">
        <v>-38220</v>
      </c>
      <c r="R4082">
        <v>0</v>
      </c>
      <c r="V4082">
        <v>637</v>
      </c>
      <c r="W4082">
        <v>637</v>
      </c>
      <c r="X4082">
        <v>637</v>
      </c>
      <c r="Y4082">
        <v>637</v>
      </c>
      <c r="Z4082">
        <v>637</v>
      </c>
      <c r="AA4082">
        <v>637</v>
      </c>
      <c r="AB4082" s="1">
        <v>42382</v>
      </c>
      <c r="AC4082" t="s">
        <v>53</v>
      </c>
      <c r="AD4082" t="s">
        <v>53</v>
      </c>
      <c r="AK4082">
        <v>0</v>
      </c>
      <c r="AU4082" s="6">
        <v>42349</v>
      </c>
      <c r="AV4082" s="6">
        <v>42349</v>
      </c>
      <c r="AW4082" t="s">
        <v>54</v>
      </c>
      <c r="AX4082" t="str">
        <f t="shared" si="344"/>
        <v>FOR</v>
      </c>
      <c r="AY4082" t="s">
        <v>55</v>
      </c>
    </row>
    <row r="4083" spans="1:51" hidden="1">
      <c r="A4083">
        <v>101541</v>
      </c>
      <c r="B4083" t="s">
        <v>763</v>
      </c>
      <c r="C4083" t="str">
        <f t="shared" ref="C4083:D4102" si="347">"08230471008"</f>
        <v>08230471008</v>
      </c>
      <c r="D4083" t="str">
        <f t="shared" si="347"/>
        <v>08230471008</v>
      </c>
      <c r="E4083" t="s">
        <v>52</v>
      </c>
      <c r="F4083">
        <v>2014</v>
      </c>
      <c r="G4083">
        <v>144</v>
      </c>
      <c r="H4083" s="1">
        <v>41656</v>
      </c>
      <c r="I4083" s="1">
        <v>41669</v>
      </c>
      <c r="J4083" s="1">
        <v>41669</v>
      </c>
      <c r="K4083" s="1">
        <v>41759</v>
      </c>
      <c r="N4083" s="5"/>
      <c r="O4083">
        <v>305</v>
      </c>
      <c r="P4083">
        <v>265</v>
      </c>
      <c r="Q4083" s="2">
        <v>80825</v>
      </c>
      <c r="R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 s="1">
        <v>42382</v>
      </c>
      <c r="AC4083" t="s">
        <v>53</v>
      </c>
      <c r="AD4083" t="s">
        <v>53</v>
      </c>
      <c r="AK4083">
        <v>0</v>
      </c>
      <c r="AU4083" s="6">
        <v>42024</v>
      </c>
      <c r="AV4083" s="6">
        <v>42024</v>
      </c>
      <c r="AW4083" t="s">
        <v>54</v>
      </c>
      <c r="AX4083" t="str">
        <f t="shared" si="344"/>
        <v>FOR</v>
      </c>
      <c r="AY4083" t="s">
        <v>55</v>
      </c>
    </row>
    <row r="4084" spans="1:51" hidden="1">
      <c r="A4084">
        <v>101541</v>
      </c>
      <c r="B4084" t="s">
        <v>763</v>
      </c>
      <c r="C4084" t="str">
        <f t="shared" si="347"/>
        <v>08230471008</v>
      </c>
      <c r="D4084" t="str">
        <f t="shared" si="347"/>
        <v>08230471008</v>
      </c>
      <c r="E4084" t="s">
        <v>52</v>
      </c>
      <c r="F4084">
        <v>2014</v>
      </c>
      <c r="G4084">
        <v>145</v>
      </c>
      <c r="H4084" s="1">
        <v>41656</v>
      </c>
      <c r="I4084" s="1">
        <v>41669</v>
      </c>
      <c r="J4084" s="1">
        <v>41669</v>
      </c>
      <c r="K4084" s="1">
        <v>41759</v>
      </c>
      <c r="N4084" s="5"/>
      <c r="O4084">
        <v>305</v>
      </c>
      <c r="P4084">
        <v>265</v>
      </c>
      <c r="Q4084" s="2">
        <v>80825</v>
      </c>
      <c r="R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 s="1">
        <v>42382</v>
      </c>
      <c r="AC4084" t="s">
        <v>53</v>
      </c>
      <c r="AD4084" t="s">
        <v>53</v>
      </c>
      <c r="AK4084">
        <v>0</v>
      </c>
      <c r="AU4084" s="6">
        <v>42024</v>
      </c>
      <c r="AV4084" s="6">
        <v>42024</v>
      </c>
      <c r="AW4084" t="s">
        <v>54</v>
      </c>
      <c r="AX4084" t="str">
        <f t="shared" si="344"/>
        <v>FOR</v>
      </c>
      <c r="AY4084" t="s">
        <v>55</v>
      </c>
    </row>
    <row r="4085" spans="1:51" hidden="1">
      <c r="A4085">
        <v>101541</v>
      </c>
      <c r="B4085" t="s">
        <v>763</v>
      </c>
      <c r="C4085" t="str">
        <f t="shared" si="347"/>
        <v>08230471008</v>
      </c>
      <c r="D4085" t="str">
        <f t="shared" si="347"/>
        <v>08230471008</v>
      </c>
      <c r="E4085" t="s">
        <v>52</v>
      </c>
      <c r="F4085">
        <v>2014</v>
      </c>
      <c r="G4085">
        <v>146</v>
      </c>
      <c r="H4085" s="1">
        <v>41656</v>
      </c>
      <c r="I4085" s="1">
        <v>41669</v>
      </c>
      <c r="J4085" s="1">
        <v>41669</v>
      </c>
      <c r="K4085" s="1">
        <v>41759</v>
      </c>
      <c r="N4085" s="5"/>
      <c r="O4085">
        <v>305</v>
      </c>
      <c r="P4085">
        <v>265</v>
      </c>
      <c r="Q4085" s="2">
        <v>80825</v>
      </c>
      <c r="R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 s="1">
        <v>42382</v>
      </c>
      <c r="AC4085" t="s">
        <v>53</v>
      </c>
      <c r="AD4085" t="s">
        <v>53</v>
      </c>
      <c r="AK4085">
        <v>0</v>
      </c>
      <c r="AU4085" s="6">
        <v>42024</v>
      </c>
      <c r="AV4085" s="6">
        <v>42024</v>
      </c>
      <c r="AW4085" t="s">
        <v>54</v>
      </c>
      <c r="AX4085" t="str">
        <f t="shared" si="344"/>
        <v>FOR</v>
      </c>
      <c r="AY4085" t="s">
        <v>55</v>
      </c>
    </row>
    <row r="4086" spans="1:51" hidden="1">
      <c r="A4086">
        <v>101541</v>
      </c>
      <c r="B4086" t="s">
        <v>763</v>
      </c>
      <c r="C4086" t="str">
        <f t="shared" si="347"/>
        <v>08230471008</v>
      </c>
      <c r="D4086" t="str">
        <f t="shared" si="347"/>
        <v>08230471008</v>
      </c>
      <c r="E4086" t="s">
        <v>52</v>
      </c>
      <c r="F4086">
        <v>2014</v>
      </c>
      <c r="G4086">
        <v>147</v>
      </c>
      <c r="H4086" s="1">
        <v>41656</v>
      </c>
      <c r="I4086" s="1">
        <v>41667</v>
      </c>
      <c r="J4086" s="1">
        <v>41667</v>
      </c>
      <c r="K4086" s="1">
        <v>41757</v>
      </c>
      <c r="N4086" s="5"/>
      <c r="O4086">
        <v>305</v>
      </c>
      <c r="P4086">
        <v>267</v>
      </c>
      <c r="Q4086" s="2">
        <v>81435</v>
      </c>
      <c r="R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 s="1">
        <v>42382</v>
      </c>
      <c r="AC4086" t="s">
        <v>53</v>
      </c>
      <c r="AD4086" t="s">
        <v>53</v>
      </c>
      <c r="AK4086">
        <v>0</v>
      </c>
      <c r="AU4086" s="6">
        <v>42024</v>
      </c>
      <c r="AV4086" s="6">
        <v>42024</v>
      </c>
      <c r="AW4086" t="s">
        <v>54</v>
      </c>
      <c r="AX4086" t="str">
        <f t="shared" si="344"/>
        <v>FOR</v>
      </c>
      <c r="AY4086" t="s">
        <v>55</v>
      </c>
    </row>
    <row r="4087" spans="1:51" hidden="1">
      <c r="A4087">
        <v>101541</v>
      </c>
      <c r="B4087" t="s">
        <v>763</v>
      </c>
      <c r="C4087" t="str">
        <f t="shared" si="347"/>
        <v>08230471008</v>
      </c>
      <c r="D4087" t="str">
        <f t="shared" si="347"/>
        <v>08230471008</v>
      </c>
      <c r="E4087" t="s">
        <v>52</v>
      </c>
      <c r="F4087">
        <v>2014</v>
      </c>
      <c r="G4087">
        <v>148</v>
      </c>
      <c r="H4087" s="1">
        <v>41656</v>
      </c>
      <c r="I4087" s="1">
        <v>41667</v>
      </c>
      <c r="J4087" s="1">
        <v>41667</v>
      </c>
      <c r="K4087" s="1">
        <v>41757</v>
      </c>
      <c r="N4087" s="5"/>
      <c r="O4087">
        <v>305</v>
      </c>
      <c r="P4087">
        <v>267</v>
      </c>
      <c r="Q4087" s="2">
        <v>81435</v>
      </c>
      <c r="R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 s="1">
        <v>42382</v>
      </c>
      <c r="AC4087" t="s">
        <v>53</v>
      </c>
      <c r="AD4087" t="s">
        <v>53</v>
      </c>
      <c r="AK4087">
        <v>0</v>
      </c>
      <c r="AU4087" s="6">
        <v>42024</v>
      </c>
      <c r="AV4087" s="6">
        <v>42024</v>
      </c>
      <c r="AW4087" t="s">
        <v>54</v>
      </c>
      <c r="AX4087" t="str">
        <f t="shared" si="344"/>
        <v>FOR</v>
      </c>
      <c r="AY4087" t="s">
        <v>55</v>
      </c>
    </row>
    <row r="4088" spans="1:51" hidden="1">
      <c r="A4088">
        <v>101541</v>
      </c>
      <c r="B4088" t="s">
        <v>763</v>
      </c>
      <c r="C4088" t="str">
        <f t="shared" si="347"/>
        <v>08230471008</v>
      </c>
      <c r="D4088" t="str">
        <f t="shared" si="347"/>
        <v>08230471008</v>
      </c>
      <c r="E4088" t="s">
        <v>52</v>
      </c>
      <c r="F4088">
        <v>2014</v>
      </c>
      <c r="G4088">
        <v>149</v>
      </c>
      <c r="H4088" s="1">
        <v>41656</v>
      </c>
      <c r="I4088" s="1">
        <v>41669</v>
      </c>
      <c r="J4088" s="1">
        <v>41669</v>
      </c>
      <c r="K4088" s="1">
        <v>41759</v>
      </c>
      <c r="N4088" s="5"/>
      <c r="O4088">
        <v>305</v>
      </c>
      <c r="P4088">
        <v>265</v>
      </c>
      <c r="Q4088" s="2">
        <v>80825</v>
      </c>
      <c r="R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 s="1">
        <v>42382</v>
      </c>
      <c r="AC4088" t="s">
        <v>53</v>
      </c>
      <c r="AD4088" t="s">
        <v>53</v>
      </c>
      <c r="AK4088">
        <v>0</v>
      </c>
      <c r="AU4088" s="6">
        <v>42024</v>
      </c>
      <c r="AV4088" s="6">
        <v>42024</v>
      </c>
      <c r="AW4088" t="s">
        <v>54</v>
      </c>
      <c r="AX4088" t="str">
        <f t="shared" si="344"/>
        <v>FOR</v>
      </c>
      <c r="AY4088" t="s">
        <v>55</v>
      </c>
    </row>
    <row r="4089" spans="1:51" hidden="1">
      <c r="A4089">
        <v>101541</v>
      </c>
      <c r="B4089" t="s">
        <v>763</v>
      </c>
      <c r="C4089" t="str">
        <f t="shared" si="347"/>
        <v>08230471008</v>
      </c>
      <c r="D4089" t="str">
        <f t="shared" si="347"/>
        <v>08230471008</v>
      </c>
      <c r="E4089" t="s">
        <v>52</v>
      </c>
      <c r="F4089">
        <v>2014</v>
      </c>
      <c r="G4089">
        <v>150</v>
      </c>
      <c r="H4089" s="1">
        <v>41656</v>
      </c>
      <c r="I4089" s="1">
        <v>41669</v>
      </c>
      <c r="J4089" s="1">
        <v>41669</v>
      </c>
      <c r="K4089" s="1">
        <v>41759</v>
      </c>
      <c r="N4089" s="5"/>
      <c r="O4089">
        <v>305</v>
      </c>
      <c r="P4089">
        <v>265</v>
      </c>
      <c r="Q4089" s="2">
        <v>80825</v>
      </c>
      <c r="R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 s="1">
        <v>42382</v>
      </c>
      <c r="AC4089" t="s">
        <v>53</v>
      </c>
      <c r="AD4089" t="s">
        <v>53</v>
      </c>
      <c r="AK4089">
        <v>0</v>
      </c>
      <c r="AU4089" s="6">
        <v>42024</v>
      </c>
      <c r="AV4089" s="6">
        <v>42024</v>
      </c>
      <c r="AW4089" t="s">
        <v>54</v>
      </c>
      <c r="AX4089" t="str">
        <f t="shared" si="344"/>
        <v>FOR</v>
      </c>
      <c r="AY4089" t="s">
        <v>55</v>
      </c>
    </row>
    <row r="4090" spans="1:51" hidden="1">
      <c r="A4090">
        <v>101541</v>
      </c>
      <c r="B4090" t="s">
        <v>763</v>
      </c>
      <c r="C4090" t="str">
        <f t="shared" si="347"/>
        <v>08230471008</v>
      </c>
      <c r="D4090" t="str">
        <f t="shared" si="347"/>
        <v>08230471008</v>
      </c>
      <c r="E4090" t="s">
        <v>52</v>
      </c>
      <c r="F4090">
        <v>2014</v>
      </c>
      <c r="G4090">
        <v>151</v>
      </c>
      <c r="H4090" s="1">
        <v>41656</v>
      </c>
      <c r="I4090" s="1">
        <v>41669</v>
      </c>
      <c r="J4090" s="1">
        <v>41669</v>
      </c>
      <c r="K4090" s="1">
        <v>41759</v>
      </c>
      <c r="N4090" s="5"/>
      <c r="O4090">
        <v>305</v>
      </c>
      <c r="P4090">
        <v>265</v>
      </c>
      <c r="Q4090" s="2">
        <v>80825</v>
      </c>
      <c r="R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 s="1">
        <v>42382</v>
      </c>
      <c r="AC4090" t="s">
        <v>53</v>
      </c>
      <c r="AD4090" t="s">
        <v>53</v>
      </c>
      <c r="AK4090">
        <v>0</v>
      </c>
      <c r="AU4090" s="6">
        <v>42024</v>
      </c>
      <c r="AV4090" s="6">
        <v>42024</v>
      </c>
      <c r="AW4090" t="s">
        <v>54</v>
      </c>
      <c r="AX4090" t="str">
        <f t="shared" si="344"/>
        <v>FOR</v>
      </c>
      <c r="AY4090" t="s">
        <v>55</v>
      </c>
    </row>
    <row r="4091" spans="1:51" hidden="1">
      <c r="A4091">
        <v>101541</v>
      </c>
      <c r="B4091" t="s">
        <v>763</v>
      </c>
      <c r="C4091" t="str">
        <f t="shared" si="347"/>
        <v>08230471008</v>
      </c>
      <c r="D4091" t="str">
        <f t="shared" si="347"/>
        <v>08230471008</v>
      </c>
      <c r="E4091" t="s">
        <v>52</v>
      </c>
      <c r="F4091">
        <v>2014</v>
      </c>
      <c r="G4091">
        <v>152</v>
      </c>
      <c r="H4091" s="1">
        <v>41656</v>
      </c>
      <c r="I4091" s="1">
        <v>41669</v>
      </c>
      <c r="J4091" s="1">
        <v>41669</v>
      </c>
      <c r="K4091" s="1">
        <v>41759</v>
      </c>
      <c r="N4091" s="5"/>
      <c r="O4091">
        <v>305</v>
      </c>
      <c r="P4091">
        <v>265</v>
      </c>
      <c r="Q4091" s="2">
        <v>80825</v>
      </c>
      <c r="R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 s="1">
        <v>42382</v>
      </c>
      <c r="AC4091" t="s">
        <v>53</v>
      </c>
      <c r="AD4091" t="s">
        <v>53</v>
      </c>
      <c r="AK4091">
        <v>0</v>
      </c>
      <c r="AU4091" s="6">
        <v>42024</v>
      </c>
      <c r="AV4091" s="6">
        <v>42024</v>
      </c>
      <c r="AW4091" t="s">
        <v>54</v>
      </c>
      <c r="AX4091" t="str">
        <f t="shared" si="344"/>
        <v>FOR</v>
      </c>
      <c r="AY4091" t="s">
        <v>55</v>
      </c>
    </row>
    <row r="4092" spans="1:51" hidden="1">
      <c r="A4092">
        <v>101541</v>
      </c>
      <c r="B4092" t="s">
        <v>763</v>
      </c>
      <c r="C4092" t="str">
        <f t="shared" si="347"/>
        <v>08230471008</v>
      </c>
      <c r="D4092" t="str">
        <f t="shared" si="347"/>
        <v>08230471008</v>
      </c>
      <c r="E4092" t="s">
        <v>52</v>
      </c>
      <c r="F4092">
        <v>2014</v>
      </c>
      <c r="G4092">
        <v>153</v>
      </c>
      <c r="H4092" s="1">
        <v>41656</v>
      </c>
      <c r="I4092" s="1">
        <v>41669</v>
      </c>
      <c r="J4092" s="1">
        <v>41669</v>
      </c>
      <c r="K4092" s="1">
        <v>41759</v>
      </c>
      <c r="N4092" s="5"/>
      <c r="O4092">
        <v>305</v>
      </c>
      <c r="P4092">
        <v>265</v>
      </c>
      <c r="Q4092" s="2">
        <v>80825</v>
      </c>
      <c r="R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 s="1">
        <v>42382</v>
      </c>
      <c r="AC4092" t="s">
        <v>53</v>
      </c>
      <c r="AD4092" t="s">
        <v>53</v>
      </c>
      <c r="AK4092">
        <v>0</v>
      </c>
      <c r="AU4092" s="6">
        <v>42024</v>
      </c>
      <c r="AV4092" s="6">
        <v>42024</v>
      </c>
      <c r="AW4092" t="s">
        <v>54</v>
      </c>
      <c r="AX4092" t="str">
        <f t="shared" si="344"/>
        <v>FOR</v>
      </c>
      <c r="AY4092" t="s">
        <v>55</v>
      </c>
    </row>
    <row r="4093" spans="1:51" hidden="1">
      <c r="A4093">
        <v>101541</v>
      </c>
      <c r="B4093" t="s">
        <v>763</v>
      </c>
      <c r="C4093" t="str">
        <f t="shared" si="347"/>
        <v>08230471008</v>
      </c>
      <c r="D4093" t="str">
        <f t="shared" si="347"/>
        <v>08230471008</v>
      </c>
      <c r="E4093" t="s">
        <v>52</v>
      </c>
      <c r="F4093">
        <v>2014</v>
      </c>
      <c r="G4093">
        <v>154</v>
      </c>
      <c r="H4093" s="1">
        <v>41656</v>
      </c>
      <c r="I4093" s="1">
        <v>41669</v>
      </c>
      <c r="J4093" s="1">
        <v>41669</v>
      </c>
      <c r="K4093" s="1">
        <v>41759</v>
      </c>
      <c r="N4093" s="5"/>
      <c r="O4093">
        <v>305</v>
      </c>
      <c r="P4093">
        <v>265</v>
      </c>
      <c r="Q4093" s="2">
        <v>80825</v>
      </c>
      <c r="R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 s="1">
        <v>42382</v>
      </c>
      <c r="AC4093" t="s">
        <v>53</v>
      </c>
      <c r="AD4093" t="s">
        <v>53</v>
      </c>
      <c r="AK4093">
        <v>0</v>
      </c>
      <c r="AU4093" s="6">
        <v>42024</v>
      </c>
      <c r="AV4093" s="6">
        <v>42024</v>
      </c>
      <c r="AW4093" t="s">
        <v>54</v>
      </c>
      <c r="AX4093" t="str">
        <f t="shared" si="344"/>
        <v>FOR</v>
      </c>
      <c r="AY4093" t="s">
        <v>55</v>
      </c>
    </row>
    <row r="4094" spans="1:51" hidden="1">
      <c r="A4094">
        <v>101541</v>
      </c>
      <c r="B4094" t="s">
        <v>763</v>
      </c>
      <c r="C4094" t="str">
        <f t="shared" si="347"/>
        <v>08230471008</v>
      </c>
      <c r="D4094" t="str">
        <f t="shared" si="347"/>
        <v>08230471008</v>
      </c>
      <c r="E4094" t="s">
        <v>52</v>
      </c>
      <c r="F4094">
        <v>2014</v>
      </c>
      <c r="G4094">
        <v>155</v>
      </c>
      <c r="H4094" s="1">
        <v>41656</v>
      </c>
      <c r="I4094" s="1">
        <v>41667</v>
      </c>
      <c r="J4094" s="1">
        <v>41667</v>
      </c>
      <c r="K4094" s="1">
        <v>41757</v>
      </c>
      <c r="N4094" s="5"/>
      <c r="O4094">
        <v>305</v>
      </c>
      <c r="P4094">
        <v>267</v>
      </c>
      <c r="Q4094" s="2">
        <v>81435</v>
      </c>
      <c r="R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 s="1">
        <v>42382</v>
      </c>
      <c r="AC4094" t="s">
        <v>53</v>
      </c>
      <c r="AD4094" t="s">
        <v>53</v>
      </c>
      <c r="AK4094">
        <v>0</v>
      </c>
      <c r="AU4094" s="6">
        <v>42024</v>
      </c>
      <c r="AV4094" s="6">
        <v>42024</v>
      </c>
      <c r="AW4094" t="s">
        <v>54</v>
      </c>
      <c r="AX4094" t="str">
        <f t="shared" si="344"/>
        <v>FOR</v>
      </c>
      <c r="AY4094" t="s">
        <v>55</v>
      </c>
    </row>
    <row r="4095" spans="1:51" hidden="1">
      <c r="A4095">
        <v>101541</v>
      </c>
      <c r="B4095" t="s">
        <v>763</v>
      </c>
      <c r="C4095" t="str">
        <f t="shared" si="347"/>
        <v>08230471008</v>
      </c>
      <c r="D4095" t="str">
        <f t="shared" si="347"/>
        <v>08230471008</v>
      </c>
      <c r="E4095" t="s">
        <v>52</v>
      </c>
      <c r="F4095">
        <v>2014</v>
      </c>
      <c r="G4095">
        <v>156</v>
      </c>
      <c r="H4095" s="1">
        <v>41656</v>
      </c>
      <c r="I4095" s="1">
        <v>41667</v>
      </c>
      <c r="J4095" s="1">
        <v>41667</v>
      </c>
      <c r="K4095" s="1">
        <v>41757</v>
      </c>
      <c r="N4095" s="5"/>
      <c r="O4095">
        <v>305</v>
      </c>
      <c r="P4095">
        <v>267</v>
      </c>
      <c r="Q4095" s="2">
        <v>81435</v>
      </c>
      <c r="R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 s="1">
        <v>42382</v>
      </c>
      <c r="AC4095" t="s">
        <v>53</v>
      </c>
      <c r="AD4095" t="s">
        <v>53</v>
      </c>
      <c r="AK4095">
        <v>0</v>
      </c>
      <c r="AU4095" s="6">
        <v>42024</v>
      </c>
      <c r="AV4095" s="6">
        <v>42024</v>
      </c>
      <c r="AW4095" t="s">
        <v>54</v>
      </c>
      <c r="AX4095" t="str">
        <f t="shared" si="344"/>
        <v>FOR</v>
      </c>
      <c r="AY4095" t="s">
        <v>55</v>
      </c>
    </row>
    <row r="4096" spans="1:51" hidden="1">
      <c r="A4096">
        <v>101541</v>
      </c>
      <c r="B4096" t="s">
        <v>763</v>
      </c>
      <c r="C4096" t="str">
        <f t="shared" si="347"/>
        <v>08230471008</v>
      </c>
      <c r="D4096" t="str">
        <f t="shared" si="347"/>
        <v>08230471008</v>
      </c>
      <c r="E4096" t="s">
        <v>52</v>
      </c>
      <c r="F4096">
        <v>2014</v>
      </c>
      <c r="G4096">
        <v>157</v>
      </c>
      <c r="H4096" s="1">
        <v>41656</v>
      </c>
      <c r="I4096" s="1">
        <v>41667</v>
      </c>
      <c r="J4096" s="1">
        <v>41667</v>
      </c>
      <c r="K4096" s="1">
        <v>41757</v>
      </c>
      <c r="N4096" s="5"/>
      <c r="O4096">
        <v>305</v>
      </c>
      <c r="P4096">
        <v>267</v>
      </c>
      <c r="Q4096" s="2">
        <v>81435</v>
      </c>
      <c r="R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 s="1">
        <v>42382</v>
      </c>
      <c r="AC4096" t="s">
        <v>53</v>
      </c>
      <c r="AD4096" t="s">
        <v>53</v>
      </c>
      <c r="AK4096">
        <v>0</v>
      </c>
      <c r="AU4096" s="6">
        <v>42024</v>
      </c>
      <c r="AV4096" s="6">
        <v>42024</v>
      </c>
      <c r="AW4096" t="s">
        <v>54</v>
      </c>
      <c r="AX4096" t="str">
        <f t="shared" si="344"/>
        <v>FOR</v>
      </c>
      <c r="AY4096" t="s">
        <v>55</v>
      </c>
    </row>
    <row r="4097" spans="1:51" hidden="1">
      <c r="A4097">
        <v>101541</v>
      </c>
      <c r="B4097" t="s">
        <v>763</v>
      </c>
      <c r="C4097" t="str">
        <f t="shared" si="347"/>
        <v>08230471008</v>
      </c>
      <c r="D4097" t="str">
        <f t="shared" si="347"/>
        <v>08230471008</v>
      </c>
      <c r="E4097" t="s">
        <v>52</v>
      </c>
      <c r="F4097">
        <v>2014</v>
      </c>
      <c r="G4097">
        <v>158</v>
      </c>
      <c r="H4097" s="1">
        <v>41656</v>
      </c>
      <c r="I4097" s="1">
        <v>41667</v>
      </c>
      <c r="J4097" s="1">
        <v>41667</v>
      </c>
      <c r="K4097" s="1">
        <v>41757</v>
      </c>
      <c r="N4097" s="5"/>
      <c r="O4097">
        <v>305</v>
      </c>
      <c r="P4097">
        <v>267</v>
      </c>
      <c r="Q4097" s="2">
        <v>81435</v>
      </c>
      <c r="R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 s="1">
        <v>42382</v>
      </c>
      <c r="AC4097" t="s">
        <v>53</v>
      </c>
      <c r="AD4097" t="s">
        <v>53</v>
      </c>
      <c r="AK4097">
        <v>0</v>
      </c>
      <c r="AU4097" s="6">
        <v>42024</v>
      </c>
      <c r="AV4097" s="6">
        <v>42024</v>
      </c>
      <c r="AW4097" t="s">
        <v>54</v>
      </c>
      <c r="AX4097" t="str">
        <f t="shared" si="344"/>
        <v>FOR</v>
      </c>
      <c r="AY4097" t="s">
        <v>55</v>
      </c>
    </row>
    <row r="4098" spans="1:51" hidden="1">
      <c r="A4098">
        <v>101541</v>
      </c>
      <c r="B4098" t="s">
        <v>763</v>
      </c>
      <c r="C4098" t="str">
        <f t="shared" si="347"/>
        <v>08230471008</v>
      </c>
      <c r="D4098" t="str">
        <f t="shared" si="347"/>
        <v>08230471008</v>
      </c>
      <c r="E4098" t="s">
        <v>52</v>
      </c>
      <c r="F4098">
        <v>2014</v>
      </c>
      <c r="G4098">
        <v>159</v>
      </c>
      <c r="H4098" s="1">
        <v>41656</v>
      </c>
      <c r="I4098" s="1">
        <v>41669</v>
      </c>
      <c r="J4098" s="1">
        <v>41669</v>
      </c>
      <c r="K4098" s="1">
        <v>41759</v>
      </c>
      <c r="N4098" s="5"/>
      <c r="O4098">
        <v>305</v>
      </c>
      <c r="P4098">
        <v>265</v>
      </c>
      <c r="Q4098" s="2">
        <v>80825</v>
      </c>
      <c r="R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 s="1">
        <v>42382</v>
      </c>
      <c r="AC4098" t="s">
        <v>53</v>
      </c>
      <c r="AD4098" t="s">
        <v>53</v>
      </c>
      <c r="AK4098">
        <v>0</v>
      </c>
      <c r="AU4098" s="6">
        <v>42024</v>
      </c>
      <c r="AV4098" s="6">
        <v>42024</v>
      </c>
      <c r="AW4098" t="s">
        <v>54</v>
      </c>
      <c r="AX4098" t="str">
        <f t="shared" si="344"/>
        <v>FOR</v>
      </c>
      <c r="AY4098" t="s">
        <v>55</v>
      </c>
    </row>
    <row r="4099" spans="1:51" hidden="1">
      <c r="A4099">
        <v>101541</v>
      </c>
      <c r="B4099" t="s">
        <v>763</v>
      </c>
      <c r="C4099" t="str">
        <f t="shared" si="347"/>
        <v>08230471008</v>
      </c>
      <c r="D4099" t="str">
        <f t="shared" si="347"/>
        <v>08230471008</v>
      </c>
      <c r="E4099" t="s">
        <v>52</v>
      </c>
      <c r="F4099">
        <v>2014</v>
      </c>
      <c r="G4099">
        <v>160</v>
      </c>
      <c r="H4099" s="1">
        <v>41656</v>
      </c>
      <c r="I4099" s="1">
        <v>41669</v>
      </c>
      <c r="J4099" s="1">
        <v>41669</v>
      </c>
      <c r="K4099" s="1">
        <v>41759</v>
      </c>
      <c r="N4099" s="5"/>
      <c r="O4099">
        <v>728</v>
      </c>
      <c r="P4099">
        <v>265</v>
      </c>
      <c r="Q4099" s="2">
        <v>192920</v>
      </c>
      <c r="R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 s="1">
        <v>42382</v>
      </c>
      <c r="AC4099" t="s">
        <v>53</v>
      </c>
      <c r="AD4099" t="s">
        <v>53</v>
      </c>
      <c r="AK4099">
        <v>0</v>
      </c>
      <c r="AU4099" s="6">
        <v>42024</v>
      </c>
      <c r="AV4099" s="6">
        <v>42024</v>
      </c>
      <c r="AW4099" t="s">
        <v>54</v>
      </c>
      <c r="AX4099" t="str">
        <f t="shared" ref="AX4099:AX4162" si="348">"FOR"</f>
        <v>FOR</v>
      </c>
      <c r="AY4099" t="s">
        <v>55</v>
      </c>
    </row>
    <row r="4100" spans="1:51" hidden="1">
      <c r="A4100">
        <v>101541</v>
      </c>
      <c r="B4100" t="s">
        <v>763</v>
      </c>
      <c r="C4100" t="str">
        <f t="shared" si="347"/>
        <v>08230471008</v>
      </c>
      <c r="D4100" t="str">
        <f t="shared" si="347"/>
        <v>08230471008</v>
      </c>
      <c r="E4100" t="s">
        <v>52</v>
      </c>
      <c r="F4100">
        <v>2014</v>
      </c>
      <c r="G4100">
        <v>161</v>
      </c>
      <c r="H4100" s="1">
        <v>41656</v>
      </c>
      <c r="I4100" s="1">
        <v>41669</v>
      </c>
      <c r="J4100" s="1">
        <v>41669</v>
      </c>
      <c r="K4100" s="1">
        <v>41759</v>
      </c>
      <c r="N4100" s="5"/>
      <c r="O4100">
        <v>728</v>
      </c>
      <c r="P4100">
        <v>265</v>
      </c>
      <c r="Q4100" s="2">
        <v>192920</v>
      </c>
      <c r="R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 s="1">
        <v>42382</v>
      </c>
      <c r="AC4100" t="s">
        <v>53</v>
      </c>
      <c r="AD4100" t="s">
        <v>53</v>
      </c>
      <c r="AK4100">
        <v>0</v>
      </c>
      <c r="AU4100" s="6">
        <v>42024</v>
      </c>
      <c r="AV4100" s="6">
        <v>42024</v>
      </c>
      <c r="AW4100" t="s">
        <v>54</v>
      </c>
      <c r="AX4100" t="str">
        <f t="shared" si="348"/>
        <v>FOR</v>
      </c>
      <c r="AY4100" t="s">
        <v>55</v>
      </c>
    </row>
    <row r="4101" spans="1:51" hidden="1">
      <c r="A4101">
        <v>101541</v>
      </c>
      <c r="B4101" t="s">
        <v>763</v>
      </c>
      <c r="C4101" t="str">
        <f t="shared" si="347"/>
        <v>08230471008</v>
      </c>
      <c r="D4101" t="str">
        <f t="shared" si="347"/>
        <v>08230471008</v>
      </c>
      <c r="E4101" t="s">
        <v>52</v>
      </c>
      <c r="F4101">
        <v>2014</v>
      </c>
      <c r="G4101">
        <v>162</v>
      </c>
      <c r="H4101" s="1">
        <v>41656</v>
      </c>
      <c r="I4101" s="1">
        <v>41669</v>
      </c>
      <c r="J4101" s="1">
        <v>41669</v>
      </c>
      <c r="K4101" s="1">
        <v>41759</v>
      </c>
      <c r="N4101" s="5"/>
      <c r="O4101">
        <v>728</v>
      </c>
      <c r="P4101">
        <v>265</v>
      </c>
      <c r="Q4101" s="2">
        <v>192920</v>
      </c>
      <c r="R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 s="1">
        <v>42382</v>
      </c>
      <c r="AC4101" t="s">
        <v>53</v>
      </c>
      <c r="AD4101" t="s">
        <v>53</v>
      </c>
      <c r="AK4101">
        <v>0</v>
      </c>
      <c r="AU4101" s="6">
        <v>42024</v>
      </c>
      <c r="AV4101" s="6">
        <v>42024</v>
      </c>
      <c r="AW4101" t="s">
        <v>54</v>
      </c>
      <c r="AX4101" t="str">
        <f t="shared" si="348"/>
        <v>FOR</v>
      </c>
      <c r="AY4101" t="s">
        <v>55</v>
      </c>
    </row>
    <row r="4102" spans="1:51" hidden="1">
      <c r="A4102">
        <v>101541</v>
      </c>
      <c r="B4102" t="s">
        <v>763</v>
      </c>
      <c r="C4102" t="str">
        <f t="shared" si="347"/>
        <v>08230471008</v>
      </c>
      <c r="D4102" t="str">
        <f t="shared" si="347"/>
        <v>08230471008</v>
      </c>
      <c r="E4102" t="s">
        <v>52</v>
      </c>
      <c r="F4102">
        <v>2014</v>
      </c>
      <c r="G4102">
        <v>163</v>
      </c>
      <c r="H4102" s="1">
        <v>41656</v>
      </c>
      <c r="I4102" s="1">
        <v>41667</v>
      </c>
      <c r="J4102" s="1">
        <v>41667</v>
      </c>
      <c r="K4102" s="1">
        <v>41757</v>
      </c>
      <c r="N4102" s="5"/>
      <c r="O4102">
        <v>728</v>
      </c>
      <c r="P4102">
        <v>267</v>
      </c>
      <c r="Q4102" s="2">
        <v>194376</v>
      </c>
      <c r="R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 s="1">
        <v>42382</v>
      </c>
      <c r="AC4102" t="s">
        <v>53</v>
      </c>
      <c r="AD4102" t="s">
        <v>53</v>
      </c>
      <c r="AK4102">
        <v>0</v>
      </c>
      <c r="AU4102" s="6">
        <v>42024</v>
      </c>
      <c r="AV4102" s="6">
        <v>42024</v>
      </c>
      <c r="AW4102" t="s">
        <v>54</v>
      </c>
      <c r="AX4102" t="str">
        <f t="shared" si="348"/>
        <v>FOR</v>
      </c>
      <c r="AY4102" t="s">
        <v>55</v>
      </c>
    </row>
    <row r="4103" spans="1:51" hidden="1">
      <c r="A4103">
        <v>101541</v>
      </c>
      <c r="B4103" t="s">
        <v>763</v>
      </c>
      <c r="C4103" t="str">
        <f t="shared" ref="C4103:D4122" si="349">"08230471008"</f>
        <v>08230471008</v>
      </c>
      <c r="D4103" t="str">
        <f t="shared" si="349"/>
        <v>08230471008</v>
      </c>
      <c r="E4103" t="s">
        <v>52</v>
      </c>
      <c r="F4103">
        <v>2014</v>
      </c>
      <c r="G4103">
        <v>164</v>
      </c>
      <c r="H4103" s="1">
        <v>41656</v>
      </c>
      <c r="I4103" s="1">
        <v>41667</v>
      </c>
      <c r="J4103" s="1">
        <v>41667</v>
      </c>
      <c r="K4103" s="1">
        <v>41757</v>
      </c>
      <c r="N4103" s="5"/>
      <c r="O4103">
        <v>305</v>
      </c>
      <c r="P4103">
        <v>267</v>
      </c>
      <c r="Q4103" s="2">
        <v>81435</v>
      </c>
      <c r="R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 s="1">
        <v>42382</v>
      </c>
      <c r="AC4103" t="s">
        <v>53</v>
      </c>
      <c r="AD4103" t="s">
        <v>53</v>
      </c>
      <c r="AK4103">
        <v>0</v>
      </c>
      <c r="AU4103" s="6">
        <v>42024</v>
      </c>
      <c r="AV4103" s="6">
        <v>42024</v>
      </c>
      <c r="AW4103" t="s">
        <v>54</v>
      </c>
      <c r="AX4103" t="str">
        <f t="shared" si="348"/>
        <v>FOR</v>
      </c>
      <c r="AY4103" t="s">
        <v>55</v>
      </c>
    </row>
    <row r="4104" spans="1:51" hidden="1">
      <c r="A4104">
        <v>101541</v>
      </c>
      <c r="B4104" t="s">
        <v>763</v>
      </c>
      <c r="C4104" t="str">
        <f t="shared" si="349"/>
        <v>08230471008</v>
      </c>
      <c r="D4104" t="str">
        <f t="shared" si="349"/>
        <v>08230471008</v>
      </c>
      <c r="E4104" t="s">
        <v>52</v>
      </c>
      <c r="F4104">
        <v>2014</v>
      </c>
      <c r="G4104">
        <v>165</v>
      </c>
      <c r="H4104" s="1">
        <v>41656</v>
      </c>
      <c r="I4104" s="1">
        <v>41669</v>
      </c>
      <c r="J4104" s="1">
        <v>41669</v>
      </c>
      <c r="K4104" s="1">
        <v>41759</v>
      </c>
      <c r="N4104" s="5"/>
      <c r="O4104">
        <v>305</v>
      </c>
      <c r="P4104">
        <v>265</v>
      </c>
      <c r="Q4104" s="2">
        <v>80825</v>
      </c>
      <c r="R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 s="1">
        <v>42382</v>
      </c>
      <c r="AC4104" t="s">
        <v>53</v>
      </c>
      <c r="AD4104" t="s">
        <v>53</v>
      </c>
      <c r="AK4104">
        <v>0</v>
      </c>
      <c r="AU4104" s="6">
        <v>42024</v>
      </c>
      <c r="AV4104" s="6">
        <v>42024</v>
      </c>
      <c r="AW4104" t="s">
        <v>54</v>
      </c>
      <c r="AX4104" t="str">
        <f t="shared" si="348"/>
        <v>FOR</v>
      </c>
      <c r="AY4104" t="s">
        <v>55</v>
      </c>
    </row>
    <row r="4105" spans="1:51" hidden="1">
      <c r="A4105">
        <v>101541</v>
      </c>
      <c r="B4105" t="s">
        <v>763</v>
      </c>
      <c r="C4105" t="str">
        <f t="shared" si="349"/>
        <v>08230471008</v>
      </c>
      <c r="D4105" t="str">
        <f t="shared" si="349"/>
        <v>08230471008</v>
      </c>
      <c r="E4105" t="s">
        <v>52</v>
      </c>
      <c r="F4105">
        <v>2014</v>
      </c>
      <c r="G4105">
        <v>166</v>
      </c>
      <c r="H4105" s="1">
        <v>41656</v>
      </c>
      <c r="I4105" s="1">
        <v>41669</v>
      </c>
      <c r="J4105" s="1">
        <v>41669</v>
      </c>
      <c r="K4105" s="1">
        <v>41759</v>
      </c>
      <c r="N4105" s="5"/>
      <c r="O4105">
        <v>728</v>
      </c>
      <c r="P4105">
        <v>265</v>
      </c>
      <c r="Q4105" s="2">
        <v>192920</v>
      </c>
      <c r="R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 s="1">
        <v>42382</v>
      </c>
      <c r="AC4105" t="s">
        <v>53</v>
      </c>
      <c r="AD4105" t="s">
        <v>53</v>
      </c>
      <c r="AK4105">
        <v>0</v>
      </c>
      <c r="AU4105" s="6">
        <v>42024</v>
      </c>
      <c r="AV4105" s="6">
        <v>42024</v>
      </c>
      <c r="AW4105" t="s">
        <v>54</v>
      </c>
      <c r="AX4105" t="str">
        <f t="shared" si="348"/>
        <v>FOR</v>
      </c>
      <c r="AY4105" t="s">
        <v>55</v>
      </c>
    </row>
    <row r="4106" spans="1:51" hidden="1">
      <c r="A4106">
        <v>101541</v>
      </c>
      <c r="B4106" t="s">
        <v>763</v>
      </c>
      <c r="C4106" t="str">
        <f t="shared" si="349"/>
        <v>08230471008</v>
      </c>
      <c r="D4106" t="str">
        <f t="shared" si="349"/>
        <v>08230471008</v>
      </c>
      <c r="E4106" t="s">
        <v>52</v>
      </c>
      <c r="F4106">
        <v>2014</v>
      </c>
      <c r="G4106">
        <v>597</v>
      </c>
      <c r="H4106" s="1">
        <v>41663</v>
      </c>
      <c r="I4106" s="1">
        <v>41673</v>
      </c>
      <c r="J4106" s="1">
        <v>41673</v>
      </c>
      <c r="K4106" s="1">
        <v>41763</v>
      </c>
      <c r="N4106" s="5"/>
      <c r="O4106">
        <v>305</v>
      </c>
      <c r="P4106">
        <v>261</v>
      </c>
      <c r="Q4106" s="2">
        <v>79605</v>
      </c>
      <c r="R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 s="1">
        <v>42382</v>
      </c>
      <c r="AC4106" t="s">
        <v>53</v>
      </c>
      <c r="AD4106" t="s">
        <v>53</v>
      </c>
      <c r="AK4106">
        <v>0</v>
      </c>
      <c r="AU4106" s="6">
        <v>42024</v>
      </c>
      <c r="AV4106" s="6">
        <v>42024</v>
      </c>
      <c r="AW4106" t="s">
        <v>54</v>
      </c>
      <c r="AX4106" t="str">
        <f t="shared" si="348"/>
        <v>FOR</v>
      </c>
      <c r="AY4106" t="s">
        <v>55</v>
      </c>
    </row>
    <row r="4107" spans="1:51" hidden="1">
      <c r="A4107">
        <v>101541</v>
      </c>
      <c r="B4107" t="s">
        <v>763</v>
      </c>
      <c r="C4107" t="str">
        <f t="shared" si="349"/>
        <v>08230471008</v>
      </c>
      <c r="D4107" t="str">
        <f t="shared" si="349"/>
        <v>08230471008</v>
      </c>
      <c r="E4107" t="s">
        <v>52</v>
      </c>
      <c r="F4107">
        <v>2014</v>
      </c>
      <c r="G4107">
        <v>598</v>
      </c>
      <c r="H4107" s="1">
        <v>41663</v>
      </c>
      <c r="I4107" s="1">
        <v>41673</v>
      </c>
      <c r="J4107" s="1">
        <v>41673</v>
      </c>
      <c r="K4107" s="1">
        <v>41763</v>
      </c>
      <c r="N4107" s="5"/>
      <c r="O4107">
        <v>305</v>
      </c>
      <c r="P4107">
        <v>261</v>
      </c>
      <c r="Q4107" s="2">
        <v>79605</v>
      </c>
      <c r="R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 s="1">
        <v>42382</v>
      </c>
      <c r="AC4107" t="s">
        <v>53</v>
      </c>
      <c r="AD4107" t="s">
        <v>53</v>
      </c>
      <c r="AK4107">
        <v>0</v>
      </c>
      <c r="AU4107" s="6">
        <v>42024</v>
      </c>
      <c r="AV4107" s="6">
        <v>42024</v>
      </c>
      <c r="AW4107" t="s">
        <v>54</v>
      </c>
      <c r="AX4107" t="str">
        <f t="shared" si="348"/>
        <v>FOR</v>
      </c>
      <c r="AY4107" t="s">
        <v>55</v>
      </c>
    </row>
    <row r="4108" spans="1:51" hidden="1">
      <c r="A4108">
        <v>101541</v>
      </c>
      <c r="B4108" t="s">
        <v>763</v>
      </c>
      <c r="C4108" t="str">
        <f t="shared" si="349"/>
        <v>08230471008</v>
      </c>
      <c r="D4108" t="str">
        <f t="shared" si="349"/>
        <v>08230471008</v>
      </c>
      <c r="E4108" t="s">
        <v>52</v>
      </c>
      <c r="F4108">
        <v>2014</v>
      </c>
      <c r="G4108">
        <v>599</v>
      </c>
      <c r="H4108" s="1">
        <v>41663</v>
      </c>
      <c r="I4108" s="1">
        <v>41673</v>
      </c>
      <c r="J4108" s="1">
        <v>41673</v>
      </c>
      <c r="K4108" s="1">
        <v>41763</v>
      </c>
      <c r="N4108" s="5"/>
      <c r="O4108">
        <v>305</v>
      </c>
      <c r="P4108">
        <v>261</v>
      </c>
      <c r="Q4108" s="2">
        <v>79605</v>
      </c>
      <c r="R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 s="1">
        <v>42382</v>
      </c>
      <c r="AC4108" t="s">
        <v>53</v>
      </c>
      <c r="AD4108" t="s">
        <v>53</v>
      </c>
      <c r="AK4108">
        <v>0</v>
      </c>
      <c r="AU4108" s="6">
        <v>42024</v>
      </c>
      <c r="AV4108" s="6">
        <v>42024</v>
      </c>
      <c r="AW4108" t="s">
        <v>54</v>
      </c>
      <c r="AX4108" t="str">
        <f t="shared" si="348"/>
        <v>FOR</v>
      </c>
      <c r="AY4108" t="s">
        <v>55</v>
      </c>
    </row>
    <row r="4109" spans="1:51" hidden="1">
      <c r="A4109">
        <v>101541</v>
      </c>
      <c r="B4109" t="s">
        <v>763</v>
      </c>
      <c r="C4109" t="str">
        <f t="shared" si="349"/>
        <v>08230471008</v>
      </c>
      <c r="D4109" t="str">
        <f t="shared" si="349"/>
        <v>08230471008</v>
      </c>
      <c r="E4109" t="s">
        <v>52</v>
      </c>
      <c r="F4109">
        <v>2014</v>
      </c>
      <c r="G4109">
        <v>600</v>
      </c>
      <c r="H4109" s="1">
        <v>41663</v>
      </c>
      <c r="I4109" s="1">
        <v>41673</v>
      </c>
      <c r="J4109" s="1">
        <v>41673</v>
      </c>
      <c r="K4109" s="1">
        <v>41763</v>
      </c>
      <c r="N4109" s="5"/>
      <c r="O4109">
        <v>305</v>
      </c>
      <c r="P4109">
        <v>261</v>
      </c>
      <c r="Q4109" s="2">
        <v>79605</v>
      </c>
      <c r="R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 s="1">
        <v>42382</v>
      </c>
      <c r="AC4109" t="s">
        <v>53</v>
      </c>
      <c r="AD4109" t="s">
        <v>53</v>
      </c>
      <c r="AK4109">
        <v>0</v>
      </c>
      <c r="AU4109" s="6">
        <v>42024</v>
      </c>
      <c r="AV4109" s="6">
        <v>42024</v>
      </c>
      <c r="AW4109" t="s">
        <v>54</v>
      </c>
      <c r="AX4109" t="str">
        <f t="shared" si="348"/>
        <v>FOR</v>
      </c>
      <c r="AY4109" t="s">
        <v>55</v>
      </c>
    </row>
    <row r="4110" spans="1:51" hidden="1">
      <c r="A4110">
        <v>101541</v>
      </c>
      <c r="B4110" t="s">
        <v>763</v>
      </c>
      <c r="C4110" t="str">
        <f t="shared" si="349"/>
        <v>08230471008</v>
      </c>
      <c r="D4110" t="str">
        <f t="shared" si="349"/>
        <v>08230471008</v>
      </c>
      <c r="E4110" t="s">
        <v>52</v>
      </c>
      <c r="F4110">
        <v>2014</v>
      </c>
      <c r="G4110">
        <v>1541</v>
      </c>
      <c r="H4110" s="1">
        <v>41670</v>
      </c>
      <c r="I4110" s="1">
        <v>41689</v>
      </c>
      <c r="J4110" s="1">
        <v>41689</v>
      </c>
      <c r="K4110" s="1">
        <v>41779</v>
      </c>
      <c r="N4110" s="5"/>
      <c r="O4110">
        <v>305</v>
      </c>
      <c r="P4110">
        <v>245</v>
      </c>
      <c r="Q4110" s="2">
        <v>74725</v>
      </c>
      <c r="R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 s="1">
        <v>42382</v>
      </c>
      <c r="AC4110" t="s">
        <v>53</v>
      </c>
      <c r="AD4110" t="s">
        <v>53</v>
      </c>
      <c r="AK4110">
        <v>0</v>
      </c>
      <c r="AU4110" s="6">
        <v>42024</v>
      </c>
      <c r="AV4110" s="6">
        <v>42024</v>
      </c>
      <c r="AW4110" t="s">
        <v>54</v>
      </c>
      <c r="AX4110" t="str">
        <f t="shared" si="348"/>
        <v>FOR</v>
      </c>
      <c r="AY4110" t="s">
        <v>55</v>
      </c>
    </row>
    <row r="4111" spans="1:51" hidden="1">
      <c r="A4111">
        <v>101541</v>
      </c>
      <c r="B4111" t="s">
        <v>763</v>
      </c>
      <c r="C4111" t="str">
        <f t="shared" si="349"/>
        <v>08230471008</v>
      </c>
      <c r="D4111" t="str">
        <f t="shared" si="349"/>
        <v>08230471008</v>
      </c>
      <c r="E4111" t="s">
        <v>52</v>
      </c>
      <c r="F4111">
        <v>2014</v>
      </c>
      <c r="G4111">
        <v>1542</v>
      </c>
      <c r="H4111" s="1">
        <v>41670</v>
      </c>
      <c r="I4111" s="1">
        <v>41689</v>
      </c>
      <c r="J4111" s="1">
        <v>41689</v>
      </c>
      <c r="K4111" s="1">
        <v>41779</v>
      </c>
      <c r="N4111" s="5"/>
      <c r="O4111">
        <v>305</v>
      </c>
      <c r="P4111">
        <v>245</v>
      </c>
      <c r="Q4111" s="2">
        <v>74725</v>
      </c>
      <c r="R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 s="1">
        <v>42382</v>
      </c>
      <c r="AC4111" t="s">
        <v>53</v>
      </c>
      <c r="AD4111" t="s">
        <v>53</v>
      </c>
      <c r="AK4111">
        <v>0</v>
      </c>
      <c r="AU4111" s="6">
        <v>42024</v>
      </c>
      <c r="AV4111" s="6">
        <v>42024</v>
      </c>
      <c r="AW4111" t="s">
        <v>54</v>
      </c>
      <c r="AX4111" t="str">
        <f t="shared" si="348"/>
        <v>FOR</v>
      </c>
      <c r="AY4111" t="s">
        <v>55</v>
      </c>
    </row>
    <row r="4112" spans="1:51" hidden="1">
      <c r="A4112">
        <v>101541</v>
      </c>
      <c r="B4112" t="s">
        <v>763</v>
      </c>
      <c r="C4112" t="str">
        <f t="shared" si="349"/>
        <v>08230471008</v>
      </c>
      <c r="D4112" t="str">
        <f t="shared" si="349"/>
        <v>08230471008</v>
      </c>
      <c r="E4112" t="s">
        <v>52</v>
      </c>
      <c r="F4112">
        <v>2014</v>
      </c>
      <c r="G4112">
        <v>1543</v>
      </c>
      <c r="H4112" s="1">
        <v>41670</v>
      </c>
      <c r="I4112" s="1">
        <v>41689</v>
      </c>
      <c r="J4112" s="1">
        <v>41689</v>
      </c>
      <c r="K4112" s="1">
        <v>41779</v>
      </c>
      <c r="N4112" s="5"/>
      <c r="O4112">
        <v>305</v>
      </c>
      <c r="P4112">
        <v>245</v>
      </c>
      <c r="Q4112" s="2">
        <v>74725</v>
      </c>
      <c r="R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 s="1">
        <v>42382</v>
      </c>
      <c r="AC4112" t="s">
        <v>53</v>
      </c>
      <c r="AD4112" t="s">
        <v>53</v>
      </c>
      <c r="AK4112">
        <v>0</v>
      </c>
      <c r="AU4112" s="6">
        <v>42024</v>
      </c>
      <c r="AV4112" s="6">
        <v>42024</v>
      </c>
      <c r="AW4112" t="s">
        <v>54</v>
      </c>
      <c r="AX4112" t="str">
        <f t="shared" si="348"/>
        <v>FOR</v>
      </c>
      <c r="AY4112" t="s">
        <v>55</v>
      </c>
    </row>
    <row r="4113" spans="1:51" hidden="1">
      <c r="A4113">
        <v>101541</v>
      </c>
      <c r="B4113" t="s">
        <v>763</v>
      </c>
      <c r="C4113" t="str">
        <f t="shared" si="349"/>
        <v>08230471008</v>
      </c>
      <c r="D4113" t="str">
        <f t="shared" si="349"/>
        <v>08230471008</v>
      </c>
      <c r="E4113" t="s">
        <v>52</v>
      </c>
      <c r="F4113">
        <v>2014</v>
      </c>
      <c r="G4113">
        <v>1544</v>
      </c>
      <c r="H4113" s="1">
        <v>41670</v>
      </c>
      <c r="I4113" s="1">
        <v>41689</v>
      </c>
      <c r="J4113" s="1">
        <v>41689</v>
      </c>
      <c r="K4113" s="1">
        <v>41779</v>
      </c>
      <c r="N4113" s="5"/>
      <c r="O4113">
        <v>305</v>
      </c>
      <c r="P4113">
        <v>245</v>
      </c>
      <c r="Q4113" s="2">
        <v>74725</v>
      </c>
      <c r="R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 s="1">
        <v>42382</v>
      </c>
      <c r="AC4113" t="s">
        <v>53</v>
      </c>
      <c r="AD4113" t="s">
        <v>53</v>
      </c>
      <c r="AK4113">
        <v>0</v>
      </c>
      <c r="AU4113" s="6">
        <v>42024</v>
      </c>
      <c r="AV4113" s="6">
        <v>42024</v>
      </c>
      <c r="AW4113" t="s">
        <v>54</v>
      </c>
      <c r="AX4113" t="str">
        <f t="shared" si="348"/>
        <v>FOR</v>
      </c>
      <c r="AY4113" t="s">
        <v>55</v>
      </c>
    </row>
    <row r="4114" spans="1:51" hidden="1">
      <c r="A4114">
        <v>101541</v>
      </c>
      <c r="B4114" t="s">
        <v>763</v>
      </c>
      <c r="C4114" t="str">
        <f t="shared" si="349"/>
        <v>08230471008</v>
      </c>
      <c r="D4114" t="str">
        <f t="shared" si="349"/>
        <v>08230471008</v>
      </c>
      <c r="E4114" t="s">
        <v>52</v>
      </c>
      <c r="F4114">
        <v>2014</v>
      </c>
      <c r="G4114">
        <v>1545</v>
      </c>
      <c r="H4114" s="1">
        <v>41670</v>
      </c>
      <c r="I4114" s="1">
        <v>41689</v>
      </c>
      <c r="J4114" s="1">
        <v>41689</v>
      </c>
      <c r="K4114" s="1">
        <v>41779</v>
      </c>
      <c r="N4114" s="5"/>
      <c r="O4114">
        <v>305</v>
      </c>
      <c r="P4114">
        <v>245</v>
      </c>
      <c r="Q4114" s="2">
        <v>74725</v>
      </c>
      <c r="R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 s="1">
        <v>42382</v>
      </c>
      <c r="AC4114" t="s">
        <v>53</v>
      </c>
      <c r="AD4114" t="s">
        <v>53</v>
      </c>
      <c r="AK4114">
        <v>0</v>
      </c>
      <c r="AU4114" s="6">
        <v>42024</v>
      </c>
      <c r="AV4114" s="6">
        <v>42024</v>
      </c>
      <c r="AW4114" t="s">
        <v>54</v>
      </c>
      <c r="AX4114" t="str">
        <f t="shared" si="348"/>
        <v>FOR</v>
      </c>
      <c r="AY4114" t="s">
        <v>55</v>
      </c>
    </row>
    <row r="4115" spans="1:51" hidden="1">
      <c r="A4115">
        <v>101541</v>
      </c>
      <c r="B4115" t="s">
        <v>763</v>
      </c>
      <c r="C4115" t="str">
        <f t="shared" si="349"/>
        <v>08230471008</v>
      </c>
      <c r="D4115" t="str">
        <f t="shared" si="349"/>
        <v>08230471008</v>
      </c>
      <c r="E4115" t="s">
        <v>52</v>
      </c>
      <c r="F4115">
        <v>2014</v>
      </c>
      <c r="G4115">
        <v>1546</v>
      </c>
      <c r="H4115" s="1">
        <v>41670</v>
      </c>
      <c r="I4115" s="1">
        <v>41689</v>
      </c>
      <c r="J4115" s="1">
        <v>41689</v>
      </c>
      <c r="K4115" s="1">
        <v>41779</v>
      </c>
      <c r="N4115" s="5"/>
      <c r="O4115">
        <v>305</v>
      </c>
      <c r="P4115">
        <v>245</v>
      </c>
      <c r="Q4115" s="2">
        <v>74725</v>
      </c>
      <c r="R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 s="1">
        <v>42382</v>
      </c>
      <c r="AC4115" t="s">
        <v>53</v>
      </c>
      <c r="AD4115" t="s">
        <v>53</v>
      </c>
      <c r="AK4115">
        <v>0</v>
      </c>
      <c r="AU4115" s="6">
        <v>42024</v>
      </c>
      <c r="AV4115" s="6">
        <v>42024</v>
      </c>
      <c r="AW4115" t="s">
        <v>54</v>
      </c>
      <c r="AX4115" t="str">
        <f t="shared" si="348"/>
        <v>FOR</v>
      </c>
      <c r="AY4115" t="s">
        <v>55</v>
      </c>
    </row>
    <row r="4116" spans="1:51" hidden="1">
      <c r="A4116">
        <v>101541</v>
      </c>
      <c r="B4116" t="s">
        <v>763</v>
      </c>
      <c r="C4116" t="str">
        <f t="shared" si="349"/>
        <v>08230471008</v>
      </c>
      <c r="D4116" t="str">
        <f t="shared" si="349"/>
        <v>08230471008</v>
      </c>
      <c r="E4116" t="s">
        <v>52</v>
      </c>
      <c r="F4116">
        <v>2014</v>
      </c>
      <c r="G4116">
        <v>1547</v>
      </c>
      <c r="H4116" s="1">
        <v>41670</v>
      </c>
      <c r="I4116" s="1">
        <v>41689</v>
      </c>
      <c r="J4116" s="1">
        <v>41689</v>
      </c>
      <c r="K4116" s="1">
        <v>41779</v>
      </c>
      <c r="N4116" s="5"/>
      <c r="O4116">
        <v>305</v>
      </c>
      <c r="P4116">
        <v>245</v>
      </c>
      <c r="Q4116" s="2">
        <v>74725</v>
      </c>
      <c r="R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 s="1">
        <v>42382</v>
      </c>
      <c r="AC4116" t="s">
        <v>53</v>
      </c>
      <c r="AD4116" t="s">
        <v>53</v>
      </c>
      <c r="AK4116">
        <v>0</v>
      </c>
      <c r="AU4116" s="6">
        <v>42024</v>
      </c>
      <c r="AV4116" s="6">
        <v>42024</v>
      </c>
      <c r="AW4116" t="s">
        <v>54</v>
      </c>
      <c r="AX4116" t="str">
        <f t="shared" si="348"/>
        <v>FOR</v>
      </c>
      <c r="AY4116" t="s">
        <v>55</v>
      </c>
    </row>
    <row r="4117" spans="1:51" hidden="1">
      <c r="A4117">
        <v>101541</v>
      </c>
      <c r="B4117" t="s">
        <v>763</v>
      </c>
      <c r="C4117" t="str">
        <f t="shared" si="349"/>
        <v>08230471008</v>
      </c>
      <c r="D4117" t="str">
        <f t="shared" si="349"/>
        <v>08230471008</v>
      </c>
      <c r="E4117" t="s">
        <v>52</v>
      </c>
      <c r="F4117">
        <v>2014</v>
      </c>
      <c r="G4117">
        <v>1732</v>
      </c>
      <c r="H4117" s="1">
        <v>41677</v>
      </c>
      <c r="I4117" s="1">
        <v>41689</v>
      </c>
      <c r="J4117" s="1">
        <v>41689</v>
      </c>
      <c r="K4117" s="1">
        <v>41779</v>
      </c>
      <c r="N4117" s="5"/>
      <c r="O4117">
        <v>305</v>
      </c>
      <c r="P4117">
        <v>352</v>
      </c>
      <c r="Q4117" s="2">
        <v>107360</v>
      </c>
      <c r="R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 s="1">
        <v>42382</v>
      </c>
      <c r="AC4117" t="s">
        <v>53</v>
      </c>
      <c r="AD4117" t="s">
        <v>53</v>
      </c>
      <c r="AK4117">
        <v>0</v>
      </c>
      <c r="AU4117" s="6">
        <v>42131</v>
      </c>
      <c r="AV4117" s="6">
        <v>42131</v>
      </c>
      <c r="AW4117" t="s">
        <v>54</v>
      </c>
      <c r="AX4117" t="str">
        <f t="shared" si="348"/>
        <v>FOR</v>
      </c>
      <c r="AY4117" t="s">
        <v>55</v>
      </c>
    </row>
    <row r="4118" spans="1:51" hidden="1">
      <c r="A4118">
        <v>101541</v>
      </c>
      <c r="B4118" t="s">
        <v>763</v>
      </c>
      <c r="C4118" t="str">
        <f t="shared" si="349"/>
        <v>08230471008</v>
      </c>
      <c r="D4118" t="str">
        <f t="shared" si="349"/>
        <v>08230471008</v>
      </c>
      <c r="E4118" t="s">
        <v>52</v>
      </c>
      <c r="F4118">
        <v>2014</v>
      </c>
      <c r="G4118">
        <v>1733</v>
      </c>
      <c r="H4118" s="1">
        <v>41677</v>
      </c>
      <c r="I4118" s="1">
        <v>41689</v>
      </c>
      <c r="J4118" s="1">
        <v>41689</v>
      </c>
      <c r="K4118" s="1">
        <v>41779</v>
      </c>
      <c r="N4118" s="5"/>
      <c r="O4118">
        <v>305</v>
      </c>
      <c r="P4118">
        <v>352</v>
      </c>
      <c r="Q4118" s="2">
        <v>107360</v>
      </c>
      <c r="R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 s="1">
        <v>42382</v>
      </c>
      <c r="AC4118" t="s">
        <v>53</v>
      </c>
      <c r="AD4118" t="s">
        <v>53</v>
      </c>
      <c r="AK4118">
        <v>0</v>
      </c>
      <c r="AU4118" s="6">
        <v>42131</v>
      </c>
      <c r="AV4118" s="6">
        <v>42131</v>
      </c>
      <c r="AW4118" t="s">
        <v>54</v>
      </c>
      <c r="AX4118" t="str">
        <f t="shared" si="348"/>
        <v>FOR</v>
      </c>
      <c r="AY4118" t="s">
        <v>55</v>
      </c>
    </row>
    <row r="4119" spans="1:51" hidden="1">
      <c r="A4119">
        <v>101541</v>
      </c>
      <c r="B4119" t="s">
        <v>763</v>
      </c>
      <c r="C4119" t="str">
        <f t="shared" si="349"/>
        <v>08230471008</v>
      </c>
      <c r="D4119" t="str">
        <f t="shared" si="349"/>
        <v>08230471008</v>
      </c>
      <c r="E4119" t="s">
        <v>52</v>
      </c>
      <c r="F4119">
        <v>2014</v>
      </c>
      <c r="G4119">
        <v>1734</v>
      </c>
      <c r="H4119" s="1">
        <v>41677</v>
      </c>
      <c r="I4119" s="1">
        <v>41689</v>
      </c>
      <c r="J4119" s="1">
        <v>41689</v>
      </c>
      <c r="K4119" s="1">
        <v>41779</v>
      </c>
      <c r="N4119" s="5"/>
      <c r="O4119">
        <v>305</v>
      </c>
      <c r="P4119">
        <v>352</v>
      </c>
      <c r="Q4119" s="2">
        <v>107360</v>
      </c>
      <c r="R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 s="1">
        <v>42382</v>
      </c>
      <c r="AC4119" t="s">
        <v>53</v>
      </c>
      <c r="AD4119" t="s">
        <v>53</v>
      </c>
      <c r="AK4119">
        <v>0</v>
      </c>
      <c r="AU4119" s="6">
        <v>42131</v>
      </c>
      <c r="AV4119" s="6">
        <v>42131</v>
      </c>
      <c r="AW4119" t="s">
        <v>54</v>
      </c>
      <c r="AX4119" t="str">
        <f t="shared" si="348"/>
        <v>FOR</v>
      </c>
      <c r="AY4119" t="s">
        <v>55</v>
      </c>
    </row>
    <row r="4120" spans="1:51" hidden="1">
      <c r="A4120">
        <v>101541</v>
      </c>
      <c r="B4120" t="s">
        <v>763</v>
      </c>
      <c r="C4120" t="str">
        <f t="shared" si="349"/>
        <v>08230471008</v>
      </c>
      <c r="D4120" t="str">
        <f t="shared" si="349"/>
        <v>08230471008</v>
      </c>
      <c r="E4120" t="s">
        <v>52</v>
      </c>
      <c r="F4120">
        <v>2014</v>
      </c>
      <c r="G4120">
        <v>1735</v>
      </c>
      <c r="H4120" s="1">
        <v>41677</v>
      </c>
      <c r="I4120" s="1">
        <v>41689</v>
      </c>
      <c r="J4120" s="1">
        <v>41689</v>
      </c>
      <c r="K4120" s="1">
        <v>41779</v>
      </c>
      <c r="N4120" s="5"/>
      <c r="O4120">
        <v>305</v>
      </c>
      <c r="P4120">
        <v>352</v>
      </c>
      <c r="Q4120" s="2">
        <v>107360</v>
      </c>
      <c r="R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 s="1">
        <v>42382</v>
      </c>
      <c r="AC4120" t="s">
        <v>53</v>
      </c>
      <c r="AD4120" t="s">
        <v>53</v>
      </c>
      <c r="AK4120">
        <v>0</v>
      </c>
      <c r="AU4120" s="6">
        <v>42131</v>
      </c>
      <c r="AV4120" s="6">
        <v>42131</v>
      </c>
      <c r="AW4120" t="s">
        <v>54</v>
      </c>
      <c r="AX4120" t="str">
        <f t="shared" si="348"/>
        <v>FOR</v>
      </c>
      <c r="AY4120" t="s">
        <v>55</v>
      </c>
    </row>
    <row r="4121" spans="1:51" hidden="1">
      <c r="A4121">
        <v>101541</v>
      </c>
      <c r="B4121" t="s">
        <v>763</v>
      </c>
      <c r="C4121" t="str">
        <f t="shared" si="349"/>
        <v>08230471008</v>
      </c>
      <c r="D4121" t="str">
        <f t="shared" si="349"/>
        <v>08230471008</v>
      </c>
      <c r="E4121" t="s">
        <v>52</v>
      </c>
      <c r="F4121">
        <v>2014</v>
      </c>
      <c r="G4121">
        <v>1736</v>
      </c>
      <c r="H4121" s="1">
        <v>41677</v>
      </c>
      <c r="I4121" s="1">
        <v>41689</v>
      </c>
      <c r="J4121" s="1">
        <v>41689</v>
      </c>
      <c r="K4121" s="1">
        <v>41779</v>
      </c>
      <c r="N4121" s="5"/>
      <c r="O4121">
        <v>305</v>
      </c>
      <c r="P4121">
        <v>352</v>
      </c>
      <c r="Q4121" s="2">
        <v>107360</v>
      </c>
      <c r="R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 s="1">
        <v>42382</v>
      </c>
      <c r="AC4121" t="s">
        <v>53</v>
      </c>
      <c r="AD4121" t="s">
        <v>53</v>
      </c>
      <c r="AK4121">
        <v>0</v>
      </c>
      <c r="AU4121" s="6">
        <v>42131</v>
      </c>
      <c r="AV4121" s="6">
        <v>42131</v>
      </c>
      <c r="AW4121" t="s">
        <v>54</v>
      </c>
      <c r="AX4121" t="str">
        <f t="shared" si="348"/>
        <v>FOR</v>
      </c>
      <c r="AY4121" t="s">
        <v>55</v>
      </c>
    </row>
    <row r="4122" spans="1:51" hidden="1">
      <c r="A4122">
        <v>101541</v>
      </c>
      <c r="B4122" t="s">
        <v>763</v>
      </c>
      <c r="C4122" t="str">
        <f t="shared" si="349"/>
        <v>08230471008</v>
      </c>
      <c r="D4122" t="str">
        <f t="shared" si="349"/>
        <v>08230471008</v>
      </c>
      <c r="E4122" t="s">
        <v>52</v>
      </c>
      <c r="F4122">
        <v>2014</v>
      </c>
      <c r="G4122">
        <v>1737</v>
      </c>
      <c r="H4122" s="1">
        <v>41677</v>
      </c>
      <c r="I4122" s="1">
        <v>41689</v>
      </c>
      <c r="J4122" s="1">
        <v>41689</v>
      </c>
      <c r="K4122" s="1">
        <v>41779</v>
      </c>
      <c r="N4122" s="5"/>
      <c r="O4122">
        <v>305</v>
      </c>
      <c r="P4122">
        <v>352</v>
      </c>
      <c r="Q4122" s="2">
        <v>107360</v>
      </c>
      <c r="R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 s="1">
        <v>42382</v>
      </c>
      <c r="AC4122" t="s">
        <v>53</v>
      </c>
      <c r="AD4122" t="s">
        <v>53</v>
      </c>
      <c r="AK4122">
        <v>0</v>
      </c>
      <c r="AU4122" s="6">
        <v>42131</v>
      </c>
      <c r="AV4122" s="6">
        <v>42131</v>
      </c>
      <c r="AW4122" t="s">
        <v>54</v>
      </c>
      <c r="AX4122" t="str">
        <f t="shared" si="348"/>
        <v>FOR</v>
      </c>
      <c r="AY4122" t="s">
        <v>55</v>
      </c>
    </row>
    <row r="4123" spans="1:51" hidden="1">
      <c r="A4123">
        <v>101541</v>
      </c>
      <c r="B4123" t="s">
        <v>763</v>
      </c>
      <c r="C4123" t="str">
        <f t="shared" ref="C4123:D4142" si="350">"08230471008"</f>
        <v>08230471008</v>
      </c>
      <c r="D4123" t="str">
        <f t="shared" si="350"/>
        <v>08230471008</v>
      </c>
      <c r="E4123" t="s">
        <v>52</v>
      </c>
      <c r="F4123">
        <v>2014</v>
      </c>
      <c r="G4123">
        <v>1738</v>
      </c>
      <c r="H4123" s="1">
        <v>41677</v>
      </c>
      <c r="I4123" s="1">
        <v>41689</v>
      </c>
      <c r="J4123" s="1">
        <v>41689</v>
      </c>
      <c r="K4123" s="1">
        <v>41779</v>
      </c>
      <c r="N4123" s="5"/>
      <c r="O4123">
        <v>305</v>
      </c>
      <c r="P4123">
        <v>352</v>
      </c>
      <c r="Q4123" s="2">
        <v>107360</v>
      </c>
      <c r="R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 s="1">
        <v>42382</v>
      </c>
      <c r="AC4123" t="s">
        <v>53</v>
      </c>
      <c r="AD4123" t="s">
        <v>53</v>
      </c>
      <c r="AK4123">
        <v>0</v>
      </c>
      <c r="AU4123" s="6">
        <v>42131</v>
      </c>
      <c r="AV4123" s="6">
        <v>42131</v>
      </c>
      <c r="AW4123" t="s">
        <v>54</v>
      </c>
      <c r="AX4123" t="str">
        <f t="shared" si="348"/>
        <v>FOR</v>
      </c>
      <c r="AY4123" t="s">
        <v>55</v>
      </c>
    </row>
    <row r="4124" spans="1:51" hidden="1">
      <c r="A4124">
        <v>101541</v>
      </c>
      <c r="B4124" t="s">
        <v>763</v>
      </c>
      <c r="C4124" t="str">
        <f t="shared" si="350"/>
        <v>08230471008</v>
      </c>
      <c r="D4124" t="str">
        <f t="shared" si="350"/>
        <v>08230471008</v>
      </c>
      <c r="E4124" t="s">
        <v>52</v>
      </c>
      <c r="F4124">
        <v>2014</v>
      </c>
      <c r="G4124">
        <v>1739</v>
      </c>
      <c r="H4124" s="1">
        <v>41677</v>
      </c>
      <c r="I4124" s="1">
        <v>41689</v>
      </c>
      <c r="J4124" s="1">
        <v>41689</v>
      </c>
      <c r="K4124" s="1">
        <v>41779</v>
      </c>
      <c r="N4124" s="5"/>
      <c r="O4124">
        <v>305</v>
      </c>
      <c r="P4124">
        <v>352</v>
      </c>
      <c r="Q4124" s="2">
        <v>107360</v>
      </c>
      <c r="R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 s="1">
        <v>42382</v>
      </c>
      <c r="AC4124" t="s">
        <v>53</v>
      </c>
      <c r="AD4124" t="s">
        <v>53</v>
      </c>
      <c r="AK4124">
        <v>0</v>
      </c>
      <c r="AU4124" s="6">
        <v>42131</v>
      </c>
      <c r="AV4124" s="6">
        <v>42131</v>
      </c>
      <c r="AW4124" t="s">
        <v>54</v>
      </c>
      <c r="AX4124" t="str">
        <f t="shared" si="348"/>
        <v>FOR</v>
      </c>
      <c r="AY4124" t="s">
        <v>55</v>
      </c>
    </row>
    <row r="4125" spans="1:51" hidden="1">
      <c r="A4125">
        <v>101541</v>
      </c>
      <c r="B4125" t="s">
        <v>763</v>
      </c>
      <c r="C4125" t="str">
        <f t="shared" si="350"/>
        <v>08230471008</v>
      </c>
      <c r="D4125" t="str">
        <f t="shared" si="350"/>
        <v>08230471008</v>
      </c>
      <c r="E4125" t="s">
        <v>52</v>
      </c>
      <c r="F4125">
        <v>2014</v>
      </c>
      <c r="G4125">
        <v>1740</v>
      </c>
      <c r="H4125" s="1">
        <v>41677</v>
      </c>
      <c r="I4125" s="1">
        <v>41689</v>
      </c>
      <c r="J4125" s="1">
        <v>41689</v>
      </c>
      <c r="K4125" s="1">
        <v>41779</v>
      </c>
      <c r="N4125" s="5"/>
      <c r="O4125">
        <v>305</v>
      </c>
      <c r="P4125">
        <v>352</v>
      </c>
      <c r="Q4125" s="2">
        <v>107360</v>
      </c>
      <c r="R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 s="1">
        <v>42382</v>
      </c>
      <c r="AC4125" t="s">
        <v>53</v>
      </c>
      <c r="AD4125" t="s">
        <v>53</v>
      </c>
      <c r="AK4125">
        <v>0</v>
      </c>
      <c r="AU4125" s="6">
        <v>42131</v>
      </c>
      <c r="AV4125" s="6">
        <v>42131</v>
      </c>
      <c r="AW4125" t="s">
        <v>54</v>
      </c>
      <c r="AX4125" t="str">
        <f t="shared" si="348"/>
        <v>FOR</v>
      </c>
      <c r="AY4125" t="s">
        <v>55</v>
      </c>
    </row>
    <row r="4126" spans="1:51" hidden="1">
      <c r="A4126">
        <v>101541</v>
      </c>
      <c r="B4126" t="s">
        <v>763</v>
      </c>
      <c r="C4126" t="str">
        <f t="shared" si="350"/>
        <v>08230471008</v>
      </c>
      <c r="D4126" t="str">
        <f t="shared" si="350"/>
        <v>08230471008</v>
      </c>
      <c r="E4126" t="s">
        <v>52</v>
      </c>
      <c r="F4126">
        <v>2014</v>
      </c>
      <c r="G4126">
        <v>2320</v>
      </c>
      <c r="H4126" s="1">
        <v>41691</v>
      </c>
      <c r="I4126" s="1">
        <v>41702</v>
      </c>
      <c r="J4126" s="1">
        <v>41702</v>
      </c>
      <c r="K4126" s="1">
        <v>41792</v>
      </c>
      <c r="N4126" s="5"/>
      <c r="O4126">
        <v>305</v>
      </c>
      <c r="P4126">
        <v>339</v>
      </c>
      <c r="Q4126" s="2">
        <v>103395</v>
      </c>
      <c r="R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 s="1">
        <v>42382</v>
      </c>
      <c r="AC4126" t="s">
        <v>53</v>
      </c>
      <c r="AD4126" t="s">
        <v>53</v>
      </c>
      <c r="AK4126">
        <v>0</v>
      </c>
      <c r="AU4126" s="6">
        <v>42131</v>
      </c>
      <c r="AV4126" s="6">
        <v>42131</v>
      </c>
      <c r="AW4126" t="s">
        <v>54</v>
      </c>
      <c r="AX4126" t="str">
        <f t="shared" si="348"/>
        <v>FOR</v>
      </c>
      <c r="AY4126" t="s">
        <v>55</v>
      </c>
    </row>
    <row r="4127" spans="1:51" hidden="1">
      <c r="A4127">
        <v>101541</v>
      </c>
      <c r="B4127" t="s">
        <v>763</v>
      </c>
      <c r="C4127" t="str">
        <f t="shared" si="350"/>
        <v>08230471008</v>
      </c>
      <c r="D4127" t="str">
        <f t="shared" si="350"/>
        <v>08230471008</v>
      </c>
      <c r="E4127" t="s">
        <v>52</v>
      </c>
      <c r="F4127">
        <v>2014</v>
      </c>
      <c r="G4127">
        <v>2321</v>
      </c>
      <c r="H4127" s="1">
        <v>41691</v>
      </c>
      <c r="I4127" s="1">
        <v>41702</v>
      </c>
      <c r="J4127" s="1">
        <v>41702</v>
      </c>
      <c r="K4127" s="1">
        <v>41792</v>
      </c>
      <c r="N4127" s="5"/>
      <c r="O4127">
        <v>305</v>
      </c>
      <c r="P4127">
        <v>339</v>
      </c>
      <c r="Q4127" s="2">
        <v>103395</v>
      </c>
      <c r="R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 s="1">
        <v>42382</v>
      </c>
      <c r="AC4127" t="s">
        <v>53</v>
      </c>
      <c r="AD4127" t="s">
        <v>53</v>
      </c>
      <c r="AK4127">
        <v>0</v>
      </c>
      <c r="AU4127" s="6">
        <v>42131</v>
      </c>
      <c r="AV4127" s="6">
        <v>42131</v>
      </c>
      <c r="AW4127" t="s">
        <v>54</v>
      </c>
      <c r="AX4127" t="str">
        <f t="shared" si="348"/>
        <v>FOR</v>
      </c>
      <c r="AY4127" t="s">
        <v>55</v>
      </c>
    </row>
    <row r="4128" spans="1:51" hidden="1">
      <c r="A4128">
        <v>101541</v>
      </c>
      <c r="B4128" t="s">
        <v>763</v>
      </c>
      <c r="C4128" t="str">
        <f t="shared" si="350"/>
        <v>08230471008</v>
      </c>
      <c r="D4128" t="str">
        <f t="shared" si="350"/>
        <v>08230471008</v>
      </c>
      <c r="E4128" t="s">
        <v>52</v>
      </c>
      <c r="F4128">
        <v>2014</v>
      </c>
      <c r="G4128">
        <v>2322</v>
      </c>
      <c r="H4128" s="1">
        <v>41691</v>
      </c>
      <c r="I4128" s="1">
        <v>41702</v>
      </c>
      <c r="J4128" s="1">
        <v>41702</v>
      </c>
      <c r="K4128" s="1">
        <v>41792</v>
      </c>
      <c r="N4128" s="5"/>
      <c r="O4128">
        <v>305</v>
      </c>
      <c r="P4128">
        <v>339</v>
      </c>
      <c r="Q4128" s="2">
        <v>103395</v>
      </c>
      <c r="R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 s="1">
        <v>42382</v>
      </c>
      <c r="AC4128" t="s">
        <v>53</v>
      </c>
      <c r="AD4128" t="s">
        <v>53</v>
      </c>
      <c r="AK4128">
        <v>0</v>
      </c>
      <c r="AU4128" s="6">
        <v>42131</v>
      </c>
      <c r="AV4128" s="6">
        <v>42131</v>
      </c>
      <c r="AW4128" t="s">
        <v>54</v>
      </c>
      <c r="AX4128" t="str">
        <f t="shared" si="348"/>
        <v>FOR</v>
      </c>
      <c r="AY4128" t="s">
        <v>55</v>
      </c>
    </row>
    <row r="4129" spans="1:51" hidden="1">
      <c r="A4129">
        <v>101541</v>
      </c>
      <c r="B4129" t="s">
        <v>763</v>
      </c>
      <c r="C4129" t="str">
        <f t="shared" si="350"/>
        <v>08230471008</v>
      </c>
      <c r="D4129" t="str">
        <f t="shared" si="350"/>
        <v>08230471008</v>
      </c>
      <c r="E4129" t="s">
        <v>52</v>
      </c>
      <c r="F4129">
        <v>2014</v>
      </c>
      <c r="G4129">
        <v>2323</v>
      </c>
      <c r="H4129" s="1">
        <v>41691</v>
      </c>
      <c r="I4129" s="1">
        <v>41702</v>
      </c>
      <c r="J4129" s="1">
        <v>41702</v>
      </c>
      <c r="K4129" s="1">
        <v>41792</v>
      </c>
      <c r="N4129" s="5"/>
      <c r="O4129">
        <v>305</v>
      </c>
      <c r="P4129">
        <v>339</v>
      </c>
      <c r="Q4129" s="2">
        <v>103395</v>
      </c>
      <c r="R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 s="1">
        <v>42382</v>
      </c>
      <c r="AC4129" t="s">
        <v>53</v>
      </c>
      <c r="AD4129" t="s">
        <v>53</v>
      </c>
      <c r="AK4129">
        <v>0</v>
      </c>
      <c r="AU4129" s="6">
        <v>42131</v>
      </c>
      <c r="AV4129" s="6">
        <v>42131</v>
      </c>
      <c r="AW4129" t="s">
        <v>54</v>
      </c>
      <c r="AX4129" t="str">
        <f t="shared" si="348"/>
        <v>FOR</v>
      </c>
      <c r="AY4129" t="s">
        <v>55</v>
      </c>
    </row>
    <row r="4130" spans="1:51" hidden="1">
      <c r="A4130">
        <v>101541</v>
      </c>
      <c r="B4130" t="s">
        <v>763</v>
      </c>
      <c r="C4130" t="str">
        <f t="shared" si="350"/>
        <v>08230471008</v>
      </c>
      <c r="D4130" t="str">
        <f t="shared" si="350"/>
        <v>08230471008</v>
      </c>
      <c r="E4130" t="s">
        <v>52</v>
      </c>
      <c r="F4130">
        <v>2014</v>
      </c>
      <c r="G4130">
        <v>2324</v>
      </c>
      <c r="H4130" s="1">
        <v>41691</v>
      </c>
      <c r="I4130" s="1">
        <v>41702</v>
      </c>
      <c r="J4130" s="1">
        <v>41702</v>
      </c>
      <c r="K4130" s="1">
        <v>41792</v>
      </c>
      <c r="N4130" s="5"/>
      <c r="O4130">
        <v>305</v>
      </c>
      <c r="P4130">
        <v>339</v>
      </c>
      <c r="Q4130" s="2">
        <v>103395</v>
      </c>
      <c r="R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 s="1">
        <v>42382</v>
      </c>
      <c r="AC4130" t="s">
        <v>53</v>
      </c>
      <c r="AD4130" t="s">
        <v>53</v>
      </c>
      <c r="AK4130">
        <v>0</v>
      </c>
      <c r="AU4130" s="6">
        <v>42131</v>
      </c>
      <c r="AV4130" s="6">
        <v>42131</v>
      </c>
      <c r="AW4130" t="s">
        <v>54</v>
      </c>
      <c r="AX4130" t="str">
        <f t="shared" si="348"/>
        <v>FOR</v>
      </c>
      <c r="AY4130" t="s">
        <v>55</v>
      </c>
    </row>
    <row r="4131" spans="1:51" hidden="1">
      <c r="A4131">
        <v>101541</v>
      </c>
      <c r="B4131" t="s">
        <v>763</v>
      </c>
      <c r="C4131" t="str">
        <f t="shared" si="350"/>
        <v>08230471008</v>
      </c>
      <c r="D4131" t="str">
        <f t="shared" si="350"/>
        <v>08230471008</v>
      </c>
      <c r="E4131" t="s">
        <v>52</v>
      </c>
      <c r="F4131">
        <v>2014</v>
      </c>
      <c r="G4131">
        <v>2775</v>
      </c>
      <c r="H4131" s="1">
        <v>41698</v>
      </c>
      <c r="I4131" s="1">
        <v>41711</v>
      </c>
      <c r="J4131" s="1">
        <v>41711</v>
      </c>
      <c r="K4131" s="1">
        <v>41801</v>
      </c>
      <c r="N4131" s="5"/>
      <c r="O4131">
        <v>305</v>
      </c>
      <c r="P4131">
        <v>330</v>
      </c>
      <c r="Q4131" s="2">
        <v>100650</v>
      </c>
      <c r="R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 s="1">
        <v>42382</v>
      </c>
      <c r="AC4131" t="s">
        <v>53</v>
      </c>
      <c r="AD4131" t="s">
        <v>53</v>
      </c>
      <c r="AK4131">
        <v>0</v>
      </c>
      <c r="AU4131" s="6">
        <v>42131</v>
      </c>
      <c r="AV4131" s="6">
        <v>42131</v>
      </c>
      <c r="AW4131" t="s">
        <v>54</v>
      </c>
      <c r="AX4131" t="str">
        <f t="shared" si="348"/>
        <v>FOR</v>
      </c>
      <c r="AY4131" t="s">
        <v>55</v>
      </c>
    </row>
    <row r="4132" spans="1:51" hidden="1">
      <c r="A4132">
        <v>101541</v>
      </c>
      <c r="B4132" t="s">
        <v>763</v>
      </c>
      <c r="C4132" t="str">
        <f t="shared" si="350"/>
        <v>08230471008</v>
      </c>
      <c r="D4132" t="str">
        <f t="shared" si="350"/>
        <v>08230471008</v>
      </c>
      <c r="E4132" t="s">
        <v>52</v>
      </c>
      <c r="F4132">
        <v>2014</v>
      </c>
      <c r="G4132">
        <v>2776</v>
      </c>
      <c r="H4132" s="1">
        <v>41698</v>
      </c>
      <c r="I4132" s="1">
        <v>41711</v>
      </c>
      <c r="J4132" s="1">
        <v>41711</v>
      </c>
      <c r="K4132" s="1">
        <v>41801</v>
      </c>
      <c r="N4132" s="5"/>
      <c r="O4132">
        <v>305</v>
      </c>
      <c r="P4132">
        <v>330</v>
      </c>
      <c r="Q4132" s="2">
        <v>100650</v>
      </c>
      <c r="R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 s="1">
        <v>42382</v>
      </c>
      <c r="AC4132" t="s">
        <v>53</v>
      </c>
      <c r="AD4132" t="s">
        <v>53</v>
      </c>
      <c r="AK4132">
        <v>0</v>
      </c>
      <c r="AU4132" s="6">
        <v>42131</v>
      </c>
      <c r="AV4132" s="6">
        <v>42131</v>
      </c>
      <c r="AW4132" t="s">
        <v>54</v>
      </c>
      <c r="AX4132" t="str">
        <f t="shared" si="348"/>
        <v>FOR</v>
      </c>
      <c r="AY4132" t="s">
        <v>55</v>
      </c>
    </row>
    <row r="4133" spans="1:51" hidden="1">
      <c r="A4133">
        <v>101541</v>
      </c>
      <c r="B4133" t="s">
        <v>763</v>
      </c>
      <c r="C4133" t="str">
        <f t="shared" si="350"/>
        <v>08230471008</v>
      </c>
      <c r="D4133" t="str">
        <f t="shared" si="350"/>
        <v>08230471008</v>
      </c>
      <c r="E4133" t="s">
        <v>52</v>
      </c>
      <c r="F4133">
        <v>2014</v>
      </c>
      <c r="G4133">
        <v>2777</v>
      </c>
      <c r="H4133" s="1">
        <v>41698</v>
      </c>
      <c r="I4133" s="1">
        <v>41711</v>
      </c>
      <c r="J4133" s="1">
        <v>41711</v>
      </c>
      <c r="K4133" s="1">
        <v>41801</v>
      </c>
      <c r="N4133" s="5"/>
      <c r="O4133">
        <v>305</v>
      </c>
      <c r="P4133">
        <v>330</v>
      </c>
      <c r="Q4133" s="2">
        <v>100650</v>
      </c>
      <c r="R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 s="1">
        <v>42382</v>
      </c>
      <c r="AC4133" t="s">
        <v>53</v>
      </c>
      <c r="AD4133" t="s">
        <v>53</v>
      </c>
      <c r="AK4133">
        <v>0</v>
      </c>
      <c r="AU4133" s="6">
        <v>42131</v>
      </c>
      <c r="AV4133" s="6">
        <v>42131</v>
      </c>
      <c r="AW4133" t="s">
        <v>54</v>
      </c>
      <c r="AX4133" t="str">
        <f t="shared" si="348"/>
        <v>FOR</v>
      </c>
      <c r="AY4133" t="s">
        <v>55</v>
      </c>
    </row>
    <row r="4134" spans="1:51" hidden="1">
      <c r="A4134">
        <v>101541</v>
      </c>
      <c r="B4134" t="s">
        <v>763</v>
      </c>
      <c r="C4134" t="str">
        <f t="shared" si="350"/>
        <v>08230471008</v>
      </c>
      <c r="D4134" t="str">
        <f t="shared" si="350"/>
        <v>08230471008</v>
      </c>
      <c r="E4134" t="s">
        <v>52</v>
      </c>
      <c r="F4134">
        <v>2014</v>
      </c>
      <c r="G4134">
        <v>2778</v>
      </c>
      <c r="H4134" s="1">
        <v>41698</v>
      </c>
      <c r="I4134" s="1">
        <v>41711</v>
      </c>
      <c r="J4134" s="1">
        <v>41711</v>
      </c>
      <c r="K4134" s="1">
        <v>41801</v>
      </c>
      <c r="N4134" s="5"/>
      <c r="O4134" s="2">
        <v>4941</v>
      </c>
      <c r="P4134">
        <v>330</v>
      </c>
      <c r="Q4134" s="2">
        <v>1630530</v>
      </c>
      <c r="R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 s="1">
        <v>42382</v>
      </c>
      <c r="AC4134" t="s">
        <v>53</v>
      </c>
      <c r="AD4134" t="s">
        <v>53</v>
      </c>
      <c r="AK4134">
        <v>0</v>
      </c>
      <c r="AU4134" s="6">
        <v>42131</v>
      </c>
      <c r="AV4134" s="6">
        <v>42131</v>
      </c>
      <c r="AW4134" t="s">
        <v>54</v>
      </c>
      <c r="AX4134" t="str">
        <f t="shared" si="348"/>
        <v>FOR</v>
      </c>
      <c r="AY4134" t="s">
        <v>55</v>
      </c>
    </row>
    <row r="4135" spans="1:51" hidden="1">
      <c r="A4135">
        <v>101541</v>
      </c>
      <c r="B4135" t="s">
        <v>763</v>
      </c>
      <c r="C4135" t="str">
        <f t="shared" si="350"/>
        <v>08230471008</v>
      </c>
      <c r="D4135" t="str">
        <f t="shared" si="350"/>
        <v>08230471008</v>
      </c>
      <c r="E4135" t="s">
        <v>52</v>
      </c>
      <c r="F4135">
        <v>2014</v>
      </c>
      <c r="G4135">
        <v>2779</v>
      </c>
      <c r="H4135" s="1">
        <v>41698</v>
      </c>
      <c r="I4135" s="1">
        <v>41711</v>
      </c>
      <c r="J4135" s="1">
        <v>41711</v>
      </c>
      <c r="K4135" s="1">
        <v>41801</v>
      </c>
      <c r="N4135" s="5"/>
      <c r="O4135">
        <v>305</v>
      </c>
      <c r="P4135">
        <v>330</v>
      </c>
      <c r="Q4135" s="2">
        <v>100650</v>
      </c>
      <c r="R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 s="1">
        <v>42382</v>
      </c>
      <c r="AC4135" t="s">
        <v>53</v>
      </c>
      <c r="AD4135" t="s">
        <v>53</v>
      </c>
      <c r="AK4135">
        <v>0</v>
      </c>
      <c r="AU4135" s="6">
        <v>42131</v>
      </c>
      <c r="AV4135" s="6">
        <v>42131</v>
      </c>
      <c r="AW4135" t="s">
        <v>54</v>
      </c>
      <c r="AX4135" t="str">
        <f t="shared" si="348"/>
        <v>FOR</v>
      </c>
      <c r="AY4135" t="s">
        <v>55</v>
      </c>
    </row>
    <row r="4136" spans="1:51" hidden="1">
      <c r="A4136">
        <v>101541</v>
      </c>
      <c r="B4136" t="s">
        <v>763</v>
      </c>
      <c r="C4136" t="str">
        <f t="shared" si="350"/>
        <v>08230471008</v>
      </c>
      <c r="D4136" t="str">
        <f t="shared" si="350"/>
        <v>08230471008</v>
      </c>
      <c r="E4136" t="s">
        <v>52</v>
      </c>
      <c r="F4136">
        <v>2014</v>
      </c>
      <c r="G4136">
        <v>2780</v>
      </c>
      <c r="H4136" s="1">
        <v>41698</v>
      </c>
      <c r="I4136" s="1">
        <v>41711</v>
      </c>
      <c r="J4136" s="1">
        <v>41711</v>
      </c>
      <c r="K4136" s="1">
        <v>41801</v>
      </c>
      <c r="N4136" s="5"/>
      <c r="O4136">
        <v>305</v>
      </c>
      <c r="P4136">
        <v>330</v>
      </c>
      <c r="Q4136" s="2">
        <v>100650</v>
      </c>
      <c r="R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 s="1">
        <v>42382</v>
      </c>
      <c r="AC4136" t="s">
        <v>53</v>
      </c>
      <c r="AD4136" t="s">
        <v>53</v>
      </c>
      <c r="AK4136">
        <v>0</v>
      </c>
      <c r="AU4136" s="6">
        <v>42131</v>
      </c>
      <c r="AV4136" s="6">
        <v>42131</v>
      </c>
      <c r="AW4136" t="s">
        <v>54</v>
      </c>
      <c r="AX4136" t="str">
        <f t="shared" si="348"/>
        <v>FOR</v>
      </c>
      <c r="AY4136" t="s">
        <v>55</v>
      </c>
    </row>
    <row r="4137" spans="1:51" hidden="1">
      <c r="A4137">
        <v>101541</v>
      </c>
      <c r="B4137" t="s">
        <v>763</v>
      </c>
      <c r="C4137" t="str">
        <f t="shared" si="350"/>
        <v>08230471008</v>
      </c>
      <c r="D4137" t="str">
        <f t="shared" si="350"/>
        <v>08230471008</v>
      </c>
      <c r="E4137" t="s">
        <v>52</v>
      </c>
      <c r="F4137">
        <v>2014</v>
      </c>
      <c r="G4137">
        <v>2781</v>
      </c>
      <c r="H4137" s="1">
        <v>41698</v>
      </c>
      <c r="I4137" s="1">
        <v>41711</v>
      </c>
      <c r="J4137" s="1">
        <v>41711</v>
      </c>
      <c r="K4137" s="1">
        <v>41801</v>
      </c>
      <c r="N4137" s="5"/>
      <c r="O4137">
        <v>305</v>
      </c>
      <c r="P4137">
        <v>330</v>
      </c>
      <c r="Q4137" s="2">
        <v>100650</v>
      </c>
      <c r="R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 s="1">
        <v>42382</v>
      </c>
      <c r="AC4137" t="s">
        <v>53</v>
      </c>
      <c r="AD4137" t="s">
        <v>53</v>
      </c>
      <c r="AK4137">
        <v>0</v>
      </c>
      <c r="AU4137" s="6">
        <v>42131</v>
      </c>
      <c r="AV4137" s="6">
        <v>42131</v>
      </c>
      <c r="AW4137" t="s">
        <v>54</v>
      </c>
      <c r="AX4137" t="str">
        <f t="shared" si="348"/>
        <v>FOR</v>
      </c>
      <c r="AY4137" t="s">
        <v>55</v>
      </c>
    </row>
    <row r="4138" spans="1:51" hidden="1">
      <c r="A4138">
        <v>101541</v>
      </c>
      <c r="B4138" t="s">
        <v>763</v>
      </c>
      <c r="C4138" t="str">
        <f t="shared" si="350"/>
        <v>08230471008</v>
      </c>
      <c r="D4138" t="str">
        <f t="shared" si="350"/>
        <v>08230471008</v>
      </c>
      <c r="E4138" t="s">
        <v>52</v>
      </c>
      <c r="F4138">
        <v>2014</v>
      </c>
      <c r="G4138">
        <v>2782</v>
      </c>
      <c r="H4138" s="1">
        <v>41698</v>
      </c>
      <c r="I4138" s="1">
        <v>41711</v>
      </c>
      <c r="J4138" s="1">
        <v>41711</v>
      </c>
      <c r="K4138" s="1">
        <v>41801</v>
      </c>
      <c r="N4138" s="5"/>
      <c r="O4138">
        <v>305</v>
      </c>
      <c r="P4138">
        <v>330</v>
      </c>
      <c r="Q4138" s="2">
        <v>100650</v>
      </c>
      <c r="R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 s="1">
        <v>42382</v>
      </c>
      <c r="AC4138" t="s">
        <v>53</v>
      </c>
      <c r="AD4138" t="s">
        <v>53</v>
      </c>
      <c r="AK4138">
        <v>0</v>
      </c>
      <c r="AU4138" s="6">
        <v>42131</v>
      </c>
      <c r="AV4138" s="6">
        <v>42131</v>
      </c>
      <c r="AW4138" t="s">
        <v>54</v>
      </c>
      <c r="AX4138" t="str">
        <f t="shared" si="348"/>
        <v>FOR</v>
      </c>
      <c r="AY4138" t="s">
        <v>55</v>
      </c>
    </row>
    <row r="4139" spans="1:51" hidden="1">
      <c r="A4139">
        <v>101541</v>
      </c>
      <c r="B4139" t="s">
        <v>763</v>
      </c>
      <c r="C4139" t="str">
        <f t="shared" si="350"/>
        <v>08230471008</v>
      </c>
      <c r="D4139" t="str">
        <f t="shared" si="350"/>
        <v>08230471008</v>
      </c>
      <c r="E4139" t="s">
        <v>52</v>
      </c>
      <c r="F4139">
        <v>2014</v>
      </c>
      <c r="G4139">
        <v>2783</v>
      </c>
      <c r="H4139" s="1">
        <v>41698</v>
      </c>
      <c r="I4139" s="1">
        <v>41711</v>
      </c>
      <c r="J4139" s="1">
        <v>41711</v>
      </c>
      <c r="K4139" s="1">
        <v>41801</v>
      </c>
      <c r="N4139" s="5"/>
      <c r="O4139" s="2">
        <v>9880</v>
      </c>
      <c r="P4139">
        <v>330</v>
      </c>
      <c r="Q4139" s="2">
        <v>3260400</v>
      </c>
      <c r="R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 s="1">
        <v>42382</v>
      </c>
      <c r="AC4139" t="s">
        <v>53</v>
      </c>
      <c r="AD4139" t="s">
        <v>53</v>
      </c>
      <c r="AK4139">
        <v>0</v>
      </c>
      <c r="AU4139" s="6">
        <v>42131</v>
      </c>
      <c r="AV4139" s="6">
        <v>42131</v>
      </c>
      <c r="AW4139" t="s">
        <v>54</v>
      </c>
      <c r="AX4139" t="str">
        <f t="shared" si="348"/>
        <v>FOR</v>
      </c>
      <c r="AY4139" t="s">
        <v>55</v>
      </c>
    </row>
    <row r="4140" spans="1:51" hidden="1">
      <c r="A4140">
        <v>101541</v>
      </c>
      <c r="B4140" t="s">
        <v>763</v>
      </c>
      <c r="C4140" t="str">
        <f t="shared" si="350"/>
        <v>08230471008</v>
      </c>
      <c r="D4140" t="str">
        <f t="shared" si="350"/>
        <v>08230471008</v>
      </c>
      <c r="E4140" t="s">
        <v>52</v>
      </c>
      <c r="F4140">
        <v>2014</v>
      </c>
      <c r="G4140">
        <v>2784</v>
      </c>
      <c r="H4140" s="1">
        <v>41698</v>
      </c>
      <c r="I4140" s="1">
        <v>41711</v>
      </c>
      <c r="J4140" s="1">
        <v>41711</v>
      </c>
      <c r="K4140" s="1">
        <v>41801</v>
      </c>
      <c r="N4140" s="5"/>
      <c r="O4140" s="2">
        <v>1952</v>
      </c>
      <c r="P4140">
        <v>330</v>
      </c>
      <c r="Q4140" s="2">
        <v>644160</v>
      </c>
      <c r="R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 s="1">
        <v>42382</v>
      </c>
      <c r="AC4140" t="s">
        <v>53</v>
      </c>
      <c r="AD4140" t="s">
        <v>53</v>
      </c>
      <c r="AK4140">
        <v>0</v>
      </c>
      <c r="AU4140" s="6">
        <v>42131</v>
      </c>
      <c r="AV4140" s="6">
        <v>42131</v>
      </c>
      <c r="AW4140" t="s">
        <v>54</v>
      </c>
      <c r="AX4140" t="str">
        <f t="shared" si="348"/>
        <v>FOR</v>
      </c>
      <c r="AY4140" t="s">
        <v>55</v>
      </c>
    </row>
    <row r="4141" spans="1:51" hidden="1">
      <c r="A4141">
        <v>101541</v>
      </c>
      <c r="B4141" t="s">
        <v>763</v>
      </c>
      <c r="C4141" t="str">
        <f t="shared" si="350"/>
        <v>08230471008</v>
      </c>
      <c r="D4141" t="str">
        <f t="shared" si="350"/>
        <v>08230471008</v>
      </c>
      <c r="E4141" t="s">
        <v>52</v>
      </c>
      <c r="F4141">
        <v>2014</v>
      </c>
      <c r="G4141">
        <v>3346</v>
      </c>
      <c r="H4141" s="1">
        <v>41705</v>
      </c>
      <c r="I4141" s="1">
        <v>41715</v>
      </c>
      <c r="J4141" s="1">
        <v>41715</v>
      </c>
      <c r="K4141" s="1">
        <v>41805</v>
      </c>
      <c r="N4141" s="5"/>
      <c r="O4141">
        <v>728</v>
      </c>
      <c r="P4141">
        <v>326</v>
      </c>
      <c r="Q4141" s="2">
        <v>237328</v>
      </c>
      <c r="R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 s="1">
        <v>42382</v>
      </c>
      <c r="AC4141" t="s">
        <v>53</v>
      </c>
      <c r="AD4141" t="s">
        <v>53</v>
      </c>
      <c r="AK4141">
        <v>0</v>
      </c>
      <c r="AU4141" s="6">
        <v>42131</v>
      </c>
      <c r="AV4141" s="6">
        <v>42131</v>
      </c>
      <c r="AW4141" t="s">
        <v>54</v>
      </c>
      <c r="AX4141" t="str">
        <f t="shared" si="348"/>
        <v>FOR</v>
      </c>
      <c r="AY4141" t="s">
        <v>55</v>
      </c>
    </row>
    <row r="4142" spans="1:51" hidden="1">
      <c r="A4142">
        <v>101541</v>
      </c>
      <c r="B4142" t="s">
        <v>763</v>
      </c>
      <c r="C4142" t="str">
        <f t="shared" si="350"/>
        <v>08230471008</v>
      </c>
      <c r="D4142" t="str">
        <f t="shared" si="350"/>
        <v>08230471008</v>
      </c>
      <c r="E4142" t="s">
        <v>52</v>
      </c>
      <c r="F4142">
        <v>2014</v>
      </c>
      <c r="G4142">
        <v>3347</v>
      </c>
      <c r="H4142" s="1">
        <v>41705</v>
      </c>
      <c r="I4142" s="1">
        <v>41715</v>
      </c>
      <c r="J4142" s="1">
        <v>41715</v>
      </c>
      <c r="K4142" s="1">
        <v>41805</v>
      </c>
      <c r="N4142" s="5"/>
      <c r="O4142">
        <v>305</v>
      </c>
      <c r="P4142">
        <v>326</v>
      </c>
      <c r="Q4142" s="2">
        <v>99430</v>
      </c>
      <c r="R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 s="1">
        <v>42382</v>
      </c>
      <c r="AC4142" t="s">
        <v>53</v>
      </c>
      <c r="AD4142" t="s">
        <v>53</v>
      </c>
      <c r="AK4142">
        <v>0</v>
      </c>
      <c r="AU4142" s="6">
        <v>42131</v>
      </c>
      <c r="AV4142" s="6">
        <v>42131</v>
      </c>
      <c r="AW4142" t="s">
        <v>54</v>
      </c>
      <c r="AX4142" t="str">
        <f t="shared" si="348"/>
        <v>FOR</v>
      </c>
      <c r="AY4142" t="s">
        <v>55</v>
      </c>
    </row>
    <row r="4143" spans="1:51" hidden="1">
      <c r="A4143">
        <v>101541</v>
      </c>
      <c r="B4143" t="s">
        <v>763</v>
      </c>
      <c r="C4143" t="str">
        <f t="shared" ref="C4143:D4162" si="351">"08230471008"</f>
        <v>08230471008</v>
      </c>
      <c r="D4143" t="str">
        <f t="shared" si="351"/>
        <v>08230471008</v>
      </c>
      <c r="E4143" t="s">
        <v>52</v>
      </c>
      <c r="F4143">
        <v>2014</v>
      </c>
      <c r="G4143">
        <v>3569</v>
      </c>
      <c r="H4143" s="1">
        <v>41712</v>
      </c>
      <c r="I4143" s="1">
        <v>41722</v>
      </c>
      <c r="J4143" s="1">
        <v>41722</v>
      </c>
      <c r="K4143" s="1">
        <v>41812</v>
      </c>
      <c r="N4143" s="5"/>
      <c r="O4143">
        <v>305</v>
      </c>
      <c r="P4143">
        <v>319</v>
      </c>
      <c r="Q4143" s="2">
        <v>97295</v>
      </c>
      <c r="R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 s="1">
        <v>42382</v>
      </c>
      <c r="AC4143" t="s">
        <v>53</v>
      </c>
      <c r="AD4143" t="s">
        <v>53</v>
      </c>
      <c r="AK4143">
        <v>0</v>
      </c>
      <c r="AU4143" s="6">
        <v>42131</v>
      </c>
      <c r="AV4143" s="6">
        <v>42131</v>
      </c>
      <c r="AW4143" t="s">
        <v>54</v>
      </c>
      <c r="AX4143" t="str">
        <f t="shared" si="348"/>
        <v>FOR</v>
      </c>
      <c r="AY4143" t="s">
        <v>55</v>
      </c>
    </row>
    <row r="4144" spans="1:51" hidden="1">
      <c r="A4144">
        <v>101541</v>
      </c>
      <c r="B4144" t="s">
        <v>763</v>
      </c>
      <c r="C4144" t="str">
        <f t="shared" si="351"/>
        <v>08230471008</v>
      </c>
      <c r="D4144" t="str">
        <f t="shared" si="351"/>
        <v>08230471008</v>
      </c>
      <c r="E4144" t="s">
        <v>52</v>
      </c>
      <c r="F4144">
        <v>2014</v>
      </c>
      <c r="G4144">
        <v>3570</v>
      </c>
      <c r="H4144" s="1">
        <v>41712</v>
      </c>
      <c r="I4144" s="1">
        <v>41722</v>
      </c>
      <c r="J4144" s="1">
        <v>41722</v>
      </c>
      <c r="K4144" s="1">
        <v>41812</v>
      </c>
      <c r="N4144" s="5"/>
      <c r="O4144">
        <v>305</v>
      </c>
      <c r="P4144">
        <v>319</v>
      </c>
      <c r="Q4144" s="2">
        <v>97295</v>
      </c>
      <c r="R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 s="1">
        <v>42382</v>
      </c>
      <c r="AC4144" t="s">
        <v>53</v>
      </c>
      <c r="AD4144" t="s">
        <v>53</v>
      </c>
      <c r="AK4144">
        <v>0</v>
      </c>
      <c r="AU4144" s="6">
        <v>42131</v>
      </c>
      <c r="AV4144" s="6">
        <v>42131</v>
      </c>
      <c r="AW4144" t="s">
        <v>54</v>
      </c>
      <c r="AX4144" t="str">
        <f t="shared" si="348"/>
        <v>FOR</v>
      </c>
      <c r="AY4144" t="s">
        <v>55</v>
      </c>
    </row>
    <row r="4145" spans="1:51" hidden="1">
      <c r="A4145">
        <v>101541</v>
      </c>
      <c r="B4145" t="s">
        <v>763</v>
      </c>
      <c r="C4145" t="str">
        <f t="shared" si="351"/>
        <v>08230471008</v>
      </c>
      <c r="D4145" t="str">
        <f t="shared" si="351"/>
        <v>08230471008</v>
      </c>
      <c r="E4145" t="s">
        <v>52</v>
      </c>
      <c r="F4145">
        <v>2014</v>
      </c>
      <c r="G4145">
        <v>3571</v>
      </c>
      <c r="H4145" s="1">
        <v>41712</v>
      </c>
      <c r="I4145" s="1">
        <v>41722</v>
      </c>
      <c r="J4145" s="1">
        <v>41722</v>
      </c>
      <c r="K4145" s="1">
        <v>41812</v>
      </c>
      <c r="N4145" s="5"/>
      <c r="O4145">
        <v>305</v>
      </c>
      <c r="P4145">
        <v>319</v>
      </c>
      <c r="Q4145" s="2">
        <v>97295</v>
      </c>
      <c r="R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 s="1">
        <v>42382</v>
      </c>
      <c r="AC4145" t="s">
        <v>53</v>
      </c>
      <c r="AD4145" t="s">
        <v>53</v>
      </c>
      <c r="AK4145">
        <v>0</v>
      </c>
      <c r="AU4145" s="6">
        <v>42131</v>
      </c>
      <c r="AV4145" s="6">
        <v>42131</v>
      </c>
      <c r="AW4145" t="s">
        <v>54</v>
      </c>
      <c r="AX4145" t="str">
        <f t="shared" si="348"/>
        <v>FOR</v>
      </c>
      <c r="AY4145" t="s">
        <v>55</v>
      </c>
    </row>
    <row r="4146" spans="1:51" hidden="1">
      <c r="A4146">
        <v>101541</v>
      </c>
      <c r="B4146" t="s">
        <v>763</v>
      </c>
      <c r="C4146" t="str">
        <f t="shared" si="351"/>
        <v>08230471008</v>
      </c>
      <c r="D4146" t="str">
        <f t="shared" si="351"/>
        <v>08230471008</v>
      </c>
      <c r="E4146" t="s">
        <v>52</v>
      </c>
      <c r="F4146">
        <v>2014</v>
      </c>
      <c r="G4146">
        <v>3572</v>
      </c>
      <c r="H4146" s="1">
        <v>41712</v>
      </c>
      <c r="I4146" s="1">
        <v>41722</v>
      </c>
      <c r="J4146" s="1">
        <v>41722</v>
      </c>
      <c r="K4146" s="1">
        <v>41812</v>
      </c>
      <c r="N4146" s="5"/>
      <c r="O4146">
        <v>305</v>
      </c>
      <c r="P4146">
        <v>319</v>
      </c>
      <c r="Q4146" s="2">
        <v>97295</v>
      </c>
      <c r="R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 s="1">
        <v>42382</v>
      </c>
      <c r="AC4146" t="s">
        <v>53</v>
      </c>
      <c r="AD4146" t="s">
        <v>53</v>
      </c>
      <c r="AK4146">
        <v>0</v>
      </c>
      <c r="AU4146" s="6">
        <v>42131</v>
      </c>
      <c r="AV4146" s="6">
        <v>42131</v>
      </c>
      <c r="AW4146" t="s">
        <v>54</v>
      </c>
      <c r="AX4146" t="str">
        <f t="shared" si="348"/>
        <v>FOR</v>
      </c>
      <c r="AY4146" t="s">
        <v>55</v>
      </c>
    </row>
    <row r="4147" spans="1:51" hidden="1">
      <c r="A4147">
        <v>101541</v>
      </c>
      <c r="B4147" t="s">
        <v>763</v>
      </c>
      <c r="C4147" t="str">
        <f t="shared" si="351"/>
        <v>08230471008</v>
      </c>
      <c r="D4147" t="str">
        <f t="shared" si="351"/>
        <v>08230471008</v>
      </c>
      <c r="E4147" t="s">
        <v>52</v>
      </c>
      <c r="F4147">
        <v>2014</v>
      </c>
      <c r="G4147">
        <v>3573</v>
      </c>
      <c r="H4147" s="1">
        <v>41712</v>
      </c>
      <c r="I4147" s="1">
        <v>41722</v>
      </c>
      <c r="J4147" s="1">
        <v>41722</v>
      </c>
      <c r="K4147" s="1">
        <v>41812</v>
      </c>
      <c r="N4147" s="5"/>
      <c r="O4147">
        <v>305</v>
      </c>
      <c r="P4147">
        <v>319</v>
      </c>
      <c r="Q4147" s="2">
        <v>97295</v>
      </c>
      <c r="R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 s="1">
        <v>42382</v>
      </c>
      <c r="AC4147" t="s">
        <v>53</v>
      </c>
      <c r="AD4147" t="s">
        <v>53</v>
      </c>
      <c r="AK4147">
        <v>0</v>
      </c>
      <c r="AU4147" s="6">
        <v>42131</v>
      </c>
      <c r="AV4147" s="6">
        <v>42131</v>
      </c>
      <c r="AW4147" t="s">
        <v>54</v>
      </c>
      <c r="AX4147" t="str">
        <f t="shared" si="348"/>
        <v>FOR</v>
      </c>
      <c r="AY4147" t="s">
        <v>55</v>
      </c>
    </row>
    <row r="4148" spans="1:51" hidden="1">
      <c r="A4148">
        <v>101541</v>
      </c>
      <c r="B4148" t="s">
        <v>763</v>
      </c>
      <c r="C4148" t="str">
        <f t="shared" si="351"/>
        <v>08230471008</v>
      </c>
      <c r="D4148" t="str">
        <f t="shared" si="351"/>
        <v>08230471008</v>
      </c>
      <c r="E4148" t="s">
        <v>52</v>
      </c>
      <c r="F4148">
        <v>2014</v>
      </c>
      <c r="G4148">
        <v>3574</v>
      </c>
      <c r="H4148" s="1">
        <v>41712</v>
      </c>
      <c r="I4148" s="1">
        <v>41722</v>
      </c>
      <c r="J4148" s="1">
        <v>41722</v>
      </c>
      <c r="K4148" s="1">
        <v>41812</v>
      </c>
      <c r="N4148" s="5"/>
      <c r="O4148">
        <v>305</v>
      </c>
      <c r="P4148">
        <v>319</v>
      </c>
      <c r="Q4148" s="2">
        <v>97295</v>
      </c>
      <c r="R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 s="1">
        <v>42382</v>
      </c>
      <c r="AC4148" t="s">
        <v>53</v>
      </c>
      <c r="AD4148" t="s">
        <v>53</v>
      </c>
      <c r="AK4148">
        <v>0</v>
      </c>
      <c r="AU4148" s="6">
        <v>42131</v>
      </c>
      <c r="AV4148" s="6">
        <v>42131</v>
      </c>
      <c r="AW4148" t="s">
        <v>54</v>
      </c>
      <c r="AX4148" t="str">
        <f t="shared" si="348"/>
        <v>FOR</v>
      </c>
      <c r="AY4148" t="s">
        <v>55</v>
      </c>
    </row>
    <row r="4149" spans="1:51" hidden="1">
      <c r="A4149">
        <v>101541</v>
      </c>
      <c r="B4149" t="s">
        <v>763</v>
      </c>
      <c r="C4149" t="str">
        <f t="shared" si="351"/>
        <v>08230471008</v>
      </c>
      <c r="D4149" t="str">
        <f t="shared" si="351"/>
        <v>08230471008</v>
      </c>
      <c r="E4149" t="s">
        <v>52</v>
      </c>
      <c r="F4149">
        <v>2014</v>
      </c>
      <c r="G4149">
        <v>4070</v>
      </c>
      <c r="H4149" s="1">
        <v>41719</v>
      </c>
      <c r="I4149" s="1">
        <v>41731</v>
      </c>
      <c r="J4149" s="1">
        <v>41731</v>
      </c>
      <c r="K4149" s="1">
        <v>41821</v>
      </c>
      <c r="N4149" s="5"/>
      <c r="O4149">
        <v>205.92</v>
      </c>
      <c r="P4149">
        <v>310</v>
      </c>
      <c r="Q4149" s="2">
        <v>63835.199999999997</v>
      </c>
      <c r="R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 s="1">
        <v>42382</v>
      </c>
      <c r="AC4149" t="s">
        <v>53</v>
      </c>
      <c r="AD4149" t="s">
        <v>53</v>
      </c>
      <c r="AK4149">
        <v>0</v>
      </c>
      <c r="AU4149" s="6">
        <v>42131</v>
      </c>
      <c r="AV4149" s="6">
        <v>42131</v>
      </c>
      <c r="AW4149" t="s">
        <v>54</v>
      </c>
      <c r="AX4149" t="str">
        <f t="shared" si="348"/>
        <v>FOR</v>
      </c>
      <c r="AY4149" t="s">
        <v>55</v>
      </c>
    </row>
    <row r="4150" spans="1:51" hidden="1">
      <c r="A4150">
        <v>101541</v>
      </c>
      <c r="B4150" t="s">
        <v>763</v>
      </c>
      <c r="C4150" t="str">
        <f t="shared" si="351"/>
        <v>08230471008</v>
      </c>
      <c r="D4150" t="str">
        <f t="shared" si="351"/>
        <v>08230471008</v>
      </c>
      <c r="E4150" t="s">
        <v>52</v>
      </c>
      <c r="F4150">
        <v>2014</v>
      </c>
      <c r="G4150">
        <v>4071</v>
      </c>
      <c r="H4150" s="1">
        <v>41719</v>
      </c>
      <c r="I4150" s="1">
        <v>41731</v>
      </c>
      <c r="J4150" s="1">
        <v>41731</v>
      </c>
      <c r="K4150" s="1">
        <v>41821</v>
      </c>
      <c r="N4150" s="5"/>
      <c r="O4150">
        <v>305</v>
      </c>
      <c r="P4150">
        <v>310</v>
      </c>
      <c r="Q4150" s="2">
        <v>94550</v>
      </c>
      <c r="R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 s="1">
        <v>42382</v>
      </c>
      <c r="AC4150" t="s">
        <v>53</v>
      </c>
      <c r="AD4150" t="s">
        <v>53</v>
      </c>
      <c r="AK4150">
        <v>0</v>
      </c>
      <c r="AU4150" s="6">
        <v>42131</v>
      </c>
      <c r="AV4150" s="6">
        <v>42131</v>
      </c>
      <c r="AW4150" t="s">
        <v>54</v>
      </c>
      <c r="AX4150" t="str">
        <f t="shared" si="348"/>
        <v>FOR</v>
      </c>
      <c r="AY4150" t="s">
        <v>55</v>
      </c>
    </row>
    <row r="4151" spans="1:51" hidden="1">
      <c r="A4151">
        <v>101541</v>
      </c>
      <c r="B4151" t="s">
        <v>763</v>
      </c>
      <c r="C4151" t="str">
        <f t="shared" si="351"/>
        <v>08230471008</v>
      </c>
      <c r="D4151" t="str">
        <f t="shared" si="351"/>
        <v>08230471008</v>
      </c>
      <c r="E4151" t="s">
        <v>52</v>
      </c>
      <c r="F4151">
        <v>2014</v>
      </c>
      <c r="G4151">
        <v>4072</v>
      </c>
      <c r="H4151" s="1">
        <v>41719</v>
      </c>
      <c r="I4151" s="1">
        <v>41731</v>
      </c>
      <c r="J4151" s="1">
        <v>41731</v>
      </c>
      <c r="K4151" s="1">
        <v>41821</v>
      </c>
      <c r="N4151" s="5"/>
      <c r="O4151">
        <v>305</v>
      </c>
      <c r="P4151">
        <v>310</v>
      </c>
      <c r="Q4151" s="2">
        <v>94550</v>
      </c>
      <c r="R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 s="1">
        <v>42382</v>
      </c>
      <c r="AC4151" t="s">
        <v>53</v>
      </c>
      <c r="AD4151" t="s">
        <v>53</v>
      </c>
      <c r="AK4151">
        <v>0</v>
      </c>
      <c r="AU4151" s="6">
        <v>42131</v>
      </c>
      <c r="AV4151" s="6">
        <v>42131</v>
      </c>
      <c r="AW4151" t="s">
        <v>54</v>
      </c>
      <c r="AX4151" t="str">
        <f t="shared" si="348"/>
        <v>FOR</v>
      </c>
      <c r="AY4151" t="s">
        <v>55</v>
      </c>
    </row>
    <row r="4152" spans="1:51" hidden="1">
      <c r="A4152">
        <v>101541</v>
      </c>
      <c r="B4152" t="s">
        <v>763</v>
      </c>
      <c r="C4152" t="str">
        <f t="shared" si="351"/>
        <v>08230471008</v>
      </c>
      <c r="D4152" t="str">
        <f t="shared" si="351"/>
        <v>08230471008</v>
      </c>
      <c r="E4152" t="s">
        <v>52</v>
      </c>
      <c r="F4152">
        <v>2014</v>
      </c>
      <c r="G4152">
        <v>4073</v>
      </c>
      <c r="H4152" s="1">
        <v>41719</v>
      </c>
      <c r="I4152" s="1">
        <v>41731</v>
      </c>
      <c r="J4152" s="1">
        <v>41731</v>
      </c>
      <c r="K4152" s="1">
        <v>41821</v>
      </c>
      <c r="N4152" s="5"/>
      <c r="O4152">
        <v>305</v>
      </c>
      <c r="P4152">
        <v>310</v>
      </c>
      <c r="Q4152" s="2">
        <v>94550</v>
      </c>
      <c r="R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 s="1">
        <v>42382</v>
      </c>
      <c r="AC4152" t="s">
        <v>53</v>
      </c>
      <c r="AD4152" t="s">
        <v>53</v>
      </c>
      <c r="AK4152">
        <v>0</v>
      </c>
      <c r="AU4152" s="6">
        <v>42131</v>
      </c>
      <c r="AV4152" s="6">
        <v>42131</v>
      </c>
      <c r="AW4152" t="s">
        <v>54</v>
      </c>
      <c r="AX4152" t="str">
        <f t="shared" si="348"/>
        <v>FOR</v>
      </c>
      <c r="AY4152" t="s">
        <v>55</v>
      </c>
    </row>
    <row r="4153" spans="1:51" hidden="1">
      <c r="A4153">
        <v>101541</v>
      </c>
      <c r="B4153" t="s">
        <v>763</v>
      </c>
      <c r="C4153" t="str">
        <f t="shared" si="351"/>
        <v>08230471008</v>
      </c>
      <c r="D4153" t="str">
        <f t="shared" si="351"/>
        <v>08230471008</v>
      </c>
      <c r="E4153" t="s">
        <v>52</v>
      </c>
      <c r="F4153">
        <v>2014</v>
      </c>
      <c r="G4153">
        <v>4362</v>
      </c>
      <c r="H4153" s="1">
        <v>41726</v>
      </c>
      <c r="I4153" s="1">
        <v>41737</v>
      </c>
      <c r="J4153" s="1">
        <v>41737</v>
      </c>
      <c r="K4153" s="1">
        <v>41827</v>
      </c>
      <c r="N4153" s="5"/>
      <c r="O4153">
        <v>411.84</v>
      </c>
      <c r="P4153">
        <v>304</v>
      </c>
      <c r="Q4153" s="2">
        <v>125199.36</v>
      </c>
      <c r="R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 s="1">
        <v>42382</v>
      </c>
      <c r="AC4153" t="s">
        <v>53</v>
      </c>
      <c r="AD4153" t="s">
        <v>53</v>
      </c>
      <c r="AK4153">
        <v>0</v>
      </c>
      <c r="AU4153" s="6">
        <v>42131</v>
      </c>
      <c r="AV4153" s="6">
        <v>42131</v>
      </c>
      <c r="AW4153" t="s">
        <v>54</v>
      </c>
      <c r="AX4153" t="str">
        <f t="shared" si="348"/>
        <v>FOR</v>
      </c>
      <c r="AY4153" t="s">
        <v>55</v>
      </c>
    </row>
    <row r="4154" spans="1:51" hidden="1">
      <c r="A4154">
        <v>101541</v>
      </c>
      <c r="B4154" t="s">
        <v>763</v>
      </c>
      <c r="C4154" t="str">
        <f t="shared" si="351"/>
        <v>08230471008</v>
      </c>
      <c r="D4154" t="str">
        <f t="shared" si="351"/>
        <v>08230471008</v>
      </c>
      <c r="E4154" t="s">
        <v>52</v>
      </c>
      <c r="F4154">
        <v>2014</v>
      </c>
      <c r="G4154">
        <v>4993</v>
      </c>
      <c r="H4154" s="1">
        <v>41729</v>
      </c>
      <c r="I4154" s="1">
        <v>41739</v>
      </c>
      <c r="J4154" s="1">
        <v>41739</v>
      </c>
      <c r="K4154" s="1">
        <v>41829</v>
      </c>
      <c r="N4154" s="5"/>
      <c r="O4154">
        <v>411.84</v>
      </c>
      <c r="P4154">
        <v>302</v>
      </c>
      <c r="Q4154" s="2">
        <v>124375.67999999999</v>
      </c>
      <c r="R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 s="1">
        <v>42382</v>
      </c>
      <c r="AC4154" t="s">
        <v>53</v>
      </c>
      <c r="AD4154" t="s">
        <v>53</v>
      </c>
      <c r="AK4154">
        <v>0</v>
      </c>
      <c r="AU4154" s="6">
        <v>42131</v>
      </c>
      <c r="AV4154" s="6">
        <v>42131</v>
      </c>
      <c r="AW4154" t="s">
        <v>54</v>
      </c>
      <c r="AX4154" t="str">
        <f t="shared" si="348"/>
        <v>FOR</v>
      </c>
      <c r="AY4154" t="s">
        <v>55</v>
      </c>
    </row>
    <row r="4155" spans="1:51" hidden="1">
      <c r="A4155">
        <v>101541</v>
      </c>
      <c r="B4155" t="s">
        <v>763</v>
      </c>
      <c r="C4155" t="str">
        <f t="shared" si="351"/>
        <v>08230471008</v>
      </c>
      <c r="D4155" t="str">
        <f t="shared" si="351"/>
        <v>08230471008</v>
      </c>
      <c r="E4155" t="s">
        <v>52</v>
      </c>
      <c r="F4155">
        <v>2014</v>
      </c>
      <c r="G4155">
        <v>4994</v>
      </c>
      <c r="H4155" s="1">
        <v>41729</v>
      </c>
      <c r="I4155" s="1">
        <v>41739</v>
      </c>
      <c r="J4155" s="1">
        <v>41739</v>
      </c>
      <c r="K4155" s="1">
        <v>41829</v>
      </c>
      <c r="N4155" s="5"/>
      <c r="O4155" s="2">
        <v>1029.5999999999999</v>
      </c>
      <c r="P4155">
        <v>302</v>
      </c>
      <c r="Q4155" s="2">
        <v>310939.2</v>
      </c>
      <c r="R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 s="1">
        <v>42382</v>
      </c>
      <c r="AC4155" t="s">
        <v>53</v>
      </c>
      <c r="AD4155" t="s">
        <v>53</v>
      </c>
      <c r="AK4155">
        <v>0</v>
      </c>
      <c r="AU4155" s="6">
        <v>42131</v>
      </c>
      <c r="AV4155" s="6">
        <v>42131</v>
      </c>
      <c r="AW4155" t="s">
        <v>54</v>
      </c>
      <c r="AX4155" t="str">
        <f t="shared" si="348"/>
        <v>FOR</v>
      </c>
      <c r="AY4155" t="s">
        <v>55</v>
      </c>
    </row>
    <row r="4156" spans="1:51" hidden="1">
      <c r="A4156">
        <v>101541</v>
      </c>
      <c r="B4156" t="s">
        <v>763</v>
      </c>
      <c r="C4156" t="str">
        <f t="shared" si="351"/>
        <v>08230471008</v>
      </c>
      <c r="D4156" t="str">
        <f t="shared" si="351"/>
        <v>08230471008</v>
      </c>
      <c r="E4156" t="s">
        <v>52</v>
      </c>
      <c r="F4156">
        <v>2014</v>
      </c>
      <c r="G4156">
        <v>5278</v>
      </c>
      <c r="H4156" s="1">
        <v>41740</v>
      </c>
      <c r="I4156" s="1">
        <v>41746</v>
      </c>
      <c r="J4156" s="1">
        <v>41746</v>
      </c>
      <c r="K4156" s="1">
        <v>41836</v>
      </c>
      <c r="N4156" s="5"/>
      <c r="O4156">
        <v>305</v>
      </c>
      <c r="P4156">
        <v>295</v>
      </c>
      <c r="Q4156" s="2">
        <v>89975</v>
      </c>
      <c r="R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 s="1">
        <v>42382</v>
      </c>
      <c r="AC4156" t="s">
        <v>53</v>
      </c>
      <c r="AD4156" t="s">
        <v>53</v>
      </c>
      <c r="AK4156">
        <v>0</v>
      </c>
      <c r="AU4156" s="6">
        <v>42131</v>
      </c>
      <c r="AV4156" s="6">
        <v>42131</v>
      </c>
      <c r="AW4156" t="s">
        <v>54</v>
      </c>
      <c r="AX4156" t="str">
        <f t="shared" si="348"/>
        <v>FOR</v>
      </c>
      <c r="AY4156" t="s">
        <v>55</v>
      </c>
    </row>
    <row r="4157" spans="1:51" hidden="1">
      <c r="A4157">
        <v>101541</v>
      </c>
      <c r="B4157" t="s">
        <v>763</v>
      </c>
      <c r="C4157" t="str">
        <f t="shared" si="351"/>
        <v>08230471008</v>
      </c>
      <c r="D4157" t="str">
        <f t="shared" si="351"/>
        <v>08230471008</v>
      </c>
      <c r="E4157" t="s">
        <v>52</v>
      </c>
      <c r="F4157">
        <v>2014</v>
      </c>
      <c r="G4157">
        <v>5279</v>
      </c>
      <c r="H4157" s="1">
        <v>41740</v>
      </c>
      <c r="I4157" s="1">
        <v>41746</v>
      </c>
      <c r="J4157" s="1">
        <v>41746</v>
      </c>
      <c r="K4157" s="1">
        <v>41836</v>
      </c>
      <c r="N4157" s="5"/>
      <c r="O4157">
        <v>305</v>
      </c>
      <c r="P4157">
        <v>295</v>
      </c>
      <c r="Q4157" s="2">
        <v>89975</v>
      </c>
      <c r="R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 s="1">
        <v>42382</v>
      </c>
      <c r="AC4157" t="s">
        <v>53</v>
      </c>
      <c r="AD4157" t="s">
        <v>53</v>
      </c>
      <c r="AK4157">
        <v>0</v>
      </c>
      <c r="AU4157" s="6">
        <v>42131</v>
      </c>
      <c r="AV4157" s="6">
        <v>42131</v>
      </c>
      <c r="AW4157" t="s">
        <v>54</v>
      </c>
      <c r="AX4157" t="str">
        <f t="shared" si="348"/>
        <v>FOR</v>
      </c>
      <c r="AY4157" t="s">
        <v>55</v>
      </c>
    </row>
    <row r="4158" spans="1:51" hidden="1">
      <c r="A4158">
        <v>101541</v>
      </c>
      <c r="B4158" t="s">
        <v>763</v>
      </c>
      <c r="C4158" t="str">
        <f t="shared" si="351"/>
        <v>08230471008</v>
      </c>
      <c r="D4158" t="str">
        <f t="shared" si="351"/>
        <v>08230471008</v>
      </c>
      <c r="E4158" t="s">
        <v>52</v>
      </c>
      <c r="F4158">
        <v>2014</v>
      </c>
      <c r="G4158">
        <v>5280</v>
      </c>
      <c r="H4158" s="1">
        <v>41740</v>
      </c>
      <c r="I4158" s="1">
        <v>41751</v>
      </c>
      <c r="J4158" s="1">
        <v>41751</v>
      </c>
      <c r="K4158" s="1">
        <v>41841</v>
      </c>
      <c r="N4158" s="5"/>
      <c r="O4158" s="2">
        <v>9150</v>
      </c>
      <c r="P4158">
        <v>290</v>
      </c>
      <c r="Q4158" s="2">
        <v>2653500</v>
      </c>
      <c r="R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 s="1">
        <v>42382</v>
      </c>
      <c r="AC4158" t="s">
        <v>53</v>
      </c>
      <c r="AD4158" t="s">
        <v>53</v>
      </c>
      <c r="AK4158">
        <v>0</v>
      </c>
      <c r="AU4158" s="6">
        <v>42131</v>
      </c>
      <c r="AV4158" s="6">
        <v>42131</v>
      </c>
      <c r="AW4158" t="s">
        <v>54</v>
      </c>
      <c r="AX4158" t="str">
        <f t="shared" si="348"/>
        <v>FOR</v>
      </c>
      <c r="AY4158" t="s">
        <v>55</v>
      </c>
    </row>
    <row r="4159" spans="1:51" hidden="1">
      <c r="A4159">
        <v>101541</v>
      </c>
      <c r="B4159" t="s">
        <v>763</v>
      </c>
      <c r="C4159" t="str">
        <f t="shared" si="351"/>
        <v>08230471008</v>
      </c>
      <c r="D4159" t="str">
        <f t="shared" si="351"/>
        <v>08230471008</v>
      </c>
      <c r="E4159" t="s">
        <v>52</v>
      </c>
      <c r="F4159">
        <v>2014</v>
      </c>
      <c r="G4159">
        <v>5281</v>
      </c>
      <c r="H4159" s="1">
        <v>41740</v>
      </c>
      <c r="I4159" s="1">
        <v>41751</v>
      </c>
      <c r="J4159" s="1">
        <v>41751</v>
      </c>
      <c r="K4159" s="1">
        <v>41841</v>
      </c>
      <c r="N4159" s="5"/>
      <c r="O4159" s="2">
        <v>5924.32</v>
      </c>
      <c r="P4159">
        <v>290</v>
      </c>
      <c r="Q4159" s="2">
        <v>1718052.8</v>
      </c>
      <c r="R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 s="1">
        <v>42382</v>
      </c>
      <c r="AC4159" t="s">
        <v>53</v>
      </c>
      <c r="AD4159" t="s">
        <v>53</v>
      </c>
      <c r="AK4159">
        <v>0</v>
      </c>
      <c r="AU4159" s="6">
        <v>42131</v>
      </c>
      <c r="AV4159" s="6">
        <v>42131</v>
      </c>
      <c r="AW4159" t="s">
        <v>54</v>
      </c>
      <c r="AX4159" t="str">
        <f t="shared" si="348"/>
        <v>FOR</v>
      </c>
      <c r="AY4159" t="s">
        <v>55</v>
      </c>
    </row>
    <row r="4160" spans="1:51" hidden="1">
      <c r="A4160">
        <v>101541</v>
      </c>
      <c r="B4160" t="s">
        <v>763</v>
      </c>
      <c r="C4160" t="str">
        <f t="shared" si="351"/>
        <v>08230471008</v>
      </c>
      <c r="D4160" t="str">
        <f t="shared" si="351"/>
        <v>08230471008</v>
      </c>
      <c r="E4160" t="s">
        <v>52</v>
      </c>
      <c r="F4160">
        <v>2014</v>
      </c>
      <c r="G4160">
        <v>5282</v>
      </c>
      <c r="H4160" s="1">
        <v>41740</v>
      </c>
      <c r="I4160" s="1">
        <v>41751</v>
      </c>
      <c r="J4160" s="1">
        <v>41751</v>
      </c>
      <c r="K4160" s="1">
        <v>41841</v>
      </c>
      <c r="N4160" s="5"/>
      <c r="O4160">
        <v>976</v>
      </c>
      <c r="P4160">
        <v>290</v>
      </c>
      <c r="Q4160" s="2">
        <v>283040</v>
      </c>
      <c r="R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 s="1">
        <v>42382</v>
      </c>
      <c r="AC4160" t="s">
        <v>53</v>
      </c>
      <c r="AD4160" t="s">
        <v>53</v>
      </c>
      <c r="AK4160">
        <v>0</v>
      </c>
      <c r="AU4160" s="6">
        <v>42131</v>
      </c>
      <c r="AV4160" s="6">
        <v>42131</v>
      </c>
      <c r="AW4160" t="s">
        <v>54</v>
      </c>
      <c r="AX4160" t="str">
        <f t="shared" si="348"/>
        <v>FOR</v>
      </c>
      <c r="AY4160" t="s">
        <v>55</v>
      </c>
    </row>
    <row r="4161" spans="1:51" hidden="1">
      <c r="A4161">
        <v>101541</v>
      </c>
      <c r="B4161" t="s">
        <v>763</v>
      </c>
      <c r="C4161" t="str">
        <f t="shared" si="351"/>
        <v>08230471008</v>
      </c>
      <c r="D4161" t="str">
        <f t="shared" si="351"/>
        <v>08230471008</v>
      </c>
      <c r="E4161" t="s">
        <v>52</v>
      </c>
      <c r="F4161">
        <v>2014</v>
      </c>
      <c r="G4161">
        <v>5283</v>
      </c>
      <c r="H4161" s="1">
        <v>41740</v>
      </c>
      <c r="I4161" s="1">
        <v>41751</v>
      </c>
      <c r="J4161" s="1">
        <v>41751</v>
      </c>
      <c r="K4161" s="1">
        <v>41841</v>
      </c>
      <c r="N4161" s="5"/>
      <c r="O4161" s="2">
        <v>2130.12</v>
      </c>
      <c r="P4161">
        <v>290</v>
      </c>
      <c r="Q4161" s="2">
        <v>617734.80000000005</v>
      </c>
      <c r="R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 s="1">
        <v>42382</v>
      </c>
      <c r="AC4161" t="s">
        <v>53</v>
      </c>
      <c r="AD4161" t="s">
        <v>53</v>
      </c>
      <c r="AK4161">
        <v>0</v>
      </c>
      <c r="AU4161" s="6">
        <v>42131</v>
      </c>
      <c r="AV4161" s="6">
        <v>42131</v>
      </c>
      <c r="AW4161" t="s">
        <v>54</v>
      </c>
      <c r="AX4161" t="str">
        <f t="shared" si="348"/>
        <v>FOR</v>
      </c>
      <c r="AY4161" t="s">
        <v>55</v>
      </c>
    </row>
    <row r="4162" spans="1:51" hidden="1">
      <c r="A4162">
        <v>101541</v>
      </c>
      <c r="B4162" t="s">
        <v>763</v>
      </c>
      <c r="C4162" t="str">
        <f t="shared" si="351"/>
        <v>08230471008</v>
      </c>
      <c r="D4162" t="str">
        <f t="shared" si="351"/>
        <v>08230471008</v>
      </c>
      <c r="E4162" t="s">
        <v>52</v>
      </c>
      <c r="F4162">
        <v>2014</v>
      </c>
      <c r="G4162">
        <v>5685</v>
      </c>
      <c r="H4162" s="1">
        <v>41747</v>
      </c>
      <c r="I4162" s="1">
        <v>41764</v>
      </c>
      <c r="J4162" s="1">
        <v>41764</v>
      </c>
      <c r="K4162" s="1">
        <v>41854</v>
      </c>
      <c r="N4162" s="5"/>
      <c r="O4162">
        <v>305</v>
      </c>
      <c r="P4162">
        <v>277</v>
      </c>
      <c r="Q4162" s="2">
        <v>84485</v>
      </c>
      <c r="R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 s="1">
        <v>42382</v>
      </c>
      <c r="AC4162" t="s">
        <v>53</v>
      </c>
      <c r="AD4162" t="s">
        <v>53</v>
      </c>
      <c r="AK4162">
        <v>0</v>
      </c>
      <c r="AU4162" s="6">
        <v>42131</v>
      </c>
      <c r="AV4162" s="6">
        <v>42131</v>
      </c>
      <c r="AW4162" t="s">
        <v>54</v>
      </c>
      <c r="AX4162" t="str">
        <f t="shared" si="348"/>
        <v>FOR</v>
      </c>
      <c r="AY4162" t="s">
        <v>55</v>
      </c>
    </row>
    <row r="4163" spans="1:51" hidden="1">
      <c r="A4163">
        <v>101541</v>
      </c>
      <c r="B4163" t="s">
        <v>763</v>
      </c>
      <c r="C4163" t="str">
        <f t="shared" ref="C4163:D4182" si="352">"08230471008"</f>
        <v>08230471008</v>
      </c>
      <c r="D4163" t="str">
        <f t="shared" si="352"/>
        <v>08230471008</v>
      </c>
      <c r="E4163" t="s">
        <v>52</v>
      </c>
      <c r="F4163">
        <v>2014</v>
      </c>
      <c r="G4163">
        <v>5686</v>
      </c>
      <c r="H4163" s="1">
        <v>41747</v>
      </c>
      <c r="I4163" s="1">
        <v>41764</v>
      </c>
      <c r="J4163" s="1">
        <v>41764</v>
      </c>
      <c r="K4163" s="1">
        <v>41854</v>
      </c>
      <c r="N4163" s="5"/>
      <c r="O4163">
        <v>305</v>
      </c>
      <c r="P4163">
        <v>277</v>
      </c>
      <c r="Q4163" s="2">
        <v>84485</v>
      </c>
      <c r="R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 s="1">
        <v>42382</v>
      </c>
      <c r="AC4163" t="s">
        <v>53</v>
      </c>
      <c r="AD4163" t="s">
        <v>53</v>
      </c>
      <c r="AK4163">
        <v>0</v>
      </c>
      <c r="AU4163" s="6">
        <v>42131</v>
      </c>
      <c r="AV4163" s="6">
        <v>42131</v>
      </c>
      <c r="AW4163" t="s">
        <v>54</v>
      </c>
      <c r="AX4163" t="str">
        <f t="shared" ref="AX4163:AX4226" si="353">"FOR"</f>
        <v>FOR</v>
      </c>
      <c r="AY4163" t="s">
        <v>55</v>
      </c>
    </row>
    <row r="4164" spans="1:51" hidden="1">
      <c r="A4164">
        <v>101541</v>
      </c>
      <c r="B4164" t="s">
        <v>763</v>
      </c>
      <c r="C4164" t="str">
        <f t="shared" si="352"/>
        <v>08230471008</v>
      </c>
      <c r="D4164" t="str">
        <f t="shared" si="352"/>
        <v>08230471008</v>
      </c>
      <c r="E4164" t="s">
        <v>52</v>
      </c>
      <c r="F4164">
        <v>2014</v>
      </c>
      <c r="G4164">
        <v>5687</v>
      </c>
      <c r="H4164" s="1">
        <v>41747</v>
      </c>
      <c r="I4164" s="1">
        <v>41758</v>
      </c>
      <c r="J4164" s="1">
        <v>41758</v>
      </c>
      <c r="K4164" s="1">
        <v>41848</v>
      </c>
      <c r="N4164" s="5"/>
      <c r="O4164">
        <v>728</v>
      </c>
      <c r="P4164">
        <v>283</v>
      </c>
      <c r="Q4164" s="2">
        <v>206024</v>
      </c>
      <c r="R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 s="1">
        <v>42382</v>
      </c>
      <c r="AC4164" t="s">
        <v>53</v>
      </c>
      <c r="AD4164" t="s">
        <v>53</v>
      </c>
      <c r="AK4164">
        <v>0</v>
      </c>
      <c r="AU4164" s="6">
        <v>42131</v>
      </c>
      <c r="AV4164" s="6">
        <v>42131</v>
      </c>
      <c r="AW4164" t="s">
        <v>54</v>
      </c>
      <c r="AX4164" t="str">
        <f t="shared" si="353"/>
        <v>FOR</v>
      </c>
      <c r="AY4164" t="s">
        <v>55</v>
      </c>
    </row>
    <row r="4165" spans="1:51" hidden="1">
      <c r="A4165">
        <v>101541</v>
      </c>
      <c r="B4165" t="s">
        <v>763</v>
      </c>
      <c r="C4165" t="str">
        <f t="shared" si="352"/>
        <v>08230471008</v>
      </c>
      <c r="D4165" t="str">
        <f t="shared" si="352"/>
        <v>08230471008</v>
      </c>
      <c r="E4165" t="s">
        <v>52</v>
      </c>
      <c r="F4165">
        <v>2014</v>
      </c>
      <c r="G4165">
        <v>5688</v>
      </c>
      <c r="H4165" s="1">
        <v>41747</v>
      </c>
      <c r="I4165" s="1">
        <v>41758</v>
      </c>
      <c r="J4165" s="1">
        <v>41758</v>
      </c>
      <c r="K4165" s="1">
        <v>41848</v>
      </c>
      <c r="N4165" s="5"/>
      <c r="O4165">
        <v>305</v>
      </c>
      <c r="P4165">
        <v>283</v>
      </c>
      <c r="Q4165" s="2">
        <v>86315</v>
      </c>
      <c r="R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 s="1">
        <v>42382</v>
      </c>
      <c r="AC4165" t="s">
        <v>53</v>
      </c>
      <c r="AD4165" t="s">
        <v>53</v>
      </c>
      <c r="AK4165">
        <v>0</v>
      </c>
      <c r="AU4165" s="6">
        <v>42131</v>
      </c>
      <c r="AV4165" s="6">
        <v>42131</v>
      </c>
      <c r="AW4165" t="s">
        <v>54</v>
      </c>
      <c r="AX4165" t="str">
        <f t="shared" si="353"/>
        <v>FOR</v>
      </c>
      <c r="AY4165" t="s">
        <v>55</v>
      </c>
    </row>
    <row r="4166" spans="1:51" hidden="1">
      <c r="A4166">
        <v>101541</v>
      </c>
      <c r="B4166" t="s">
        <v>763</v>
      </c>
      <c r="C4166" t="str">
        <f t="shared" si="352"/>
        <v>08230471008</v>
      </c>
      <c r="D4166" t="str">
        <f t="shared" si="352"/>
        <v>08230471008</v>
      </c>
      <c r="E4166" t="s">
        <v>52</v>
      </c>
      <c r="F4166">
        <v>2014</v>
      </c>
      <c r="G4166">
        <v>5689</v>
      </c>
      <c r="H4166" s="1">
        <v>41747</v>
      </c>
      <c r="I4166" s="1">
        <v>41764</v>
      </c>
      <c r="J4166" s="1">
        <v>41764</v>
      </c>
      <c r="K4166" s="1">
        <v>41854</v>
      </c>
      <c r="N4166" s="5"/>
      <c r="O4166">
        <v>305</v>
      </c>
      <c r="P4166">
        <v>277</v>
      </c>
      <c r="Q4166" s="2">
        <v>84485</v>
      </c>
      <c r="R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 s="1">
        <v>42382</v>
      </c>
      <c r="AC4166" t="s">
        <v>53</v>
      </c>
      <c r="AD4166" t="s">
        <v>53</v>
      </c>
      <c r="AK4166">
        <v>0</v>
      </c>
      <c r="AU4166" s="6">
        <v>42131</v>
      </c>
      <c r="AV4166" s="6">
        <v>42131</v>
      </c>
      <c r="AW4166" t="s">
        <v>54</v>
      </c>
      <c r="AX4166" t="str">
        <f t="shared" si="353"/>
        <v>FOR</v>
      </c>
      <c r="AY4166" t="s">
        <v>55</v>
      </c>
    </row>
    <row r="4167" spans="1:51" hidden="1">
      <c r="A4167">
        <v>101541</v>
      </c>
      <c r="B4167" t="s">
        <v>763</v>
      </c>
      <c r="C4167" t="str">
        <f t="shared" si="352"/>
        <v>08230471008</v>
      </c>
      <c r="D4167" t="str">
        <f t="shared" si="352"/>
        <v>08230471008</v>
      </c>
      <c r="E4167" t="s">
        <v>52</v>
      </c>
      <c r="F4167">
        <v>2014</v>
      </c>
      <c r="G4167">
        <v>5690</v>
      </c>
      <c r="H4167" s="1">
        <v>41747</v>
      </c>
      <c r="I4167" s="1">
        <v>41764</v>
      </c>
      <c r="J4167" s="1">
        <v>41764</v>
      </c>
      <c r="K4167" s="1">
        <v>41854</v>
      </c>
      <c r="N4167" s="5"/>
      <c r="O4167">
        <v>305</v>
      </c>
      <c r="P4167">
        <v>277</v>
      </c>
      <c r="Q4167" s="2">
        <v>84485</v>
      </c>
      <c r="R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 s="1">
        <v>42382</v>
      </c>
      <c r="AC4167" t="s">
        <v>53</v>
      </c>
      <c r="AD4167" t="s">
        <v>53</v>
      </c>
      <c r="AK4167">
        <v>0</v>
      </c>
      <c r="AU4167" s="6">
        <v>42131</v>
      </c>
      <c r="AV4167" s="6">
        <v>42131</v>
      </c>
      <c r="AW4167" t="s">
        <v>54</v>
      </c>
      <c r="AX4167" t="str">
        <f t="shared" si="353"/>
        <v>FOR</v>
      </c>
      <c r="AY4167" t="s">
        <v>55</v>
      </c>
    </row>
    <row r="4168" spans="1:51" hidden="1">
      <c r="A4168">
        <v>101541</v>
      </c>
      <c r="B4168" t="s">
        <v>763</v>
      </c>
      <c r="C4168" t="str">
        <f t="shared" si="352"/>
        <v>08230471008</v>
      </c>
      <c r="D4168" t="str">
        <f t="shared" si="352"/>
        <v>08230471008</v>
      </c>
      <c r="E4168" t="s">
        <v>52</v>
      </c>
      <c r="F4168">
        <v>2014</v>
      </c>
      <c r="G4168">
        <v>5691</v>
      </c>
      <c r="H4168" s="1">
        <v>41747</v>
      </c>
      <c r="I4168" s="1">
        <v>41764</v>
      </c>
      <c r="J4168" s="1">
        <v>41764</v>
      </c>
      <c r="K4168" s="1">
        <v>41854</v>
      </c>
      <c r="N4168" s="5"/>
      <c r="O4168">
        <v>305</v>
      </c>
      <c r="P4168">
        <v>277</v>
      </c>
      <c r="Q4168" s="2">
        <v>84485</v>
      </c>
      <c r="R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 s="1">
        <v>42382</v>
      </c>
      <c r="AC4168" t="s">
        <v>53</v>
      </c>
      <c r="AD4168" t="s">
        <v>53</v>
      </c>
      <c r="AK4168">
        <v>0</v>
      </c>
      <c r="AU4168" s="6">
        <v>42131</v>
      </c>
      <c r="AV4168" s="6">
        <v>42131</v>
      </c>
      <c r="AW4168" t="s">
        <v>54</v>
      </c>
      <c r="AX4168" t="str">
        <f t="shared" si="353"/>
        <v>FOR</v>
      </c>
      <c r="AY4168" t="s">
        <v>55</v>
      </c>
    </row>
    <row r="4169" spans="1:51" hidden="1">
      <c r="A4169">
        <v>101541</v>
      </c>
      <c r="B4169" t="s">
        <v>763</v>
      </c>
      <c r="C4169" t="str">
        <f t="shared" si="352"/>
        <v>08230471008</v>
      </c>
      <c r="D4169" t="str">
        <f t="shared" si="352"/>
        <v>08230471008</v>
      </c>
      <c r="E4169" t="s">
        <v>52</v>
      </c>
      <c r="F4169">
        <v>2014</v>
      </c>
      <c r="G4169">
        <v>5692</v>
      </c>
      <c r="H4169" s="1">
        <v>41747</v>
      </c>
      <c r="I4169" s="1">
        <v>41764</v>
      </c>
      <c r="J4169" s="1">
        <v>41764</v>
      </c>
      <c r="K4169" s="1">
        <v>41854</v>
      </c>
      <c r="N4169" s="5"/>
      <c r="O4169">
        <v>305</v>
      </c>
      <c r="P4169">
        <v>277</v>
      </c>
      <c r="Q4169" s="2">
        <v>84485</v>
      </c>
      <c r="R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 s="1">
        <v>42382</v>
      </c>
      <c r="AC4169" t="s">
        <v>53</v>
      </c>
      <c r="AD4169" t="s">
        <v>53</v>
      </c>
      <c r="AK4169">
        <v>0</v>
      </c>
      <c r="AU4169" s="6">
        <v>42131</v>
      </c>
      <c r="AV4169" s="6">
        <v>42131</v>
      </c>
      <c r="AW4169" t="s">
        <v>54</v>
      </c>
      <c r="AX4169" t="str">
        <f t="shared" si="353"/>
        <v>FOR</v>
      </c>
      <c r="AY4169" t="s">
        <v>55</v>
      </c>
    </row>
    <row r="4170" spans="1:51" hidden="1">
      <c r="A4170">
        <v>101541</v>
      </c>
      <c r="B4170" t="s">
        <v>763</v>
      </c>
      <c r="C4170" t="str">
        <f t="shared" si="352"/>
        <v>08230471008</v>
      </c>
      <c r="D4170" t="str">
        <f t="shared" si="352"/>
        <v>08230471008</v>
      </c>
      <c r="E4170" t="s">
        <v>52</v>
      </c>
      <c r="F4170">
        <v>2014</v>
      </c>
      <c r="G4170">
        <v>5693</v>
      </c>
      <c r="H4170" s="1">
        <v>41747</v>
      </c>
      <c r="I4170" s="1">
        <v>41758</v>
      </c>
      <c r="J4170" s="1">
        <v>41758</v>
      </c>
      <c r="K4170" s="1">
        <v>41848</v>
      </c>
      <c r="N4170" s="5"/>
      <c r="O4170">
        <v>305</v>
      </c>
      <c r="P4170">
        <v>283</v>
      </c>
      <c r="Q4170" s="2">
        <v>86315</v>
      </c>
      <c r="R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 s="1">
        <v>42382</v>
      </c>
      <c r="AC4170" t="s">
        <v>53</v>
      </c>
      <c r="AD4170" t="s">
        <v>53</v>
      </c>
      <c r="AK4170">
        <v>0</v>
      </c>
      <c r="AU4170" s="6">
        <v>42131</v>
      </c>
      <c r="AV4170" s="6">
        <v>42131</v>
      </c>
      <c r="AW4170" t="s">
        <v>54</v>
      </c>
      <c r="AX4170" t="str">
        <f t="shared" si="353"/>
        <v>FOR</v>
      </c>
      <c r="AY4170" t="s">
        <v>55</v>
      </c>
    </row>
    <row r="4171" spans="1:51" hidden="1">
      <c r="A4171">
        <v>101541</v>
      </c>
      <c r="B4171" t="s">
        <v>763</v>
      </c>
      <c r="C4171" t="str">
        <f t="shared" si="352"/>
        <v>08230471008</v>
      </c>
      <c r="D4171" t="str">
        <f t="shared" si="352"/>
        <v>08230471008</v>
      </c>
      <c r="E4171" t="s">
        <v>52</v>
      </c>
      <c r="F4171">
        <v>2014</v>
      </c>
      <c r="G4171">
        <v>5694</v>
      </c>
      <c r="H4171" s="1">
        <v>41747</v>
      </c>
      <c r="I4171" s="1">
        <v>41758</v>
      </c>
      <c r="J4171" s="1">
        <v>41758</v>
      </c>
      <c r="K4171" s="1">
        <v>41848</v>
      </c>
      <c r="N4171" s="5"/>
      <c r="O4171">
        <v>305</v>
      </c>
      <c r="P4171">
        <v>283</v>
      </c>
      <c r="Q4171" s="2">
        <v>86315</v>
      </c>
      <c r="R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 s="1">
        <v>42382</v>
      </c>
      <c r="AC4171" t="s">
        <v>53</v>
      </c>
      <c r="AD4171" t="s">
        <v>53</v>
      </c>
      <c r="AK4171">
        <v>0</v>
      </c>
      <c r="AU4171" s="6">
        <v>42131</v>
      </c>
      <c r="AV4171" s="6">
        <v>42131</v>
      </c>
      <c r="AW4171" t="s">
        <v>54</v>
      </c>
      <c r="AX4171" t="str">
        <f t="shared" si="353"/>
        <v>FOR</v>
      </c>
      <c r="AY4171" t="s">
        <v>55</v>
      </c>
    </row>
    <row r="4172" spans="1:51" hidden="1">
      <c r="A4172">
        <v>101541</v>
      </c>
      <c r="B4172" t="s">
        <v>763</v>
      </c>
      <c r="C4172" t="str">
        <f t="shared" si="352"/>
        <v>08230471008</v>
      </c>
      <c r="D4172" t="str">
        <f t="shared" si="352"/>
        <v>08230471008</v>
      </c>
      <c r="E4172" t="s">
        <v>52</v>
      </c>
      <c r="F4172">
        <v>2014</v>
      </c>
      <c r="G4172">
        <v>6472</v>
      </c>
      <c r="H4172" s="1">
        <v>41759</v>
      </c>
      <c r="I4172" s="1">
        <v>41773</v>
      </c>
      <c r="J4172" s="1">
        <v>41773</v>
      </c>
      <c r="K4172" s="1">
        <v>41863</v>
      </c>
      <c r="N4172" s="5"/>
      <c r="O4172">
        <v>305</v>
      </c>
      <c r="P4172">
        <v>268</v>
      </c>
      <c r="Q4172" s="2">
        <v>81740</v>
      </c>
      <c r="R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 s="1">
        <v>42382</v>
      </c>
      <c r="AC4172" t="s">
        <v>53</v>
      </c>
      <c r="AD4172" t="s">
        <v>53</v>
      </c>
      <c r="AK4172">
        <v>0</v>
      </c>
      <c r="AU4172" s="6">
        <v>42131</v>
      </c>
      <c r="AV4172" s="6">
        <v>42131</v>
      </c>
      <c r="AW4172" t="s">
        <v>54</v>
      </c>
      <c r="AX4172" t="str">
        <f t="shared" si="353"/>
        <v>FOR</v>
      </c>
      <c r="AY4172" t="s">
        <v>55</v>
      </c>
    </row>
    <row r="4173" spans="1:51" hidden="1">
      <c r="A4173">
        <v>101541</v>
      </c>
      <c r="B4173" t="s">
        <v>763</v>
      </c>
      <c r="C4173" t="str">
        <f t="shared" si="352"/>
        <v>08230471008</v>
      </c>
      <c r="D4173" t="str">
        <f t="shared" si="352"/>
        <v>08230471008</v>
      </c>
      <c r="E4173" t="s">
        <v>52</v>
      </c>
      <c r="F4173">
        <v>2014</v>
      </c>
      <c r="G4173">
        <v>6473</v>
      </c>
      <c r="H4173" s="1">
        <v>41759</v>
      </c>
      <c r="I4173" s="1">
        <v>41773</v>
      </c>
      <c r="J4173" s="1">
        <v>41773</v>
      </c>
      <c r="K4173" s="1">
        <v>41863</v>
      </c>
      <c r="N4173" s="5"/>
      <c r="O4173">
        <v>305</v>
      </c>
      <c r="P4173">
        <v>268</v>
      </c>
      <c r="Q4173" s="2">
        <v>81740</v>
      </c>
      <c r="R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 s="1">
        <v>42382</v>
      </c>
      <c r="AC4173" t="s">
        <v>53</v>
      </c>
      <c r="AD4173" t="s">
        <v>53</v>
      </c>
      <c r="AK4173">
        <v>0</v>
      </c>
      <c r="AU4173" s="6">
        <v>42131</v>
      </c>
      <c r="AV4173" s="6">
        <v>42131</v>
      </c>
      <c r="AW4173" t="s">
        <v>54</v>
      </c>
      <c r="AX4173" t="str">
        <f t="shared" si="353"/>
        <v>FOR</v>
      </c>
      <c r="AY4173" t="s">
        <v>55</v>
      </c>
    </row>
    <row r="4174" spans="1:51" hidden="1">
      <c r="A4174">
        <v>101541</v>
      </c>
      <c r="B4174" t="s">
        <v>763</v>
      </c>
      <c r="C4174" t="str">
        <f t="shared" si="352"/>
        <v>08230471008</v>
      </c>
      <c r="D4174" t="str">
        <f t="shared" si="352"/>
        <v>08230471008</v>
      </c>
      <c r="E4174" t="s">
        <v>52</v>
      </c>
      <c r="F4174">
        <v>2014</v>
      </c>
      <c r="G4174">
        <v>6474</v>
      </c>
      <c r="H4174" s="1">
        <v>41759</v>
      </c>
      <c r="I4174" s="1">
        <v>41773</v>
      </c>
      <c r="J4174" s="1">
        <v>41773</v>
      </c>
      <c r="K4174" s="1">
        <v>41863</v>
      </c>
      <c r="N4174" s="5"/>
      <c r="O4174">
        <v>728</v>
      </c>
      <c r="P4174">
        <v>268</v>
      </c>
      <c r="Q4174" s="2">
        <v>195104</v>
      </c>
      <c r="R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 s="1">
        <v>42382</v>
      </c>
      <c r="AC4174" t="s">
        <v>53</v>
      </c>
      <c r="AD4174" t="s">
        <v>53</v>
      </c>
      <c r="AK4174">
        <v>0</v>
      </c>
      <c r="AU4174" s="6">
        <v>42131</v>
      </c>
      <c r="AV4174" s="6">
        <v>42131</v>
      </c>
      <c r="AW4174" t="s">
        <v>54</v>
      </c>
      <c r="AX4174" t="str">
        <f t="shared" si="353"/>
        <v>FOR</v>
      </c>
      <c r="AY4174" t="s">
        <v>55</v>
      </c>
    </row>
    <row r="4175" spans="1:51" hidden="1">
      <c r="A4175">
        <v>101541</v>
      </c>
      <c r="B4175" t="s">
        <v>763</v>
      </c>
      <c r="C4175" t="str">
        <f t="shared" si="352"/>
        <v>08230471008</v>
      </c>
      <c r="D4175" t="str">
        <f t="shared" si="352"/>
        <v>08230471008</v>
      </c>
      <c r="E4175" t="s">
        <v>52</v>
      </c>
      <c r="F4175">
        <v>2014</v>
      </c>
      <c r="G4175">
        <v>6475</v>
      </c>
      <c r="H4175" s="1">
        <v>41759</v>
      </c>
      <c r="I4175" s="1">
        <v>41773</v>
      </c>
      <c r="J4175" s="1">
        <v>41773</v>
      </c>
      <c r="K4175" s="1">
        <v>41863</v>
      </c>
      <c r="N4175" s="5"/>
      <c r="O4175">
        <v>305</v>
      </c>
      <c r="P4175">
        <v>268</v>
      </c>
      <c r="Q4175" s="2">
        <v>81740</v>
      </c>
      <c r="R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 s="1">
        <v>42382</v>
      </c>
      <c r="AC4175" t="s">
        <v>53</v>
      </c>
      <c r="AD4175" t="s">
        <v>53</v>
      </c>
      <c r="AK4175">
        <v>0</v>
      </c>
      <c r="AU4175" s="6">
        <v>42131</v>
      </c>
      <c r="AV4175" s="6">
        <v>42131</v>
      </c>
      <c r="AW4175" t="s">
        <v>54</v>
      </c>
      <c r="AX4175" t="str">
        <f t="shared" si="353"/>
        <v>FOR</v>
      </c>
      <c r="AY4175" t="s">
        <v>55</v>
      </c>
    </row>
    <row r="4176" spans="1:51" hidden="1">
      <c r="A4176">
        <v>101541</v>
      </c>
      <c r="B4176" t="s">
        <v>763</v>
      </c>
      <c r="C4176" t="str">
        <f t="shared" si="352"/>
        <v>08230471008</v>
      </c>
      <c r="D4176" t="str">
        <f t="shared" si="352"/>
        <v>08230471008</v>
      </c>
      <c r="E4176" t="s">
        <v>52</v>
      </c>
      <c r="F4176">
        <v>2014</v>
      </c>
      <c r="G4176">
        <v>6476</v>
      </c>
      <c r="H4176" s="1">
        <v>41759</v>
      </c>
      <c r="I4176" s="1">
        <v>41773</v>
      </c>
      <c r="J4176" s="1">
        <v>41773</v>
      </c>
      <c r="K4176" s="1">
        <v>41863</v>
      </c>
      <c r="N4176" s="5"/>
      <c r="O4176">
        <v>305</v>
      </c>
      <c r="P4176">
        <v>268</v>
      </c>
      <c r="Q4176" s="2">
        <v>81740</v>
      </c>
      <c r="R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 s="1">
        <v>42382</v>
      </c>
      <c r="AC4176" t="s">
        <v>53</v>
      </c>
      <c r="AD4176" t="s">
        <v>53</v>
      </c>
      <c r="AK4176">
        <v>0</v>
      </c>
      <c r="AU4176" s="6">
        <v>42131</v>
      </c>
      <c r="AV4176" s="6">
        <v>42131</v>
      </c>
      <c r="AW4176" t="s">
        <v>54</v>
      </c>
      <c r="AX4176" t="str">
        <f t="shared" si="353"/>
        <v>FOR</v>
      </c>
      <c r="AY4176" t="s">
        <v>55</v>
      </c>
    </row>
    <row r="4177" spans="1:51" hidden="1">
      <c r="A4177">
        <v>101541</v>
      </c>
      <c r="B4177" t="s">
        <v>763</v>
      </c>
      <c r="C4177" t="str">
        <f t="shared" si="352"/>
        <v>08230471008</v>
      </c>
      <c r="D4177" t="str">
        <f t="shared" si="352"/>
        <v>08230471008</v>
      </c>
      <c r="E4177" t="s">
        <v>52</v>
      </c>
      <c r="F4177">
        <v>2014</v>
      </c>
      <c r="G4177">
        <v>6477</v>
      </c>
      <c r="H4177" s="1">
        <v>41759</v>
      </c>
      <c r="I4177" s="1">
        <v>41773</v>
      </c>
      <c r="J4177" s="1">
        <v>41773</v>
      </c>
      <c r="K4177" s="1">
        <v>41863</v>
      </c>
      <c r="N4177" s="5"/>
      <c r="O4177">
        <v>305</v>
      </c>
      <c r="P4177">
        <v>268</v>
      </c>
      <c r="Q4177" s="2">
        <v>81740</v>
      </c>
      <c r="R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 s="1">
        <v>42382</v>
      </c>
      <c r="AC4177" t="s">
        <v>53</v>
      </c>
      <c r="AD4177" t="s">
        <v>53</v>
      </c>
      <c r="AK4177">
        <v>0</v>
      </c>
      <c r="AU4177" s="6">
        <v>42131</v>
      </c>
      <c r="AV4177" s="6">
        <v>42131</v>
      </c>
      <c r="AW4177" t="s">
        <v>54</v>
      </c>
      <c r="AX4177" t="str">
        <f t="shared" si="353"/>
        <v>FOR</v>
      </c>
      <c r="AY4177" t="s">
        <v>55</v>
      </c>
    </row>
    <row r="4178" spans="1:51" hidden="1">
      <c r="A4178">
        <v>101541</v>
      </c>
      <c r="B4178" t="s">
        <v>763</v>
      </c>
      <c r="C4178" t="str">
        <f t="shared" si="352"/>
        <v>08230471008</v>
      </c>
      <c r="D4178" t="str">
        <f t="shared" si="352"/>
        <v>08230471008</v>
      </c>
      <c r="E4178" t="s">
        <v>52</v>
      </c>
      <c r="F4178">
        <v>2014</v>
      </c>
      <c r="G4178">
        <v>6478</v>
      </c>
      <c r="H4178" s="1">
        <v>41759</v>
      </c>
      <c r="I4178" s="1">
        <v>41773</v>
      </c>
      <c r="J4178" s="1">
        <v>41773</v>
      </c>
      <c r="K4178" s="1">
        <v>41863</v>
      </c>
      <c r="N4178" s="5"/>
      <c r="O4178">
        <v>305</v>
      </c>
      <c r="P4178">
        <v>268</v>
      </c>
      <c r="Q4178" s="2">
        <v>81740</v>
      </c>
      <c r="R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 s="1">
        <v>42382</v>
      </c>
      <c r="AC4178" t="s">
        <v>53</v>
      </c>
      <c r="AD4178" t="s">
        <v>53</v>
      </c>
      <c r="AK4178">
        <v>0</v>
      </c>
      <c r="AU4178" s="6">
        <v>42131</v>
      </c>
      <c r="AV4178" s="6">
        <v>42131</v>
      </c>
      <c r="AW4178" t="s">
        <v>54</v>
      </c>
      <c r="AX4178" t="str">
        <f t="shared" si="353"/>
        <v>FOR</v>
      </c>
      <c r="AY4178" t="s">
        <v>55</v>
      </c>
    </row>
    <row r="4179" spans="1:51" hidden="1">
      <c r="A4179">
        <v>101541</v>
      </c>
      <c r="B4179" t="s">
        <v>763</v>
      </c>
      <c r="C4179" t="str">
        <f t="shared" si="352"/>
        <v>08230471008</v>
      </c>
      <c r="D4179" t="str">
        <f t="shared" si="352"/>
        <v>08230471008</v>
      </c>
      <c r="E4179" t="s">
        <v>52</v>
      </c>
      <c r="F4179">
        <v>2014</v>
      </c>
      <c r="G4179">
        <v>6479</v>
      </c>
      <c r="H4179" s="1">
        <v>41759</v>
      </c>
      <c r="I4179" s="1">
        <v>41773</v>
      </c>
      <c r="J4179" s="1">
        <v>41773</v>
      </c>
      <c r="K4179" s="1">
        <v>41863</v>
      </c>
      <c r="N4179" s="5"/>
      <c r="O4179">
        <v>305</v>
      </c>
      <c r="P4179">
        <v>268</v>
      </c>
      <c r="Q4179" s="2">
        <v>81740</v>
      </c>
      <c r="R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 s="1">
        <v>42382</v>
      </c>
      <c r="AC4179" t="s">
        <v>53</v>
      </c>
      <c r="AD4179" t="s">
        <v>53</v>
      </c>
      <c r="AK4179">
        <v>0</v>
      </c>
      <c r="AU4179" s="6">
        <v>42131</v>
      </c>
      <c r="AV4179" s="6">
        <v>42131</v>
      </c>
      <c r="AW4179" t="s">
        <v>54</v>
      </c>
      <c r="AX4179" t="str">
        <f t="shared" si="353"/>
        <v>FOR</v>
      </c>
      <c r="AY4179" t="s">
        <v>55</v>
      </c>
    </row>
    <row r="4180" spans="1:51" hidden="1">
      <c r="A4180">
        <v>101541</v>
      </c>
      <c r="B4180" t="s">
        <v>763</v>
      </c>
      <c r="C4180" t="str">
        <f t="shared" si="352"/>
        <v>08230471008</v>
      </c>
      <c r="D4180" t="str">
        <f t="shared" si="352"/>
        <v>08230471008</v>
      </c>
      <c r="E4180" t="s">
        <v>52</v>
      </c>
      <c r="F4180">
        <v>2014</v>
      </c>
      <c r="G4180">
        <v>6480</v>
      </c>
      <c r="H4180" s="1">
        <v>41759</v>
      </c>
      <c r="I4180" s="1">
        <v>41773</v>
      </c>
      <c r="J4180" s="1">
        <v>41773</v>
      </c>
      <c r="K4180" s="1">
        <v>41863</v>
      </c>
      <c r="N4180" s="5"/>
      <c r="O4180">
        <v>305</v>
      </c>
      <c r="P4180">
        <v>268</v>
      </c>
      <c r="Q4180" s="2">
        <v>81740</v>
      </c>
      <c r="R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 s="1">
        <v>42382</v>
      </c>
      <c r="AC4180" t="s">
        <v>53</v>
      </c>
      <c r="AD4180" t="s">
        <v>53</v>
      </c>
      <c r="AK4180">
        <v>0</v>
      </c>
      <c r="AU4180" s="6">
        <v>42131</v>
      </c>
      <c r="AV4180" s="6">
        <v>42131</v>
      </c>
      <c r="AW4180" t="s">
        <v>54</v>
      </c>
      <c r="AX4180" t="str">
        <f t="shared" si="353"/>
        <v>FOR</v>
      </c>
      <c r="AY4180" t="s">
        <v>55</v>
      </c>
    </row>
    <row r="4181" spans="1:51" hidden="1">
      <c r="A4181">
        <v>101541</v>
      </c>
      <c r="B4181" t="s">
        <v>763</v>
      </c>
      <c r="C4181" t="str">
        <f t="shared" si="352"/>
        <v>08230471008</v>
      </c>
      <c r="D4181" t="str">
        <f t="shared" si="352"/>
        <v>08230471008</v>
      </c>
      <c r="E4181" t="s">
        <v>52</v>
      </c>
      <c r="F4181">
        <v>2014</v>
      </c>
      <c r="G4181">
        <v>6481</v>
      </c>
      <c r="H4181" s="1">
        <v>41759</v>
      </c>
      <c r="I4181" s="1">
        <v>41773</v>
      </c>
      <c r="J4181" s="1">
        <v>41773</v>
      </c>
      <c r="K4181" s="1">
        <v>41863</v>
      </c>
      <c r="N4181" s="5"/>
      <c r="O4181">
        <v>305</v>
      </c>
      <c r="P4181">
        <v>268</v>
      </c>
      <c r="Q4181" s="2">
        <v>81740</v>
      </c>
      <c r="R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 s="1">
        <v>42382</v>
      </c>
      <c r="AC4181" t="s">
        <v>53</v>
      </c>
      <c r="AD4181" t="s">
        <v>53</v>
      </c>
      <c r="AK4181">
        <v>0</v>
      </c>
      <c r="AU4181" s="6">
        <v>42131</v>
      </c>
      <c r="AV4181" s="6">
        <v>42131</v>
      </c>
      <c r="AW4181" t="s">
        <v>54</v>
      </c>
      <c r="AX4181" t="str">
        <f t="shared" si="353"/>
        <v>FOR</v>
      </c>
      <c r="AY4181" t="s">
        <v>55</v>
      </c>
    </row>
    <row r="4182" spans="1:51" hidden="1">
      <c r="A4182">
        <v>101541</v>
      </c>
      <c r="B4182" t="s">
        <v>763</v>
      </c>
      <c r="C4182" t="str">
        <f t="shared" si="352"/>
        <v>08230471008</v>
      </c>
      <c r="D4182" t="str">
        <f t="shared" si="352"/>
        <v>08230471008</v>
      </c>
      <c r="E4182" t="s">
        <v>52</v>
      </c>
      <c r="F4182">
        <v>2014</v>
      </c>
      <c r="G4182">
        <v>6482</v>
      </c>
      <c r="H4182" s="1">
        <v>41759</v>
      </c>
      <c r="I4182" s="1">
        <v>41773</v>
      </c>
      <c r="J4182" s="1">
        <v>41773</v>
      </c>
      <c r="K4182" s="1">
        <v>41863</v>
      </c>
      <c r="N4182" s="5"/>
      <c r="O4182">
        <v>305</v>
      </c>
      <c r="P4182">
        <v>268</v>
      </c>
      <c r="Q4182" s="2">
        <v>81740</v>
      </c>
      <c r="R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 s="1">
        <v>42382</v>
      </c>
      <c r="AC4182" t="s">
        <v>53</v>
      </c>
      <c r="AD4182" t="s">
        <v>53</v>
      </c>
      <c r="AK4182">
        <v>0</v>
      </c>
      <c r="AU4182" s="6">
        <v>42131</v>
      </c>
      <c r="AV4182" s="6">
        <v>42131</v>
      </c>
      <c r="AW4182" t="s">
        <v>54</v>
      </c>
      <c r="AX4182" t="str">
        <f t="shared" si="353"/>
        <v>FOR</v>
      </c>
      <c r="AY4182" t="s">
        <v>55</v>
      </c>
    </row>
    <row r="4183" spans="1:51" hidden="1">
      <c r="A4183">
        <v>101541</v>
      </c>
      <c r="B4183" t="s">
        <v>763</v>
      </c>
      <c r="C4183" t="str">
        <f t="shared" ref="C4183:D4202" si="354">"08230471008"</f>
        <v>08230471008</v>
      </c>
      <c r="D4183" t="str">
        <f t="shared" si="354"/>
        <v>08230471008</v>
      </c>
      <c r="E4183" t="s">
        <v>52</v>
      </c>
      <c r="F4183">
        <v>2014</v>
      </c>
      <c r="G4183">
        <v>7006</v>
      </c>
      <c r="H4183" s="1">
        <v>41775</v>
      </c>
      <c r="I4183" s="1">
        <v>41788</v>
      </c>
      <c r="J4183" s="1">
        <v>41788</v>
      </c>
      <c r="K4183" s="1">
        <v>41878</v>
      </c>
      <c r="N4183" s="5"/>
      <c r="O4183">
        <v>305</v>
      </c>
      <c r="P4183">
        <v>253</v>
      </c>
      <c r="Q4183" s="2">
        <v>77165</v>
      </c>
      <c r="R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 s="1">
        <v>42382</v>
      </c>
      <c r="AC4183" t="s">
        <v>53</v>
      </c>
      <c r="AD4183" t="s">
        <v>53</v>
      </c>
      <c r="AK4183">
        <v>0</v>
      </c>
      <c r="AU4183" s="6">
        <v>42131</v>
      </c>
      <c r="AV4183" s="6">
        <v>42131</v>
      </c>
      <c r="AW4183" t="s">
        <v>54</v>
      </c>
      <c r="AX4183" t="str">
        <f t="shared" si="353"/>
        <v>FOR</v>
      </c>
      <c r="AY4183" t="s">
        <v>55</v>
      </c>
    </row>
    <row r="4184" spans="1:51" hidden="1">
      <c r="A4184">
        <v>101541</v>
      </c>
      <c r="B4184" t="s">
        <v>763</v>
      </c>
      <c r="C4184" t="str">
        <f t="shared" si="354"/>
        <v>08230471008</v>
      </c>
      <c r="D4184" t="str">
        <f t="shared" si="354"/>
        <v>08230471008</v>
      </c>
      <c r="E4184" t="s">
        <v>52</v>
      </c>
      <c r="F4184">
        <v>2014</v>
      </c>
      <c r="G4184">
        <v>7007</v>
      </c>
      <c r="H4184" s="1">
        <v>41775</v>
      </c>
      <c r="I4184" s="1">
        <v>41788</v>
      </c>
      <c r="J4184" s="1">
        <v>41788</v>
      </c>
      <c r="K4184" s="1">
        <v>41878</v>
      </c>
      <c r="N4184" s="5"/>
      <c r="O4184">
        <v>728</v>
      </c>
      <c r="P4184">
        <v>253</v>
      </c>
      <c r="Q4184" s="2">
        <v>184184</v>
      </c>
      <c r="R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 s="1">
        <v>42382</v>
      </c>
      <c r="AC4184" t="s">
        <v>53</v>
      </c>
      <c r="AD4184" t="s">
        <v>53</v>
      </c>
      <c r="AK4184">
        <v>0</v>
      </c>
      <c r="AU4184" s="6">
        <v>42131</v>
      </c>
      <c r="AV4184" s="6">
        <v>42131</v>
      </c>
      <c r="AW4184" t="s">
        <v>54</v>
      </c>
      <c r="AX4184" t="str">
        <f t="shared" si="353"/>
        <v>FOR</v>
      </c>
      <c r="AY4184" t="s">
        <v>55</v>
      </c>
    </row>
    <row r="4185" spans="1:51" hidden="1">
      <c r="A4185">
        <v>101541</v>
      </c>
      <c r="B4185" t="s">
        <v>763</v>
      </c>
      <c r="C4185" t="str">
        <f t="shared" si="354"/>
        <v>08230471008</v>
      </c>
      <c r="D4185" t="str">
        <f t="shared" si="354"/>
        <v>08230471008</v>
      </c>
      <c r="E4185" t="s">
        <v>52</v>
      </c>
      <c r="F4185">
        <v>2014</v>
      </c>
      <c r="G4185">
        <v>7008</v>
      </c>
      <c r="H4185" s="1">
        <v>41775</v>
      </c>
      <c r="I4185" s="1">
        <v>41788</v>
      </c>
      <c r="J4185" s="1">
        <v>41788</v>
      </c>
      <c r="K4185" s="1">
        <v>41878</v>
      </c>
      <c r="N4185" s="5"/>
      <c r="O4185">
        <v>728</v>
      </c>
      <c r="P4185">
        <v>253</v>
      </c>
      <c r="Q4185" s="2">
        <v>184184</v>
      </c>
      <c r="R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 s="1">
        <v>42382</v>
      </c>
      <c r="AC4185" t="s">
        <v>53</v>
      </c>
      <c r="AD4185" t="s">
        <v>53</v>
      </c>
      <c r="AK4185">
        <v>0</v>
      </c>
      <c r="AU4185" s="6">
        <v>42131</v>
      </c>
      <c r="AV4185" s="6">
        <v>42131</v>
      </c>
      <c r="AW4185" t="s">
        <v>54</v>
      </c>
      <c r="AX4185" t="str">
        <f t="shared" si="353"/>
        <v>FOR</v>
      </c>
      <c r="AY4185" t="s">
        <v>55</v>
      </c>
    </row>
    <row r="4186" spans="1:51" hidden="1">
      <c r="A4186">
        <v>101541</v>
      </c>
      <c r="B4186" t="s">
        <v>763</v>
      </c>
      <c r="C4186" t="str">
        <f t="shared" si="354"/>
        <v>08230471008</v>
      </c>
      <c r="D4186" t="str">
        <f t="shared" si="354"/>
        <v>08230471008</v>
      </c>
      <c r="E4186" t="s">
        <v>52</v>
      </c>
      <c r="F4186">
        <v>2014</v>
      </c>
      <c r="G4186">
        <v>7009</v>
      </c>
      <c r="H4186" s="1">
        <v>41775</v>
      </c>
      <c r="I4186" s="1">
        <v>41788</v>
      </c>
      <c r="J4186" s="1">
        <v>41788</v>
      </c>
      <c r="K4186" s="1">
        <v>41878</v>
      </c>
      <c r="N4186" s="5"/>
      <c r="O4186">
        <v>305</v>
      </c>
      <c r="P4186">
        <v>253</v>
      </c>
      <c r="Q4186" s="2">
        <v>77165</v>
      </c>
      <c r="R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 s="1">
        <v>42382</v>
      </c>
      <c r="AC4186" t="s">
        <v>53</v>
      </c>
      <c r="AD4186" t="s">
        <v>53</v>
      </c>
      <c r="AK4186">
        <v>0</v>
      </c>
      <c r="AU4186" s="6">
        <v>42131</v>
      </c>
      <c r="AV4186" s="6">
        <v>42131</v>
      </c>
      <c r="AW4186" t="s">
        <v>54</v>
      </c>
      <c r="AX4186" t="str">
        <f t="shared" si="353"/>
        <v>FOR</v>
      </c>
      <c r="AY4186" t="s">
        <v>55</v>
      </c>
    </row>
    <row r="4187" spans="1:51" hidden="1">
      <c r="A4187">
        <v>101541</v>
      </c>
      <c r="B4187" t="s">
        <v>763</v>
      </c>
      <c r="C4187" t="str">
        <f t="shared" si="354"/>
        <v>08230471008</v>
      </c>
      <c r="D4187" t="str">
        <f t="shared" si="354"/>
        <v>08230471008</v>
      </c>
      <c r="E4187" t="s">
        <v>52</v>
      </c>
      <c r="F4187">
        <v>2014</v>
      </c>
      <c r="G4187">
        <v>7010</v>
      </c>
      <c r="H4187" s="1">
        <v>41775</v>
      </c>
      <c r="I4187" s="1">
        <v>41788</v>
      </c>
      <c r="J4187" s="1">
        <v>41788</v>
      </c>
      <c r="K4187" s="1">
        <v>41878</v>
      </c>
      <c r="N4187" s="5"/>
      <c r="O4187">
        <v>305</v>
      </c>
      <c r="P4187">
        <v>253</v>
      </c>
      <c r="Q4187" s="2">
        <v>77165</v>
      </c>
      <c r="R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 s="1">
        <v>42382</v>
      </c>
      <c r="AC4187" t="s">
        <v>53</v>
      </c>
      <c r="AD4187" t="s">
        <v>53</v>
      </c>
      <c r="AK4187">
        <v>0</v>
      </c>
      <c r="AU4187" s="6">
        <v>42131</v>
      </c>
      <c r="AV4187" s="6">
        <v>42131</v>
      </c>
      <c r="AW4187" t="s">
        <v>54</v>
      </c>
      <c r="AX4187" t="str">
        <f t="shared" si="353"/>
        <v>FOR</v>
      </c>
      <c r="AY4187" t="s">
        <v>55</v>
      </c>
    </row>
    <row r="4188" spans="1:51" hidden="1">
      <c r="A4188">
        <v>101541</v>
      </c>
      <c r="B4188" t="s">
        <v>763</v>
      </c>
      <c r="C4188" t="str">
        <f t="shared" si="354"/>
        <v>08230471008</v>
      </c>
      <c r="D4188" t="str">
        <f t="shared" si="354"/>
        <v>08230471008</v>
      </c>
      <c r="E4188" t="s">
        <v>52</v>
      </c>
      <c r="F4188">
        <v>2014</v>
      </c>
      <c r="G4188">
        <v>7429</v>
      </c>
      <c r="H4188" s="1">
        <v>41782</v>
      </c>
      <c r="I4188" s="1">
        <v>41789</v>
      </c>
      <c r="J4188" s="1">
        <v>41789</v>
      </c>
      <c r="K4188" s="1">
        <v>41879</v>
      </c>
      <c r="N4188" s="5"/>
      <c r="O4188">
        <v>305</v>
      </c>
      <c r="P4188">
        <v>252</v>
      </c>
      <c r="Q4188" s="2">
        <v>76860</v>
      </c>
      <c r="R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 s="1">
        <v>42382</v>
      </c>
      <c r="AC4188" t="s">
        <v>53</v>
      </c>
      <c r="AD4188" t="s">
        <v>53</v>
      </c>
      <c r="AK4188">
        <v>0</v>
      </c>
      <c r="AU4188" s="6">
        <v>42131</v>
      </c>
      <c r="AV4188" s="6">
        <v>42131</v>
      </c>
      <c r="AW4188" t="s">
        <v>54</v>
      </c>
      <c r="AX4188" t="str">
        <f t="shared" si="353"/>
        <v>FOR</v>
      </c>
      <c r="AY4188" t="s">
        <v>55</v>
      </c>
    </row>
    <row r="4189" spans="1:51" hidden="1">
      <c r="A4189">
        <v>101541</v>
      </c>
      <c r="B4189" t="s">
        <v>763</v>
      </c>
      <c r="C4189" t="str">
        <f t="shared" si="354"/>
        <v>08230471008</v>
      </c>
      <c r="D4189" t="str">
        <f t="shared" si="354"/>
        <v>08230471008</v>
      </c>
      <c r="E4189" t="s">
        <v>52</v>
      </c>
      <c r="F4189">
        <v>2014</v>
      </c>
      <c r="G4189">
        <v>7430</v>
      </c>
      <c r="H4189" s="1">
        <v>41782</v>
      </c>
      <c r="I4189" s="1">
        <v>41789</v>
      </c>
      <c r="J4189" s="1">
        <v>41789</v>
      </c>
      <c r="K4189" s="1">
        <v>41879</v>
      </c>
      <c r="N4189" s="5"/>
      <c r="O4189">
        <v>305</v>
      </c>
      <c r="P4189">
        <v>252</v>
      </c>
      <c r="Q4189" s="2">
        <v>76860</v>
      </c>
      <c r="R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 s="1">
        <v>42382</v>
      </c>
      <c r="AC4189" t="s">
        <v>53</v>
      </c>
      <c r="AD4189" t="s">
        <v>53</v>
      </c>
      <c r="AK4189">
        <v>0</v>
      </c>
      <c r="AU4189" s="6">
        <v>42131</v>
      </c>
      <c r="AV4189" s="6">
        <v>42131</v>
      </c>
      <c r="AW4189" t="s">
        <v>54</v>
      </c>
      <c r="AX4189" t="str">
        <f t="shared" si="353"/>
        <v>FOR</v>
      </c>
      <c r="AY4189" t="s">
        <v>55</v>
      </c>
    </row>
    <row r="4190" spans="1:51" hidden="1">
      <c r="A4190">
        <v>101541</v>
      </c>
      <c r="B4190" t="s">
        <v>763</v>
      </c>
      <c r="C4190" t="str">
        <f t="shared" si="354"/>
        <v>08230471008</v>
      </c>
      <c r="D4190" t="str">
        <f t="shared" si="354"/>
        <v>08230471008</v>
      </c>
      <c r="E4190" t="s">
        <v>52</v>
      </c>
      <c r="F4190">
        <v>2014</v>
      </c>
      <c r="G4190">
        <v>7431</v>
      </c>
      <c r="H4190" s="1">
        <v>41782</v>
      </c>
      <c r="I4190" s="1">
        <v>41789</v>
      </c>
      <c r="J4190" s="1">
        <v>41789</v>
      </c>
      <c r="K4190" s="1">
        <v>41879</v>
      </c>
      <c r="N4190" s="5"/>
      <c r="O4190">
        <v>305</v>
      </c>
      <c r="P4190">
        <v>252</v>
      </c>
      <c r="Q4190" s="2">
        <v>76860</v>
      </c>
      <c r="R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 s="1">
        <v>42382</v>
      </c>
      <c r="AC4190" t="s">
        <v>53</v>
      </c>
      <c r="AD4190" t="s">
        <v>53</v>
      </c>
      <c r="AK4190">
        <v>0</v>
      </c>
      <c r="AU4190" s="6">
        <v>42131</v>
      </c>
      <c r="AV4190" s="6">
        <v>42131</v>
      </c>
      <c r="AW4190" t="s">
        <v>54</v>
      </c>
      <c r="AX4190" t="str">
        <f t="shared" si="353"/>
        <v>FOR</v>
      </c>
      <c r="AY4190" t="s">
        <v>55</v>
      </c>
    </row>
    <row r="4191" spans="1:51" hidden="1">
      <c r="A4191">
        <v>101541</v>
      </c>
      <c r="B4191" t="s">
        <v>763</v>
      </c>
      <c r="C4191" t="str">
        <f t="shared" si="354"/>
        <v>08230471008</v>
      </c>
      <c r="D4191" t="str">
        <f t="shared" si="354"/>
        <v>08230471008</v>
      </c>
      <c r="E4191" t="s">
        <v>52</v>
      </c>
      <c r="F4191">
        <v>2014</v>
      </c>
      <c r="G4191">
        <v>7432</v>
      </c>
      <c r="H4191" s="1">
        <v>41782</v>
      </c>
      <c r="I4191" s="1">
        <v>41789</v>
      </c>
      <c r="J4191" s="1">
        <v>41789</v>
      </c>
      <c r="K4191" s="1">
        <v>41879</v>
      </c>
      <c r="N4191" s="5"/>
      <c r="O4191">
        <v>305</v>
      </c>
      <c r="P4191">
        <v>252</v>
      </c>
      <c r="Q4191" s="2">
        <v>76860</v>
      </c>
      <c r="R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 s="1">
        <v>42382</v>
      </c>
      <c r="AC4191" t="s">
        <v>53</v>
      </c>
      <c r="AD4191" t="s">
        <v>53</v>
      </c>
      <c r="AK4191">
        <v>0</v>
      </c>
      <c r="AU4191" s="6">
        <v>42131</v>
      </c>
      <c r="AV4191" s="6">
        <v>42131</v>
      </c>
      <c r="AW4191" t="s">
        <v>54</v>
      </c>
      <c r="AX4191" t="str">
        <f t="shared" si="353"/>
        <v>FOR</v>
      </c>
      <c r="AY4191" t="s">
        <v>55</v>
      </c>
    </row>
    <row r="4192" spans="1:51" hidden="1">
      <c r="A4192">
        <v>101541</v>
      </c>
      <c r="B4192" t="s">
        <v>763</v>
      </c>
      <c r="C4192" t="str">
        <f t="shared" si="354"/>
        <v>08230471008</v>
      </c>
      <c r="D4192" t="str">
        <f t="shared" si="354"/>
        <v>08230471008</v>
      </c>
      <c r="E4192" t="s">
        <v>52</v>
      </c>
      <c r="F4192">
        <v>2014</v>
      </c>
      <c r="G4192">
        <v>7433</v>
      </c>
      <c r="H4192" s="1">
        <v>41782</v>
      </c>
      <c r="I4192" s="1">
        <v>41789</v>
      </c>
      <c r="J4192" s="1">
        <v>41789</v>
      </c>
      <c r="K4192" s="1">
        <v>41879</v>
      </c>
      <c r="N4192" s="5"/>
      <c r="O4192">
        <v>305</v>
      </c>
      <c r="P4192">
        <v>252</v>
      </c>
      <c r="Q4192" s="2">
        <v>76860</v>
      </c>
      <c r="R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 s="1">
        <v>42382</v>
      </c>
      <c r="AC4192" t="s">
        <v>53</v>
      </c>
      <c r="AD4192" t="s">
        <v>53</v>
      </c>
      <c r="AK4192">
        <v>0</v>
      </c>
      <c r="AU4192" s="6">
        <v>42131</v>
      </c>
      <c r="AV4192" s="6">
        <v>42131</v>
      </c>
      <c r="AW4192" t="s">
        <v>54</v>
      </c>
      <c r="AX4192" t="str">
        <f t="shared" si="353"/>
        <v>FOR</v>
      </c>
      <c r="AY4192" t="s">
        <v>55</v>
      </c>
    </row>
    <row r="4193" spans="1:51" hidden="1">
      <c r="A4193">
        <v>101541</v>
      </c>
      <c r="B4193" t="s">
        <v>763</v>
      </c>
      <c r="C4193" t="str">
        <f t="shared" si="354"/>
        <v>08230471008</v>
      </c>
      <c r="D4193" t="str">
        <f t="shared" si="354"/>
        <v>08230471008</v>
      </c>
      <c r="E4193" t="s">
        <v>52</v>
      </c>
      <c r="F4193">
        <v>2014</v>
      </c>
      <c r="G4193">
        <v>7434</v>
      </c>
      <c r="H4193" s="1">
        <v>41782</v>
      </c>
      <c r="I4193" s="1">
        <v>41789</v>
      </c>
      <c r="J4193" s="1">
        <v>41789</v>
      </c>
      <c r="K4193" s="1">
        <v>41879</v>
      </c>
      <c r="N4193" s="5"/>
      <c r="O4193">
        <v>305</v>
      </c>
      <c r="P4193">
        <v>252</v>
      </c>
      <c r="Q4193" s="2">
        <v>76860</v>
      </c>
      <c r="R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 s="1">
        <v>42382</v>
      </c>
      <c r="AC4193" t="s">
        <v>53</v>
      </c>
      <c r="AD4193" t="s">
        <v>53</v>
      </c>
      <c r="AK4193">
        <v>0</v>
      </c>
      <c r="AU4193" s="6">
        <v>42131</v>
      </c>
      <c r="AV4193" s="6">
        <v>42131</v>
      </c>
      <c r="AW4193" t="s">
        <v>54</v>
      </c>
      <c r="AX4193" t="str">
        <f t="shared" si="353"/>
        <v>FOR</v>
      </c>
      <c r="AY4193" t="s">
        <v>55</v>
      </c>
    </row>
    <row r="4194" spans="1:51" hidden="1">
      <c r="A4194">
        <v>101541</v>
      </c>
      <c r="B4194" t="s">
        <v>763</v>
      </c>
      <c r="C4194" t="str">
        <f t="shared" si="354"/>
        <v>08230471008</v>
      </c>
      <c r="D4194" t="str">
        <f t="shared" si="354"/>
        <v>08230471008</v>
      </c>
      <c r="E4194" t="s">
        <v>52</v>
      </c>
      <c r="F4194">
        <v>2014</v>
      </c>
      <c r="G4194">
        <v>7435</v>
      </c>
      <c r="H4194" s="1">
        <v>41782</v>
      </c>
      <c r="I4194" s="1">
        <v>41789</v>
      </c>
      <c r="J4194" s="1">
        <v>41789</v>
      </c>
      <c r="K4194" s="1">
        <v>41879</v>
      </c>
      <c r="N4194" s="5"/>
      <c r="O4194">
        <v>305</v>
      </c>
      <c r="P4194">
        <v>252</v>
      </c>
      <c r="Q4194" s="2">
        <v>76860</v>
      </c>
      <c r="R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 s="1">
        <v>42382</v>
      </c>
      <c r="AC4194" t="s">
        <v>53</v>
      </c>
      <c r="AD4194" t="s">
        <v>53</v>
      </c>
      <c r="AK4194">
        <v>0</v>
      </c>
      <c r="AU4194" s="6">
        <v>42131</v>
      </c>
      <c r="AV4194" s="6">
        <v>42131</v>
      </c>
      <c r="AW4194" t="s">
        <v>54</v>
      </c>
      <c r="AX4194" t="str">
        <f t="shared" si="353"/>
        <v>FOR</v>
      </c>
      <c r="AY4194" t="s">
        <v>55</v>
      </c>
    </row>
    <row r="4195" spans="1:51" hidden="1">
      <c r="A4195">
        <v>101541</v>
      </c>
      <c r="B4195" t="s">
        <v>763</v>
      </c>
      <c r="C4195" t="str">
        <f t="shared" si="354"/>
        <v>08230471008</v>
      </c>
      <c r="D4195" t="str">
        <f t="shared" si="354"/>
        <v>08230471008</v>
      </c>
      <c r="E4195" t="s">
        <v>52</v>
      </c>
      <c r="F4195">
        <v>2014</v>
      </c>
      <c r="G4195">
        <v>7436</v>
      </c>
      <c r="H4195" s="1">
        <v>41782</v>
      </c>
      <c r="I4195" s="1">
        <v>41789</v>
      </c>
      <c r="J4195" s="1">
        <v>41789</v>
      </c>
      <c r="K4195" s="1">
        <v>41879</v>
      </c>
      <c r="N4195" s="5"/>
      <c r="O4195">
        <v>305</v>
      </c>
      <c r="P4195">
        <v>252</v>
      </c>
      <c r="Q4195" s="2">
        <v>76860</v>
      </c>
      <c r="R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 s="1">
        <v>42382</v>
      </c>
      <c r="AC4195" t="s">
        <v>53</v>
      </c>
      <c r="AD4195" t="s">
        <v>53</v>
      </c>
      <c r="AK4195">
        <v>0</v>
      </c>
      <c r="AU4195" s="6">
        <v>42131</v>
      </c>
      <c r="AV4195" s="6">
        <v>42131</v>
      </c>
      <c r="AW4195" t="s">
        <v>54</v>
      </c>
      <c r="AX4195" t="str">
        <f t="shared" si="353"/>
        <v>FOR</v>
      </c>
      <c r="AY4195" t="s">
        <v>55</v>
      </c>
    </row>
    <row r="4196" spans="1:51" hidden="1">
      <c r="A4196">
        <v>101541</v>
      </c>
      <c r="B4196" t="s">
        <v>763</v>
      </c>
      <c r="C4196" t="str">
        <f t="shared" si="354"/>
        <v>08230471008</v>
      </c>
      <c r="D4196" t="str">
        <f t="shared" si="354"/>
        <v>08230471008</v>
      </c>
      <c r="E4196" t="s">
        <v>52</v>
      </c>
      <c r="F4196">
        <v>2014</v>
      </c>
      <c r="G4196">
        <v>7437</v>
      </c>
      <c r="H4196" s="1">
        <v>41782</v>
      </c>
      <c r="I4196" s="1">
        <v>41789</v>
      </c>
      <c r="J4196" s="1">
        <v>41789</v>
      </c>
      <c r="K4196" s="1">
        <v>41879</v>
      </c>
      <c r="N4196" s="5"/>
      <c r="O4196">
        <v>305</v>
      </c>
      <c r="P4196">
        <v>252</v>
      </c>
      <c r="Q4196" s="2">
        <v>76860</v>
      </c>
      <c r="R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 s="1">
        <v>42382</v>
      </c>
      <c r="AC4196" t="s">
        <v>53</v>
      </c>
      <c r="AD4196" t="s">
        <v>53</v>
      </c>
      <c r="AK4196">
        <v>0</v>
      </c>
      <c r="AU4196" s="6">
        <v>42131</v>
      </c>
      <c r="AV4196" s="6">
        <v>42131</v>
      </c>
      <c r="AW4196" t="s">
        <v>54</v>
      </c>
      <c r="AX4196" t="str">
        <f t="shared" si="353"/>
        <v>FOR</v>
      </c>
      <c r="AY4196" t="s">
        <v>55</v>
      </c>
    </row>
    <row r="4197" spans="1:51" hidden="1">
      <c r="A4197">
        <v>101541</v>
      </c>
      <c r="B4197" t="s">
        <v>763</v>
      </c>
      <c r="C4197" t="str">
        <f t="shared" si="354"/>
        <v>08230471008</v>
      </c>
      <c r="D4197" t="str">
        <f t="shared" si="354"/>
        <v>08230471008</v>
      </c>
      <c r="E4197" t="s">
        <v>52</v>
      </c>
      <c r="F4197">
        <v>2014</v>
      </c>
      <c r="G4197">
        <v>7438</v>
      </c>
      <c r="H4197" s="1">
        <v>41782</v>
      </c>
      <c r="I4197" s="1">
        <v>41789</v>
      </c>
      <c r="J4197" s="1">
        <v>41789</v>
      </c>
      <c r="K4197" s="1">
        <v>41879</v>
      </c>
      <c r="N4197" s="5"/>
      <c r="O4197">
        <v>305</v>
      </c>
      <c r="P4197">
        <v>252</v>
      </c>
      <c r="Q4197" s="2">
        <v>76860</v>
      </c>
      <c r="R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 s="1">
        <v>42382</v>
      </c>
      <c r="AC4197" t="s">
        <v>53</v>
      </c>
      <c r="AD4197" t="s">
        <v>53</v>
      </c>
      <c r="AK4197">
        <v>0</v>
      </c>
      <c r="AU4197" s="6">
        <v>42131</v>
      </c>
      <c r="AV4197" s="6">
        <v>42131</v>
      </c>
      <c r="AW4197" t="s">
        <v>54</v>
      </c>
      <c r="AX4197" t="str">
        <f t="shared" si="353"/>
        <v>FOR</v>
      </c>
      <c r="AY4197" t="s">
        <v>55</v>
      </c>
    </row>
    <row r="4198" spans="1:51" hidden="1">
      <c r="A4198">
        <v>101541</v>
      </c>
      <c r="B4198" t="s">
        <v>763</v>
      </c>
      <c r="C4198" t="str">
        <f t="shared" si="354"/>
        <v>08230471008</v>
      </c>
      <c r="D4198" t="str">
        <f t="shared" si="354"/>
        <v>08230471008</v>
      </c>
      <c r="E4198" t="s">
        <v>52</v>
      </c>
      <c r="F4198">
        <v>2014</v>
      </c>
      <c r="G4198">
        <v>7439</v>
      </c>
      <c r="H4198" s="1">
        <v>41782</v>
      </c>
      <c r="I4198" s="1">
        <v>41789</v>
      </c>
      <c r="J4198" s="1">
        <v>41789</v>
      </c>
      <c r="K4198" s="1">
        <v>41879</v>
      </c>
      <c r="N4198" s="5"/>
      <c r="O4198">
        <v>305</v>
      </c>
      <c r="P4198">
        <v>252</v>
      </c>
      <c r="Q4198" s="2">
        <v>76860</v>
      </c>
      <c r="R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 s="1">
        <v>42382</v>
      </c>
      <c r="AC4198" t="s">
        <v>53</v>
      </c>
      <c r="AD4198" t="s">
        <v>53</v>
      </c>
      <c r="AK4198">
        <v>0</v>
      </c>
      <c r="AU4198" s="6">
        <v>42131</v>
      </c>
      <c r="AV4198" s="6">
        <v>42131</v>
      </c>
      <c r="AW4198" t="s">
        <v>54</v>
      </c>
      <c r="AX4198" t="str">
        <f t="shared" si="353"/>
        <v>FOR</v>
      </c>
      <c r="AY4198" t="s">
        <v>55</v>
      </c>
    </row>
    <row r="4199" spans="1:51" hidden="1">
      <c r="A4199">
        <v>101541</v>
      </c>
      <c r="B4199" t="s">
        <v>763</v>
      </c>
      <c r="C4199" t="str">
        <f t="shared" si="354"/>
        <v>08230471008</v>
      </c>
      <c r="D4199" t="str">
        <f t="shared" si="354"/>
        <v>08230471008</v>
      </c>
      <c r="E4199" t="s">
        <v>52</v>
      </c>
      <c r="F4199">
        <v>2014</v>
      </c>
      <c r="G4199">
        <v>7440</v>
      </c>
      <c r="H4199" s="1">
        <v>41782</v>
      </c>
      <c r="I4199" s="1">
        <v>41789</v>
      </c>
      <c r="J4199" s="1">
        <v>41789</v>
      </c>
      <c r="K4199" s="1">
        <v>41879</v>
      </c>
      <c r="N4199" s="5"/>
      <c r="O4199">
        <v>305</v>
      </c>
      <c r="P4199">
        <v>252</v>
      </c>
      <c r="Q4199" s="2">
        <v>76860</v>
      </c>
      <c r="R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 s="1">
        <v>42382</v>
      </c>
      <c r="AC4199" t="s">
        <v>53</v>
      </c>
      <c r="AD4199" t="s">
        <v>53</v>
      </c>
      <c r="AK4199">
        <v>0</v>
      </c>
      <c r="AU4199" s="6">
        <v>42131</v>
      </c>
      <c r="AV4199" s="6">
        <v>42131</v>
      </c>
      <c r="AW4199" t="s">
        <v>54</v>
      </c>
      <c r="AX4199" t="str">
        <f t="shared" si="353"/>
        <v>FOR</v>
      </c>
      <c r="AY4199" t="s">
        <v>55</v>
      </c>
    </row>
    <row r="4200" spans="1:51" hidden="1">
      <c r="A4200">
        <v>101541</v>
      </c>
      <c r="B4200" t="s">
        <v>763</v>
      </c>
      <c r="C4200" t="str">
        <f t="shared" si="354"/>
        <v>08230471008</v>
      </c>
      <c r="D4200" t="str">
        <f t="shared" si="354"/>
        <v>08230471008</v>
      </c>
      <c r="E4200" t="s">
        <v>52</v>
      </c>
      <c r="F4200">
        <v>2014</v>
      </c>
      <c r="G4200">
        <v>7441</v>
      </c>
      <c r="H4200" s="1">
        <v>41782</v>
      </c>
      <c r="I4200" s="1">
        <v>41789</v>
      </c>
      <c r="J4200" s="1">
        <v>41789</v>
      </c>
      <c r="K4200" s="1">
        <v>41879</v>
      </c>
      <c r="N4200" s="5"/>
      <c r="O4200">
        <v>728</v>
      </c>
      <c r="P4200">
        <v>252</v>
      </c>
      <c r="Q4200" s="2">
        <v>183456</v>
      </c>
      <c r="R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 s="1">
        <v>42382</v>
      </c>
      <c r="AC4200" t="s">
        <v>53</v>
      </c>
      <c r="AD4200" t="s">
        <v>53</v>
      </c>
      <c r="AK4200">
        <v>0</v>
      </c>
      <c r="AU4200" s="6">
        <v>42131</v>
      </c>
      <c r="AV4200" s="6">
        <v>42131</v>
      </c>
      <c r="AW4200" t="s">
        <v>54</v>
      </c>
      <c r="AX4200" t="str">
        <f t="shared" si="353"/>
        <v>FOR</v>
      </c>
      <c r="AY4200" t="s">
        <v>55</v>
      </c>
    </row>
    <row r="4201" spans="1:51" hidden="1">
      <c r="A4201">
        <v>101541</v>
      </c>
      <c r="B4201" t="s">
        <v>763</v>
      </c>
      <c r="C4201" t="str">
        <f t="shared" si="354"/>
        <v>08230471008</v>
      </c>
      <c r="D4201" t="str">
        <f t="shared" si="354"/>
        <v>08230471008</v>
      </c>
      <c r="E4201" t="s">
        <v>52</v>
      </c>
      <c r="F4201">
        <v>2014</v>
      </c>
      <c r="G4201">
        <v>7442</v>
      </c>
      <c r="H4201" s="1">
        <v>41782</v>
      </c>
      <c r="I4201" s="1">
        <v>41789</v>
      </c>
      <c r="J4201" s="1">
        <v>41789</v>
      </c>
      <c r="K4201" s="1">
        <v>41879</v>
      </c>
      <c r="N4201" s="5"/>
      <c r="O4201">
        <v>305</v>
      </c>
      <c r="P4201">
        <v>252</v>
      </c>
      <c r="Q4201" s="2">
        <v>76860</v>
      </c>
      <c r="R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 s="1">
        <v>42382</v>
      </c>
      <c r="AC4201" t="s">
        <v>53</v>
      </c>
      <c r="AD4201" t="s">
        <v>53</v>
      </c>
      <c r="AK4201">
        <v>0</v>
      </c>
      <c r="AU4201" s="6">
        <v>42131</v>
      </c>
      <c r="AV4201" s="6">
        <v>42131</v>
      </c>
      <c r="AW4201" t="s">
        <v>54</v>
      </c>
      <c r="AX4201" t="str">
        <f t="shared" si="353"/>
        <v>FOR</v>
      </c>
      <c r="AY4201" t="s">
        <v>55</v>
      </c>
    </row>
    <row r="4202" spans="1:51" hidden="1">
      <c r="A4202">
        <v>101541</v>
      </c>
      <c r="B4202" t="s">
        <v>763</v>
      </c>
      <c r="C4202" t="str">
        <f t="shared" si="354"/>
        <v>08230471008</v>
      </c>
      <c r="D4202" t="str">
        <f t="shared" si="354"/>
        <v>08230471008</v>
      </c>
      <c r="E4202" t="s">
        <v>52</v>
      </c>
      <c r="F4202">
        <v>2014</v>
      </c>
      <c r="G4202">
        <v>7443</v>
      </c>
      <c r="H4202" s="1">
        <v>41782</v>
      </c>
      <c r="I4202" s="1">
        <v>41789</v>
      </c>
      <c r="J4202" s="1">
        <v>41789</v>
      </c>
      <c r="K4202" s="1">
        <v>41879</v>
      </c>
      <c r="N4202" s="5"/>
      <c r="O4202">
        <v>728</v>
      </c>
      <c r="P4202">
        <v>252</v>
      </c>
      <c r="Q4202" s="2">
        <v>183456</v>
      </c>
      <c r="R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 s="1">
        <v>42382</v>
      </c>
      <c r="AC4202" t="s">
        <v>53</v>
      </c>
      <c r="AD4202" t="s">
        <v>53</v>
      </c>
      <c r="AK4202">
        <v>0</v>
      </c>
      <c r="AU4202" s="6">
        <v>42131</v>
      </c>
      <c r="AV4202" s="6">
        <v>42131</v>
      </c>
      <c r="AW4202" t="s">
        <v>54</v>
      </c>
      <c r="AX4202" t="str">
        <f t="shared" si="353"/>
        <v>FOR</v>
      </c>
      <c r="AY4202" t="s">
        <v>55</v>
      </c>
    </row>
    <row r="4203" spans="1:51" hidden="1">
      <c r="A4203">
        <v>101541</v>
      </c>
      <c r="B4203" t="s">
        <v>763</v>
      </c>
      <c r="C4203" t="str">
        <f t="shared" ref="C4203:D4222" si="355">"08230471008"</f>
        <v>08230471008</v>
      </c>
      <c r="D4203" t="str">
        <f t="shared" si="355"/>
        <v>08230471008</v>
      </c>
      <c r="E4203" t="s">
        <v>52</v>
      </c>
      <c r="F4203">
        <v>2014</v>
      </c>
      <c r="G4203">
        <v>7444</v>
      </c>
      <c r="H4203" s="1">
        <v>41782</v>
      </c>
      <c r="I4203" s="1">
        <v>41789</v>
      </c>
      <c r="J4203" s="1">
        <v>41789</v>
      </c>
      <c r="K4203" s="1">
        <v>41879</v>
      </c>
      <c r="N4203" s="5"/>
      <c r="O4203">
        <v>305</v>
      </c>
      <c r="P4203">
        <v>252</v>
      </c>
      <c r="Q4203" s="2">
        <v>76860</v>
      </c>
      <c r="R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 s="1">
        <v>42382</v>
      </c>
      <c r="AC4203" t="s">
        <v>53</v>
      </c>
      <c r="AD4203" t="s">
        <v>53</v>
      </c>
      <c r="AK4203">
        <v>0</v>
      </c>
      <c r="AU4203" s="6">
        <v>42131</v>
      </c>
      <c r="AV4203" s="6">
        <v>42131</v>
      </c>
      <c r="AW4203" t="s">
        <v>54</v>
      </c>
      <c r="AX4203" t="str">
        <f t="shared" si="353"/>
        <v>FOR</v>
      </c>
      <c r="AY4203" t="s">
        <v>55</v>
      </c>
    </row>
    <row r="4204" spans="1:51" hidden="1">
      <c r="A4204">
        <v>101541</v>
      </c>
      <c r="B4204" t="s">
        <v>763</v>
      </c>
      <c r="C4204" t="str">
        <f t="shared" si="355"/>
        <v>08230471008</v>
      </c>
      <c r="D4204" t="str">
        <f t="shared" si="355"/>
        <v>08230471008</v>
      </c>
      <c r="E4204" t="s">
        <v>52</v>
      </c>
      <c r="F4204">
        <v>2014</v>
      </c>
      <c r="G4204">
        <v>7445</v>
      </c>
      <c r="H4204" s="1">
        <v>41782</v>
      </c>
      <c r="I4204" s="1">
        <v>41796</v>
      </c>
      <c r="J4204" s="1">
        <v>41796</v>
      </c>
      <c r="K4204" s="1">
        <v>41886</v>
      </c>
      <c r="N4204" s="5"/>
      <c r="O4204">
        <v>305</v>
      </c>
      <c r="P4204">
        <v>245</v>
      </c>
      <c r="Q4204" s="2">
        <v>74725</v>
      </c>
      <c r="R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 s="1">
        <v>42382</v>
      </c>
      <c r="AC4204" t="s">
        <v>53</v>
      </c>
      <c r="AD4204" t="s">
        <v>53</v>
      </c>
      <c r="AK4204">
        <v>0</v>
      </c>
      <c r="AU4204" s="6">
        <v>42131</v>
      </c>
      <c r="AV4204" s="6">
        <v>42131</v>
      </c>
      <c r="AW4204" t="s">
        <v>54</v>
      </c>
      <c r="AX4204" t="str">
        <f t="shared" si="353"/>
        <v>FOR</v>
      </c>
      <c r="AY4204" t="s">
        <v>55</v>
      </c>
    </row>
    <row r="4205" spans="1:51" hidden="1">
      <c r="A4205">
        <v>101541</v>
      </c>
      <c r="B4205" t="s">
        <v>763</v>
      </c>
      <c r="C4205" t="str">
        <f t="shared" si="355"/>
        <v>08230471008</v>
      </c>
      <c r="D4205" t="str">
        <f t="shared" si="355"/>
        <v>08230471008</v>
      </c>
      <c r="E4205" t="s">
        <v>52</v>
      </c>
      <c r="F4205">
        <v>2014</v>
      </c>
      <c r="G4205">
        <v>7446</v>
      </c>
      <c r="H4205" s="1">
        <v>41782</v>
      </c>
      <c r="I4205" s="1">
        <v>41796</v>
      </c>
      <c r="J4205" s="1">
        <v>41796</v>
      </c>
      <c r="K4205" s="1">
        <v>41886</v>
      </c>
      <c r="N4205" s="5"/>
      <c r="O4205">
        <v>305</v>
      </c>
      <c r="P4205">
        <v>245</v>
      </c>
      <c r="Q4205" s="2">
        <v>74725</v>
      </c>
      <c r="R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 s="1">
        <v>42382</v>
      </c>
      <c r="AC4205" t="s">
        <v>53</v>
      </c>
      <c r="AD4205" t="s">
        <v>53</v>
      </c>
      <c r="AK4205">
        <v>0</v>
      </c>
      <c r="AU4205" s="6">
        <v>42131</v>
      </c>
      <c r="AV4205" s="6">
        <v>42131</v>
      </c>
      <c r="AW4205" t="s">
        <v>54</v>
      </c>
      <c r="AX4205" t="str">
        <f t="shared" si="353"/>
        <v>FOR</v>
      </c>
      <c r="AY4205" t="s">
        <v>55</v>
      </c>
    </row>
    <row r="4206" spans="1:51" hidden="1">
      <c r="A4206">
        <v>101541</v>
      </c>
      <c r="B4206" t="s">
        <v>763</v>
      </c>
      <c r="C4206" t="str">
        <f t="shared" si="355"/>
        <v>08230471008</v>
      </c>
      <c r="D4206" t="str">
        <f t="shared" si="355"/>
        <v>08230471008</v>
      </c>
      <c r="E4206" t="s">
        <v>52</v>
      </c>
      <c r="F4206">
        <v>2014</v>
      </c>
      <c r="G4206">
        <v>7833</v>
      </c>
      <c r="H4206" s="1">
        <v>41789</v>
      </c>
      <c r="I4206" s="1">
        <v>41800</v>
      </c>
      <c r="J4206" s="1">
        <v>41800</v>
      </c>
      <c r="K4206" s="1">
        <v>41890</v>
      </c>
      <c r="N4206" s="5"/>
      <c r="O4206">
        <v>305</v>
      </c>
      <c r="P4206">
        <v>241</v>
      </c>
      <c r="Q4206" s="2">
        <v>73505</v>
      </c>
      <c r="R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 s="1">
        <v>42382</v>
      </c>
      <c r="AC4206" t="s">
        <v>53</v>
      </c>
      <c r="AD4206" t="s">
        <v>53</v>
      </c>
      <c r="AK4206">
        <v>0</v>
      </c>
      <c r="AU4206" s="6">
        <v>42131</v>
      </c>
      <c r="AV4206" s="6">
        <v>42131</v>
      </c>
      <c r="AW4206" t="s">
        <v>54</v>
      </c>
      <c r="AX4206" t="str">
        <f t="shared" si="353"/>
        <v>FOR</v>
      </c>
      <c r="AY4206" t="s">
        <v>55</v>
      </c>
    </row>
    <row r="4207" spans="1:51" hidden="1">
      <c r="A4207">
        <v>101541</v>
      </c>
      <c r="B4207" t="s">
        <v>763</v>
      </c>
      <c r="C4207" t="str">
        <f t="shared" si="355"/>
        <v>08230471008</v>
      </c>
      <c r="D4207" t="str">
        <f t="shared" si="355"/>
        <v>08230471008</v>
      </c>
      <c r="E4207" t="s">
        <v>52</v>
      </c>
      <c r="F4207">
        <v>2014</v>
      </c>
      <c r="G4207">
        <v>7834</v>
      </c>
      <c r="H4207" s="1">
        <v>41789</v>
      </c>
      <c r="I4207" s="1">
        <v>41800</v>
      </c>
      <c r="J4207" s="1">
        <v>41800</v>
      </c>
      <c r="K4207" s="1">
        <v>41890</v>
      </c>
      <c r="N4207" s="5"/>
      <c r="O4207">
        <v>305</v>
      </c>
      <c r="P4207">
        <v>241</v>
      </c>
      <c r="Q4207" s="2">
        <v>73505</v>
      </c>
      <c r="R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 s="1">
        <v>42382</v>
      </c>
      <c r="AC4207" t="s">
        <v>53</v>
      </c>
      <c r="AD4207" t="s">
        <v>53</v>
      </c>
      <c r="AK4207">
        <v>0</v>
      </c>
      <c r="AU4207" s="6">
        <v>42131</v>
      </c>
      <c r="AV4207" s="6">
        <v>42131</v>
      </c>
      <c r="AW4207" t="s">
        <v>54</v>
      </c>
      <c r="AX4207" t="str">
        <f t="shared" si="353"/>
        <v>FOR</v>
      </c>
      <c r="AY4207" t="s">
        <v>55</v>
      </c>
    </row>
    <row r="4208" spans="1:51" hidden="1">
      <c r="A4208">
        <v>101541</v>
      </c>
      <c r="B4208" t="s">
        <v>763</v>
      </c>
      <c r="C4208" t="str">
        <f t="shared" si="355"/>
        <v>08230471008</v>
      </c>
      <c r="D4208" t="str">
        <f t="shared" si="355"/>
        <v>08230471008</v>
      </c>
      <c r="E4208" t="s">
        <v>52</v>
      </c>
      <c r="F4208">
        <v>2014</v>
      </c>
      <c r="G4208">
        <v>7835</v>
      </c>
      <c r="H4208" s="1">
        <v>41789</v>
      </c>
      <c r="I4208" s="1">
        <v>41800</v>
      </c>
      <c r="J4208" s="1">
        <v>41800</v>
      </c>
      <c r="K4208" s="1">
        <v>41890</v>
      </c>
      <c r="N4208" s="5"/>
      <c r="O4208">
        <v>305</v>
      </c>
      <c r="P4208">
        <v>241</v>
      </c>
      <c r="Q4208" s="2">
        <v>73505</v>
      </c>
      <c r="R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 s="1">
        <v>42382</v>
      </c>
      <c r="AC4208" t="s">
        <v>53</v>
      </c>
      <c r="AD4208" t="s">
        <v>53</v>
      </c>
      <c r="AK4208">
        <v>0</v>
      </c>
      <c r="AU4208" s="6">
        <v>42131</v>
      </c>
      <c r="AV4208" s="6">
        <v>42131</v>
      </c>
      <c r="AW4208" t="s">
        <v>54</v>
      </c>
      <c r="AX4208" t="str">
        <f t="shared" si="353"/>
        <v>FOR</v>
      </c>
      <c r="AY4208" t="s">
        <v>55</v>
      </c>
    </row>
    <row r="4209" spans="1:51" hidden="1">
      <c r="A4209">
        <v>101541</v>
      </c>
      <c r="B4209" t="s">
        <v>763</v>
      </c>
      <c r="C4209" t="str">
        <f t="shared" si="355"/>
        <v>08230471008</v>
      </c>
      <c r="D4209" t="str">
        <f t="shared" si="355"/>
        <v>08230471008</v>
      </c>
      <c r="E4209" t="s">
        <v>52</v>
      </c>
      <c r="F4209">
        <v>2014</v>
      </c>
      <c r="G4209">
        <v>7836</v>
      </c>
      <c r="H4209" s="1">
        <v>41789</v>
      </c>
      <c r="I4209" s="1">
        <v>41800</v>
      </c>
      <c r="J4209" s="1">
        <v>41800</v>
      </c>
      <c r="K4209" s="1">
        <v>41890</v>
      </c>
      <c r="N4209" s="5"/>
      <c r="O4209">
        <v>728</v>
      </c>
      <c r="P4209">
        <v>241</v>
      </c>
      <c r="Q4209" s="2">
        <v>175448</v>
      </c>
      <c r="R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 s="1">
        <v>42382</v>
      </c>
      <c r="AC4209" t="s">
        <v>53</v>
      </c>
      <c r="AD4209" t="s">
        <v>53</v>
      </c>
      <c r="AK4209">
        <v>0</v>
      </c>
      <c r="AU4209" s="6">
        <v>42131</v>
      </c>
      <c r="AV4209" s="6">
        <v>42131</v>
      </c>
      <c r="AW4209" t="s">
        <v>54</v>
      </c>
      <c r="AX4209" t="str">
        <f t="shared" si="353"/>
        <v>FOR</v>
      </c>
      <c r="AY4209" t="s">
        <v>55</v>
      </c>
    </row>
    <row r="4210" spans="1:51" hidden="1">
      <c r="A4210">
        <v>101541</v>
      </c>
      <c r="B4210" t="s">
        <v>763</v>
      </c>
      <c r="C4210" t="str">
        <f t="shared" si="355"/>
        <v>08230471008</v>
      </c>
      <c r="D4210" t="str">
        <f t="shared" si="355"/>
        <v>08230471008</v>
      </c>
      <c r="E4210" t="s">
        <v>52</v>
      </c>
      <c r="F4210">
        <v>2014</v>
      </c>
      <c r="G4210">
        <v>7837</v>
      </c>
      <c r="H4210" s="1">
        <v>41789</v>
      </c>
      <c r="I4210" s="1">
        <v>41800</v>
      </c>
      <c r="J4210" s="1">
        <v>41800</v>
      </c>
      <c r="K4210" s="1">
        <v>41890</v>
      </c>
      <c r="N4210" s="5"/>
      <c r="O4210">
        <v>728</v>
      </c>
      <c r="P4210">
        <v>241</v>
      </c>
      <c r="Q4210" s="2">
        <v>175448</v>
      </c>
      <c r="R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 s="1">
        <v>42382</v>
      </c>
      <c r="AC4210" t="s">
        <v>53</v>
      </c>
      <c r="AD4210" t="s">
        <v>53</v>
      </c>
      <c r="AK4210">
        <v>0</v>
      </c>
      <c r="AU4210" s="6">
        <v>42131</v>
      </c>
      <c r="AV4210" s="6">
        <v>42131</v>
      </c>
      <c r="AW4210" t="s">
        <v>54</v>
      </c>
      <c r="AX4210" t="str">
        <f t="shared" si="353"/>
        <v>FOR</v>
      </c>
      <c r="AY4210" t="s">
        <v>55</v>
      </c>
    </row>
    <row r="4211" spans="1:51" hidden="1">
      <c r="A4211">
        <v>101541</v>
      </c>
      <c r="B4211" t="s">
        <v>763</v>
      </c>
      <c r="C4211" t="str">
        <f t="shared" si="355"/>
        <v>08230471008</v>
      </c>
      <c r="D4211" t="str">
        <f t="shared" si="355"/>
        <v>08230471008</v>
      </c>
      <c r="E4211" t="s">
        <v>52</v>
      </c>
      <c r="F4211">
        <v>2014</v>
      </c>
      <c r="G4211">
        <v>7838</v>
      </c>
      <c r="H4211" s="1">
        <v>41789</v>
      </c>
      <c r="I4211" s="1">
        <v>41800</v>
      </c>
      <c r="J4211" s="1">
        <v>41800</v>
      </c>
      <c r="K4211" s="1">
        <v>41890</v>
      </c>
      <c r="N4211" s="5"/>
      <c r="O4211">
        <v>728</v>
      </c>
      <c r="P4211">
        <v>241</v>
      </c>
      <c r="Q4211" s="2">
        <v>175448</v>
      </c>
      <c r="R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 s="1">
        <v>42382</v>
      </c>
      <c r="AC4211" t="s">
        <v>53</v>
      </c>
      <c r="AD4211" t="s">
        <v>53</v>
      </c>
      <c r="AK4211">
        <v>0</v>
      </c>
      <c r="AU4211" s="6">
        <v>42131</v>
      </c>
      <c r="AV4211" s="6">
        <v>42131</v>
      </c>
      <c r="AW4211" t="s">
        <v>54</v>
      </c>
      <c r="AX4211" t="str">
        <f t="shared" si="353"/>
        <v>FOR</v>
      </c>
      <c r="AY4211" t="s">
        <v>55</v>
      </c>
    </row>
    <row r="4212" spans="1:51" hidden="1">
      <c r="A4212">
        <v>101541</v>
      </c>
      <c r="B4212" t="s">
        <v>763</v>
      </c>
      <c r="C4212" t="str">
        <f t="shared" si="355"/>
        <v>08230471008</v>
      </c>
      <c r="D4212" t="str">
        <f t="shared" si="355"/>
        <v>08230471008</v>
      </c>
      <c r="E4212" t="s">
        <v>52</v>
      </c>
      <c r="F4212">
        <v>2014</v>
      </c>
      <c r="G4212">
        <v>8348</v>
      </c>
      <c r="H4212" s="1">
        <v>41803</v>
      </c>
      <c r="I4212" s="1">
        <v>41815</v>
      </c>
      <c r="J4212" s="1">
        <v>41815</v>
      </c>
      <c r="K4212" s="1">
        <v>41905</v>
      </c>
      <c r="N4212" s="5"/>
      <c r="O4212">
        <v>305</v>
      </c>
      <c r="P4212">
        <v>258</v>
      </c>
      <c r="Q4212" s="2">
        <v>78690</v>
      </c>
      <c r="R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 s="1">
        <v>42382</v>
      </c>
      <c r="AC4212" t="s">
        <v>53</v>
      </c>
      <c r="AD4212" t="s">
        <v>53</v>
      </c>
      <c r="AK4212">
        <v>0</v>
      </c>
      <c r="AU4212" s="6">
        <v>42163</v>
      </c>
      <c r="AV4212" s="6">
        <v>42163</v>
      </c>
      <c r="AW4212" t="s">
        <v>54</v>
      </c>
      <c r="AX4212" t="str">
        <f t="shared" si="353"/>
        <v>FOR</v>
      </c>
      <c r="AY4212" t="s">
        <v>55</v>
      </c>
    </row>
    <row r="4213" spans="1:51" hidden="1">
      <c r="A4213">
        <v>101541</v>
      </c>
      <c r="B4213" t="s">
        <v>763</v>
      </c>
      <c r="C4213" t="str">
        <f t="shared" si="355"/>
        <v>08230471008</v>
      </c>
      <c r="D4213" t="str">
        <f t="shared" si="355"/>
        <v>08230471008</v>
      </c>
      <c r="E4213" t="s">
        <v>52</v>
      </c>
      <c r="F4213">
        <v>2014</v>
      </c>
      <c r="G4213">
        <v>8349</v>
      </c>
      <c r="H4213" s="1">
        <v>41803</v>
      </c>
      <c r="I4213" s="1">
        <v>41815</v>
      </c>
      <c r="J4213" s="1">
        <v>41815</v>
      </c>
      <c r="K4213" s="1">
        <v>41905</v>
      </c>
      <c r="N4213" s="5"/>
      <c r="O4213">
        <v>305</v>
      </c>
      <c r="P4213">
        <v>258</v>
      </c>
      <c r="Q4213" s="2">
        <v>78690</v>
      </c>
      <c r="R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 s="1">
        <v>42382</v>
      </c>
      <c r="AC4213" t="s">
        <v>53</v>
      </c>
      <c r="AD4213" t="s">
        <v>53</v>
      </c>
      <c r="AK4213">
        <v>0</v>
      </c>
      <c r="AU4213" s="6">
        <v>42163</v>
      </c>
      <c r="AV4213" s="6">
        <v>42163</v>
      </c>
      <c r="AW4213" t="s">
        <v>54</v>
      </c>
      <c r="AX4213" t="str">
        <f t="shared" si="353"/>
        <v>FOR</v>
      </c>
      <c r="AY4213" t="s">
        <v>55</v>
      </c>
    </row>
    <row r="4214" spans="1:51" hidden="1">
      <c r="A4214">
        <v>101541</v>
      </c>
      <c r="B4214" t="s">
        <v>763</v>
      </c>
      <c r="C4214" t="str">
        <f t="shared" si="355"/>
        <v>08230471008</v>
      </c>
      <c r="D4214" t="str">
        <f t="shared" si="355"/>
        <v>08230471008</v>
      </c>
      <c r="E4214" t="s">
        <v>52</v>
      </c>
      <c r="F4214">
        <v>2014</v>
      </c>
      <c r="G4214">
        <v>8350</v>
      </c>
      <c r="H4214" s="1">
        <v>41803</v>
      </c>
      <c r="I4214" s="1">
        <v>41815</v>
      </c>
      <c r="J4214" s="1">
        <v>41815</v>
      </c>
      <c r="K4214" s="1">
        <v>41905</v>
      </c>
      <c r="N4214" s="5"/>
      <c r="O4214">
        <v>305</v>
      </c>
      <c r="P4214">
        <v>258</v>
      </c>
      <c r="Q4214" s="2">
        <v>78690</v>
      </c>
      <c r="R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 s="1">
        <v>42382</v>
      </c>
      <c r="AC4214" t="s">
        <v>53</v>
      </c>
      <c r="AD4214" t="s">
        <v>53</v>
      </c>
      <c r="AK4214">
        <v>0</v>
      </c>
      <c r="AU4214" s="6">
        <v>42163</v>
      </c>
      <c r="AV4214" s="6">
        <v>42163</v>
      </c>
      <c r="AW4214" t="s">
        <v>54</v>
      </c>
      <c r="AX4214" t="str">
        <f t="shared" si="353"/>
        <v>FOR</v>
      </c>
      <c r="AY4214" t="s">
        <v>55</v>
      </c>
    </row>
    <row r="4215" spans="1:51" hidden="1">
      <c r="A4215">
        <v>101541</v>
      </c>
      <c r="B4215" t="s">
        <v>763</v>
      </c>
      <c r="C4215" t="str">
        <f t="shared" si="355"/>
        <v>08230471008</v>
      </c>
      <c r="D4215" t="str">
        <f t="shared" si="355"/>
        <v>08230471008</v>
      </c>
      <c r="E4215" t="s">
        <v>52</v>
      </c>
      <c r="F4215">
        <v>2014</v>
      </c>
      <c r="G4215">
        <v>8351</v>
      </c>
      <c r="H4215" s="1">
        <v>41803</v>
      </c>
      <c r="I4215" s="1">
        <v>41815</v>
      </c>
      <c r="J4215" s="1">
        <v>41815</v>
      </c>
      <c r="K4215" s="1">
        <v>41905</v>
      </c>
      <c r="N4215" s="5"/>
      <c r="O4215">
        <v>728</v>
      </c>
      <c r="P4215">
        <v>258</v>
      </c>
      <c r="Q4215" s="2">
        <v>187824</v>
      </c>
      <c r="R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 s="1">
        <v>42382</v>
      </c>
      <c r="AC4215" t="s">
        <v>53</v>
      </c>
      <c r="AD4215" t="s">
        <v>53</v>
      </c>
      <c r="AK4215">
        <v>0</v>
      </c>
      <c r="AU4215" s="6">
        <v>42163</v>
      </c>
      <c r="AV4215" s="6">
        <v>42163</v>
      </c>
      <c r="AW4215" t="s">
        <v>54</v>
      </c>
      <c r="AX4215" t="str">
        <f t="shared" si="353"/>
        <v>FOR</v>
      </c>
      <c r="AY4215" t="s">
        <v>55</v>
      </c>
    </row>
    <row r="4216" spans="1:51" hidden="1">
      <c r="A4216">
        <v>101541</v>
      </c>
      <c r="B4216" t="s">
        <v>763</v>
      </c>
      <c r="C4216" t="str">
        <f t="shared" si="355"/>
        <v>08230471008</v>
      </c>
      <c r="D4216" t="str">
        <f t="shared" si="355"/>
        <v>08230471008</v>
      </c>
      <c r="E4216" t="s">
        <v>52</v>
      </c>
      <c r="F4216">
        <v>2014</v>
      </c>
      <c r="G4216">
        <v>8352</v>
      </c>
      <c r="H4216" s="1">
        <v>41803</v>
      </c>
      <c r="I4216" s="1">
        <v>41815</v>
      </c>
      <c r="J4216" s="1">
        <v>41815</v>
      </c>
      <c r="K4216" s="1">
        <v>41905</v>
      </c>
      <c r="N4216" s="5"/>
      <c r="O4216">
        <v>305</v>
      </c>
      <c r="P4216">
        <v>258</v>
      </c>
      <c r="Q4216" s="2">
        <v>78690</v>
      </c>
      <c r="R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 s="1">
        <v>42382</v>
      </c>
      <c r="AC4216" t="s">
        <v>53</v>
      </c>
      <c r="AD4216" t="s">
        <v>53</v>
      </c>
      <c r="AK4216">
        <v>0</v>
      </c>
      <c r="AU4216" s="6">
        <v>42163</v>
      </c>
      <c r="AV4216" s="6">
        <v>42163</v>
      </c>
      <c r="AW4216" t="s">
        <v>54</v>
      </c>
      <c r="AX4216" t="str">
        <f t="shared" si="353"/>
        <v>FOR</v>
      </c>
      <c r="AY4216" t="s">
        <v>55</v>
      </c>
    </row>
    <row r="4217" spans="1:51" hidden="1">
      <c r="A4217">
        <v>101541</v>
      </c>
      <c r="B4217" t="s">
        <v>763</v>
      </c>
      <c r="C4217" t="str">
        <f t="shared" si="355"/>
        <v>08230471008</v>
      </c>
      <c r="D4217" t="str">
        <f t="shared" si="355"/>
        <v>08230471008</v>
      </c>
      <c r="E4217" t="s">
        <v>52</v>
      </c>
      <c r="F4217">
        <v>2014</v>
      </c>
      <c r="G4217">
        <v>8353</v>
      </c>
      <c r="H4217" s="1">
        <v>41803</v>
      </c>
      <c r="I4217" s="1">
        <v>41815</v>
      </c>
      <c r="J4217" s="1">
        <v>41815</v>
      </c>
      <c r="K4217" s="1">
        <v>41905</v>
      </c>
      <c r="N4217" s="5"/>
      <c r="O4217">
        <v>728</v>
      </c>
      <c r="P4217">
        <v>258</v>
      </c>
      <c r="Q4217" s="2">
        <v>187824</v>
      </c>
      <c r="R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 s="1">
        <v>42382</v>
      </c>
      <c r="AC4217" t="s">
        <v>53</v>
      </c>
      <c r="AD4217" t="s">
        <v>53</v>
      </c>
      <c r="AK4217">
        <v>0</v>
      </c>
      <c r="AU4217" s="6">
        <v>42163</v>
      </c>
      <c r="AV4217" s="6">
        <v>42163</v>
      </c>
      <c r="AW4217" t="s">
        <v>54</v>
      </c>
      <c r="AX4217" t="str">
        <f t="shared" si="353"/>
        <v>FOR</v>
      </c>
      <c r="AY4217" t="s">
        <v>55</v>
      </c>
    </row>
    <row r="4218" spans="1:51" hidden="1">
      <c r="A4218">
        <v>101541</v>
      </c>
      <c r="B4218" t="s">
        <v>763</v>
      </c>
      <c r="C4218" t="str">
        <f t="shared" si="355"/>
        <v>08230471008</v>
      </c>
      <c r="D4218" t="str">
        <f t="shared" si="355"/>
        <v>08230471008</v>
      </c>
      <c r="E4218" t="s">
        <v>52</v>
      </c>
      <c r="F4218">
        <v>2014</v>
      </c>
      <c r="G4218">
        <v>8354</v>
      </c>
      <c r="H4218" s="1">
        <v>41803</v>
      </c>
      <c r="I4218" s="1">
        <v>41815</v>
      </c>
      <c r="J4218" s="1">
        <v>41815</v>
      </c>
      <c r="K4218" s="1">
        <v>41905</v>
      </c>
      <c r="N4218" s="5"/>
      <c r="O4218">
        <v>305</v>
      </c>
      <c r="P4218">
        <v>258</v>
      </c>
      <c r="Q4218" s="2">
        <v>78690</v>
      </c>
      <c r="R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 s="1">
        <v>42382</v>
      </c>
      <c r="AC4218" t="s">
        <v>53</v>
      </c>
      <c r="AD4218" t="s">
        <v>53</v>
      </c>
      <c r="AK4218">
        <v>0</v>
      </c>
      <c r="AU4218" s="6">
        <v>42163</v>
      </c>
      <c r="AV4218" s="6">
        <v>42163</v>
      </c>
      <c r="AW4218" t="s">
        <v>54</v>
      </c>
      <c r="AX4218" t="str">
        <f t="shared" si="353"/>
        <v>FOR</v>
      </c>
      <c r="AY4218" t="s">
        <v>55</v>
      </c>
    </row>
    <row r="4219" spans="1:51" hidden="1">
      <c r="A4219">
        <v>101541</v>
      </c>
      <c r="B4219" t="s">
        <v>763</v>
      </c>
      <c r="C4219" t="str">
        <f t="shared" si="355"/>
        <v>08230471008</v>
      </c>
      <c r="D4219" t="str">
        <f t="shared" si="355"/>
        <v>08230471008</v>
      </c>
      <c r="E4219" t="s">
        <v>52</v>
      </c>
      <c r="F4219">
        <v>2014</v>
      </c>
      <c r="G4219">
        <v>8355</v>
      </c>
      <c r="H4219" s="1">
        <v>41803</v>
      </c>
      <c r="I4219" s="1">
        <v>41815</v>
      </c>
      <c r="J4219" s="1">
        <v>41815</v>
      </c>
      <c r="K4219" s="1">
        <v>41905</v>
      </c>
      <c r="N4219" s="5"/>
      <c r="O4219">
        <v>305</v>
      </c>
      <c r="P4219">
        <v>258</v>
      </c>
      <c r="Q4219" s="2">
        <v>78690</v>
      </c>
      <c r="R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 s="1">
        <v>42382</v>
      </c>
      <c r="AC4219" t="s">
        <v>53</v>
      </c>
      <c r="AD4219" t="s">
        <v>53</v>
      </c>
      <c r="AK4219">
        <v>0</v>
      </c>
      <c r="AU4219" s="6">
        <v>42163</v>
      </c>
      <c r="AV4219" s="6">
        <v>42163</v>
      </c>
      <c r="AW4219" t="s">
        <v>54</v>
      </c>
      <c r="AX4219" t="str">
        <f t="shared" si="353"/>
        <v>FOR</v>
      </c>
      <c r="AY4219" t="s">
        <v>55</v>
      </c>
    </row>
    <row r="4220" spans="1:51" hidden="1">
      <c r="A4220">
        <v>101541</v>
      </c>
      <c r="B4220" t="s">
        <v>763</v>
      </c>
      <c r="C4220" t="str">
        <f t="shared" si="355"/>
        <v>08230471008</v>
      </c>
      <c r="D4220" t="str">
        <f t="shared" si="355"/>
        <v>08230471008</v>
      </c>
      <c r="E4220" t="s">
        <v>52</v>
      </c>
      <c r="F4220">
        <v>2014</v>
      </c>
      <c r="G4220">
        <v>8356</v>
      </c>
      <c r="H4220" s="1">
        <v>41803</v>
      </c>
      <c r="I4220" s="1">
        <v>41815</v>
      </c>
      <c r="J4220" s="1">
        <v>41815</v>
      </c>
      <c r="K4220" s="1">
        <v>41905</v>
      </c>
      <c r="N4220" s="5"/>
      <c r="O4220">
        <v>728</v>
      </c>
      <c r="P4220">
        <v>258</v>
      </c>
      <c r="Q4220" s="2">
        <v>187824</v>
      </c>
      <c r="R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 s="1">
        <v>42382</v>
      </c>
      <c r="AC4220" t="s">
        <v>53</v>
      </c>
      <c r="AD4220" t="s">
        <v>53</v>
      </c>
      <c r="AK4220">
        <v>0</v>
      </c>
      <c r="AU4220" s="6">
        <v>42163</v>
      </c>
      <c r="AV4220" s="6">
        <v>42163</v>
      </c>
      <c r="AW4220" t="s">
        <v>54</v>
      </c>
      <c r="AX4220" t="str">
        <f t="shared" si="353"/>
        <v>FOR</v>
      </c>
      <c r="AY4220" t="s">
        <v>55</v>
      </c>
    </row>
    <row r="4221" spans="1:51" hidden="1">
      <c r="A4221">
        <v>101541</v>
      </c>
      <c r="B4221" t="s">
        <v>763</v>
      </c>
      <c r="C4221" t="str">
        <f t="shared" si="355"/>
        <v>08230471008</v>
      </c>
      <c r="D4221" t="str">
        <f t="shared" si="355"/>
        <v>08230471008</v>
      </c>
      <c r="E4221" t="s">
        <v>52</v>
      </c>
      <c r="F4221">
        <v>2014</v>
      </c>
      <c r="G4221">
        <v>8787</v>
      </c>
      <c r="H4221" s="1">
        <v>41810</v>
      </c>
      <c r="I4221" s="1">
        <v>41821</v>
      </c>
      <c r="J4221" s="1">
        <v>41821</v>
      </c>
      <c r="K4221" s="1">
        <v>41911</v>
      </c>
      <c r="N4221" s="5"/>
      <c r="O4221">
        <v>305</v>
      </c>
      <c r="P4221">
        <v>252</v>
      </c>
      <c r="Q4221" s="2">
        <v>76860</v>
      </c>
      <c r="R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 s="1">
        <v>42382</v>
      </c>
      <c r="AC4221" t="s">
        <v>53</v>
      </c>
      <c r="AD4221" t="s">
        <v>53</v>
      </c>
      <c r="AK4221">
        <v>0</v>
      </c>
      <c r="AU4221" s="6">
        <v>42163</v>
      </c>
      <c r="AV4221" s="6">
        <v>42163</v>
      </c>
      <c r="AW4221" t="s">
        <v>54</v>
      </c>
      <c r="AX4221" t="str">
        <f t="shared" si="353"/>
        <v>FOR</v>
      </c>
      <c r="AY4221" t="s">
        <v>55</v>
      </c>
    </row>
    <row r="4222" spans="1:51" hidden="1">
      <c r="A4222">
        <v>101541</v>
      </c>
      <c r="B4222" t="s">
        <v>763</v>
      </c>
      <c r="C4222" t="str">
        <f t="shared" si="355"/>
        <v>08230471008</v>
      </c>
      <c r="D4222" t="str">
        <f t="shared" si="355"/>
        <v>08230471008</v>
      </c>
      <c r="E4222" t="s">
        <v>52</v>
      </c>
      <c r="F4222">
        <v>2014</v>
      </c>
      <c r="G4222">
        <v>9285</v>
      </c>
      <c r="H4222" s="1">
        <v>41817</v>
      </c>
      <c r="I4222" s="1">
        <v>41830</v>
      </c>
      <c r="J4222" s="1">
        <v>41830</v>
      </c>
      <c r="K4222" s="1">
        <v>41920</v>
      </c>
      <c r="N4222" s="5"/>
      <c r="O4222">
        <v>728</v>
      </c>
      <c r="P4222">
        <v>243</v>
      </c>
      <c r="Q4222" s="2">
        <v>176904</v>
      </c>
      <c r="R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 s="1">
        <v>42382</v>
      </c>
      <c r="AC4222" t="s">
        <v>53</v>
      </c>
      <c r="AD4222" t="s">
        <v>53</v>
      </c>
      <c r="AK4222">
        <v>0</v>
      </c>
      <c r="AU4222" s="6">
        <v>42163</v>
      </c>
      <c r="AV4222" s="6">
        <v>42163</v>
      </c>
      <c r="AW4222" t="s">
        <v>54</v>
      </c>
      <c r="AX4222" t="str">
        <f t="shared" si="353"/>
        <v>FOR</v>
      </c>
      <c r="AY4222" t="s">
        <v>55</v>
      </c>
    </row>
    <row r="4223" spans="1:51" hidden="1">
      <c r="A4223">
        <v>101541</v>
      </c>
      <c r="B4223" t="s">
        <v>763</v>
      </c>
      <c r="C4223" t="str">
        <f t="shared" ref="C4223:D4242" si="356">"08230471008"</f>
        <v>08230471008</v>
      </c>
      <c r="D4223" t="str">
        <f t="shared" si="356"/>
        <v>08230471008</v>
      </c>
      <c r="E4223" t="s">
        <v>52</v>
      </c>
      <c r="F4223">
        <v>2014</v>
      </c>
      <c r="G4223">
        <v>9286</v>
      </c>
      <c r="H4223" s="1">
        <v>41817</v>
      </c>
      <c r="I4223" s="1">
        <v>41830</v>
      </c>
      <c r="J4223" s="1">
        <v>41830</v>
      </c>
      <c r="K4223" s="1">
        <v>41920</v>
      </c>
      <c r="N4223" s="5"/>
      <c r="O4223">
        <v>305</v>
      </c>
      <c r="P4223">
        <v>243</v>
      </c>
      <c r="Q4223" s="2">
        <v>74115</v>
      </c>
      <c r="R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 s="1">
        <v>42382</v>
      </c>
      <c r="AC4223" t="s">
        <v>53</v>
      </c>
      <c r="AD4223" t="s">
        <v>53</v>
      </c>
      <c r="AK4223">
        <v>0</v>
      </c>
      <c r="AU4223" s="6">
        <v>42163</v>
      </c>
      <c r="AV4223" s="6">
        <v>42163</v>
      </c>
      <c r="AW4223" t="s">
        <v>54</v>
      </c>
      <c r="AX4223" t="str">
        <f t="shared" si="353"/>
        <v>FOR</v>
      </c>
      <c r="AY4223" t="s">
        <v>55</v>
      </c>
    </row>
    <row r="4224" spans="1:51" hidden="1">
      <c r="A4224">
        <v>101541</v>
      </c>
      <c r="B4224" t="s">
        <v>763</v>
      </c>
      <c r="C4224" t="str">
        <f t="shared" si="356"/>
        <v>08230471008</v>
      </c>
      <c r="D4224" t="str">
        <f t="shared" si="356"/>
        <v>08230471008</v>
      </c>
      <c r="E4224" t="s">
        <v>52</v>
      </c>
      <c r="F4224">
        <v>2014</v>
      </c>
      <c r="G4224">
        <v>9287</v>
      </c>
      <c r="H4224" s="1">
        <v>41817</v>
      </c>
      <c r="I4224" s="1">
        <v>41830</v>
      </c>
      <c r="J4224" s="1">
        <v>41830</v>
      </c>
      <c r="K4224" s="1">
        <v>41920</v>
      </c>
      <c r="N4224" s="5"/>
      <c r="O4224">
        <v>305</v>
      </c>
      <c r="P4224">
        <v>243</v>
      </c>
      <c r="Q4224" s="2">
        <v>74115</v>
      </c>
      <c r="R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 s="1">
        <v>42382</v>
      </c>
      <c r="AC4224" t="s">
        <v>53</v>
      </c>
      <c r="AD4224" t="s">
        <v>53</v>
      </c>
      <c r="AK4224">
        <v>0</v>
      </c>
      <c r="AU4224" s="6">
        <v>42163</v>
      </c>
      <c r="AV4224" s="6">
        <v>42163</v>
      </c>
      <c r="AW4224" t="s">
        <v>54</v>
      </c>
      <c r="AX4224" t="str">
        <f t="shared" si="353"/>
        <v>FOR</v>
      </c>
      <c r="AY4224" t="s">
        <v>55</v>
      </c>
    </row>
    <row r="4225" spans="1:51" hidden="1">
      <c r="A4225">
        <v>101541</v>
      </c>
      <c r="B4225" t="s">
        <v>763</v>
      </c>
      <c r="C4225" t="str">
        <f t="shared" si="356"/>
        <v>08230471008</v>
      </c>
      <c r="D4225" t="str">
        <f t="shared" si="356"/>
        <v>08230471008</v>
      </c>
      <c r="E4225" t="s">
        <v>52</v>
      </c>
      <c r="F4225">
        <v>2014</v>
      </c>
      <c r="G4225">
        <v>9288</v>
      </c>
      <c r="H4225" s="1">
        <v>41817</v>
      </c>
      <c r="I4225" s="1">
        <v>41830</v>
      </c>
      <c r="J4225" s="1">
        <v>41830</v>
      </c>
      <c r="K4225" s="1">
        <v>41920</v>
      </c>
      <c r="N4225" s="5"/>
      <c r="O4225">
        <v>305</v>
      </c>
      <c r="P4225">
        <v>243</v>
      </c>
      <c r="Q4225" s="2">
        <v>74115</v>
      </c>
      <c r="R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 s="1">
        <v>42382</v>
      </c>
      <c r="AC4225" t="s">
        <v>53</v>
      </c>
      <c r="AD4225" t="s">
        <v>53</v>
      </c>
      <c r="AK4225">
        <v>0</v>
      </c>
      <c r="AU4225" s="6">
        <v>42163</v>
      </c>
      <c r="AV4225" s="6">
        <v>42163</v>
      </c>
      <c r="AW4225" t="s">
        <v>54</v>
      </c>
      <c r="AX4225" t="str">
        <f t="shared" si="353"/>
        <v>FOR</v>
      </c>
      <c r="AY4225" t="s">
        <v>55</v>
      </c>
    </row>
    <row r="4226" spans="1:51" hidden="1">
      <c r="A4226">
        <v>101541</v>
      </c>
      <c r="B4226" t="s">
        <v>763</v>
      </c>
      <c r="C4226" t="str">
        <f t="shared" si="356"/>
        <v>08230471008</v>
      </c>
      <c r="D4226" t="str">
        <f t="shared" si="356"/>
        <v>08230471008</v>
      </c>
      <c r="E4226" t="s">
        <v>52</v>
      </c>
      <c r="F4226">
        <v>2014</v>
      </c>
      <c r="G4226">
        <v>9289</v>
      </c>
      <c r="H4226" s="1">
        <v>41817</v>
      </c>
      <c r="I4226" s="1">
        <v>41834</v>
      </c>
      <c r="J4226" s="1">
        <v>41834</v>
      </c>
      <c r="K4226" s="1">
        <v>41924</v>
      </c>
      <c r="N4226" s="5"/>
      <c r="O4226" s="2">
        <v>2562</v>
      </c>
      <c r="P4226">
        <v>239</v>
      </c>
      <c r="Q4226" s="2">
        <v>612318</v>
      </c>
      <c r="R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 s="1">
        <v>42382</v>
      </c>
      <c r="AC4226" t="s">
        <v>53</v>
      </c>
      <c r="AD4226" t="s">
        <v>53</v>
      </c>
      <c r="AK4226">
        <v>0</v>
      </c>
      <c r="AU4226" s="6">
        <v>42163</v>
      </c>
      <c r="AV4226" s="6">
        <v>42163</v>
      </c>
      <c r="AW4226" t="s">
        <v>54</v>
      </c>
      <c r="AX4226" t="str">
        <f t="shared" si="353"/>
        <v>FOR</v>
      </c>
      <c r="AY4226" t="s">
        <v>55</v>
      </c>
    </row>
    <row r="4227" spans="1:51" hidden="1">
      <c r="A4227">
        <v>101541</v>
      </c>
      <c r="B4227" t="s">
        <v>763</v>
      </c>
      <c r="C4227" t="str">
        <f t="shared" si="356"/>
        <v>08230471008</v>
      </c>
      <c r="D4227" t="str">
        <f t="shared" si="356"/>
        <v>08230471008</v>
      </c>
      <c r="E4227" t="s">
        <v>52</v>
      </c>
      <c r="F4227">
        <v>2014</v>
      </c>
      <c r="G4227">
        <v>9290</v>
      </c>
      <c r="H4227" s="1">
        <v>41817</v>
      </c>
      <c r="I4227" s="1">
        <v>41834</v>
      </c>
      <c r="J4227" s="1">
        <v>41834</v>
      </c>
      <c r="K4227" s="1">
        <v>41924</v>
      </c>
      <c r="N4227" s="5"/>
      <c r="O4227">
        <v>793</v>
      </c>
      <c r="P4227">
        <v>239</v>
      </c>
      <c r="Q4227" s="2">
        <v>189527</v>
      </c>
      <c r="R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 s="1">
        <v>42382</v>
      </c>
      <c r="AC4227" t="s">
        <v>53</v>
      </c>
      <c r="AD4227" t="s">
        <v>53</v>
      </c>
      <c r="AK4227">
        <v>0</v>
      </c>
      <c r="AU4227" s="6">
        <v>42163</v>
      </c>
      <c r="AV4227" s="6">
        <v>42163</v>
      </c>
      <c r="AW4227" t="s">
        <v>54</v>
      </c>
      <c r="AX4227" t="str">
        <f t="shared" ref="AX4227:AX4290" si="357">"FOR"</f>
        <v>FOR</v>
      </c>
      <c r="AY4227" t="s">
        <v>55</v>
      </c>
    </row>
    <row r="4228" spans="1:51" hidden="1">
      <c r="A4228">
        <v>101541</v>
      </c>
      <c r="B4228" t="s">
        <v>763</v>
      </c>
      <c r="C4228" t="str">
        <f t="shared" si="356"/>
        <v>08230471008</v>
      </c>
      <c r="D4228" t="str">
        <f t="shared" si="356"/>
        <v>08230471008</v>
      </c>
      <c r="E4228" t="s">
        <v>52</v>
      </c>
      <c r="F4228">
        <v>2014</v>
      </c>
      <c r="G4228">
        <v>9590</v>
      </c>
      <c r="H4228" s="1">
        <v>41820</v>
      </c>
      <c r="I4228" s="1">
        <v>41830</v>
      </c>
      <c r="J4228" s="1">
        <v>41830</v>
      </c>
      <c r="K4228" s="1">
        <v>41920</v>
      </c>
      <c r="N4228" s="5"/>
      <c r="O4228">
        <v>305</v>
      </c>
      <c r="P4228">
        <v>243</v>
      </c>
      <c r="Q4228" s="2">
        <v>74115</v>
      </c>
      <c r="R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 s="1">
        <v>42382</v>
      </c>
      <c r="AC4228" t="s">
        <v>53</v>
      </c>
      <c r="AD4228" t="s">
        <v>53</v>
      </c>
      <c r="AK4228">
        <v>0</v>
      </c>
      <c r="AU4228" s="6">
        <v>42163</v>
      </c>
      <c r="AV4228" s="6">
        <v>42163</v>
      </c>
      <c r="AW4228" t="s">
        <v>54</v>
      </c>
      <c r="AX4228" t="str">
        <f t="shared" si="357"/>
        <v>FOR</v>
      </c>
      <c r="AY4228" t="s">
        <v>55</v>
      </c>
    </row>
    <row r="4229" spans="1:51" hidden="1">
      <c r="A4229">
        <v>101541</v>
      </c>
      <c r="B4229" t="s">
        <v>763</v>
      </c>
      <c r="C4229" t="str">
        <f t="shared" si="356"/>
        <v>08230471008</v>
      </c>
      <c r="D4229" t="str">
        <f t="shared" si="356"/>
        <v>08230471008</v>
      </c>
      <c r="E4229" t="s">
        <v>52</v>
      </c>
      <c r="F4229">
        <v>2014</v>
      </c>
      <c r="G4229">
        <v>9591</v>
      </c>
      <c r="H4229" s="1">
        <v>41820</v>
      </c>
      <c r="I4229" s="1">
        <v>41830</v>
      </c>
      <c r="J4229" s="1">
        <v>41830</v>
      </c>
      <c r="K4229" s="1">
        <v>41920</v>
      </c>
      <c r="N4229" s="5"/>
      <c r="O4229">
        <v>305</v>
      </c>
      <c r="P4229">
        <v>243</v>
      </c>
      <c r="Q4229" s="2">
        <v>74115</v>
      </c>
      <c r="R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 s="1">
        <v>42382</v>
      </c>
      <c r="AC4229" t="s">
        <v>53</v>
      </c>
      <c r="AD4229" t="s">
        <v>53</v>
      </c>
      <c r="AK4229">
        <v>0</v>
      </c>
      <c r="AU4229" s="6">
        <v>42163</v>
      </c>
      <c r="AV4229" s="6">
        <v>42163</v>
      </c>
      <c r="AW4229" t="s">
        <v>54</v>
      </c>
      <c r="AX4229" t="str">
        <f t="shared" si="357"/>
        <v>FOR</v>
      </c>
      <c r="AY4229" t="s">
        <v>55</v>
      </c>
    </row>
    <row r="4230" spans="1:51" hidden="1">
      <c r="A4230">
        <v>101541</v>
      </c>
      <c r="B4230" t="s">
        <v>763</v>
      </c>
      <c r="C4230" t="str">
        <f t="shared" si="356"/>
        <v>08230471008</v>
      </c>
      <c r="D4230" t="str">
        <f t="shared" si="356"/>
        <v>08230471008</v>
      </c>
      <c r="E4230" t="s">
        <v>52</v>
      </c>
      <c r="F4230">
        <v>2014</v>
      </c>
      <c r="G4230">
        <v>9592</v>
      </c>
      <c r="H4230" s="1">
        <v>41820</v>
      </c>
      <c r="I4230" s="1">
        <v>41830</v>
      </c>
      <c r="J4230" s="1">
        <v>41830</v>
      </c>
      <c r="K4230" s="1">
        <v>41920</v>
      </c>
      <c r="N4230" s="5"/>
      <c r="O4230">
        <v>305</v>
      </c>
      <c r="P4230">
        <v>243</v>
      </c>
      <c r="Q4230" s="2">
        <v>74115</v>
      </c>
      <c r="R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 s="1">
        <v>42382</v>
      </c>
      <c r="AC4230" t="s">
        <v>53</v>
      </c>
      <c r="AD4230" t="s">
        <v>53</v>
      </c>
      <c r="AK4230">
        <v>0</v>
      </c>
      <c r="AU4230" s="6">
        <v>42163</v>
      </c>
      <c r="AV4230" s="6">
        <v>42163</v>
      </c>
      <c r="AW4230" t="s">
        <v>54</v>
      </c>
      <c r="AX4230" t="str">
        <f t="shared" si="357"/>
        <v>FOR</v>
      </c>
      <c r="AY4230" t="s">
        <v>55</v>
      </c>
    </row>
    <row r="4231" spans="1:51" hidden="1">
      <c r="A4231">
        <v>101541</v>
      </c>
      <c r="B4231" t="s">
        <v>763</v>
      </c>
      <c r="C4231" t="str">
        <f t="shared" si="356"/>
        <v>08230471008</v>
      </c>
      <c r="D4231" t="str">
        <f t="shared" si="356"/>
        <v>08230471008</v>
      </c>
      <c r="E4231" t="s">
        <v>52</v>
      </c>
      <c r="F4231">
        <v>2014</v>
      </c>
      <c r="G4231">
        <v>9593</v>
      </c>
      <c r="H4231" s="1">
        <v>41820</v>
      </c>
      <c r="I4231" s="1">
        <v>41830</v>
      </c>
      <c r="J4231" s="1">
        <v>41830</v>
      </c>
      <c r="K4231" s="1">
        <v>41920</v>
      </c>
      <c r="N4231" s="5"/>
      <c r="O4231">
        <v>728</v>
      </c>
      <c r="P4231">
        <v>243</v>
      </c>
      <c r="Q4231" s="2">
        <v>176904</v>
      </c>
      <c r="R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 s="1">
        <v>42382</v>
      </c>
      <c r="AC4231" t="s">
        <v>53</v>
      </c>
      <c r="AD4231" t="s">
        <v>53</v>
      </c>
      <c r="AK4231">
        <v>0</v>
      </c>
      <c r="AU4231" s="6">
        <v>42163</v>
      </c>
      <c r="AV4231" s="6">
        <v>42163</v>
      </c>
      <c r="AW4231" t="s">
        <v>54</v>
      </c>
      <c r="AX4231" t="str">
        <f t="shared" si="357"/>
        <v>FOR</v>
      </c>
      <c r="AY4231" t="s">
        <v>55</v>
      </c>
    </row>
    <row r="4232" spans="1:51" hidden="1">
      <c r="A4232">
        <v>101541</v>
      </c>
      <c r="B4232" t="s">
        <v>763</v>
      </c>
      <c r="C4232" t="str">
        <f t="shared" si="356"/>
        <v>08230471008</v>
      </c>
      <c r="D4232" t="str">
        <f t="shared" si="356"/>
        <v>08230471008</v>
      </c>
      <c r="E4232" t="s">
        <v>52</v>
      </c>
      <c r="F4232">
        <v>2014</v>
      </c>
      <c r="G4232">
        <v>10441</v>
      </c>
      <c r="H4232" s="1">
        <v>41837</v>
      </c>
      <c r="I4232" s="1">
        <v>41851</v>
      </c>
      <c r="J4232" s="1">
        <v>41851</v>
      </c>
      <c r="K4232" s="1">
        <v>41941</v>
      </c>
      <c r="N4232" s="5"/>
      <c r="O4232">
        <v>305</v>
      </c>
      <c r="P4232">
        <v>247</v>
      </c>
      <c r="Q4232" s="2">
        <v>75335</v>
      </c>
      <c r="R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 s="1">
        <v>42382</v>
      </c>
      <c r="AC4232" t="s">
        <v>53</v>
      </c>
      <c r="AD4232" t="s">
        <v>53</v>
      </c>
      <c r="AK4232">
        <v>0</v>
      </c>
      <c r="AU4232" s="6">
        <v>42188</v>
      </c>
      <c r="AV4232" s="6">
        <v>42188</v>
      </c>
      <c r="AW4232" t="s">
        <v>54</v>
      </c>
      <c r="AX4232" t="str">
        <f t="shared" si="357"/>
        <v>FOR</v>
      </c>
      <c r="AY4232" t="s">
        <v>55</v>
      </c>
    </row>
    <row r="4233" spans="1:51" hidden="1">
      <c r="A4233">
        <v>101541</v>
      </c>
      <c r="B4233" t="s">
        <v>763</v>
      </c>
      <c r="C4233" t="str">
        <f t="shared" si="356"/>
        <v>08230471008</v>
      </c>
      <c r="D4233" t="str">
        <f t="shared" si="356"/>
        <v>08230471008</v>
      </c>
      <c r="E4233" t="s">
        <v>52</v>
      </c>
      <c r="F4233">
        <v>2014</v>
      </c>
      <c r="G4233">
        <v>10442</v>
      </c>
      <c r="H4233" s="1">
        <v>41837</v>
      </c>
      <c r="I4233" s="1">
        <v>41851</v>
      </c>
      <c r="J4233" s="1">
        <v>41851</v>
      </c>
      <c r="K4233" s="1">
        <v>41941</v>
      </c>
      <c r="N4233" s="5"/>
      <c r="O4233">
        <v>305</v>
      </c>
      <c r="P4233">
        <v>247</v>
      </c>
      <c r="Q4233" s="2">
        <v>75335</v>
      </c>
      <c r="R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 s="1">
        <v>42382</v>
      </c>
      <c r="AC4233" t="s">
        <v>53</v>
      </c>
      <c r="AD4233" t="s">
        <v>53</v>
      </c>
      <c r="AK4233">
        <v>0</v>
      </c>
      <c r="AU4233" s="6">
        <v>42188</v>
      </c>
      <c r="AV4233" s="6">
        <v>42188</v>
      </c>
      <c r="AW4233" t="s">
        <v>54</v>
      </c>
      <c r="AX4233" t="str">
        <f t="shared" si="357"/>
        <v>FOR</v>
      </c>
      <c r="AY4233" t="s">
        <v>55</v>
      </c>
    </row>
    <row r="4234" spans="1:51" hidden="1">
      <c r="A4234">
        <v>101541</v>
      </c>
      <c r="B4234" t="s">
        <v>763</v>
      </c>
      <c r="C4234" t="str">
        <f t="shared" si="356"/>
        <v>08230471008</v>
      </c>
      <c r="D4234" t="str">
        <f t="shared" si="356"/>
        <v>08230471008</v>
      </c>
      <c r="E4234" t="s">
        <v>52</v>
      </c>
      <c r="F4234">
        <v>2014</v>
      </c>
      <c r="G4234">
        <v>10443</v>
      </c>
      <c r="H4234" s="1">
        <v>41837</v>
      </c>
      <c r="I4234" s="1">
        <v>41851</v>
      </c>
      <c r="J4234" s="1">
        <v>41851</v>
      </c>
      <c r="K4234" s="1">
        <v>41941</v>
      </c>
      <c r="N4234" s="5"/>
      <c r="O4234">
        <v>305</v>
      </c>
      <c r="P4234">
        <v>247</v>
      </c>
      <c r="Q4234" s="2">
        <v>75335</v>
      </c>
      <c r="R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 s="1">
        <v>42382</v>
      </c>
      <c r="AC4234" t="s">
        <v>53</v>
      </c>
      <c r="AD4234" t="s">
        <v>53</v>
      </c>
      <c r="AK4234">
        <v>0</v>
      </c>
      <c r="AU4234" s="6">
        <v>42188</v>
      </c>
      <c r="AV4234" s="6">
        <v>42188</v>
      </c>
      <c r="AW4234" t="s">
        <v>54</v>
      </c>
      <c r="AX4234" t="str">
        <f t="shared" si="357"/>
        <v>FOR</v>
      </c>
      <c r="AY4234" t="s">
        <v>55</v>
      </c>
    </row>
    <row r="4235" spans="1:51" hidden="1">
      <c r="A4235">
        <v>101541</v>
      </c>
      <c r="B4235" t="s">
        <v>763</v>
      </c>
      <c r="C4235" t="str">
        <f t="shared" si="356"/>
        <v>08230471008</v>
      </c>
      <c r="D4235" t="str">
        <f t="shared" si="356"/>
        <v>08230471008</v>
      </c>
      <c r="E4235" t="s">
        <v>52</v>
      </c>
      <c r="F4235">
        <v>2014</v>
      </c>
      <c r="G4235">
        <v>10444</v>
      </c>
      <c r="H4235" s="1">
        <v>41837</v>
      </c>
      <c r="I4235" s="1">
        <v>41851</v>
      </c>
      <c r="J4235" s="1">
        <v>41851</v>
      </c>
      <c r="K4235" s="1">
        <v>41941</v>
      </c>
      <c r="N4235" s="5"/>
      <c r="O4235">
        <v>728</v>
      </c>
      <c r="P4235">
        <v>247</v>
      </c>
      <c r="Q4235" s="2">
        <v>179816</v>
      </c>
      <c r="R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 s="1">
        <v>42382</v>
      </c>
      <c r="AC4235" t="s">
        <v>53</v>
      </c>
      <c r="AD4235" t="s">
        <v>53</v>
      </c>
      <c r="AK4235">
        <v>0</v>
      </c>
      <c r="AU4235" s="6">
        <v>42188</v>
      </c>
      <c r="AV4235" s="6">
        <v>42188</v>
      </c>
      <c r="AW4235" t="s">
        <v>54</v>
      </c>
      <c r="AX4235" t="str">
        <f t="shared" si="357"/>
        <v>FOR</v>
      </c>
      <c r="AY4235" t="s">
        <v>55</v>
      </c>
    </row>
    <row r="4236" spans="1:51" hidden="1">
      <c r="A4236">
        <v>101541</v>
      </c>
      <c r="B4236" t="s">
        <v>763</v>
      </c>
      <c r="C4236" t="str">
        <f t="shared" si="356"/>
        <v>08230471008</v>
      </c>
      <c r="D4236" t="str">
        <f t="shared" si="356"/>
        <v>08230471008</v>
      </c>
      <c r="E4236" t="s">
        <v>52</v>
      </c>
      <c r="F4236">
        <v>2014</v>
      </c>
      <c r="G4236">
        <v>10445</v>
      </c>
      <c r="H4236" s="1">
        <v>41837</v>
      </c>
      <c r="I4236" s="1">
        <v>41851</v>
      </c>
      <c r="J4236" s="1">
        <v>41851</v>
      </c>
      <c r="K4236" s="1">
        <v>41941</v>
      </c>
      <c r="N4236" s="5"/>
      <c r="O4236">
        <v>945.5</v>
      </c>
      <c r="P4236">
        <v>247</v>
      </c>
      <c r="Q4236" s="2">
        <v>233538.5</v>
      </c>
      <c r="R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 s="1">
        <v>42382</v>
      </c>
      <c r="AC4236" t="s">
        <v>53</v>
      </c>
      <c r="AD4236" t="s">
        <v>53</v>
      </c>
      <c r="AK4236">
        <v>0</v>
      </c>
      <c r="AU4236" s="6">
        <v>42188</v>
      </c>
      <c r="AV4236" s="6">
        <v>42188</v>
      </c>
      <c r="AW4236" t="s">
        <v>54</v>
      </c>
      <c r="AX4236" t="str">
        <f t="shared" si="357"/>
        <v>FOR</v>
      </c>
      <c r="AY4236" t="s">
        <v>55</v>
      </c>
    </row>
    <row r="4237" spans="1:51" hidden="1">
      <c r="A4237">
        <v>101541</v>
      </c>
      <c r="B4237" t="s">
        <v>763</v>
      </c>
      <c r="C4237" t="str">
        <f t="shared" si="356"/>
        <v>08230471008</v>
      </c>
      <c r="D4237" t="str">
        <f t="shared" si="356"/>
        <v>08230471008</v>
      </c>
      <c r="E4237" t="s">
        <v>52</v>
      </c>
      <c r="F4237">
        <v>2014</v>
      </c>
      <c r="G4237">
        <v>10446</v>
      </c>
      <c r="H4237" s="1">
        <v>41837</v>
      </c>
      <c r="I4237" s="1">
        <v>41851</v>
      </c>
      <c r="J4237" s="1">
        <v>41851</v>
      </c>
      <c r="K4237" s="1">
        <v>41941</v>
      </c>
      <c r="N4237" s="5"/>
      <c r="O4237" s="2">
        <v>11071.5</v>
      </c>
      <c r="P4237">
        <v>247</v>
      </c>
      <c r="Q4237" s="2">
        <v>2734660.5</v>
      </c>
      <c r="R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 s="1">
        <v>42382</v>
      </c>
      <c r="AC4237" t="s">
        <v>53</v>
      </c>
      <c r="AD4237" t="s">
        <v>53</v>
      </c>
      <c r="AK4237">
        <v>0</v>
      </c>
      <c r="AU4237" s="6">
        <v>42188</v>
      </c>
      <c r="AV4237" s="6">
        <v>42188</v>
      </c>
      <c r="AW4237" t="s">
        <v>54</v>
      </c>
      <c r="AX4237" t="str">
        <f t="shared" si="357"/>
        <v>FOR</v>
      </c>
      <c r="AY4237" t="s">
        <v>55</v>
      </c>
    </row>
    <row r="4238" spans="1:51" hidden="1">
      <c r="A4238">
        <v>101541</v>
      </c>
      <c r="B4238" t="s">
        <v>763</v>
      </c>
      <c r="C4238" t="str">
        <f t="shared" si="356"/>
        <v>08230471008</v>
      </c>
      <c r="D4238" t="str">
        <f t="shared" si="356"/>
        <v>08230471008</v>
      </c>
      <c r="E4238" t="s">
        <v>52</v>
      </c>
      <c r="F4238">
        <v>2014</v>
      </c>
      <c r="G4238">
        <v>10447</v>
      </c>
      <c r="H4238" s="1">
        <v>41837</v>
      </c>
      <c r="I4238" s="1">
        <v>41851</v>
      </c>
      <c r="J4238" s="1">
        <v>41851</v>
      </c>
      <c r="K4238" s="1">
        <v>41941</v>
      </c>
      <c r="N4238" s="5"/>
      <c r="O4238" s="2">
        <v>6344</v>
      </c>
      <c r="P4238">
        <v>247</v>
      </c>
      <c r="Q4238" s="2">
        <v>1566968</v>
      </c>
      <c r="R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 s="1">
        <v>42382</v>
      </c>
      <c r="AC4238" t="s">
        <v>53</v>
      </c>
      <c r="AD4238" t="s">
        <v>53</v>
      </c>
      <c r="AK4238">
        <v>0</v>
      </c>
      <c r="AU4238" s="6">
        <v>42188</v>
      </c>
      <c r="AV4238" s="6">
        <v>42188</v>
      </c>
      <c r="AW4238" t="s">
        <v>54</v>
      </c>
      <c r="AX4238" t="str">
        <f t="shared" si="357"/>
        <v>FOR</v>
      </c>
      <c r="AY4238" t="s">
        <v>55</v>
      </c>
    </row>
    <row r="4239" spans="1:51" hidden="1">
      <c r="A4239">
        <v>101541</v>
      </c>
      <c r="B4239" t="s">
        <v>763</v>
      </c>
      <c r="C4239" t="str">
        <f t="shared" si="356"/>
        <v>08230471008</v>
      </c>
      <c r="D4239" t="str">
        <f t="shared" si="356"/>
        <v>08230471008</v>
      </c>
      <c r="E4239" t="s">
        <v>52</v>
      </c>
      <c r="F4239">
        <v>2014</v>
      </c>
      <c r="G4239">
        <v>10722</v>
      </c>
      <c r="H4239" s="1">
        <v>41845</v>
      </c>
      <c r="I4239" s="1">
        <v>41872</v>
      </c>
      <c r="J4239" s="1">
        <v>41872</v>
      </c>
      <c r="K4239" s="1">
        <v>41962</v>
      </c>
      <c r="N4239" s="5"/>
      <c r="O4239">
        <v>305</v>
      </c>
      <c r="P4239">
        <v>226</v>
      </c>
      <c r="Q4239" s="2">
        <v>68930</v>
      </c>
      <c r="R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 s="1">
        <v>42382</v>
      </c>
      <c r="AC4239" t="s">
        <v>53</v>
      </c>
      <c r="AD4239" t="s">
        <v>53</v>
      </c>
      <c r="AK4239">
        <v>0</v>
      </c>
      <c r="AU4239" s="6">
        <v>42188</v>
      </c>
      <c r="AV4239" s="6">
        <v>42188</v>
      </c>
      <c r="AW4239" t="s">
        <v>54</v>
      </c>
      <c r="AX4239" t="str">
        <f t="shared" si="357"/>
        <v>FOR</v>
      </c>
      <c r="AY4239" t="s">
        <v>55</v>
      </c>
    </row>
    <row r="4240" spans="1:51" hidden="1">
      <c r="A4240">
        <v>101541</v>
      </c>
      <c r="B4240" t="s">
        <v>763</v>
      </c>
      <c r="C4240" t="str">
        <f t="shared" si="356"/>
        <v>08230471008</v>
      </c>
      <c r="D4240" t="str">
        <f t="shared" si="356"/>
        <v>08230471008</v>
      </c>
      <c r="E4240" t="s">
        <v>52</v>
      </c>
      <c r="F4240">
        <v>2014</v>
      </c>
      <c r="G4240">
        <v>10723</v>
      </c>
      <c r="H4240" s="1">
        <v>41845</v>
      </c>
      <c r="I4240" s="1">
        <v>41872</v>
      </c>
      <c r="J4240" s="1">
        <v>41872</v>
      </c>
      <c r="K4240" s="1">
        <v>41962</v>
      </c>
      <c r="N4240" s="5"/>
      <c r="O4240">
        <v>305</v>
      </c>
      <c r="P4240">
        <v>226</v>
      </c>
      <c r="Q4240" s="2">
        <v>68930</v>
      </c>
      <c r="R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 s="1">
        <v>42382</v>
      </c>
      <c r="AC4240" t="s">
        <v>53</v>
      </c>
      <c r="AD4240" t="s">
        <v>53</v>
      </c>
      <c r="AK4240">
        <v>0</v>
      </c>
      <c r="AU4240" s="6">
        <v>42188</v>
      </c>
      <c r="AV4240" s="6">
        <v>42188</v>
      </c>
      <c r="AW4240" t="s">
        <v>54</v>
      </c>
      <c r="AX4240" t="str">
        <f t="shared" si="357"/>
        <v>FOR</v>
      </c>
      <c r="AY4240" t="s">
        <v>55</v>
      </c>
    </row>
    <row r="4241" spans="1:51" hidden="1">
      <c r="A4241">
        <v>101541</v>
      </c>
      <c r="B4241" t="s">
        <v>763</v>
      </c>
      <c r="C4241" t="str">
        <f t="shared" si="356"/>
        <v>08230471008</v>
      </c>
      <c r="D4241" t="str">
        <f t="shared" si="356"/>
        <v>08230471008</v>
      </c>
      <c r="E4241" t="s">
        <v>52</v>
      </c>
      <c r="F4241">
        <v>2014</v>
      </c>
      <c r="G4241">
        <v>10724</v>
      </c>
      <c r="H4241" s="1">
        <v>41845</v>
      </c>
      <c r="I4241" s="1">
        <v>41872</v>
      </c>
      <c r="J4241" s="1">
        <v>41872</v>
      </c>
      <c r="K4241" s="1">
        <v>41962</v>
      </c>
      <c r="N4241" s="5"/>
      <c r="O4241">
        <v>728</v>
      </c>
      <c r="P4241">
        <v>226</v>
      </c>
      <c r="Q4241" s="2">
        <v>164528</v>
      </c>
      <c r="R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 s="1">
        <v>42382</v>
      </c>
      <c r="AC4241" t="s">
        <v>53</v>
      </c>
      <c r="AD4241" t="s">
        <v>53</v>
      </c>
      <c r="AK4241">
        <v>0</v>
      </c>
      <c r="AU4241" s="6">
        <v>42188</v>
      </c>
      <c r="AV4241" s="6">
        <v>42188</v>
      </c>
      <c r="AW4241" t="s">
        <v>54</v>
      </c>
      <c r="AX4241" t="str">
        <f t="shared" si="357"/>
        <v>FOR</v>
      </c>
      <c r="AY4241" t="s">
        <v>55</v>
      </c>
    </row>
    <row r="4242" spans="1:51" hidden="1">
      <c r="A4242">
        <v>101541</v>
      </c>
      <c r="B4242" t="s">
        <v>763</v>
      </c>
      <c r="C4242" t="str">
        <f t="shared" si="356"/>
        <v>08230471008</v>
      </c>
      <c r="D4242" t="str">
        <f t="shared" si="356"/>
        <v>08230471008</v>
      </c>
      <c r="E4242" t="s">
        <v>52</v>
      </c>
      <c r="F4242">
        <v>2014</v>
      </c>
      <c r="G4242">
        <v>10725</v>
      </c>
      <c r="H4242" s="1">
        <v>41845</v>
      </c>
      <c r="I4242" s="1">
        <v>41872</v>
      </c>
      <c r="J4242" s="1">
        <v>41872</v>
      </c>
      <c r="K4242" s="1">
        <v>41962</v>
      </c>
      <c r="N4242" s="5"/>
      <c r="O4242">
        <v>305</v>
      </c>
      <c r="P4242">
        <v>226</v>
      </c>
      <c r="Q4242" s="2">
        <v>68930</v>
      </c>
      <c r="R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 s="1">
        <v>42382</v>
      </c>
      <c r="AC4242" t="s">
        <v>53</v>
      </c>
      <c r="AD4242" t="s">
        <v>53</v>
      </c>
      <c r="AK4242">
        <v>0</v>
      </c>
      <c r="AU4242" s="6">
        <v>42188</v>
      </c>
      <c r="AV4242" s="6">
        <v>42188</v>
      </c>
      <c r="AW4242" t="s">
        <v>54</v>
      </c>
      <c r="AX4242" t="str">
        <f t="shared" si="357"/>
        <v>FOR</v>
      </c>
      <c r="AY4242" t="s">
        <v>55</v>
      </c>
    </row>
    <row r="4243" spans="1:51" hidden="1">
      <c r="A4243">
        <v>101541</v>
      </c>
      <c r="B4243" t="s">
        <v>763</v>
      </c>
      <c r="C4243" t="str">
        <f t="shared" ref="C4243:D4262" si="358">"08230471008"</f>
        <v>08230471008</v>
      </c>
      <c r="D4243" t="str">
        <f t="shared" si="358"/>
        <v>08230471008</v>
      </c>
      <c r="E4243" t="s">
        <v>52</v>
      </c>
      <c r="F4243">
        <v>2014</v>
      </c>
      <c r="G4243">
        <v>10726</v>
      </c>
      <c r="H4243" s="1">
        <v>41845</v>
      </c>
      <c r="I4243" s="1">
        <v>41872</v>
      </c>
      <c r="J4243" s="1">
        <v>41872</v>
      </c>
      <c r="K4243" s="1">
        <v>41962</v>
      </c>
      <c r="N4243" s="5"/>
      <c r="O4243">
        <v>728</v>
      </c>
      <c r="P4243">
        <v>226</v>
      </c>
      <c r="Q4243" s="2">
        <v>164528</v>
      </c>
      <c r="R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 s="1">
        <v>42382</v>
      </c>
      <c r="AC4243" t="s">
        <v>53</v>
      </c>
      <c r="AD4243" t="s">
        <v>53</v>
      </c>
      <c r="AK4243">
        <v>0</v>
      </c>
      <c r="AU4243" s="6">
        <v>42188</v>
      </c>
      <c r="AV4243" s="6">
        <v>42188</v>
      </c>
      <c r="AW4243" t="s">
        <v>54</v>
      </c>
      <c r="AX4243" t="str">
        <f t="shared" si="357"/>
        <v>FOR</v>
      </c>
      <c r="AY4243" t="s">
        <v>55</v>
      </c>
    </row>
    <row r="4244" spans="1:51" hidden="1">
      <c r="A4244">
        <v>101541</v>
      </c>
      <c r="B4244" t="s">
        <v>763</v>
      </c>
      <c r="C4244" t="str">
        <f t="shared" si="358"/>
        <v>08230471008</v>
      </c>
      <c r="D4244" t="str">
        <f t="shared" si="358"/>
        <v>08230471008</v>
      </c>
      <c r="E4244" t="s">
        <v>52</v>
      </c>
      <c r="F4244">
        <v>2014</v>
      </c>
      <c r="G4244">
        <v>10727</v>
      </c>
      <c r="H4244" s="1">
        <v>41845</v>
      </c>
      <c r="I4244" s="1">
        <v>41872</v>
      </c>
      <c r="J4244" s="1">
        <v>41872</v>
      </c>
      <c r="K4244" s="1">
        <v>41962</v>
      </c>
      <c r="N4244" s="5"/>
      <c r="O4244">
        <v>728</v>
      </c>
      <c r="P4244">
        <v>226</v>
      </c>
      <c r="Q4244" s="2">
        <v>164528</v>
      </c>
      <c r="R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 s="1">
        <v>42382</v>
      </c>
      <c r="AC4244" t="s">
        <v>53</v>
      </c>
      <c r="AD4244" t="s">
        <v>53</v>
      </c>
      <c r="AK4244">
        <v>0</v>
      </c>
      <c r="AU4244" s="6">
        <v>42188</v>
      </c>
      <c r="AV4244" s="6">
        <v>42188</v>
      </c>
      <c r="AW4244" t="s">
        <v>54</v>
      </c>
      <c r="AX4244" t="str">
        <f t="shared" si="357"/>
        <v>FOR</v>
      </c>
      <c r="AY4244" t="s">
        <v>55</v>
      </c>
    </row>
    <row r="4245" spans="1:51" hidden="1">
      <c r="A4245">
        <v>101541</v>
      </c>
      <c r="B4245" t="s">
        <v>763</v>
      </c>
      <c r="C4245" t="str">
        <f t="shared" si="358"/>
        <v>08230471008</v>
      </c>
      <c r="D4245" t="str">
        <f t="shared" si="358"/>
        <v>08230471008</v>
      </c>
      <c r="E4245" t="s">
        <v>52</v>
      </c>
      <c r="F4245">
        <v>2014</v>
      </c>
      <c r="G4245">
        <v>10728</v>
      </c>
      <c r="H4245" s="1">
        <v>41845</v>
      </c>
      <c r="I4245" s="1">
        <v>41872</v>
      </c>
      <c r="J4245" s="1">
        <v>41872</v>
      </c>
      <c r="K4245" s="1">
        <v>41962</v>
      </c>
      <c r="N4245" s="5"/>
      <c r="O4245">
        <v>305</v>
      </c>
      <c r="P4245">
        <v>226</v>
      </c>
      <c r="Q4245" s="2">
        <v>68930</v>
      </c>
      <c r="R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 s="1">
        <v>42382</v>
      </c>
      <c r="AC4245" t="s">
        <v>53</v>
      </c>
      <c r="AD4245" t="s">
        <v>53</v>
      </c>
      <c r="AK4245">
        <v>0</v>
      </c>
      <c r="AU4245" s="6">
        <v>42188</v>
      </c>
      <c r="AV4245" s="6">
        <v>42188</v>
      </c>
      <c r="AW4245" t="s">
        <v>54</v>
      </c>
      <c r="AX4245" t="str">
        <f t="shared" si="357"/>
        <v>FOR</v>
      </c>
      <c r="AY4245" t="s">
        <v>55</v>
      </c>
    </row>
    <row r="4246" spans="1:51" hidden="1">
      <c r="A4246">
        <v>101541</v>
      </c>
      <c r="B4246" t="s">
        <v>763</v>
      </c>
      <c r="C4246" t="str">
        <f t="shared" si="358"/>
        <v>08230471008</v>
      </c>
      <c r="D4246" t="str">
        <f t="shared" si="358"/>
        <v>08230471008</v>
      </c>
      <c r="E4246" t="s">
        <v>52</v>
      </c>
      <c r="F4246">
        <v>2014</v>
      </c>
      <c r="G4246">
        <v>10729</v>
      </c>
      <c r="H4246" s="1">
        <v>41845</v>
      </c>
      <c r="I4246" s="1">
        <v>41872</v>
      </c>
      <c r="J4246" s="1">
        <v>41872</v>
      </c>
      <c r="K4246" s="1">
        <v>41962</v>
      </c>
      <c r="N4246" s="5"/>
      <c r="O4246">
        <v>305</v>
      </c>
      <c r="P4246">
        <v>226</v>
      </c>
      <c r="Q4246" s="2">
        <v>68930</v>
      </c>
      <c r="R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 s="1">
        <v>42382</v>
      </c>
      <c r="AC4246" t="s">
        <v>53</v>
      </c>
      <c r="AD4246" t="s">
        <v>53</v>
      </c>
      <c r="AK4246">
        <v>0</v>
      </c>
      <c r="AU4246" s="6">
        <v>42188</v>
      </c>
      <c r="AV4246" s="6">
        <v>42188</v>
      </c>
      <c r="AW4246" t="s">
        <v>54</v>
      </c>
      <c r="AX4246" t="str">
        <f t="shared" si="357"/>
        <v>FOR</v>
      </c>
      <c r="AY4246" t="s">
        <v>55</v>
      </c>
    </row>
    <row r="4247" spans="1:51" hidden="1">
      <c r="A4247">
        <v>101541</v>
      </c>
      <c r="B4247" t="s">
        <v>763</v>
      </c>
      <c r="C4247" t="str">
        <f t="shared" si="358"/>
        <v>08230471008</v>
      </c>
      <c r="D4247" t="str">
        <f t="shared" si="358"/>
        <v>08230471008</v>
      </c>
      <c r="E4247" t="s">
        <v>52</v>
      </c>
      <c r="F4247">
        <v>2014</v>
      </c>
      <c r="G4247">
        <v>10730</v>
      </c>
      <c r="H4247" s="1">
        <v>41845</v>
      </c>
      <c r="I4247" s="1">
        <v>41872</v>
      </c>
      <c r="J4247" s="1">
        <v>41872</v>
      </c>
      <c r="K4247" s="1">
        <v>41962</v>
      </c>
      <c r="N4247" s="5"/>
      <c r="O4247">
        <v>305</v>
      </c>
      <c r="P4247">
        <v>226</v>
      </c>
      <c r="Q4247" s="2">
        <v>68930</v>
      </c>
      <c r="R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 s="1">
        <v>42382</v>
      </c>
      <c r="AC4247" t="s">
        <v>53</v>
      </c>
      <c r="AD4247" t="s">
        <v>53</v>
      </c>
      <c r="AK4247">
        <v>0</v>
      </c>
      <c r="AU4247" s="6">
        <v>42188</v>
      </c>
      <c r="AV4247" s="6">
        <v>42188</v>
      </c>
      <c r="AW4247" t="s">
        <v>54</v>
      </c>
      <c r="AX4247" t="str">
        <f t="shared" si="357"/>
        <v>FOR</v>
      </c>
      <c r="AY4247" t="s">
        <v>55</v>
      </c>
    </row>
    <row r="4248" spans="1:51" hidden="1">
      <c r="A4248">
        <v>101541</v>
      </c>
      <c r="B4248" t="s">
        <v>763</v>
      </c>
      <c r="C4248" t="str">
        <f t="shared" si="358"/>
        <v>08230471008</v>
      </c>
      <c r="D4248" t="str">
        <f t="shared" si="358"/>
        <v>08230471008</v>
      </c>
      <c r="E4248" t="s">
        <v>52</v>
      </c>
      <c r="F4248">
        <v>2014</v>
      </c>
      <c r="G4248">
        <v>10731</v>
      </c>
      <c r="H4248" s="1">
        <v>41845</v>
      </c>
      <c r="I4248" s="1">
        <v>41872</v>
      </c>
      <c r="J4248" s="1">
        <v>41872</v>
      </c>
      <c r="K4248" s="1">
        <v>41962</v>
      </c>
      <c r="N4248" s="5"/>
      <c r="O4248">
        <v>728</v>
      </c>
      <c r="P4248">
        <v>226</v>
      </c>
      <c r="Q4248" s="2">
        <v>164528</v>
      </c>
      <c r="R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 s="1">
        <v>42382</v>
      </c>
      <c r="AC4248" t="s">
        <v>53</v>
      </c>
      <c r="AD4248" t="s">
        <v>53</v>
      </c>
      <c r="AK4248">
        <v>0</v>
      </c>
      <c r="AU4248" s="6">
        <v>42188</v>
      </c>
      <c r="AV4248" s="6">
        <v>42188</v>
      </c>
      <c r="AW4248" t="s">
        <v>54</v>
      </c>
      <c r="AX4248" t="str">
        <f t="shared" si="357"/>
        <v>FOR</v>
      </c>
      <c r="AY4248" t="s">
        <v>55</v>
      </c>
    </row>
    <row r="4249" spans="1:51" hidden="1">
      <c r="A4249">
        <v>101541</v>
      </c>
      <c r="B4249" t="s">
        <v>763</v>
      </c>
      <c r="C4249" t="str">
        <f t="shared" si="358"/>
        <v>08230471008</v>
      </c>
      <c r="D4249" t="str">
        <f t="shared" si="358"/>
        <v>08230471008</v>
      </c>
      <c r="E4249" t="s">
        <v>52</v>
      </c>
      <c r="F4249">
        <v>2014</v>
      </c>
      <c r="G4249">
        <v>11174</v>
      </c>
      <c r="H4249" s="1">
        <v>41851</v>
      </c>
      <c r="I4249" s="1">
        <v>41877</v>
      </c>
      <c r="J4249" s="1">
        <v>41877</v>
      </c>
      <c r="K4249" s="1">
        <v>41967</v>
      </c>
      <c r="N4249" s="5"/>
      <c r="O4249" s="2">
        <v>2379</v>
      </c>
      <c r="P4249">
        <v>221</v>
      </c>
      <c r="Q4249" s="2">
        <v>525759</v>
      </c>
      <c r="R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 s="1">
        <v>42382</v>
      </c>
      <c r="AC4249" t="s">
        <v>53</v>
      </c>
      <c r="AD4249" t="s">
        <v>53</v>
      </c>
      <c r="AK4249">
        <v>0</v>
      </c>
      <c r="AU4249" s="6">
        <v>42188</v>
      </c>
      <c r="AV4249" s="6">
        <v>42188</v>
      </c>
      <c r="AW4249" t="s">
        <v>54</v>
      </c>
      <c r="AX4249" t="str">
        <f t="shared" si="357"/>
        <v>FOR</v>
      </c>
      <c r="AY4249" t="s">
        <v>55</v>
      </c>
    </row>
    <row r="4250" spans="1:51" hidden="1">
      <c r="A4250">
        <v>101541</v>
      </c>
      <c r="B4250" t="s">
        <v>763</v>
      </c>
      <c r="C4250" t="str">
        <f t="shared" si="358"/>
        <v>08230471008</v>
      </c>
      <c r="D4250" t="str">
        <f t="shared" si="358"/>
        <v>08230471008</v>
      </c>
      <c r="E4250" t="s">
        <v>52</v>
      </c>
      <c r="F4250">
        <v>2014</v>
      </c>
      <c r="G4250">
        <v>11175</v>
      </c>
      <c r="H4250" s="1">
        <v>41851</v>
      </c>
      <c r="I4250" s="1">
        <v>41877</v>
      </c>
      <c r="J4250" s="1">
        <v>41877</v>
      </c>
      <c r="K4250" s="1">
        <v>41967</v>
      </c>
      <c r="N4250" s="5"/>
      <c r="O4250" s="2">
        <v>1586</v>
      </c>
      <c r="P4250">
        <v>221</v>
      </c>
      <c r="Q4250" s="2">
        <v>350506</v>
      </c>
      <c r="R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 s="1">
        <v>42382</v>
      </c>
      <c r="AC4250" t="s">
        <v>53</v>
      </c>
      <c r="AD4250" t="s">
        <v>53</v>
      </c>
      <c r="AK4250">
        <v>0</v>
      </c>
      <c r="AU4250" s="6">
        <v>42188</v>
      </c>
      <c r="AV4250" s="6">
        <v>42188</v>
      </c>
      <c r="AW4250" t="s">
        <v>54</v>
      </c>
      <c r="AX4250" t="str">
        <f t="shared" si="357"/>
        <v>FOR</v>
      </c>
      <c r="AY4250" t="s">
        <v>55</v>
      </c>
    </row>
    <row r="4251" spans="1:51" hidden="1">
      <c r="A4251">
        <v>101541</v>
      </c>
      <c r="B4251" t="s">
        <v>763</v>
      </c>
      <c r="C4251" t="str">
        <f t="shared" si="358"/>
        <v>08230471008</v>
      </c>
      <c r="D4251" t="str">
        <f t="shared" si="358"/>
        <v>08230471008</v>
      </c>
      <c r="E4251" t="s">
        <v>52</v>
      </c>
      <c r="F4251">
        <v>2014</v>
      </c>
      <c r="G4251">
        <v>11176</v>
      </c>
      <c r="H4251" s="1">
        <v>41851</v>
      </c>
      <c r="I4251" s="1">
        <v>41877</v>
      </c>
      <c r="J4251" s="1">
        <v>41877</v>
      </c>
      <c r="K4251" s="1">
        <v>41967</v>
      </c>
      <c r="N4251" s="5"/>
      <c r="O4251">
        <v>728</v>
      </c>
      <c r="P4251">
        <v>221</v>
      </c>
      <c r="Q4251" s="2">
        <v>160888</v>
      </c>
      <c r="R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 s="1">
        <v>42382</v>
      </c>
      <c r="AC4251" t="s">
        <v>53</v>
      </c>
      <c r="AD4251" t="s">
        <v>53</v>
      </c>
      <c r="AK4251">
        <v>0</v>
      </c>
      <c r="AU4251" s="6">
        <v>42188</v>
      </c>
      <c r="AV4251" s="6">
        <v>42188</v>
      </c>
      <c r="AW4251" t="s">
        <v>54</v>
      </c>
      <c r="AX4251" t="str">
        <f t="shared" si="357"/>
        <v>FOR</v>
      </c>
      <c r="AY4251" t="s">
        <v>55</v>
      </c>
    </row>
    <row r="4252" spans="1:51" hidden="1">
      <c r="A4252">
        <v>101541</v>
      </c>
      <c r="B4252" t="s">
        <v>763</v>
      </c>
      <c r="C4252" t="str">
        <f t="shared" si="358"/>
        <v>08230471008</v>
      </c>
      <c r="D4252" t="str">
        <f t="shared" si="358"/>
        <v>08230471008</v>
      </c>
      <c r="E4252" t="s">
        <v>52</v>
      </c>
      <c r="F4252">
        <v>2014</v>
      </c>
      <c r="G4252">
        <v>11689</v>
      </c>
      <c r="H4252" s="1">
        <v>41859</v>
      </c>
      <c r="I4252" s="1">
        <v>42069</v>
      </c>
      <c r="J4252" s="1">
        <v>42069</v>
      </c>
      <c r="K4252" s="1">
        <v>42129</v>
      </c>
      <c r="N4252" s="5"/>
      <c r="O4252">
        <v>305</v>
      </c>
      <c r="P4252">
        <v>59</v>
      </c>
      <c r="Q4252" s="2">
        <v>17995</v>
      </c>
      <c r="R4252">
        <v>0</v>
      </c>
      <c r="V4252">
        <v>0</v>
      </c>
      <c r="W4252">
        <v>0</v>
      </c>
      <c r="X4252">
        <v>0</v>
      </c>
      <c r="Y4252">
        <v>0</v>
      </c>
      <c r="Z4252">
        <v>305</v>
      </c>
      <c r="AA4252">
        <v>0</v>
      </c>
      <c r="AB4252" s="1">
        <v>42382</v>
      </c>
      <c r="AC4252" t="s">
        <v>53</v>
      </c>
      <c r="AD4252" t="s">
        <v>53</v>
      </c>
      <c r="AK4252">
        <v>0</v>
      </c>
      <c r="AU4252" s="6">
        <v>42188</v>
      </c>
      <c r="AV4252" s="6">
        <v>42188</v>
      </c>
      <c r="AW4252" t="s">
        <v>54</v>
      </c>
      <c r="AX4252" t="str">
        <f t="shared" si="357"/>
        <v>FOR</v>
      </c>
      <c r="AY4252" t="s">
        <v>55</v>
      </c>
    </row>
    <row r="4253" spans="1:51" hidden="1">
      <c r="A4253">
        <v>101541</v>
      </c>
      <c r="B4253" t="s">
        <v>763</v>
      </c>
      <c r="C4253" t="str">
        <f t="shared" si="358"/>
        <v>08230471008</v>
      </c>
      <c r="D4253" t="str">
        <f t="shared" si="358"/>
        <v>08230471008</v>
      </c>
      <c r="E4253" t="s">
        <v>52</v>
      </c>
      <c r="F4253">
        <v>2014</v>
      </c>
      <c r="G4253">
        <v>11690</v>
      </c>
      <c r="H4253" s="1">
        <v>41859</v>
      </c>
      <c r="I4253" s="1">
        <v>41877</v>
      </c>
      <c r="J4253" s="1">
        <v>41877</v>
      </c>
      <c r="K4253" s="1">
        <v>41967</v>
      </c>
      <c r="N4253" s="5"/>
      <c r="O4253">
        <v>305</v>
      </c>
      <c r="P4253">
        <v>221</v>
      </c>
      <c r="Q4253" s="2">
        <v>67405</v>
      </c>
      <c r="R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 s="1">
        <v>42382</v>
      </c>
      <c r="AC4253" t="s">
        <v>53</v>
      </c>
      <c r="AD4253" t="s">
        <v>53</v>
      </c>
      <c r="AK4253">
        <v>0</v>
      </c>
      <c r="AU4253" s="6">
        <v>42188</v>
      </c>
      <c r="AV4253" s="6">
        <v>42188</v>
      </c>
      <c r="AW4253" t="s">
        <v>54</v>
      </c>
      <c r="AX4253" t="str">
        <f t="shared" si="357"/>
        <v>FOR</v>
      </c>
      <c r="AY4253" t="s">
        <v>55</v>
      </c>
    </row>
    <row r="4254" spans="1:51" hidden="1">
      <c r="A4254">
        <v>101541</v>
      </c>
      <c r="B4254" t="s">
        <v>763</v>
      </c>
      <c r="C4254" t="str">
        <f t="shared" si="358"/>
        <v>08230471008</v>
      </c>
      <c r="D4254" t="str">
        <f t="shared" si="358"/>
        <v>08230471008</v>
      </c>
      <c r="E4254" t="s">
        <v>52</v>
      </c>
      <c r="F4254">
        <v>2014</v>
      </c>
      <c r="G4254">
        <v>11691</v>
      </c>
      <c r="H4254" s="1">
        <v>41859</v>
      </c>
      <c r="I4254" s="1">
        <v>41877</v>
      </c>
      <c r="J4254" s="1">
        <v>41877</v>
      </c>
      <c r="K4254" s="1">
        <v>41967</v>
      </c>
      <c r="N4254" s="5"/>
      <c r="O4254">
        <v>305</v>
      </c>
      <c r="P4254">
        <v>221</v>
      </c>
      <c r="Q4254" s="2">
        <v>67405</v>
      </c>
      <c r="R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 s="1">
        <v>42382</v>
      </c>
      <c r="AC4254" t="s">
        <v>53</v>
      </c>
      <c r="AD4254" t="s">
        <v>53</v>
      </c>
      <c r="AK4254">
        <v>0</v>
      </c>
      <c r="AU4254" s="6">
        <v>42188</v>
      </c>
      <c r="AV4254" s="6">
        <v>42188</v>
      </c>
      <c r="AW4254" t="s">
        <v>54</v>
      </c>
      <c r="AX4254" t="str">
        <f t="shared" si="357"/>
        <v>FOR</v>
      </c>
      <c r="AY4254" t="s">
        <v>55</v>
      </c>
    </row>
    <row r="4255" spans="1:51" hidden="1">
      <c r="A4255">
        <v>101541</v>
      </c>
      <c r="B4255" t="s">
        <v>763</v>
      </c>
      <c r="C4255" t="str">
        <f t="shared" si="358"/>
        <v>08230471008</v>
      </c>
      <c r="D4255" t="str">
        <f t="shared" si="358"/>
        <v>08230471008</v>
      </c>
      <c r="E4255" t="s">
        <v>52</v>
      </c>
      <c r="F4255">
        <v>2014</v>
      </c>
      <c r="G4255">
        <v>11692</v>
      </c>
      <c r="H4255" s="1">
        <v>41859</v>
      </c>
      <c r="I4255" s="1">
        <v>41877</v>
      </c>
      <c r="J4255" s="1">
        <v>41877</v>
      </c>
      <c r="K4255" s="1">
        <v>41967</v>
      </c>
      <c r="N4255" s="5"/>
      <c r="O4255">
        <v>305</v>
      </c>
      <c r="P4255">
        <v>221</v>
      </c>
      <c r="Q4255" s="2">
        <v>67405</v>
      </c>
      <c r="R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 s="1">
        <v>42382</v>
      </c>
      <c r="AC4255" t="s">
        <v>53</v>
      </c>
      <c r="AD4255" t="s">
        <v>53</v>
      </c>
      <c r="AK4255">
        <v>0</v>
      </c>
      <c r="AU4255" s="6">
        <v>42188</v>
      </c>
      <c r="AV4255" s="6">
        <v>42188</v>
      </c>
      <c r="AW4255" t="s">
        <v>54</v>
      </c>
      <c r="AX4255" t="str">
        <f t="shared" si="357"/>
        <v>FOR</v>
      </c>
      <c r="AY4255" t="s">
        <v>55</v>
      </c>
    </row>
    <row r="4256" spans="1:51" hidden="1">
      <c r="A4256">
        <v>101541</v>
      </c>
      <c r="B4256" t="s">
        <v>763</v>
      </c>
      <c r="C4256" t="str">
        <f t="shared" si="358"/>
        <v>08230471008</v>
      </c>
      <c r="D4256" t="str">
        <f t="shared" si="358"/>
        <v>08230471008</v>
      </c>
      <c r="E4256" t="s">
        <v>52</v>
      </c>
      <c r="F4256">
        <v>2014</v>
      </c>
      <c r="G4256">
        <v>11693</v>
      </c>
      <c r="H4256" s="1">
        <v>41859</v>
      </c>
      <c r="I4256" s="1">
        <v>41877</v>
      </c>
      <c r="J4256" s="1">
        <v>41877</v>
      </c>
      <c r="K4256" s="1">
        <v>41967</v>
      </c>
      <c r="N4256" s="5"/>
      <c r="O4256">
        <v>305</v>
      </c>
      <c r="P4256">
        <v>221</v>
      </c>
      <c r="Q4256" s="2">
        <v>67405</v>
      </c>
      <c r="R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 s="1">
        <v>42382</v>
      </c>
      <c r="AC4256" t="s">
        <v>53</v>
      </c>
      <c r="AD4256" t="s">
        <v>53</v>
      </c>
      <c r="AK4256">
        <v>0</v>
      </c>
      <c r="AU4256" s="6">
        <v>42188</v>
      </c>
      <c r="AV4256" s="6">
        <v>42188</v>
      </c>
      <c r="AW4256" t="s">
        <v>54</v>
      </c>
      <c r="AX4256" t="str">
        <f t="shared" si="357"/>
        <v>FOR</v>
      </c>
      <c r="AY4256" t="s">
        <v>55</v>
      </c>
    </row>
    <row r="4257" spans="1:51" hidden="1">
      <c r="A4257">
        <v>101541</v>
      </c>
      <c r="B4257" t="s">
        <v>763</v>
      </c>
      <c r="C4257" t="str">
        <f t="shared" si="358"/>
        <v>08230471008</v>
      </c>
      <c r="D4257" t="str">
        <f t="shared" si="358"/>
        <v>08230471008</v>
      </c>
      <c r="E4257" t="s">
        <v>52</v>
      </c>
      <c r="F4257">
        <v>2014</v>
      </c>
      <c r="G4257">
        <v>11694</v>
      </c>
      <c r="H4257" s="1">
        <v>41859</v>
      </c>
      <c r="I4257" s="1">
        <v>41877</v>
      </c>
      <c r="J4257" s="1">
        <v>41877</v>
      </c>
      <c r="K4257" s="1">
        <v>41967</v>
      </c>
      <c r="N4257" s="5"/>
      <c r="O4257">
        <v>305</v>
      </c>
      <c r="P4257">
        <v>221</v>
      </c>
      <c r="Q4257" s="2">
        <v>67405</v>
      </c>
      <c r="R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 s="1">
        <v>42382</v>
      </c>
      <c r="AC4257" t="s">
        <v>53</v>
      </c>
      <c r="AD4257" t="s">
        <v>53</v>
      </c>
      <c r="AK4257">
        <v>0</v>
      </c>
      <c r="AU4257" s="6">
        <v>42188</v>
      </c>
      <c r="AV4257" s="6">
        <v>42188</v>
      </c>
      <c r="AW4257" t="s">
        <v>54</v>
      </c>
      <c r="AX4257" t="str">
        <f t="shared" si="357"/>
        <v>FOR</v>
      </c>
      <c r="AY4257" t="s">
        <v>55</v>
      </c>
    </row>
    <row r="4258" spans="1:51" hidden="1">
      <c r="A4258">
        <v>101541</v>
      </c>
      <c r="B4258" t="s">
        <v>763</v>
      </c>
      <c r="C4258" t="str">
        <f t="shared" si="358"/>
        <v>08230471008</v>
      </c>
      <c r="D4258" t="str">
        <f t="shared" si="358"/>
        <v>08230471008</v>
      </c>
      <c r="E4258" t="s">
        <v>52</v>
      </c>
      <c r="F4258">
        <v>2014</v>
      </c>
      <c r="G4258">
        <v>11695</v>
      </c>
      <c r="H4258" s="1">
        <v>41859</v>
      </c>
      <c r="I4258" s="1">
        <v>41877</v>
      </c>
      <c r="J4258" s="1">
        <v>41877</v>
      </c>
      <c r="K4258" s="1">
        <v>41967</v>
      </c>
      <c r="N4258" s="5"/>
      <c r="O4258">
        <v>305</v>
      </c>
      <c r="P4258">
        <v>221</v>
      </c>
      <c r="Q4258" s="2">
        <v>67405</v>
      </c>
      <c r="R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 s="1">
        <v>42382</v>
      </c>
      <c r="AC4258" t="s">
        <v>53</v>
      </c>
      <c r="AD4258" t="s">
        <v>53</v>
      </c>
      <c r="AK4258">
        <v>0</v>
      </c>
      <c r="AU4258" s="6">
        <v>42188</v>
      </c>
      <c r="AV4258" s="6">
        <v>42188</v>
      </c>
      <c r="AW4258" t="s">
        <v>54</v>
      </c>
      <c r="AX4258" t="str">
        <f t="shared" si="357"/>
        <v>FOR</v>
      </c>
      <c r="AY4258" t="s">
        <v>55</v>
      </c>
    </row>
    <row r="4259" spans="1:51" hidden="1">
      <c r="A4259">
        <v>101541</v>
      </c>
      <c r="B4259" t="s">
        <v>763</v>
      </c>
      <c r="C4259" t="str">
        <f t="shared" si="358"/>
        <v>08230471008</v>
      </c>
      <c r="D4259" t="str">
        <f t="shared" si="358"/>
        <v>08230471008</v>
      </c>
      <c r="E4259" t="s">
        <v>52</v>
      </c>
      <c r="F4259">
        <v>2014</v>
      </c>
      <c r="G4259">
        <v>11696</v>
      </c>
      <c r="H4259" s="1">
        <v>41859</v>
      </c>
      <c r="I4259" s="1">
        <v>41877</v>
      </c>
      <c r="J4259" s="1">
        <v>41877</v>
      </c>
      <c r="K4259" s="1">
        <v>41967</v>
      </c>
      <c r="N4259" s="5"/>
      <c r="O4259">
        <v>305</v>
      </c>
      <c r="P4259">
        <v>221</v>
      </c>
      <c r="Q4259" s="2">
        <v>67405</v>
      </c>
      <c r="R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 s="1">
        <v>42382</v>
      </c>
      <c r="AC4259" t="s">
        <v>53</v>
      </c>
      <c r="AD4259" t="s">
        <v>53</v>
      </c>
      <c r="AK4259">
        <v>0</v>
      </c>
      <c r="AU4259" s="6">
        <v>42188</v>
      </c>
      <c r="AV4259" s="6">
        <v>42188</v>
      </c>
      <c r="AW4259" t="s">
        <v>54</v>
      </c>
      <c r="AX4259" t="str">
        <f t="shared" si="357"/>
        <v>FOR</v>
      </c>
      <c r="AY4259" t="s">
        <v>55</v>
      </c>
    </row>
    <row r="4260" spans="1:51" hidden="1">
      <c r="A4260">
        <v>101541</v>
      </c>
      <c r="B4260" t="s">
        <v>763</v>
      </c>
      <c r="C4260" t="str">
        <f t="shared" si="358"/>
        <v>08230471008</v>
      </c>
      <c r="D4260" t="str">
        <f t="shared" si="358"/>
        <v>08230471008</v>
      </c>
      <c r="E4260" t="s">
        <v>52</v>
      </c>
      <c r="F4260">
        <v>2014</v>
      </c>
      <c r="G4260">
        <v>11697</v>
      </c>
      <c r="H4260" s="1">
        <v>41859</v>
      </c>
      <c r="I4260" s="1">
        <v>41877</v>
      </c>
      <c r="J4260" s="1">
        <v>41877</v>
      </c>
      <c r="K4260" s="1">
        <v>41967</v>
      </c>
      <c r="N4260" s="5"/>
      <c r="O4260">
        <v>728</v>
      </c>
      <c r="P4260">
        <v>221</v>
      </c>
      <c r="Q4260" s="2">
        <v>160888</v>
      </c>
      <c r="R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 s="1">
        <v>42382</v>
      </c>
      <c r="AC4260" t="s">
        <v>53</v>
      </c>
      <c r="AD4260" t="s">
        <v>53</v>
      </c>
      <c r="AK4260">
        <v>0</v>
      </c>
      <c r="AU4260" s="6">
        <v>42188</v>
      </c>
      <c r="AV4260" s="6">
        <v>42188</v>
      </c>
      <c r="AW4260" t="s">
        <v>54</v>
      </c>
      <c r="AX4260" t="str">
        <f t="shared" si="357"/>
        <v>FOR</v>
      </c>
      <c r="AY4260" t="s">
        <v>55</v>
      </c>
    </row>
    <row r="4261" spans="1:51" hidden="1">
      <c r="A4261">
        <v>101541</v>
      </c>
      <c r="B4261" t="s">
        <v>763</v>
      </c>
      <c r="C4261" t="str">
        <f t="shared" si="358"/>
        <v>08230471008</v>
      </c>
      <c r="D4261" t="str">
        <f t="shared" si="358"/>
        <v>08230471008</v>
      </c>
      <c r="E4261" t="s">
        <v>52</v>
      </c>
      <c r="F4261">
        <v>2014</v>
      </c>
      <c r="G4261">
        <v>11698</v>
      </c>
      <c r="H4261" s="1">
        <v>41859</v>
      </c>
      <c r="I4261" s="1">
        <v>41877</v>
      </c>
      <c r="J4261" s="1">
        <v>41877</v>
      </c>
      <c r="K4261" s="1">
        <v>41967</v>
      </c>
      <c r="N4261" s="5"/>
      <c r="O4261">
        <v>305</v>
      </c>
      <c r="P4261">
        <v>221</v>
      </c>
      <c r="Q4261" s="2">
        <v>67405</v>
      </c>
      <c r="R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 s="1">
        <v>42382</v>
      </c>
      <c r="AC4261" t="s">
        <v>53</v>
      </c>
      <c r="AD4261" t="s">
        <v>53</v>
      </c>
      <c r="AK4261">
        <v>0</v>
      </c>
      <c r="AU4261" s="6">
        <v>42188</v>
      </c>
      <c r="AV4261" s="6">
        <v>42188</v>
      </c>
      <c r="AW4261" t="s">
        <v>54</v>
      </c>
      <c r="AX4261" t="str">
        <f t="shared" si="357"/>
        <v>FOR</v>
      </c>
      <c r="AY4261" t="s">
        <v>55</v>
      </c>
    </row>
    <row r="4262" spans="1:51" hidden="1">
      <c r="A4262">
        <v>101541</v>
      </c>
      <c r="B4262" t="s">
        <v>763</v>
      </c>
      <c r="C4262" t="str">
        <f t="shared" si="358"/>
        <v>08230471008</v>
      </c>
      <c r="D4262" t="str">
        <f t="shared" si="358"/>
        <v>08230471008</v>
      </c>
      <c r="E4262" t="s">
        <v>52</v>
      </c>
      <c r="F4262">
        <v>2014</v>
      </c>
      <c r="G4262">
        <v>11699</v>
      </c>
      <c r="H4262" s="1">
        <v>41859</v>
      </c>
      <c r="I4262" s="1">
        <v>41877</v>
      </c>
      <c r="J4262" s="1">
        <v>41877</v>
      </c>
      <c r="K4262" s="1">
        <v>41967</v>
      </c>
      <c r="N4262" s="5"/>
      <c r="O4262">
        <v>728</v>
      </c>
      <c r="P4262">
        <v>221</v>
      </c>
      <c r="Q4262" s="2">
        <v>160888</v>
      </c>
      <c r="R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 s="1">
        <v>42382</v>
      </c>
      <c r="AC4262" t="s">
        <v>53</v>
      </c>
      <c r="AD4262" t="s">
        <v>53</v>
      </c>
      <c r="AK4262">
        <v>0</v>
      </c>
      <c r="AU4262" s="6">
        <v>42188</v>
      </c>
      <c r="AV4262" s="6">
        <v>42188</v>
      </c>
      <c r="AW4262" t="s">
        <v>54</v>
      </c>
      <c r="AX4262" t="str">
        <f t="shared" si="357"/>
        <v>FOR</v>
      </c>
      <c r="AY4262" t="s">
        <v>55</v>
      </c>
    </row>
    <row r="4263" spans="1:51" hidden="1">
      <c r="A4263">
        <v>101541</v>
      </c>
      <c r="B4263" t="s">
        <v>763</v>
      </c>
      <c r="C4263" t="str">
        <f t="shared" ref="C4263:D4282" si="359">"08230471008"</f>
        <v>08230471008</v>
      </c>
      <c r="D4263" t="str">
        <f t="shared" si="359"/>
        <v>08230471008</v>
      </c>
      <c r="E4263" t="s">
        <v>52</v>
      </c>
      <c r="F4263">
        <v>2014</v>
      </c>
      <c r="G4263">
        <v>11700</v>
      </c>
      <c r="H4263" s="1">
        <v>41859</v>
      </c>
      <c r="I4263" s="1">
        <v>41877</v>
      </c>
      <c r="J4263" s="1">
        <v>41877</v>
      </c>
      <c r="K4263" s="1">
        <v>41967</v>
      </c>
      <c r="N4263" s="5"/>
      <c r="O4263">
        <v>728</v>
      </c>
      <c r="P4263">
        <v>221</v>
      </c>
      <c r="Q4263" s="2">
        <v>160888</v>
      </c>
      <c r="R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 s="1">
        <v>42382</v>
      </c>
      <c r="AC4263" t="s">
        <v>53</v>
      </c>
      <c r="AD4263" t="s">
        <v>53</v>
      </c>
      <c r="AK4263">
        <v>0</v>
      </c>
      <c r="AU4263" s="6">
        <v>42188</v>
      </c>
      <c r="AV4263" s="6">
        <v>42188</v>
      </c>
      <c r="AW4263" t="s">
        <v>54</v>
      </c>
      <c r="AX4263" t="str">
        <f t="shared" si="357"/>
        <v>FOR</v>
      </c>
      <c r="AY4263" t="s">
        <v>55</v>
      </c>
    </row>
    <row r="4264" spans="1:51" hidden="1">
      <c r="A4264">
        <v>101541</v>
      </c>
      <c r="B4264" t="s">
        <v>763</v>
      </c>
      <c r="C4264" t="str">
        <f t="shared" si="359"/>
        <v>08230471008</v>
      </c>
      <c r="D4264" t="str">
        <f t="shared" si="359"/>
        <v>08230471008</v>
      </c>
      <c r="E4264" t="s">
        <v>52</v>
      </c>
      <c r="F4264">
        <v>2014</v>
      </c>
      <c r="G4264">
        <v>12080</v>
      </c>
      <c r="H4264" s="1">
        <v>41880</v>
      </c>
      <c r="I4264" s="1">
        <v>41892</v>
      </c>
      <c r="J4264" s="1">
        <v>41892</v>
      </c>
      <c r="K4264" s="1">
        <v>41982</v>
      </c>
      <c r="N4264" s="5"/>
      <c r="O4264">
        <v>305</v>
      </c>
      <c r="P4264">
        <v>206</v>
      </c>
      <c r="Q4264" s="2">
        <v>62830</v>
      </c>
      <c r="R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 s="1">
        <v>42382</v>
      </c>
      <c r="AC4264" t="s">
        <v>53</v>
      </c>
      <c r="AD4264" t="s">
        <v>53</v>
      </c>
      <c r="AK4264">
        <v>0</v>
      </c>
      <c r="AU4264" s="6">
        <v>42188</v>
      </c>
      <c r="AV4264" s="6">
        <v>42188</v>
      </c>
      <c r="AW4264" t="s">
        <v>54</v>
      </c>
      <c r="AX4264" t="str">
        <f t="shared" si="357"/>
        <v>FOR</v>
      </c>
      <c r="AY4264" t="s">
        <v>55</v>
      </c>
    </row>
    <row r="4265" spans="1:51" hidden="1">
      <c r="A4265">
        <v>101541</v>
      </c>
      <c r="B4265" t="s">
        <v>763</v>
      </c>
      <c r="C4265" t="str">
        <f t="shared" si="359"/>
        <v>08230471008</v>
      </c>
      <c r="D4265" t="str">
        <f t="shared" si="359"/>
        <v>08230471008</v>
      </c>
      <c r="E4265" t="s">
        <v>52</v>
      </c>
      <c r="F4265">
        <v>2014</v>
      </c>
      <c r="G4265">
        <v>12081</v>
      </c>
      <c r="H4265" s="1">
        <v>41880</v>
      </c>
      <c r="I4265" s="1">
        <v>41892</v>
      </c>
      <c r="J4265" s="1">
        <v>41892</v>
      </c>
      <c r="K4265" s="1">
        <v>41982</v>
      </c>
      <c r="N4265" s="5"/>
      <c r="O4265">
        <v>305</v>
      </c>
      <c r="P4265">
        <v>206</v>
      </c>
      <c r="Q4265" s="2">
        <v>62830</v>
      </c>
      <c r="R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 s="1">
        <v>42382</v>
      </c>
      <c r="AC4265" t="s">
        <v>53</v>
      </c>
      <c r="AD4265" t="s">
        <v>53</v>
      </c>
      <c r="AK4265">
        <v>0</v>
      </c>
      <c r="AU4265" s="6">
        <v>42188</v>
      </c>
      <c r="AV4265" s="6">
        <v>42188</v>
      </c>
      <c r="AW4265" t="s">
        <v>54</v>
      </c>
      <c r="AX4265" t="str">
        <f t="shared" si="357"/>
        <v>FOR</v>
      </c>
      <c r="AY4265" t="s">
        <v>55</v>
      </c>
    </row>
    <row r="4266" spans="1:51" hidden="1">
      <c r="A4266">
        <v>101541</v>
      </c>
      <c r="B4266" t="s">
        <v>763</v>
      </c>
      <c r="C4266" t="str">
        <f t="shared" si="359"/>
        <v>08230471008</v>
      </c>
      <c r="D4266" t="str">
        <f t="shared" si="359"/>
        <v>08230471008</v>
      </c>
      <c r="E4266" t="s">
        <v>52</v>
      </c>
      <c r="F4266">
        <v>2014</v>
      </c>
      <c r="G4266">
        <v>12082</v>
      </c>
      <c r="H4266" s="1">
        <v>41880</v>
      </c>
      <c r="I4266" s="1">
        <v>41892</v>
      </c>
      <c r="J4266" s="1">
        <v>41892</v>
      </c>
      <c r="K4266" s="1">
        <v>41982</v>
      </c>
      <c r="N4266" s="5"/>
      <c r="O4266">
        <v>305</v>
      </c>
      <c r="P4266">
        <v>206</v>
      </c>
      <c r="Q4266" s="2">
        <v>62830</v>
      </c>
      <c r="R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 s="1">
        <v>42382</v>
      </c>
      <c r="AC4266" t="s">
        <v>53</v>
      </c>
      <c r="AD4266" t="s">
        <v>53</v>
      </c>
      <c r="AK4266">
        <v>0</v>
      </c>
      <c r="AU4266" s="6">
        <v>42188</v>
      </c>
      <c r="AV4266" s="6">
        <v>42188</v>
      </c>
      <c r="AW4266" t="s">
        <v>54</v>
      </c>
      <c r="AX4266" t="str">
        <f t="shared" si="357"/>
        <v>FOR</v>
      </c>
      <c r="AY4266" t="s">
        <v>55</v>
      </c>
    </row>
    <row r="4267" spans="1:51" hidden="1">
      <c r="A4267">
        <v>101541</v>
      </c>
      <c r="B4267" t="s">
        <v>763</v>
      </c>
      <c r="C4267" t="str">
        <f t="shared" si="359"/>
        <v>08230471008</v>
      </c>
      <c r="D4267" t="str">
        <f t="shared" si="359"/>
        <v>08230471008</v>
      </c>
      <c r="E4267" t="s">
        <v>52</v>
      </c>
      <c r="F4267">
        <v>2014</v>
      </c>
      <c r="G4267">
        <v>12083</v>
      </c>
      <c r="H4267" s="1">
        <v>41880</v>
      </c>
      <c r="I4267" s="1">
        <v>41892</v>
      </c>
      <c r="J4267" s="1">
        <v>41892</v>
      </c>
      <c r="K4267" s="1">
        <v>41982</v>
      </c>
      <c r="N4267" s="5"/>
      <c r="O4267">
        <v>305</v>
      </c>
      <c r="P4267">
        <v>206</v>
      </c>
      <c r="Q4267" s="2">
        <v>62830</v>
      </c>
      <c r="R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 s="1">
        <v>42382</v>
      </c>
      <c r="AC4267" t="s">
        <v>53</v>
      </c>
      <c r="AD4267" t="s">
        <v>53</v>
      </c>
      <c r="AK4267">
        <v>0</v>
      </c>
      <c r="AU4267" s="6">
        <v>42188</v>
      </c>
      <c r="AV4267" s="6">
        <v>42188</v>
      </c>
      <c r="AW4267" t="s">
        <v>54</v>
      </c>
      <c r="AX4267" t="str">
        <f t="shared" si="357"/>
        <v>FOR</v>
      </c>
      <c r="AY4267" t="s">
        <v>55</v>
      </c>
    </row>
    <row r="4268" spans="1:51" hidden="1">
      <c r="A4268">
        <v>101541</v>
      </c>
      <c r="B4268" t="s">
        <v>763</v>
      </c>
      <c r="C4268" t="str">
        <f t="shared" si="359"/>
        <v>08230471008</v>
      </c>
      <c r="D4268" t="str">
        <f t="shared" si="359"/>
        <v>08230471008</v>
      </c>
      <c r="E4268" t="s">
        <v>52</v>
      </c>
      <c r="F4268">
        <v>2014</v>
      </c>
      <c r="G4268">
        <v>12084</v>
      </c>
      <c r="H4268" s="1">
        <v>41880</v>
      </c>
      <c r="I4268" s="1">
        <v>41892</v>
      </c>
      <c r="J4268" s="1">
        <v>41892</v>
      </c>
      <c r="K4268" s="1">
        <v>41982</v>
      </c>
      <c r="N4268" s="5"/>
      <c r="O4268">
        <v>305</v>
      </c>
      <c r="P4268">
        <v>206</v>
      </c>
      <c r="Q4268" s="2">
        <v>62830</v>
      </c>
      <c r="R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 s="1">
        <v>42382</v>
      </c>
      <c r="AC4268" t="s">
        <v>53</v>
      </c>
      <c r="AD4268" t="s">
        <v>53</v>
      </c>
      <c r="AK4268">
        <v>0</v>
      </c>
      <c r="AU4268" s="6">
        <v>42188</v>
      </c>
      <c r="AV4268" s="6">
        <v>42188</v>
      </c>
      <c r="AW4268" t="s">
        <v>54</v>
      </c>
      <c r="AX4268" t="str">
        <f t="shared" si="357"/>
        <v>FOR</v>
      </c>
      <c r="AY4268" t="s">
        <v>55</v>
      </c>
    </row>
    <row r="4269" spans="1:51" hidden="1">
      <c r="A4269">
        <v>101541</v>
      </c>
      <c r="B4269" t="s">
        <v>763</v>
      </c>
      <c r="C4269" t="str">
        <f t="shared" si="359"/>
        <v>08230471008</v>
      </c>
      <c r="D4269" t="str">
        <f t="shared" si="359"/>
        <v>08230471008</v>
      </c>
      <c r="E4269" t="s">
        <v>52</v>
      </c>
      <c r="F4269">
        <v>2014</v>
      </c>
      <c r="G4269">
        <v>12085</v>
      </c>
      <c r="H4269" s="1">
        <v>41880</v>
      </c>
      <c r="I4269" s="1">
        <v>41892</v>
      </c>
      <c r="J4269" s="1">
        <v>41892</v>
      </c>
      <c r="K4269" s="1">
        <v>41982</v>
      </c>
      <c r="N4269" s="5"/>
      <c r="O4269">
        <v>305</v>
      </c>
      <c r="P4269">
        <v>206</v>
      </c>
      <c r="Q4269" s="2">
        <v>62830</v>
      </c>
      <c r="R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 s="1">
        <v>42382</v>
      </c>
      <c r="AC4269" t="s">
        <v>53</v>
      </c>
      <c r="AD4269" t="s">
        <v>53</v>
      </c>
      <c r="AK4269">
        <v>0</v>
      </c>
      <c r="AU4269" s="6">
        <v>42188</v>
      </c>
      <c r="AV4269" s="6">
        <v>42188</v>
      </c>
      <c r="AW4269" t="s">
        <v>54</v>
      </c>
      <c r="AX4269" t="str">
        <f t="shared" si="357"/>
        <v>FOR</v>
      </c>
      <c r="AY4269" t="s">
        <v>55</v>
      </c>
    </row>
    <row r="4270" spans="1:51" hidden="1">
      <c r="A4270">
        <v>101541</v>
      </c>
      <c r="B4270" t="s">
        <v>763</v>
      </c>
      <c r="C4270" t="str">
        <f t="shared" si="359"/>
        <v>08230471008</v>
      </c>
      <c r="D4270" t="str">
        <f t="shared" si="359"/>
        <v>08230471008</v>
      </c>
      <c r="E4270" t="s">
        <v>52</v>
      </c>
      <c r="F4270">
        <v>2014</v>
      </c>
      <c r="G4270">
        <v>12086</v>
      </c>
      <c r="H4270" s="1">
        <v>41880</v>
      </c>
      <c r="I4270" s="1">
        <v>41892</v>
      </c>
      <c r="J4270" s="1">
        <v>41892</v>
      </c>
      <c r="K4270" s="1">
        <v>41982</v>
      </c>
      <c r="N4270" s="5"/>
      <c r="O4270">
        <v>305</v>
      </c>
      <c r="P4270">
        <v>206</v>
      </c>
      <c r="Q4270" s="2">
        <v>62830</v>
      </c>
      <c r="R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 s="1">
        <v>42382</v>
      </c>
      <c r="AC4270" t="s">
        <v>53</v>
      </c>
      <c r="AD4270" t="s">
        <v>53</v>
      </c>
      <c r="AK4270">
        <v>0</v>
      </c>
      <c r="AU4270" s="6">
        <v>42188</v>
      </c>
      <c r="AV4270" s="6">
        <v>42188</v>
      </c>
      <c r="AW4270" t="s">
        <v>54</v>
      </c>
      <c r="AX4270" t="str">
        <f t="shared" si="357"/>
        <v>FOR</v>
      </c>
      <c r="AY4270" t="s">
        <v>55</v>
      </c>
    </row>
    <row r="4271" spans="1:51" hidden="1">
      <c r="A4271">
        <v>101541</v>
      </c>
      <c r="B4271" t="s">
        <v>763</v>
      </c>
      <c r="C4271" t="str">
        <f t="shared" si="359"/>
        <v>08230471008</v>
      </c>
      <c r="D4271" t="str">
        <f t="shared" si="359"/>
        <v>08230471008</v>
      </c>
      <c r="E4271" t="s">
        <v>52</v>
      </c>
      <c r="F4271">
        <v>2014</v>
      </c>
      <c r="G4271">
        <v>12088</v>
      </c>
      <c r="H4271" s="1">
        <v>41880</v>
      </c>
      <c r="I4271" s="1">
        <v>41892</v>
      </c>
      <c r="J4271" s="1">
        <v>41892</v>
      </c>
      <c r="K4271" s="1">
        <v>41982</v>
      </c>
      <c r="N4271" s="5"/>
      <c r="O4271">
        <v>305</v>
      </c>
      <c r="P4271">
        <v>206</v>
      </c>
      <c r="Q4271" s="2">
        <v>62830</v>
      </c>
      <c r="R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 s="1">
        <v>42382</v>
      </c>
      <c r="AC4271" t="s">
        <v>53</v>
      </c>
      <c r="AD4271" t="s">
        <v>53</v>
      </c>
      <c r="AK4271">
        <v>0</v>
      </c>
      <c r="AU4271" s="6">
        <v>42188</v>
      </c>
      <c r="AV4271" s="6">
        <v>42188</v>
      </c>
      <c r="AW4271" t="s">
        <v>54</v>
      </c>
      <c r="AX4271" t="str">
        <f t="shared" si="357"/>
        <v>FOR</v>
      </c>
      <c r="AY4271" t="s">
        <v>55</v>
      </c>
    </row>
    <row r="4272" spans="1:51" hidden="1">
      <c r="A4272">
        <v>101541</v>
      </c>
      <c r="B4272" t="s">
        <v>763</v>
      </c>
      <c r="C4272" t="str">
        <f t="shared" si="359"/>
        <v>08230471008</v>
      </c>
      <c r="D4272" t="str">
        <f t="shared" si="359"/>
        <v>08230471008</v>
      </c>
      <c r="E4272" t="s">
        <v>52</v>
      </c>
      <c r="F4272">
        <v>2014</v>
      </c>
      <c r="G4272">
        <v>12089</v>
      </c>
      <c r="H4272" s="1">
        <v>41880</v>
      </c>
      <c r="I4272" s="1">
        <v>41892</v>
      </c>
      <c r="J4272" s="1">
        <v>41892</v>
      </c>
      <c r="K4272" s="1">
        <v>41982</v>
      </c>
      <c r="N4272" s="5"/>
      <c r="O4272">
        <v>305</v>
      </c>
      <c r="P4272">
        <v>206</v>
      </c>
      <c r="Q4272" s="2">
        <v>62830</v>
      </c>
      <c r="R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 s="1">
        <v>42382</v>
      </c>
      <c r="AC4272" t="s">
        <v>53</v>
      </c>
      <c r="AD4272" t="s">
        <v>53</v>
      </c>
      <c r="AK4272">
        <v>0</v>
      </c>
      <c r="AU4272" s="6">
        <v>42188</v>
      </c>
      <c r="AV4272" s="6">
        <v>42188</v>
      </c>
      <c r="AW4272" t="s">
        <v>54</v>
      </c>
      <c r="AX4272" t="str">
        <f t="shared" si="357"/>
        <v>FOR</v>
      </c>
      <c r="AY4272" t="s">
        <v>55</v>
      </c>
    </row>
    <row r="4273" spans="1:51" hidden="1">
      <c r="A4273">
        <v>101541</v>
      </c>
      <c r="B4273" t="s">
        <v>763</v>
      </c>
      <c r="C4273" t="str">
        <f t="shared" si="359"/>
        <v>08230471008</v>
      </c>
      <c r="D4273" t="str">
        <f t="shared" si="359"/>
        <v>08230471008</v>
      </c>
      <c r="E4273" t="s">
        <v>52</v>
      </c>
      <c r="F4273">
        <v>2014</v>
      </c>
      <c r="G4273">
        <v>12090</v>
      </c>
      <c r="H4273" s="1">
        <v>41880</v>
      </c>
      <c r="I4273" s="1">
        <v>41892</v>
      </c>
      <c r="J4273" s="1">
        <v>41892</v>
      </c>
      <c r="K4273" s="1">
        <v>41982</v>
      </c>
      <c r="N4273" s="5"/>
      <c r="O4273">
        <v>305</v>
      </c>
      <c r="P4273">
        <v>206</v>
      </c>
      <c r="Q4273" s="2">
        <v>62830</v>
      </c>
      <c r="R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 s="1">
        <v>42382</v>
      </c>
      <c r="AC4273" t="s">
        <v>53</v>
      </c>
      <c r="AD4273" t="s">
        <v>53</v>
      </c>
      <c r="AK4273">
        <v>0</v>
      </c>
      <c r="AU4273" s="6">
        <v>42188</v>
      </c>
      <c r="AV4273" s="6">
        <v>42188</v>
      </c>
      <c r="AW4273" t="s">
        <v>54</v>
      </c>
      <c r="AX4273" t="str">
        <f t="shared" si="357"/>
        <v>FOR</v>
      </c>
      <c r="AY4273" t="s">
        <v>55</v>
      </c>
    </row>
    <row r="4274" spans="1:51" hidden="1">
      <c r="A4274">
        <v>101541</v>
      </c>
      <c r="B4274" t="s">
        <v>763</v>
      </c>
      <c r="C4274" t="str">
        <f t="shared" si="359"/>
        <v>08230471008</v>
      </c>
      <c r="D4274" t="str">
        <f t="shared" si="359"/>
        <v>08230471008</v>
      </c>
      <c r="E4274" t="s">
        <v>52</v>
      </c>
      <c r="F4274">
        <v>2014</v>
      </c>
      <c r="G4274">
        <v>12091</v>
      </c>
      <c r="H4274" s="1">
        <v>41880</v>
      </c>
      <c r="I4274" s="1">
        <v>41892</v>
      </c>
      <c r="J4274" s="1">
        <v>41892</v>
      </c>
      <c r="K4274" s="1">
        <v>41982</v>
      </c>
      <c r="N4274" s="5"/>
      <c r="O4274">
        <v>305</v>
      </c>
      <c r="P4274">
        <v>206</v>
      </c>
      <c r="Q4274" s="2">
        <v>62830</v>
      </c>
      <c r="R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 s="1">
        <v>42382</v>
      </c>
      <c r="AC4274" t="s">
        <v>53</v>
      </c>
      <c r="AD4274" t="s">
        <v>53</v>
      </c>
      <c r="AK4274">
        <v>0</v>
      </c>
      <c r="AU4274" s="6">
        <v>42188</v>
      </c>
      <c r="AV4274" s="6">
        <v>42188</v>
      </c>
      <c r="AW4274" t="s">
        <v>54</v>
      </c>
      <c r="AX4274" t="str">
        <f t="shared" si="357"/>
        <v>FOR</v>
      </c>
      <c r="AY4274" t="s">
        <v>55</v>
      </c>
    </row>
    <row r="4275" spans="1:51" hidden="1">
      <c r="A4275">
        <v>101541</v>
      </c>
      <c r="B4275" t="s">
        <v>763</v>
      </c>
      <c r="C4275" t="str">
        <f t="shared" si="359"/>
        <v>08230471008</v>
      </c>
      <c r="D4275" t="str">
        <f t="shared" si="359"/>
        <v>08230471008</v>
      </c>
      <c r="E4275" t="s">
        <v>52</v>
      </c>
      <c r="F4275">
        <v>2014</v>
      </c>
      <c r="G4275">
        <v>12092</v>
      </c>
      <c r="H4275" s="1">
        <v>41880</v>
      </c>
      <c r="I4275" s="1">
        <v>41892</v>
      </c>
      <c r="J4275" s="1">
        <v>41892</v>
      </c>
      <c r="K4275" s="1">
        <v>41982</v>
      </c>
      <c r="N4275" s="5"/>
      <c r="O4275">
        <v>300</v>
      </c>
      <c r="P4275">
        <v>206</v>
      </c>
      <c r="Q4275" s="2">
        <v>61800</v>
      </c>
      <c r="R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 s="1">
        <v>42382</v>
      </c>
      <c r="AC4275" t="s">
        <v>53</v>
      </c>
      <c r="AD4275" t="s">
        <v>53</v>
      </c>
      <c r="AK4275">
        <v>0</v>
      </c>
      <c r="AU4275" s="6">
        <v>42188</v>
      </c>
      <c r="AV4275" s="6">
        <v>42188</v>
      </c>
      <c r="AW4275" t="s">
        <v>54</v>
      </c>
      <c r="AX4275" t="str">
        <f t="shared" si="357"/>
        <v>FOR</v>
      </c>
      <c r="AY4275" t="s">
        <v>55</v>
      </c>
    </row>
    <row r="4276" spans="1:51" hidden="1">
      <c r="A4276">
        <v>101541</v>
      </c>
      <c r="B4276" t="s">
        <v>763</v>
      </c>
      <c r="C4276" t="str">
        <f t="shared" si="359"/>
        <v>08230471008</v>
      </c>
      <c r="D4276" t="str">
        <f t="shared" si="359"/>
        <v>08230471008</v>
      </c>
      <c r="E4276" t="s">
        <v>52</v>
      </c>
      <c r="F4276">
        <v>2014</v>
      </c>
      <c r="G4276">
        <v>12093</v>
      </c>
      <c r="H4276" s="1">
        <v>41880</v>
      </c>
      <c r="I4276" s="1">
        <v>41892</v>
      </c>
      <c r="J4276" s="1">
        <v>41892</v>
      </c>
      <c r="K4276" s="1">
        <v>41982</v>
      </c>
      <c r="N4276" s="5"/>
      <c r="O4276">
        <v>305</v>
      </c>
      <c r="P4276">
        <v>206</v>
      </c>
      <c r="Q4276" s="2">
        <v>62830</v>
      </c>
      <c r="R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 s="1">
        <v>42382</v>
      </c>
      <c r="AC4276" t="s">
        <v>53</v>
      </c>
      <c r="AD4276" t="s">
        <v>53</v>
      </c>
      <c r="AK4276">
        <v>0</v>
      </c>
      <c r="AU4276" s="6">
        <v>42188</v>
      </c>
      <c r="AV4276" s="6">
        <v>42188</v>
      </c>
      <c r="AW4276" t="s">
        <v>54</v>
      </c>
      <c r="AX4276" t="str">
        <f t="shared" si="357"/>
        <v>FOR</v>
      </c>
      <c r="AY4276" t="s">
        <v>55</v>
      </c>
    </row>
    <row r="4277" spans="1:51" hidden="1">
      <c r="A4277">
        <v>101541</v>
      </c>
      <c r="B4277" t="s">
        <v>763</v>
      </c>
      <c r="C4277" t="str">
        <f t="shared" si="359"/>
        <v>08230471008</v>
      </c>
      <c r="D4277" t="str">
        <f t="shared" si="359"/>
        <v>08230471008</v>
      </c>
      <c r="E4277" t="s">
        <v>52</v>
      </c>
      <c r="F4277">
        <v>2014</v>
      </c>
      <c r="G4277">
        <v>12480</v>
      </c>
      <c r="H4277" s="1">
        <v>41882</v>
      </c>
      <c r="I4277" s="1">
        <v>41892</v>
      </c>
      <c r="J4277" s="1">
        <v>41892</v>
      </c>
      <c r="K4277" s="1">
        <v>41982</v>
      </c>
      <c r="N4277" s="5"/>
      <c r="O4277">
        <v>305</v>
      </c>
      <c r="P4277">
        <v>206</v>
      </c>
      <c r="Q4277" s="2">
        <v>62830</v>
      </c>
      <c r="R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 s="1">
        <v>42382</v>
      </c>
      <c r="AC4277" t="s">
        <v>53</v>
      </c>
      <c r="AD4277" t="s">
        <v>53</v>
      </c>
      <c r="AK4277">
        <v>0</v>
      </c>
      <c r="AU4277" s="6">
        <v>42188</v>
      </c>
      <c r="AV4277" s="6">
        <v>42188</v>
      </c>
      <c r="AW4277" t="s">
        <v>54</v>
      </c>
      <c r="AX4277" t="str">
        <f t="shared" si="357"/>
        <v>FOR</v>
      </c>
      <c r="AY4277" t="s">
        <v>55</v>
      </c>
    </row>
    <row r="4278" spans="1:51" hidden="1">
      <c r="A4278">
        <v>101541</v>
      </c>
      <c r="B4278" t="s">
        <v>763</v>
      </c>
      <c r="C4278" t="str">
        <f t="shared" si="359"/>
        <v>08230471008</v>
      </c>
      <c r="D4278" t="str">
        <f t="shared" si="359"/>
        <v>08230471008</v>
      </c>
      <c r="E4278" t="s">
        <v>52</v>
      </c>
      <c r="F4278">
        <v>2014</v>
      </c>
      <c r="G4278">
        <v>12481</v>
      </c>
      <c r="H4278" s="1">
        <v>41882</v>
      </c>
      <c r="I4278" s="1">
        <v>41892</v>
      </c>
      <c r="J4278" s="1">
        <v>41892</v>
      </c>
      <c r="K4278" s="1">
        <v>41982</v>
      </c>
      <c r="N4278" s="5"/>
      <c r="O4278">
        <v>305</v>
      </c>
      <c r="P4278">
        <v>206</v>
      </c>
      <c r="Q4278" s="2">
        <v>62830</v>
      </c>
      <c r="R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 s="1">
        <v>42382</v>
      </c>
      <c r="AC4278" t="s">
        <v>53</v>
      </c>
      <c r="AD4278" t="s">
        <v>53</v>
      </c>
      <c r="AK4278">
        <v>0</v>
      </c>
      <c r="AU4278" s="6">
        <v>42188</v>
      </c>
      <c r="AV4278" s="6">
        <v>42188</v>
      </c>
      <c r="AW4278" t="s">
        <v>54</v>
      </c>
      <c r="AX4278" t="str">
        <f t="shared" si="357"/>
        <v>FOR</v>
      </c>
      <c r="AY4278" t="s">
        <v>55</v>
      </c>
    </row>
    <row r="4279" spans="1:51" hidden="1">
      <c r="A4279">
        <v>101541</v>
      </c>
      <c r="B4279" t="s">
        <v>763</v>
      </c>
      <c r="C4279" t="str">
        <f t="shared" si="359"/>
        <v>08230471008</v>
      </c>
      <c r="D4279" t="str">
        <f t="shared" si="359"/>
        <v>08230471008</v>
      </c>
      <c r="E4279" t="s">
        <v>52</v>
      </c>
      <c r="F4279">
        <v>2014</v>
      </c>
      <c r="G4279">
        <v>12482</v>
      </c>
      <c r="H4279" s="1">
        <v>41882</v>
      </c>
      <c r="I4279" s="1">
        <v>41892</v>
      </c>
      <c r="J4279" s="1">
        <v>41892</v>
      </c>
      <c r="K4279" s="1">
        <v>41982</v>
      </c>
      <c r="N4279" s="5"/>
      <c r="O4279">
        <v>305</v>
      </c>
      <c r="P4279">
        <v>206</v>
      </c>
      <c r="Q4279" s="2">
        <v>62830</v>
      </c>
      <c r="R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 s="1">
        <v>42382</v>
      </c>
      <c r="AC4279" t="s">
        <v>53</v>
      </c>
      <c r="AD4279" t="s">
        <v>53</v>
      </c>
      <c r="AK4279">
        <v>0</v>
      </c>
      <c r="AU4279" s="6">
        <v>42188</v>
      </c>
      <c r="AV4279" s="6">
        <v>42188</v>
      </c>
      <c r="AW4279" t="s">
        <v>54</v>
      </c>
      <c r="AX4279" t="str">
        <f t="shared" si="357"/>
        <v>FOR</v>
      </c>
      <c r="AY4279" t="s">
        <v>55</v>
      </c>
    </row>
    <row r="4280" spans="1:51" hidden="1">
      <c r="A4280">
        <v>101541</v>
      </c>
      <c r="B4280" t="s">
        <v>763</v>
      </c>
      <c r="C4280" t="str">
        <f t="shared" si="359"/>
        <v>08230471008</v>
      </c>
      <c r="D4280" t="str">
        <f t="shared" si="359"/>
        <v>08230471008</v>
      </c>
      <c r="E4280" t="s">
        <v>52</v>
      </c>
      <c r="F4280">
        <v>2014</v>
      </c>
      <c r="G4280">
        <v>12483</v>
      </c>
      <c r="H4280" s="1">
        <v>41882</v>
      </c>
      <c r="I4280" s="1">
        <v>41892</v>
      </c>
      <c r="J4280" s="1">
        <v>41892</v>
      </c>
      <c r="K4280" s="1">
        <v>41982</v>
      </c>
      <c r="N4280" s="5"/>
      <c r="O4280">
        <v>305</v>
      </c>
      <c r="P4280">
        <v>206</v>
      </c>
      <c r="Q4280" s="2">
        <v>62830</v>
      </c>
      <c r="R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 s="1">
        <v>42382</v>
      </c>
      <c r="AC4280" t="s">
        <v>53</v>
      </c>
      <c r="AD4280" t="s">
        <v>53</v>
      </c>
      <c r="AK4280">
        <v>0</v>
      </c>
      <c r="AU4280" s="6">
        <v>42188</v>
      </c>
      <c r="AV4280" s="6">
        <v>42188</v>
      </c>
      <c r="AW4280" t="s">
        <v>54</v>
      </c>
      <c r="AX4280" t="str">
        <f t="shared" si="357"/>
        <v>FOR</v>
      </c>
      <c r="AY4280" t="s">
        <v>55</v>
      </c>
    </row>
    <row r="4281" spans="1:51" hidden="1">
      <c r="A4281">
        <v>101541</v>
      </c>
      <c r="B4281" t="s">
        <v>763</v>
      </c>
      <c r="C4281" t="str">
        <f t="shared" si="359"/>
        <v>08230471008</v>
      </c>
      <c r="D4281" t="str">
        <f t="shared" si="359"/>
        <v>08230471008</v>
      </c>
      <c r="E4281" t="s">
        <v>52</v>
      </c>
      <c r="F4281">
        <v>2014</v>
      </c>
      <c r="G4281">
        <v>12484</v>
      </c>
      <c r="H4281" s="1">
        <v>41882</v>
      </c>
      <c r="I4281" s="1">
        <v>41892</v>
      </c>
      <c r="J4281" s="1">
        <v>41892</v>
      </c>
      <c r="K4281" s="1">
        <v>41982</v>
      </c>
      <c r="N4281" s="5"/>
      <c r="O4281">
        <v>728</v>
      </c>
      <c r="P4281">
        <v>206</v>
      </c>
      <c r="Q4281" s="2">
        <v>149968</v>
      </c>
      <c r="R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 s="1">
        <v>42382</v>
      </c>
      <c r="AC4281" t="s">
        <v>53</v>
      </c>
      <c r="AD4281" t="s">
        <v>53</v>
      </c>
      <c r="AK4281">
        <v>0</v>
      </c>
      <c r="AU4281" s="6">
        <v>42188</v>
      </c>
      <c r="AV4281" s="6">
        <v>42188</v>
      </c>
      <c r="AW4281" t="s">
        <v>54</v>
      </c>
      <c r="AX4281" t="str">
        <f t="shared" si="357"/>
        <v>FOR</v>
      </c>
      <c r="AY4281" t="s">
        <v>55</v>
      </c>
    </row>
    <row r="4282" spans="1:51" hidden="1">
      <c r="A4282">
        <v>101541</v>
      </c>
      <c r="B4282" t="s">
        <v>763</v>
      </c>
      <c r="C4282" t="str">
        <f t="shared" si="359"/>
        <v>08230471008</v>
      </c>
      <c r="D4282" t="str">
        <f t="shared" si="359"/>
        <v>08230471008</v>
      </c>
      <c r="E4282" t="s">
        <v>52</v>
      </c>
      <c r="F4282">
        <v>2014</v>
      </c>
      <c r="G4282">
        <v>12485</v>
      </c>
      <c r="H4282" s="1">
        <v>41882</v>
      </c>
      <c r="I4282" s="1">
        <v>41892</v>
      </c>
      <c r="J4282" s="1">
        <v>41892</v>
      </c>
      <c r="K4282" s="1">
        <v>41982</v>
      </c>
      <c r="N4282" s="5"/>
      <c r="O4282">
        <v>305</v>
      </c>
      <c r="P4282">
        <v>206</v>
      </c>
      <c r="Q4282" s="2">
        <v>62830</v>
      </c>
      <c r="R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 s="1">
        <v>42382</v>
      </c>
      <c r="AC4282" t="s">
        <v>53</v>
      </c>
      <c r="AD4282" t="s">
        <v>53</v>
      </c>
      <c r="AK4282">
        <v>0</v>
      </c>
      <c r="AU4282" s="6">
        <v>42188</v>
      </c>
      <c r="AV4282" s="6">
        <v>42188</v>
      </c>
      <c r="AW4282" t="s">
        <v>54</v>
      </c>
      <c r="AX4282" t="str">
        <f t="shared" si="357"/>
        <v>FOR</v>
      </c>
      <c r="AY4282" t="s">
        <v>55</v>
      </c>
    </row>
    <row r="4283" spans="1:51" hidden="1">
      <c r="A4283">
        <v>101541</v>
      </c>
      <c r="B4283" t="s">
        <v>763</v>
      </c>
      <c r="C4283" t="str">
        <f t="shared" ref="C4283:D4302" si="360">"08230471008"</f>
        <v>08230471008</v>
      </c>
      <c r="D4283" t="str">
        <f t="shared" si="360"/>
        <v>08230471008</v>
      </c>
      <c r="E4283" t="s">
        <v>52</v>
      </c>
      <c r="F4283">
        <v>2014</v>
      </c>
      <c r="G4283">
        <v>12486</v>
      </c>
      <c r="H4283" s="1">
        <v>41882</v>
      </c>
      <c r="I4283" s="1">
        <v>41892</v>
      </c>
      <c r="J4283" s="1">
        <v>41892</v>
      </c>
      <c r="K4283" s="1">
        <v>41982</v>
      </c>
      <c r="N4283" s="5"/>
      <c r="O4283">
        <v>728</v>
      </c>
      <c r="P4283">
        <v>206</v>
      </c>
      <c r="Q4283" s="2">
        <v>149968</v>
      </c>
      <c r="R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 s="1">
        <v>42382</v>
      </c>
      <c r="AC4283" t="s">
        <v>53</v>
      </c>
      <c r="AD4283" t="s">
        <v>53</v>
      </c>
      <c r="AK4283">
        <v>0</v>
      </c>
      <c r="AU4283" s="6">
        <v>42188</v>
      </c>
      <c r="AV4283" s="6">
        <v>42188</v>
      </c>
      <c r="AW4283" t="s">
        <v>54</v>
      </c>
      <c r="AX4283" t="str">
        <f t="shared" si="357"/>
        <v>FOR</v>
      </c>
      <c r="AY4283" t="s">
        <v>55</v>
      </c>
    </row>
    <row r="4284" spans="1:51" hidden="1">
      <c r="A4284">
        <v>101541</v>
      </c>
      <c r="B4284" t="s">
        <v>763</v>
      </c>
      <c r="C4284" t="str">
        <f t="shared" si="360"/>
        <v>08230471008</v>
      </c>
      <c r="D4284" t="str">
        <f t="shared" si="360"/>
        <v>08230471008</v>
      </c>
      <c r="E4284" t="s">
        <v>52</v>
      </c>
      <c r="F4284">
        <v>2014</v>
      </c>
      <c r="G4284">
        <v>12633</v>
      </c>
      <c r="H4284" s="1">
        <v>41887</v>
      </c>
      <c r="I4284" s="1">
        <v>41899</v>
      </c>
      <c r="J4284" s="1">
        <v>41899</v>
      </c>
      <c r="K4284" s="1">
        <v>41989</v>
      </c>
      <c r="N4284" s="5"/>
      <c r="O4284">
        <v>728</v>
      </c>
      <c r="P4284">
        <v>261</v>
      </c>
      <c r="Q4284" s="2">
        <v>190008</v>
      </c>
      <c r="R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 s="1">
        <v>42382</v>
      </c>
      <c r="AC4284" t="s">
        <v>53</v>
      </c>
      <c r="AD4284" t="s">
        <v>53</v>
      </c>
      <c r="AK4284">
        <v>0</v>
      </c>
      <c r="AU4284" s="6">
        <v>42250</v>
      </c>
      <c r="AV4284" s="6">
        <v>42250</v>
      </c>
      <c r="AW4284" t="s">
        <v>54</v>
      </c>
      <c r="AX4284" t="str">
        <f t="shared" si="357"/>
        <v>FOR</v>
      </c>
      <c r="AY4284" t="s">
        <v>55</v>
      </c>
    </row>
    <row r="4285" spans="1:51" hidden="1">
      <c r="A4285">
        <v>101541</v>
      </c>
      <c r="B4285" t="s">
        <v>763</v>
      </c>
      <c r="C4285" t="str">
        <f t="shared" si="360"/>
        <v>08230471008</v>
      </c>
      <c r="D4285" t="str">
        <f t="shared" si="360"/>
        <v>08230471008</v>
      </c>
      <c r="E4285" t="s">
        <v>52</v>
      </c>
      <c r="F4285">
        <v>2014</v>
      </c>
      <c r="G4285">
        <v>13084</v>
      </c>
      <c r="H4285" s="1">
        <v>41901</v>
      </c>
      <c r="I4285" s="1">
        <v>41914</v>
      </c>
      <c r="J4285" s="1">
        <v>41914</v>
      </c>
      <c r="K4285" s="1">
        <v>42004</v>
      </c>
      <c r="N4285" s="5"/>
      <c r="O4285">
        <v>728</v>
      </c>
      <c r="P4285">
        <v>246</v>
      </c>
      <c r="Q4285" s="2">
        <v>179088</v>
      </c>
      <c r="R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 s="1">
        <v>42382</v>
      </c>
      <c r="AC4285" t="s">
        <v>53</v>
      </c>
      <c r="AD4285" t="s">
        <v>53</v>
      </c>
      <c r="AK4285">
        <v>0</v>
      </c>
      <c r="AU4285" s="6">
        <v>42250</v>
      </c>
      <c r="AV4285" s="6">
        <v>42250</v>
      </c>
      <c r="AW4285" t="s">
        <v>54</v>
      </c>
      <c r="AX4285" t="str">
        <f t="shared" si="357"/>
        <v>FOR</v>
      </c>
      <c r="AY4285" t="s">
        <v>55</v>
      </c>
    </row>
    <row r="4286" spans="1:51" hidden="1">
      <c r="A4286">
        <v>101541</v>
      </c>
      <c r="B4286" t="s">
        <v>763</v>
      </c>
      <c r="C4286" t="str">
        <f t="shared" si="360"/>
        <v>08230471008</v>
      </c>
      <c r="D4286" t="str">
        <f t="shared" si="360"/>
        <v>08230471008</v>
      </c>
      <c r="E4286" t="s">
        <v>52</v>
      </c>
      <c r="F4286">
        <v>2014</v>
      </c>
      <c r="G4286">
        <v>13085</v>
      </c>
      <c r="H4286" s="1">
        <v>41901</v>
      </c>
      <c r="I4286" s="1">
        <v>41914</v>
      </c>
      <c r="J4286" s="1">
        <v>41914</v>
      </c>
      <c r="K4286" s="1">
        <v>42004</v>
      </c>
      <c r="N4286" s="5"/>
      <c r="O4286">
        <v>305</v>
      </c>
      <c r="P4286">
        <v>246</v>
      </c>
      <c r="Q4286" s="2">
        <v>75030</v>
      </c>
      <c r="R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 s="1">
        <v>42382</v>
      </c>
      <c r="AC4286" t="s">
        <v>53</v>
      </c>
      <c r="AD4286" t="s">
        <v>53</v>
      </c>
      <c r="AK4286">
        <v>0</v>
      </c>
      <c r="AU4286" s="6">
        <v>42250</v>
      </c>
      <c r="AV4286" s="6">
        <v>42250</v>
      </c>
      <c r="AW4286" t="s">
        <v>54</v>
      </c>
      <c r="AX4286" t="str">
        <f t="shared" si="357"/>
        <v>FOR</v>
      </c>
      <c r="AY4286" t="s">
        <v>55</v>
      </c>
    </row>
    <row r="4287" spans="1:51" hidden="1">
      <c r="A4287">
        <v>101541</v>
      </c>
      <c r="B4287" t="s">
        <v>763</v>
      </c>
      <c r="C4287" t="str">
        <f t="shared" si="360"/>
        <v>08230471008</v>
      </c>
      <c r="D4287" t="str">
        <f t="shared" si="360"/>
        <v>08230471008</v>
      </c>
      <c r="E4287" t="s">
        <v>52</v>
      </c>
      <c r="F4287">
        <v>2014</v>
      </c>
      <c r="G4287">
        <v>13086</v>
      </c>
      <c r="H4287" s="1">
        <v>41901</v>
      </c>
      <c r="I4287" s="1">
        <v>41914</v>
      </c>
      <c r="J4287" s="1">
        <v>41914</v>
      </c>
      <c r="K4287" s="1">
        <v>42004</v>
      </c>
      <c r="N4287" s="5"/>
      <c r="O4287">
        <v>305</v>
      </c>
      <c r="P4287">
        <v>246</v>
      </c>
      <c r="Q4287" s="2">
        <v>75030</v>
      </c>
      <c r="R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 s="1">
        <v>42382</v>
      </c>
      <c r="AC4287" t="s">
        <v>53</v>
      </c>
      <c r="AD4287" t="s">
        <v>53</v>
      </c>
      <c r="AK4287">
        <v>0</v>
      </c>
      <c r="AU4287" s="6">
        <v>42250</v>
      </c>
      <c r="AV4287" s="6">
        <v>42250</v>
      </c>
      <c r="AW4287" t="s">
        <v>54</v>
      </c>
      <c r="AX4287" t="str">
        <f t="shared" si="357"/>
        <v>FOR</v>
      </c>
      <c r="AY4287" t="s">
        <v>55</v>
      </c>
    </row>
    <row r="4288" spans="1:51" hidden="1">
      <c r="A4288">
        <v>101541</v>
      </c>
      <c r="B4288" t="s">
        <v>763</v>
      </c>
      <c r="C4288" t="str">
        <f t="shared" si="360"/>
        <v>08230471008</v>
      </c>
      <c r="D4288" t="str">
        <f t="shared" si="360"/>
        <v>08230471008</v>
      </c>
      <c r="E4288" t="s">
        <v>52</v>
      </c>
      <c r="F4288">
        <v>2014</v>
      </c>
      <c r="G4288">
        <v>13087</v>
      </c>
      <c r="H4288" s="1">
        <v>41901</v>
      </c>
      <c r="I4288" s="1">
        <v>41914</v>
      </c>
      <c r="J4288" s="1">
        <v>41914</v>
      </c>
      <c r="K4288" s="1">
        <v>42004</v>
      </c>
      <c r="N4288" s="5"/>
      <c r="O4288">
        <v>305</v>
      </c>
      <c r="P4288">
        <v>246</v>
      </c>
      <c r="Q4288" s="2">
        <v>75030</v>
      </c>
      <c r="R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 s="1">
        <v>42382</v>
      </c>
      <c r="AC4288" t="s">
        <v>53</v>
      </c>
      <c r="AD4288" t="s">
        <v>53</v>
      </c>
      <c r="AK4288">
        <v>0</v>
      </c>
      <c r="AU4288" s="6">
        <v>42250</v>
      </c>
      <c r="AV4288" s="6">
        <v>42250</v>
      </c>
      <c r="AW4288" t="s">
        <v>54</v>
      </c>
      <c r="AX4288" t="str">
        <f t="shared" si="357"/>
        <v>FOR</v>
      </c>
      <c r="AY4288" t="s">
        <v>55</v>
      </c>
    </row>
    <row r="4289" spans="1:51" hidden="1">
      <c r="A4289">
        <v>101541</v>
      </c>
      <c r="B4289" t="s">
        <v>763</v>
      </c>
      <c r="C4289" t="str">
        <f t="shared" si="360"/>
        <v>08230471008</v>
      </c>
      <c r="D4289" t="str">
        <f t="shared" si="360"/>
        <v>08230471008</v>
      </c>
      <c r="E4289" t="s">
        <v>52</v>
      </c>
      <c r="F4289">
        <v>2014</v>
      </c>
      <c r="G4289">
        <v>13088</v>
      </c>
      <c r="H4289" s="1">
        <v>41901</v>
      </c>
      <c r="I4289" s="1">
        <v>41914</v>
      </c>
      <c r="J4289" s="1">
        <v>41914</v>
      </c>
      <c r="K4289" s="1">
        <v>42004</v>
      </c>
      <c r="N4289" s="5"/>
      <c r="O4289">
        <v>305</v>
      </c>
      <c r="P4289">
        <v>246</v>
      </c>
      <c r="Q4289" s="2">
        <v>75030</v>
      </c>
      <c r="R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 s="1">
        <v>42382</v>
      </c>
      <c r="AC4289" t="s">
        <v>53</v>
      </c>
      <c r="AD4289" t="s">
        <v>53</v>
      </c>
      <c r="AK4289">
        <v>0</v>
      </c>
      <c r="AU4289" s="6">
        <v>42250</v>
      </c>
      <c r="AV4289" s="6">
        <v>42250</v>
      </c>
      <c r="AW4289" t="s">
        <v>54</v>
      </c>
      <c r="AX4289" t="str">
        <f t="shared" si="357"/>
        <v>FOR</v>
      </c>
      <c r="AY4289" t="s">
        <v>55</v>
      </c>
    </row>
    <row r="4290" spans="1:51" hidden="1">
      <c r="A4290">
        <v>101541</v>
      </c>
      <c r="B4290" t="s">
        <v>763</v>
      </c>
      <c r="C4290" t="str">
        <f t="shared" si="360"/>
        <v>08230471008</v>
      </c>
      <c r="D4290" t="str">
        <f t="shared" si="360"/>
        <v>08230471008</v>
      </c>
      <c r="E4290" t="s">
        <v>52</v>
      </c>
      <c r="F4290">
        <v>2014</v>
      </c>
      <c r="G4290">
        <v>13089</v>
      </c>
      <c r="H4290" s="1">
        <v>41901</v>
      </c>
      <c r="I4290" s="1">
        <v>41914</v>
      </c>
      <c r="J4290" s="1">
        <v>41914</v>
      </c>
      <c r="K4290" s="1">
        <v>42004</v>
      </c>
      <c r="N4290" s="5"/>
      <c r="O4290">
        <v>305</v>
      </c>
      <c r="P4290">
        <v>246</v>
      </c>
      <c r="Q4290" s="2">
        <v>75030</v>
      </c>
      <c r="R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 s="1">
        <v>42382</v>
      </c>
      <c r="AC4290" t="s">
        <v>53</v>
      </c>
      <c r="AD4290" t="s">
        <v>53</v>
      </c>
      <c r="AK4290">
        <v>0</v>
      </c>
      <c r="AU4290" s="6">
        <v>42250</v>
      </c>
      <c r="AV4290" s="6">
        <v>42250</v>
      </c>
      <c r="AW4290" t="s">
        <v>54</v>
      </c>
      <c r="AX4290" t="str">
        <f t="shared" si="357"/>
        <v>FOR</v>
      </c>
      <c r="AY4290" t="s">
        <v>55</v>
      </c>
    </row>
    <row r="4291" spans="1:51" hidden="1">
      <c r="A4291">
        <v>101541</v>
      </c>
      <c r="B4291" t="s">
        <v>763</v>
      </c>
      <c r="C4291" t="str">
        <f t="shared" si="360"/>
        <v>08230471008</v>
      </c>
      <c r="D4291" t="str">
        <f t="shared" si="360"/>
        <v>08230471008</v>
      </c>
      <c r="E4291" t="s">
        <v>52</v>
      </c>
      <c r="F4291">
        <v>2014</v>
      </c>
      <c r="G4291">
        <v>13090</v>
      </c>
      <c r="H4291" s="1">
        <v>41901</v>
      </c>
      <c r="I4291" s="1">
        <v>41914</v>
      </c>
      <c r="J4291" s="1">
        <v>41914</v>
      </c>
      <c r="K4291" s="1">
        <v>42004</v>
      </c>
      <c r="N4291" s="5"/>
      <c r="O4291">
        <v>305</v>
      </c>
      <c r="P4291">
        <v>246</v>
      </c>
      <c r="Q4291" s="2">
        <v>75030</v>
      </c>
      <c r="R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 s="1">
        <v>42382</v>
      </c>
      <c r="AC4291" t="s">
        <v>53</v>
      </c>
      <c r="AD4291" t="s">
        <v>53</v>
      </c>
      <c r="AK4291">
        <v>0</v>
      </c>
      <c r="AU4291" s="6">
        <v>42250</v>
      </c>
      <c r="AV4291" s="6">
        <v>42250</v>
      </c>
      <c r="AW4291" t="s">
        <v>54</v>
      </c>
      <c r="AX4291" t="str">
        <f t="shared" ref="AX4291:AX4354" si="361">"FOR"</f>
        <v>FOR</v>
      </c>
      <c r="AY4291" t="s">
        <v>55</v>
      </c>
    </row>
    <row r="4292" spans="1:51" hidden="1">
      <c r="A4292">
        <v>101541</v>
      </c>
      <c r="B4292" t="s">
        <v>763</v>
      </c>
      <c r="C4292" t="str">
        <f t="shared" si="360"/>
        <v>08230471008</v>
      </c>
      <c r="D4292" t="str">
        <f t="shared" si="360"/>
        <v>08230471008</v>
      </c>
      <c r="E4292" t="s">
        <v>52</v>
      </c>
      <c r="F4292">
        <v>2014</v>
      </c>
      <c r="G4292">
        <v>13091</v>
      </c>
      <c r="H4292" s="1">
        <v>41901</v>
      </c>
      <c r="I4292" s="1">
        <v>41914</v>
      </c>
      <c r="J4292" s="1">
        <v>41914</v>
      </c>
      <c r="K4292" s="1">
        <v>42004</v>
      </c>
      <c r="N4292" s="5"/>
      <c r="O4292">
        <v>305</v>
      </c>
      <c r="P4292">
        <v>246</v>
      </c>
      <c r="Q4292" s="2">
        <v>75030</v>
      </c>
      <c r="R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 s="1">
        <v>42382</v>
      </c>
      <c r="AC4292" t="s">
        <v>53</v>
      </c>
      <c r="AD4292" t="s">
        <v>53</v>
      </c>
      <c r="AK4292">
        <v>0</v>
      </c>
      <c r="AU4292" s="6">
        <v>42250</v>
      </c>
      <c r="AV4292" s="6">
        <v>42250</v>
      </c>
      <c r="AW4292" t="s">
        <v>54</v>
      </c>
      <c r="AX4292" t="str">
        <f t="shared" si="361"/>
        <v>FOR</v>
      </c>
      <c r="AY4292" t="s">
        <v>55</v>
      </c>
    </row>
    <row r="4293" spans="1:51" hidden="1">
      <c r="A4293">
        <v>101541</v>
      </c>
      <c r="B4293" t="s">
        <v>763</v>
      </c>
      <c r="C4293" t="str">
        <f t="shared" si="360"/>
        <v>08230471008</v>
      </c>
      <c r="D4293" t="str">
        <f t="shared" si="360"/>
        <v>08230471008</v>
      </c>
      <c r="E4293" t="s">
        <v>52</v>
      </c>
      <c r="F4293">
        <v>2014</v>
      </c>
      <c r="G4293">
        <v>13092</v>
      </c>
      <c r="H4293" s="1">
        <v>41901</v>
      </c>
      <c r="I4293" s="1">
        <v>41914</v>
      </c>
      <c r="J4293" s="1">
        <v>41914</v>
      </c>
      <c r="K4293" s="1">
        <v>42004</v>
      </c>
      <c r="N4293" s="5"/>
      <c r="O4293">
        <v>305</v>
      </c>
      <c r="P4293">
        <v>246</v>
      </c>
      <c r="Q4293" s="2">
        <v>75030</v>
      </c>
      <c r="R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 s="1">
        <v>42382</v>
      </c>
      <c r="AC4293" t="s">
        <v>53</v>
      </c>
      <c r="AD4293" t="s">
        <v>53</v>
      </c>
      <c r="AK4293">
        <v>0</v>
      </c>
      <c r="AU4293" s="6">
        <v>42250</v>
      </c>
      <c r="AV4293" s="6">
        <v>42250</v>
      </c>
      <c r="AW4293" t="s">
        <v>54</v>
      </c>
      <c r="AX4293" t="str">
        <f t="shared" si="361"/>
        <v>FOR</v>
      </c>
      <c r="AY4293" t="s">
        <v>55</v>
      </c>
    </row>
    <row r="4294" spans="1:51" hidden="1">
      <c r="A4294">
        <v>101541</v>
      </c>
      <c r="B4294" t="s">
        <v>763</v>
      </c>
      <c r="C4294" t="str">
        <f t="shared" si="360"/>
        <v>08230471008</v>
      </c>
      <c r="D4294" t="str">
        <f t="shared" si="360"/>
        <v>08230471008</v>
      </c>
      <c r="E4294" t="s">
        <v>52</v>
      </c>
      <c r="F4294">
        <v>2014</v>
      </c>
      <c r="G4294">
        <v>13093</v>
      </c>
      <c r="H4294" s="1">
        <v>41901</v>
      </c>
      <c r="I4294" s="1">
        <v>41914</v>
      </c>
      <c r="J4294" s="1">
        <v>41914</v>
      </c>
      <c r="K4294" s="1">
        <v>42004</v>
      </c>
      <c r="N4294" s="5"/>
      <c r="O4294">
        <v>305</v>
      </c>
      <c r="P4294">
        <v>246</v>
      </c>
      <c r="Q4294" s="2">
        <v>75030</v>
      </c>
      <c r="R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 s="1">
        <v>42382</v>
      </c>
      <c r="AC4294" t="s">
        <v>53</v>
      </c>
      <c r="AD4294" t="s">
        <v>53</v>
      </c>
      <c r="AK4294">
        <v>0</v>
      </c>
      <c r="AU4294" s="6">
        <v>42250</v>
      </c>
      <c r="AV4294" s="6">
        <v>42250</v>
      </c>
      <c r="AW4294" t="s">
        <v>54</v>
      </c>
      <c r="AX4294" t="str">
        <f t="shared" si="361"/>
        <v>FOR</v>
      </c>
      <c r="AY4294" t="s">
        <v>55</v>
      </c>
    </row>
    <row r="4295" spans="1:51" hidden="1">
      <c r="A4295">
        <v>101541</v>
      </c>
      <c r="B4295" t="s">
        <v>763</v>
      </c>
      <c r="C4295" t="str">
        <f t="shared" si="360"/>
        <v>08230471008</v>
      </c>
      <c r="D4295" t="str">
        <f t="shared" si="360"/>
        <v>08230471008</v>
      </c>
      <c r="E4295" t="s">
        <v>52</v>
      </c>
      <c r="F4295">
        <v>2014</v>
      </c>
      <c r="G4295">
        <v>13094</v>
      </c>
      <c r="H4295" s="1">
        <v>41901</v>
      </c>
      <c r="I4295" s="1">
        <v>41914</v>
      </c>
      <c r="J4295" s="1">
        <v>41914</v>
      </c>
      <c r="K4295" s="1">
        <v>42004</v>
      </c>
      <c r="N4295" s="5"/>
      <c r="O4295">
        <v>305</v>
      </c>
      <c r="P4295">
        <v>246</v>
      </c>
      <c r="Q4295" s="2">
        <v>75030</v>
      </c>
      <c r="R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 s="1">
        <v>42382</v>
      </c>
      <c r="AC4295" t="s">
        <v>53</v>
      </c>
      <c r="AD4295" t="s">
        <v>53</v>
      </c>
      <c r="AK4295">
        <v>0</v>
      </c>
      <c r="AU4295" s="6">
        <v>42250</v>
      </c>
      <c r="AV4295" s="6">
        <v>42250</v>
      </c>
      <c r="AW4295" t="s">
        <v>54</v>
      </c>
      <c r="AX4295" t="str">
        <f t="shared" si="361"/>
        <v>FOR</v>
      </c>
      <c r="AY4295" t="s">
        <v>55</v>
      </c>
    </row>
    <row r="4296" spans="1:51" hidden="1">
      <c r="A4296">
        <v>101541</v>
      </c>
      <c r="B4296" t="s">
        <v>763</v>
      </c>
      <c r="C4296" t="str">
        <f t="shared" si="360"/>
        <v>08230471008</v>
      </c>
      <c r="D4296" t="str">
        <f t="shared" si="360"/>
        <v>08230471008</v>
      </c>
      <c r="E4296" t="s">
        <v>52</v>
      </c>
      <c r="F4296">
        <v>2014</v>
      </c>
      <c r="G4296">
        <v>13095</v>
      </c>
      <c r="H4296" s="1">
        <v>41901</v>
      </c>
      <c r="I4296" s="1">
        <v>41914</v>
      </c>
      <c r="J4296" s="1">
        <v>41914</v>
      </c>
      <c r="K4296" s="1">
        <v>42004</v>
      </c>
      <c r="N4296" s="5"/>
      <c r="O4296">
        <v>305</v>
      </c>
      <c r="P4296">
        <v>246</v>
      </c>
      <c r="Q4296" s="2">
        <v>75030</v>
      </c>
      <c r="R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 s="1">
        <v>42382</v>
      </c>
      <c r="AC4296" t="s">
        <v>53</v>
      </c>
      <c r="AD4296" t="s">
        <v>53</v>
      </c>
      <c r="AK4296">
        <v>0</v>
      </c>
      <c r="AU4296" s="6">
        <v>42250</v>
      </c>
      <c r="AV4296" s="6">
        <v>42250</v>
      </c>
      <c r="AW4296" t="s">
        <v>54</v>
      </c>
      <c r="AX4296" t="str">
        <f t="shared" si="361"/>
        <v>FOR</v>
      </c>
      <c r="AY4296" t="s">
        <v>55</v>
      </c>
    </row>
    <row r="4297" spans="1:51" hidden="1">
      <c r="A4297">
        <v>101541</v>
      </c>
      <c r="B4297" t="s">
        <v>763</v>
      </c>
      <c r="C4297" t="str">
        <f t="shared" si="360"/>
        <v>08230471008</v>
      </c>
      <c r="D4297" t="str">
        <f t="shared" si="360"/>
        <v>08230471008</v>
      </c>
      <c r="E4297" t="s">
        <v>52</v>
      </c>
      <c r="F4297">
        <v>2014</v>
      </c>
      <c r="G4297">
        <v>13096</v>
      </c>
      <c r="H4297" s="1">
        <v>41901</v>
      </c>
      <c r="I4297" s="1">
        <v>41914</v>
      </c>
      <c r="J4297" s="1">
        <v>41914</v>
      </c>
      <c r="K4297" s="1">
        <v>42004</v>
      </c>
      <c r="N4297" s="5"/>
      <c r="O4297">
        <v>305</v>
      </c>
      <c r="P4297">
        <v>246</v>
      </c>
      <c r="Q4297" s="2">
        <v>75030</v>
      </c>
      <c r="R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 s="1">
        <v>42382</v>
      </c>
      <c r="AC4297" t="s">
        <v>53</v>
      </c>
      <c r="AD4297" t="s">
        <v>53</v>
      </c>
      <c r="AK4297">
        <v>0</v>
      </c>
      <c r="AU4297" s="6">
        <v>42250</v>
      </c>
      <c r="AV4297" s="6">
        <v>42250</v>
      </c>
      <c r="AW4297" t="s">
        <v>54</v>
      </c>
      <c r="AX4297" t="str">
        <f t="shared" si="361"/>
        <v>FOR</v>
      </c>
      <c r="AY4297" t="s">
        <v>55</v>
      </c>
    </row>
    <row r="4298" spans="1:51" hidden="1">
      <c r="A4298">
        <v>101541</v>
      </c>
      <c r="B4298" t="s">
        <v>763</v>
      </c>
      <c r="C4298" t="str">
        <f t="shared" si="360"/>
        <v>08230471008</v>
      </c>
      <c r="D4298" t="str">
        <f t="shared" si="360"/>
        <v>08230471008</v>
      </c>
      <c r="E4298" t="s">
        <v>52</v>
      </c>
      <c r="F4298">
        <v>2014</v>
      </c>
      <c r="G4298">
        <v>13097</v>
      </c>
      <c r="H4298" s="1">
        <v>41901</v>
      </c>
      <c r="I4298" s="1">
        <v>41914</v>
      </c>
      <c r="J4298" s="1">
        <v>41914</v>
      </c>
      <c r="K4298" s="1">
        <v>42004</v>
      </c>
      <c r="N4298" s="5"/>
      <c r="O4298">
        <v>305</v>
      </c>
      <c r="P4298">
        <v>246</v>
      </c>
      <c r="Q4298" s="2">
        <v>75030</v>
      </c>
      <c r="R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 s="1">
        <v>42382</v>
      </c>
      <c r="AC4298" t="s">
        <v>53</v>
      </c>
      <c r="AD4298" t="s">
        <v>53</v>
      </c>
      <c r="AK4298">
        <v>0</v>
      </c>
      <c r="AU4298" s="6">
        <v>42250</v>
      </c>
      <c r="AV4298" s="6">
        <v>42250</v>
      </c>
      <c r="AW4298" t="s">
        <v>54</v>
      </c>
      <c r="AX4298" t="str">
        <f t="shared" si="361"/>
        <v>FOR</v>
      </c>
      <c r="AY4298" t="s">
        <v>55</v>
      </c>
    </row>
    <row r="4299" spans="1:51" hidden="1">
      <c r="A4299">
        <v>101541</v>
      </c>
      <c r="B4299" t="s">
        <v>763</v>
      </c>
      <c r="C4299" t="str">
        <f t="shared" si="360"/>
        <v>08230471008</v>
      </c>
      <c r="D4299" t="str">
        <f t="shared" si="360"/>
        <v>08230471008</v>
      </c>
      <c r="E4299" t="s">
        <v>52</v>
      </c>
      <c r="F4299">
        <v>2014</v>
      </c>
      <c r="G4299">
        <v>13098</v>
      </c>
      <c r="H4299" s="1">
        <v>41901</v>
      </c>
      <c r="I4299" s="1">
        <v>41914</v>
      </c>
      <c r="J4299" s="1">
        <v>41914</v>
      </c>
      <c r="K4299" s="1">
        <v>42004</v>
      </c>
      <c r="N4299" s="5"/>
      <c r="O4299">
        <v>305</v>
      </c>
      <c r="P4299">
        <v>246</v>
      </c>
      <c r="Q4299" s="2">
        <v>75030</v>
      </c>
      <c r="R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 s="1">
        <v>42382</v>
      </c>
      <c r="AC4299" t="s">
        <v>53</v>
      </c>
      <c r="AD4299" t="s">
        <v>53</v>
      </c>
      <c r="AK4299">
        <v>0</v>
      </c>
      <c r="AU4299" s="6">
        <v>42250</v>
      </c>
      <c r="AV4299" s="6">
        <v>42250</v>
      </c>
      <c r="AW4299" t="s">
        <v>54</v>
      </c>
      <c r="AX4299" t="str">
        <f t="shared" si="361"/>
        <v>FOR</v>
      </c>
      <c r="AY4299" t="s">
        <v>55</v>
      </c>
    </row>
    <row r="4300" spans="1:51" hidden="1">
      <c r="A4300">
        <v>101541</v>
      </c>
      <c r="B4300" t="s">
        <v>763</v>
      </c>
      <c r="C4300" t="str">
        <f t="shared" si="360"/>
        <v>08230471008</v>
      </c>
      <c r="D4300" t="str">
        <f t="shared" si="360"/>
        <v>08230471008</v>
      </c>
      <c r="E4300" t="s">
        <v>52</v>
      </c>
      <c r="F4300">
        <v>2014</v>
      </c>
      <c r="G4300">
        <v>13099</v>
      </c>
      <c r="H4300" s="1">
        <v>41901</v>
      </c>
      <c r="I4300" s="1">
        <v>41914</v>
      </c>
      <c r="J4300" s="1">
        <v>41914</v>
      </c>
      <c r="K4300" s="1">
        <v>42004</v>
      </c>
      <c r="N4300" s="5"/>
      <c r="O4300">
        <v>305</v>
      </c>
      <c r="P4300">
        <v>246</v>
      </c>
      <c r="Q4300" s="2">
        <v>75030</v>
      </c>
      <c r="R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 s="1">
        <v>42382</v>
      </c>
      <c r="AC4300" t="s">
        <v>53</v>
      </c>
      <c r="AD4300" t="s">
        <v>53</v>
      </c>
      <c r="AK4300">
        <v>0</v>
      </c>
      <c r="AU4300" s="6">
        <v>42250</v>
      </c>
      <c r="AV4300" s="6">
        <v>42250</v>
      </c>
      <c r="AW4300" t="s">
        <v>54</v>
      </c>
      <c r="AX4300" t="str">
        <f t="shared" si="361"/>
        <v>FOR</v>
      </c>
      <c r="AY4300" t="s">
        <v>55</v>
      </c>
    </row>
    <row r="4301" spans="1:51" hidden="1">
      <c r="A4301">
        <v>101541</v>
      </c>
      <c r="B4301" t="s">
        <v>763</v>
      </c>
      <c r="C4301" t="str">
        <f t="shared" si="360"/>
        <v>08230471008</v>
      </c>
      <c r="D4301" t="str">
        <f t="shared" si="360"/>
        <v>08230471008</v>
      </c>
      <c r="E4301" t="s">
        <v>52</v>
      </c>
      <c r="F4301">
        <v>2014</v>
      </c>
      <c r="G4301">
        <v>13100</v>
      </c>
      <c r="H4301" s="1">
        <v>41901</v>
      </c>
      <c r="I4301" s="1">
        <v>41914</v>
      </c>
      <c r="J4301" s="1">
        <v>41914</v>
      </c>
      <c r="K4301" s="1">
        <v>42004</v>
      </c>
      <c r="N4301" s="5"/>
      <c r="O4301">
        <v>305</v>
      </c>
      <c r="P4301">
        <v>246</v>
      </c>
      <c r="Q4301" s="2">
        <v>75030</v>
      </c>
      <c r="R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 s="1">
        <v>42382</v>
      </c>
      <c r="AC4301" t="s">
        <v>53</v>
      </c>
      <c r="AD4301" t="s">
        <v>53</v>
      </c>
      <c r="AK4301">
        <v>0</v>
      </c>
      <c r="AU4301" s="6">
        <v>42250</v>
      </c>
      <c r="AV4301" s="6">
        <v>42250</v>
      </c>
      <c r="AW4301" t="s">
        <v>54</v>
      </c>
      <c r="AX4301" t="str">
        <f t="shared" si="361"/>
        <v>FOR</v>
      </c>
      <c r="AY4301" t="s">
        <v>55</v>
      </c>
    </row>
    <row r="4302" spans="1:51" hidden="1">
      <c r="A4302">
        <v>101541</v>
      </c>
      <c r="B4302" t="s">
        <v>763</v>
      </c>
      <c r="C4302" t="str">
        <f t="shared" si="360"/>
        <v>08230471008</v>
      </c>
      <c r="D4302" t="str">
        <f t="shared" si="360"/>
        <v>08230471008</v>
      </c>
      <c r="E4302" t="s">
        <v>52</v>
      </c>
      <c r="F4302">
        <v>2014</v>
      </c>
      <c r="G4302">
        <v>13101</v>
      </c>
      <c r="H4302" s="1">
        <v>41901</v>
      </c>
      <c r="I4302" s="1">
        <v>41914</v>
      </c>
      <c r="J4302" s="1">
        <v>41914</v>
      </c>
      <c r="K4302" s="1">
        <v>42004</v>
      </c>
      <c r="N4302" s="5"/>
      <c r="O4302">
        <v>305</v>
      </c>
      <c r="P4302">
        <v>246</v>
      </c>
      <c r="Q4302" s="2">
        <v>75030</v>
      </c>
      <c r="R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 s="1">
        <v>42382</v>
      </c>
      <c r="AC4302" t="s">
        <v>53</v>
      </c>
      <c r="AD4302" t="s">
        <v>53</v>
      </c>
      <c r="AK4302">
        <v>0</v>
      </c>
      <c r="AU4302" s="6">
        <v>42250</v>
      </c>
      <c r="AV4302" s="6">
        <v>42250</v>
      </c>
      <c r="AW4302" t="s">
        <v>54</v>
      </c>
      <c r="AX4302" t="str">
        <f t="shared" si="361"/>
        <v>FOR</v>
      </c>
      <c r="AY4302" t="s">
        <v>55</v>
      </c>
    </row>
    <row r="4303" spans="1:51" hidden="1">
      <c r="A4303">
        <v>101541</v>
      </c>
      <c r="B4303" t="s">
        <v>763</v>
      </c>
      <c r="C4303" t="str">
        <f t="shared" ref="C4303:D4322" si="362">"08230471008"</f>
        <v>08230471008</v>
      </c>
      <c r="D4303" t="str">
        <f t="shared" si="362"/>
        <v>08230471008</v>
      </c>
      <c r="E4303" t="s">
        <v>52</v>
      </c>
      <c r="F4303">
        <v>2014</v>
      </c>
      <c r="G4303">
        <v>13358</v>
      </c>
      <c r="H4303" s="1">
        <v>41908</v>
      </c>
      <c r="I4303" s="1">
        <v>41922</v>
      </c>
      <c r="J4303" s="1">
        <v>41922</v>
      </c>
      <c r="K4303" s="1">
        <v>42012</v>
      </c>
      <c r="N4303" s="5"/>
      <c r="O4303">
        <v>305</v>
      </c>
      <c r="P4303">
        <v>238</v>
      </c>
      <c r="Q4303" s="2">
        <v>72590</v>
      </c>
      <c r="R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 s="1">
        <v>42382</v>
      </c>
      <c r="AC4303" t="s">
        <v>53</v>
      </c>
      <c r="AD4303" t="s">
        <v>53</v>
      </c>
      <c r="AK4303">
        <v>0</v>
      </c>
      <c r="AU4303" s="6">
        <v>42250</v>
      </c>
      <c r="AV4303" s="6">
        <v>42250</v>
      </c>
      <c r="AW4303" t="s">
        <v>54</v>
      </c>
      <c r="AX4303" t="str">
        <f t="shared" si="361"/>
        <v>FOR</v>
      </c>
      <c r="AY4303" t="s">
        <v>55</v>
      </c>
    </row>
    <row r="4304" spans="1:51" hidden="1">
      <c r="A4304">
        <v>101541</v>
      </c>
      <c r="B4304" t="s">
        <v>763</v>
      </c>
      <c r="C4304" t="str">
        <f t="shared" si="362"/>
        <v>08230471008</v>
      </c>
      <c r="D4304" t="str">
        <f t="shared" si="362"/>
        <v>08230471008</v>
      </c>
      <c r="E4304" t="s">
        <v>52</v>
      </c>
      <c r="F4304">
        <v>2014</v>
      </c>
      <c r="G4304">
        <v>13359</v>
      </c>
      <c r="H4304" s="1">
        <v>41908</v>
      </c>
      <c r="I4304" s="1">
        <v>41922</v>
      </c>
      <c r="J4304" s="1">
        <v>41922</v>
      </c>
      <c r="K4304" s="1">
        <v>42012</v>
      </c>
      <c r="N4304" s="5"/>
      <c r="O4304">
        <v>305</v>
      </c>
      <c r="P4304">
        <v>238</v>
      </c>
      <c r="Q4304" s="2">
        <v>72590</v>
      </c>
      <c r="R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 s="1">
        <v>42382</v>
      </c>
      <c r="AC4304" t="s">
        <v>53</v>
      </c>
      <c r="AD4304" t="s">
        <v>53</v>
      </c>
      <c r="AK4304">
        <v>0</v>
      </c>
      <c r="AU4304" s="6">
        <v>42250</v>
      </c>
      <c r="AV4304" s="6">
        <v>42250</v>
      </c>
      <c r="AW4304" t="s">
        <v>54</v>
      </c>
      <c r="AX4304" t="str">
        <f t="shared" si="361"/>
        <v>FOR</v>
      </c>
      <c r="AY4304" t="s">
        <v>55</v>
      </c>
    </row>
    <row r="4305" spans="1:51" hidden="1">
      <c r="A4305">
        <v>101541</v>
      </c>
      <c r="B4305" t="s">
        <v>763</v>
      </c>
      <c r="C4305" t="str">
        <f t="shared" si="362"/>
        <v>08230471008</v>
      </c>
      <c r="D4305" t="str">
        <f t="shared" si="362"/>
        <v>08230471008</v>
      </c>
      <c r="E4305" t="s">
        <v>52</v>
      </c>
      <c r="F4305">
        <v>2014</v>
      </c>
      <c r="G4305">
        <v>13360</v>
      </c>
      <c r="H4305" s="1">
        <v>41908</v>
      </c>
      <c r="I4305" s="1">
        <v>41922</v>
      </c>
      <c r="J4305" s="1">
        <v>41922</v>
      </c>
      <c r="K4305" s="1">
        <v>42012</v>
      </c>
      <c r="N4305" s="5"/>
      <c r="O4305">
        <v>305</v>
      </c>
      <c r="P4305">
        <v>238</v>
      </c>
      <c r="Q4305" s="2">
        <v>72590</v>
      </c>
      <c r="R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 s="1">
        <v>42382</v>
      </c>
      <c r="AC4305" t="s">
        <v>53</v>
      </c>
      <c r="AD4305" t="s">
        <v>53</v>
      </c>
      <c r="AK4305">
        <v>0</v>
      </c>
      <c r="AU4305" s="6">
        <v>42250</v>
      </c>
      <c r="AV4305" s="6">
        <v>42250</v>
      </c>
      <c r="AW4305" t="s">
        <v>54</v>
      </c>
      <c r="AX4305" t="str">
        <f t="shared" si="361"/>
        <v>FOR</v>
      </c>
      <c r="AY4305" t="s">
        <v>55</v>
      </c>
    </row>
    <row r="4306" spans="1:51" hidden="1">
      <c r="A4306">
        <v>101541</v>
      </c>
      <c r="B4306" t="s">
        <v>763</v>
      </c>
      <c r="C4306" t="str">
        <f t="shared" si="362"/>
        <v>08230471008</v>
      </c>
      <c r="D4306" t="str">
        <f t="shared" si="362"/>
        <v>08230471008</v>
      </c>
      <c r="E4306" t="s">
        <v>52</v>
      </c>
      <c r="F4306">
        <v>2014</v>
      </c>
      <c r="G4306">
        <v>13361</v>
      </c>
      <c r="H4306" s="1">
        <v>41908</v>
      </c>
      <c r="I4306" s="1">
        <v>41922</v>
      </c>
      <c r="J4306" s="1">
        <v>41922</v>
      </c>
      <c r="K4306" s="1">
        <v>42012</v>
      </c>
      <c r="N4306" s="5"/>
      <c r="O4306">
        <v>793</v>
      </c>
      <c r="P4306">
        <v>238</v>
      </c>
      <c r="Q4306" s="2">
        <v>188734</v>
      </c>
      <c r="R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 s="1">
        <v>42382</v>
      </c>
      <c r="AC4306" t="s">
        <v>53</v>
      </c>
      <c r="AD4306" t="s">
        <v>53</v>
      </c>
      <c r="AK4306">
        <v>0</v>
      </c>
      <c r="AU4306" s="6">
        <v>42250</v>
      </c>
      <c r="AV4306" s="6">
        <v>42250</v>
      </c>
      <c r="AW4306" t="s">
        <v>54</v>
      </c>
      <c r="AX4306" t="str">
        <f t="shared" si="361"/>
        <v>FOR</v>
      </c>
      <c r="AY4306" t="s">
        <v>55</v>
      </c>
    </row>
    <row r="4307" spans="1:51" hidden="1">
      <c r="A4307">
        <v>101541</v>
      </c>
      <c r="B4307" t="s">
        <v>763</v>
      </c>
      <c r="C4307" t="str">
        <f t="shared" si="362"/>
        <v>08230471008</v>
      </c>
      <c r="D4307" t="str">
        <f t="shared" si="362"/>
        <v>08230471008</v>
      </c>
      <c r="E4307" t="s">
        <v>52</v>
      </c>
      <c r="F4307">
        <v>2014</v>
      </c>
      <c r="G4307">
        <v>13362</v>
      </c>
      <c r="H4307" s="1">
        <v>41908</v>
      </c>
      <c r="I4307" s="1">
        <v>41922</v>
      </c>
      <c r="J4307" s="1">
        <v>41922</v>
      </c>
      <c r="K4307" s="1">
        <v>42012</v>
      </c>
      <c r="N4307" s="5"/>
      <c r="O4307" s="2">
        <v>9880</v>
      </c>
      <c r="P4307">
        <v>238</v>
      </c>
      <c r="Q4307" s="2">
        <v>2351440</v>
      </c>
      <c r="R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 s="1">
        <v>42382</v>
      </c>
      <c r="AC4307" t="s">
        <v>53</v>
      </c>
      <c r="AD4307" t="s">
        <v>53</v>
      </c>
      <c r="AK4307">
        <v>0</v>
      </c>
      <c r="AU4307" s="6">
        <v>42250</v>
      </c>
      <c r="AV4307" s="6">
        <v>42250</v>
      </c>
      <c r="AW4307" t="s">
        <v>54</v>
      </c>
      <c r="AX4307" t="str">
        <f t="shared" si="361"/>
        <v>FOR</v>
      </c>
      <c r="AY4307" t="s">
        <v>55</v>
      </c>
    </row>
    <row r="4308" spans="1:51" hidden="1">
      <c r="A4308">
        <v>101541</v>
      </c>
      <c r="B4308" t="s">
        <v>763</v>
      </c>
      <c r="C4308" t="str">
        <f t="shared" si="362"/>
        <v>08230471008</v>
      </c>
      <c r="D4308" t="str">
        <f t="shared" si="362"/>
        <v>08230471008</v>
      </c>
      <c r="E4308" t="s">
        <v>52</v>
      </c>
      <c r="F4308">
        <v>2014</v>
      </c>
      <c r="G4308">
        <v>13363</v>
      </c>
      <c r="H4308" s="1">
        <v>41908</v>
      </c>
      <c r="I4308" s="1">
        <v>41922</v>
      </c>
      <c r="J4308" s="1">
        <v>41922</v>
      </c>
      <c r="K4308" s="1">
        <v>42012</v>
      </c>
      <c r="N4308" s="5"/>
      <c r="O4308" s="2">
        <v>3965</v>
      </c>
      <c r="P4308">
        <v>238</v>
      </c>
      <c r="Q4308" s="2">
        <v>943670</v>
      </c>
      <c r="R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 s="1">
        <v>42382</v>
      </c>
      <c r="AC4308" t="s">
        <v>53</v>
      </c>
      <c r="AD4308" t="s">
        <v>53</v>
      </c>
      <c r="AK4308">
        <v>0</v>
      </c>
      <c r="AU4308" s="6">
        <v>42250</v>
      </c>
      <c r="AV4308" s="6">
        <v>42250</v>
      </c>
      <c r="AW4308" t="s">
        <v>54</v>
      </c>
      <c r="AX4308" t="str">
        <f t="shared" si="361"/>
        <v>FOR</v>
      </c>
      <c r="AY4308" t="s">
        <v>55</v>
      </c>
    </row>
    <row r="4309" spans="1:51" hidden="1">
      <c r="A4309">
        <v>101541</v>
      </c>
      <c r="B4309" t="s">
        <v>763</v>
      </c>
      <c r="C4309" t="str">
        <f t="shared" si="362"/>
        <v>08230471008</v>
      </c>
      <c r="D4309" t="str">
        <f t="shared" si="362"/>
        <v>08230471008</v>
      </c>
      <c r="E4309" t="s">
        <v>52</v>
      </c>
      <c r="F4309">
        <v>2014</v>
      </c>
      <c r="G4309">
        <v>13364</v>
      </c>
      <c r="H4309" s="1">
        <v>41908</v>
      </c>
      <c r="I4309" s="1">
        <v>41922</v>
      </c>
      <c r="J4309" s="1">
        <v>41922</v>
      </c>
      <c r="K4309" s="1">
        <v>42012</v>
      </c>
      <c r="N4309" s="5"/>
      <c r="O4309" s="2">
        <v>3507.5</v>
      </c>
      <c r="P4309">
        <v>238</v>
      </c>
      <c r="Q4309" s="2">
        <v>834785</v>
      </c>
      <c r="R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 s="1">
        <v>42382</v>
      </c>
      <c r="AC4309" t="s">
        <v>53</v>
      </c>
      <c r="AD4309" t="s">
        <v>53</v>
      </c>
      <c r="AK4309">
        <v>0</v>
      </c>
      <c r="AU4309" s="6">
        <v>42250</v>
      </c>
      <c r="AV4309" s="6">
        <v>42250</v>
      </c>
      <c r="AW4309" t="s">
        <v>54</v>
      </c>
      <c r="AX4309" t="str">
        <f t="shared" si="361"/>
        <v>FOR</v>
      </c>
      <c r="AY4309" t="s">
        <v>55</v>
      </c>
    </row>
    <row r="4310" spans="1:51" hidden="1">
      <c r="A4310">
        <v>101541</v>
      </c>
      <c r="B4310" t="s">
        <v>763</v>
      </c>
      <c r="C4310" t="str">
        <f t="shared" si="362"/>
        <v>08230471008</v>
      </c>
      <c r="D4310" t="str">
        <f t="shared" si="362"/>
        <v>08230471008</v>
      </c>
      <c r="E4310" t="s">
        <v>52</v>
      </c>
      <c r="F4310">
        <v>2014</v>
      </c>
      <c r="G4310">
        <v>13754</v>
      </c>
      <c r="H4310" s="1">
        <v>41912</v>
      </c>
      <c r="I4310" s="1">
        <v>41921</v>
      </c>
      <c r="J4310" s="1">
        <v>41921</v>
      </c>
      <c r="K4310" s="1">
        <v>42011</v>
      </c>
      <c r="N4310" s="5"/>
      <c r="O4310" s="2">
        <v>3904</v>
      </c>
      <c r="P4310">
        <v>239</v>
      </c>
      <c r="Q4310" s="2">
        <v>933056</v>
      </c>
      <c r="R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 s="1">
        <v>42382</v>
      </c>
      <c r="AC4310" t="s">
        <v>53</v>
      </c>
      <c r="AD4310" t="s">
        <v>53</v>
      </c>
      <c r="AK4310">
        <v>0</v>
      </c>
      <c r="AU4310" s="6">
        <v>42250</v>
      </c>
      <c r="AV4310" s="6">
        <v>42250</v>
      </c>
      <c r="AW4310" t="s">
        <v>54</v>
      </c>
      <c r="AX4310" t="str">
        <f t="shared" si="361"/>
        <v>FOR</v>
      </c>
      <c r="AY4310" t="s">
        <v>55</v>
      </c>
    </row>
    <row r="4311" spans="1:51">
      <c r="A4311">
        <v>101541</v>
      </c>
      <c r="B4311" t="s">
        <v>763</v>
      </c>
      <c r="C4311" t="str">
        <f t="shared" si="362"/>
        <v>08230471008</v>
      </c>
      <c r="D4311" t="str">
        <f t="shared" si="362"/>
        <v>08230471008</v>
      </c>
      <c r="E4311" t="s">
        <v>52</v>
      </c>
      <c r="F4311">
        <v>2014</v>
      </c>
      <c r="G4311">
        <v>14187</v>
      </c>
      <c r="H4311" s="1">
        <v>41922</v>
      </c>
      <c r="I4311" s="1">
        <v>41932</v>
      </c>
      <c r="J4311" s="1">
        <v>41932</v>
      </c>
      <c r="K4311" s="1">
        <v>41992</v>
      </c>
      <c r="L4311" s="7">
        <v>6100</v>
      </c>
      <c r="M4311" s="5">
        <v>286</v>
      </c>
      <c r="N4311" s="7">
        <v>1744600</v>
      </c>
      <c r="O4311" s="2">
        <v>6100</v>
      </c>
      <c r="P4311">
        <v>286</v>
      </c>
      <c r="Q4311" s="2">
        <v>1744600</v>
      </c>
      <c r="R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 s="1">
        <v>42382</v>
      </c>
      <c r="AC4311" t="s">
        <v>53</v>
      </c>
      <c r="AD4311" t="s">
        <v>53</v>
      </c>
      <c r="AK4311">
        <v>0</v>
      </c>
      <c r="AU4311" s="6">
        <v>42278</v>
      </c>
      <c r="AV4311" s="6">
        <v>42278</v>
      </c>
      <c r="AW4311" t="s">
        <v>54</v>
      </c>
      <c r="AX4311" t="str">
        <f t="shared" si="361"/>
        <v>FOR</v>
      </c>
      <c r="AY4311" t="s">
        <v>55</v>
      </c>
    </row>
    <row r="4312" spans="1:51">
      <c r="A4312">
        <v>101541</v>
      </c>
      <c r="B4312" t="s">
        <v>763</v>
      </c>
      <c r="C4312" t="str">
        <f t="shared" si="362"/>
        <v>08230471008</v>
      </c>
      <c r="D4312" t="str">
        <f t="shared" si="362"/>
        <v>08230471008</v>
      </c>
      <c r="E4312" t="s">
        <v>52</v>
      </c>
      <c r="F4312">
        <v>2014</v>
      </c>
      <c r="G4312">
        <v>14433</v>
      </c>
      <c r="H4312" s="1">
        <v>41929</v>
      </c>
      <c r="I4312" s="1">
        <v>41941</v>
      </c>
      <c r="J4312" s="1">
        <v>41941</v>
      </c>
      <c r="K4312" s="1">
        <v>42001</v>
      </c>
      <c r="L4312" s="7">
        <v>305</v>
      </c>
      <c r="M4312" s="5">
        <v>277</v>
      </c>
      <c r="N4312" s="7">
        <v>84485</v>
      </c>
      <c r="O4312">
        <v>305</v>
      </c>
      <c r="P4312">
        <v>277</v>
      </c>
      <c r="Q4312" s="2">
        <v>84485</v>
      </c>
      <c r="R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 s="1">
        <v>42382</v>
      </c>
      <c r="AC4312" t="s">
        <v>53</v>
      </c>
      <c r="AD4312" t="s">
        <v>53</v>
      </c>
      <c r="AK4312">
        <v>0</v>
      </c>
      <c r="AU4312" s="6">
        <v>42278</v>
      </c>
      <c r="AV4312" s="6">
        <v>42278</v>
      </c>
      <c r="AW4312" t="s">
        <v>54</v>
      </c>
      <c r="AX4312" t="str">
        <f t="shared" si="361"/>
        <v>FOR</v>
      </c>
      <c r="AY4312" t="s">
        <v>55</v>
      </c>
    </row>
    <row r="4313" spans="1:51">
      <c r="A4313">
        <v>101541</v>
      </c>
      <c r="B4313" t="s">
        <v>763</v>
      </c>
      <c r="C4313" t="str">
        <f t="shared" si="362"/>
        <v>08230471008</v>
      </c>
      <c r="D4313" t="str">
        <f t="shared" si="362"/>
        <v>08230471008</v>
      </c>
      <c r="E4313" t="s">
        <v>52</v>
      </c>
      <c r="F4313">
        <v>2014</v>
      </c>
      <c r="G4313">
        <v>14434</v>
      </c>
      <c r="H4313" s="1">
        <v>41929</v>
      </c>
      <c r="I4313" s="1">
        <v>41941</v>
      </c>
      <c r="J4313" s="1">
        <v>41941</v>
      </c>
      <c r="K4313" s="1">
        <v>42001</v>
      </c>
      <c r="L4313" s="7">
        <v>305</v>
      </c>
      <c r="M4313" s="5">
        <v>277</v>
      </c>
      <c r="N4313" s="7">
        <v>84485</v>
      </c>
      <c r="O4313">
        <v>305</v>
      </c>
      <c r="P4313">
        <v>277</v>
      </c>
      <c r="Q4313" s="2">
        <v>84485</v>
      </c>
      <c r="R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 s="1">
        <v>42382</v>
      </c>
      <c r="AC4313" t="s">
        <v>53</v>
      </c>
      <c r="AD4313" t="s">
        <v>53</v>
      </c>
      <c r="AK4313">
        <v>0</v>
      </c>
      <c r="AU4313" s="6">
        <v>42278</v>
      </c>
      <c r="AV4313" s="6">
        <v>42278</v>
      </c>
      <c r="AW4313" t="s">
        <v>54</v>
      </c>
      <c r="AX4313" t="str">
        <f t="shared" si="361"/>
        <v>FOR</v>
      </c>
      <c r="AY4313" t="s">
        <v>55</v>
      </c>
    </row>
    <row r="4314" spans="1:51">
      <c r="A4314">
        <v>101541</v>
      </c>
      <c r="B4314" t="s">
        <v>763</v>
      </c>
      <c r="C4314" t="str">
        <f t="shared" si="362"/>
        <v>08230471008</v>
      </c>
      <c r="D4314" t="str">
        <f t="shared" si="362"/>
        <v>08230471008</v>
      </c>
      <c r="E4314" t="s">
        <v>52</v>
      </c>
      <c r="F4314">
        <v>2014</v>
      </c>
      <c r="G4314">
        <v>14435</v>
      </c>
      <c r="H4314" s="1">
        <v>41929</v>
      </c>
      <c r="I4314" s="1">
        <v>41941</v>
      </c>
      <c r="J4314" s="1">
        <v>41941</v>
      </c>
      <c r="K4314" s="1">
        <v>42001</v>
      </c>
      <c r="L4314" s="7">
        <v>728</v>
      </c>
      <c r="M4314" s="5">
        <v>277</v>
      </c>
      <c r="N4314" s="7">
        <v>201656</v>
      </c>
      <c r="O4314">
        <v>728</v>
      </c>
      <c r="P4314">
        <v>277</v>
      </c>
      <c r="Q4314" s="2">
        <v>201656</v>
      </c>
      <c r="R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 s="1">
        <v>42382</v>
      </c>
      <c r="AC4314" t="s">
        <v>53</v>
      </c>
      <c r="AD4314" t="s">
        <v>53</v>
      </c>
      <c r="AK4314">
        <v>0</v>
      </c>
      <c r="AU4314" s="6">
        <v>42278</v>
      </c>
      <c r="AV4314" s="6">
        <v>42278</v>
      </c>
      <c r="AW4314" t="s">
        <v>54</v>
      </c>
      <c r="AX4314" t="str">
        <f t="shared" si="361"/>
        <v>FOR</v>
      </c>
      <c r="AY4314" t="s">
        <v>55</v>
      </c>
    </row>
    <row r="4315" spans="1:51">
      <c r="A4315">
        <v>101541</v>
      </c>
      <c r="B4315" t="s">
        <v>763</v>
      </c>
      <c r="C4315" t="str">
        <f t="shared" si="362"/>
        <v>08230471008</v>
      </c>
      <c r="D4315" t="str">
        <f t="shared" si="362"/>
        <v>08230471008</v>
      </c>
      <c r="E4315" t="s">
        <v>52</v>
      </c>
      <c r="F4315">
        <v>2014</v>
      </c>
      <c r="G4315">
        <v>14436</v>
      </c>
      <c r="H4315" s="1">
        <v>41929</v>
      </c>
      <c r="I4315" s="1">
        <v>41941</v>
      </c>
      <c r="J4315" s="1">
        <v>41941</v>
      </c>
      <c r="K4315" s="1">
        <v>42001</v>
      </c>
      <c r="L4315" s="7">
        <v>728</v>
      </c>
      <c r="M4315" s="5">
        <v>277</v>
      </c>
      <c r="N4315" s="7">
        <v>201656</v>
      </c>
      <c r="O4315">
        <v>728</v>
      </c>
      <c r="P4315">
        <v>277</v>
      </c>
      <c r="Q4315" s="2">
        <v>201656</v>
      </c>
      <c r="R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 s="1">
        <v>42382</v>
      </c>
      <c r="AC4315" t="s">
        <v>53</v>
      </c>
      <c r="AD4315" t="s">
        <v>53</v>
      </c>
      <c r="AK4315">
        <v>0</v>
      </c>
      <c r="AU4315" s="6">
        <v>42278</v>
      </c>
      <c r="AV4315" s="6">
        <v>42278</v>
      </c>
      <c r="AW4315" t="s">
        <v>54</v>
      </c>
      <c r="AX4315" t="str">
        <f t="shared" si="361"/>
        <v>FOR</v>
      </c>
      <c r="AY4315" t="s">
        <v>55</v>
      </c>
    </row>
    <row r="4316" spans="1:51">
      <c r="A4316">
        <v>101541</v>
      </c>
      <c r="B4316" t="s">
        <v>763</v>
      </c>
      <c r="C4316" t="str">
        <f t="shared" si="362"/>
        <v>08230471008</v>
      </c>
      <c r="D4316" t="str">
        <f t="shared" si="362"/>
        <v>08230471008</v>
      </c>
      <c r="E4316" t="s">
        <v>52</v>
      </c>
      <c r="F4316">
        <v>2014</v>
      </c>
      <c r="G4316">
        <v>14437</v>
      </c>
      <c r="H4316" s="1">
        <v>41929</v>
      </c>
      <c r="I4316" s="1">
        <v>41941</v>
      </c>
      <c r="J4316" s="1">
        <v>41941</v>
      </c>
      <c r="K4316" s="1">
        <v>42001</v>
      </c>
      <c r="L4316" s="7">
        <v>305</v>
      </c>
      <c r="M4316" s="5">
        <v>277</v>
      </c>
      <c r="N4316" s="7">
        <v>84485</v>
      </c>
      <c r="O4316">
        <v>305</v>
      </c>
      <c r="P4316">
        <v>277</v>
      </c>
      <c r="Q4316" s="2">
        <v>84485</v>
      </c>
      <c r="R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 s="1">
        <v>42382</v>
      </c>
      <c r="AC4316" t="s">
        <v>53</v>
      </c>
      <c r="AD4316" t="s">
        <v>53</v>
      </c>
      <c r="AK4316">
        <v>0</v>
      </c>
      <c r="AU4316" s="6">
        <v>42278</v>
      </c>
      <c r="AV4316" s="6">
        <v>42278</v>
      </c>
      <c r="AW4316" t="s">
        <v>54</v>
      </c>
      <c r="AX4316" t="str">
        <f t="shared" si="361"/>
        <v>FOR</v>
      </c>
      <c r="AY4316" t="s">
        <v>55</v>
      </c>
    </row>
    <row r="4317" spans="1:51">
      <c r="A4317">
        <v>101541</v>
      </c>
      <c r="B4317" t="s">
        <v>763</v>
      </c>
      <c r="C4317" t="str">
        <f t="shared" si="362"/>
        <v>08230471008</v>
      </c>
      <c r="D4317" t="str">
        <f t="shared" si="362"/>
        <v>08230471008</v>
      </c>
      <c r="E4317" t="s">
        <v>52</v>
      </c>
      <c r="F4317">
        <v>2014</v>
      </c>
      <c r="G4317">
        <v>14438</v>
      </c>
      <c r="H4317" s="1">
        <v>41929</v>
      </c>
      <c r="I4317" s="1">
        <v>41941</v>
      </c>
      <c r="J4317" s="1">
        <v>41941</v>
      </c>
      <c r="K4317" s="1">
        <v>42001</v>
      </c>
      <c r="L4317" s="7">
        <v>305</v>
      </c>
      <c r="M4317" s="5">
        <v>277</v>
      </c>
      <c r="N4317" s="7">
        <v>84485</v>
      </c>
      <c r="O4317">
        <v>305</v>
      </c>
      <c r="P4317">
        <v>277</v>
      </c>
      <c r="Q4317" s="2">
        <v>84485</v>
      </c>
      <c r="R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 s="1">
        <v>42382</v>
      </c>
      <c r="AC4317" t="s">
        <v>53</v>
      </c>
      <c r="AD4317" t="s">
        <v>53</v>
      </c>
      <c r="AK4317">
        <v>0</v>
      </c>
      <c r="AU4317" s="6">
        <v>42278</v>
      </c>
      <c r="AV4317" s="6">
        <v>42278</v>
      </c>
      <c r="AW4317" t="s">
        <v>54</v>
      </c>
      <c r="AX4317" t="str">
        <f t="shared" si="361"/>
        <v>FOR</v>
      </c>
      <c r="AY4317" t="s">
        <v>55</v>
      </c>
    </row>
    <row r="4318" spans="1:51">
      <c r="A4318">
        <v>101541</v>
      </c>
      <c r="B4318" t="s">
        <v>763</v>
      </c>
      <c r="C4318" t="str">
        <f t="shared" si="362"/>
        <v>08230471008</v>
      </c>
      <c r="D4318" t="str">
        <f t="shared" si="362"/>
        <v>08230471008</v>
      </c>
      <c r="E4318" t="s">
        <v>52</v>
      </c>
      <c r="F4318">
        <v>2014</v>
      </c>
      <c r="G4318">
        <v>14439</v>
      </c>
      <c r="H4318" s="1">
        <v>41929</v>
      </c>
      <c r="I4318" s="1">
        <v>41941</v>
      </c>
      <c r="J4318" s="1">
        <v>41941</v>
      </c>
      <c r="K4318" s="1">
        <v>42001</v>
      </c>
      <c r="L4318" s="7">
        <v>305</v>
      </c>
      <c r="M4318" s="5">
        <v>277</v>
      </c>
      <c r="N4318" s="7">
        <v>84485</v>
      </c>
      <c r="O4318">
        <v>305</v>
      </c>
      <c r="P4318">
        <v>277</v>
      </c>
      <c r="Q4318" s="2">
        <v>84485</v>
      </c>
      <c r="R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 s="1">
        <v>42382</v>
      </c>
      <c r="AC4318" t="s">
        <v>53</v>
      </c>
      <c r="AD4318" t="s">
        <v>53</v>
      </c>
      <c r="AK4318">
        <v>0</v>
      </c>
      <c r="AU4318" s="6">
        <v>42278</v>
      </c>
      <c r="AV4318" s="6">
        <v>42278</v>
      </c>
      <c r="AW4318" t="s">
        <v>54</v>
      </c>
      <c r="AX4318" t="str">
        <f t="shared" si="361"/>
        <v>FOR</v>
      </c>
      <c r="AY4318" t="s">
        <v>55</v>
      </c>
    </row>
    <row r="4319" spans="1:51">
      <c r="A4319">
        <v>101541</v>
      </c>
      <c r="B4319" t="s">
        <v>763</v>
      </c>
      <c r="C4319" t="str">
        <f t="shared" si="362"/>
        <v>08230471008</v>
      </c>
      <c r="D4319" t="str">
        <f t="shared" si="362"/>
        <v>08230471008</v>
      </c>
      <c r="E4319" t="s">
        <v>52</v>
      </c>
      <c r="F4319">
        <v>2014</v>
      </c>
      <c r="G4319">
        <v>14440</v>
      </c>
      <c r="H4319" s="1">
        <v>41929</v>
      </c>
      <c r="I4319" s="1">
        <v>41941</v>
      </c>
      <c r="J4319" s="1">
        <v>41941</v>
      </c>
      <c r="K4319" s="1">
        <v>42001</v>
      </c>
      <c r="L4319" s="7">
        <v>305</v>
      </c>
      <c r="M4319" s="5">
        <v>277</v>
      </c>
      <c r="N4319" s="7">
        <v>84485</v>
      </c>
      <c r="O4319">
        <v>305</v>
      </c>
      <c r="P4319">
        <v>277</v>
      </c>
      <c r="Q4319" s="2">
        <v>84485</v>
      </c>
      <c r="R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 s="1">
        <v>42382</v>
      </c>
      <c r="AC4319" t="s">
        <v>53</v>
      </c>
      <c r="AD4319" t="s">
        <v>53</v>
      </c>
      <c r="AK4319">
        <v>0</v>
      </c>
      <c r="AU4319" s="6">
        <v>42278</v>
      </c>
      <c r="AV4319" s="6">
        <v>42278</v>
      </c>
      <c r="AW4319" t="s">
        <v>54</v>
      </c>
      <c r="AX4319" t="str">
        <f t="shared" si="361"/>
        <v>FOR</v>
      </c>
      <c r="AY4319" t="s">
        <v>55</v>
      </c>
    </row>
    <row r="4320" spans="1:51">
      <c r="A4320">
        <v>101541</v>
      </c>
      <c r="B4320" t="s">
        <v>763</v>
      </c>
      <c r="C4320" t="str">
        <f t="shared" si="362"/>
        <v>08230471008</v>
      </c>
      <c r="D4320" t="str">
        <f t="shared" si="362"/>
        <v>08230471008</v>
      </c>
      <c r="E4320" t="s">
        <v>52</v>
      </c>
      <c r="F4320">
        <v>2014</v>
      </c>
      <c r="G4320">
        <v>14441</v>
      </c>
      <c r="H4320" s="1">
        <v>41929</v>
      </c>
      <c r="I4320" s="1">
        <v>41941</v>
      </c>
      <c r="J4320" s="1">
        <v>41941</v>
      </c>
      <c r="K4320" s="1">
        <v>42001</v>
      </c>
      <c r="L4320" s="7">
        <v>728</v>
      </c>
      <c r="M4320" s="5">
        <v>277</v>
      </c>
      <c r="N4320" s="7">
        <v>201656</v>
      </c>
      <c r="O4320">
        <v>728</v>
      </c>
      <c r="P4320">
        <v>277</v>
      </c>
      <c r="Q4320" s="2">
        <v>201656</v>
      </c>
      <c r="R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 s="1">
        <v>42382</v>
      </c>
      <c r="AC4320" t="s">
        <v>53</v>
      </c>
      <c r="AD4320" t="s">
        <v>53</v>
      </c>
      <c r="AK4320">
        <v>0</v>
      </c>
      <c r="AU4320" s="6">
        <v>42278</v>
      </c>
      <c r="AV4320" s="6">
        <v>42278</v>
      </c>
      <c r="AW4320" t="s">
        <v>54</v>
      </c>
      <c r="AX4320" t="str">
        <f t="shared" si="361"/>
        <v>FOR</v>
      </c>
      <c r="AY4320" t="s">
        <v>55</v>
      </c>
    </row>
    <row r="4321" spans="1:51">
      <c r="A4321">
        <v>101541</v>
      </c>
      <c r="B4321" t="s">
        <v>763</v>
      </c>
      <c r="C4321" t="str">
        <f t="shared" si="362"/>
        <v>08230471008</v>
      </c>
      <c r="D4321" t="str">
        <f t="shared" si="362"/>
        <v>08230471008</v>
      </c>
      <c r="E4321" t="s">
        <v>52</v>
      </c>
      <c r="F4321">
        <v>2014</v>
      </c>
      <c r="G4321">
        <v>14442</v>
      </c>
      <c r="H4321" s="1">
        <v>41929</v>
      </c>
      <c r="I4321" s="1">
        <v>41941</v>
      </c>
      <c r="J4321" s="1">
        <v>41941</v>
      </c>
      <c r="K4321" s="1">
        <v>42001</v>
      </c>
      <c r="L4321" s="7">
        <v>305</v>
      </c>
      <c r="M4321" s="5">
        <v>277</v>
      </c>
      <c r="N4321" s="7">
        <v>84485</v>
      </c>
      <c r="O4321">
        <v>305</v>
      </c>
      <c r="P4321">
        <v>277</v>
      </c>
      <c r="Q4321" s="2">
        <v>84485</v>
      </c>
      <c r="R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 s="1">
        <v>42382</v>
      </c>
      <c r="AC4321" t="s">
        <v>53</v>
      </c>
      <c r="AD4321" t="s">
        <v>53</v>
      </c>
      <c r="AK4321">
        <v>0</v>
      </c>
      <c r="AU4321" s="6">
        <v>42278</v>
      </c>
      <c r="AV4321" s="6">
        <v>42278</v>
      </c>
      <c r="AW4321" t="s">
        <v>54</v>
      </c>
      <c r="AX4321" t="str">
        <f t="shared" si="361"/>
        <v>FOR</v>
      </c>
      <c r="AY4321" t="s">
        <v>55</v>
      </c>
    </row>
    <row r="4322" spans="1:51">
      <c r="A4322">
        <v>101541</v>
      </c>
      <c r="B4322" t="s">
        <v>763</v>
      </c>
      <c r="C4322" t="str">
        <f t="shared" si="362"/>
        <v>08230471008</v>
      </c>
      <c r="D4322" t="str">
        <f t="shared" si="362"/>
        <v>08230471008</v>
      </c>
      <c r="E4322" t="s">
        <v>52</v>
      </c>
      <c r="F4322">
        <v>2014</v>
      </c>
      <c r="G4322">
        <v>14443</v>
      </c>
      <c r="H4322" s="1">
        <v>41929</v>
      </c>
      <c r="I4322" s="1">
        <v>41941</v>
      </c>
      <c r="J4322" s="1">
        <v>41941</v>
      </c>
      <c r="K4322" s="1">
        <v>42001</v>
      </c>
      <c r="L4322" s="7">
        <v>305</v>
      </c>
      <c r="M4322" s="5">
        <v>277</v>
      </c>
      <c r="N4322" s="7">
        <v>84485</v>
      </c>
      <c r="O4322">
        <v>305</v>
      </c>
      <c r="P4322">
        <v>277</v>
      </c>
      <c r="Q4322" s="2">
        <v>84485</v>
      </c>
      <c r="R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 s="1">
        <v>42382</v>
      </c>
      <c r="AC4322" t="s">
        <v>53</v>
      </c>
      <c r="AD4322" t="s">
        <v>53</v>
      </c>
      <c r="AK4322">
        <v>0</v>
      </c>
      <c r="AU4322" s="6">
        <v>42278</v>
      </c>
      <c r="AV4322" s="6">
        <v>42278</v>
      </c>
      <c r="AW4322" t="s">
        <v>54</v>
      </c>
      <c r="AX4322" t="str">
        <f t="shared" si="361"/>
        <v>FOR</v>
      </c>
      <c r="AY4322" t="s">
        <v>55</v>
      </c>
    </row>
    <row r="4323" spans="1:51">
      <c r="A4323">
        <v>101541</v>
      </c>
      <c r="B4323" t="s">
        <v>763</v>
      </c>
      <c r="C4323" t="str">
        <f t="shared" ref="C4323:D4342" si="363">"08230471008"</f>
        <v>08230471008</v>
      </c>
      <c r="D4323" t="str">
        <f t="shared" si="363"/>
        <v>08230471008</v>
      </c>
      <c r="E4323" t="s">
        <v>52</v>
      </c>
      <c r="F4323">
        <v>2014</v>
      </c>
      <c r="G4323">
        <v>14444</v>
      </c>
      <c r="H4323" s="1">
        <v>41929</v>
      </c>
      <c r="I4323" s="1">
        <v>41941</v>
      </c>
      <c r="J4323" s="1">
        <v>41941</v>
      </c>
      <c r="K4323" s="1">
        <v>42001</v>
      </c>
      <c r="L4323" s="7">
        <v>305</v>
      </c>
      <c r="M4323" s="5">
        <v>277</v>
      </c>
      <c r="N4323" s="7">
        <v>84485</v>
      </c>
      <c r="O4323">
        <v>305</v>
      </c>
      <c r="P4323">
        <v>277</v>
      </c>
      <c r="Q4323" s="2">
        <v>84485</v>
      </c>
      <c r="R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 s="1">
        <v>42382</v>
      </c>
      <c r="AC4323" t="s">
        <v>53</v>
      </c>
      <c r="AD4323" t="s">
        <v>53</v>
      </c>
      <c r="AK4323">
        <v>0</v>
      </c>
      <c r="AU4323" s="6">
        <v>42278</v>
      </c>
      <c r="AV4323" s="6">
        <v>42278</v>
      </c>
      <c r="AW4323" t="s">
        <v>54</v>
      </c>
      <c r="AX4323" t="str">
        <f t="shared" si="361"/>
        <v>FOR</v>
      </c>
      <c r="AY4323" t="s">
        <v>55</v>
      </c>
    </row>
    <row r="4324" spans="1:51">
      <c r="A4324">
        <v>101541</v>
      </c>
      <c r="B4324" t="s">
        <v>763</v>
      </c>
      <c r="C4324" t="str">
        <f t="shared" si="363"/>
        <v>08230471008</v>
      </c>
      <c r="D4324" t="str">
        <f t="shared" si="363"/>
        <v>08230471008</v>
      </c>
      <c r="E4324" t="s">
        <v>52</v>
      </c>
      <c r="F4324">
        <v>2014</v>
      </c>
      <c r="G4324">
        <v>14445</v>
      </c>
      <c r="H4324" s="1">
        <v>41929</v>
      </c>
      <c r="I4324" s="1">
        <v>41941</v>
      </c>
      <c r="J4324" s="1">
        <v>41941</v>
      </c>
      <c r="K4324" s="1">
        <v>42001</v>
      </c>
      <c r="L4324" s="7">
        <v>305</v>
      </c>
      <c r="M4324" s="5">
        <v>277</v>
      </c>
      <c r="N4324" s="7">
        <v>84485</v>
      </c>
      <c r="O4324">
        <v>305</v>
      </c>
      <c r="P4324">
        <v>277</v>
      </c>
      <c r="Q4324" s="2">
        <v>84485</v>
      </c>
      <c r="R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 s="1">
        <v>42382</v>
      </c>
      <c r="AC4324" t="s">
        <v>53</v>
      </c>
      <c r="AD4324" t="s">
        <v>53</v>
      </c>
      <c r="AK4324">
        <v>0</v>
      </c>
      <c r="AU4324" s="6">
        <v>42278</v>
      </c>
      <c r="AV4324" s="6">
        <v>42278</v>
      </c>
      <c r="AW4324" t="s">
        <v>54</v>
      </c>
      <c r="AX4324" t="str">
        <f t="shared" si="361"/>
        <v>FOR</v>
      </c>
      <c r="AY4324" t="s">
        <v>55</v>
      </c>
    </row>
    <row r="4325" spans="1:51">
      <c r="A4325">
        <v>101541</v>
      </c>
      <c r="B4325" t="s">
        <v>763</v>
      </c>
      <c r="C4325" t="str">
        <f t="shared" si="363"/>
        <v>08230471008</v>
      </c>
      <c r="D4325" t="str">
        <f t="shared" si="363"/>
        <v>08230471008</v>
      </c>
      <c r="E4325" t="s">
        <v>52</v>
      </c>
      <c r="F4325">
        <v>2014</v>
      </c>
      <c r="G4325">
        <v>14446</v>
      </c>
      <c r="H4325" s="1">
        <v>41929</v>
      </c>
      <c r="I4325" s="1">
        <v>41941</v>
      </c>
      <c r="J4325" s="1">
        <v>41941</v>
      </c>
      <c r="K4325" s="1">
        <v>42001</v>
      </c>
      <c r="L4325" s="7">
        <v>305</v>
      </c>
      <c r="M4325" s="5">
        <v>277</v>
      </c>
      <c r="N4325" s="7">
        <v>84485</v>
      </c>
      <c r="O4325">
        <v>305</v>
      </c>
      <c r="P4325">
        <v>277</v>
      </c>
      <c r="Q4325" s="2">
        <v>84485</v>
      </c>
      <c r="R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 s="1">
        <v>42382</v>
      </c>
      <c r="AC4325" t="s">
        <v>53</v>
      </c>
      <c r="AD4325" t="s">
        <v>53</v>
      </c>
      <c r="AK4325">
        <v>0</v>
      </c>
      <c r="AU4325" s="6">
        <v>42278</v>
      </c>
      <c r="AV4325" s="6">
        <v>42278</v>
      </c>
      <c r="AW4325" t="s">
        <v>54</v>
      </c>
      <c r="AX4325" t="str">
        <f t="shared" si="361"/>
        <v>FOR</v>
      </c>
      <c r="AY4325" t="s">
        <v>55</v>
      </c>
    </row>
    <row r="4326" spans="1:51">
      <c r="A4326">
        <v>101541</v>
      </c>
      <c r="B4326" t="s">
        <v>763</v>
      </c>
      <c r="C4326" t="str">
        <f t="shared" si="363"/>
        <v>08230471008</v>
      </c>
      <c r="D4326" t="str">
        <f t="shared" si="363"/>
        <v>08230471008</v>
      </c>
      <c r="E4326" t="s">
        <v>52</v>
      </c>
      <c r="F4326">
        <v>2014</v>
      </c>
      <c r="G4326">
        <v>14447</v>
      </c>
      <c r="H4326" s="1">
        <v>41929</v>
      </c>
      <c r="I4326" s="1">
        <v>41941</v>
      </c>
      <c r="J4326" s="1">
        <v>41941</v>
      </c>
      <c r="K4326" s="1">
        <v>42001</v>
      </c>
      <c r="L4326" s="7">
        <v>305</v>
      </c>
      <c r="M4326" s="5">
        <v>277</v>
      </c>
      <c r="N4326" s="7">
        <v>84485</v>
      </c>
      <c r="O4326">
        <v>305</v>
      </c>
      <c r="P4326">
        <v>277</v>
      </c>
      <c r="Q4326" s="2">
        <v>84485</v>
      </c>
      <c r="R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 s="1">
        <v>42382</v>
      </c>
      <c r="AC4326" t="s">
        <v>53</v>
      </c>
      <c r="AD4326" t="s">
        <v>53</v>
      </c>
      <c r="AK4326">
        <v>0</v>
      </c>
      <c r="AU4326" s="6">
        <v>42278</v>
      </c>
      <c r="AV4326" s="6">
        <v>42278</v>
      </c>
      <c r="AW4326" t="s">
        <v>54</v>
      </c>
      <c r="AX4326" t="str">
        <f t="shared" si="361"/>
        <v>FOR</v>
      </c>
      <c r="AY4326" t="s">
        <v>55</v>
      </c>
    </row>
    <row r="4327" spans="1:51">
      <c r="A4327">
        <v>101541</v>
      </c>
      <c r="B4327" t="s">
        <v>763</v>
      </c>
      <c r="C4327" t="str">
        <f t="shared" si="363"/>
        <v>08230471008</v>
      </c>
      <c r="D4327" t="str">
        <f t="shared" si="363"/>
        <v>08230471008</v>
      </c>
      <c r="E4327" t="s">
        <v>52</v>
      </c>
      <c r="F4327">
        <v>2014</v>
      </c>
      <c r="G4327">
        <v>14448</v>
      </c>
      <c r="H4327" s="1">
        <v>41929</v>
      </c>
      <c r="I4327" s="1">
        <v>41941</v>
      </c>
      <c r="J4327" s="1">
        <v>41941</v>
      </c>
      <c r="K4327" s="1">
        <v>42001</v>
      </c>
      <c r="L4327" s="7">
        <v>728</v>
      </c>
      <c r="M4327" s="5">
        <v>277</v>
      </c>
      <c r="N4327" s="7">
        <v>201656</v>
      </c>
      <c r="O4327">
        <v>728</v>
      </c>
      <c r="P4327">
        <v>277</v>
      </c>
      <c r="Q4327" s="2">
        <v>201656</v>
      </c>
      <c r="R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 s="1">
        <v>42382</v>
      </c>
      <c r="AC4327" t="s">
        <v>53</v>
      </c>
      <c r="AD4327" t="s">
        <v>53</v>
      </c>
      <c r="AK4327">
        <v>0</v>
      </c>
      <c r="AU4327" s="6">
        <v>42278</v>
      </c>
      <c r="AV4327" s="6">
        <v>42278</v>
      </c>
      <c r="AW4327" t="s">
        <v>54</v>
      </c>
      <c r="AX4327" t="str">
        <f t="shared" si="361"/>
        <v>FOR</v>
      </c>
      <c r="AY4327" t="s">
        <v>55</v>
      </c>
    </row>
    <row r="4328" spans="1:51">
      <c r="A4328">
        <v>101541</v>
      </c>
      <c r="B4328" t="s">
        <v>763</v>
      </c>
      <c r="C4328" t="str">
        <f t="shared" si="363"/>
        <v>08230471008</v>
      </c>
      <c r="D4328" t="str">
        <f t="shared" si="363"/>
        <v>08230471008</v>
      </c>
      <c r="E4328" t="s">
        <v>52</v>
      </c>
      <c r="F4328">
        <v>2014</v>
      </c>
      <c r="G4328">
        <v>15166</v>
      </c>
      <c r="H4328" s="1">
        <v>41943</v>
      </c>
      <c r="I4328" s="1">
        <v>41950</v>
      </c>
      <c r="J4328" s="1">
        <v>41950</v>
      </c>
      <c r="K4328" s="1">
        <v>42010</v>
      </c>
      <c r="L4328" s="7">
        <v>305</v>
      </c>
      <c r="M4328" s="5">
        <v>268</v>
      </c>
      <c r="N4328" s="7">
        <v>81740</v>
      </c>
      <c r="O4328">
        <v>305</v>
      </c>
      <c r="P4328">
        <v>268</v>
      </c>
      <c r="Q4328" s="2">
        <v>81740</v>
      </c>
      <c r="R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 s="1">
        <v>42382</v>
      </c>
      <c r="AC4328" t="s">
        <v>53</v>
      </c>
      <c r="AD4328" t="s">
        <v>53</v>
      </c>
      <c r="AK4328">
        <v>0</v>
      </c>
      <c r="AU4328" s="6">
        <v>42278</v>
      </c>
      <c r="AV4328" s="6">
        <v>42278</v>
      </c>
      <c r="AW4328" t="s">
        <v>54</v>
      </c>
      <c r="AX4328" t="str">
        <f t="shared" si="361"/>
        <v>FOR</v>
      </c>
      <c r="AY4328" t="s">
        <v>55</v>
      </c>
    </row>
    <row r="4329" spans="1:51">
      <c r="A4329">
        <v>101541</v>
      </c>
      <c r="B4329" t="s">
        <v>763</v>
      </c>
      <c r="C4329" t="str">
        <f t="shared" si="363"/>
        <v>08230471008</v>
      </c>
      <c r="D4329" t="str">
        <f t="shared" si="363"/>
        <v>08230471008</v>
      </c>
      <c r="E4329" t="s">
        <v>52</v>
      </c>
      <c r="F4329">
        <v>2014</v>
      </c>
      <c r="G4329">
        <v>15167</v>
      </c>
      <c r="H4329" s="1">
        <v>41943</v>
      </c>
      <c r="I4329" s="1">
        <v>41950</v>
      </c>
      <c r="J4329" s="1">
        <v>41950</v>
      </c>
      <c r="K4329" s="1">
        <v>42010</v>
      </c>
      <c r="L4329" s="7">
        <v>305</v>
      </c>
      <c r="M4329" s="5">
        <v>268</v>
      </c>
      <c r="N4329" s="7">
        <v>81740</v>
      </c>
      <c r="O4329">
        <v>305</v>
      </c>
      <c r="P4329">
        <v>268</v>
      </c>
      <c r="Q4329" s="2">
        <v>81740</v>
      </c>
      <c r="R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 s="1">
        <v>42382</v>
      </c>
      <c r="AC4329" t="s">
        <v>53</v>
      </c>
      <c r="AD4329" t="s">
        <v>53</v>
      </c>
      <c r="AK4329">
        <v>0</v>
      </c>
      <c r="AU4329" s="6">
        <v>42278</v>
      </c>
      <c r="AV4329" s="6">
        <v>42278</v>
      </c>
      <c r="AW4329" t="s">
        <v>54</v>
      </c>
      <c r="AX4329" t="str">
        <f t="shared" si="361"/>
        <v>FOR</v>
      </c>
      <c r="AY4329" t="s">
        <v>55</v>
      </c>
    </row>
    <row r="4330" spans="1:51">
      <c r="A4330">
        <v>101541</v>
      </c>
      <c r="B4330" t="s">
        <v>763</v>
      </c>
      <c r="C4330" t="str">
        <f t="shared" si="363"/>
        <v>08230471008</v>
      </c>
      <c r="D4330" t="str">
        <f t="shared" si="363"/>
        <v>08230471008</v>
      </c>
      <c r="E4330" t="s">
        <v>52</v>
      </c>
      <c r="F4330">
        <v>2014</v>
      </c>
      <c r="G4330">
        <v>15168</v>
      </c>
      <c r="H4330" s="1">
        <v>41943</v>
      </c>
      <c r="I4330" s="1">
        <v>41950</v>
      </c>
      <c r="J4330" s="1">
        <v>41950</v>
      </c>
      <c r="K4330" s="1">
        <v>42010</v>
      </c>
      <c r="L4330" s="7">
        <v>305</v>
      </c>
      <c r="M4330" s="5">
        <v>268</v>
      </c>
      <c r="N4330" s="7">
        <v>81740</v>
      </c>
      <c r="O4330">
        <v>305</v>
      </c>
      <c r="P4330">
        <v>268</v>
      </c>
      <c r="Q4330" s="2">
        <v>81740</v>
      </c>
      <c r="R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 s="1">
        <v>42382</v>
      </c>
      <c r="AC4330" t="s">
        <v>53</v>
      </c>
      <c r="AD4330" t="s">
        <v>53</v>
      </c>
      <c r="AK4330">
        <v>0</v>
      </c>
      <c r="AU4330" s="6">
        <v>42278</v>
      </c>
      <c r="AV4330" s="6">
        <v>42278</v>
      </c>
      <c r="AW4330" t="s">
        <v>54</v>
      </c>
      <c r="AX4330" t="str">
        <f t="shared" si="361"/>
        <v>FOR</v>
      </c>
      <c r="AY4330" t="s">
        <v>55</v>
      </c>
    </row>
    <row r="4331" spans="1:51">
      <c r="A4331">
        <v>101541</v>
      </c>
      <c r="B4331" t="s">
        <v>763</v>
      </c>
      <c r="C4331" t="str">
        <f t="shared" si="363"/>
        <v>08230471008</v>
      </c>
      <c r="D4331" t="str">
        <f t="shared" si="363"/>
        <v>08230471008</v>
      </c>
      <c r="E4331" t="s">
        <v>52</v>
      </c>
      <c r="F4331">
        <v>2014</v>
      </c>
      <c r="G4331">
        <v>15169</v>
      </c>
      <c r="H4331" s="1">
        <v>41943</v>
      </c>
      <c r="I4331" s="1">
        <v>41950</v>
      </c>
      <c r="J4331" s="1">
        <v>41950</v>
      </c>
      <c r="K4331" s="1">
        <v>42010</v>
      </c>
      <c r="L4331" s="7">
        <v>305</v>
      </c>
      <c r="M4331" s="5">
        <v>268</v>
      </c>
      <c r="N4331" s="7">
        <v>81740</v>
      </c>
      <c r="O4331">
        <v>305</v>
      </c>
      <c r="P4331">
        <v>268</v>
      </c>
      <c r="Q4331" s="2">
        <v>81740</v>
      </c>
      <c r="R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 s="1">
        <v>42382</v>
      </c>
      <c r="AC4331" t="s">
        <v>53</v>
      </c>
      <c r="AD4331" t="s">
        <v>53</v>
      </c>
      <c r="AK4331">
        <v>0</v>
      </c>
      <c r="AU4331" s="6">
        <v>42278</v>
      </c>
      <c r="AV4331" s="6">
        <v>42278</v>
      </c>
      <c r="AW4331" t="s">
        <v>54</v>
      </c>
      <c r="AX4331" t="str">
        <f t="shared" si="361"/>
        <v>FOR</v>
      </c>
      <c r="AY4331" t="s">
        <v>55</v>
      </c>
    </row>
    <row r="4332" spans="1:51">
      <c r="A4332">
        <v>101541</v>
      </c>
      <c r="B4332" t="s">
        <v>763</v>
      </c>
      <c r="C4332" t="str">
        <f t="shared" si="363"/>
        <v>08230471008</v>
      </c>
      <c r="D4332" t="str">
        <f t="shared" si="363"/>
        <v>08230471008</v>
      </c>
      <c r="E4332" t="s">
        <v>52</v>
      </c>
      <c r="F4332">
        <v>2014</v>
      </c>
      <c r="G4332">
        <v>15170</v>
      </c>
      <c r="H4332" s="1">
        <v>41943</v>
      </c>
      <c r="I4332" s="1">
        <v>41950</v>
      </c>
      <c r="J4332" s="1">
        <v>41950</v>
      </c>
      <c r="K4332" s="1">
        <v>42010</v>
      </c>
      <c r="L4332" s="7">
        <v>305</v>
      </c>
      <c r="M4332" s="5">
        <v>268</v>
      </c>
      <c r="N4332" s="7">
        <v>81740</v>
      </c>
      <c r="O4332">
        <v>305</v>
      </c>
      <c r="P4332">
        <v>268</v>
      </c>
      <c r="Q4332" s="2">
        <v>81740</v>
      </c>
      <c r="R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 s="1">
        <v>42382</v>
      </c>
      <c r="AC4332" t="s">
        <v>53</v>
      </c>
      <c r="AD4332" t="s">
        <v>53</v>
      </c>
      <c r="AK4332">
        <v>0</v>
      </c>
      <c r="AU4332" s="6">
        <v>42278</v>
      </c>
      <c r="AV4332" s="6">
        <v>42278</v>
      </c>
      <c r="AW4332" t="s">
        <v>54</v>
      </c>
      <c r="AX4332" t="str">
        <f t="shared" si="361"/>
        <v>FOR</v>
      </c>
      <c r="AY4332" t="s">
        <v>55</v>
      </c>
    </row>
    <row r="4333" spans="1:51">
      <c r="A4333">
        <v>101541</v>
      </c>
      <c r="B4333" t="s">
        <v>763</v>
      </c>
      <c r="C4333" t="str">
        <f t="shared" si="363"/>
        <v>08230471008</v>
      </c>
      <c r="D4333" t="str">
        <f t="shared" si="363"/>
        <v>08230471008</v>
      </c>
      <c r="E4333" t="s">
        <v>52</v>
      </c>
      <c r="F4333">
        <v>2014</v>
      </c>
      <c r="G4333">
        <v>15171</v>
      </c>
      <c r="H4333" s="1">
        <v>41943</v>
      </c>
      <c r="I4333" s="1">
        <v>41950</v>
      </c>
      <c r="J4333" s="1">
        <v>41950</v>
      </c>
      <c r="K4333" s="1">
        <v>42010</v>
      </c>
      <c r="L4333" s="7">
        <v>305</v>
      </c>
      <c r="M4333" s="5">
        <v>268</v>
      </c>
      <c r="N4333" s="7">
        <v>81740</v>
      </c>
      <c r="O4333">
        <v>305</v>
      </c>
      <c r="P4333">
        <v>268</v>
      </c>
      <c r="Q4333" s="2">
        <v>81740</v>
      </c>
      <c r="R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 s="1">
        <v>42382</v>
      </c>
      <c r="AC4333" t="s">
        <v>53</v>
      </c>
      <c r="AD4333" t="s">
        <v>53</v>
      </c>
      <c r="AK4333">
        <v>0</v>
      </c>
      <c r="AU4333" s="6">
        <v>42278</v>
      </c>
      <c r="AV4333" s="6">
        <v>42278</v>
      </c>
      <c r="AW4333" t="s">
        <v>54</v>
      </c>
      <c r="AX4333" t="str">
        <f t="shared" si="361"/>
        <v>FOR</v>
      </c>
      <c r="AY4333" t="s">
        <v>55</v>
      </c>
    </row>
    <row r="4334" spans="1:51">
      <c r="A4334">
        <v>101541</v>
      </c>
      <c r="B4334" t="s">
        <v>763</v>
      </c>
      <c r="C4334" t="str">
        <f t="shared" si="363"/>
        <v>08230471008</v>
      </c>
      <c r="D4334" t="str">
        <f t="shared" si="363"/>
        <v>08230471008</v>
      </c>
      <c r="E4334" t="s">
        <v>52</v>
      </c>
      <c r="F4334">
        <v>2014</v>
      </c>
      <c r="G4334">
        <v>15172</v>
      </c>
      <c r="H4334" s="1">
        <v>41943</v>
      </c>
      <c r="I4334" s="1">
        <v>41950</v>
      </c>
      <c r="J4334" s="1">
        <v>41950</v>
      </c>
      <c r="K4334" s="1">
        <v>42010</v>
      </c>
      <c r="L4334" s="7">
        <v>305</v>
      </c>
      <c r="M4334" s="5">
        <v>268</v>
      </c>
      <c r="N4334" s="7">
        <v>81740</v>
      </c>
      <c r="O4334">
        <v>305</v>
      </c>
      <c r="P4334">
        <v>268</v>
      </c>
      <c r="Q4334" s="2">
        <v>81740</v>
      </c>
      <c r="R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 s="1">
        <v>42382</v>
      </c>
      <c r="AC4334" t="s">
        <v>53</v>
      </c>
      <c r="AD4334" t="s">
        <v>53</v>
      </c>
      <c r="AK4334">
        <v>0</v>
      </c>
      <c r="AU4334" s="6">
        <v>42278</v>
      </c>
      <c r="AV4334" s="6">
        <v>42278</v>
      </c>
      <c r="AW4334" t="s">
        <v>54</v>
      </c>
      <c r="AX4334" t="str">
        <f t="shared" si="361"/>
        <v>FOR</v>
      </c>
      <c r="AY4334" t="s">
        <v>55</v>
      </c>
    </row>
    <row r="4335" spans="1:51">
      <c r="A4335">
        <v>101541</v>
      </c>
      <c r="B4335" t="s">
        <v>763</v>
      </c>
      <c r="C4335" t="str">
        <f t="shared" si="363"/>
        <v>08230471008</v>
      </c>
      <c r="D4335" t="str">
        <f t="shared" si="363"/>
        <v>08230471008</v>
      </c>
      <c r="E4335" t="s">
        <v>52</v>
      </c>
      <c r="F4335">
        <v>2014</v>
      </c>
      <c r="G4335">
        <v>15173</v>
      </c>
      <c r="H4335" s="1">
        <v>41943</v>
      </c>
      <c r="I4335" s="1">
        <v>41950</v>
      </c>
      <c r="J4335" s="1">
        <v>41950</v>
      </c>
      <c r="K4335" s="1">
        <v>42010</v>
      </c>
      <c r="L4335" s="7">
        <v>305</v>
      </c>
      <c r="M4335" s="5">
        <v>268</v>
      </c>
      <c r="N4335" s="7">
        <v>81740</v>
      </c>
      <c r="O4335">
        <v>305</v>
      </c>
      <c r="P4335">
        <v>268</v>
      </c>
      <c r="Q4335" s="2">
        <v>81740</v>
      </c>
      <c r="R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 s="1">
        <v>42382</v>
      </c>
      <c r="AC4335" t="s">
        <v>53</v>
      </c>
      <c r="AD4335" t="s">
        <v>53</v>
      </c>
      <c r="AK4335">
        <v>0</v>
      </c>
      <c r="AU4335" s="6">
        <v>42278</v>
      </c>
      <c r="AV4335" s="6">
        <v>42278</v>
      </c>
      <c r="AW4335" t="s">
        <v>54</v>
      </c>
      <c r="AX4335" t="str">
        <f t="shared" si="361"/>
        <v>FOR</v>
      </c>
      <c r="AY4335" t="s">
        <v>55</v>
      </c>
    </row>
    <row r="4336" spans="1:51">
      <c r="A4336">
        <v>101541</v>
      </c>
      <c r="B4336" t="s">
        <v>763</v>
      </c>
      <c r="C4336" t="str">
        <f t="shared" si="363"/>
        <v>08230471008</v>
      </c>
      <c r="D4336" t="str">
        <f t="shared" si="363"/>
        <v>08230471008</v>
      </c>
      <c r="E4336" t="s">
        <v>52</v>
      </c>
      <c r="F4336">
        <v>2014</v>
      </c>
      <c r="G4336">
        <v>15174</v>
      </c>
      <c r="H4336" s="1">
        <v>41943</v>
      </c>
      <c r="I4336" s="1">
        <v>41950</v>
      </c>
      <c r="J4336" s="1">
        <v>41950</v>
      </c>
      <c r="K4336" s="1">
        <v>42010</v>
      </c>
      <c r="L4336" s="7">
        <v>305</v>
      </c>
      <c r="M4336" s="5">
        <v>268</v>
      </c>
      <c r="N4336" s="7">
        <v>81740</v>
      </c>
      <c r="O4336">
        <v>305</v>
      </c>
      <c r="P4336">
        <v>268</v>
      </c>
      <c r="Q4336" s="2">
        <v>81740</v>
      </c>
      <c r="R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 s="1">
        <v>42382</v>
      </c>
      <c r="AC4336" t="s">
        <v>53</v>
      </c>
      <c r="AD4336" t="s">
        <v>53</v>
      </c>
      <c r="AK4336">
        <v>0</v>
      </c>
      <c r="AU4336" s="6">
        <v>42278</v>
      </c>
      <c r="AV4336" s="6">
        <v>42278</v>
      </c>
      <c r="AW4336" t="s">
        <v>54</v>
      </c>
      <c r="AX4336" t="str">
        <f t="shared" si="361"/>
        <v>FOR</v>
      </c>
      <c r="AY4336" t="s">
        <v>55</v>
      </c>
    </row>
    <row r="4337" spans="1:51">
      <c r="A4337">
        <v>101541</v>
      </c>
      <c r="B4337" t="s">
        <v>763</v>
      </c>
      <c r="C4337" t="str">
        <f t="shared" si="363"/>
        <v>08230471008</v>
      </c>
      <c r="D4337" t="str">
        <f t="shared" si="363"/>
        <v>08230471008</v>
      </c>
      <c r="E4337" t="s">
        <v>52</v>
      </c>
      <c r="F4337">
        <v>2014</v>
      </c>
      <c r="G4337">
        <v>15175</v>
      </c>
      <c r="H4337" s="1">
        <v>41943</v>
      </c>
      <c r="I4337" s="1">
        <v>41950</v>
      </c>
      <c r="J4337" s="1">
        <v>41950</v>
      </c>
      <c r="K4337" s="1">
        <v>42010</v>
      </c>
      <c r="L4337" s="7">
        <v>305</v>
      </c>
      <c r="M4337" s="5">
        <v>268</v>
      </c>
      <c r="N4337" s="7">
        <v>81740</v>
      </c>
      <c r="O4337">
        <v>305</v>
      </c>
      <c r="P4337">
        <v>268</v>
      </c>
      <c r="Q4337" s="2">
        <v>81740</v>
      </c>
      <c r="R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 s="1">
        <v>42382</v>
      </c>
      <c r="AC4337" t="s">
        <v>53</v>
      </c>
      <c r="AD4337" t="s">
        <v>53</v>
      </c>
      <c r="AK4337">
        <v>0</v>
      </c>
      <c r="AU4337" s="6">
        <v>42278</v>
      </c>
      <c r="AV4337" s="6">
        <v>42278</v>
      </c>
      <c r="AW4337" t="s">
        <v>54</v>
      </c>
      <c r="AX4337" t="str">
        <f t="shared" si="361"/>
        <v>FOR</v>
      </c>
      <c r="AY4337" t="s">
        <v>55</v>
      </c>
    </row>
    <row r="4338" spans="1:51">
      <c r="A4338">
        <v>101541</v>
      </c>
      <c r="B4338" t="s">
        <v>763</v>
      </c>
      <c r="C4338" t="str">
        <f t="shared" si="363"/>
        <v>08230471008</v>
      </c>
      <c r="D4338" t="str">
        <f t="shared" si="363"/>
        <v>08230471008</v>
      </c>
      <c r="E4338" t="s">
        <v>52</v>
      </c>
      <c r="F4338">
        <v>2014</v>
      </c>
      <c r="G4338">
        <v>15176</v>
      </c>
      <c r="H4338" s="1">
        <v>41943</v>
      </c>
      <c r="I4338" s="1">
        <v>41950</v>
      </c>
      <c r="J4338" s="1">
        <v>41950</v>
      </c>
      <c r="K4338" s="1">
        <v>42010</v>
      </c>
      <c r="L4338" s="7">
        <v>305</v>
      </c>
      <c r="M4338" s="5">
        <v>268</v>
      </c>
      <c r="N4338" s="7">
        <v>81740</v>
      </c>
      <c r="O4338">
        <v>305</v>
      </c>
      <c r="P4338">
        <v>268</v>
      </c>
      <c r="Q4338" s="2">
        <v>81740</v>
      </c>
      <c r="R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 s="1">
        <v>42382</v>
      </c>
      <c r="AC4338" t="s">
        <v>53</v>
      </c>
      <c r="AD4338" t="s">
        <v>53</v>
      </c>
      <c r="AK4338">
        <v>0</v>
      </c>
      <c r="AU4338" s="6">
        <v>42278</v>
      </c>
      <c r="AV4338" s="6">
        <v>42278</v>
      </c>
      <c r="AW4338" t="s">
        <v>54</v>
      </c>
      <c r="AX4338" t="str">
        <f t="shared" si="361"/>
        <v>FOR</v>
      </c>
      <c r="AY4338" t="s">
        <v>55</v>
      </c>
    </row>
    <row r="4339" spans="1:51">
      <c r="A4339">
        <v>101541</v>
      </c>
      <c r="B4339" t="s">
        <v>763</v>
      </c>
      <c r="C4339" t="str">
        <f t="shared" si="363"/>
        <v>08230471008</v>
      </c>
      <c r="D4339" t="str">
        <f t="shared" si="363"/>
        <v>08230471008</v>
      </c>
      <c r="E4339" t="s">
        <v>52</v>
      </c>
      <c r="F4339">
        <v>2014</v>
      </c>
      <c r="G4339">
        <v>15177</v>
      </c>
      <c r="H4339" s="1">
        <v>41943</v>
      </c>
      <c r="I4339" s="1">
        <v>41950</v>
      </c>
      <c r="J4339" s="1">
        <v>41950</v>
      </c>
      <c r="K4339" s="1">
        <v>42010</v>
      </c>
      <c r="L4339" s="7">
        <v>728</v>
      </c>
      <c r="M4339" s="5">
        <v>268</v>
      </c>
      <c r="N4339" s="7">
        <v>195104</v>
      </c>
      <c r="O4339">
        <v>728</v>
      </c>
      <c r="P4339">
        <v>268</v>
      </c>
      <c r="Q4339" s="2">
        <v>195104</v>
      </c>
      <c r="R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 s="1">
        <v>42382</v>
      </c>
      <c r="AC4339" t="s">
        <v>53</v>
      </c>
      <c r="AD4339" t="s">
        <v>53</v>
      </c>
      <c r="AK4339">
        <v>0</v>
      </c>
      <c r="AU4339" s="6">
        <v>42278</v>
      </c>
      <c r="AV4339" s="6">
        <v>42278</v>
      </c>
      <c r="AW4339" t="s">
        <v>54</v>
      </c>
      <c r="AX4339" t="str">
        <f t="shared" si="361"/>
        <v>FOR</v>
      </c>
      <c r="AY4339" t="s">
        <v>55</v>
      </c>
    </row>
    <row r="4340" spans="1:51">
      <c r="A4340">
        <v>101541</v>
      </c>
      <c r="B4340" t="s">
        <v>763</v>
      </c>
      <c r="C4340" t="str">
        <f t="shared" si="363"/>
        <v>08230471008</v>
      </c>
      <c r="D4340" t="str">
        <f t="shared" si="363"/>
        <v>08230471008</v>
      </c>
      <c r="E4340" t="s">
        <v>52</v>
      </c>
      <c r="F4340">
        <v>2014</v>
      </c>
      <c r="G4340">
        <v>15736</v>
      </c>
      <c r="H4340" s="1">
        <v>41950</v>
      </c>
      <c r="I4340" s="1">
        <v>41964</v>
      </c>
      <c r="J4340" s="1">
        <v>41964</v>
      </c>
      <c r="K4340" s="1">
        <v>42024</v>
      </c>
      <c r="L4340" s="7">
        <v>728</v>
      </c>
      <c r="M4340" s="5">
        <v>254</v>
      </c>
      <c r="N4340" s="7">
        <v>184912</v>
      </c>
      <c r="O4340">
        <v>728</v>
      </c>
      <c r="P4340">
        <v>254</v>
      </c>
      <c r="Q4340" s="2">
        <v>184912</v>
      </c>
      <c r="R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 s="1">
        <v>42382</v>
      </c>
      <c r="AC4340" t="s">
        <v>53</v>
      </c>
      <c r="AD4340" t="s">
        <v>53</v>
      </c>
      <c r="AK4340">
        <v>0</v>
      </c>
      <c r="AU4340" s="6">
        <v>42278</v>
      </c>
      <c r="AV4340" s="6">
        <v>42278</v>
      </c>
      <c r="AW4340" t="s">
        <v>54</v>
      </c>
      <c r="AX4340" t="str">
        <f t="shared" si="361"/>
        <v>FOR</v>
      </c>
      <c r="AY4340" t="s">
        <v>55</v>
      </c>
    </row>
    <row r="4341" spans="1:51">
      <c r="A4341">
        <v>101541</v>
      </c>
      <c r="B4341" t="s">
        <v>763</v>
      </c>
      <c r="C4341" t="str">
        <f t="shared" si="363"/>
        <v>08230471008</v>
      </c>
      <c r="D4341" t="str">
        <f t="shared" si="363"/>
        <v>08230471008</v>
      </c>
      <c r="E4341" t="s">
        <v>52</v>
      </c>
      <c r="F4341">
        <v>2014</v>
      </c>
      <c r="G4341">
        <v>15920</v>
      </c>
      <c r="H4341" s="1">
        <v>41957</v>
      </c>
      <c r="I4341" s="1">
        <v>41971</v>
      </c>
      <c r="J4341" s="1">
        <v>41971</v>
      </c>
      <c r="K4341" s="1">
        <v>42031</v>
      </c>
      <c r="L4341" s="7">
        <v>305</v>
      </c>
      <c r="M4341" s="5">
        <v>247</v>
      </c>
      <c r="N4341" s="7">
        <v>75335</v>
      </c>
      <c r="O4341">
        <v>305</v>
      </c>
      <c r="P4341">
        <v>247</v>
      </c>
      <c r="Q4341" s="2">
        <v>75335</v>
      </c>
      <c r="R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 s="1">
        <v>42382</v>
      </c>
      <c r="AC4341" t="s">
        <v>53</v>
      </c>
      <c r="AD4341" t="s">
        <v>53</v>
      </c>
      <c r="AK4341">
        <v>0</v>
      </c>
      <c r="AU4341" s="6">
        <v>42278</v>
      </c>
      <c r="AV4341" s="6">
        <v>42278</v>
      </c>
      <c r="AW4341" t="s">
        <v>54</v>
      </c>
      <c r="AX4341" t="str">
        <f t="shared" si="361"/>
        <v>FOR</v>
      </c>
      <c r="AY4341" t="s">
        <v>55</v>
      </c>
    </row>
    <row r="4342" spans="1:51">
      <c r="A4342">
        <v>101541</v>
      </c>
      <c r="B4342" t="s">
        <v>763</v>
      </c>
      <c r="C4342" t="str">
        <f t="shared" si="363"/>
        <v>08230471008</v>
      </c>
      <c r="D4342" t="str">
        <f t="shared" si="363"/>
        <v>08230471008</v>
      </c>
      <c r="E4342" t="s">
        <v>52</v>
      </c>
      <c r="F4342">
        <v>2014</v>
      </c>
      <c r="G4342">
        <v>15921</v>
      </c>
      <c r="H4342" s="1">
        <v>41957</v>
      </c>
      <c r="I4342" s="1">
        <v>41971</v>
      </c>
      <c r="J4342" s="1">
        <v>41971</v>
      </c>
      <c r="K4342" s="1">
        <v>42031</v>
      </c>
      <c r="L4342" s="7">
        <v>728</v>
      </c>
      <c r="M4342" s="5">
        <v>247</v>
      </c>
      <c r="N4342" s="7">
        <v>179816</v>
      </c>
      <c r="O4342">
        <v>728</v>
      </c>
      <c r="P4342">
        <v>247</v>
      </c>
      <c r="Q4342" s="2">
        <v>179816</v>
      </c>
      <c r="R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 s="1">
        <v>42382</v>
      </c>
      <c r="AC4342" t="s">
        <v>53</v>
      </c>
      <c r="AD4342" t="s">
        <v>53</v>
      </c>
      <c r="AK4342">
        <v>0</v>
      </c>
      <c r="AU4342" s="6">
        <v>42278</v>
      </c>
      <c r="AV4342" s="6">
        <v>42278</v>
      </c>
      <c r="AW4342" t="s">
        <v>54</v>
      </c>
      <c r="AX4342" t="str">
        <f t="shared" si="361"/>
        <v>FOR</v>
      </c>
      <c r="AY4342" t="s">
        <v>55</v>
      </c>
    </row>
    <row r="4343" spans="1:51">
      <c r="A4343">
        <v>101541</v>
      </c>
      <c r="B4343" t="s">
        <v>763</v>
      </c>
      <c r="C4343" t="str">
        <f t="shared" ref="C4343:D4362" si="364">"08230471008"</f>
        <v>08230471008</v>
      </c>
      <c r="D4343" t="str">
        <f t="shared" si="364"/>
        <v>08230471008</v>
      </c>
      <c r="E4343" t="s">
        <v>52</v>
      </c>
      <c r="F4343">
        <v>2014</v>
      </c>
      <c r="G4343">
        <v>16301</v>
      </c>
      <c r="H4343" s="1">
        <v>41964</v>
      </c>
      <c r="I4343" s="1">
        <v>41976</v>
      </c>
      <c r="J4343" s="1">
        <v>41976</v>
      </c>
      <c r="K4343" s="1">
        <v>42036</v>
      </c>
      <c r="L4343" s="7">
        <v>305</v>
      </c>
      <c r="M4343" s="5">
        <v>242</v>
      </c>
      <c r="N4343" s="7">
        <v>73810</v>
      </c>
      <c r="O4343">
        <v>305</v>
      </c>
      <c r="P4343">
        <v>242</v>
      </c>
      <c r="Q4343" s="2">
        <v>73810</v>
      </c>
      <c r="R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 s="1">
        <v>42382</v>
      </c>
      <c r="AC4343" t="s">
        <v>53</v>
      </c>
      <c r="AD4343" t="s">
        <v>53</v>
      </c>
      <c r="AK4343">
        <v>0</v>
      </c>
      <c r="AU4343" s="6">
        <v>42278</v>
      </c>
      <c r="AV4343" s="6">
        <v>42278</v>
      </c>
      <c r="AW4343" t="s">
        <v>54</v>
      </c>
      <c r="AX4343" t="str">
        <f t="shared" si="361"/>
        <v>FOR</v>
      </c>
      <c r="AY4343" t="s">
        <v>55</v>
      </c>
    </row>
    <row r="4344" spans="1:51">
      <c r="A4344">
        <v>101541</v>
      </c>
      <c r="B4344" t="s">
        <v>763</v>
      </c>
      <c r="C4344" t="str">
        <f t="shared" si="364"/>
        <v>08230471008</v>
      </c>
      <c r="D4344" t="str">
        <f t="shared" si="364"/>
        <v>08230471008</v>
      </c>
      <c r="E4344" t="s">
        <v>52</v>
      </c>
      <c r="F4344">
        <v>2014</v>
      </c>
      <c r="G4344">
        <v>16302</v>
      </c>
      <c r="H4344" s="1">
        <v>41964</v>
      </c>
      <c r="I4344" s="1">
        <v>41976</v>
      </c>
      <c r="J4344" s="1">
        <v>41976</v>
      </c>
      <c r="K4344" s="1">
        <v>42036</v>
      </c>
      <c r="L4344" s="7">
        <v>305</v>
      </c>
      <c r="M4344" s="5">
        <v>242</v>
      </c>
      <c r="N4344" s="7">
        <v>73810</v>
      </c>
      <c r="O4344">
        <v>305</v>
      </c>
      <c r="P4344">
        <v>242</v>
      </c>
      <c r="Q4344" s="2">
        <v>73810</v>
      </c>
      <c r="R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 s="1">
        <v>42382</v>
      </c>
      <c r="AC4344" t="s">
        <v>53</v>
      </c>
      <c r="AD4344" t="s">
        <v>53</v>
      </c>
      <c r="AK4344">
        <v>0</v>
      </c>
      <c r="AU4344" s="6">
        <v>42278</v>
      </c>
      <c r="AV4344" s="6">
        <v>42278</v>
      </c>
      <c r="AW4344" t="s">
        <v>54</v>
      </c>
      <c r="AX4344" t="str">
        <f t="shared" si="361"/>
        <v>FOR</v>
      </c>
      <c r="AY4344" t="s">
        <v>55</v>
      </c>
    </row>
    <row r="4345" spans="1:51">
      <c r="A4345">
        <v>101541</v>
      </c>
      <c r="B4345" t="s">
        <v>763</v>
      </c>
      <c r="C4345" t="str">
        <f t="shared" si="364"/>
        <v>08230471008</v>
      </c>
      <c r="D4345" t="str">
        <f t="shared" si="364"/>
        <v>08230471008</v>
      </c>
      <c r="E4345" t="s">
        <v>52</v>
      </c>
      <c r="F4345">
        <v>2014</v>
      </c>
      <c r="G4345">
        <v>16303</v>
      </c>
      <c r="H4345" s="1">
        <v>41964</v>
      </c>
      <c r="I4345" s="1">
        <v>41976</v>
      </c>
      <c r="J4345" s="1">
        <v>41976</v>
      </c>
      <c r="K4345" s="1">
        <v>42036</v>
      </c>
      <c r="L4345" s="7">
        <v>305</v>
      </c>
      <c r="M4345" s="5">
        <v>242</v>
      </c>
      <c r="N4345" s="7">
        <v>73810</v>
      </c>
      <c r="O4345">
        <v>305</v>
      </c>
      <c r="P4345">
        <v>242</v>
      </c>
      <c r="Q4345" s="2">
        <v>73810</v>
      </c>
      <c r="R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 s="1">
        <v>42382</v>
      </c>
      <c r="AC4345" t="s">
        <v>53</v>
      </c>
      <c r="AD4345" t="s">
        <v>53</v>
      </c>
      <c r="AK4345">
        <v>0</v>
      </c>
      <c r="AU4345" s="6">
        <v>42278</v>
      </c>
      <c r="AV4345" s="6">
        <v>42278</v>
      </c>
      <c r="AW4345" t="s">
        <v>54</v>
      </c>
      <c r="AX4345" t="str">
        <f t="shared" si="361"/>
        <v>FOR</v>
      </c>
      <c r="AY4345" t="s">
        <v>55</v>
      </c>
    </row>
    <row r="4346" spans="1:51">
      <c r="A4346">
        <v>101541</v>
      </c>
      <c r="B4346" t="s">
        <v>763</v>
      </c>
      <c r="C4346" t="str">
        <f t="shared" si="364"/>
        <v>08230471008</v>
      </c>
      <c r="D4346" t="str">
        <f t="shared" si="364"/>
        <v>08230471008</v>
      </c>
      <c r="E4346" t="s">
        <v>52</v>
      </c>
      <c r="F4346">
        <v>2014</v>
      </c>
      <c r="G4346">
        <v>16304</v>
      </c>
      <c r="H4346" s="1">
        <v>41964</v>
      </c>
      <c r="I4346" s="1">
        <v>41976</v>
      </c>
      <c r="J4346" s="1">
        <v>41976</v>
      </c>
      <c r="K4346" s="1">
        <v>42036</v>
      </c>
      <c r="L4346" s="7">
        <v>305</v>
      </c>
      <c r="M4346" s="5">
        <v>242</v>
      </c>
      <c r="N4346" s="7">
        <v>73810</v>
      </c>
      <c r="O4346">
        <v>305</v>
      </c>
      <c r="P4346">
        <v>242</v>
      </c>
      <c r="Q4346" s="2">
        <v>73810</v>
      </c>
      <c r="R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 s="1">
        <v>42382</v>
      </c>
      <c r="AC4346" t="s">
        <v>53</v>
      </c>
      <c r="AD4346" t="s">
        <v>53</v>
      </c>
      <c r="AK4346">
        <v>0</v>
      </c>
      <c r="AU4346" s="6">
        <v>42278</v>
      </c>
      <c r="AV4346" s="6">
        <v>42278</v>
      </c>
      <c r="AW4346" t="s">
        <v>54</v>
      </c>
      <c r="AX4346" t="str">
        <f t="shared" si="361"/>
        <v>FOR</v>
      </c>
      <c r="AY4346" t="s">
        <v>55</v>
      </c>
    </row>
    <row r="4347" spans="1:51">
      <c r="A4347">
        <v>101541</v>
      </c>
      <c r="B4347" t="s">
        <v>763</v>
      </c>
      <c r="C4347" t="str">
        <f t="shared" si="364"/>
        <v>08230471008</v>
      </c>
      <c r="D4347" t="str">
        <f t="shared" si="364"/>
        <v>08230471008</v>
      </c>
      <c r="E4347" t="s">
        <v>52</v>
      </c>
      <c r="F4347">
        <v>2014</v>
      </c>
      <c r="G4347">
        <v>16305</v>
      </c>
      <c r="H4347" s="1">
        <v>41964</v>
      </c>
      <c r="I4347" s="1">
        <v>41976</v>
      </c>
      <c r="J4347" s="1">
        <v>41976</v>
      </c>
      <c r="K4347" s="1">
        <v>42036</v>
      </c>
      <c r="L4347" s="7">
        <v>305</v>
      </c>
      <c r="M4347" s="5">
        <v>242</v>
      </c>
      <c r="N4347" s="7">
        <v>73810</v>
      </c>
      <c r="O4347">
        <v>305</v>
      </c>
      <c r="P4347">
        <v>242</v>
      </c>
      <c r="Q4347" s="2">
        <v>73810</v>
      </c>
      <c r="R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 s="1">
        <v>42382</v>
      </c>
      <c r="AC4347" t="s">
        <v>53</v>
      </c>
      <c r="AD4347" t="s">
        <v>53</v>
      </c>
      <c r="AK4347">
        <v>0</v>
      </c>
      <c r="AU4347" s="6">
        <v>42278</v>
      </c>
      <c r="AV4347" s="6">
        <v>42278</v>
      </c>
      <c r="AW4347" t="s">
        <v>54</v>
      </c>
      <c r="AX4347" t="str">
        <f t="shared" si="361"/>
        <v>FOR</v>
      </c>
      <c r="AY4347" t="s">
        <v>55</v>
      </c>
    </row>
    <row r="4348" spans="1:51">
      <c r="A4348">
        <v>101541</v>
      </c>
      <c r="B4348" t="s">
        <v>763</v>
      </c>
      <c r="C4348" t="str">
        <f t="shared" si="364"/>
        <v>08230471008</v>
      </c>
      <c r="D4348" t="str">
        <f t="shared" si="364"/>
        <v>08230471008</v>
      </c>
      <c r="E4348" t="s">
        <v>52</v>
      </c>
      <c r="F4348">
        <v>2014</v>
      </c>
      <c r="G4348">
        <v>16306</v>
      </c>
      <c r="H4348" s="1">
        <v>41964</v>
      </c>
      <c r="I4348" s="1">
        <v>41976</v>
      </c>
      <c r="J4348" s="1">
        <v>41976</v>
      </c>
      <c r="K4348" s="1">
        <v>42036</v>
      </c>
      <c r="L4348" s="7">
        <v>305</v>
      </c>
      <c r="M4348" s="5">
        <v>242</v>
      </c>
      <c r="N4348" s="7">
        <v>73810</v>
      </c>
      <c r="O4348">
        <v>305</v>
      </c>
      <c r="P4348">
        <v>242</v>
      </c>
      <c r="Q4348" s="2">
        <v>73810</v>
      </c>
      <c r="R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 s="1">
        <v>42382</v>
      </c>
      <c r="AC4348" t="s">
        <v>53</v>
      </c>
      <c r="AD4348" t="s">
        <v>53</v>
      </c>
      <c r="AK4348">
        <v>0</v>
      </c>
      <c r="AU4348" s="6">
        <v>42278</v>
      </c>
      <c r="AV4348" s="6">
        <v>42278</v>
      </c>
      <c r="AW4348" t="s">
        <v>54</v>
      </c>
      <c r="AX4348" t="str">
        <f t="shared" si="361"/>
        <v>FOR</v>
      </c>
      <c r="AY4348" t="s">
        <v>55</v>
      </c>
    </row>
    <row r="4349" spans="1:51">
      <c r="A4349">
        <v>101541</v>
      </c>
      <c r="B4349" t="s">
        <v>763</v>
      </c>
      <c r="C4349" t="str">
        <f t="shared" si="364"/>
        <v>08230471008</v>
      </c>
      <c r="D4349" t="str">
        <f t="shared" si="364"/>
        <v>08230471008</v>
      </c>
      <c r="E4349" t="s">
        <v>52</v>
      </c>
      <c r="F4349">
        <v>2014</v>
      </c>
      <c r="G4349">
        <v>16307</v>
      </c>
      <c r="H4349" s="1">
        <v>41964</v>
      </c>
      <c r="I4349" s="1">
        <v>41976</v>
      </c>
      <c r="J4349" s="1">
        <v>41976</v>
      </c>
      <c r="K4349" s="1">
        <v>42036</v>
      </c>
      <c r="L4349" s="7">
        <v>305</v>
      </c>
      <c r="M4349" s="5">
        <v>242</v>
      </c>
      <c r="N4349" s="7">
        <v>73810</v>
      </c>
      <c r="O4349">
        <v>305</v>
      </c>
      <c r="P4349">
        <v>242</v>
      </c>
      <c r="Q4349" s="2">
        <v>73810</v>
      </c>
      <c r="R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 s="1">
        <v>42382</v>
      </c>
      <c r="AC4349" t="s">
        <v>53</v>
      </c>
      <c r="AD4349" t="s">
        <v>53</v>
      </c>
      <c r="AK4349">
        <v>0</v>
      </c>
      <c r="AU4349" s="6">
        <v>42278</v>
      </c>
      <c r="AV4349" s="6">
        <v>42278</v>
      </c>
      <c r="AW4349" t="s">
        <v>54</v>
      </c>
      <c r="AX4349" t="str">
        <f t="shared" si="361"/>
        <v>FOR</v>
      </c>
      <c r="AY4349" t="s">
        <v>55</v>
      </c>
    </row>
    <row r="4350" spans="1:51">
      <c r="A4350">
        <v>101541</v>
      </c>
      <c r="B4350" t="s">
        <v>763</v>
      </c>
      <c r="C4350" t="str">
        <f t="shared" si="364"/>
        <v>08230471008</v>
      </c>
      <c r="D4350" t="str">
        <f t="shared" si="364"/>
        <v>08230471008</v>
      </c>
      <c r="E4350" t="s">
        <v>52</v>
      </c>
      <c r="F4350">
        <v>2014</v>
      </c>
      <c r="G4350">
        <v>16308</v>
      </c>
      <c r="H4350" s="1">
        <v>41964</v>
      </c>
      <c r="I4350" s="1">
        <v>41976</v>
      </c>
      <c r="J4350" s="1">
        <v>41976</v>
      </c>
      <c r="K4350" s="1">
        <v>42036</v>
      </c>
      <c r="L4350" s="7">
        <v>305</v>
      </c>
      <c r="M4350" s="5">
        <v>242</v>
      </c>
      <c r="N4350" s="7">
        <v>73810</v>
      </c>
      <c r="O4350">
        <v>305</v>
      </c>
      <c r="P4350">
        <v>242</v>
      </c>
      <c r="Q4350" s="2">
        <v>73810</v>
      </c>
      <c r="R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 s="1">
        <v>42382</v>
      </c>
      <c r="AC4350" t="s">
        <v>53</v>
      </c>
      <c r="AD4350" t="s">
        <v>53</v>
      </c>
      <c r="AK4350">
        <v>0</v>
      </c>
      <c r="AU4350" s="6">
        <v>42278</v>
      </c>
      <c r="AV4350" s="6">
        <v>42278</v>
      </c>
      <c r="AW4350" t="s">
        <v>54</v>
      </c>
      <c r="AX4350" t="str">
        <f t="shared" si="361"/>
        <v>FOR</v>
      </c>
      <c r="AY4350" t="s">
        <v>55</v>
      </c>
    </row>
    <row r="4351" spans="1:51">
      <c r="A4351">
        <v>101541</v>
      </c>
      <c r="B4351" t="s">
        <v>763</v>
      </c>
      <c r="C4351" t="str">
        <f t="shared" si="364"/>
        <v>08230471008</v>
      </c>
      <c r="D4351" t="str">
        <f t="shared" si="364"/>
        <v>08230471008</v>
      </c>
      <c r="E4351" t="s">
        <v>52</v>
      </c>
      <c r="F4351">
        <v>2014</v>
      </c>
      <c r="G4351">
        <v>16309</v>
      </c>
      <c r="H4351" s="1">
        <v>41964</v>
      </c>
      <c r="I4351" s="1">
        <v>41976</v>
      </c>
      <c r="J4351" s="1">
        <v>41976</v>
      </c>
      <c r="K4351" s="1">
        <v>42036</v>
      </c>
      <c r="L4351" s="7">
        <v>305</v>
      </c>
      <c r="M4351" s="5">
        <v>242</v>
      </c>
      <c r="N4351" s="7">
        <v>73810</v>
      </c>
      <c r="O4351">
        <v>305</v>
      </c>
      <c r="P4351">
        <v>242</v>
      </c>
      <c r="Q4351" s="2">
        <v>73810</v>
      </c>
      <c r="R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 s="1">
        <v>42382</v>
      </c>
      <c r="AC4351" t="s">
        <v>53</v>
      </c>
      <c r="AD4351" t="s">
        <v>53</v>
      </c>
      <c r="AK4351">
        <v>0</v>
      </c>
      <c r="AU4351" s="6">
        <v>42278</v>
      </c>
      <c r="AV4351" s="6">
        <v>42278</v>
      </c>
      <c r="AW4351" t="s">
        <v>54</v>
      </c>
      <c r="AX4351" t="str">
        <f t="shared" si="361"/>
        <v>FOR</v>
      </c>
      <c r="AY4351" t="s">
        <v>55</v>
      </c>
    </row>
    <row r="4352" spans="1:51">
      <c r="A4352">
        <v>101541</v>
      </c>
      <c r="B4352" t="s">
        <v>763</v>
      </c>
      <c r="C4352" t="str">
        <f t="shared" si="364"/>
        <v>08230471008</v>
      </c>
      <c r="D4352" t="str">
        <f t="shared" si="364"/>
        <v>08230471008</v>
      </c>
      <c r="E4352" t="s">
        <v>52</v>
      </c>
      <c r="F4352">
        <v>2014</v>
      </c>
      <c r="G4352">
        <v>16310</v>
      </c>
      <c r="H4352" s="1">
        <v>41964</v>
      </c>
      <c r="I4352" s="1">
        <v>41976</v>
      </c>
      <c r="J4352" s="1">
        <v>41976</v>
      </c>
      <c r="K4352" s="1">
        <v>42036</v>
      </c>
      <c r="L4352" s="7">
        <v>305</v>
      </c>
      <c r="M4352" s="5">
        <v>242</v>
      </c>
      <c r="N4352" s="7">
        <v>73810</v>
      </c>
      <c r="O4352">
        <v>305</v>
      </c>
      <c r="P4352">
        <v>242</v>
      </c>
      <c r="Q4352" s="2">
        <v>73810</v>
      </c>
      <c r="R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 s="1">
        <v>42382</v>
      </c>
      <c r="AC4352" t="s">
        <v>53</v>
      </c>
      <c r="AD4352" t="s">
        <v>53</v>
      </c>
      <c r="AK4352">
        <v>0</v>
      </c>
      <c r="AU4352" s="6">
        <v>42278</v>
      </c>
      <c r="AV4352" s="6">
        <v>42278</v>
      </c>
      <c r="AW4352" t="s">
        <v>54</v>
      </c>
      <c r="AX4352" t="str">
        <f t="shared" si="361"/>
        <v>FOR</v>
      </c>
      <c r="AY4352" t="s">
        <v>55</v>
      </c>
    </row>
    <row r="4353" spans="1:51">
      <c r="A4353">
        <v>101541</v>
      </c>
      <c r="B4353" t="s">
        <v>763</v>
      </c>
      <c r="C4353" t="str">
        <f t="shared" si="364"/>
        <v>08230471008</v>
      </c>
      <c r="D4353" t="str">
        <f t="shared" si="364"/>
        <v>08230471008</v>
      </c>
      <c r="E4353" t="s">
        <v>52</v>
      </c>
      <c r="F4353">
        <v>2014</v>
      </c>
      <c r="G4353">
        <v>16311</v>
      </c>
      <c r="H4353" s="1">
        <v>41964</v>
      </c>
      <c r="I4353" s="1">
        <v>41976</v>
      </c>
      <c r="J4353" s="1">
        <v>41976</v>
      </c>
      <c r="K4353" s="1">
        <v>42036</v>
      </c>
      <c r="L4353" s="7">
        <v>305</v>
      </c>
      <c r="M4353" s="5">
        <v>242</v>
      </c>
      <c r="N4353" s="7">
        <v>73810</v>
      </c>
      <c r="O4353">
        <v>305</v>
      </c>
      <c r="P4353">
        <v>242</v>
      </c>
      <c r="Q4353" s="2">
        <v>73810</v>
      </c>
      <c r="R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 s="1">
        <v>42382</v>
      </c>
      <c r="AC4353" t="s">
        <v>53</v>
      </c>
      <c r="AD4353" t="s">
        <v>53</v>
      </c>
      <c r="AK4353">
        <v>0</v>
      </c>
      <c r="AU4353" s="6">
        <v>42278</v>
      </c>
      <c r="AV4353" s="6">
        <v>42278</v>
      </c>
      <c r="AW4353" t="s">
        <v>54</v>
      </c>
      <c r="AX4353" t="str">
        <f t="shared" si="361"/>
        <v>FOR</v>
      </c>
      <c r="AY4353" t="s">
        <v>55</v>
      </c>
    </row>
    <row r="4354" spans="1:51">
      <c r="A4354">
        <v>101541</v>
      </c>
      <c r="B4354" t="s">
        <v>763</v>
      </c>
      <c r="C4354" t="str">
        <f t="shared" si="364"/>
        <v>08230471008</v>
      </c>
      <c r="D4354" t="str">
        <f t="shared" si="364"/>
        <v>08230471008</v>
      </c>
      <c r="E4354" t="s">
        <v>52</v>
      </c>
      <c r="F4354">
        <v>2014</v>
      </c>
      <c r="G4354">
        <v>16312</v>
      </c>
      <c r="H4354" s="1">
        <v>41964</v>
      </c>
      <c r="I4354" s="1">
        <v>41976</v>
      </c>
      <c r="J4354" s="1">
        <v>41976</v>
      </c>
      <c r="K4354" s="1">
        <v>42036</v>
      </c>
      <c r="L4354" s="7">
        <v>305</v>
      </c>
      <c r="M4354" s="5">
        <v>242</v>
      </c>
      <c r="N4354" s="7">
        <v>73810</v>
      </c>
      <c r="O4354">
        <v>305</v>
      </c>
      <c r="P4354">
        <v>242</v>
      </c>
      <c r="Q4354" s="2">
        <v>73810</v>
      </c>
      <c r="R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 s="1">
        <v>42382</v>
      </c>
      <c r="AC4354" t="s">
        <v>53</v>
      </c>
      <c r="AD4354" t="s">
        <v>53</v>
      </c>
      <c r="AK4354">
        <v>0</v>
      </c>
      <c r="AU4354" s="6">
        <v>42278</v>
      </c>
      <c r="AV4354" s="6">
        <v>42278</v>
      </c>
      <c r="AW4354" t="s">
        <v>54</v>
      </c>
      <c r="AX4354" t="str">
        <f t="shared" si="361"/>
        <v>FOR</v>
      </c>
      <c r="AY4354" t="s">
        <v>55</v>
      </c>
    </row>
    <row r="4355" spans="1:51">
      <c r="A4355">
        <v>101541</v>
      </c>
      <c r="B4355" t="s">
        <v>763</v>
      </c>
      <c r="C4355" t="str">
        <f t="shared" si="364"/>
        <v>08230471008</v>
      </c>
      <c r="D4355" t="str">
        <f t="shared" si="364"/>
        <v>08230471008</v>
      </c>
      <c r="E4355" t="s">
        <v>52</v>
      </c>
      <c r="F4355">
        <v>2014</v>
      </c>
      <c r="G4355">
        <v>16313</v>
      </c>
      <c r="H4355" s="1">
        <v>41964</v>
      </c>
      <c r="I4355" s="1">
        <v>41976</v>
      </c>
      <c r="J4355" s="1">
        <v>41976</v>
      </c>
      <c r="K4355" s="1">
        <v>42036</v>
      </c>
      <c r="L4355" s="7">
        <v>305</v>
      </c>
      <c r="M4355" s="5">
        <v>242</v>
      </c>
      <c r="N4355" s="7">
        <v>73810</v>
      </c>
      <c r="O4355">
        <v>305</v>
      </c>
      <c r="P4355">
        <v>242</v>
      </c>
      <c r="Q4355" s="2">
        <v>73810</v>
      </c>
      <c r="R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 s="1">
        <v>42382</v>
      </c>
      <c r="AC4355" t="s">
        <v>53</v>
      </c>
      <c r="AD4355" t="s">
        <v>53</v>
      </c>
      <c r="AK4355">
        <v>0</v>
      </c>
      <c r="AU4355" s="6">
        <v>42278</v>
      </c>
      <c r="AV4355" s="6">
        <v>42278</v>
      </c>
      <c r="AW4355" t="s">
        <v>54</v>
      </c>
      <c r="AX4355" t="str">
        <f t="shared" ref="AX4355:AX4418" si="365">"FOR"</f>
        <v>FOR</v>
      </c>
      <c r="AY4355" t="s">
        <v>55</v>
      </c>
    </row>
    <row r="4356" spans="1:51">
      <c r="A4356">
        <v>101541</v>
      </c>
      <c r="B4356" t="s">
        <v>763</v>
      </c>
      <c r="C4356" t="str">
        <f t="shared" si="364"/>
        <v>08230471008</v>
      </c>
      <c r="D4356" t="str">
        <f t="shared" si="364"/>
        <v>08230471008</v>
      </c>
      <c r="E4356" t="s">
        <v>52</v>
      </c>
      <c r="F4356">
        <v>2014</v>
      </c>
      <c r="G4356">
        <v>16314</v>
      </c>
      <c r="H4356" s="1">
        <v>41964</v>
      </c>
      <c r="I4356" s="1">
        <v>41976</v>
      </c>
      <c r="J4356" s="1">
        <v>41976</v>
      </c>
      <c r="K4356" s="1">
        <v>42036</v>
      </c>
      <c r="L4356" s="7">
        <v>305</v>
      </c>
      <c r="M4356" s="5">
        <v>242</v>
      </c>
      <c r="N4356" s="7">
        <v>73810</v>
      </c>
      <c r="O4356">
        <v>305</v>
      </c>
      <c r="P4356">
        <v>242</v>
      </c>
      <c r="Q4356" s="2">
        <v>73810</v>
      </c>
      <c r="R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 s="1">
        <v>42382</v>
      </c>
      <c r="AC4356" t="s">
        <v>53</v>
      </c>
      <c r="AD4356" t="s">
        <v>53</v>
      </c>
      <c r="AK4356">
        <v>0</v>
      </c>
      <c r="AU4356" s="6">
        <v>42278</v>
      </c>
      <c r="AV4356" s="6">
        <v>42278</v>
      </c>
      <c r="AW4356" t="s">
        <v>54</v>
      </c>
      <c r="AX4356" t="str">
        <f t="shared" si="365"/>
        <v>FOR</v>
      </c>
      <c r="AY4356" t="s">
        <v>55</v>
      </c>
    </row>
    <row r="4357" spans="1:51">
      <c r="A4357">
        <v>101541</v>
      </c>
      <c r="B4357" t="s">
        <v>763</v>
      </c>
      <c r="C4357" t="str">
        <f t="shared" si="364"/>
        <v>08230471008</v>
      </c>
      <c r="D4357" t="str">
        <f t="shared" si="364"/>
        <v>08230471008</v>
      </c>
      <c r="E4357" t="s">
        <v>52</v>
      </c>
      <c r="F4357">
        <v>2014</v>
      </c>
      <c r="G4357">
        <v>16315</v>
      </c>
      <c r="H4357" s="1">
        <v>41964</v>
      </c>
      <c r="I4357" s="1">
        <v>41976</v>
      </c>
      <c r="J4357" s="1">
        <v>41976</v>
      </c>
      <c r="K4357" s="1">
        <v>42036</v>
      </c>
      <c r="L4357" s="7">
        <v>305</v>
      </c>
      <c r="M4357" s="5">
        <v>242</v>
      </c>
      <c r="N4357" s="7">
        <v>73810</v>
      </c>
      <c r="O4357">
        <v>305</v>
      </c>
      <c r="P4357">
        <v>242</v>
      </c>
      <c r="Q4357" s="2">
        <v>73810</v>
      </c>
      <c r="R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 s="1">
        <v>42382</v>
      </c>
      <c r="AC4357" t="s">
        <v>53</v>
      </c>
      <c r="AD4357" t="s">
        <v>53</v>
      </c>
      <c r="AK4357">
        <v>0</v>
      </c>
      <c r="AU4357" s="6">
        <v>42278</v>
      </c>
      <c r="AV4357" s="6">
        <v>42278</v>
      </c>
      <c r="AW4357" t="s">
        <v>54</v>
      </c>
      <c r="AX4357" t="str">
        <f t="shared" si="365"/>
        <v>FOR</v>
      </c>
      <c r="AY4357" t="s">
        <v>55</v>
      </c>
    </row>
    <row r="4358" spans="1:51">
      <c r="A4358">
        <v>101541</v>
      </c>
      <c r="B4358" t="s">
        <v>763</v>
      </c>
      <c r="C4358" t="str">
        <f t="shared" si="364"/>
        <v>08230471008</v>
      </c>
      <c r="D4358" t="str">
        <f t="shared" si="364"/>
        <v>08230471008</v>
      </c>
      <c r="E4358" t="s">
        <v>52</v>
      </c>
      <c r="F4358">
        <v>2014</v>
      </c>
      <c r="G4358">
        <v>16316</v>
      </c>
      <c r="H4358" s="1">
        <v>41964</v>
      </c>
      <c r="I4358" s="1">
        <v>41976</v>
      </c>
      <c r="J4358" s="1">
        <v>41976</v>
      </c>
      <c r="K4358" s="1">
        <v>42036</v>
      </c>
      <c r="L4358" s="7">
        <v>305</v>
      </c>
      <c r="M4358" s="5">
        <v>242</v>
      </c>
      <c r="N4358" s="7">
        <v>73810</v>
      </c>
      <c r="O4358">
        <v>305</v>
      </c>
      <c r="P4358">
        <v>242</v>
      </c>
      <c r="Q4358" s="2">
        <v>73810</v>
      </c>
      <c r="R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 s="1">
        <v>42382</v>
      </c>
      <c r="AC4358" t="s">
        <v>53</v>
      </c>
      <c r="AD4358" t="s">
        <v>53</v>
      </c>
      <c r="AK4358">
        <v>0</v>
      </c>
      <c r="AU4358" s="6">
        <v>42278</v>
      </c>
      <c r="AV4358" s="6">
        <v>42278</v>
      </c>
      <c r="AW4358" t="s">
        <v>54</v>
      </c>
      <c r="AX4358" t="str">
        <f t="shared" si="365"/>
        <v>FOR</v>
      </c>
      <c r="AY4358" t="s">
        <v>55</v>
      </c>
    </row>
    <row r="4359" spans="1:51">
      <c r="A4359">
        <v>101541</v>
      </c>
      <c r="B4359" t="s">
        <v>763</v>
      </c>
      <c r="C4359" t="str">
        <f t="shared" si="364"/>
        <v>08230471008</v>
      </c>
      <c r="D4359" t="str">
        <f t="shared" si="364"/>
        <v>08230471008</v>
      </c>
      <c r="E4359" t="s">
        <v>52</v>
      </c>
      <c r="F4359">
        <v>2014</v>
      </c>
      <c r="G4359">
        <v>16317</v>
      </c>
      <c r="H4359" s="1">
        <v>41964</v>
      </c>
      <c r="I4359" s="1">
        <v>41976</v>
      </c>
      <c r="J4359" s="1">
        <v>41976</v>
      </c>
      <c r="K4359" s="1">
        <v>42036</v>
      </c>
      <c r="L4359" s="7">
        <v>728</v>
      </c>
      <c r="M4359" s="5">
        <v>242</v>
      </c>
      <c r="N4359" s="7">
        <v>176176</v>
      </c>
      <c r="O4359">
        <v>728</v>
      </c>
      <c r="P4359">
        <v>242</v>
      </c>
      <c r="Q4359" s="2">
        <v>176176</v>
      </c>
      <c r="R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 s="1">
        <v>42382</v>
      </c>
      <c r="AC4359" t="s">
        <v>53</v>
      </c>
      <c r="AD4359" t="s">
        <v>53</v>
      </c>
      <c r="AK4359">
        <v>0</v>
      </c>
      <c r="AU4359" s="6">
        <v>42278</v>
      </c>
      <c r="AV4359" s="6">
        <v>42278</v>
      </c>
      <c r="AW4359" t="s">
        <v>54</v>
      </c>
      <c r="AX4359" t="str">
        <f t="shared" si="365"/>
        <v>FOR</v>
      </c>
      <c r="AY4359" t="s">
        <v>55</v>
      </c>
    </row>
    <row r="4360" spans="1:51">
      <c r="A4360">
        <v>101541</v>
      </c>
      <c r="B4360" t="s">
        <v>763</v>
      </c>
      <c r="C4360" t="str">
        <f t="shared" si="364"/>
        <v>08230471008</v>
      </c>
      <c r="D4360" t="str">
        <f t="shared" si="364"/>
        <v>08230471008</v>
      </c>
      <c r="E4360" t="s">
        <v>52</v>
      </c>
      <c r="F4360">
        <v>2014</v>
      </c>
      <c r="G4360">
        <v>16318</v>
      </c>
      <c r="H4360" s="1">
        <v>41964</v>
      </c>
      <c r="I4360" s="1">
        <v>41976</v>
      </c>
      <c r="J4360" s="1">
        <v>41976</v>
      </c>
      <c r="K4360" s="1">
        <v>42036</v>
      </c>
      <c r="L4360" s="7">
        <v>305</v>
      </c>
      <c r="M4360" s="5">
        <v>242</v>
      </c>
      <c r="N4360" s="7">
        <v>73810</v>
      </c>
      <c r="O4360">
        <v>305</v>
      </c>
      <c r="P4360">
        <v>242</v>
      </c>
      <c r="Q4360" s="2">
        <v>73810</v>
      </c>
      <c r="R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 s="1">
        <v>42382</v>
      </c>
      <c r="AC4360" t="s">
        <v>53</v>
      </c>
      <c r="AD4360" t="s">
        <v>53</v>
      </c>
      <c r="AK4360">
        <v>0</v>
      </c>
      <c r="AU4360" s="6">
        <v>42278</v>
      </c>
      <c r="AV4360" s="6">
        <v>42278</v>
      </c>
      <c r="AW4360" t="s">
        <v>54</v>
      </c>
      <c r="AX4360" t="str">
        <f t="shared" si="365"/>
        <v>FOR</v>
      </c>
      <c r="AY4360" t="s">
        <v>55</v>
      </c>
    </row>
    <row r="4361" spans="1:51">
      <c r="A4361">
        <v>101541</v>
      </c>
      <c r="B4361" t="s">
        <v>763</v>
      </c>
      <c r="C4361" t="str">
        <f t="shared" si="364"/>
        <v>08230471008</v>
      </c>
      <c r="D4361" t="str">
        <f t="shared" si="364"/>
        <v>08230471008</v>
      </c>
      <c r="E4361" t="s">
        <v>52</v>
      </c>
      <c r="F4361">
        <v>2014</v>
      </c>
      <c r="G4361">
        <v>16319</v>
      </c>
      <c r="H4361" s="1">
        <v>41964</v>
      </c>
      <c r="I4361" s="1">
        <v>41976</v>
      </c>
      <c r="J4361" s="1">
        <v>41976</v>
      </c>
      <c r="K4361" s="1">
        <v>42036</v>
      </c>
      <c r="L4361" s="7">
        <v>728</v>
      </c>
      <c r="M4361" s="5">
        <v>242</v>
      </c>
      <c r="N4361" s="7">
        <v>176176</v>
      </c>
      <c r="O4361">
        <v>728</v>
      </c>
      <c r="P4361">
        <v>242</v>
      </c>
      <c r="Q4361" s="2">
        <v>176176</v>
      </c>
      <c r="R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 s="1">
        <v>42382</v>
      </c>
      <c r="AC4361" t="s">
        <v>53</v>
      </c>
      <c r="AD4361" t="s">
        <v>53</v>
      </c>
      <c r="AK4361">
        <v>0</v>
      </c>
      <c r="AU4361" s="6">
        <v>42278</v>
      </c>
      <c r="AV4361" s="6">
        <v>42278</v>
      </c>
      <c r="AW4361" t="s">
        <v>54</v>
      </c>
      <c r="AX4361" t="str">
        <f t="shared" si="365"/>
        <v>FOR</v>
      </c>
      <c r="AY4361" t="s">
        <v>55</v>
      </c>
    </row>
    <row r="4362" spans="1:51">
      <c r="A4362">
        <v>101541</v>
      </c>
      <c r="B4362" t="s">
        <v>763</v>
      </c>
      <c r="C4362" t="str">
        <f t="shared" si="364"/>
        <v>08230471008</v>
      </c>
      <c r="D4362" t="str">
        <f t="shared" si="364"/>
        <v>08230471008</v>
      </c>
      <c r="E4362" t="s">
        <v>52</v>
      </c>
      <c r="F4362">
        <v>2014</v>
      </c>
      <c r="G4362">
        <v>16320</v>
      </c>
      <c r="H4362" s="1">
        <v>41964</v>
      </c>
      <c r="I4362" s="1">
        <v>41976</v>
      </c>
      <c r="J4362" s="1">
        <v>41976</v>
      </c>
      <c r="K4362" s="1">
        <v>42036</v>
      </c>
      <c r="L4362" s="7">
        <v>728</v>
      </c>
      <c r="M4362" s="5">
        <v>242</v>
      </c>
      <c r="N4362" s="7">
        <v>176176</v>
      </c>
      <c r="O4362">
        <v>728</v>
      </c>
      <c r="P4362">
        <v>242</v>
      </c>
      <c r="Q4362" s="2">
        <v>176176</v>
      </c>
      <c r="R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 s="1">
        <v>42382</v>
      </c>
      <c r="AC4362" t="s">
        <v>53</v>
      </c>
      <c r="AD4362" t="s">
        <v>53</v>
      </c>
      <c r="AK4362">
        <v>0</v>
      </c>
      <c r="AU4362" s="6">
        <v>42278</v>
      </c>
      <c r="AV4362" s="6">
        <v>42278</v>
      </c>
      <c r="AW4362" t="s">
        <v>54</v>
      </c>
      <c r="AX4362" t="str">
        <f t="shared" si="365"/>
        <v>FOR</v>
      </c>
      <c r="AY4362" t="s">
        <v>55</v>
      </c>
    </row>
    <row r="4363" spans="1:51">
      <c r="A4363">
        <v>101541</v>
      </c>
      <c r="B4363" t="s">
        <v>763</v>
      </c>
      <c r="C4363" t="str">
        <f t="shared" ref="C4363:D4382" si="366">"08230471008"</f>
        <v>08230471008</v>
      </c>
      <c r="D4363" t="str">
        <f t="shared" si="366"/>
        <v>08230471008</v>
      </c>
      <c r="E4363" t="s">
        <v>52</v>
      </c>
      <c r="F4363">
        <v>2014</v>
      </c>
      <c r="G4363">
        <v>16321</v>
      </c>
      <c r="H4363" s="1">
        <v>41964</v>
      </c>
      <c r="I4363" s="1">
        <v>41976</v>
      </c>
      <c r="J4363" s="1">
        <v>41976</v>
      </c>
      <c r="K4363" s="1">
        <v>42036</v>
      </c>
      <c r="L4363" s="7">
        <v>305</v>
      </c>
      <c r="M4363" s="5">
        <v>242</v>
      </c>
      <c r="N4363" s="7">
        <v>73810</v>
      </c>
      <c r="O4363">
        <v>305</v>
      </c>
      <c r="P4363">
        <v>242</v>
      </c>
      <c r="Q4363" s="2">
        <v>73810</v>
      </c>
      <c r="R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 s="1">
        <v>42382</v>
      </c>
      <c r="AC4363" t="s">
        <v>53</v>
      </c>
      <c r="AD4363" t="s">
        <v>53</v>
      </c>
      <c r="AK4363">
        <v>0</v>
      </c>
      <c r="AU4363" s="6">
        <v>42278</v>
      </c>
      <c r="AV4363" s="6">
        <v>42278</v>
      </c>
      <c r="AW4363" t="s">
        <v>54</v>
      </c>
      <c r="AX4363" t="str">
        <f t="shared" si="365"/>
        <v>FOR</v>
      </c>
      <c r="AY4363" t="s">
        <v>55</v>
      </c>
    </row>
    <row r="4364" spans="1:51">
      <c r="A4364">
        <v>101541</v>
      </c>
      <c r="B4364" t="s">
        <v>763</v>
      </c>
      <c r="C4364" t="str">
        <f t="shared" si="366"/>
        <v>08230471008</v>
      </c>
      <c r="D4364" t="str">
        <f t="shared" si="366"/>
        <v>08230471008</v>
      </c>
      <c r="E4364" t="s">
        <v>52</v>
      </c>
      <c r="F4364">
        <v>2014</v>
      </c>
      <c r="G4364">
        <v>16322</v>
      </c>
      <c r="H4364" s="1">
        <v>41964</v>
      </c>
      <c r="I4364" s="1">
        <v>41976</v>
      </c>
      <c r="J4364" s="1">
        <v>41976</v>
      </c>
      <c r="K4364" s="1">
        <v>42036</v>
      </c>
      <c r="L4364" s="7">
        <v>305</v>
      </c>
      <c r="M4364" s="5">
        <v>242</v>
      </c>
      <c r="N4364" s="7">
        <v>73810</v>
      </c>
      <c r="O4364">
        <v>305</v>
      </c>
      <c r="P4364">
        <v>242</v>
      </c>
      <c r="Q4364" s="2">
        <v>73810</v>
      </c>
      <c r="R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 s="1">
        <v>42382</v>
      </c>
      <c r="AC4364" t="s">
        <v>53</v>
      </c>
      <c r="AD4364" t="s">
        <v>53</v>
      </c>
      <c r="AK4364">
        <v>0</v>
      </c>
      <c r="AU4364" s="6">
        <v>42278</v>
      </c>
      <c r="AV4364" s="6">
        <v>42278</v>
      </c>
      <c r="AW4364" t="s">
        <v>54</v>
      </c>
      <c r="AX4364" t="str">
        <f t="shared" si="365"/>
        <v>FOR</v>
      </c>
      <c r="AY4364" t="s">
        <v>55</v>
      </c>
    </row>
    <row r="4365" spans="1:51">
      <c r="A4365">
        <v>101541</v>
      </c>
      <c r="B4365" t="s">
        <v>763</v>
      </c>
      <c r="C4365" t="str">
        <f t="shared" si="366"/>
        <v>08230471008</v>
      </c>
      <c r="D4365" t="str">
        <f t="shared" si="366"/>
        <v>08230471008</v>
      </c>
      <c r="E4365" t="s">
        <v>52</v>
      </c>
      <c r="F4365">
        <v>2014</v>
      </c>
      <c r="G4365">
        <v>16323</v>
      </c>
      <c r="H4365" s="1">
        <v>41964</v>
      </c>
      <c r="I4365" s="1">
        <v>41976</v>
      </c>
      <c r="J4365" s="1">
        <v>41976</v>
      </c>
      <c r="K4365" s="1">
        <v>42036</v>
      </c>
      <c r="L4365" s="7">
        <v>305</v>
      </c>
      <c r="M4365" s="5">
        <v>242</v>
      </c>
      <c r="N4365" s="7">
        <v>73810</v>
      </c>
      <c r="O4365">
        <v>305</v>
      </c>
      <c r="P4365">
        <v>242</v>
      </c>
      <c r="Q4365" s="2">
        <v>73810</v>
      </c>
      <c r="R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 s="1">
        <v>42382</v>
      </c>
      <c r="AC4365" t="s">
        <v>53</v>
      </c>
      <c r="AD4365" t="s">
        <v>53</v>
      </c>
      <c r="AK4365">
        <v>0</v>
      </c>
      <c r="AU4365" s="6">
        <v>42278</v>
      </c>
      <c r="AV4365" s="6">
        <v>42278</v>
      </c>
      <c r="AW4365" t="s">
        <v>54</v>
      </c>
      <c r="AX4365" t="str">
        <f t="shared" si="365"/>
        <v>FOR</v>
      </c>
      <c r="AY4365" t="s">
        <v>55</v>
      </c>
    </row>
    <row r="4366" spans="1:51">
      <c r="A4366">
        <v>101541</v>
      </c>
      <c r="B4366" t="s">
        <v>763</v>
      </c>
      <c r="C4366" t="str">
        <f t="shared" si="366"/>
        <v>08230471008</v>
      </c>
      <c r="D4366" t="str">
        <f t="shared" si="366"/>
        <v>08230471008</v>
      </c>
      <c r="E4366" t="s">
        <v>52</v>
      </c>
      <c r="F4366">
        <v>2014</v>
      </c>
      <c r="G4366">
        <v>16324</v>
      </c>
      <c r="H4366" s="1">
        <v>41964</v>
      </c>
      <c r="I4366" s="1">
        <v>41976</v>
      </c>
      <c r="J4366" s="1">
        <v>41976</v>
      </c>
      <c r="K4366" s="1">
        <v>42036</v>
      </c>
      <c r="L4366" s="7">
        <v>305</v>
      </c>
      <c r="M4366" s="5">
        <v>242</v>
      </c>
      <c r="N4366" s="7">
        <v>73810</v>
      </c>
      <c r="O4366">
        <v>305</v>
      </c>
      <c r="P4366">
        <v>242</v>
      </c>
      <c r="Q4366" s="2">
        <v>73810</v>
      </c>
      <c r="R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 s="1">
        <v>42382</v>
      </c>
      <c r="AC4366" t="s">
        <v>53</v>
      </c>
      <c r="AD4366" t="s">
        <v>53</v>
      </c>
      <c r="AK4366">
        <v>0</v>
      </c>
      <c r="AU4366" s="6">
        <v>42278</v>
      </c>
      <c r="AV4366" s="6">
        <v>42278</v>
      </c>
      <c r="AW4366" t="s">
        <v>54</v>
      </c>
      <c r="AX4366" t="str">
        <f t="shared" si="365"/>
        <v>FOR</v>
      </c>
      <c r="AY4366" t="s">
        <v>55</v>
      </c>
    </row>
    <row r="4367" spans="1:51">
      <c r="A4367">
        <v>101541</v>
      </c>
      <c r="B4367" t="s">
        <v>763</v>
      </c>
      <c r="C4367" t="str">
        <f t="shared" si="366"/>
        <v>08230471008</v>
      </c>
      <c r="D4367" t="str">
        <f t="shared" si="366"/>
        <v>08230471008</v>
      </c>
      <c r="E4367" t="s">
        <v>52</v>
      </c>
      <c r="F4367">
        <v>2014</v>
      </c>
      <c r="G4367">
        <v>16325</v>
      </c>
      <c r="H4367" s="1">
        <v>41964</v>
      </c>
      <c r="I4367" s="1">
        <v>41976</v>
      </c>
      <c r="J4367" s="1">
        <v>41976</v>
      </c>
      <c r="K4367" s="1">
        <v>42036</v>
      </c>
      <c r="L4367" s="7">
        <v>305</v>
      </c>
      <c r="M4367" s="5">
        <v>242</v>
      </c>
      <c r="N4367" s="7">
        <v>73810</v>
      </c>
      <c r="O4367">
        <v>305</v>
      </c>
      <c r="P4367">
        <v>242</v>
      </c>
      <c r="Q4367" s="2">
        <v>73810</v>
      </c>
      <c r="R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 s="1">
        <v>42382</v>
      </c>
      <c r="AC4367" t="s">
        <v>53</v>
      </c>
      <c r="AD4367" t="s">
        <v>53</v>
      </c>
      <c r="AK4367">
        <v>0</v>
      </c>
      <c r="AU4367" s="6">
        <v>42278</v>
      </c>
      <c r="AV4367" s="6">
        <v>42278</v>
      </c>
      <c r="AW4367" t="s">
        <v>54</v>
      </c>
      <c r="AX4367" t="str">
        <f t="shared" si="365"/>
        <v>FOR</v>
      </c>
      <c r="AY4367" t="s">
        <v>55</v>
      </c>
    </row>
    <row r="4368" spans="1:51">
      <c r="A4368">
        <v>101541</v>
      </c>
      <c r="B4368" t="s">
        <v>763</v>
      </c>
      <c r="C4368" t="str">
        <f t="shared" si="366"/>
        <v>08230471008</v>
      </c>
      <c r="D4368" t="str">
        <f t="shared" si="366"/>
        <v>08230471008</v>
      </c>
      <c r="E4368" t="s">
        <v>52</v>
      </c>
      <c r="F4368">
        <v>2014</v>
      </c>
      <c r="G4368">
        <v>16326</v>
      </c>
      <c r="H4368" s="1">
        <v>41964</v>
      </c>
      <c r="I4368" s="1">
        <v>41976</v>
      </c>
      <c r="J4368" s="1">
        <v>41976</v>
      </c>
      <c r="K4368" s="1">
        <v>42036</v>
      </c>
      <c r="L4368" s="7">
        <v>305</v>
      </c>
      <c r="M4368" s="5">
        <v>242</v>
      </c>
      <c r="N4368" s="7">
        <v>73810</v>
      </c>
      <c r="O4368">
        <v>305</v>
      </c>
      <c r="P4368">
        <v>242</v>
      </c>
      <c r="Q4368" s="2">
        <v>73810</v>
      </c>
      <c r="R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 s="1">
        <v>42382</v>
      </c>
      <c r="AC4368" t="s">
        <v>53</v>
      </c>
      <c r="AD4368" t="s">
        <v>53</v>
      </c>
      <c r="AK4368">
        <v>0</v>
      </c>
      <c r="AU4368" s="6">
        <v>42278</v>
      </c>
      <c r="AV4368" s="6">
        <v>42278</v>
      </c>
      <c r="AW4368" t="s">
        <v>54</v>
      </c>
      <c r="AX4368" t="str">
        <f t="shared" si="365"/>
        <v>FOR</v>
      </c>
      <c r="AY4368" t="s">
        <v>55</v>
      </c>
    </row>
    <row r="4369" spans="1:51">
      <c r="A4369">
        <v>101541</v>
      </c>
      <c r="B4369" t="s">
        <v>763</v>
      </c>
      <c r="C4369" t="str">
        <f t="shared" si="366"/>
        <v>08230471008</v>
      </c>
      <c r="D4369" t="str">
        <f t="shared" si="366"/>
        <v>08230471008</v>
      </c>
      <c r="E4369" t="s">
        <v>52</v>
      </c>
      <c r="F4369">
        <v>2014</v>
      </c>
      <c r="G4369">
        <v>16327</v>
      </c>
      <c r="H4369" s="1">
        <v>41964</v>
      </c>
      <c r="I4369" s="1">
        <v>41976</v>
      </c>
      <c r="J4369" s="1">
        <v>41976</v>
      </c>
      <c r="K4369" s="1">
        <v>42036</v>
      </c>
      <c r="L4369" s="7">
        <v>305</v>
      </c>
      <c r="M4369" s="5">
        <v>242</v>
      </c>
      <c r="N4369" s="7">
        <v>73810</v>
      </c>
      <c r="O4369">
        <v>305</v>
      </c>
      <c r="P4369">
        <v>242</v>
      </c>
      <c r="Q4369" s="2">
        <v>73810</v>
      </c>
      <c r="R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 s="1">
        <v>42382</v>
      </c>
      <c r="AC4369" t="s">
        <v>53</v>
      </c>
      <c r="AD4369" t="s">
        <v>53</v>
      </c>
      <c r="AK4369">
        <v>0</v>
      </c>
      <c r="AU4369" s="6">
        <v>42278</v>
      </c>
      <c r="AV4369" s="6">
        <v>42278</v>
      </c>
      <c r="AW4369" t="s">
        <v>54</v>
      </c>
      <c r="AX4369" t="str">
        <f t="shared" si="365"/>
        <v>FOR</v>
      </c>
      <c r="AY4369" t="s">
        <v>55</v>
      </c>
    </row>
    <row r="4370" spans="1:51">
      <c r="A4370">
        <v>101541</v>
      </c>
      <c r="B4370" t="s">
        <v>763</v>
      </c>
      <c r="C4370" t="str">
        <f t="shared" si="366"/>
        <v>08230471008</v>
      </c>
      <c r="D4370" t="str">
        <f t="shared" si="366"/>
        <v>08230471008</v>
      </c>
      <c r="E4370" t="s">
        <v>52</v>
      </c>
      <c r="F4370">
        <v>2014</v>
      </c>
      <c r="G4370">
        <v>16328</v>
      </c>
      <c r="H4370" s="1">
        <v>41964</v>
      </c>
      <c r="I4370" s="1">
        <v>41976</v>
      </c>
      <c r="J4370" s="1">
        <v>41976</v>
      </c>
      <c r="K4370" s="1">
        <v>42036</v>
      </c>
      <c r="L4370" s="7">
        <v>305</v>
      </c>
      <c r="M4370" s="5">
        <v>242</v>
      </c>
      <c r="N4370" s="7">
        <v>73810</v>
      </c>
      <c r="O4370">
        <v>305</v>
      </c>
      <c r="P4370">
        <v>242</v>
      </c>
      <c r="Q4370" s="2">
        <v>73810</v>
      </c>
      <c r="R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 s="1">
        <v>42382</v>
      </c>
      <c r="AC4370" t="s">
        <v>53</v>
      </c>
      <c r="AD4370" t="s">
        <v>53</v>
      </c>
      <c r="AK4370">
        <v>0</v>
      </c>
      <c r="AU4370" s="6">
        <v>42278</v>
      </c>
      <c r="AV4370" s="6">
        <v>42278</v>
      </c>
      <c r="AW4370" t="s">
        <v>54</v>
      </c>
      <c r="AX4370" t="str">
        <f t="shared" si="365"/>
        <v>FOR</v>
      </c>
      <c r="AY4370" t="s">
        <v>55</v>
      </c>
    </row>
    <row r="4371" spans="1:51">
      <c r="A4371">
        <v>101541</v>
      </c>
      <c r="B4371" t="s">
        <v>763</v>
      </c>
      <c r="C4371" t="str">
        <f t="shared" si="366"/>
        <v>08230471008</v>
      </c>
      <c r="D4371" t="str">
        <f t="shared" si="366"/>
        <v>08230471008</v>
      </c>
      <c r="E4371" t="s">
        <v>52</v>
      </c>
      <c r="F4371">
        <v>2014</v>
      </c>
      <c r="G4371">
        <v>16329</v>
      </c>
      <c r="H4371" s="1">
        <v>41964</v>
      </c>
      <c r="I4371" s="1">
        <v>41976</v>
      </c>
      <c r="J4371" s="1">
        <v>41976</v>
      </c>
      <c r="K4371" s="1">
        <v>42036</v>
      </c>
      <c r="L4371" s="7">
        <v>1982.5</v>
      </c>
      <c r="M4371" s="5">
        <v>242</v>
      </c>
      <c r="N4371" s="7">
        <v>479765</v>
      </c>
      <c r="O4371" s="2">
        <v>1982.5</v>
      </c>
      <c r="P4371">
        <v>242</v>
      </c>
      <c r="Q4371" s="2">
        <v>479765</v>
      </c>
      <c r="R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 s="1">
        <v>42382</v>
      </c>
      <c r="AC4371" t="s">
        <v>53</v>
      </c>
      <c r="AD4371" t="s">
        <v>53</v>
      </c>
      <c r="AK4371">
        <v>0</v>
      </c>
      <c r="AU4371" s="6">
        <v>42278</v>
      </c>
      <c r="AV4371" s="6">
        <v>42278</v>
      </c>
      <c r="AW4371" t="s">
        <v>54</v>
      </c>
      <c r="AX4371" t="str">
        <f t="shared" si="365"/>
        <v>FOR</v>
      </c>
      <c r="AY4371" t="s">
        <v>55</v>
      </c>
    </row>
    <row r="4372" spans="1:51">
      <c r="A4372">
        <v>101541</v>
      </c>
      <c r="B4372" t="s">
        <v>763</v>
      </c>
      <c r="C4372" t="str">
        <f t="shared" si="366"/>
        <v>08230471008</v>
      </c>
      <c r="D4372" t="str">
        <f t="shared" si="366"/>
        <v>08230471008</v>
      </c>
      <c r="E4372" t="s">
        <v>52</v>
      </c>
      <c r="F4372">
        <v>2014</v>
      </c>
      <c r="G4372">
        <v>17241</v>
      </c>
      <c r="H4372" s="1">
        <v>41978</v>
      </c>
      <c r="I4372" s="1">
        <v>41990</v>
      </c>
      <c r="J4372" s="1">
        <v>41990</v>
      </c>
      <c r="K4372" s="1">
        <v>42050</v>
      </c>
      <c r="L4372" s="7">
        <v>305</v>
      </c>
      <c r="M4372" s="5">
        <v>291</v>
      </c>
      <c r="N4372" s="7">
        <v>88755</v>
      </c>
      <c r="O4372">
        <v>305</v>
      </c>
      <c r="P4372">
        <v>291</v>
      </c>
      <c r="Q4372" s="2">
        <v>88755</v>
      </c>
      <c r="R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 s="1">
        <v>42382</v>
      </c>
      <c r="AC4372" t="s">
        <v>53</v>
      </c>
      <c r="AD4372" t="s">
        <v>53</v>
      </c>
      <c r="AK4372">
        <v>0</v>
      </c>
      <c r="AU4372" s="6">
        <v>42341</v>
      </c>
      <c r="AV4372" s="6">
        <v>42341</v>
      </c>
      <c r="AW4372" t="s">
        <v>54</v>
      </c>
      <c r="AX4372" t="str">
        <f t="shared" si="365"/>
        <v>FOR</v>
      </c>
      <c r="AY4372" t="s">
        <v>55</v>
      </c>
    </row>
    <row r="4373" spans="1:51">
      <c r="A4373">
        <v>101541</v>
      </c>
      <c r="B4373" t="s">
        <v>763</v>
      </c>
      <c r="C4373" t="str">
        <f t="shared" si="366"/>
        <v>08230471008</v>
      </c>
      <c r="D4373" t="str">
        <f t="shared" si="366"/>
        <v>08230471008</v>
      </c>
      <c r="E4373" t="s">
        <v>52</v>
      </c>
      <c r="F4373">
        <v>2014</v>
      </c>
      <c r="G4373">
        <v>17242</v>
      </c>
      <c r="H4373" s="1">
        <v>41978</v>
      </c>
      <c r="I4373" s="1">
        <v>41990</v>
      </c>
      <c r="J4373" s="1">
        <v>41990</v>
      </c>
      <c r="K4373" s="1">
        <v>42050</v>
      </c>
      <c r="L4373" s="7">
        <v>305</v>
      </c>
      <c r="M4373" s="5">
        <v>291</v>
      </c>
      <c r="N4373" s="7">
        <v>88755</v>
      </c>
      <c r="O4373">
        <v>305</v>
      </c>
      <c r="P4373">
        <v>291</v>
      </c>
      <c r="Q4373" s="2">
        <v>88755</v>
      </c>
      <c r="R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 s="1">
        <v>42382</v>
      </c>
      <c r="AC4373" t="s">
        <v>53</v>
      </c>
      <c r="AD4373" t="s">
        <v>53</v>
      </c>
      <c r="AK4373">
        <v>0</v>
      </c>
      <c r="AU4373" s="6">
        <v>42341</v>
      </c>
      <c r="AV4373" s="6">
        <v>42341</v>
      </c>
      <c r="AW4373" t="s">
        <v>54</v>
      </c>
      <c r="AX4373" t="str">
        <f t="shared" si="365"/>
        <v>FOR</v>
      </c>
      <c r="AY4373" t="s">
        <v>55</v>
      </c>
    </row>
    <row r="4374" spans="1:51">
      <c r="A4374">
        <v>101541</v>
      </c>
      <c r="B4374" t="s">
        <v>763</v>
      </c>
      <c r="C4374" t="str">
        <f t="shared" si="366"/>
        <v>08230471008</v>
      </c>
      <c r="D4374" t="str">
        <f t="shared" si="366"/>
        <v>08230471008</v>
      </c>
      <c r="E4374" t="s">
        <v>52</v>
      </c>
      <c r="F4374">
        <v>2014</v>
      </c>
      <c r="G4374">
        <v>18241</v>
      </c>
      <c r="H4374" s="1">
        <v>42004</v>
      </c>
      <c r="I4374" s="1">
        <v>42024</v>
      </c>
      <c r="J4374" s="1">
        <v>42024</v>
      </c>
      <c r="K4374" s="1">
        <v>42084</v>
      </c>
      <c r="L4374" s="7">
        <v>728</v>
      </c>
      <c r="M4374" s="5">
        <v>257</v>
      </c>
      <c r="N4374" s="7">
        <v>187096</v>
      </c>
      <c r="O4374">
        <v>728</v>
      </c>
      <c r="P4374">
        <v>257</v>
      </c>
      <c r="Q4374" s="2">
        <v>187096</v>
      </c>
      <c r="R4374">
        <v>0</v>
      </c>
      <c r="V4374">
        <v>0</v>
      </c>
      <c r="W4374">
        <v>0</v>
      </c>
      <c r="X4374">
        <v>0</v>
      </c>
      <c r="Y4374">
        <v>0</v>
      </c>
      <c r="Z4374">
        <v>728</v>
      </c>
      <c r="AA4374">
        <v>0</v>
      </c>
      <c r="AB4374" s="1">
        <v>42382</v>
      </c>
      <c r="AC4374" t="s">
        <v>53</v>
      </c>
      <c r="AD4374" t="s">
        <v>53</v>
      </c>
      <c r="AK4374">
        <v>0</v>
      </c>
      <c r="AU4374" s="6">
        <v>42341</v>
      </c>
      <c r="AV4374" s="6">
        <v>42341</v>
      </c>
      <c r="AW4374" t="s">
        <v>54</v>
      </c>
      <c r="AX4374" t="str">
        <f t="shared" si="365"/>
        <v>FOR</v>
      </c>
      <c r="AY4374" t="s">
        <v>55</v>
      </c>
    </row>
    <row r="4375" spans="1:51">
      <c r="A4375">
        <v>101541</v>
      </c>
      <c r="B4375" t="s">
        <v>763</v>
      </c>
      <c r="C4375" t="str">
        <f t="shared" si="366"/>
        <v>08230471008</v>
      </c>
      <c r="D4375" t="str">
        <f t="shared" si="366"/>
        <v>08230471008</v>
      </c>
      <c r="E4375" t="s">
        <v>52</v>
      </c>
      <c r="F4375">
        <v>2014</v>
      </c>
      <c r="G4375">
        <v>18242</v>
      </c>
      <c r="H4375" s="1">
        <v>42004</v>
      </c>
      <c r="I4375" s="1">
        <v>42024</v>
      </c>
      <c r="J4375" s="1">
        <v>42024</v>
      </c>
      <c r="K4375" s="1">
        <v>42084</v>
      </c>
      <c r="L4375" s="7">
        <v>728</v>
      </c>
      <c r="M4375" s="5">
        <v>257</v>
      </c>
      <c r="N4375" s="7">
        <v>187096</v>
      </c>
      <c r="O4375">
        <v>728</v>
      </c>
      <c r="P4375">
        <v>257</v>
      </c>
      <c r="Q4375" s="2">
        <v>187096</v>
      </c>
      <c r="R4375">
        <v>0</v>
      </c>
      <c r="V4375">
        <v>0</v>
      </c>
      <c r="W4375">
        <v>0</v>
      </c>
      <c r="X4375">
        <v>0</v>
      </c>
      <c r="Y4375">
        <v>0</v>
      </c>
      <c r="Z4375">
        <v>728</v>
      </c>
      <c r="AA4375">
        <v>0</v>
      </c>
      <c r="AB4375" s="1">
        <v>42382</v>
      </c>
      <c r="AC4375" t="s">
        <v>53</v>
      </c>
      <c r="AD4375" t="s">
        <v>53</v>
      </c>
      <c r="AK4375">
        <v>0</v>
      </c>
      <c r="AU4375" s="6">
        <v>42341</v>
      </c>
      <c r="AV4375" s="6">
        <v>42341</v>
      </c>
      <c r="AW4375" t="s">
        <v>54</v>
      </c>
      <c r="AX4375" t="str">
        <f t="shared" si="365"/>
        <v>FOR</v>
      </c>
      <c r="AY4375" t="s">
        <v>55</v>
      </c>
    </row>
    <row r="4376" spans="1:51">
      <c r="A4376">
        <v>101541</v>
      </c>
      <c r="B4376" t="s">
        <v>763</v>
      </c>
      <c r="C4376" t="str">
        <f t="shared" si="366"/>
        <v>08230471008</v>
      </c>
      <c r="D4376" t="str">
        <f t="shared" si="366"/>
        <v>08230471008</v>
      </c>
      <c r="E4376" t="s">
        <v>52</v>
      </c>
      <c r="F4376">
        <v>2014</v>
      </c>
      <c r="G4376">
        <v>18243</v>
      </c>
      <c r="H4376" s="1">
        <v>42004</v>
      </c>
      <c r="I4376" s="1">
        <v>42024</v>
      </c>
      <c r="J4376" s="1">
        <v>42024</v>
      </c>
      <c r="K4376" s="1">
        <v>42084</v>
      </c>
      <c r="L4376" s="7">
        <v>305</v>
      </c>
      <c r="M4376" s="5">
        <v>257</v>
      </c>
      <c r="N4376" s="7">
        <v>78385</v>
      </c>
      <c r="O4376">
        <v>305</v>
      </c>
      <c r="P4376">
        <v>257</v>
      </c>
      <c r="Q4376" s="2">
        <v>78385</v>
      </c>
      <c r="R4376">
        <v>0</v>
      </c>
      <c r="V4376">
        <v>0</v>
      </c>
      <c r="W4376">
        <v>0</v>
      </c>
      <c r="X4376">
        <v>0</v>
      </c>
      <c r="Y4376">
        <v>0</v>
      </c>
      <c r="Z4376">
        <v>305</v>
      </c>
      <c r="AA4376">
        <v>0</v>
      </c>
      <c r="AB4376" s="1">
        <v>42382</v>
      </c>
      <c r="AC4376" t="s">
        <v>53</v>
      </c>
      <c r="AD4376" t="s">
        <v>53</v>
      </c>
      <c r="AK4376">
        <v>0</v>
      </c>
      <c r="AU4376" s="6">
        <v>42341</v>
      </c>
      <c r="AV4376" s="6">
        <v>42341</v>
      </c>
      <c r="AW4376" t="s">
        <v>54</v>
      </c>
      <c r="AX4376" t="str">
        <f t="shared" si="365"/>
        <v>FOR</v>
      </c>
      <c r="AY4376" t="s">
        <v>55</v>
      </c>
    </row>
    <row r="4377" spans="1:51">
      <c r="A4377">
        <v>101541</v>
      </c>
      <c r="B4377" t="s">
        <v>763</v>
      </c>
      <c r="C4377" t="str">
        <f t="shared" si="366"/>
        <v>08230471008</v>
      </c>
      <c r="D4377" t="str">
        <f t="shared" si="366"/>
        <v>08230471008</v>
      </c>
      <c r="E4377" t="s">
        <v>52</v>
      </c>
      <c r="F4377">
        <v>2014</v>
      </c>
      <c r="G4377">
        <v>18244</v>
      </c>
      <c r="H4377" s="1">
        <v>42004</v>
      </c>
      <c r="I4377" s="1">
        <v>42024</v>
      </c>
      <c r="J4377" s="1">
        <v>42024</v>
      </c>
      <c r="K4377" s="1">
        <v>42084</v>
      </c>
      <c r="L4377" s="7">
        <v>305</v>
      </c>
      <c r="M4377" s="5">
        <v>257</v>
      </c>
      <c r="N4377" s="7">
        <v>78385</v>
      </c>
      <c r="O4377">
        <v>305</v>
      </c>
      <c r="P4377">
        <v>257</v>
      </c>
      <c r="Q4377" s="2">
        <v>78385</v>
      </c>
      <c r="R4377">
        <v>0</v>
      </c>
      <c r="V4377">
        <v>0</v>
      </c>
      <c r="W4377">
        <v>0</v>
      </c>
      <c r="X4377">
        <v>0</v>
      </c>
      <c r="Y4377">
        <v>0</v>
      </c>
      <c r="Z4377">
        <v>305</v>
      </c>
      <c r="AA4377">
        <v>0</v>
      </c>
      <c r="AB4377" s="1">
        <v>42382</v>
      </c>
      <c r="AC4377" t="s">
        <v>53</v>
      </c>
      <c r="AD4377" t="s">
        <v>53</v>
      </c>
      <c r="AK4377">
        <v>0</v>
      </c>
      <c r="AU4377" s="6">
        <v>42341</v>
      </c>
      <c r="AV4377" s="6">
        <v>42341</v>
      </c>
      <c r="AW4377" t="s">
        <v>54</v>
      </c>
      <c r="AX4377" t="str">
        <f t="shared" si="365"/>
        <v>FOR</v>
      </c>
      <c r="AY4377" t="s">
        <v>55</v>
      </c>
    </row>
    <row r="4378" spans="1:51">
      <c r="A4378">
        <v>101541</v>
      </c>
      <c r="B4378" t="s">
        <v>763</v>
      </c>
      <c r="C4378" t="str">
        <f t="shared" si="366"/>
        <v>08230471008</v>
      </c>
      <c r="D4378" t="str">
        <f t="shared" si="366"/>
        <v>08230471008</v>
      </c>
      <c r="E4378" t="s">
        <v>52</v>
      </c>
      <c r="F4378">
        <v>2014</v>
      </c>
      <c r="G4378">
        <v>18245</v>
      </c>
      <c r="H4378" s="1">
        <v>42004</v>
      </c>
      <c r="I4378" s="1">
        <v>42024</v>
      </c>
      <c r="J4378" s="1">
        <v>42024</v>
      </c>
      <c r="K4378" s="1">
        <v>42084</v>
      </c>
      <c r="L4378" s="7">
        <v>305</v>
      </c>
      <c r="M4378" s="5">
        <v>257</v>
      </c>
      <c r="N4378" s="7">
        <v>78385</v>
      </c>
      <c r="O4378">
        <v>305</v>
      </c>
      <c r="P4378">
        <v>257</v>
      </c>
      <c r="Q4378" s="2">
        <v>78385</v>
      </c>
      <c r="R4378">
        <v>0</v>
      </c>
      <c r="V4378">
        <v>0</v>
      </c>
      <c r="W4378">
        <v>0</v>
      </c>
      <c r="X4378">
        <v>0</v>
      </c>
      <c r="Y4378">
        <v>0</v>
      </c>
      <c r="Z4378">
        <v>305</v>
      </c>
      <c r="AA4378">
        <v>0</v>
      </c>
      <c r="AB4378" s="1">
        <v>42382</v>
      </c>
      <c r="AC4378" t="s">
        <v>53</v>
      </c>
      <c r="AD4378" t="s">
        <v>53</v>
      </c>
      <c r="AK4378">
        <v>0</v>
      </c>
      <c r="AU4378" s="6">
        <v>42341</v>
      </c>
      <c r="AV4378" s="6">
        <v>42341</v>
      </c>
      <c r="AW4378" t="s">
        <v>54</v>
      </c>
      <c r="AX4378" t="str">
        <f t="shared" si="365"/>
        <v>FOR</v>
      </c>
      <c r="AY4378" t="s">
        <v>55</v>
      </c>
    </row>
    <row r="4379" spans="1:51">
      <c r="A4379">
        <v>101541</v>
      </c>
      <c r="B4379" t="s">
        <v>763</v>
      </c>
      <c r="C4379" t="str">
        <f t="shared" si="366"/>
        <v>08230471008</v>
      </c>
      <c r="D4379" t="str">
        <f t="shared" si="366"/>
        <v>08230471008</v>
      </c>
      <c r="E4379" t="s">
        <v>52</v>
      </c>
      <c r="F4379">
        <v>2014</v>
      </c>
      <c r="G4379">
        <v>18246</v>
      </c>
      <c r="H4379" s="1">
        <v>42004</v>
      </c>
      <c r="I4379" s="1">
        <v>42024</v>
      </c>
      <c r="J4379" s="1">
        <v>42024</v>
      </c>
      <c r="K4379" s="1">
        <v>42084</v>
      </c>
      <c r="L4379" s="7">
        <v>305</v>
      </c>
      <c r="M4379" s="5">
        <v>257</v>
      </c>
      <c r="N4379" s="7">
        <v>78385</v>
      </c>
      <c r="O4379">
        <v>305</v>
      </c>
      <c r="P4379">
        <v>257</v>
      </c>
      <c r="Q4379" s="2">
        <v>78385</v>
      </c>
      <c r="R4379">
        <v>0</v>
      </c>
      <c r="V4379">
        <v>0</v>
      </c>
      <c r="W4379">
        <v>0</v>
      </c>
      <c r="X4379">
        <v>0</v>
      </c>
      <c r="Y4379">
        <v>0</v>
      </c>
      <c r="Z4379">
        <v>305</v>
      </c>
      <c r="AA4379">
        <v>0</v>
      </c>
      <c r="AB4379" s="1">
        <v>42382</v>
      </c>
      <c r="AC4379" t="s">
        <v>53</v>
      </c>
      <c r="AD4379" t="s">
        <v>53</v>
      </c>
      <c r="AK4379">
        <v>0</v>
      </c>
      <c r="AU4379" s="6">
        <v>42341</v>
      </c>
      <c r="AV4379" s="6">
        <v>42341</v>
      </c>
      <c r="AW4379" t="s">
        <v>54</v>
      </c>
      <c r="AX4379" t="str">
        <f t="shared" si="365"/>
        <v>FOR</v>
      </c>
      <c r="AY4379" t="s">
        <v>55</v>
      </c>
    </row>
    <row r="4380" spans="1:51">
      <c r="A4380">
        <v>101541</v>
      </c>
      <c r="B4380" t="s">
        <v>763</v>
      </c>
      <c r="C4380" t="str">
        <f t="shared" si="366"/>
        <v>08230471008</v>
      </c>
      <c r="D4380" t="str">
        <f t="shared" si="366"/>
        <v>08230471008</v>
      </c>
      <c r="E4380" t="s">
        <v>52</v>
      </c>
      <c r="F4380">
        <v>2014</v>
      </c>
      <c r="G4380">
        <v>18247</v>
      </c>
      <c r="H4380" s="1">
        <v>42004</v>
      </c>
      <c r="I4380" s="1">
        <v>42024</v>
      </c>
      <c r="J4380" s="1">
        <v>42024</v>
      </c>
      <c r="K4380" s="1">
        <v>42084</v>
      </c>
      <c r="L4380" s="7">
        <v>305</v>
      </c>
      <c r="M4380" s="5">
        <v>257</v>
      </c>
      <c r="N4380" s="7">
        <v>78385</v>
      </c>
      <c r="O4380">
        <v>305</v>
      </c>
      <c r="P4380">
        <v>257</v>
      </c>
      <c r="Q4380" s="2">
        <v>78385</v>
      </c>
      <c r="R4380">
        <v>0</v>
      </c>
      <c r="V4380">
        <v>0</v>
      </c>
      <c r="W4380">
        <v>0</v>
      </c>
      <c r="X4380">
        <v>0</v>
      </c>
      <c r="Y4380">
        <v>0</v>
      </c>
      <c r="Z4380">
        <v>305</v>
      </c>
      <c r="AA4380">
        <v>0</v>
      </c>
      <c r="AB4380" s="1">
        <v>42382</v>
      </c>
      <c r="AC4380" t="s">
        <v>53</v>
      </c>
      <c r="AD4380" t="s">
        <v>53</v>
      </c>
      <c r="AK4380">
        <v>0</v>
      </c>
      <c r="AU4380" s="6">
        <v>42341</v>
      </c>
      <c r="AV4380" s="6">
        <v>42341</v>
      </c>
      <c r="AW4380" t="s">
        <v>54</v>
      </c>
      <c r="AX4380" t="str">
        <f t="shared" si="365"/>
        <v>FOR</v>
      </c>
      <c r="AY4380" t="s">
        <v>55</v>
      </c>
    </row>
    <row r="4381" spans="1:51">
      <c r="A4381">
        <v>101541</v>
      </c>
      <c r="B4381" t="s">
        <v>763</v>
      </c>
      <c r="C4381" t="str">
        <f t="shared" si="366"/>
        <v>08230471008</v>
      </c>
      <c r="D4381" t="str">
        <f t="shared" si="366"/>
        <v>08230471008</v>
      </c>
      <c r="E4381" t="s">
        <v>52</v>
      </c>
      <c r="F4381">
        <v>2014</v>
      </c>
      <c r="G4381">
        <v>18248</v>
      </c>
      <c r="H4381" s="1">
        <v>42004</v>
      </c>
      <c r="I4381" s="1">
        <v>42024</v>
      </c>
      <c r="J4381" s="1">
        <v>42024</v>
      </c>
      <c r="K4381" s="1">
        <v>42084</v>
      </c>
      <c r="L4381" s="7">
        <v>728</v>
      </c>
      <c r="M4381" s="5">
        <v>257</v>
      </c>
      <c r="N4381" s="7">
        <v>187096</v>
      </c>
      <c r="O4381">
        <v>728</v>
      </c>
      <c r="P4381">
        <v>257</v>
      </c>
      <c r="Q4381" s="2">
        <v>187096</v>
      </c>
      <c r="R4381">
        <v>0</v>
      </c>
      <c r="V4381">
        <v>0</v>
      </c>
      <c r="W4381">
        <v>0</v>
      </c>
      <c r="X4381">
        <v>0</v>
      </c>
      <c r="Y4381">
        <v>0</v>
      </c>
      <c r="Z4381">
        <v>728</v>
      </c>
      <c r="AA4381">
        <v>0</v>
      </c>
      <c r="AB4381" s="1">
        <v>42382</v>
      </c>
      <c r="AC4381" t="s">
        <v>53</v>
      </c>
      <c r="AD4381" t="s">
        <v>53</v>
      </c>
      <c r="AK4381">
        <v>0</v>
      </c>
      <c r="AU4381" s="6">
        <v>42341</v>
      </c>
      <c r="AV4381" s="6">
        <v>42341</v>
      </c>
      <c r="AW4381" t="s">
        <v>54</v>
      </c>
      <c r="AX4381" t="str">
        <f t="shared" si="365"/>
        <v>FOR</v>
      </c>
      <c r="AY4381" t="s">
        <v>55</v>
      </c>
    </row>
    <row r="4382" spans="1:51">
      <c r="A4382">
        <v>101541</v>
      </c>
      <c r="B4382" t="s">
        <v>763</v>
      </c>
      <c r="C4382" t="str">
        <f t="shared" si="366"/>
        <v>08230471008</v>
      </c>
      <c r="D4382" t="str">
        <f t="shared" si="366"/>
        <v>08230471008</v>
      </c>
      <c r="E4382" t="s">
        <v>52</v>
      </c>
      <c r="F4382">
        <v>2014</v>
      </c>
      <c r="G4382">
        <v>18249</v>
      </c>
      <c r="H4382" s="1">
        <v>42004</v>
      </c>
      <c r="I4382" s="1">
        <v>42024</v>
      </c>
      <c r="J4382" s="1">
        <v>42024</v>
      </c>
      <c r="K4382" s="1">
        <v>42084</v>
      </c>
      <c r="L4382" s="7">
        <v>305</v>
      </c>
      <c r="M4382" s="5">
        <v>257</v>
      </c>
      <c r="N4382" s="7">
        <v>78385</v>
      </c>
      <c r="O4382">
        <v>305</v>
      </c>
      <c r="P4382">
        <v>257</v>
      </c>
      <c r="Q4382" s="2">
        <v>78385</v>
      </c>
      <c r="R4382">
        <v>0</v>
      </c>
      <c r="V4382">
        <v>0</v>
      </c>
      <c r="W4382">
        <v>0</v>
      </c>
      <c r="X4382">
        <v>0</v>
      </c>
      <c r="Y4382">
        <v>0</v>
      </c>
      <c r="Z4382">
        <v>305</v>
      </c>
      <c r="AA4382">
        <v>0</v>
      </c>
      <c r="AB4382" s="1">
        <v>42382</v>
      </c>
      <c r="AC4382" t="s">
        <v>53</v>
      </c>
      <c r="AD4382" t="s">
        <v>53</v>
      </c>
      <c r="AK4382">
        <v>0</v>
      </c>
      <c r="AU4382" s="6">
        <v>42341</v>
      </c>
      <c r="AV4382" s="6">
        <v>42341</v>
      </c>
      <c r="AW4382" t="s">
        <v>54</v>
      </c>
      <c r="AX4382" t="str">
        <f t="shared" si="365"/>
        <v>FOR</v>
      </c>
      <c r="AY4382" t="s">
        <v>55</v>
      </c>
    </row>
    <row r="4383" spans="1:51">
      <c r="A4383">
        <v>101541</v>
      </c>
      <c r="B4383" t="s">
        <v>763</v>
      </c>
      <c r="C4383" t="str">
        <f t="shared" ref="C4383:D4402" si="367">"08230471008"</f>
        <v>08230471008</v>
      </c>
      <c r="D4383" t="str">
        <f t="shared" si="367"/>
        <v>08230471008</v>
      </c>
      <c r="E4383" t="s">
        <v>52</v>
      </c>
      <c r="F4383">
        <v>2014</v>
      </c>
      <c r="G4383">
        <v>18250</v>
      </c>
      <c r="H4383" s="1">
        <v>42004</v>
      </c>
      <c r="I4383" s="1">
        <v>42024</v>
      </c>
      <c r="J4383" s="1">
        <v>42024</v>
      </c>
      <c r="K4383" s="1">
        <v>42084</v>
      </c>
      <c r="L4383" s="7">
        <v>305</v>
      </c>
      <c r="M4383" s="5">
        <v>257</v>
      </c>
      <c r="N4383" s="7">
        <v>78385</v>
      </c>
      <c r="O4383">
        <v>305</v>
      </c>
      <c r="P4383">
        <v>257</v>
      </c>
      <c r="Q4383" s="2">
        <v>78385</v>
      </c>
      <c r="R4383">
        <v>0</v>
      </c>
      <c r="V4383">
        <v>0</v>
      </c>
      <c r="W4383">
        <v>0</v>
      </c>
      <c r="X4383">
        <v>0</v>
      </c>
      <c r="Y4383">
        <v>0</v>
      </c>
      <c r="Z4383">
        <v>305</v>
      </c>
      <c r="AA4383">
        <v>0</v>
      </c>
      <c r="AB4383" s="1">
        <v>42382</v>
      </c>
      <c r="AC4383" t="s">
        <v>53</v>
      </c>
      <c r="AD4383" t="s">
        <v>53</v>
      </c>
      <c r="AK4383">
        <v>0</v>
      </c>
      <c r="AU4383" s="6">
        <v>42341</v>
      </c>
      <c r="AV4383" s="6">
        <v>42341</v>
      </c>
      <c r="AW4383" t="s">
        <v>54</v>
      </c>
      <c r="AX4383" t="str">
        <f t="shared" si="365"/>
        <v>FOR</v>
      </c>
      <c r="AY4383" t="s">
        <v>55</v>
      </c>
    </row>
    <row r="4384" spans="1:51">
      <c r="A4384">
        <v>101541</v>
      </c>
      <c r="B4384" t="s">
        <v>763</v>
      </c>
      <c r="C4384" t="str">
        <f t="shared" si="367"/>
        <v>08230471008</v>
      </c>
      <c r="D4384" t="str">
        <f t="shared" si="367"/>
        <v>08230471008</v>
      </c>
      <c r="E4384" t="s">
        <v>52</v>
      </c>
      <c r="F4384">
        <v>2014</v>
      </c>
      <c r="G4384">
        <v>18251</v>
      </c>
      <c r="H4384" s="1">
        <v>42004</v>
      </c>
      <c r="I4384" s="1">
        <v>42024</v>
      </c>
      <c r="J4384" s="1">
        <v>42024</v>
      </c>
      <c r="K4384" s="1">
        <v>42084</v>
      </c>
      <c r="L4384" s="7">
        <v>305</v>
      </c>
      <c r="M4384" s="5">
        <v>257</v>
      </c>
      <c r="N4384" s="7">
        <v>78385</v>
      </c>
      <c r="O4384">
        <v>305</v>
      </c>
      <c r="P4384">
        <v>257</v>
      </c>
      <c r="Q4384" s="2">
        <v>78385</v>
      </c>
      <c r="R4384">
        <v>0</v>
      </c>
      <c r="V4384">
        <v>0</v>
      </c>
      <c r="W4384">
        <v>0</v>
      </c>
      <c r="X4384">
        <v>0</v>
      </c>
      <c r="Y4384">
        <v>0</v>
      </c>
      <c r="Z4384">
        <v>305</v>
      </c>
      <c r="AA4384">
        <v>0</v>
      </c>
      <c r="AB4384" s="1">
        <v>42382</v>
      </c>
      <c r="AC4384" t="s">
        <v>53</v>
      </c>
      <c r="AD4384" t="s">
        <v>53</v>
      </c>
      <c r="AK4384">
        <v>0</v>
      </c>
      <c r="AU4384" s="6">
        <v>42341</v>
      </c>
      <c r="AV4384" s="6">
        <v>42341</v>
      </c>
      <c r="AW4384" t="s">
        <v>54</v>
      </c>
      <c r="AX4384" t="str">
        <f t="shared" si="365"/>
        <v>FOR</v>
      </c>
      <c r="AY4384" t="s">
        <v>55</v>
      </c>
    </row>
    <row r="4385" spans="1:51">
      <c r="A4385">
        <v>101541</v>
      </c>
      <c r="B4385" t="s">
        <v>763</v>
      </c>
      <c r="C4385" t="str">
        <f t="shared" si="367"/>
        <v>08230471008</v>
      </c>
      <c r="D4385" t="str">
        <f t="shared" si="367"/>
        <v>08230471008</v>
      </c>
      <c r="E4385" t="s">
        <v>52</v>
      </c>
      <c r="F4385">
        <v>2014</v>
      </c>
      <c r="G4385">
        <v>18252</v>
      </c>
      <c r="H4385" s="1">
        <v>42004</v>
      </c>
      <c r="I4385" s="1">
        <v>42024</v>
      </c>
      <c r="J4385" s="1">
        <v>42024</v>
      </c>
      <c r="K4385" s="1">
        <v>42084</v>
      </c>
      <c r="L4385" s="7">
        <v>305</v>
      </c>
      <c r="M4385" s="5">
        <v>257</v>
      </c>
      <c r="N4385" s="7">
        <v>78385</v>
      </c>
      <c r="O4385">
        <v>305</v>
      </c>
      <c r="P4385">
        <v>257</v>
      </c>
      <c r="Q4385" s="2">
        <v>78385</v>
      </c>
      <c r="R4385">
        <v>0</v>
      </c>
      <c r="V4385">
        <v>0</v>
      </c>
      <c r="W4385">
        <v>0</v>
      </c>
      <c r="X4385">
        <v>0</v>
      </c>
      <c r="Y4385">
        <v>0</v>
      </c>
      <c r="Z4385">
        <v>305</v>
      </c>
      <c r="AA4385">
        <v>0</v>
      </c>
      <c r="AB4385" s="1">
        <v>42382</v>
      </c>
      <c r="AC4385" t="s">
        <v>53</v>
      </c>
      <c r="AD4385" t="s">
        <v>53</v>
      </c>
      <c r="AK4385">
        <v>0</v>
      </c>
      <c r="AU4385" s="6">
        <v>42341</v>
      </c>
      <c r="AV4385" s="6">
        <v>42341</v>
      </c>
      <c r="AW4385" t="s">
        <v>54</v>
      </c>
      <c r="AX4385" t="str">
        <f t="shared" si="365"/>
        <v>FOR</v>
      </c>
      <c r="AY4385" t="s">
        <v>55</v>
      </c>
    </row>
    <row r="4386" spans="1:51">
      <c r="A4386">
        <v>101541</v>
      </c>
      <c r="B4386" t="s">
        <v>763</v>
      </c>
      <c r="C4386" t="str">
        <f t="shared" si="367"/>
        <v>08230471008</v>
      </c>
      <c r="D4386" t="str">
        <f t="shared" si="367"/>
        <v>08230471008</v>
      </c>
      <c r="E4386" t="s">
        <v>52</v>
      </c>
      <c r="F4386">
        <v>2014</v>
      </c>
      <c r="G4386">
        <v>18253</v>
      </c>
      <c r="H4386" s="1">
        <v>42004</v>
      </c>
      <c r="I4386" s="1">
        <v>42024</v>
      </c>
      <c r="J4386" s="1">
        <v>42024</v>
      </c>
      <c r="K4386" s="1">
        <v>42084</v>
      </c>
      <c r="L4386" s="7">
        <v>305</v>
      </c>
      <c r="M4386" s="5">
        <v>257</v>
      </c>
      <c r="N4386" s="7">
        <v>78385</v>
      </c>
      <c r="O4386">
        <v>305</v>
      </c>
      <c r="P4386">
        <v>257</v>
      </c>
      <c r="Q4386" s="2">
        <v>78385</v>
      </c>
      <c r="R4386">
        <v>0</v>
      </c>
      <c r="V4386">
        <v>0</v>
      </c>
      <c r="W4386">
        <v>0</v>
      </c>
      <c r="X4386">
        <v>0</v>
      </c>
      <c r="Y4386">
        <v>0</v>
      </c>
      <c r="Z4386">
        <v>305</v>
      </c>
      <c r="AA4386">
        <v>0</v>
      </c>
      <c r="AB4386" s="1">
        <v>42382</v>
      </c>
      <c r="AC4386" t="s">
        <v>53</v>
      </c>
      <c r="AD4386" t="s">
        <v>53</v>
      </c>
      <c r="AK4386">
        <v>0</v>
      </c>
      <c r="AU4386" s="6">
        <v>42341</v>
      </c>
      <c r="AV4386" s="6">
        <v>42341</v>
      </c>
      <c r="AW4386" t="s">
        <v>54</v>
      </c>
      <c r="AX4386" t="str">
        <f t="shared" si="365"/>
        <v>FOR</v>
      </c>
      <c r="AY4386" t="s">
        <v>55</v>
      </c>
    </row>
    <row r="4387" spans="1:51">
      <c r="A4387">
        <v>101541</v>
      </c>
      <c r="B4387" t="s">
        <v>763</v>
      </c>
      <c r="C4387" t="str">
        <f t="shared" si="367"/>
        <v>08230471008</v>
      </c>
      <c r="D4387" t="str">
        <f t="shared" si="367"/>
        <v>08230471008</v>
      </c>
      <c r="E4387" t="s">
        <v>52</v>
      </c>
      <c r="F4387">
        <v>2014</v>
      </c>
      <c r="G4387">
        <v>18255</v>
      </c>
      <c r="H4387" s="1">
        <v>42004</v>
      </c>
      <c r="I4387" s="1">
        <v>42024</v>
      </c>
      <c r="J4387" s="1">
        <v>42024</v>
      </c>
      <c r="K4387" s="1">
        <v>42084</v>
      </c>
      <c r="L4387" s="7">
        <v>305</v>
      </c>
      <c r="M4387" s="5">
        <v>257</v>
      </c>
      <c r="N4387" s="7">
        <v>78385</v>
      </c>
      <c r="O4387">
        <v>305</v>
      </c>
      <c r="P4387">
        <v>257</v>
      </c>
      <c r="Q4387" s="2">
        <v>78385</v>
      </c>
      <c r="R4387">
        <v>0</v>
      </c>
      <c r="V4387">
        <v>0</v>
      </c>
      <c r="W4387">
        <v>0</v>
      </c>
      <c r="X4387">
        <v>0</v>
      </c>
      <c r="Y4387">
        <v>0</v>
      </c>
      <c r="Z4387">
        <v>305</v>
      </c>
      <c r="AA4387">
        <v>0</v>
      </c>
      <c r="AB4387" s="1">
        <v>42382</v>
      </c>
      <c r="AC4387" t="s">
        <v>53</v>
      </c>
      <c r="AD4387" t="s">
        <v>53</v>
      </c>
      <c r="AK4387">
        <v>0</v>
      </c>
      <c r="AU4387" s="6">
        <v>42341</v>
      </c>
      <c r="AV4387" s="6">
        <v>42341</v>
      </c>
      <c r="AW4387" t="s">
        <v>54</v>
      </c>
      <c r="AX4387" t="str">
        <f t="shared" si="365"/>
        <v>FOR</v>
      </c>
      <c r="AY4387" t="s">
        <v>55</v>
      </c>
    </row>
    <row r="4388" spans="1:51">
      <c r="A4388">
        <v>101541</v>
      </c>
      <c r="B4388" t="s">
        <v>763</v>
      </c>
      <c r="C4388" t="str">
        <f t="shared" si="367"/>
        <v>08230471008</v>
      </c>
      <c r="D4388" t="str">
        <f t="shared" si="367"/>
        <v>08230471008</v>
      </c>
      <c r="E4388" t="s">
        <v>52</v>
      </c>
      <c r="F4388">
        <v>2014</v>
      </c>
      <c r="G4388">
        <v>18256</v>
      </c>
      <c r="H4388" s="1">
        <v>42004</v>
      </c>
      <c r="I4388" s="1">
        <v>42024</v>
      </c>
      <c r="J4388" s="1">
        <v>42024</v>
      </c>
      <c r="K4388" s="1">
        <v>42084</v>
      </c>
      <c r="L4388" s="7">
        <v>305</v>
      </c>
      <c r="M4388" s="5">
        <v>257</v>
      </c>
      <c r="N4388" s="7">
        <v>78385</v>
      </c>
      <c r="O4388">
        <v>305</v>
      </c>
      <c r="P4388">
        <v>257</v>
      </c>
      <c r="Q4388" s="2">
        <v>78385</v>
      </c>
      <c r="R4388">
        <v>0</v>
      </c>
      <c r="V4388">
        <v>0</v>
      </c>
      <c r="W4388">
        <v>0</v>
      </c>
      <c r="X4388">
        <v>0</v>
      </c>
      <c r="Y4388">
        <v>0</v>
      </c>
      <c r="Z4388">
        <v>305</v>
      </c>
      <c r="AA4388">
        <v>0</v>
      </c>
      <c r="AB4388" s="1">
        <v>42382</v>
      </c>
      <c r="AC4388" t="s">
        <v>53</v>
      </c>
      <c r="AD4388" t="s">
        <v>53</v>
      </c>
      <c r="AK4388">
        <v>0</v>
      </c>
      <c r="AU4388" s="6">
        <v>42341</v>
      </c>
      <c r="AV4388" s="6">
        <v>42341</v>
      </c>
      <c r="AW4388" t="s">
        <v>54</v>
      </c>
      <c r="AX4388" t="str">
        <f t="shared" si="365"/>
        <v>FOR</v>
      </c>
      <c r="AY4388" t="s">
        <v>55</v>
      </c>
    </row>
    <row r="4389" spans="1:51">
      <c r="A4389">
        <v>101541</v>
      </c>
      <c r="B4389" t="s">
        <v>763</v>
      </c>
      <c r="C4389" t="str">
        <f t="shared" si="367"/>
        <v>08230471008</v>
      </c>
      <c r="D4389" t="str">
        <f t="shared" si="367"/>
        <v>08230471008</v>
      </c>
      <c r="E4389" t="s">
        <v>52</v>
      </c>
      <c r="F4389">
        <v>2014</v>
      </c>
      <c r="G4389">
        <v>18257</v>
      </c>
      <c r="H4389" s="1">
        <v>42004</v>
      </c>
      <c r="I4389" s="1">
        <v>42024</v>
      </c>
      <c r="J4389" s="1">
        <v>42024</v>
      </c>
      <c r="K4389" s="1">
        <v>42084</v>
      </c>
      <c r="L4389" s="7">
        <v>305</v>
      </c>
      <c r="M4389" s="5">
        <v>257</v>
      </c>
      <c r="N4389" s="7">
        <v>78385</v>
      </c>
      <c r="O4389">
        <v>305</v>
      </c>
      <c r="P4389">
        <v>257</v>
      </c>
      <c r="Q4389" s="2">
        <v>78385</v>
      </c>
      <c r="R4389">
        <v>0</v>
      </c>
      <c r="V4389">
        <v>0</v>
      </c>
      <c r="W4389">
        <v>0</v>
      </c>
      <c r="X4389">
        <v>0</v>
      </c>
      <c r="Y4389">
        <v>0</v>
      </c>
      <c r="Z4389">
        <v>305</v>
      </c>
      <c r="AA4389">
        <v>0</v>
      </c>
      <c r="AB4389" s="1">
        <v>42382</v>
      </c>
      <c r="AC4389" t="s">
        <v>53</v>
      </c>
      <c r="AD4389" t="s">
        <v>53</v>
      </c>
      <c r="AK4389">
        <v>0</v>
      </c>
      <c r="AU4389" s="6">
        <v>42341</v>
      </c>
      <c r="AV4389" s="6">
        <v>42341</v>
      </c>
      <c r="AW4389" t="s">
        <v>54</v>
      </c>
      <c r="AX4389" t="str">
        <f t="shared" si="365"/>
        <v>FOR</v>
      </c>
      <c r="AY4389" t="s">
        <v>55</v>
      </c>
    </row>
    <row r="4390" spans="1:51">
      <c r="A4390">
        <v>101541</v>
      </c>
      <c r="B4390" t="s">
        <v>763</v>
      </c>
      <c r="C4390" t="str">
        <f t="shared" si="367"/>
        <v>08230471008</v>
      </c>
      <c r="D4390" t="str">
        <f t="shared" si="367"/>
        <v>08230471008</v>
      </c>
      <c r="E4390" t="s">
        <v>52</v>
      </c>
      <c r="F4390">
        <v>2014</v>
      </c>
      <c r="G4390">
        <v>18258</v>
      </c>
      <c r="H4390" s="1">
        <v>42004</v>
      </c>
      <c r="I4390" s="1">
        <v>42024</v>
      </c>
      <c r="J4390" s="1">
        <v>42024</v>
      </c>
      <c r="K4390" s="1">
        <v>42084</v>
      </c>
      <c r="L4390" s="7">
        <v>305</v>
      </c>
      <c r="M4390" s="5">
        <v>257</v>
      </c>
      <c r="N4390" s="7">
        <v>78385</v>
      </c>
      <c r="O4390">
        <v>305</v>
      </c>
      <c r="P4390">
        <v>257</v>
      </c>
      <c r="Q4390" s="2">
        <v>78385</v>
      </c>
      <c r="R4390">
        <v>0</v>
      </c>
      <c r="V4390">
        <v>0</v>
      </c>
      <c r="W4390">
        <v>0</v>
      </c>
      <c r="X4390">
        <v>0</v>
      </c>
      <c r="Y4390">
        <v>0</v>
      </c>
      <c r="Z4390">
        <v>305</v>
      </c>
      <c r="AA4390">
        <v>0</v>
      </c>
      <c r="AB4390" s="1">
        <v>42382</v>
      </c>
      <c r="AC4390" t="s">
        <v>53</v>
      </c>
      <c r="AD4390" t="s">
        <v>53</v>
      </c>
      <c r="AK4390">
        <v>0</v>
      </c>
      <c r="AU4390" s="6">
        <v>42341</v>
      </c>
      <c r="AV4390" s="6">
        <v>42341</v>
      </c>
      <c r="AW4390" t="s">
        <v>54</v>
      </c>
      <c r="AX4390" t="str">
        <f t="shared" si="365"/>
        <v>FOR</v>
      </c>
      <c r="AY4390" t="s">
        <v>55</v>
      </c>
    </row>
    <row r="4391" spans="1:51">
      <c r="A4391">
        <v>101541</v>
      </c>
      <c r="B4391" t="s">
        <v>763</v>
      </c>
      <c r="C4391" t="str">
        <f t="shared" si="367"/>
        <v>08230471008</v>
      </c>
      <c r="D4391" t="str">
        <f t="shared" si="367"/>
        <v>08230471008</v>
      </c>
      <c r="E4391" t="s">
        <v>52</v>
      </c>
      <c r="F4391">
        <v>2014</v>
      </c>
      <c r="G4391">
        <v>18259</v>
      </c>
      <c r="H4391" s="1">
        <v>42004</v>
      </c>
      <c r="I4391" s="1">
        <v>42024</v>
      </c>
      <c r="J4391" s="1">
        <v>42024</v>
      </c>
      <c r="K4391" s="1">
        <v>42084</v>
      </c>
      <c r="L4391" s="7">
        <v>728</v>
      </c>
      <c r="M4391" s="5">
        <v>257</v>
      </c>
      <c r="N4391" s="7">
        <v>187096</v>
      </c>
      <c r="O4391">
        <v>728</v>
      </c>
      <c r="P4391">
        <v>257</v>
      </c>
      <c r="Q4391" s="2">
        <v>187096</v>
      </c>
      <c r="R4391">
        <v>0</v>
      </c>
      <c r="V4391">
        <v>0</v>
      </c>
      <c r="W4391">
        <v>0</v>
      </c>
      <c r="X4391">
        <v>0</v>
      </c>
      <c r="Y4391">
        <v>0</v>
      </c>
      <c r="Z4391">
        <v>728</v>
      </c>
      <c r="AA4391">
        <v>0</v>
      </c>
      <c r="AB4391" s="1">
        <v>42382</v>
      </c>
      <c r="AC4391" t="s">
        <v>53</v>
      </c>
      <c r="AD4391" t="s">
        <v>53</v>
      </c>
      <c r="AK4391">
        <v>0</v>
      </c>
      <c r="AU4391" s="6">
        <v>42341</v>
      </c>
      <c r="AV4391" s="6">
        <v>42341</v>
      </c>
      <c r="AW4391" t="s">
        <v>54</v>
      </c>
      <c r="AX4391" t="str">
        <f t="shared" si="365"/>
        <v>FOR</v>
      </c>
      <c r="AY4391" t="s">
        <v>55</v>
      </c>
    </row>
    <row r="4392" spans="1:51">
      <c r="A4392">
        <v>101541</v>
      </c>
      <c r="B4392" t="s">
        <v>763</v>
      </c>
      <c r="C4392" t="str">
        <f t="shared" si="367"/>
        <v>08230471008</v>
      </c>
      <c r="D4392" t="str">
        <f t="shared" si="367"/>
        <v>08230471008</v>
      </c>
      <c r="E4392" t="s">
        <v>52</v>
      </c>
      <c r="F4392">
        <v>2014</v>
      </c>
      <c r="G4392">
        <v>18260</v>
      </c>
      <c r="H4392" s="1">
        <v>42004</v>
      </c>
      <c r="I4392" s="1">
        <v>42024</v>
      </c>
      <c r="J4392" s="1">
        <v>42024</v>
      </c>
      <c r="K4392" s="1">
        <v>42084</v>
      </c>
      <c r="L4392" s="7">
        <v>728</v>
      </c>
      <c r="M4392" s="5">
        <v>257</v>
      </c>
      <c r="N4392" s="7">
        <v>187096</v>
      </c>
      <c r="O4392">
        <v>728</v>
      </c>
      <c r="P4392">
        <v>257</v>
      </c>
      <c r="Q4392" s="2">
        <v>187096</v>
      </c>
      <c r="R4392">
        <v>0</v>
      </c>
      <c r="V4392">
        <v>0</v>
      </c>
      <c r="W4392">
        <v>0</v>
      </c>
      <c r="X4392">
        <v>0</v>
      </c>
      <c r="Y4392">
        <v>0</v>
      </c>
      <c r="Z4392">
        <v>728</v>
      </c>
      <c r="AA4392">
        <v>0</v>
      </c>
      <c r="AB4392" s="1">
        <v>42382</v>
      </c>
      <c r="AC4392" t="s">
        <v>53</v>
      </c>
      <c r="AD4392" t="s">
        <v>53</v>
      </c>
      <c r="AK4392">
        <v>0</v>
      </c>
      <c r="AU4392" s="6">
        <v>42341</v>
      </c>
      <c r="AV4392" s="6">
        <v>42341</v>
      </c>
      <c r="AW4392" t="s">
        <v>54</v>
      </c>
      <c r="AX4392" t="str">
        <f t="shared" si="365"/>
        <v>FOR</v>
      </c>
      <c r="AY4392" t="s">
        <v>55</v>
      </c>
    </row>
    <row r="4393" spans="1:51">
      <c r="A4393">
        <v>101541</v>
      </c>
      <c r="B4393" t="s">
        <v>763</v>
      </c>
      <c r="C4393" t="str">
        <f t="shared" si="367"/>
        <v>08230471008</v>
      </c>
      <c r="D4393" t="str">
        <f t="shared" si="367"/>
        <v>08230471008</v>
      </c>
      <c r="E4393" t="s">
        <v>52</v>
      </c>
      <c r="F4393">
        <v>2014</v>
      </c>
      <c r="G4393">
        <v>18261</v>
      </c>
      <c r="H4393" s="1">
        <v>42004</v>
      </c>
      <c r="I4393" s="1">
        <v>42024</v>
      </c>
      <c r="J4393" s="1">
        <v>42024</v>
      </c>
      <c r="K4393" s="1">
        <v>42084</v>
      </c>
      <c r="L4393" s="7">
        <v>305</v>
      </c>
      <c r="M4393" s="5">
        <v>257</v>
      </c>
      <c r="N4393" s="7">
        <v>78385</v>
      </c>
      <c r="O4393">
        <v>305</v>
      </c>
      <c r="P4393">
        <v>257</v>
      </c>
      <c r="Q4393" s="2">
        <v>78385</v>
      </c>
      <c r="R4393">
        <v>0</v>
      </c>
      <c r="V4393">
        <v>0</v>
      </c>
      <c r="W4393">
        <v>0</v>
      </c>
      <c r="X4393">
        <v>0</v>
      </c>
      <c r="Y4393">
        <v>0</v>
      </c>
      <c r="Z4393">
        <v>305</v>
      </c>
      <c r="AA4393">
        <v>0</v>
      </c>
      <c r="AB4393" s="1">
        <v>42382</v>
      </c>
      <c r="AC4393" t="s">
        <v>53</v>
      </c>
      <c r="AD4393" t="s">
        <v>53</v>
      </c>
      <c r="AK4393">
        <v>0</v>
      </c>
      <c r="AU4393" s="6">
        <v>42341</v>
      </c>
      <c r="AV4393" s="6">
        <v>42341</v>
      </c>
      <c r="AW4393" t="s">
        <v>54</v>
      </c>
      <c r="AX4393" t="str">
        <f t="shared" si="365"/>
        <v>FOR</v>
      </c>
      <c r="AY4393" t="s">
        <v>55</v>
      </c>
    </row>
    <row r="4394" spans="1:51">
      <c r="A4394">
        <v>101541</v>
      </c>
      <c r="B4394" t="s">
        <v>763</v>
      </c>
      <c r="C4394" t="str">
        <f t="shared" si="367"/>
        <v>08230471008</v>
      </c>
      <c r="D4394" t="str">
        <f t="shared" si="367"/>
        <v>08230471008</v>
      </c>
      <c r="E4394" t="s">
        <v>52</v>
      </c>
      <c r="F4394">
        <v>2015</v>
      </c>
      <c r="G4394">
        <v>105</v>
      </c>
      <c r="H4394" s="1">
        <v>42027</v>
      </c>
      <c r="I4394" s="1">
        <v>42037</v>
      </c>
      <c r="J4394" s="1">
        <v>42037</v>
      </c>
      <c r="K4394" s="1">
        <v>42097</v>
      </c>
      <c r="L4394" s="7">
        <v>250</v>
      </c>
      <c r="M4394" s="5">
        <v>259</v>
      </c>
      <c r="N4394" s="7">
        <v>64750</v>
      </c>
      <c r="O4394">
        <v>250</v>
      </c>
      <c r="P4394">
        <v>259</v>
      </c>
      <c r="Q4394" s="2">
        <v>64750</v>
      </c>
      <c r="R4394">
        <v>55</v>
      </c>
      <c r="V4394">
        <v>0</v>
      </c>
      <c r="W4394">
        <v>0</v>
      </c>
      <c r="X4394">
        <v>0</v>
      </c>
      <c r="Y4394">
        <v>305</v>
      </c>
      <c r="Z4394">
        <v>305</v>
      </c>
      <c r="AA4394">
        <v>305</v>
      </c>
      <c r="AB4394" s="1">
        <v>42382</v>
      </c>
      <c r="AC4394" t="s">
        <v>53</v>
      </c>
      <c r="AD4394" t="s">
        <v>53</v>
      </c>
      <c r="AK4394">
        <v>55</v>
      </c>
      <c r="AU4394" s="6">
        <v>42356</v>
      </c>
      <c r="AV4394" s="6">
        <v>42356</v>
      </c>
      <c r="AW4394" t="s">
        <v>54</v>
      </c>
      <c r="AX4394" t="str">
        <f t="shared" si="365"/>
        <v>FOR</v>
      </c>
      <c r="AY4394" t="s">
        <v>55</v>
      </c>
    </row>
    <row r="4395" spans="1:51">
      <c r="A4395">
        <v>101541</v>
      </c>
      <c r="B4395" t="s">
        <v>763</v>
      </c>
      <c r="C4395" t="str">
        <f t="shared" si="367"/>
        <v>08230471008</v>
      </c>
      <c r="D4395" t="str">
        <f t="shared" si="367"/>
        <v>08230471008</v>
      </c>
      <c r="E4395" t="s">
        <v>52</v>
      </c>
      <c r="F4395">
        <v>2015</v>
      </c>
      <c r="G4395">
        <v>106</v>
      </c>
      <c r="H4395" s="1">
        <v>42027</v>
      </c>
      <c r="I4395" s="1">
        <v>42037</v>
      </c>
      <c r="J4395" s="1">
        <v>42037</v>
      </c>
      <c r="K4395" s="1">
        <v>42097</v>
      </c>
      <c r="L4395" s="7">
        <v>250</v>
      </c>
      <c r="M4395" s="5">
        <v>259</v>
      </c>
      <c r="N4395" s="7">
        <v>64750</v>
      </c>
      <c r="O4395">
        <v>250</v>
      </c>
      <c r="P4395">
        <v>259</v>
      </c>
      <c r="Q4395" s="2">
        <v>64750</v>
      </c>
      <c r="R4395">
        <v>55</v>
      </c>
      <c r="V4395">
        <v>0</v>
      </c>
      <c r="W4395">
        <v>0</v>
      </c>
      <c r="X4395">
        <v>0</v>
      </c>
      <c r="Y4395">
        <v>305</v>
      </c>
      <c r="Z4395">
        <v>305</v>
      </c>
      <c r="AA4395">
        <v>305</v>
      </c>
      <c r="AB4395" s="1">
        <v>42382</v>
      </c>
      <c r="AC4395" t="s">
        <v>53</v>
      </c>
      <c r="AD4395" t="s">
        <v>53</v>
      </c>
      <c r="AK4395">
        <v>55</v>
      </c>
      <c r="AU4395" s="6">
        <v>42356</v>
      </c>
      <c r="AV4395" s="6">
        <v>42356</v>
      </c>
      <c r="AW4395" t="s">
        <v>54</v>
      </c>
      <c r="AX4395" t="str">
        <f t="shared" si="365"/>
        <v>FOR</v>
      </c>
      <c r="AY4395" t="s">
        <v>55</v>
      </c>
    </row>
    <row r="4396" spans="1:51">
      <c r="A4396">
        <v>101541</v>
      </c>
      <c r="B4396" t="s">
        <v>763</v>
      </c>
      <c r="C4396" t="str">
        <f t="shared" si="367"/>
        <v>08230471008</v>
      </c>
      <c r="D4396" t="str">
        <f t="shared" si="367"/>
        <v>08230471008</v>
      </c>
      <c r="E4396" t="s">
        <v>52</v>
      </c>
      <c r="F4396">
        <v>2015</v>
      </c>
      <c r="G4396">
        <v>107</v>
      </c>
      <c r="H4396" s="1">
        <v>42027</v>
      </c>
      <c r="I4396" s="1">
        <v>42037</v>
      </c>
      <c r="J4396" s="1">
        <v>42037</v>
      </c>
      <c r="K4396" s="1">
        <v>42097</v>
      </c>
      <c r="L4396" s="7">
        <v>250</v>
      </c>
      <c r="M4396" s="5">
        <v>259</v>
      </c>
      <c r="N4396" s="7">
        <v>64750</v>
      </c>
      <c r="O4396">
        <v>250</v>
      </c>
      <c r="P4396">
        <v>259</v>
      </c>
      <c r="Q4396" s="2">
        <v>64750</v>
      </c>
      <c r="R4396">
        <v>55</v>
      </c>
      <c r="V4396">
        <v>0</v>
      </c>
      <c r="W4396">
        <v>0</v>
      </c>
      <c r="X4396">
        <v>0</v>
      </c>
      <c r="Y4396">
        <v>305</v>
      </c>
      <c r="Z4396">
        <v>305</v>
      </c>
      <c r="AA4396">
        <v>305</v>
      </c>
      <c r="AB4396" s="1">
        <v>42382</v>
      </c>
      <c r="AC4396" t="s">
        <v>53</v>
      </c>
      <c r="AD4396" t="s">
        <v>53</v>
      </c>
      <c r="AK4396">
        <v>55</v>
      </c>
      <c r="AU4396" s="6">
        <v>42356</v>
      </c>
      <c r="AV4396" s="6">
        <v>42356</v>
      </c>
      <c r="AW4396" t="s">
        <v>54</v>
      </c>
      <c r="AX4396" t="str">
        <f t="shared" si="365"/>
        <v>FOR</v>
      </c>
      <c r="AY4396" t="s">
        <v>55</v>
      </c>
    </row>
    <row r="4397" spans="1:51">
      <c r="A4397">
        <v>101541</v>
      </c>
      <c r="B4397" t="s">
        <v>763</v>
      </c>
      <c r="C4397" t="str">
        <f t="shared" si="367"/>
        <v>08230471008</v>
      </c>
      <c r="D4397" t="str">
        <f t="shared" si="367"/>
        <v>08230471008</v>
      </c>
      <c r="E4397" t="s">
        <v>52</v>
      </c>
      <c r="F4397">
        <v>2015</v>
      </c>
      <c r="G4397">
        <v>108</v>
      </c>
      <c r="H4397" s="1">
        <v>42027</v>
      </c>
      <c r="I4397" s="1">
        <v>42037</v>
      </c>
      <c r="J4397" s="1">
        <v>42037</v>
      </c>
      <c r="K4397" s="1">
        <v>42097</v>
      </c>
      <c r="L4397" s="7">
        <v>250</v>
      </c>
      <c r="M4397" s="5">
        <v>259</v>
      </c>
      <c r="N4397" s="7">
        <v>64750</v>
      </c>
      <c r="O4397">
        <v>250</v>
      </c>
      <c r="P4397">
        <v>259</v>
      </c>
      <c r="Q4397" s="2">
        <v>64750</v>
      </c>
      <c r="R4397">
        <v>55</v>
      </c>
      <c r="V4397">
        <v>0</v>
      </c>
      <c r="W4397">
        <v>0</v>
      </c>
      <c r="X4397">
        <v>0</v>
      </c>
      <c r="Y4397">
        <v>305</v>
      </c>
      <c r="Z4397">
        <v>305</v>
      </c>
      <c r="AA4397">
        <v>305</v>
      </c>
      <c r="AB4397" s="1">
        <v>42382</v>
      </c>
      <c r="AC4397" t="s">
        <v>53</v>
      </c>
      <c r="AD4397" t="s">
        <v>53</v>
      </c>
      <c r="AK4397">
        <v>55</v>
      </c>
      <c r="AU4397" s="6">
        <v>42356</v>
      </c>
      <c r="AV4397" s="6">
        <v>42356</v>
      </c>
      <c r="AW4397" t="s">
        <v>54</v>
      </c>
      <c r="AX4397" t="str">
        <f t="shared" si="365"/>
        <v>FOR</v>
      </c>
      <c r="AY4397" t="s">
        <v>55</v>
      </c>
    </row>
    <row r="4398" spans="1:51">
      <c r="A4398">
        <v>101541</v>
      </c>
      <c r="B4398" t="s">
        <v>763</v>
      </c>
      <c r="C4398" t="str">
        <f t="shared" si="367"/>
        <v>08230471008</v>
      </c>
      <c r="D4398" t="str">
        <f t="shared" si="367"/>
        <v>08230471008</v>
      </c>
      <c r="E4398" t="s">
        <v>52</v>
      </c>
      <c r="F4398">
        <v>2015</v>
      </c>
      <c r="G4398">
        <v>109</v>
      </c>
      <c r="H4398" s="1">
        <v>42027</v>
      </c>
      <c r="I4398" s="1">
        <v>42037</v>
      </c>
      <c r="J4398" s="1">
        <v>42037</v>
      </c>
      <c r="K4398" s="1">
        <v>42097</v>
      </c>
      <c r="L4398" s="7">
        <v>700</v>
      </c>
      <c r="M4398" s="5">
        <v>259</v>
      </c>
      <c r="N4398" s="7">
        <v>181300</v>
      </c>
      <c r="O4398">
        <v>700</v>
      </c>
      <c r="P4398">
        <v>259</v>
      </c>
      <c r="Q4398" s="2">
        <v>181300</v>
      </c>
      <c r="R4398">
        <v>28</v>
      </c>
      <c r="V4398">
        <v>0</v>
      </c>
      <c r="W4398">
        <v>0</v>
      </c>
      <c r="X4398">
        <v>0</v>
      </c>
      <c r="Y4398">
        <v>728</v>
      </c>
      <c r="Z4398">
        <v>728</v>
      </c>
      <c r="AA4398">
        <v>728</v>
      </c>
      <c r="AB4398" s="1">
        <v>42382</v>
      </c>
      <c r="AC4398" t="s">
        <v>53</v>
      </c>
      <c r="AD4398" t="s">
        <v>53</v>
      </c>
      <c r="AK4398">
        <v>28</v>
      </c>
      <c r="AU4398" s="6">
        <v>42356</v>
      </c>
      <c r="AV4398" s="6">
        <v>42356</v>
      </c>
      <c r="AW4398" t="s">
        <v>54</v>
      </c>
      <c r="AX4398" t="str">
        <f t="shared" si="365"/>
        <v>FOR</v>
      </c>
      <c r="AY4398" t="s">
        <v>55</v>
      </c>
    </row>
    <row r="4399" spans="1:51">
      <c r="A4399">
        <v>101541</v>
      </c>
      <c r="B4399" t="s">
        <v>763</v>
      </c>
      <c r="C4399" t="str">
        <f t="shared" si="367"/>
        <v>08230471008</v>
      </c>
      <c r="D4399" t="str">
        <f t="shared" si="367"/>
        <v>08230471008</v>
      </c>
      <c r="E4399" t="s">
        <v>52</v>
      </c>
      <c r="F4399">
        <v>2015</v>
      </c>
      <c r="G4399">
        <v>110</v>
      </c>
      <c r="H4399" s="1">
        <v>42027</v>
      </c>
      <c r="I4399" s="1">
        <v>42037</v>
      </c>
      <c r="J4399" s="1">
        <v>42037</v>
      </c>
      <c r="K4399" s="1">
        <v>42097</v>
      </c>
      <c r="L4399" s="7">
        <v>250</v>
      </c>
      <c r="M4399" s="5">
        <v>259</v>
      </c>
      <c r="N4399" s="7">
        <v>64750</v>
      </c>
      <c r="O4399">
        <v>250</v>
      </c>
      <c r="P4399">
        <v>259</v>
      </c>
      <c r="Q4399" s="2">
        <v>64750</v>
      </c>
      <c r="R4399">
        <v>55</v>
      </c>
      <c r="V4399">
        <v>0</v>
      </c>
      <c r="W4399">
        <v>0</v>
      </c>
      <c r="X4399">
        <v>0</v>
      </c>
      <c r="Y4399">
        <v>305</v>
      </c>
      <c r="Z4399">
        <v>305</v>
      </c>
      <c r="AA4399">
        <v>305</v>
      </c>
      <c r="AB4399" s="1">
        <v>42382</v>
      </c>
      <c r="AC4399" t="s">
        <v>53</v>
      </c>
      <c r="AD4399" t="s">
        <v>53</v>
      </c>
      <c r="AK4399">
        <v>55</v>
      </c>
      <c r="AU4399" s="6">
        <v>42356</v>
      </c>
      <c r="AV4399" s="6">
        <v>42356</v>
      </c>
      <c r="AW4399" t="s">
        <v>54</v>
      </c>
      <c r="AX4399" t="str">
        <f t="shared" si="365"/>
        <v>FOR</v>
      </c>
      <c r="AY4399" t="s">
        <v>55</v>
      </c>
    </row>
    <row r="4400" spans="1:51">
      <c r="A4400">
        <v>101541</v>
      </c>
      <c r="B4400" t="s">
        <v>763</v>
      </c>
      <c r="C4400" t="str">
        <f t="shared" si="367"/>
        <v>08230471008</v>
      </c>
      <c r="D4400" t="str">
        <f t="shared" si="367"/>
        <v>08230471008</v>
      </c>
      <c r="E4400" t="s">
        <v>52</v>
      </c>
      <c r="F4400">
        <v>2015</v>
      </c>
      <c r="G4400">
        <v>111</v>
      </c>
      <c r="H4400" s="1">
        <v>42027</v>
      </c>
      <c r="I4400" s="1">
        <v>42037</v>
      </c>
      <c r="J4400" s="1">
        <v>42037</v>
      </c>
      <c r="K4400" s="1">
        <v>42097</v>
      </c>
      <c r="L4400" s="7">
        <v>250</v>
      </c>
      <c r="M4400" s="5">
        <v>259</v>
      </c>
      <c r="N4400" s="7">
        <v>64750</v>
      </c>
      <c r="O4400">
        <v>250</v>
      </c>
      <c r="P4400">
        <v>259</v>
      </c>
      <c r="Q4400" s="2">
        <v>64750</v>
      </c>
      <c r="R4400">
        <v>55</v>
      </c>
      <c r="V4400">
        <v>0</v>
      </c>
      <c r="W4400">
        <v>0</v>
      </c>
      <c r="X4400">
        <v>0</v>
      </c>
      <c r="Y4400">
        <v>305</v>
      </c>
      <c r="Z4400">
        <v>305</v>
      </c>
      <c r="AA4400">
        <v>305</v>
      </c>
      <c r="AB4400" s="1">
        <v>42382</v>
      </c>
      <c r="AC4400" t="s">
        <v>53</v>
      </c>
      <c r="AD4400" t="s">
        <v>53</v>
      </c>
      <c r="AK4400">
        <v>55</v>
      </c>
      <c r="AU4400" s="6">
        <v>42356</v>
      </c>
      <c r="AV4400" s="6">
        <v>42356</v>
      </c>
      <c r="AW4400" t="s">
        <v>54</v>
      </c>
      <c r="AX4400" t="str">
        <f t="shared" si="365"/>
        <v>FOR</v>
      </c>
      <c r="AY4400" t="s">
        <v>55</v>
      </c>
    </row>
    <row r="4401" spans="1:51">
      <c r="A4401">
        <v>101541</v>
      </c>
      <c r="B4401" t="s">
        <v>763</v>
      </c>
      <c r="C4401" t="str">
        <f t="shared" si="367"/>
        <v>08230471008</v>
      </c>
      <c r="D4401" t="str">
        <f t="shared" si="367"/>
        <v>08230471008</v>
      </c>
      <c r="E4401" t="s">
        <v>52</v>
      </c>
      <c r="F4401">
        <v>2015</v>
      </c>
      <c r="G4401">
        <v>112</v>
      </c>
      <c r="H4401" s="1">
        <v>42027</v>
      </c>
      <c r="I4401" s="1">
        <v>42037</v>
      </c>
      <c r="J4401" s="1">
        <v>42037</v>
      </c>
      <c r="K4401" s="1">
        <v>42097</v>
      </c>
      <c r="L4401" s="7">
        <v>250</v>
      </c>
      <c r="M4401" s="5">
        <v>259</v>
      </c>
      <c r="N4401" s="7">
        <v>64750</v>
      </c>
      <c r="O4401">
        <v>250</v>
      </c>
      <c r="P4401">
        <v>259</v>
      </c>
      <c r="Q4401" s="2">
        <v>64750</v>
      </c>
      <c r="R4401">
        <v>55</v>
      </c>
      <c r="V4401">
        <v>0</v>
      </c>
      <c r="W4401">
        <v>0</v>
      </c>
      <c r="X4401">
        <v>0</v>
      </c>
      <c r="Y4401">
        <v>305</v>
      </c>
      <c r="Z4401">
        <v>305</v>
      </c>
      <c r="AA4401">
        <v>305</v>
      </c>
      <c r="AB4401" s="1">
        <v>42382</v>
      </c>
      <c r="AC4401" t="s">
        <v>53</v>
      </c>
      <c r="AD4401" t="s">
        <v>53</v>
      </c>
      <c r="AK4401">
        <v>55</v>
      </c>
      <c r="AU4401" s="6">
        <v>42356</v>
      </c>
      <c r="AV4401" s="6">
        <v>42356</v>
      </c>
      <c r="AW4401" t="s">
        <v>54</v>
      </c>
      <c r="AX4401" t="str">
        <f t="shared" si="365"/>
        <v>FOR</v>
      </c>
      <c r="AY4401" t="s">
        <v>55</v>
      </c>
    </row>
    <row r="4402" spans="1:51">
      <c r="A4402">
        <v>101541</v>
      </c>
      <c r="B4402" t="s">
        <v>763</v>
      </c>
      <c r="C4402" t="str">
        <f t="shared" si="367"/>
        <v>08230471008</v>
      </c>
      <c r="D4402" t="str">
        <f t="shared" si="367"/>
        <v>08230471008</v>
      </c>
      <c r="E4402" t="s">
        <v>52</v>
      </c>
      <c r="F4402">
        <v>2015</v>
      </c>
      <c r="G4402">
        <v>113</v>
      </c>
      <c r="H4402" s="1">
        <v>42027</v>
      </c>
      <c r="I4402" s="1">
        <v>42037</v>
      </c>
      <c r="J4402" s="1">
        <v>42037</v>
      </c>
      <c r="K4402" s="1">
        <v>42097</v>
      </c>
      <c r="L4402" s="7">
        <v>250</v>
      </c>
      <c r="M4402" s="5">
        <v>259</v>
      </c>
      <c r="N4402" s="7">
        <v>64750</v>
      </c>
      <c r="O4402">
        <v>250</v>
      </c>
      <c r="P4402">
        <v>259</v>
      </c>
      <c r="Q4402" s="2">
        <v>64750</v>
      </c>
      <c r="R4402">
        <v>55</v>
      </c>
      <c r="V4402">
        <v>0</v>
      </c>
      <c r="W4402">
        <v>0</v>
      </c>
      <c r="X4402">
        <v>0</v>
      </c>
      <c r="Y4402">
        <v>305</v>
      </c>
      <c r="Z4402">
        <v>305</v>
      </c>
      <c r="AA4402">
        <v>305</v>
      </c>
      <c r="AB4402" s="1">
        <v>42382</v>
      </c>
      <c r="AC4402" t="s">
        <v>53</v>
      </c>
      <c r="AD4402" t="s">
        <v>53</v>
      </c>
      <c r="AK4402">
        <v>55</v>
      </c>
      <c r="AU4402" s="6">
        <v>42356</v>
      </c>
      <c r="AV4402" s="6">
        <v>42356</v>
      </c>
      <c r="AW4402" t="s">
        <v>54</v>
      </c>
      <c r="AX4402" t="str">
        <f t="shared" si="365"/>
        <v>FOR</v>
      </c>
      <c r="AY4402" t="s">
        <v>55</v>
      </c>
    </row>
    <row r="4403" spans="1:51">
      <c r="A4403">
        <v>101541</v>
      </c>
      <c r="B4403" t="s">
        <v>763</v>
      </c>
      <c r="C4403" t="str">
        <f t="shared" ref="C4403:D4425" si="368">"08230471008"</f>
        <v>08230471008</v>
      </c>
      <c r="D4403" t="str">
        <f t="shared" si="368"/>
        <v>08230471008</v>
      </c>
      <c r="E4403" t="s">
        <v>52</v>
      </c>
      <c r="F4403">
        <v>2015</v>
      </c>
      <c r="G4403">
        <v>114</v>
      </c>
      <c r="H4403" s="1">
        <v>42027</v>
      </c>
      <c r="I4403" s="1">
        <v>42037</v>
      </c>
      <c r="J4403" s="1">
        <v>42037</v>
      </c>
      <c r="K4403" s="1">
        <v>42097</v>
      </c>
      <c r="L4403" s="7">
        <v>250</v>
      </c>
      <c r="M4403" s="5">
        <v>259</v>
      </c>
      <c r="N4403" s="7">
        <v>64750</v>
      </c>
      <c r="O4403">
        <v>250</v>
      </c>
      <c r="P4403">
        <v>259</v>
      </c>
      <c r="Q4403" s="2">
        <v>64750</v>
      </c>
      <c r="R4403">
        <v>55</v>
      </c>
      <c r="V4403">
        <v>0</v>
      </c>
      <c r="W4403">
        <v>0</v>
      </c>
      <c r="X4403">
        <v>0</v>
      </c>
      <c r="Y4403">
        <v>305</v>
      </c>
      <c r="Z4403">
        <v>305</v>
      </c>
      <c r="AA4403">
        <v>305</v>
      </c>
      <c r="AB4403" s="1">
        <v>42382</v>
      </c>
      <c r="AC4403" t="s">
        <v>53</v>
      </c>
      <c r="AD4403" t="s">
        <v>53</v>
      </c>
      <c r="AK4403">
        <v>55</v>
      </c>
      <c r="AU4403" s="6">
        <v>42356</v>
      </c>
      <c r="AV4403" s="6">
        <v>42356</v>
      </c>
      <c r="AW4403" t="s">
        <v>54</v>
      </c>
      <c r="AX4403" t="str">
        <f t="shared" si="365"/>
        <v>FOR</v>
      </c>
      <c r="AY4403" t="s">
        <v>55</v>
      </c>
    </row>
    <row r="4404" spans="1:51">
      <c r="A4404">
        <v>101541</v>
      </c>
      <c r="B4404" t="s">
        <v>763</v>
      </c>
      <c r="C4404" t="str">
        <f t="shared" si="368"/>
        <v>08230471008</v>
      </c>
      <c r="D4404" t="str">
        <f t="shared" si="368"/>
        <v>08230471008</v>
      </c>
      <c r="E4404" t="s">
        <v>52</v>
      </c>
      <c r="F4404">
        <v>2015</v>
      </c>
      <c r="G4404">
        <v>115</v>
      </c>
      <c r="H4404" s="1">
        <v>42027</v>
      </c>
      <c r="I4404" s="1">
        <v>42037</v>
      </c>
      <c r="J4404" s="1">
        <v>42037</v>
      </c>
      <c r="K4404" s="1">
        <v>42097</v>
      </c>
      <c r="L4404" s="7">
        <v>250</v>
      </c>
      <c r="M4404" s="5">
        <v>259</v>
      </c>
      <c r="N4404" s="7">
        <v>64750</v>
      </c>
      <c r="O4404">
        <v>250</v>
      </c>
      <c r="P4404">
        <v>259</v>
      </c>
      <c r="Q4404" s="2">
        <v>64750</v>
      </c>
      <c r="R4404">
        <v>55</v>
      </c>
      <c r="V4404">
        <v>0</v>
      </c>
      <c r="W4404">
        <v>0</v>
      </c>
      <c r="X4404">
        <v>0</v>
      </c>
      <c r="Y4404">
        <v>305</v>
      </c>
      <c r="Z4404">
        <v>305</v>
      </c>
      <c r="AA4404">
        <v>305</v>
      </c>
      <c r="AB4404" s="1">
        <v>42382</v>
      </c>
      <c r="AC4404" t="s">
        <v>53</v>
      </c>
      <c r="AD4404" t="s">
        <v>53</v>
      </c>
      <c r="AK4404">
        <v>55</v>
      </c>
      <c r="AU4404" s="6">
        <v>42356</v>
      </c>
      <c r="AV4404" s="6">
        <v>42356</v>
      </c>
      <c r="AW4404" t="s">
        <v>54</v>
      </c>
      <c r="AX4404" t="str">
        <f t="shared" si="365"/>
        <v>FOR</v>
      </c>
      <c r="AY4404" t="s">
        <v>55</v>
      </c>
    </row>
    <row r="4405" spans="1:51">
      <c r="A4405">
        <v>101541</v>
      </c>
      <c r="B4405" t="s">
        <v>763</v>
      </c>
      <c r="C4405" t="str">
        <f t="shared" si="368"/>
        <v>08230471008</v>
      </c>
      <c r="D4405" t="str">
        <f t="shared" si="368"/>
        <v>08230471008</v>
      </c>
      <c r="E4405" t="s">
        <v>52</v>
      </c>
      <c r="F4405">
        <v>2015</v>
      </c>
      <c r="G4405">
        <v>116</v>
      </c>
      <c r="H4405" s="1">
        <v>42027</v>
      </c>
      <c r="I4405" s="1">
        <v>42037</v>
      </c>
      <c r="J4405" s="1">
        <v>42037</v>
      </c>
      <c r="K4405" s="1">
        <v>42097</v>
      </c>
      <c r="L4405" s="7">
        <v>250</v>
      </c>
      <c r="M4405" s="5">
        <v>259</v>
      </c>
      <c r="N4405" s="7">
        <v>64750</v>
      </c>
      <c r="O4405">
        <v>250</v>
      </c>
      <c r="P4405">
        <v>259</v>
      </c>
      <c r="Q4405" s="2">
        <v>64750</v>
      </c>
      <c r="R4405">
        <v>55</v>
      </c>
      <c r="V4405">
        <v>0</v>
      </c>
      <c r="W4405">
        <v>0</v>
      </c>
      <c r="X4405">
        <v>0</v>
      </c>
      <c r="Y4405">
        <v>305</v>
      </c>
      <c r="Z4405">
        <v>305</v>
      </c>
      <c r="AA4405">
        <v>305</v>
      </c>
      <c r="AB4405" s="1">
        <v>42382</v>
      </c>
      <c r="AC4405" t="s">
        <v>53</v>
      </c>
      <c r="AD4405" t="s">
        <v>53</v>
      </c>
      <c r="AK4405">
        <v>55</v>
      </c>
      <c r="AU4405" s="6">
        <v>42356</v>
      </c>
      <c r="AV4405" s="6">
        <v>42356</v>
      </c>
      <c r="AW4405" t="s">
        <v>54</v>
      </c>
      <c r="AX4405" t="str">
        <f t="shared" si="365"/>
        <v>FOR</v>
      </c>
      <c r="AY4405" t="s">
        <v>55</v>
      </c>
    </row>
    <row r="4406" spans="1:51">
      <c r="A4406">
        <v>101541</v>
      </c>
      <c r="B4406" t="s">
        <v>763</v>
      </c>
      <c r="C4406" t="str">
        <f t="shared" si="368"/>
        <v>08230471008</v>
      </c>
      <c r="D4406" t="str">
        <f t="shared" si="368"/>
        <v>08230471008</v>
      </c>
      <c r="E4406" t="s">
        <v>52</v>
      </c>
      <c r="F4406">
        <v>2015</v>
      </c>
      <c r="G4406">
        <v>117</v>
      </c>
      <c r="H4406" s="1">
        <v>42027</v>
      </c>
      <c r="I4406" s="1">
        <v>42037</v>
      </c>
      <c r="J4406" s="1">
        <v>42037</v>
      </c>
      <c r="K4406" s="1">
        <v>42097</v>
      </c>
      <c r="L4406" s="7">
        <v>250</v>
      </c>
      <c r="M4406" s="5">
        <v>259</v>
      </c>
      <c r="N4406" s="7">
        <v>64750</v>
      </c>
      <c r="O4406">
        <v>250</v>
      </c>
      <c r="P4406">
        <v>259</v>
      </c>
      <c r="Q4406" s="2">
        <v>64750</v>
      </c>
      <c r="R4406">
        <v>55</v>
      </c>
      <c r="V4406">
        <v>0</v>
      </c>
      <c r="W4406">
        <v>0</v>
      </c>
      <c r="X4406">
        <v>0</v>
      </c>
      <c r="Y4406">
        <v>305</v>
      </c>
      <c r="Z4406">
        <v>305</v>
      </c>
      <c r="AA4406">
        <v>305</v>
      </c>
      <c r="AB4406" s="1">
        <v>42382</v>
      </c>
      <c r="AC4406" t="s">
        <v>53</v>
      </c>
      <c r="AD4406" t="s">
        <v>53</v>
      </c>
      <c r="AK4406">
        <v>55</v>
      </c>
      <c r="AU4406" s="6">
        <v>42356</v>
      </c>
      <c r="AV4406" s="6">
        <v>42356</v>
      </c>
      <c r="AW4406" t="s">
        <v>54</v>
      </c>
      <c r="AX4406" t="str">
        <f t="shared" si="365"/>
        <v>FOR</v>
      </c>
      <c r="AY4406" t="s">
        <v>55</v>
      </c>
    </row>
    <row r="4407" spans="1:51">
      <c r="A4407">
        <v>101541</v>
      </c>
      <c r="B4407" t="s">
        <v>763</v>
      </c>
      <c r="C4407" t="str">
        <f t="shared" si="368"/>
        <v>08230471008</v>
      </c>
      <c r="D4407" t="str">
        <f t="shared" si="368"/>
        <v>08230471008</v>
      </c>
      <c r="E4407" t="s">
        <v>52</v>
      </c>
      <c r="F4407">
        <v>2015</v>
      </c>
      <c r="G4407">
        <v>118</v>
      </c>
      <c r="H4407" s="1">
        <v>42027</v>
      </c>
      <c r="I4407" s="1">
        <v>42037</v>
      </c>
      <c r="J4407" s="1">
        <v>42037</v>
      </c>
      <c r="K4407" s="1">
        <v>42097</v>
      </c>
      <c r="L4407" s="7">
        <v>250</v>
      </c>
      <c r="M4407" s="5">
        <v>259</v>
      </c>
      <c r="N4407" s="7">
        <v>64750</v>
      </c>
      <c r="O4407">
        <v>250</v>
      </c>
      <c r="P4407">
        <v>259</v>
      </c>
      <c r="Q4407" s="2">
        <v>64750</v>
      </c>
      <c r="R4407">
        <v>55</v>
      </c>
      <c r="V4407">
        <v>0</v>
      </c>
      <c r="W4407">
        <v>0</v>
      </c>
      <c r="X4407">
        <v>0</v>
      </c>
      <c r="Y4407">
        <v>305</v>
      </c>
      <c r="Z4407">
        <v>305</v>
      </c>
      <c r="AA4407">
        <v>305</v>
      </c>
      <c r="AB4407" s="1">
        <v>42382</v>
      </c>
      <c r="AC4407" t="s">
        <v>53</v>
      </c>
      <c r="AD4407" t="s">
        <v>53</v>
      </c>
      <c r="AK4407">
        <v>55</v>
      </c>
      <c r="AU4407" s="6">
        <v>42356</v>
      </c>
      <c r="AV4407" s="6">
        <v>42356</v>
      </c>
      <c r="AW4407" t="s">
        <v>54</v>
      </c>
      <c r="AX4407" t="str">
        <f t="shared" si="365"/>
        <v>FOR</v>
      </c>
      <c r="AY4407" t="s">
        <v>55</v>
      </c>
    </row>
    <row r="4408" spans="1:51">
      <c r="A4408">
        <v>101541</v>
      </c>
      <c r="B4408" t="s">
        <v>763</v>
      </c>
      <c r="C4408" t="str">
        <f t="shared" si="368"/>
        <v>08230471008</v>
      </c>
      <c r="D4408" t="str">
        <f t="shared" si="368"/>
        <v>08230471008</v>
      </c>
      <c r="E4408" t="s">
        <v>52</v>
      </c>
      <c r="F4408">
        <v>2015</v>
      </c>
      <c r="G4408">
        <v>119</v>
      </c>
      <c r="H4408" s="1">
        <v>42027</v>
      </c>
      <c r="I4408" s="1">
        <v>42037</v>
      </c>
      <c r="J4408" s="1">
        <v>42037</v>
      </c>
      <c r="K4408" s="1">
        <v>42097</v>
      </c>
      <c r="L4408" s="7">
        <v>250</v>
      </c>
      <c r="M4408" s="5">
        <v>259</v>
      </c>
      <c r="N4408" s="7">
        <v>64750</v>
      </c>
      <c r="O4408">
        <v>250</v>
      </c>
      <c r="P4408">
        <v>259</v>
      </c>
      <c r="Q4408" s="2">
        <v>64750</v>
      </c>
      <c r="R4408">
        <v>55</v>
      </c>
      <c r="V4408">
        <v>0</v>
      </c>
      <c r="W4408">
        <v>0</v>
      </c>
      <c r="X4408">
        <v>0</v>
      </c>
      <c r="Y4408">
        <v>305</v>
      </c>
      <c r="Z4408">
        <v>305</v>
      </c>
      <c r="AA4408">
        <v>305</v>
      </c>
      <c r="AB4408" s="1">
        <v>42382</v>
      </c>
      <c r="AC4408" t="s">
        <v>53</v>
      </c>
      <c r="AD4408" t="s">
        <v>53</v>
      </c>
      <c r="AK4408">
        <v>55</v>
      </c>
      <c r="AU4408" s="6">
        <v>42356</v>
      </c>
      <c r="AV4408" s="6">
        <v>42356</v>
      </c>
      <c r="AW4408" t="s">
        <v>54</v>
      </c>
      <c r="AX4408" t="str">
        <f t="shared" si="365"/>
        <v>FOR</v>
      </c>
      <c r="AY4408" t="s">
        <v>55</v>
      </c>
    </row>
    <row r="4409" spans="1:51">
      <c r="A4409">
        <v>101541</v>
      </c>
      <c r="B4409" t="s">
        <v>763</v>
      </c>
      <c r="C4409" t="str">
        <f t="shared" si="368"/>
        <v>08230471008</v>
      </c>
      <c r="D4409" t="str">
        <f t="shared" si="368"/>
        <v>08230471008</v>
      </c>
      <c r="E4409" t="s">
        <v>52</v>
      </c>
      <c r="F4409">
        <v>2015</v>
      </c>
      <c r="G4409">
        <v>120</v>
      </c>
      <c r="H4409" s="1">
        <v>42027</v>
      </c>
      <c r="I4409" s="1">
        <v>42037</v>
      </c>
      <c r="J4409" s="1">
        <v>42037</v>
      </c>
      <c r="K4409" s="1">
        <v>42097</v>
      </c>
      <c r="L4409" s="7">
        <v>250</v>
      </c>
      <c r="M4409" s="5">
        <v>259</v>
      </c>
      <c r="N4409" s="7">
        <v>64750</v>
      </c>
      <c r="O4409">
        <v>250</v>
      </c>
      <c r="P4409">
        <v>259</v>
      </c>
      <c r="Q4409" s="2">
        <v>64750</v>
      </c>
      <c r="R4409">
        <v>55</v>
      </c>
      <c r="V4409">
        <v>0</v>
      </c>
      <c r="W4409">
        <v>0</v>
      </c>
      <c r="X4409">
        <v>0</v>
      </c>
      <c r="Y4409">
        <v>305</v>
      </c>
      <c r="Z4409">
        <v>305</v>
      </c>
      <c r="AA4409">
        <v>305</v>
      </c>
      <c r="AB4409" s="1">
        <v>42382</v>
      </c>
      <c r="AC4409" t="s">
        <v>53</v>
      </c>
      <c r="AD4409" t="s">
        <v>53</v>
      </c>
      <c r="AK4409">
        <v>55</v>
      </c>
      <c r="AU4409" s="6">
        <v>42356</v>
      </c>
      <c r="AV4409" s="6">
        <v>42356</v>
      </c>
      <c r="AW4409" t="s">
        <v>54</v>
      </c>
      <c r="AX4409" t="str">
        <f t="shared" si="365"/>
        <v>FOR</v>
      </c>
      <c r="AY4409" t="s">
        <v>55</v>
      </c>
    </row>
    <row r="4410" spans="1:51">
      <c r="A4410">
        <v>101541</v>
      </c>
      <c r="B4410" t="s">
        <v>763</v>
      </c>
      <c r="C4410" t="str">
        <f t="shared" si="368"/>
        <v>08230471008</v>
      </c>
      <c r="D4410" t="str">
        <f t="shared" si="368"/>
        <v>08230471008</v>
      </c>
      <c r="E4410" t="s">
        <v>52</v>
      </c>
      <c r="F4410">
        <v>2015</v>
      </c>
      <c r="G4410">
        <v>121</v>
      </c>
      <c r="H4410" s="1">
        <v>42027</v>
      </c>
      <c r="I4410" s="1">
        <v>42037</v>
      </c>
      <c r="J4410" s="1">
        <v>42037</v>
      </c>
      <c r="K4410" s="1">
        <v>42097</v>
      </c>
      <c r="L4410" s="7">
        <v>250</v>
      </c>
      <c r="M4410" s="5">
        <v>259</v>
      </c>
      <c r="N4410" s="7">
        <v>64750</v>
      </c>
      <c r="O4410">
        <v>250</v>
      </c>
      <c r="P4410">
        <v>259</v>
      </c>
      <c r="Q4410" s="2">
        <v>64750</v>
      </c>
      <c r="R4410">
        <v>55</v>
      </c>
      <c r="V4410">
        <v>0</v>
      </c>
      <c r="W4410">
        <v>0</v>
      </c>
      <c r="X4410">
        <v>0</v>
      </c>
      <c r="Y4410">
        <v>305</v>
      </c>
      <c r="Z4410">
        <v>305</v>
      </c>
      <c r="AA4410">
        <v>305</v>
      </c>
      <c r="AB4410" s="1">
        <v>42382</v>
      </c>
      <c r="AC4410" t="s">
        <v>53</v>
      </c>
      <c r="AD4410" t="s">
        <v>53</v>
      </c>
      <c r="AK4410">
        <v>55</v>
      </c>
      <c r="AU4410" s="6">
        <v>42356</v>
      </c>
      <c r="AV4410" s="6">
        <v>42356</v>
      </c>
      <c r="AW4410" t="s">
        <v>54</v>
      </c>
      <c r="AX4410" t="str">
        <f t="shared" si="365"/>
        <v>FOR</v>
      </c>
      <c r="AY4410" t="s">
        <v>55</v>
      </c>
    </row>
    <row r="4411" spans="1:51">
      <c r="A4411">
        <v>101541</v>
      </c>
      <c r="B4411" t="s">
        <v>763</v>
      </c>
      <c r="C4411" t="str">
        <f t="shared" si="368"/>
        <v>08230471008</v>
      </c>
      <c r="D4411" t="str">
        <f t="shared" si="368"/>
        <v>08230471008</v>
      </c>
      <c r="E4411" t="s">
        <v>52</v>
      </c>
      <c r="F4411">
        <v>2015</v>
      </c>
      <c r="G4411">
        <v>122</v>
      </c>
      <c r="H4411" s="1">
        <v>42027</v>
      </c>
      <c r="I4411" s="1">
        <v>42037</v>
      </c>
      <c r="J4411" s="1">
        <v>42037</v>
      </c>
      <c r="K4411" s="1">
        <v>42097</v>
      </c>
      <c r="L4411" s="7">
        <v>250</v>
      </c>
      <c r="M4411" s="5">
        <v>259</v>
      </c>
      <c r="N4411" s="7">
        <v>64750</v>
      </c>
      <c r="O4411">
        <v>250</v>
      </c>
      <c r="P4411">
        <v>259</v>
      </c>
      <c r="Q4411" s="2">
        <v>64750</v>
      </c>
      <c r="R4411">
        <v>50</v>
      </c>
      <c r="V4411">
        <v>0</v>
      </c>
      <c r="W4411">
        <v>0</v>
      </c>
      <c r="X4411">
        <v>0</v>
      </c>
      <c r="Y4411">
        <v>300</v>
      </c>
      <c r="Z4411">
        <v>300</v>
      </c>
      <c r="AA4411">
        <v>300</v>
      </c>
      <c r="AB4411" s="1">
        <v>42382</v>
      </c>
      <c r="AC4411" t="s">
        <v>53</v>
      </c>
      <c r="AD4411" t="s">
        <v>53</v>
      </c>
      <c r="AK4411">
        <v>50</v>
      </c>
      <c r="AU4411" s="6">
        <v>42356</v>
      </c>
      <c r="AV4411" s="6">
        <v>42356</v>
      </c>
      <c r="AW4411" t="s">
        <v>54</v>
      </c>
      <c r="AX4411" t="str">
        <f t="shared" si="365"/>
        <v>FOR</v>
      </c>
      <c r="AY4411" t="s">
        <v>55</v>
      </c>
    </row>
    <row r="4412" spans="1:51">
      <c r="A4412">
        <v>101541</v>
      </c>
      <c r="B4412" t="s">
        <v>763</v>
      </c>
      <c r="C4412" t="str">
        <f t="shared" si="368"/>
        <v>08230471008</v>
      </c>
      <c r="D4412" t="str">
        <f t="shared" si="368"/>
        <v>08230471008</v>
      </c>
      <c r="E4412" t="s">
        <v>52</v>
      </c>
      <c r="F4412">
        <v>2015</v>
      </c>
      <c r="G4412">
        <v>123</v>
      </c>
      <c r="H4412" s="1">
        <v>42027</v>
      </c>
      <c r="I4412" s="1">
        <v>42037</v>
      </c>
      <c r="J4412" s="1">
        <v>42037</v>
      </c>
      <c r="K4412" s="1">
        <v>42097</v>
      </c>
      <c r="L4412" s="7">
        <v>250</v>
      </c>
      <c r="M4412" s="5">
        <v>259</v>
      </c>
      <c r="N4412" s="7">
        <v>64750</v>
      </c>
      <c r="O4412">
        <v>250</v>
      </c>
      <c r="P4412">
        <v>259</v>
      </c>
      <c r="Q4412" s="2">
        <v>64750</v>
      </c>
      <c r="R4412">
        <v>50</v>
      </c>
      <c r="V4412">
        <v>0</v>
      </c>
      <c r="W4412">
        <v>0</v>
      </c>
      <c r="X4412">
        <v>0</v>
      </c>
      <c r="Y4412">
        <v>300</v>
      </c>
      <c r="Z4412">
        <v>300</v>
      </c>
      <c r="AA4412">
        <v>300</v>
      </c>
      <c r="AB4412" s="1">
        <v>42382</v>
      </c>
      <c r="AC4412" t="s">
        <v>53</v>
      </c>
      <c r="AD4412" t="s">
        <v>53</v>
      </c>
      <c r="AK4412">
        <v>50</v>
      </c>
      <c r="AU4412" s="6">
        <v>42356</v>
      </c>
      <c r="AV4412" s="6">
        <v>42356</v>
      </c>
      <c r="AW4412" t="s">
        <v>54</v>
      </c>
      <c r="AX4412" t="str">
        <f t="shared" si="365"/>
        <v>FOR</v>
      </c>
      <c r="AY4412" t="s">
        <v>55</v>
      </c>
    </row>
    <row r="4413" spans="1:51">
      <c r="A4413">
        <v>101541</v>
      </c>
      <c r="B4413" t="s">
        <v>763</v>
      </c>
      <c r="C4413" t="str">
        <f t="shared" si="368"/>
        <v>08230471008</v>
      </c>
      <c r="D4413" t="str">
        <f t="shared" si="368"/>
        <v>08230471008</v>
      </c>
      <c r="E4413" t="s">
        <v>52</v>
      </c>
      <c r="F4413">
        <v>2015</v>
      </c>
      <c r="G4413">
        <v>124</v>
      </c>
      <c r="H4413" s="1">
        <v>42027</v>
      </c>
      <c r="I4413" s="1">
        <v>42037</v>
      </c>
      <c r="J4413" s="1">
        <v>42037</v>
      </c>
      <c r="K4413" s="1">
        <v>42097</v>
      </c>
      <c r="L4413" s="7">
        <v>250</v>
      </c>
      <c r="M4413" s="5">
        <v>259</v>
      </c>
      <c r="N4413" s="7">
        <v>64750</v>
      </c>
      <c r="O4413">
        <v>250</v>
      </c>
      <c r="P4413">
        <v>259</v>
      </c>
      <c r="Q4413" s="2">
        <v>64750</v>
      </c>
      <c r="R4413">
        <v>55</v>
      </c>
      <c r="V4413">
        <v>0</v>
      </c>
      <c r="W4413">
        <v>0</v>
      </c>
      <c r="X4413">
        <v>0</v>
      </c>
      <c r="Y4413">
        <v>305</v>
      </c>
      <c r="Z4413">
        <v>305</v>
      </c>
      <c r="AA4413">
        <v>305</v>
      </c>
      <c r="AB4413" s="1">
        <v>42382</v>
      </c>
      <c r="AC4413" t="s">
        <v>53</v>
      </c>
      <c r="AD4413" t="s">
        <v>53</v>
      </c>
      <c r="AK4413">
        <v>55</v>
      </c>
      <c r="AU4413" s="6">
        <v>42356</v>
      </c>
      <c r="AV4413" s="6">
        <v>42356</v>
      </c>
      <c r="AW4413" t="s">
        <v>54</v>
      </c>
      <c r="AX4413" t="str">
        <f t="shared" si="365"/>
        <v>FOR</v>
      </c>
      <c r="AY4413" t="s">
        <v>55</v>
      </c>
    </row>
    <row r="4414" spans="1:51">
      <c r="A4414">
        <v>101541</v>
      </c>
      <c r="B4414" t="s">
        <v>763</v>
      </c>
      <c r="C4414" t="str">
        <f t="shared" si="368"/>
        <v>08230471008</v>
      </c>
      <c r="D4414" t="str">
        <f t="shared" si="368"/>
        <v>08230471008</v>
      </c>
      <c r="E4414" t="s">
        <v>52</v>
      </c>
      <c r="F4414">
        <v>2015</v>
      </c>
      <c r="G4414">
        <v>251</v>
      </c>
      <c r="H4414" s="1">
        <v>42318</v>
      </c>
      <c r="I4414" s="1">
        <v>42318</v>
      </c>
      <c r="J4414" s="1">
        <v>42318</v>
      </c>
      <c r="K4414" s="1">
        <v>42427</v>
      </c>
      <c r="L4414" s="7">
        <v>5</v>
      </c>
      <c r="M4414" s="5">
        <v>-109</v>
      </c>
      <c r="N4414" s="7">
        <v>-545</v>
      </c>
      <c r="O4414">
        <v>5</v>
      </c>
      <c r="P4414">
        <v>-109</v>
      </c>
      <c r="Q4414">
        <v>-545</v>
      </c>
      <c r="R4414">
        <v>0</v>
      </c>
      <c r="V4414">
        <v>5</v>
      </c>
      <c r="W4414">
        <v>5</v>
      </c>
      <c r="X4414">
        <v>5</v>
      </c>
      <c r="Y4414">
        <v>5</v>
      </c>
      <c r="Z4414">
        <v>5</v>
      </c>
      <c r="AA4414">
        <v>5</v>
      </c>
      <c r="AB4414" s="1">
        <v>42382</v>
      </c>
      <c r="AC4414" t="s">
        <v>53</v>
      </c>
      <c r="AD4414" t="s">
        <v>53</v>
      </c>
      <c r="AK4414">
        <v>0</v>
      </c>
      <c r="AU4414" s="6">
        <v>42318</v>
      </c>
      <c r="AV4414" s="6">
        <v>42318</v>
      </c>
      <c r="AW4414" t="s">
        <v>54</v>
      </c>
      <c r="AX4414" t="str">
        <f t="shared" si="365"/>
        <v>FOR</v>
      </c>
      <c r="AY4414" t="s">
        <v>55</v>
      </c>
    </row>
    <row r="4415" spans="1:51">
      <c r="A4415">
        <v>101541</v>
      </c>
      <c r="B4415" t="s">
        <v>763</v>
      </c>
      <c r="C4415" t="str">
        <f t="shared" si="368"/>
        <v>08230471008</v>
      </c>
      <c r="D4415" t="str">
        <f t="shared" si="368"/>
        <v>08230471008</v>
      </c>
      <c r="E4415" t="s">
        <v>52</v>
      </c>
      <c r="F4415">
        <v>2015</v>
      </c>
      <c r="G4415">
        <v>772</v>
      </c>
      <c r="H4415" s="1">
        <v>42034</v>
      </c>
      <c r="I4415" s="1">
        <v>42052</v>
      </c>
      <c r="J4415" s="1">
        <v>42052</v>
      </c>
      <c r="K4415" s="1">
        <v>42112</v>
      </c>
      <c r="L4415" s="7">
        <v>13950</v>
      </c>
      <c r="M4415" s="5">
        <v>244</v>
      </c>
      <c r="N4415" s="7">
        <v>3403800</v>
      </c>
      <c r="O4415" s="2">
        <v>13950</v>
      </c>
      <c r="P4415">
        <v>244</v>
      </c>
      <c r="Q4415" s="2">
        <v>3403800</v>
      </c>
      <c r="R4415" s="2">
        <v>3069</v>
      </c>
      <c r="V4415">
        <v>0</v>
      </c>
      <c r="W4415">
        <v>0</v>
      </c>
      <c r="X4415">
        <v>0</v>
      </c>
      <c r="Y4415" s="2">
        <v>17019</v>
      </c>
      <c r="Z4415" s="2">
        <v>17019</v>
      </c>
      <c r="AA4415" s="2">
        <v>17019</v>
      </c>
      <c r="AB4415" s="1">
        <v>42382</v>
      </c>
      <c r="AC4415" t="s">
        <v>53</v>
      </c>
      <c r="AD4415" t="s">
        <v>53</v>
      </c>
      <c r="AK4415" s="2">
        <v>3069</v>
      </c>
      <c r="AU4415" s="6">
        <v>42356</v>
      </c>
      <c r="AV4415" s="6">
        <v>42356</v>
      </c>
      <c r="AW4415" t="s">
        <v>54</v>
      </c>
      <c r="AX4415" t="str">
        <f t="shared" si="365"/>
        <v>FOR</v>
      </c>
      <c r="AY4415" t="s">
        <v>55</v>
      </c>
    </row>
    <row r="4416" spans="1:51">
      <c r="A4416">
        <v>101541</v>
      </c>
      <c r="B4416" t="s">
        <v>763</v>
      </c>
      <c r="C4416" t="str">
        <f t="shared" si="368"/>
        <v>08230471008</v>
      </c>
      <c r="D4416" t="str">
        <f t="shared" si="368"/>
        <v>08230471008</v>
      </c>
      <c r="E4416" t="s">
        <v>52</v>
      </c>
      <c r="F4416">
        <v>2015</v>
      </c>
      <c r="G4416">
        <v>773</v>
      </c>
      <c r="H4416" s="1">
        <v>42034</v>
      </c>
      <c r="I4416" s="1">
        <v>42052</v>
      </c>
      <c r="J4416" s="1">
        <v>42052</v>
      </c>
      <c r="K4416" s="1">
        <v>42112</v>
      </c>
      <c r="L4416" s="7">
        <v>250</v>
      </c>
      <c r="M4416" s="5">
        <v>244</v>
      </c>
      <c r="N4416" s="7">
        <v>61000</v>
      </c>
      <c r="O4416">
        <v>250</v>
      </c>
      <c r="P4416">
        <v>244</v>
      </c>
      <c r="Q4416" s="2">
        <v>61000</v>
      </c>
      <c r="R4416">
        <v>55</v>
      </c>
      <c r="V4416">
        <v>0</v>
      </c>
      <c r="W4416">
        <v>0</v>
      </c>
      <c r="X4416">
        <v>0</v>
      </c>
      <c r="Y4416">
        <v>305</v>
      </c>
      <c r="Z4416">
        <v>305</v>
      </c>
      <c r="AA4416">
        <v>305</v>
      </c>
      <c r="AB4416" s="1">
        <v>42382</v>
      </c>
      <c r="AC4416" t="s">
        <v>53</v>
      </c>
      <c r="AD4416" t="s">
        <v>53</v>
      </c>
      <c r="AK4416">
        <v>55</v>
      </c>
      <c r="AU4416" s="6">
        <v>42356</v>
      </c>
      <c r="AV4416" s="6">
        <v>42356</v>
      </c>
      <c r="AW4416" t="s">
        <v>54</v>
      </c>
      <c r="AX4416" t="str">
        <f t="shared" si="365"/>
        <v>FOR</v>
      </c>
      <c r="AY4416" t="s">
        <v>55</v>
      </c>
    </row>
    <row r="4417" spans="1:51">
      <c r="A4417">
        <v>101541</v>
      </c>
      <c r="B4417" t="s">
        <v>763</v>
      </c>
      <c r="C4417" t="str">
        <f t="shared" si="368"/>
        <v>08230471008</v>
      </c>
      <c r="D4417" t="str">
        <f t="shared" si="368"/>
        <v>08230471008</v>
      </c>
      <c r="E4417" t="s">
        <v>52</v>
      </c>
      <c r="F4417">
        <v>2015</v>
      </c>
      <c r="G4417">
        <v>774</v>
      </c>
      <c r="H4417" s="1">
        <v>42034</v>
      </c>
      <c r="I4417" s="1">
        <v>42052</v>
      </c>
      <c r="J4417" s="1">
        <v>42052</v>
      </c>
      <c r="K4417" s="1">
        <v>42112</v>
      </c>
      <c r="L4417" s="7">
        <v>250</v>
      </c>
      <c r="M4417" s="5">
        <v>244</v>
      </c>
      <c r="N4417" s="7">
        <v>61000</v>
      </c>
      <c r="O4417">
        <v>250</v>
      </c>
      <c r="P4417">
        <v>244</v>
      </c>
      <c r="Q4417" s="2">
        <v>61000</v>
      </c>
      <c r="R4417">
        <v>55</v>
      </c>
      <c r="V4417">
        <v>0</v>
      </c>
      <c r="W4417">
        <v>0</v>
      </c>
      <c r="X4417">
        <v>0</v>
      </c>
      <c r="Y4417">
        <v>305</v>
      </c>
      <c r="Z4417">
        <v>305</v>
      </c>
      <c r="AA4417">
        <v>305</v>
      </c>
      <c r="AB4417" s="1">
        <v>42382</v>
      </c>
      <c r="AC4417" t="s">
        <v>53</v>
      </c>
      <c r="AD4417" t="s">
        <v>53</v>
      </c>
      <c r="AK4417">
        <v>55</v>
      </c>
      <c r="AU4417" s="6">
        <v>42356</v>
      </c>
      <c r="AV4417" s="6">
        <v>42356</v>
      </c>
      <c r="AW4417" t="s">
        <v>54</v>
      </c>
      <c r="AX4417" t="str">
        <f t="shared" si="365"/>
        <v>FOR</v>
      </c>
      <c r="AY4417" t="s">
        <v>55</v>
      </c>
    </row>
    <row r="4418" spans="1:51">
      <c r="A4418">
        <v>101541</v>
      </c>
      <c r="B4418" t="s">
        <v>763</v>
      </c>
      <c r="C4418" t="str">
        <f t="shared" si="368"/>
        <v>08230471008</v>
      </c>
      <c r="D4418" t="str">
        <f t="shared" si="368"/>
        <v>08230471008</v>
      </c>
      <c r="E4418" t="s">
        <v>52</v>
      </c>
      <c r="F4418">
        <v>2015</v>
      </c>
      <c r="G4418">
        <v>775</v>
      </c>
      <c r="H4418" s="1">
        <v>42034</v>
      </c>
      <c r="I4418" s="1">
        <v>42052</v>
      </c>
      <c r="J4418" s="1">
        <v>42052</v>
      </c>
      <c r="K4418" s="1">
        <v>42112</v>
      </c>
      <c r="L4418" s="7">
        <v>250</v>
      </c>
      <c r="M4418" s="5">
        <v>244</v>
      </c>
      <c r="N4418" s="7">
        <v>61000</v>
      </c>
      <c r="O4418">
        <v>250</v>
      </c>
      <c r="P4418">
        <v>244</v>
      </c>
      <c r="Q4418" s="2">
        <v>61000</v>
      </c>
      <c r="R4418">
        <v>55</v>
      </c>
      <c r="V4418">
        <v>0</v>
      </c>
      <c r="W4418">
        <v>0</v>
      </c>
      <c r="X4418">
        <v>0</v>
      </c>
      <c r="Y4418">
        <v>305</v>
      </c>
      <c r="Z4418">
        <v>305</v>
      </c>
      <c r="AA4418">
        <v>305</v>
      </c>
      <c r="AB4418" s="1">
        <v>42382</v>
      </c>
      <c r="AC4418" t="s">
        <v>53</v>
      </c>
      <c r="AD4418" t="s">
        <v>53</v>
      </c>
      <c r="AK4418">
        <v>55</v>
      </c>
      <c r="AU4418" s="6">
        <v>42356</v>
      </c>
      <c r="AV4418" s="6">
        <v>42356</v>
      </c>
      <c r="AW4418" t="s">
        <v>54</v>
      </c>
      <c r="AX4418" t="str">
        <f t="shared" si="365"/>
        <v>FOR</v>
      </c>
      <c r="AY4418" t="s">
        <v>55</v>
      </c>
    </row>
    <row r="4419" spans="1:51">
      <c r="A4419">
        <v>101541</v>
      </c>
      <c r="B4419" t="s">
        <v>763</v>
      </c>
      <c r="C4419" t="str">
        <f t="shared" si="368"/>
        <v>08230471008</v>
      </c>
      <c r="D4419" t="str">
        <f t="shared" si="368"/>
        <v>08230471008</v>
      </c>
      <c r="E4419" t="s">
        <v>52</v>
      </c>
      <c r="F4419">
        <v>2015</v>
      </c>
      <c r="G4419">
        <v>776</v>
      </c>
      <c r="H4419" s="1">
        <v>42034</v>
      </c>
      <c r="I4419" s="1">
        <v>42052</v>
      </c>
      <c r="J4419" s="1">
        <v>42052</v>
      </c>
      <c r="K4419" s="1">
        <v>42112</v>
      </c>
      <c r="L4419" s="7">
        <v>250</v>
      </c>
      <c r="M4419" s="5">
        <v>244</v>
      </c>
      <c r="N4419" s="7">
        <v>61000</v>
      </c>
      <c r="O4419">
        <v>250</v>
      </c>
      <c r="P4419">
        <v>244</v>
      </c>
      <c r="Q4419" s="2">
        <v>61000</v>
      </c>
      <c r="R4419">
        <v>55</v>
      </c>
      <c r="V4419">
        <v>0</v>
      </c>
      <c r="W4419">
        <v>0</v>
      </c>
      <c r="X4419">
        <v>0</v>
      </c>
      <c r="Y4419">
        <v>305</v>
      </c>
      <c r="Z4419">
        <v>305</v>
      </c>
      <c r="AA4419">
        <v>305</v>
      </c>
      <c r="AB4419" s="1">
        <v>42382</v>
      </c>
      <c r="AC4419" t="s">
        <v>53</v>
      </c>
      <c r="AD4419" t="s">
        <v>53</v>
      </c>
      <c r="AK4419">
        <v>55</v>
      </c>
      <c r="AU4419" s="6">
        <v>42356</v>
      </c>
      <c r="AV4419" s="6">
        <v>42356</v>
      </c>
      <c r="AW4419" t="s">
        <v>54</v>
      </c>
      <c r="AX4419" t="str">
        <f t="shared" ref="AX4419:AX4482" si="369">"FOR"</f>
        <v>FOR</v>
      </c>
      <c r="AY4419" t="s">
        <v>55</v>
      </c>
    </row>
    <row r="4420" spans="1:51">
      <c r="A4420">
        <v>101541</v>
      </c>
      <c r="B4420" t="s">
        <v>763</v>
      </c>
      <c r="C4420" t="str">
        <f t="shared" si="368"/>
        <v>08230471008</v>
      </c>
      <c r="D4420" t="str">
        <f t="shared" si="368"/>
        <v>08230471008</v>
      </c>
      <c r="E4420" t="s">
        <v>52</v>
      </c>
      <c r="F4420">
        <v>2015</v>
      </c>
      <c r="G4420">
        <v>1076</v>
      </c>
      <c r="H4420" s="1">
        <v>42035</v>
      </c>
      <c r="I4420" s="1">
        <v>42052</v>
      </c>
      <c r="J4420" s="1">
        <v>42052</v>
      </c>
      <c r="K4420" s="1">
        <v>42112</v>
      </c>
      <c r="L4420" s="7">
        <v>250</v>
      </c>
      <c r="M4420" s="5">
        <v>244</v>
      </c>
      <c r="N4420" s="7">
        <v>61000</v>
      </c>
      <c r="O4420">
        <v>250</v>
      </c>
      <c r="P4420">
        <v>244</v>
      </c>
      <c r="Q4420" s="2">
        <v>61000</v>
      </c>
      <c r="R4420">
        <v>55</v>
      </c>
      <c r="V4420">
        <v>0</v>
      </c>
      <c r="W4420">
        <v>0</v>
      </c>
      <c r="X4420">
        <v>0</v>
      </c>
      <c r="Y4420">
        <v>305</v>
      </c>
      <c r="Z4420">
        <v>305</v>
      </c>
      <c r="AA4420">
        <v>305</v>
      </c>
      <c r="AB4420" s="1">
        <v>42382</v>
      </c>
      <c r="AC4420" t="s">
        <v>53</v>
      </c>
      <c r="AD4420" t="s">
        <v>53</v>
      </c>
      <c r="AK4420">
        <v>55</v>
      </c>
      <c r="AU4420" s="6">
        <v>42356</v>
      </c>
      <c r="AV4420" s="6">
        <v>42356</v>
      </c>
      <c r="AW4420" t="s">
        <v>54</v>
      </c>
      <c r="AX4420" t="str">
        <f t="shared" si="369"/>
        <v>FOR</v>
      </c>
      <c r="AY4420" t="s">
        <v>55</v>
      </c>
    </row>
    <row r="4421" spans="1:51">
      <c r="A4421">
        <v>101541</v>
      </c>
      <c r="B4421" t="s">
        <v>763</v>
      </c>
      <c r="C4421" t="str">
        <f t="shared" si="368"/>
        <v>08230471008</v>
      </c>
      <c r="D4421" t="str">
        <f t="shared" si="368"/>
        <v>08230471008</v>
      </c>
      <c r="E4421" t="s">
        <v>52</v>
      </c>
      <c r="F4421">
        <v>2015</v>
      </c>
      <c r="G4421">
        <v>1077</v>
      </c>
      <c r="H4421" s="1">
        <v>42035</v>
      </c>
      <c r="I4421" s="1">
        <v>42052</v>
      </c>
      <c r="J4421" s="1">
        <v>42052</v>
      </c>
      <c r="K4421" s="1">
        <v>42112</v>
      </c>
      <c r="L4421" s="7">
        <v>250</v>
      </c>
      <c r="M4421" s="5">
        <v>244</v>
      </c>
      <c r="N4421" s="7">
        <v>61000</v>
      </c>
      <c r="O4421">
        <v>250</v>
      </c>
      <c r="P4421">
        <v>244</v>
      </c>
      <c r="Q4421" s="2">
        <v>61000</v>
      </c>
      <c r="R4421">
        <v>55</v>
      </c>
      <c r="V4421">
        <v>0</v>
      </c>
      <c r="W4421">
        <v>0</v>
      </c>
      <c r="X4421">
        <v>0</v>
      </c>
      <c r="Y4421">
        <v>305</v>
      </c>
      <c r="Z4421">
        <v>305</v>
      </c>
      <c r="AA4421">
        <v>305</v>
      </c>
      <c r="AB4421" s="1">
        <v>42382</v>
      </c>
      <c r="AC4421" t="s">
        <v>53</v>
      </c>
      <c r="AD4421" t="s">
        <v>53</v>
      </c>
      <c r="AK4421">
        <v>55</v>
      </c>
      <c r="AU4421" s="6">
        <v>42356</v>
      </c>
      <c r="AV4421" s="6">
        <v>42356</v>
      </c>
      <c r="AW4421" t="s">
        <v>54</v>
      </c>
      <c r="AX4421" t="str">
        <f t="shared" si="369"/>
        <v>FOR</v>
      </c>
      <c r="AY4421" t="s">
        <v>55</v>
      </c>
    </row>
    <row r="4422" spans="1:51">
      <c r="A4422">
        <v>101541</v>
      </c>
      <c r="B4422" t="s">
        <v>763</v>
      </c>
      <c r="C4422" t="str">
        <f t="shared" si="368"/>
        <v>08230471008</v>
      </c>
      <c r="D4422" t="str">
        <f t="shared" si="368"/>
        <v>08230471008</v>
      </c>
      <c r="E4422" t="s">
        <v>52</v>
      </c>
      <c r="F4422">
        <v>2015</v>
      </c>
      <c r="G4422">
        <v>1078</v>
      </c>
      <c r="H4422" s="1">
        <v>42035</v>
      </c>
      <c r="I4422" s="1">
        <v>42052</v>
      </c>
      <c r="J4422" s="1">
        <v>42052</v>
      </c>
      <c r="K4422" s="1">
        <v>42112</v>
      </c>
      <c r="L4422" s="7">
        <v>250</v>
      </c>
      <c r="M4422" s="5">
        <v>244</v>
      </c>
      <c r="N4422" s="7">
        <v>61000</v>
      </c>
      <c r="O4422">
        <v>250</v>
      </c>
      <c r="P4422">
        <v>244</v>
      </c>
      <c r="Q4422" s="2">
        <v>61000</v>
      </c>
      <c r="R4422">
        <v>55</v>
      </c>
      <c r="V4422">
        <v>0</v>
      </c>
      <c r="W4422">
        <v>0</v>
      </c>
      <c r="X4422">
        <v>0</v>
      </c>
      <c r="Y4422">
        <v>305</v>
      </c>
      <c r="Z4422">
        <v>305</v>
      </c>
      <c r="AA4422">
        <v>305</v>
      </c>
      <c r="AB4422" s="1">
        <v>42382</v>
      </c>
      <c r="AC4422" t="s">
        <v>53</v>
      </c>
      <c r="AD4422" t="s">
        <v>53</v>
      </c>
      <c r="AK4422">
        <v>55</v>
      </c>
      <c r="AU4422" s="6">
        <v>42356</v>
      </c>
      <c r="AV4422" s="6">
        <v>42356</v>
      </c>
      <c r="AW4422" t="s">
        <v>54</v>
      </c>
      <c r="AX4422" t="str">
        <f t="shared" si="369"/>
        <v>FOR</v>
      </c>
      <c r="AY4422" t="s">
        <v>55</v>
      </c>
    </row>
    <row r="4423" spans="1:51">
      <c r="A4423">
        <v>101541</v>
      </c>
      <c r="B4423" t="s">
        <v>763</v>
      </c>
      <c r="C4423" t="str">
        <f t="shared" si="368"/>
        <v>08230471008</v>
      </c>
      <c r="D4423" t="str">
        <f t="shared" si="368"/>
        <v>08230471008</v>
      </c>
      <c r="E4423" t="s">
        <v>52</v>
      </c>
      <c r="F4423">
        <v>2015</v>
      </c>
      <c r="G4423">
        <v>1079</v>
      </c>
      <c r="H4423" s="1">
        <v>42035</v>
      </c>
      <c r="I4423" s="1">
        <v>42052</v>
      </c>
      <c r="J4423" s="1">
        <v>42052</v>
      </c>
      <c r="K4423" s="1">
        <v>42112</v>
      </c>
      <c r="L4423" s="7">
        <v>250</v>
      </c>
      <c r="M4423" s="5">
        <v>244</v>
      </c>
      <c r="N4423" s="7">
        <v>61000</v>
      </c>
      <c r="O4423">
        <v>250</v>
      </c>
      <c r="P4423">
        <v>244</v>
      </c>
      <c r="Q4423" s="2">
        <v>61000</v>
      </c>
      <c r="R4423">
        <v>55</v>
      </c>
      <c r="V4423">
        <v>0</v>
      </c>
      <c r="W4423">
        <v>0</v>
      </c>
      <c r="X4423">
        <v>0</v>
      </c>
      <c r="Y4423">
        <v>305</v>
      </c>
      <c r="Z4423">
        <v>305</v>
      </c>
      <c r="AA4423">
        <v>305</v>
      </c>
      <c r="AB4423" s="1">
        <v>42382</v>
      </c>
      <c r="AC4423" t="s">
        <v>53</v>
      </c>
      <c r="AD4423" t="s">
        <v>53</v>
      </c>
      <c r="AK4423">
        <v>55</v>
      </c>
      <c r="AU4423" s="6">
        <v>42356</v>
      </c>
      <c r="AV4423" s="6">
        <v>42356</v>
      </c>
      <c r="AW4423" t="s">
        <v>54</v>
      </c>
      <c r="AX4423" t="str">
        <f t="shared" si="369"/>
        <v>FOR</v>
      </c>
      <c r="AY4423" t="s">
        <v>55</v>
      </c>
    </row>
    <row r="4424" spans="1:51">
      <c r="A4424">
        <v>101541</v>
      </c>
      <c r="B4424" t="s">
        <v>763</v>
      </c>
      <c r="C4424" t="str">
        <f t="shared" si="368"/>
        <v>08230471008</v>
      </c>
      <c r="D4424" t="str">
        <f t="shared" si="368"/>
        <v>08230471008</v>
      </c>
      <c r="E4424" t="s">
        <v>52</v>
      </c>
      <c r="F4424">
        <v>2015</v>
      </c>
      <c r="G4424">
        <v>1080</v>
      </c>
      <c r="H4424" s="1">
        <v>42035</v>
      </c>
      <c r="I4424" s="1">
        <v>42052</v>
      </c>
      <c r="J4424" s="1">
        <v>42052</v>
      </c>
      <c r="K4424" s="1">
        <v>42112</v>
      </c>
      <c r="L4424" s="7">
        <v>250</v>
      </c>
      <c r="M4424" s="5">
        <v>244</v>
      </c>
      <c r="N4424" s="7">
        <v>61000</v>
      </c>
      <c r="O4424">
        <v>250</v>
      </c>
      <c r="P4424">
        <v>244</v>
      </c>
      <c r="Q4424" s="2">
        <v>61000</v>
      </c>
      <c r="R4424">
        <v>55</v>
      </c>
      <c r="V4424">
        <v>0</v>
      </c>
      <c r="W4424">
        <v>0</v>
      </c>
      <c r="X4424">
        <v>0</v>
      </c>
      <c r="Y4424">
        <v>305</v>
      </c>
      <c r="Z4424">
        <v>305</v>
      </c>
      <c r="AA4424">
        <v>305</v>
      </c>
      <c r="AB4424" s="1">
        <v>42382</v>
      </c>
      <c r="AC4424" t="s">
        <v>53</v>
      </c>
      <c r="AD4424" t="s">
        <v>53</v>
      </c>
      <c r="AK4424">
        <v>55</v>
      </c>
      <c r="AU4424" s="6">
        <v>42356</v>
      </c>
      <c r="AV4424" s="6">
        <v>42356</v>
      </c>
      <c r="AW4424" t="s">
        <v>54</v>
      </c>
      <c r="AX4424" t="str">
        <f t="shared" si="369"/>
        <v>FOR</v>
      </c>
      <c r="AY4424" t="s">
        <v>55</v>
      </c>
    </row>
    <row r="4425" spans="1:51">
      <c r="A4425">
        <v>101541</v>
      </c>
      <c r="B4425" t="s">
        <v>763</v>
      </c>
      <c r="C4425" t="str">
        <f t="shared" si="368"/>
        <v>08230471008</v>
      </c>
      <c r="D4425" t="str">
        <f t="shared" si="368"/>
        <v>08230471008</v>
      </c>
      <c r="E4425" t="s">
        <v>52</v>
      </c>
      <c r="F4425">
        <v>2015</v>
      </c>
      <c r="G4425">
        <v>1081</v>
      </c>
      <c r="H4425" s="1">
        <v>42035</v>
      </c>
      <c r="I4425" s="1">
        <v>42052</v>
      </c>
      <c r="J4425" s="1">
        <v>42052</v>
      </c>
      <c r="K4425" s="1">
        <v>42112</v>
      </c>
      <c r="L4425" s="7">
        <v>4571</v>
      </c>
      <c r="M4425" s="5">
        <v>244</v>
      </c>
      <c r="N4425" s="7">
        <v>1115324</v>
      </c>
      <c r="O4425" s="2">
        <v>4571</v>
      </c>
      <c r="P4425">
        <v>244</v>
      </c>
      <c r="Q4425" s="2">
        <v>1115324</v>
      </c>
      <c r="R4425">
        <v>934.34</v>
      </c>
      <c r="V4425">
        <v>0</v>
      </c>
      <c r="W4425">
        <v>0</v>
      </c>
      <c r="X4425">
        <v>0</v>
      </c>
      <c r="Y4425" s="2">
        <v>5505.34</v>
      </c>
      <c r="Z4425" s="2">
        <v>5505.34</v>
      </c>
      <c r="AA4425" s="2">
        <v>5505.34</v>
      </c>
      <c r="AB4425" s="1">
        <v>42382</v>
      </c>
      <c r="AC4425" t="s">
        <v>53</v>
      </c>
      <c r="AD4425" t="s">
        <v>53</v>
      </c>
      <c r="AK4425">
        <v>934.34</v>
      </c>
      <c r="AU4425" s="6">
        <v>42356</v>
      </c>
      <c r="AV4425" s="6">
        <v>42356</v>
      </c>
      <c r="AW4425" t="s">
        <v>54</v>
      </c>
      <c r="AX4425" t="str">
        <f t="shared" si="369"/>
        <v>FOR</v>
      </c>
      <c r="AY4425" t="s">
        <v>55</v>
      </c>
    </row>
    <row r="4426" spans="1:51" hidden="1">
      <c r="A4426">
        <v>101545</v>
      </c>
      <c r="B4426" t="s">
        <v>764</v>
      </c>
      <c r="C4426" t="str">
        <f>"01248280628"</f>
        <v>01248280628</v>
      </c>
      <c r="D4426" t="str">
        <f>""</f>
        <v/>
      </c>
      <c r="E4426" t="s">
        <v>52</v>
      </c>
      <c r="F4426">
        <v>2014</v>
      </c>
      <c r="G4426" t="s">
        <v>451</v>
      </c>
      <c r="H4426" s="1">
        <v>41914</v>
      </c>
      <c r="I4426" s="1">
        <v>41915</v>
      </c>
      <c r="J4426" s="1">
        <v>41915</v>
      </c>
      <c r="K4426" s="1">
        <v>42005</v>
      </c>
      <c r="N4426" s="5"/>
      <c r="O4426">
        <v>98</v>
      </c>
      <c r="P4426">
        <v>35</v>
      </c>
      <c r="Q4426" s="2">
        <v>3430</v>
      </c>
      <c r="R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 s="1">
        <v>42382</v>
      </c>
      <c r="AC4426" t="s">
        <v>53</v>
      </c>
      <c r="AD4426" t="s">
        <v>53</v>
      </c>
      <c r="AK4426">
        <v>0</v>
      </c>
      <c r="AU4426" s="6">
        <v>42040</v>
      </c>
      <c r="AV4426" s="6">
        <v>42040</v>
      </c>
      <c r="AW4426" t="s">
        <v>54</v>
      </c>
      <c r="AX4426" t="str">
        <f t="shared" si="369"/>
        <v>FOR</v>
      </c>
      <c r="AY4426" t="s">
        <v>55</v>
      </c>
    </row>
    <row r="4427" spans="1:51" hidden="1">
      <c r="A4427">
        <v>101545</v>
      </c>
      <c r="B4427" t="s">
        <v>764</v>
      </c>
      <c r="C4427" t="str">
        <f>"01248280628"</f>
        <v>01248280628</v>
      </c>
      <c r="D4427" t="str">
        <f>""</f>
        <v/>
      </c>
      <c r="E4427" t="s">
        <v>52</v>
      </c>
      <c r="F4427">
        <v>2015</v>
      </c>
      <c r="G4427" t="s">
        <v>548</v>
      </c>
      <c r="H4427" s="1">
        <v>42123</v>
      </c>
      <c r="I4427" s="1">
        <v>42128</v>
      </c>
      <c r="J4427" s="1">
        <v>42123</v>
      </c>
      <c r="K4427" s="1">
        <v>42183</v>
      </c>
      <c r="N4427" s="5"/>
      <c r="O4427">
        <v>164</v>
      </c>
      <c r="P4427">
        <v>1</v>
      </c>
      <c r="Q4427">
        <v>164</v>
      </c>
      <c r="R4427">
        <v>36.08</v>
      </c>
      <c r="V4427">
        <v>0</v>
      </c>
      <c r="W4427">
        <v>0</v>
      </c>
      <c r="X4427">
        <v>0</v>
      </c>
      <c r="Y4427">
        <v>200.08</v>
      </c>
      <c r="Z4427">
        <v>200.08</v>
      </c>
      <c r="AA4427">
        <v>200.08</v>
      </c>
      <c r="AB4427" s="1">
        <v>42382</v>
      </c>
      <c r="AC4427" t="s">
        <v>53</v>
      </c>
      <c r="AD4427" t="s">
        <v>53</v>
      </c>
      <c r="AK4427">
        <v>36.08</v>
      </c>
      <c r="AU4427" s="6">
        <v>42184</v>
      </c>
      <c r="AV4427" s="6">
        <v>42184</v>
      </c>
      <c r="AW4427" t="s">
        <v>54</v>
      </c>
      <c r="AX4427" t="str">
        <f t="shared" si="369"/>
        <v>FOR</v>
      </c>
      <c r="AY4427" t="s">
        <v>55</v>
      </c>
    </row>
    <row r="4428" spans="1:51" hidden="1">
      <c r="A4428">
        <v>101545</v>
      </c>
      <c r="B4428" t="s">
        <v>764</v>
      </c>
      <c r="C4428" t="str">
        <f>"01248280628"</f>
        <v>01248280628</v>
      </c>
      <c r="D4428" t="str">
        <f>""</f>
        <v/>
      </c>
      <c r="E4428" t="s">
        <v>52</v>
      </c>
      <c r="F4428">
        <v>2015</v>
      </c>
      <c r="G4428" t="s">
        <v>765</v>
      </c>
      <c r="H4428" s="1">
        <v>42149</v>
      </c>
      <c r="I4428" s="1">
        <v>42163</v>
      </c>
      <c r="J4428" s="1">
        <v>42149</v>
      </c>
      <c r="K4428" s="1">
        <v>42209</v>
      </c>
      <c r="N4428" s="5"/>
      <c r="O4428">
        <v>480</v>
      </c>
      <c r="P4428">
        <v>-25</v>
      </c>
      <c r="Q4428" s="2">
        <v>-12000</v>
      </c>
      <c r="R4428">
        <v>105.6</v>
      </c>
      <c r="V4428">
        <v>0</v>
      </c>
      <c r="W4428">
        <v>0</v>
      </c>
      <c r="X4428">
        <v>0</v>
      </c>
      <c r="Y4428">
        <v>585.6</v>
      </c>
      <c r="Z4428">
        <v>585.6</v>
      </c>
      <c r="AA4428">
        <v>585.6</v>
      </c>
      <c r="AB4428" s="1">
        <v>42382</v>
      </c>
      <c r="AC4428" t="s">
        <v>53</v>
      </c>
      <c r="AD4428" t="s">
        <v>53</v>
      </c>
      <c r="AJ4428">
        <v>105.6</v>
      </c>
      <c r="AK4428">
        <v>0</v>
      </c>
      <c r="AU4428" s="6">
        <v>42184</v>
      </c>
      <c r="AV4428" s="6">
        <v>42184</v>
      </c>
      <c r="AW4428" t="s">
        <v>54</v>
      </c>
      <c r="AX4428" t="str">
        <f t="shared" si="369"/>
        <v>FOR</v>
      </c>
      <c r="AY4428" t="s">
        <v>55</v>
      </c>
    </row>
    <row r="4429" spans="1:51">
      <c r="A4429">
        <v>101545</v>
      </c>
      <c r="B4429" t="s">
        <v>764</v>
      </c>
      <c r="C4429" t="str">
        <f>"01248280628"</f>
        <v>01248280628</v>
      </c>
      <c r="D4429" t="str">
        <f>""</f>
        <v/>
      </c>
      <c r="E4429" t="s">
        <v>52</v>
      </c>
      <c r="F4429">
        <v>2015</v>
      </c>
      <c r="G4429" t="s">
        <v>766</v>
      </c>
      <c r="H4429" s="1">
        <v>42180</v>
      </c>
      <c r="I4429" s="1">
        <v>42186</v>
      </c>
      <c r="J4429" s="1">
        <v>42181</v>
      </c>
      <c r="K4429" s="1">
        <v>42241</v>
      </c>
      <c r="L4429" s="7">
        <v>477</v>
      </c>
      <c r="M4429" s="5">
        <v>43</v>
      </c>
      <c r="N4429" s="7">
        <v>20511</v>
      </c>
      <c r="O4429">
        <v>477</v>
      </c>
      <c r="P4429">
        <v>43</v>
      </c>
      <c r="Q4429" s="2">
        <v>20511</v>
      </c>
      <c r="R4429">
        <v>104.94</v>
      </c>
      <c r="V4429">
        <v>0</v>
      </c>
      <c r="W4429">
        <v>0</v>
      </c>
      <c r="X4429">
        <v>0</v>
      </c>
      <c r="Y4429">
        <v>581.94000000000005</v>
      </c>
      <c r="Z4429">
        <v>581.94000000000005</v>
      </c>
      <c r="AA4429">
        <v>581.94000000000005</v>
      </c>
      <c r="AB4429" s="1">
        <v>42382</v>
      </c>
      <c r="AC4429" t="s">
        <v>53</v>
      </c>
      <c r="AD4429" t="s">
        <v>53</v>
      </c>
      <c r="AI4429">
        <v>104.94</v>
      </c>
      <c r="AK4429">
        <v>0</v>
      </c>
      <c r="AU4429" s="6">
        <v>42284</v>
      </c>
      <c r="AV4429" s="6">
        <v>42284</v>
      </c>
      <c r="AW4429" t="s">
        <v>54</v>
      </c>
      <c r="AX4429" t="str">
        <f t="shared" si="369"/>
        <v>FOR</v>
      </c>
      <c r="AY4429" t="s">
        <v>55</v>
      </c>
    </row>
    <row r="4430" spans="1:51" hidden="1">
      <c r="A4430">
        <v>101547</v>
      </c>
      <c r="B4430" t="s">
        <v>767</v>
      </c>
      <c r="C4430" t="str">
        <f t="shared" ref="C4430:D4432" si="370">"06716220634"</f>
        <v>06716220634</v>
      </c>
      <c r="D4430" t="str">
        <f t="shared" si="370"/>
        <v>06716220634</v>
      </c>
      <c r="E4430" t="s">
        <v>52</v>
      </c>
      <c r="F4430">
        <v>2014</v>
      </c>
      <c r="G4430">
        <v>108</v>
      </c>
      <c r="H4430" s="1">
        <v>41759</v>
      </c>
      <c r="I4430" s="1">
        <v>41781</v>
      </c>
      <c r="J4430" s="1">
        <v>41781</v>
      </c>
      <c r="K4430" s="1">
        <v>41871</v>
      </c>
      <c r="N4430" s="5"/>
      <c r="O4430">
        <v>574.62</v>
      </c>
      <c r="P4430">
        <v>147</v>
      </c>
      <c r="Q4430" s="2">
        <v>84469.14</v>
      </c>
      <c r="R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 s="1">
        <v>42382</v>
      </c>
      <c r="AC4430" t="s">
        <v>53</v>
      </c>
      <c r="AD4430" t="s">
        <v>53</v>
      </c>
      <c r="AK4430">
        <v>0</v>
      </c>
      <c r="AU4430" s="6">
        <v>42018</v>
      </c>
      <c r="AV4430" s="6">
        <v>42018</v>
      </c>
      <c r="AW4430" t="s">
        <v>54</v>
      </c>
      <c r="AX4430" t="str">
        <f t="shared" si="369"/>
        <v>FOR</v>
      </c>
      <c r="AY4430" t="s">
        <v>55</v>
      </c>
    </row>
    <row r="4431" spans="1:51" hidden="1">
      <c r="A4431">
        <v>101547</v>
      </c>
      <c r="B4431" t="s">
        <v>767</v>
      </c>
      <c r="C4431" t="str">
        <f t="shared" si="370"/>
        <v>06716220634</v>
      </c>
      <c r="D4431" t="str">
        <f t="shared" si="370"/>
        <v>06716220634</v>
      </c>
      <c r="E4431" t="s">
        <v>52</v>
      </c>
      <c r="F4431">
        <v>2014</v>
      </c>
      <c r="G4431">
        <v>109</v>
      </c>
      <c r="H4431" s="1">
        <v>41759</v>
      </c>
      <c r="I4431" s="1">
        <v>41781</v>
      </c>
      <c r="J4431" s="1">
        <v>41781</v>
      </c>
      <c r="K4431" s="1">
        <v>41871</v>
      </c>
      <c r="N4431" s="5"/>
      <c r="O4431">
        <v>267.18</v>
      </c>
      <c r="P4431">
        <v>147</v>
      </c>
      <c r="Q4431" s="2">
        <v>39275.46</v>
      </c>
      <c r="R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 s="1">
        <v>42382</v>
      </c>
      <c r="AC4431" t="s">
        <v>53</v>
      </c>
      <c r="AD4431" t="s">
        <v>53</v>
      </c>
      <c r="AK4431">
        <v>0</v>
      </c>
      <c r="AU4431" s="6">
        <v>42018</v>
      </c>
      <c r="AV4431" s="6">
        <v>42018</v>
      </c>
      <c r="AW4431" t="s">
        <v>54</v>
      </c>
      <c r="AX4431" t="str">
        <f t="shared" si="369"/>
        <v>FOR</v>
      </c>
      <c r="AY4431" t="s">
        <v>55</v>
      </c>
    </row>
    <row r="4432" spans="1:51" hidden="1">
      <c r="A4432">
        <v>101547</v>
      </c>
      <c r="B4432" t="s">
        <v>767</v>
      </c>
      <c r="C4432" t="str">
        <f t="shared" si="370"/>
        <v>06716220634</v>
      </c>
      <c r="D4432" t="str">
        <f t="shared" si="370"/>
        <v>06716220634</v>
      </c>
      <c r="E4432" t="s">
        <v>52</v>
      </c>
      <c r="F4432">
        <v>2014</v>
      </c>
      <c r="G4432">
        <v>197</v>
      </c>
      <c r="H4432" s="1">
        <v>41830</v>
      </c>
      <c r="I4432" s="1">
        <v>41841</v>
      </c>
      <c r="J4432" s="1">
        <v>41841</v>
      </c>
      <c r="K4432" s="1">
        <v>41931</v>
      </c>
      <c r="N4432" s="5"/>
      <c r="O4432">
        <v>574.62</v>
      </c>
      <c r="P4432">
        <v>87</v>
      </c>
      <c r="Q4432" s="2">
        <v>49991.94</v>
      </c>
      <c r="R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 s="1">
        <v>42382</v>
      </c>
      <c r="AC4432" t="s">
        <v>53</v>
      </c>
      <c r="AD4432" t="s">
        <v>53</v>
      </c>
      <c r="AK4432">
        <v>0</v>
      </c>
      <c r="AU4432" s="6">
        <v>42018</v>
      </c>
      <c r="AV4432" s="6">
        <v>42018</v>
      </c>
      <c r="AW4432" t="s">
        <v>54</v>
      </c>
      <c r="AX4432" t="str">
        <f t="shared" si="369"/>
        <v>FOR</v>
      </c>
      <c r="AY4432" t="s">
        <v>55</v>
      </c>
    </row>
    <row r="4433" spans="1:51" hidden="1">
      <c r="A4433">
        <v>101556</v>
      </c>
      <c r="B4433" t="s">
        <v>768</v>
      </c>
      <c r="C4433" t="str">
        <f t="shared" ref="C4433:D4452" si="371">"01471180628"</f>
        <v>01471180628</v>
      </c>
      <c r="D4433" t="str">
        <f t="shared" si="371"/>
        <v>01471180628</v>
      </c>
      <c r="E4433" t="s">
        <v>52</v>
      </c>
      <c r="F4433">
        <v>2014</v>
      </c>
      <c r="G4433">
        <v>943</v>
      </c>
      <c r="H4433" s="1">
        <v>41918</v>
      </c>
      <c r="I4433" s="1">
        <v>41920</v>
      </c>
      <c r="J4433" s="1">
        <v>41920</v>
      </c>
      <c r="K4433" s="1">
        <v>42010</v>
      </c>
      <c r="N4433" s="5"/>
      <c r="O4433">
        <v>779.99</v>
      </c>
      <c r="P4433">
        <v>238</v>
      </c>
      <c r="Q4433" s="2">
        <v>185637.62</v>
      </c>
      <c r="R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 s="1">
        <v>42382</v>
      </c>
      <c r="AC4433" t="s">
        <v>53</v>
      </c>
      <c r="AD4433" t="s">
        <v>53</v>
      </c>
      <c r="AK4433">
        <v>0</v>
      </c>
      <c r="AU4433" s="6">
        <v>42248</v>
      </c>
      <c r="AV4433" s="6">
        <v>42248</v>
      </c>
      <c r="AW4433" t="s">
        <v>54</v>
      </c>
      <c r="AX4433" t="str">
        <f t="shared" si="369"/>
        <v>FOR</v>
      </c>
      <c r="AY4433" t="s">
        <v>55</v>
      </c>
    </row>
    <row r="4434" spans="1:51" hidden="1">
      <c r="A4434">
        <v>101556</v>
      </c>
      <c r="B4434" t="s">
        <v>768</v>
      </c>
      <c r="C4434" t="str">
        <f t="shared" si="371"/>
        <v>01471180628</v>
      </c>
      <c r="D4434" t="str">
        <f t="shared" si="371"/>
        <v>01471180628</v>
      </c>
      <c r="E4434" t="s">
        <v>52</v>
      </c>
      <c r="F4434">
        <v>2014</v>
      </c>
      <c r="G4434" t="s">
        <v>769</v>
      </c>
      <c r="H4434" s="1">
        <v>41892</v>
      </c>
      <c r="I4434" s="1">
        <v>41915</v>
      </c>
      <c r="J4434" s="1">
        <v>41915</v>
      </c>
      <c r="K4434" s="1">
        <v>42005</v>
      </c>
      <c r="N4434" s="5"/>
      <c r="O4434">
        <v>126.86</v>
      </c>
      <c r="P4434">
        <v>35</v>
      </c>
      <c r="Q4434" s="2">
        <v>4440.1000000000004</v>
      </c>
      <c r="R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 s="1">
        <v>42382</v>
      </c>
      <c r="AC4434" t="s">
        <v>53</v>
      </c>
      <c r="AD4434" t="s">
        <v>53</v>
      </c>
      <c r="AK4434">
        <v>0</v>
      </c>
      <c r="AU4434" s="6">
        <v>42040</v>
      </c>
      <c r="AV4434" s="6">
        <v>42040</v>
      </c>
      <c r="AW4434" t="s">
        <v>54</v>
      </c>
      <c r="AX4434" t="str">
        <f t="shared" si="369"/>
        <v>FOR</v>
      </c>
      <c r="AY4434" t="s">
        <v>55</v>
      </c>
    </row>
    <row r="4435" spans="1:51" hidden="1">
      <c r="A4435">
        <v>101556</v>
      </c>
      <c r="B4435" t="s">
        <v>768</v>
      </c>
      <c r="C4435" t="str">
        <f t="shared" si="371"/>
        <v>01471180628</v>
      </c>
      <c r="D4435" t="str">
        <f t="shared" si="371"/>
        <v>01471180628</v>
      </c>
      <c r="E4435" t="s">
        <v>52</v>
      </c>
      <c r="F4435">
        <v>2014</v>
      </c>
      <c r="G4435" t="s">
        <v>770</v>
      </c>
      <c r="H4435" s="1">
        <v>41897</v>
      </c>
      <c r="I4435" s="1">
        <v>41901</v>
      </c>
      <c r="J4435" s="1">
        <v>41901</v>
      </c>
      <c r="K4435" s="1">
        <v>41991</v>
      </c>
      <c r="N4435" s="5"/>
      <c r="O4435">
        <v>126.86</v>
      </c>
      <c r="P4435">
        <v>49</v>
      </c>
      <c r="Q4435" s="2">
        <v>6216.14</v>
      </c>
      <c r="R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 s="1">
        <v>42382</v>
      </c>
      <c r="AC4435" t="s">
        <v>53</v>
      </c>
      <c r="AD4435" t="s">
        <v>53</v>
      </c>
      <c r="AK4435">
        <v>0</v>
      </c>
      <c r="AU4435" s="6">
        <v>42040</v>
      </c>
      <c r="AV4435" s="6">
        <v>42040</v>
      </c>
      <c r="AW4435" t="s">
        <v>54</v>
      </c>
      <c r="AX4435" t="str">
        <f t="shared" si="369"/>
        <v>FOR</v>
      </c>
      <c r="AY4435" t="s">
        <v>55</v>
      </c>
    </row>
    <row r="4436" spans="1:51" hidden="1">
      <c r="A4436">
        <v>101556</v>
      </c>
      <c r="B4436" t="s">
        <v>768</v>
      </c>
      <c r="C4436" t="str">
        <f t="shared" si="371"/>
        <v>01471180628</v>
      </c>
      <c r="D4436" t="str">
        <f t="shared" si="371"/>
        <v>01471180628</v>
      </c>
      <c r="E4436" t="s">
        <v>52</v>
      </c>
      <c r="F4436">
        <v>2014</v>
      </c>
      <c r="G4436" t="s">
        <v>771</v>
      </c>
      <c r="H4436" s="1">
        <v>41904</v>
      </c>
      <c r="I4436" s="1">
        <v>41908</v>
      </c>
      <c r="J4436" s="1">
        <v>41908</v>
      </c>
      <c r="K4436" s="1">
        <v>41998</v>
      </c>
      <c r="N4436" s="5"/>
      <c r="O4436">
        <v>93.51</v>
      </c>
      <c r="P4436">
        <v>42</v>
      </c>
      <c r="Q4436" s="2">
        <v>3927.42</v>
      </c>
      <c r="R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 s="1">
        <v>42382</v>
      </c>
      <c r="AC4436" t="s">
        <v>53</v>
      </c>
      <c r="AD4436" t="s">
        <v>53</v>
      </c>
      <c r="AK4436">
        <v>0</v>
      </c>
      <c r="AU4436" s="6">
        <v>42040</v>
      </c>
      <c r="AV4436" s="6">
        <v>42040</v>
      </c>
      <c r="AW4436" t="s">
        <v>54</v>
      </c>
      <c r="AX4436" t="str">
        <f t="shared" si="369"/>
        <v>FOR</v>
      </c>
      <c r="AY4436" t="s">
        <v>55</v>
      </c>
    </row>
    <row r="4437" spans="1:51" hidden="1">
      <c r="A4437">
        <v>101556</v>
      </c>
      <c r="B4437" t="s">
        <v>768</v>
      </c>
      <c r="C4437" t="str">
        <f t="shared" si="371"/>
        <v>01471180628</v>
      </c>
      <c r="D4437" t="str">
        <f t="shared" si="371"/>
        <v>01471180628</v>
      </c>
      <c r="E4437" t="s">
        <v>52</v>
      </c>
      <c r="F4437">
        <v>2014</v>
      </c>
      <c r="G4437" t="s">
        <v>772</v>
      </c>
      <c r="H4437" s="1">
        <v>41905</v>
      </c>
      <c r="I4437" s="1">
        <v>41908</v>
      </c>
      <c r="J4437" s="1">
        <v>41908</v>
      </c>
      <c r="K4437" s="1">
        <v>41998</v>
      </c>
      <c r="N4437" s="5"/>
      <c r="O4437">
        <v>253.71</v>
      </c>
      <c r="P4437">
        <v>42</v>
      </c>
      <c r="Q4437" s="2">
        <v>10655.82</v>
      </c>
      <c r="R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 s="1">
        <v>42382</v>
      </c>
      <c r="AC4437" t="s">
        <v>53</v>
      </c>
      <c r="AD4437" t="s">
        <v>53</v>
      </c>
      <c r="AK4437">
        <v>0</v>
      </c>
      <c r="AU4437" s="6">
        <v>42040</v>
      </c>
      <c r="AV4437" s="6">
        <v>42040</v>
      </c>
      <c r="AW4437" t="s">
        <v>54</v>
      </c>
      <c r="AX4437" t="str">
        <f t="shared" si="369"/>
        <v>FOR</v>
      </c>
      <c r="AY4437" t="s">
        <v>55</v>
      </c>
    </row>
    <row r="4438" spans="1:51" hidden="1">
      <c r="A4438">
        <v>101556</v>
      </c>
      <c r="B4438" t="s">
        <v>768</v>
      </c>
      <c r="C4438" t="str">
        <f t="shared" si="371"/>
        <v>01471180628</v>
      </c>
      <c r="D4438" t="str">
        <f t="shared" si="371"/>
        <v>01471180628</v>
      </c>
      <c r="E4438" t="s">
        <v>52</v>
      </c>
      <c r="F4438">
        <v>2014</v>
      </c>
      <c r="G4438" t="s">
        <v>773</v>
      </c>
      <c r="H4438" s="1">
        <v>41907</v>
      </c>
      <c r="I4438" s="1">
        <v>41915</v>
      </c>
      <c r="J4438" s="1">
        <v>41915</v>
      </c>
      <c r="K4438" s="1">
        <v>42005</v>
      </c>
      <c r="N4438" s="5"/>
      <c r="O4438">
        <v>213.5</v>
      </c>
      <c r="P4438">
        <v>35</v>
      </c>
      <c r="Q4438" s="2">
        <v>7472.5</v>
      </c>
      <c r="R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 s="1">
        <v>42382</v>
      </c>
      <c r="AC4438" t="s">
        <v>53</v>
      </c>
      <c r="AD4438" t="s">
        <v>53</v>
      </c>
      <c r="AK4438">
        <v>0</v>
      </c>
      <c r="AU4438" s="6">
        <v>42040</v>
      </c>
      <c r="AV4438" s="6">
        <v>42040</v>
      </c>
      <c r="AW4438" t="s">
        <v>54</v>
      </c>
      <c r="AX4438" t="str">
        <f t="shared" si="369"/>
        <v>FOR</v>
      </c>
      <c r="AY4438" t="s">
        <v>55</v>
      </c>
    </row>
    <row r="4439" spans="1:51" hidden="1">
      <c r="A4439">
        <v>101556</v>
      </c>
      <c r="B4439" t="s">
        <v>768</v>
      </c>
      <c r="C4439" t="str">
        <f t="shared" si="371"/>
        <v>01471180628</v>
      </c>
      <c r="D4439" t="str">
        <f t="shared" si="371"/>
        <v>01471180628</v>
      </c>
      <c r="E4439" t="s">
        <v>52</v>
      </c>
      <c r="F4439">
        <v>2014</v>
      </c>
      <c r="G4439" t="s">
        <v>244</v>
      </c>
      <c r="H4439" s="1">
        <v>41914</v>
      </c>
      <c r="I4439" s="1">
        <v>41915</v>
      </c>
      <c r="J4439" s="1">
        <v>41915</v>
      </c>
      <c r="K4439" s="1">
        <v>42005</v>
      </c>
      <c r="N4439" s="5"/>
      <c r="O4439">
        <v>75.010000000000005</v>
      </c>
      <c r="P4439">
        <v>35</v>
      </c>
      <c r="Q4439" s="2">
        <v>2625.35</v>
      </c>
      <c r="R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 s="1">
        <v>42382</v>
      </c>
      <c r="AC4439" t="s">
        <v>53</v>
      </c>
      <c r="AD4439" t="s">
        <v>53</v>
      </c>
      <c r="AK4439">
        <v>0</v>
      </c>
      <c r="AU4439" s="6">
        <v>42040</v>
      </c>
      <c r="AV4439" s="6">
        <v>42040</v>
      </c>
      <c r="AW4439" t="s">
        <v>54</v>
      </c>
      <c r="AX4439" t="str">
        <f t="shared" si="369"/>
        <v>FOR</v>
      </c>
      <c r="AY4439" t="s">
        <v>55</v>
      </c>
    </row>
    <row r="4440" spans="1:51" hidden="1">
      <c r="A4440">
        <v>101556</v>
      </c>
      <c r="B4440" t="s">
        <v>768</v>
      </c>
      <c r="C4440" t="str">
        <f t="shared" si="371"/>
        <v>01471180628</v>
      </c>
      <c r="D4440" t="str">
        <f t="shared" si="371"/>
        <v>01471180628</v>
      </c>
      <c r="E4440" t="s">
        <v>52</v>
      </c>
      <c r="F4440">
        <v>2014</v>
      </c>
      <c r="G4440" t="s">
        <v>774</v>
      </c>
      <c r="H4440" s="1">
        <v>41925</v>
      </c>
      <c r="I4440" s="1">
        <v>41925</v>
      </c>
      <c r="J4440" s="1">
        <v>41925</v>
      </c>
      <c r="K4440" s="1">
        <v>42015</v>
      </c>
      <c r="N4440" s="5"/>
      <c r="O4440">
        <v>48.8</v>
      </c>
      <c r="P4440">
        <v>25</v>
      </c>
      <c r="Q4440" s="2">
        <v>1220</v>
      </c>
      <c r="R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 s="1">
        <v>42382</v>
      </c>
      <c r="AC4440" t="s">
        <v>53</v>
      </c>
      <c r="AD4440" t="s">
        <v>53</v>
      </c>
      <c r="AK4440">
        <v>0</v>
      </c>
      <c r="AU4440" s="6">
        <v>42040</v>
      </c>
      <c r="AV4440" s="6">
        <v>42040</v>
      </c>
      <c r="AW4440" t="s">
        <v>54</v>
      </c>
      <c r="AX4440" t="str">
        <f t="shared" si="369"/>
        <v>FOR</v>
      </c>
      <c r="AY4440" t="s">
        <v>55</v>
      </c>
    </row>
    <row r="4441" spans="1:51" hidden="1">
      <c r="A4441">
        <v>101556</v>
      </c>
      <c r="B4441" t="s">
        <v>768</v>
      </c>
      <c r="C4441" t="str">
        <f t="shared" si="371"/>
        <v>01471180628</v>
      </c>
      <c r="D4441" t="str">
        <f t="shared" si="371"/>
        <v>01471180628</v>
      </c>
      <c r="E4441" t="s">
        <v>52</v>
      </c>
      <c r="F4441">
        <v>2014</v>
      </c>
      <c r="G4441" t="s">
        <v>775</v>
      </c>
      <c r="H4441" s="1">
        <v>41954</v>
      </c>
      <c r="I4441" s="1">
        <v>41955</v>
      </c>
      <c r="J4441" s="1">
        <v>41955</v>
      </c>
      <c r="K4441" s="1">
        <v>42015</v>
      </c>
      <c r="N4441" s="5"/>
      <c r="O4441">
        <v>150.01</v>
      </c>
      <c r="P4441">
        <v>25</v>
      </c>
      <c r="Q4441" s="2">
        <v>3750.25</v>
      </c>
      <c r="R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 s="1">
        <v>42382</v>
      </c>
      <c r="AC4441" t="s">
        <v>53</v>
      </c>
      <c r="AD4441" t="s">
        <v>53</v>
      </c>
      <c r="AK4441">
        <v>0</v>
      </c>
      <c r="AU4441" s="6">
        <v>42040</v>
      </c>
      <c r="AV4441" s="6">
        <v>42040</v>
      </c>
      <c r="AW4441" t="s">
        <v>54</v>
      </c>
      <c r="AX4441" t="str">
        <f t="shared" si="369"/>
        <v>FOR</v>
      </c>
      <c r="AY4441" t="s">
        <v>55</v>
      </c>
    </row>
    <row r="4442" spans="1:51" hidden="1">
      <c r="A4442">
        <v>101556</v>
      </c>
      <c r="B4442" t="s">
        <v>768</v>
      </c>
      <c r="C4442" t="str">
        <f t="shared" si="371"/>
        <v>01471180628</v>
      </c>
      <c r="D4442" t="str">
        <f t="shared" si="371"/>
        <v>01471180628</v>
      </c>
      <c r="E4442" t="s">
        <v>52</v>
      </c>
      <c r="F4442">
        <v>2014</v>
      </c>
      <c r="G4442" t="s">
        <v>776</v>
      </c>
      <c r="H4442" s="1">
        <v>41960</v>
      </c>
      <c r="I4442" s="1">
        <v>41964</v>
      </c>
      <c r="J4442" s="1">
        <v>41964</v>
      </c>
      <c r="K4442" s="1">
        <v>42024</v>
      </c>
      <c r="N4442" s="5"/>
      <c r="O4442">
        <v>125.5</v>
      </c>
      <c r="P4442">
        <v>16</v>
      </c>
      <c r="Q4442" s="2">
        <v>2008</v>
      </c>
      <c r="R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 s="1">
        <v>42382</v>
      </c>
      <c r="AC4442" t="s">
        <v>53</v>
      </c>
      <c r="AD4442" t="s">
        <v>53</v>
      </c>
      <c r="AK4442">
        <v>0</v>
      </c>
      <c r="AU4442" s="6">
        <v>42040</v>
      </c>
      <c r="AV4442" s="6">
        <v>42040</v>
      </c>
      <c r="AW4442" t="s">
        <v>54</v>
      </c>
      <c r="AX4442" t="str">
        <f t="shared" si="369"/>
        <v>FOR</v>
      </c>
      <c r="AY4442" t="s">
        <v>55</v>
      </c>
    </row>
    <row r="4443" spans="1:51" hidden="1">
      <c r="A4443">
        <v>101556</v>
      </c>
      <c r="B4443" t="s">
        <v>768</v>
      </c>
      <c r="C4443" t="str">
        <f t="shared" si="371"/>
        <v>01471180628</v>
      </c>
      <c r="D4443" t="str">
        <f t="shared" si="371"/>
        <v>01471180628</v>
      </c>
      <c r="E4443" t="s">
        <v>52</v>
      </c>
      <c r="F4443">
        <v>2014</v>
      </c>
      <c r="G4443" t="s">
        <v>777</v>
      </c>
      <c r="H4443" s="1">
        <v>41961</v>
      </c>
      <c r="I4443" s="1">
        <v>41964</v>
      </c>
      <c r="J4443" s="1">
        <v>41964</v>
      </c>
      <c r="K4443" s="1">
        <v>42024</v>
      </c>
      <c r="N4443" s="5"/>
      <c r="O4443">
        <v>105.51</v>
      </c>
      <c r="P4443">
        <v>16</v>
      </c>
      <c r="Q4443" s="2">
        <v>1688.16</v>
      </c>
      <c r="R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 s="1">
        <v>42382</v>
      </c>
      <c r="AC4443" t="s">
        <v>53</v>
      </c>
      <c r="AD4443" t="s">
        <v>53</v>
      </c>
      <c r="AK4443">
        <v>0</v>
      </c>
      <c r="AU4443" s="6">
        <v>42040</v>
      </c>
      <c r="AV4443" s="6">
        <v>42040</v>
      </c>
      <c r="AW4443" t="s">
        <v>54</v>
      </c>
      <c r="AX4443" t="str">
        <f t="shared" si="369"/>
        <v>FOR</v>
      </c>
      <c r="AY4443" t="s">
        <v>55</v>
      </c>
    </row>
    <row r="4444" spans="1:51" hidden="1">
      <c r="A4444">
        <v>101556</v>
      </c>
      <c r="B4444" t="s">
        <v>768</v>
      </c>
      <c r="C4444" t="str">
        <f t="shared" si="371"/>
        <v>01471180628</v>
      </c>
      <c r="D4444" t="str">
        <f t="shared" si="371"/>
        <v>01471180628</v>
      </c>
      <c r="E4444" t="s">
        <v>52</v>
      </c>
      <c r="F4444">
        <v>2014</v>
      </c>
      <c r="G4444" t="s">
        <v>778</v>
      </c>
      <c r="H4444" s="1">
        <v>41972</v>
      </c>
      <c r="I4444" s="1">
        <v>41974</v>
      </c>
      <c r="J4444" s="1">
        <v>41974</v>
      </c>
      <c r="K4444" s="1">
        <v>42034</v>
      </c>
      <c r="N4444" s="5"/>
      <c r="O4444">
        <v>126.86</v>
      </c>
      <c r="P4444">
        <v>6</v>
      </c>
      <c r="Q4444">
        <v>761.16</v>
      </c>
      <c r="R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 s="1">
        <v>42382</v>
      </c>
      <c r="AC4444" t="s">
        <v>53</v>
      </c>
      <c r="AD4444" t="s">
        <v>53</v>
      </c>
      <c r="AK4444">
        <v>0</v>
      </c>
      <c r="AU4444" s="6">
        <v>42040</v>
      </c>
      <c r="AV4444" s="6">
        <v>42040</v>
      </c>
      <c r="AW4444" t="s">
        <v>54</v>
      </c>
      <c r="AX4444" t="str">
        <f t="shared" si="369"/>
        <v>FOR</v>
      </c>
      <c r="AY4444" t="s">
        <v>55</v>
      </c>
    </row>
    <row r="4445" spans="1:51" hidden="1">
      <c r="A4445">
        <v>101556</v>
      </c>
      <c r="B4445" t="s">
        <v>768</v>
      </c>
      <c r="C4445" t="str">
        <f t="shared" si="371"/>
        <v>01471180628</v>
      </c>
      <c r="D4445" t="str">
        <f t="shared" si="371"/>
        <v>01471180628</v>
      </c>
      <c r="E4445" t="s">
        <v>52</v>
      </c>
      <c r="F4445">
        <v>2014</v>
      </c>
      <c r="G4445" t="s">
        <v>779</v>
      </c>
      <c r="H4445" s="1">
        <v>41976</v>
      </c>
      <c r="I4445" s="1">
        <v>41995</v>
      </c>
      <c r="J4445" s="1">
        <v>41995</v>
      </c>
      <c r="K4445" s="1">
        <v>42055</v>
      </c>
      <c r="N4445" s="5"/>
      <c r="O4445">
        <v>84.34</v>
      </c>
      <c r="P4445">
        <v>-15</v>
      </c>
      <c r="Q4445" s="2">
        <v>-1265.0999999999999</v>
      </c>
      <c r="R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 s="1">
        <v>42382</v>
      </c>
      <c r="AC4445" t="s">
        <v>53</v>
      </c>
      <c r="AD4445" t="s">
        <v>53</v>
      </c>
      <c r="AK4445">
        <v>0</v>
      </c>
      <c r="AU4445" s="6">
        <v>42040</v>
      </c>
      <c r="AV4445" s="6">
        <v>42040</v>
      </c>
      <c r="AW4445" t="s">
        <v>54</v>
      </c>
      <c r="AX4445" t="str">
        <f t="shared" si="369"/>
        <v>FOR</v>
      </c>
      <c r="AY4445" t="s">
        <v>55</v>
      </c>
    </row>
    <row r="4446" spans="1:51" hidden="1">
      <c r="A4446">
        <v>101556</v>
      </c>
      <c r="B4446" t="s">
        <v>768</v>
      </c>
      <c r="C4446" t="str">
        <f t="shared" si="371"/>
        <v>01471180628</v>
      </c>
      <c r="D4446" t="str">
        <f t="shared" si="371"/>
        <v>01471180628</v>
      </c>
      <c r="E4446" t="s">
        <v>52</v>
      </c>
      <c r="F4446">
        <v>2014</v>
      </c>
      <c r="G4446" t="s">
        <v>780</v>
      </c>
      <c r="H4446" s="1">
        <v>41978</v>
      </c>
      <c r="I4446" s="1">
        <v>41983</v>
      </c>
      <c r="J4446" s="1">
        <v>41983</v>
      </c>
      <c r="K4446" s="1">
        <v>42043</v>
      </c>
      <c r="N4446" s="5"/>
      <c r="O4446">
        <v>253.71</v>
      </c>
      <c r="P4446">
        <v>-3</v>
      </c>
      <c r="Q4446">
        <v>-761.13</v>
      </c>
      <c r="R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 s="1">
        <v>42382</v>
      </c>
      <c r="AC4446" t="s">
        <v>53</v>
      </c>
      <c r="AD4446" t="s">
        <v>53</v>
      </c>
      <c r="AK4446">
        <v>0</v>
      </c>
      <c r="AU4446" s="6">
        <v>42040</v>
      </c>
      <c r="AV4446" s="6">
        <v>42040</v>
      </c>
      <c r="AW4446" t="s">
        <v>54</v>
      </c>
      <c r="AX4446" t="str">
        <f t="shared" si="369"/>
        <v>FOR</v>
      </c>
      <c r="AY4446" t="s">
        <v>55</v>
      </c>
    </row>
    <row r="4447" spans="1:51" hidden="1">
      <c r="A4447">
        <v>101556</v>
      </c>
      <c r="B4447" t="s">
        <v>768</v>
      </c>
      <c r="C4447" t="str">
        <f t="shared" si="371"/>
        <v>01471180628</v>
      </c>
      <c r="D4447" t="str">
        <f t="shared" si="371"/>
        <v>01471180628</v>
      </c>
      <c r="E4447" t="s">
        <v>52</v>
      </c>
      <c r="F4447">
        <v>2014</v>
      </c>
      <c r="G4447" t="s">
        <v>781</v>
      </c>
      <c r="H4447" s="1">
        <v>41990</v>
      </c>
      <c r="I4447" s="1">
        <v>41991</v>
      </c>
      <c r="J4447" s="1">
        <v>41991</v>
      </c>
      <c r="K4447" s="1">
        <v>42051</v>
      </c>
      <c r="N4447" s="5"/>
      <c r="O4447">
        <v>560</v>
      </c>
      <c r="P4447">
        <v>-11</v>
      </c>
      <c r="Q4447" s="2">
        <v>-6160</v>
      </c>
      <c r="R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 s="1">
        <v>42382</v>
      </c>
      <c r="AC4447" t="s">
        <v>53</v>
      </c>
      <c r="AD4447" t="s">
        <v>53</v>
      </c>
      <c r="AK4447">
        <v>0</v>
      </c>
      <c r="AU4447" s="6">
        <v>42040</v>
      </c>
      <c r="AV4447" s="6">
        <v>42040</v>
      </c>
      <c r="AW4447" t="s">
        <v>54</v>
      </c>
      <c r="AX4447" t="str">
        <f t="shared" si="369"/>
        <v>FOR</v>
      </c>
      <c r="AY4447" t="s">
        <v>55</v>
      </c>
    </row>
    <row r="4448" spans="1:51" hidden="1">
      <c r="A4448">
        <v>101556</v>
      </c>
      <c r="B4448" t="s">
        <v>768</v>
      </c>
      <c r="C4448" t="str">
        <f t="shared" si="371"/>
        <v>01471180628</v>
      </c>
      <c r="D4448" t="str">
        <f t="shared" si="371"/>
        <v>01471180628</v>
      </c>
      <c r="E4448" t="s">
        <v>52</v>
      </c>
      <c r="F4448">
        <v>2014</v>
      </c>
      <c r="G4448" t="s">
        <v>782</v>
      </c>
      <c r="H4448" s="1">
        <v>41990</v>
      </c>
      <c r="I4448" s="1">
        <v>41991</v>
      </c>
      <c r="J4448" s="1">
        <v>41991</v>
      </c>
      <c r="K4448" s="1">
        <v>42051</v>
      </c>
      <c r="N4448" s="5"/>
      <c r="O4448">
        <v>39.869999999999997</v>
      </c>
      <c r="P4448">
        <v>-11</v>
      </c>
      <c r="Q4448">
        <v>-438.57</v>
      </c>
      <c r="R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 s="1">
        <v>42382</v>
      </c>
      <c r="AC4448" t="s">
        <v>53</v>
      </c>
      <c r="AD4448" t="s">
        <v>53</v>
      </c>
      <c r="AK4448">
        <v>0</v>
      </c>
      <c r="AU4448" s="6">
        <v>42040</v>
      </c>
      <c r="AV4448" s="6">
        <v>42040</v>
      </c>
      <c r="AW4448" t="s">
        <v>54</v>
      </c>
      <c r="AX4448" t="str">
        <f t="shared" si="369"/>
        <v>FOR</v>
      </c>
      <c r="AY4448" t="s">
        <v>55</v>
      </c>
    </row>
    <row r="4449" spans="1:51" hidden="1">
      <c r="A4449">
        <v>101556</v>
      </c>
      <c r="B4449" t="s">
        <v>768</v>
      </c>
      <c r="C4449" t="str">
        <f t="shared" si="371"/>
        <v>01471180628</v>
      </c>
      <c r="D4449" t="str">
        <f t="shared" si="371"/>
        <v>01471180628</v>
      </c>
      <c r="E4449" t="s">
        <v>52</v>
      </c>
      <c r="F4449">
        <v>2014</v>
      </c>
      <c r="G4449" t="s">
        <v>783</v>
      </c>
      <c r="H4449" s="1">
        <v>41996</v>
      </c>
      <c r="I4449" s="1">
        <v>42004</v>
      </c>
      <c r="J4449" s="1">
        <v>42004</v>
      </c>
      <c r="K4449" s="1">
        <v>42064</v>
      </c>
      <c r="N4449" s="5"/>
      <c r="O4449">
        <v>253.71</v>
      </c>
      <c r="P4449">
        <v>59</v>
      </c>
      <c r="Q4449" s="2">
        <v>14968.89</v>
      </c>
      <c r="R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 s="1">
        <v>42382</v>
      </c>
      <c r="AC4449" t="s">
        <v>53</v>
      </c>
      <c r="AD4449" t="s">
        <v>53</v>
      </c>
      <c r="AK4449">
        <v>0</v>
      </c>
      <c r="AU4449" s="6">
        <v>42123</v>
      </c>
      <c r="AV4449" s="6">
        <v>42123</v>
      </c>
      <c r="AW4449" t="s">
        <v>54</v>
      </c>
      <c r="AX4449" t="str">
        <f t="shared" si="369"/>
        <v>FOR</v>
      </c>
      <c r="AY4449" t="s">
        <v>55</v>
      </c>
    </row>
    <row r="4450" spans="1:51" hidden="1">
      <c r="A4450">
        <v>101556</v>
      </c>
      <c r="B4450" t="s">
        <v>768</v>
      </c>
      <c r="C4450" t="str">
        <f t="shared" si="371"/>
        <v>01471180628</v>
      </c>
      <c r="D4450" t="str">
        <f t="shared" si="371"/>
        <v>01471180628</v>
      </c>
      <c r="E4450" t="s">
        <v>52</v>
      </c>
      <c r="F4450">
        <v>2014</v>
      </c>
      <c r="G4450" t="s">
        <v>784</v>
      </c>
      <c r="H4450" s="1">
        <v>41988</v>
      </c>
      <c r="I4450" s="1">
        <v>41991</v>
      </c>
      <c r="J4450" s="1">
        <v>41991</v>
      </c>
      <c r="K4450" s="1">
        <v>42051</v>
      </c>
      <c r="N4450" s="5"/>
      <c r="O4450">
        <v>34.159999999999997</v>
      </c>
      <c r="P4450">
        <v>-11</v>
      </c>
      <c r="Q4450">
        <v>-375.76</v>
      </c>
      <c r="R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 s="1">
        <v>42382</v>
      </c>
      <c r="AC4450" t="s">
        <v>53</v>
      </c>
      <c r="AD4450" t="s">
        <v>53</v>
      </c>
      <c r="AK4450">
        <v>0</v>
      </c>
      <c r="AU4450" s="6">
        <v>42040</v>
      </c>
      <c r="AV4450" s="6">
        <v>42040</v>
      </c>
      <c r="AW4450" t="s">
        <v>54</v>
      </c>
      <c r="AX4450" t="str">
        <f t="shared" si="369"/>
        <v>FOR</v>
      </c>
      <c r="AY4450" t="s">
        <v>55</v>
      </c>
    </row>
    <row r="4451" spans="1:51" hidden="1">
      <c r="A4451">
        <v>101556</v>
      </c>
      <c r="B4451" t="s">
        <v>768</v>
      </c>
      <c r="C4451" t="str">
        <f t="shared" si="371"/>
        <v>01471180628</v>
      </c>
      <c r="D4451" t="str">
        <f t="shared" si="371"/>
        <v>01471180628</v>
      </c>
      <c r="E4451" t="s">
        <v>52</v>
      </c>
      <c r="F4451">
        <v>2015</v>
      </c>
      <c r="G4451" t="s">
        <v>510</v>
      </c>
      <c r="H4451" s="1">
        <v>42012</v>
      </c>
      <c r="I4451" s="1">
        <v>42025</v>
      </c>
      <c r="J4451" s="1">
        <v>42025</v>
      </c>
      <c r="K4451" s="1">
        <v>42085</v>
      </c>
      <c r="N4451" s="5"/>
      <c r="O4451">
        <v>207.96</v>
      </c>
      <c r="P4451">
        <v>38</v>
      </c>
      <c r="Q4451" s="2">
        <v>7902.48</v>
      </c>
      <c r="R4451">
        <v>45.75</v>
      </c>
      <c r="V4451">
        <v>0</v>
      </c>
      <c r="W4451">
        <v>0</v>
      </c>
      <c r="X4451">
        <v>0</v>
      </c>
      <c r="Y4451">
        <v>253.71</v>
      </c>
      <c r="Z4451">
        <v>253.71</v>
      </c>
      <c r="AA4451">
        <v>253.71</v>
      </c>
      <c r="AB4451" s="1">
        <v>42382</v>
      </c>
      <c r="AC4451" t="s">
        <v>53</v>
      </c>
      <c r="AD4451" t="s">
        <v>53</v>
      </c>
      <c r="AK4451">
        <v>45.75</v>
      </c>
      <c r="AU4451" s="6">
        <v>42123</v>
      </c>
      <c r="AV4451" s="6">
        <v>42123</v>
      </c>
      <c r="AW4451" t="s">
        <v>54</v>
      </c>
      <c r="AX4451" t="str">
        <f t="shared" si="369"/>
        <v>FOR</v>
      </c>
      <c r="AY4451" t="s">
        <v>55</v>
      </c>
    </row>
    <row r="4452" spans="1:51" hidden="1">
      <c r="A4452">
        <v>101556</v>
      </c>
      <c r="B4452" t="s">
        <v>768</v>
      </c>
      <c r="C4452" t="str">
        <f t="shared" si="371"/>
        <v>01471180628</v>
      </c>
      <c r="D4452" t="str">
        <f t="shared" si="371"/>
        <v>01471180628</v>
      </c>
      <c r="E4452" t="s">
        <v>52</v>
      </c>
      <c r="F4452">
        <v>2015</v>
      </c>
      <c r="G4452" t="s">
        <v>511</v>
      </c>
      <c r="H4452" s="1">
        <v>42019</v>
      </c>
      <c r="I4452" s="1">
        <v>42025</v>
      </c>
      <c r="J4452" s="1">
        <v>42025</v>
      </c>
      <c r="K4452" s="1">
        <v>42085</v>
      </c>
      <c r="N4452" s="5"/>
      <c r="O4452">
        <v>7.45</v>
      </c>
      <c r="P4452">
        <v>38</v>
      </c>
      <c r="Q4452">
        <v>283.10000000000002</v>
      </c>
      <c r="R4452">
        <v>1.64</v>
      </c>
      <c r="V4452">
        <v>0</v>
      </c>
      <c r="W4452">
        <v>0</v>
      </c>
      <c r="X4452">
        <v>0</v>
      </c>
      <c r="Y4452">
        <v>9.09</v>
      </c>
      <c r="Z4452">
        <v>9.09</v>
      </c>
      <c r="AA4452">
        <v>9.09</v>
      </c>
      <c r="AB4452" s="1">
        <v>42382</v>
      </c>
      <c r="AC4452" t="s">
        <v>53</v>
      </c>
      <c r="AD4452" t="s">
        <v>53</v>
      </c>
      <c r="AK4452">
        <v>1.64</v>
      </c>
      <c r="AU4452" s="6">
        <v>42123</v>
      </c>
      <c r="AV4452" s="6">
        <v>42123</v>
      </c>
      <c r="AW4452" t="s">
        <v>54</v>
      </c>
      <c r="AX4452" t="str">
        <f t="shared" si="369"/>
        <v>FOR</v>
      </c>
      <c r="AY4452" t="s">
        <v>55</v>
      </c>
    </row>
    <row r="4453" spans="1:51" hidden="1">
      <c r="A4453">
        <v>101556</v>
      </c>
      <c r="B4453" t="s">
        <v>768</v>
      </c>
      <c r="C4453" t="str">
        <f t="shared" ref="C4453:D4472" si="372">"01471180628"</f>
        <v>01471180628</v>
      </c>
      <c r="D4453" t="str">
        <f t="shared" si="372"/>
        <v>01471180628</v>
      </c>
      <c r="E4453" t="s">
        <v>52</v>
      </c>
      <c r="F4453">
        <v>2015</v>
      </c>
      <c r="G4453" t="s">
        <v>635</v>
      </c>
      <c r="H4453" s="1">
        <v>42020</v>
      </c>
      <c r="I4453" s="1">
        <v>42025</v>
      </c>
      <c r="J4453" s="1">
        <v>42025</v>
      </c>
      <c r="K4453" s="1">
        <v>42085</v>
      </c>
      <c r="N4453" s="5"/>
      <c r="O4453">
        <v>49.8</v>
      </c>
      <c r="P4453">
        <v>38</v>
      </c>
      <c r="Q4453" s="2">
        <v>1892.4</v>
      </c>
      <c r="R4453">
        <v>10.96</v>
      </c>
      <c r="V4453">
        <v>0</v>
      </c>
      <c r="W4453">
        <v>0</v>
      </c>
      <c r="X4453">
        <v>0</v>
      </c>
      <c r="Y4453">
        <v>60.76</v>
      </c>
      <c r="Z4453">
        <v>60.76</v>
      </c>
      <c r="AA4453">
        <v>60.76</v>
      </c>
      <c r="AB4453" s="1">
        <v>42382</v>
      </c>
      <c r="AC4453" t="s">
        <v>53</v>
      </c>
      <c r="AD4453" t="s">
        <v>53</v>
      </c>
      <c r="AK4453">
        <v>10.96</v>
      </c>
      <c r="AU4453" s="6">
        <v>42123</v>
      </c>
      <c r="AV4453" s="6">
        <v>42123</v>
      </c>
      <c r="AW4453" t="s">
        <v>54</v>
      </c>
      <c r="AX4453" t="str">
        <f t="shared" si="369"/>
        <v>FOR</v>
      </c>
      <c r="AY4453" t="s">
        <v>55</v>
      </c>
    </row>
    <row r="4454" spans="1:51" hidden="1">
      <c r="A4454">
        <v>101556</v>
      </c>
      <c r="B4454" t="s">
        <v>768</v>
      </c>
      <c r="C4454" t="str">
        <f t="shared" si="372"/>
        <v>01471180628</v>
      </c>
      <c r="D4454" t="str">
        <f t="shared" si="372"/>
        <v>01471180628</v>
      </c>
      <c r="E4454" t="s">
        <v>52</v>
      </c>
      <c r="F4454">
        <v>2015</v>
      </c>
      <c r="G4454" t="s">
        <v>513</v>
      </c>
      <c r="H4454" s="1">
        <v>42041</v>
      </c>
      <c r="I4454" s="1">
        <v>42045</v>
      </c>
      <c r="J4454" s="1">
        <v>42045</v>
      </c>
      <c r="K4454" s="1">
        <v>42105</v>
      </c>
      <c r="N4454" s="5"/>
      <c r="O4454">
        <v>118.85</v>
      </c>
      <c r="P4454">
        <v>18</v>
      </c>
      <c r="Q4454" s="2">
        <v>2139.3000000000002</v>
      </c>
      <c r="R4454">
        <v>26.15</v>
      </c>
      <c r="V4454">
        <v>0</v>
      </c>
      <c r="W4454">
        <v>0</v>
      </c>
      <c r="X4454">
        <v>0</v>
      </c>
      <c r="Y4454">
        <v>145</v>
      </c>
      <c r="Z4454">
        <v>145</v>
      </c>
      <c r="AA4454">
        <v>145</v>
      </c>
      <c r="AB4454" s="1">
        <v>42382</v>
      </c>
      <c r="AC4454" t="s">
        <v>53</v>
      </c>
      <c r="AD4454" t="s">
        <v>53</v>
      </c>
      <c r="AK4454">
        <v>26.15</v>
      </c>
      <c r="AU4454" s="6">
        <v>42123</v>
      </c>
      <c r="AV4454" s="6">
        <v>42123</v>
      </c>
      <c r="AW4454" t="s">
        <v>54</v>
      </c>
      <c r="AX4454" t="str">
        <f t="shared" si="369"/>
        <v>FOR</v>
      </c>
      <c r="AY4454" t="s">
        <v>55</v>
      </c>
    </row>
    <row r="4455" spans="1:51" hidden="1">
      <c r="A4455">
        <v>101556</v>
      </c>
      <c r="B4455" t="s">
        <v>768</v>
      </c>
      <c r="C4455" t="str">
        <f t="shared" si="372"/>
        <v>01471180628</v>
      </c>
      <c r="D4455" t="str">
        <f t="shared" si="372"/>
        <v>01471180628</v>
      </c>
      <c r="E4455" t="s">
        <v>52</v>
      </c>
      <c r="F4455">
        <v>2015</v>
      </c>
      <c r="G4455" t="s">
        <v>785</v>
      </c>
      <c r="H4455" s="1">
        <v>42041</v>
      </c>
      <c r="I4455" s="1">
        <v>42045</v>
      </c>
      <c r="J4455" s="1">
        <v>42045</v>
      </c>
      <c r="K4455" s="1">
        <v>42105</v>
      </c>
      <c r="N4455" s="5"/>
      <c r="O4455">
        <v>259.02</v>
      </c>
      <c r="P4455">
        <v>18</v>
      </c>
      <c r="Q4455" s="2">
        <v>4662.3599999999997</v>
      </c>
      <c r="R4455">
        <v>56.98</v>
      </c>
      <c r="V4455">
        <v>0</v>
      </c>
      <c r="W4455">
        <v>0</v>
      </c>
      <c r="X4455">
        <v>0</v>
      </c>
      <c r="Y4455">
        <v>316</v>
      </c>
      <c r="Z4455">
        <v>316</v>
      </c>
      <c r="AA4455">
        <v>316</v>
      </c>
      <c r="AB4455" s="1">
        <v>42382</v>
      </c>
      <c r="AC4455" t="s">
        <v>53</v>
      </c>
      <c r="AD4455" t="s">
        <v>53</v>
      </c>
      <c r="AK4455">
        <v>56.98</v>
      </c>
      <c r="AU4455" s="6">
        <v>42123</v>
      </c>
      <c r="AV4455" s="6">
        <v>42123</v>
      </c>
      <c r="AW4455" t="s">
        <v>54</v>
      </c>
      <c r="AX4455" t="str">
        <f t="shared" si="369"/>
        <v>FOR</v>
      </c>
      <c r="AY4455" t="s">
        <v>55</v>
      </c>
    </row>
    <row r="4456" spans="1:51" hidden="1">
      <c r="A4456">
        <v>101556</v>
      </c>
      <c r="B4456" t="s">
        <v>768</v>
      </c>
      <c r="C4456" t="str">
        <f t="shared" si="372"/>
        <v>01471180628</v>
      </c>
      <c r="D4456" t="str">
        <f t="shared" si="372"/>
        <v>01471180628</v>
      </c>
      <c r="E4456" t="s">
        <v>52</v>
      </c>
      <c r="F4456">
        <v>2015</v>
      </c>
      <c r="G4456" t="s">
        <v>786</v>
      </c>
      <c r="H4456" s="1">
        <v>42051</v>
      </c>
      <c r="I4456" s="1">
        <v>42053</v>
      </c>
      <c r="J4456" s="1">
        <v>42053</v>
      </c>
      <c r="K4456" s="1">
        <v>42113</v>
      </c>
      <c r="N4456" s="5"/>
      <c r="O4456">
        <v>62.53</v>
      </c>
      <c r="P4456">
        <v>10</v>
      </c>
      <c r="Q4456">
        <v>625.29999999999995</v>
      </c>
      <c r="R4456">
        <v>13.76</v>
      </c>
      <c r="V4456">
        <v>0</v>
      </c>
      <c r="W4456">
        <v>0</v>
      </c>
      <c r="X4456">
        <v>0</v>
      </c>
      <c r="Y4456">
        <v>76.290000000000006</v>
      </c>
      <c r="Z4456">
        <v>76.290000000000006</v>
      </c>
      <c r="AA4456">
        <v>76.290000000000006</v>
      </c>
      <c r="AB4456" s="1">
        <v>42382</v>
      </c>
      <c r="AC4456" t="s">
        <v>53</v>
      </c>
      <c r="AD4456" t="s">
        <v>53</v>
      </c>
      <c r="AK4456">
        <v>13.76</v>
      </c>
      <c r="AU4456" s="6">
        <v>42123</v>
      </c>
      <c r="AV4456" s="6">
        <v>42123</v>
      </c>
      <c r="AW4456" t="s">
        <v>54</v>
      </c>
      <c r="AX4456" t="str">
        <f t="shared" si="369"/>
        <v>FOR</v>
      </c>
      <c r="AY4456" t="s">
        <v>55</v>
      </c>
    </row>
    <row r="4457" spans="1:51" hidden="1">
      <c r="A4457">
        <v>101556</v>
      </c>
      <c r="B4457" t="s">
        <v>768</v>
      </c>
      <c r="C4457" t="str">
        <f t="shared" si="372"/>
        <v>01471180628</v>
      </c>
      <c r="D4457" t="str">
        <f t="shared" si="372"/>
        <v>01471180628</v>
      </c>
      <c r="E4457" t="s">
        <v>52</v>
      </c>
      <c r="F4457">
        <v>2015</v>
      </c>
      <c r="G4457" t="s">
        <v>787</v>
      </c>
      <c r="H4457" s="1">
        <v>42051</v>
      </c>
      <c r="I4457" s="1">
        <v>42053</v>
      </c>
      <c r="J4457" s="1">
        <v>42053</v>
      </c>
      <c r="K4457" s="1">
        <v>42113</v>
      </c>
      <c r="N4457" s="5"/>
      <c r="O4457">
        <v>108.82</v>
      </c>
      <c r="P4457">
        <v>10</v>
      </c>
      <c r="Q4457" s="2">
        <v>1088.2</v>
      </c>
      <c r="R4457">
        <v>23.94</v>
      </c>
      <c r="V4457">
        <v>0</v>
      </c>
      <c r="W4457">
        <v>0</v>
      </c>
      <c r="X4457">
        <v>0</v>
      </c>
      <c r="Y4457">
        <v>132.76</v>
      </c>
      <c r="Z4457">
        <v>132.76</v>
      </c>
      <c r="AA4457">
        <v>132.76</v>
      </c>
      <c r="AB4457" s="1">
        <v>42382</v>
      </c>
      <c r="AC4457" t="s">
        <v>53</v>
      </c>
      <c r="AD4457" t="s">
        <v>53</v>
      </c>
      <c r="AK4457">
        <v>23.94</v>
      </c>
      <c r="AU4457" s="6">
        <v>42123</v>
      </c>
      <c r="AV4457" s="6">
        <v>42123</v>
      </c>
      <c r="AW4457" t="s">
        <v>54</v>
      </c>
      <c r="AX4457" t="str">
        <f t="shared" si="369"/>
        <v>FOR</v>
      </c>
      <c r="AY4457" t="s">
        <v>55</v>
      </c>
    </row>
    <row r="4458" spans="1:51" hidden="1">
      <c r="A4458">
        <v>101556</v>
      </c>
      <c r="B4458" t="s">
        <v>768</v>
      </c>
      <c r="C4458" t="str">
        <f t="shared" si="372"/>
        <v>01471180628</v>
      </c>
      <c r="D4458" t="str">
        <f t="shared" si="372"/>
        <v>01471180628</v>
      </c>
      <c r="E4458" t="s">
        <v>52</v>
      </c>
      <c r="F4458">
        <v>2015</v>
      </c>
      <c r="G4458" t="s">
        <v>531</v>
      </c>
      <c r="H4458" s="1">
        <v>42051</v>
      </c>
      <c r="I4458" s="1">
        <v>42053</v>
      </c>
      <c r="J4458" s="1">
        <v>42053</v>
      </c>
      <c r="K4458" s="1">
        <v>42113</v>
      </c>
      <c r="N4458" s="5"/>
      <c r="O4458">
        <v>61.81</v>
      </c>
      <c r="P4458">
        <v>10</v>
      </c>
      <c r="Q4458">
        <v>618.1</v>
      </c>
      <c r="R4458">
        <v>13.6</v>
      </c>
      <c r="V4458">
        <v>0</v>
      </c>
      <c r="W4458">
        <v>0</v>
      </c>
      <c r="X4458">
        <v>0</v>
      </c>
      <c r="Y4458">
        <v>75.41</v>
      </c>
      <c r="Z4458">
        <v>75.41</v>
      </c>
      <c r="AA4458">
        <v>75.41</v>
      </c>
      <c r="AB4458" s="1">
        <v>42382</v>
      </c>
      <c r="AC4458" t="s">
        <v>53</v>
      </c>
      <c r="AD4458" t="s">
        <v>53</v>
      </c>
      <c r="AK4458">
        <v>13.6</v>
      </c>
      <c r="AU4458" s="6">
        <v>42123</v>
      </c>
      <c r="AV4458" s="6">
        <v>42123</v>
      </c>
      <c r="AW4458" t="s">
        <v>54</v>
      </c>
      <c r="AX4458" t="str">
        <f t="shared" si="369"/>
        <v>FOR</v>
      </c>
      <c r="AY4458" t="s">
        <v>55</v>
      </c>
    </row>
    <row r="4459" spans="1:51" hidden="1">
      <c r="A4459">
        <v>101556</v>
      </c>
      <c r="B4459" t="s">
        <v>768</v>
      </c>
      <c r="C4459" t="str">
        <f t="shared" si="372"/>
        <v>01471180628</v>
      </c>
      <c r="D4459" t="str">
        <f t="shared" si="372"/>
        <v>01471180628</v>
      </c>
      <c r="E4459" t="s">
        <v>52</v>
      </c>
      <c r="F4459">
        <v>2015</v>
      </c>
      <c r="G4459" t="s">
        <v>788</v>
      </c>
      <c r="H4459" s="1">
        <v>42055</v>
      </c>
      <c r="I4459" s="1">
        <v>42059</v>
      </c>
      <c r="J4459" s="1">
        <v>42059</v>
      </c>
      <c r="K4459" s="1">
        <v>42119</v>
      </c>
      <c r="N4459" s="5"/>
      <c r="O4459">
        <v>237.7</v>
      </c>
      <c r="P4459">
        <v>4</v>
      </c>
      <c r="Q4459">
        <v>950.8</v>
      </c>
      <c r="R4459">
        <v>52.29</v>
      </c>
      <c r="V4459">
        <v>0</v>
      </c>
      <c r="W4459">
        <v>0</v>
      </c>
      <c r="X4459">
        <v>0</v>
      </c>
      <c r="Y4459">
        <v>289.99</v>
      </c>
      <c r="Z4459">
        <v>289.99</v>
      </c>
      <c r="AA4459">
        <v>289.99</v>
      </c>
      <c r="AB4459" s="1">
        <v>42382</v>
      </c>
      <c r="AC4459" t="s">
        <v>53</v>
      </c>
      <c r="AD4459" t="s">
        <v>53</v>
      </c>
      <c r="AK4459">
        <v>52.29</v>
      </c>
      <c r="AU4459" s="6">
        <v>42123</v>
      </c>
      <c r="AV4459" s="6">
        <v>42123</v>
      </c>
      <c r="AW4459" t="s">
        <v>54</v>
      </c>
      <c r="AX4459" t="str">
        <f t="shared" si="369"/>
        <v>FOR</v>
      </c>
      <c r="AY4459" t="s">
        <v>55</v>
      </c>
    </row>
    <row r="4460" spans="1:51" hidden="1">
      <c r="A4460">
        <v>101556</v>
      </c>
      <c r="B4460" t="s">
        <v>768</v>
      </c>
      <c r="C4460" t="str">
        <f t="shared" si="372"/>
        <v>01471180628</v>
      </c>
      <c r="D4460" t="str">
        <f t="shared" si="372"/>
        <v>01471180628</v>
      </c>
      <c r="E4460" t="s">
        <v>52</v>
      </c>
      <c r="F4460">
        <v>2015</v>
      </c>
      <c r="G4460" t="s">
        <v>595</v>
      </c>
      <c r="H4460" s="1">
        <v>42068</v>
      </c>
      <c r="I4460" s="1">
        <v>42072</v>
      </c>
      <c r="J4460" s="1">
        <v>42072</v>
      </c>
      <c r="K4460" s="1">
        <v>42132</v>
      </c>
      <c r="N4460" s="5"/>
      <c r="O4460">
        <v>82.94</v>
      </c>
      <c r="P4460">
        <v>-9</v>
      </c>
      <c r="Q4460">
        <v>-746.46</v>
      </c>
      <c r="R4460">
        <v>18.25</v>
      </c>
      <c r="V4460">
        <v>0</v>
      </c>
      <c r="W4460">
        <v>0</v>
      </c>
      <c r="X4460">
        <v>0</v>
      </c>
      <c r="Y4460">
        <v>101.19</v>
      </c>
      <c r="Z4460">
        <v>101.19</v>
      </c>
      <c r="AA4460">
        <v>101.19</v>
      </c>
      <c r="AB4460" s="1">
        <v>42382</v>
      </c>
      <c r="AC4460" t="s">
        <v>53</v>
      </c>
      <c r="AD4460" t="s">
        <v>53</v>
      </c>
      <c r="AK4460">
        <v>18.25</v>
      </c>
      <c r="AU4460" s="6">
        <v>42123</v>
      </c>
      <c r="AV4460" s="6">
        <v>42123</v>
      </c>
      <c r="AW4460" t="s">
        <v>54</v>
      </c>
      <c r="AX4460" t="str">
        <f t="shared" si="369"/>
        <v>FOR</v>
      </c>
      <c r="AY4460" t="s">
        <v>55</v>
      </c>
    </row>
    <row r="4461" spans="1:51" hidden="1">
      <c r="A4461">
        <v>101556</v>
      </c>
      <c r="B4461" t="s">
        <v>768</v>
      </c>
      <c r="C4461" t="str">
        <f t="shared" si="372"/>
        <v>01471180628</v>
      </c>
      <c r="D4461" t="str">
        <f t="shared" si="372"/>
        <v>01471180628</v>
      </c>
      <c r="E4461" t="s">
        <v>52</v>
      </c>
      <c r="F4461">
        <v>2015</v>
      </c>
      <c r="G4461" t="s">
        <v>789</v>
      </c>
      <c r="H4461" s="1">
        <v>42072</v>
      </c>
      <c r="I4461" s="1">
        <v>42086</v>
      </c>
      <c r="J4461" s="1">
        <v>42086</v>
      </c>
      <c r="K4461" s="1">
        <v>42146</v>
      </c>
      <c r="N4461" s="5"/>
      <c r="O4461">
        <v>496.72</v>
      </c>
      <c r="P4461">
        <v>-23</v>
      </c>
      <c r="Q4461" s="2">
        <v>-11424.56</v>
      </c>
      <c r="R4461">
        <v>109.28</v>
      </c>
      <c r="V4461">
        <v>0</v>
      </c>
      <c r="W4461">
        <v>0</v>
      </c>
      <c r="X4461">
        <v>0</v>
      </c>
      <c r="Y4461">
        <v>606</v>
      </c>
      <c r="Z4461">
        <v>606</v>
      </c>
      <c r="AA4461">
        <v>606</v>
      </c>
      <c r="AB4461" s="1">
        <v>42382</v>
      </c>
      <c r="AC4461" t="s">
        <v>53</v>
      </c>
      <c r="AD4461" t="s">
        <v>53</v>
      </c>
      <c r="AK4461">
        <v>109.28</v>
      </c>
      <c r="AU4461" s="6">
        <v>42123</v>
      </c>
      <c r="AV4461" s="6">
        <v>42123</v>
      </c>
      <c r="AW4461" t="s">
        <v>54</v>
      </c>
      <c r="AX4461" t="str">
        <f t="shared" si="369"/>
        <v>FOR</v>
      </c>
      <c r="AY4461" t="s">
        <v>55</v>
      </c>
    </row>
    <row r="4462" spans="1:51" hidden="1">
      <c r="A4462">
        <v>101556</v>
      </c>
      <c r="B4462" t="s">
        <v>768</v>
      </c>
      <c r="C4462" t="str">
        <f t="shared" si="372"/>
        <v>01471180628</v>
      </c>
      <c r="D4462" t="str">
        <f t="shared" si="372"/>
        <v>01471180628</v>
      </c>
      <c r="E4462" t="s">
        <v>52</v>
      </c>
      <c r="F4462">
        <v>2015</v>
      </c>
      <c r="G4462" t="s">
        <v>611</v>
      </c>
      <c r="H4462" s="1">
        <v>42079</v>
      </c>
      <c r="I4462" s="1">
        <v>42086</v>
      </c>
      <c r="J4462" s="1">
        <v>42086</v>
      </c>
      <c r="K4462" s="1">
        <v>42146</v>
      </c>
      <c r="N4462" s="5"/>
      <c r="O4462">
        <v>34.86</v>
      </c>
      <c r="P4462">
        <v>-23</v>
      </c>
      <c r="Q4462">
        <v>-801.78</v>
      </c>
      <c r="R4462">
        <v>7.67</v>
      </c>
      <c r="V4462">
        <v>0</v>
      </c>
      <c r="W4462">
        <v>0</v>
      </c>
      <c r="X4462">
        <v>0</v>
      </c>
      <c r="Y4462">
        <v>42.53</v>
      </c>
      <c r="Z4462">
        <v>42.53</v>
      </c>
      <c r="AA4462">
        <v>42.53</v>
      </c>
      <c r="AB4462" s="1">
        <v>42382</v>
      </c>
      <c r="AC4462" t="s">
        <v>53</v>
      </c>
      <c r="AD4462" t="s">
        <v>53</v>
      </c>
      <c r="AK4462">
        <v>7.67</v>
      </c>
      <c r="AU4462" s="6">
        <v>42123</v>
      </c>
      <c r="AV4462" s="6">
        <v>42123</v>
      </c>
      <c r="AW4462" t="s">
        <v>54</v>
      </c>
      <c r="AX4462" t="str">
        <f t="shared" si="369"/>
        <v>FOR</v>
      </c>
      <c r="AY4462" t="s">
        <v>55</v>
      </c>
    </row>
    <row r="4463" spans="1:51" hidden="1">
      <c r="A4463">
        <v>101556</v>
      </c>
      <c r="B4463" t="s">
        <v>768</v>
      </c>
      <c r="C4463" t="str">
        <f t="shared" si="372"/>
        <v>01471180628</v>
      </c>
      <c r="D4463" t="str">
        <f t="shared" si="372"/>
        <v>01471180628</v>
      </c>
      <c r="E4463" t="s">
        <v>52</v>
      </c>
      <c r="F4463">
        <v>2015</v>
      </c>
      <c r="G4463" t="s">
        <v>612</v>
      </c>
      <c r="H4463" s="1">
        <v>42079</v>
      </c>
      <c r="I4463" s="1">
        <v>42086</v>
      </c>
      <c r="J4463" s="1">
        <v>42086</v>
      </c>
      <c r="K4463" s="1">
        <v>42146</v>
      </c>
      <c r="N4463" s="5"/>
      <c r="O4463">
        <v>49.47</v>
      </c>
      <c r="P4463">
        <v>-23</v>
      </c>
      <c r="Q4463" s="2">
        <v>-1137.81</v>
      </c>
      <c r="R4463">
        <v>10.88</v>
      </c>
      <c r="V4463">
        <v>0</v>
      </c>
      <c r="W4463">
        <v>0</v>
      </c>
      <c r="X4463">
        <v>0</v>
      </c>
      <c r="Y4463">
        <v>60.35</v>
      </c>
      <c r="Z4463">
        <v>60.35</v>
      </c>
      <c r="AA4463">
        <v>60.35</v>
      </c>
      <c r="AB4463" s="1">
        <v>42382</v>
      </c>
      <c r="AC4463" t="s">
        <v>53</v>
      </c>
      <c r="AD4463" t="s">
        <v>53</v>
      </c>
      <c r="AK4463">
        <v>10.88</v>
      </c>
      <c r="AU4463" s="6">
        <v>42123</v>
      </c>
      <c r="AV4463" s="6">
        <v>42123</v>
      </c>
      <c r="AW4463" t="s">
        <v>54</v>
      </c>
      <c r="AX4463" t="str">
        <f t="shared" si="369"/>
        <v>FOR</v>
      </c>
      <c r="AY4463" t="s">
        <v>55</v>
      </c>
    </row>
    <row r="4464" spans="1:51" hidden="1">
      <c r="A4464">
        <v>101556</v>
      </c>
      <c r="B4464" t="s">
        <v>768</v>
      </c>
      <c r="C4464" t="str">
        <f t="shared" si="372"/>
        <v>01471180628</v>
      </c>
      <c r="D4464" t="str">
        <f t="shared" si="372"/>
        <v>01471180628</v>
      </c>
      <c r="E4464" t="s">
        <v>52</v>
      </c>
      <c r="F4464">
        <v>2015</v>
      </c>
      <c r="G4464" t="s">
        <v>615</v>
      </c>
      <c r="H4464" s="1">
        <v>42081</v>
      </c>
      <c r="I4464" s="1">
        <v>42087</v>
      </c>
      <c r="J4464" s="1">
        <v>42087</v>
      </c>
      <c r="K4464" s="1">
        <v>42147</v>
      </c>
      <c r="N4464" s="5"/>
      <c r="O4464">
        <v>114.69</v>
      </c>
      <c r="P4464">
        <v>-24</v>
      </c>
      <c r="Q4464" s="2">
        <v>-2752.56</v>
      </c>
      <c r="R4464">
        <v>25.23</v>
      </c>
      <c r="V4464">
        <v>0</v>
      </c>
      <c r="W4464">
        <v>0</v>
      </c>
      <c r="X4464">
        <v>0</v>
      </c>
      <c r="Y4464">
        <v>139.91999999999999</v>
      </c>
      <c r="Z4464">
        <v>139.91999999999999</v>
      </c>
      <c r="AA4464">
        <v>139.91999999999999</v>
      </c>
      <c r="AB4464" s="1">
        <v>42382</v>
      </c>
      <c r="AC4464" t="s">
        <v>53</v>
      </c>
      <c r="AD4464" t="s">
        <v>53</v>
      </c>
      <c r="AK4464">
        <v>25.23</v>
      </c>
      <c r="AU4464" s="6">
        <v>42123</v>
      </c>
      <c r="AV4464" s="6">
        <v>42123</v>
      </c>
      <c r="AW4464" t="s">
        <v>54</v>
      </c>
      <c r="AX4464" t="str">
        <f t="shared" si="369"/>
        <v>FOR</v>
      </c>
      <c r="AY4464" t="s">
        <v>55</v>
      </c>
    </row>
    <row r="4465" spans="1:51" hidden="1">
      <c r="A4465">
        <v>101556</v>
      </c>
      <c r="B4465" t="s">
        <v>768</v>
      </c>
      <c r="C4465" t="str">
        <f t="shared" si="372"/>
        <v>01471180628</v>
      </c>
      <c r="D4465" t="str">
        <f t="shared" si="372"/>
        <v>01471180628</v>
      </c>
      <c r="E4465" t="s">
        <v>52</v>
      </c>
      <c r="F4465">
        <v>2015</v>
      </c>
      <c r="G4465" t="s">
        <v>621</v>
      </c>
      <c r="H4465" s="1">
        <v>42082</v>
      </c>
      <c r="I4465" s="1">
        <v>42104</v>
      </c>
      <c r="J4465" s="1">
        <v>42104</v>
      </c>
      <c r="K4465" s="1">
        <v>42164</v>
      </c>
      <c r="N4465" s="5"/>
      <c r="O4465">
        <v>50</v>
      </c>
      <c r="P4465">
        <v>-41</v>
      </c>
      <c r="Q4465" s="2">
        <v>-2050</v>
      </c>
      <c r="R4465">
        <v>11</v>
      </c>
      <c r="V4465">
        <v>0</v>
      </c>
      <c r="W4465">
        <v>0</v>
      </c>
      <c r="X4465">
        <v>0</v>
      </c>
      <c r="Y4465">
        <v>61</v>
      </c>
      <c r="Z4465">
        <v>61</v>
      </c>
      <c r="AA4465">
        <v>61</v>
      </c>
      <c r="AB4465" s="1">
        <v>42382</v>
      </c>
      <c r="AC4465" t="s">
        <v>53</v>
      </c>
      <c r="AD4465" t="s">
        <v>53</v>
      </c>
      <c r="AK4465">
        <v>11</v>
      </c>
      <c r="AU4465" s="6">
        <v>42123</v>
      </c>
      <c r="AV4465" s="6">
        <v>42123</v>
      </c>
      <c r="AW4465" t="s">
        <v>54</v>
      </c>
      <c r="AX4465" t="str">
        <f t="shared" si="369"/>
        <v>FOR</v>
      </c>
      <c r="AY4465" t="s">
        <v>55</v>
      </c>
    </row>
    <row r="4466" spans="1:51" hidden="1">
      <c r="A4466">
        <v>101556</v>
      </c>
      <c r="B4466" t="s">
        <v>768</v>
      </c>
      <c r="C4466" t="str">
        <f t="shared" si="372"/>
        <v>01471180628</v>
      </c>
      <c r="D4466" t="str">
        <f t="shared" si="372"/>
        <v>01471180628</v>
      </c>
      <c r="E4466" t="s">
        <v>52</v>
      </c>
      <c r="F4466">
        <v>2015</v>
      </c>
      <c r="G4466" t="s">
        <v>790</v>
      </c>
      <c r="H4466" s="1">
        <v>42093</v>
      </c>
      <c r="I4466" s="1">
        <v>42095</v>
      </c>
      <c r="J4466" s="1">
        <v>42095</v>
      </c>
      <c r="K4466" s="1">
        <v>42155</v>
      </c>
      <c r="N4466" s="5"/>
      <c r="O4466">
        <v>40.53</v>
      </c>
      <c r="P4466">
        <v>-32</v>
      </c>
      <c r="Q4466" s="2">
        <v>-1296.96</v>
      </c>
      <c r="R4466">
        <v>8.92</v>
      </c>
      <c r="V4466">
        <v>0</v>
      </c>
      <c r="W4466">
        <v>0</v>
      </c>
      <c r="X4466">
        <v>0</v>
      </c>
      <c r="Y4466">
        <v>49.45</v>
      </c>
      <c r="Z4466">
        <v>49.45</v>
      </c>
      <c r="AA4466">
        <v>49.45</v>
      </c>
      <c r="AB4466" s="1">
        <v>42382</v>
      </c>
      <c r="AC4466" t="s">
        <v>53</v>
      </c>
      <c r="AD4466" t="s">
        <v>53</v>
      </c>
      <c r="AK4466">
        <v>8.92</v>
      </c>
      <c r="AU4466" s="6">
        <v>42123</v>
      </c>
      <c r="AV4466" s="6">
        <v>42123</v>
      </c>
      <c r="AW4466" t="s">
        <v>54</v>
      </c>
      <c r="AX4466" t="str">
        <f t="shared" si="369"/>
        <v>FOR</v>
      </c>
      <c r="AY4466" t="s">
        <v>55</v>
      </c>
    </row>
    <row r="4467" spans="1:51" hidden="1">
      <c r="A4467">
        <v>101556</v>
      </c>
      <c r="B4467" t="s">
        <v>768</v>
      </c>
      <c r="C4467" t="str">
        <f t="shared" si="372"/>
        <v>01471180628</v>
      </c>
      <c r="D4467" t="str">
        <f t="shared" si="372"/>
        <v>01471180628</v>
      </c>
      <c r="E4467" t="s">
        <v>52</v>
      </c>
      <c r="F4467">
        <v>2015</v>
      </c>
      <c r="G4467" t="s">
        <v>791</v>
      </c>
      <c r="H4467" s="1">
        <v>42104</v>
      </c>
      <c r="I4467" s="1">
        <v>42108</v>
      </c>
      <c r="J4467" s="1">
        <v>42107</v>
      </c>
      <c r="K4467" s="1">
        <v>42167</v>
      </c>
      <c r="N4467" s="5"/>
      <c r="O4467">
        <v>32.340000000000003</v>
      </c>
      <c r="P4467">
        <v>17</v>
      </c>
      <c r="Q4467">
        <v>549.78</v>
      </c>
      <c r="R4467">
        <v>7.11</v>
      </c>
      <c r="V4467">
        <v>0</v>
      </c>
      <c r="W4467">
        <v>0</v>
      </c>
      <c r="X4467">
        <v>0</v>
      </c>
      <c r="Y4467">
        <v>39.450000000000003</v>
      </c>
      <c r="Z4467">
        <v>39.450000000000003</v>
      </c>
      <c r="AA4467">
        <v>39.450000000000003</v>
      </c>
      <c r="AB4467" s="1">
        <v>42382</v>
      </c>
      <c r="AC4467" t="s">
        <v>53</v>
      </c>
      <c r="AD4467" t="s">
        <v>53</v>
      </c>
      <c r="AK4467">
        <v>7.11</v>
      </c>
      <c r="AU4467" s="6">
        <v>42184</v>
      </c>
      <c r="AV4467" s="6">
        <v>42184</v>
      </c>
      <c r="AW4467" t="s">
        <v>54</v>
      </c>
      <c r="AX4467" t="str">
        <f t="shared" si="369"/>
        <v>FOR</v>
      </c>
      <c r="AY4467" t="s">
        <v>55</v>
      </c>
    </row>
    <row r="4468" spans="1:51" hidden="1">
      <c r="A4468">
        <v>101556</v>
      </c>
      <c r="B4468" t="s">
        <v>768</v>
      </c>
      <c r="C4468" t="str">
        <f t="shared" si="372"/>
        <v>01471180628</v>
      </c>
      <c r="D4468" t="str">
        <f t="shared" si="372"/>
        <v>01471180628</v>
      </c>
      <c r="E4468" t="s">
        <v>52</v>
      </c>
      <c r="F4468">
        <v>2015</v>
      </c>
      <c r="G4468" t="s">
        <v>792</v>
      </c>
      <c r="H4468" s="1">
        <v>42108</v>
      </c>
      <c r="I4468" s="1">
        <v>42116</v>
      </c>
      <c r="J4468" s="1">
        <v>42113</v>
      </c>
      <c r="K4468" s="1">
        <v>42173</v>
      </c>
      <c r="N4468" s="5"/>
      <c r="O4468">
        <v>40.53</v>
      </c>
      <c r="P4468">
        <v>11</v>
      </c>
      <c r="Q4468">
        <v>445.83</v>
      </c>
      <c r="R4468">
        <v>8.92</v>
      </c>
      <c r="V4468">
        <v>0</v>
      </c>
      <c r="W4468">
        <v>0</v>
      </c>
      <c r="X4468">
        <v>0</v>
      </c>
      <c r="Y4468">
        <v>49.45</v>
      </c>
      <c r="Z4468">
        <v>49.45</v>
      </c>
      <c r="AA4468">
        <v>49.45</v>
      </c>
      <c r="AB4468" s="1">
        <v>42382</v>
      </c>
      <c r="AC4468" t="s">
        <v>53</v>
      </c>
      <c r="AD4468" t="s">
        <v>53</v>
      </c>
      <c r="AK4468">
        <v>8.92</v>
      </c>
      <c r="AU4468" s="6">
        <v>42184</v>
      </c>
      <c r="AV4468" s="6">
        <v>42184</v>
      </c>
      <c r="AW4468" t="s">
        <v>54</v>
      </c>
      <c r="AX4468" t="str">
        <f t="shared" si="369"/>
        <v>FOR</v>
      </c>
      <c r="AY4468" t="s">
        <v>55</v>
      </c>
    </row>
    <row r="4469" spans="1:51" hidden="1">
      <c r="A4469">
        <v>101556</v>
      </c>
      <c r="B4469" t="s">
        <v>768</v>
      </c>
      <c r="C4469" t="str">
        <f t="shared" si="372"/>
        <v>01471180628</v>
      </c>
      <c r="D4469" t="str">
        <f t="shared" si="372"/>
        <v>01471180628</v>
      </c>
      <c r="E4469" t="s">
        <v>52</v>
      </c>
      <c r="F4469">
        <v>2015</v>
      </c>
      <c r="G4469" t="s">
        <v>793</v>
      </c>
      <c r="H4469" s="1">
        <v>42108</v>
      </c>
      <c r="I4469" s="1">
        <v>42116</v>
      </c>
      <c r="J4469" s="1">
        <v>42113</v>
      </c>
      <c r="K4469" s="1">
        <v>42173</v>
      </c>
      <c r="N4469" s="5"/>
      <c r="O4469">
        <v>570</v>
      </c>
      <c r="P4469">
        <v>11</v>
      </c>
      <c r="Q4469" s="2">
        <v>6270</v>
      </c>
      <c r="R4469">
        <v>125.4</v>
      </c>
      <c r="V4469">
        <v>0</v>
      </c>
      <c r="W4469">
        <v>0</v>
      </c>
      <c r="X4469">
        <v>0</v>
      </c>
      <c r="Y4469">
        <v>695.4</v>
      </c>
      <c r="Z4469">
        <v>695.4</v>
      </c>
      <c r="AA4469">
        <v>695.4</v>
      </c>
      <c r="AB4469" s="1">
        <v>42382</v>
      </c>
      <c r="AC4469" t="s">
        <v>53</v>
      </c>
      <c r="AD4469" t="s">
        <v>53</v>
      </c>
      <c r="AK4469">
        <v>125.4</v>
      </c>
      <c r="AU4469" s="6">
        <v>42184</v>
      </c>
      <c r="AV4469" s="6">
        <v>42184</v>
      </c>
      <c r="AW4469" t="s">
        <v>54</v>
      </c>
      <c r="AX4469" t="str">
        <f t="shared" si="369"/>
        <v>FOR</v>
      </c>
      <c r="AY4469" t="s">
        <v>55</v>
      </c>
    </row>
    <row r="4470" spans="1:51" hidden="1">
      <c r="A4470">
        <v>101556</v>
      </c>
      <c r="B4470" t="s">
        <v>768</v>
      </c>
      <c r="C4470" t="str">
        <f t="shared" si="372"/>
        <v>01471180628</v>
      </c>
      <c r="D4470" t="str">
        <f t="shared" si="372"/>
        <v>01471180628</v>
      </c>
      <c r="E4470" t="s">
        <v>52</v>
      </c>
      <c r="F4470">
        <v>2015</v>
      </c>
      <c r="G4470" t="s">
        <v>794</v>
      </c>
      <c r="H4470" s="1">
        <v>42108</v>
      </c>
      <c r="I4470" s="1">
        <v>42116</v>
      </c>
      <c r="J4470" s="1">
        <v>42113</v>
      </c>
      <c r="K4470" s="1">
        <v>42173</v>
      </c>
      <c r="N4470" s="5"/>
      <c r="O4470">
        <v>11.5</v>
      </c>
      <c r="P4470">
        <v>11</v>
      </c>
      <c r="Q4470">
        <v>126.5</v>
      </c>
      <c r="R4470">
        <v>2.5299999999999998</v>
      </c>
      <c r="V4470">
        <v>0</v>
      </c>
      <c r="W4470">
        <v>0</v>
      </c>
      <c r="X4470">
        <v>0</v>
      </c>
      <c r="Y4470">
        <v>14.03</v>
      </c>
      <c r="Z4470">
        <v>14.03</v>
      </c>
      <c r="AA4470">
        <v>14.03</v>
      </c>
      <c r="AB4470" s="1">
        <v>42382</v>
      </c>
      <c r="AC4470" t="s">
        <v>53</v>
      </c>
      <c r="AD4470" t="s">
        <v>53</v>
      </c>
      <c r="AK4470">
        <v>2.5299999999999998</v>
      </c>
      <c r="AU4470" s="6">
        <v>42184</v>
      </c>
      <c r="AV4470" s="6">
        <v>42184</v>
      </c>
      <c r="AW4470" t="s">
        <v>54</v>
      </c>
      <c r="AX4470" t="str">
        <f t="shared" si="369"/>
        <v>FOR</v>
      </c>
      <c r="AY4470" t="s">
        <v>55</v>
      </c>
    </row>
    <row r="4471" spans="1:51" hidden="1">
      <c r="A4471">
        <v>101556</v>
      </c>
      <c r="B4471" t="s">
        <v>768</v>
      </c>
      <c r="C4471" t="str">
        <f t="shared" si="372"/>
        <v>01471180628</v>
      </c>
      <c r="D4471" t="str">
        <f t="shared" si="372"/>
        <v>01471180628</v>
      </c>
      <c r="E4471" t="s">
        <v>52</v>
      </c>
      <c r="F4471">
        <v>2015</v>
      </c>
      <c r="G4471" t="s">
        <v>795</v>
      </c>
      <c r="H4471" s="1">
        <v>42123</v>
      </c>
      <c r="I4471" s="1">
        <v>42128</v>
      </c>
      <c r="J4471" s="1">
        <v>42123</v>
      </c>
      <c r="K4471" s="1">
        <v>42183</v>
      </c>
      <c r="N4471" s="5"/>
      <c r="O4471">
        <v>26.1</v>
      </c>
      <c r="P4471">
        <v>1</v>
      </c>
      <c r="Q4471">
        <v>26.1</v>
      </c>
      <c r="R4471">
        <v>5.74</v>
      </c>
      <c r="V4471">
        <v>0</v>
      </c>
      <c r="W4471">
        <v>0</v>
      </c>
      <c r="X4471">
        <v>0</v>
      </c>
      <c r="Y4471">
        <v>31.84</v>
      </c>
      <c r="Z4471">
        <v>31.84</v>
      </c>
      <c r="AA4471">
        <v>31.84</v>
      </c>
      <c r="AB4471" s="1">
        <v>42382</v>
      </c>
      <c r="AC4471" t="s">
        <v>53</v>
      </c>
      <c r="AD4471" t="s">
        <v>53</v>
      </c>
      <c r="AK4471">
        <v>5.74</v>
      </c>
      <c r="AU4471" s="6">
        <v>42184</v>
      </c>
      <c r="AV4471" s="6">
        <v>42184</v>
      </c>
      <c r="AW4471" t="s">
        <v>54</v>
      </c>
      <c r="AX4471" t="str">
        <f t="shared" si="369"/>
        <v>FOR</v>
      </c>
      <c r="AY4471" t="s">
        <v>55</v>
      </c>
    </row>
    <row r="4472" spans="1:51" hidden="1">
      <c r="A4472">
        <v>101556</v>
      </c>
      <c r="B4472" t="s">
        <v>768</v>
      </c>
      <c r="C4472" t="str">
        <f t="shared" si="372"/>
        <v>01471180628</v>
      </c>
      <c r="D4472" t="str">
        <f t="shared" si="372"/>
        <v>01471180628</v>
      </c>
      <c r="E4472" t="s">
        <v>52</v>
      </c>
      <c r="F4472">
        <v>2015</v>
      </c>
      <c r="G4472" t="s">
        <v>796</v>
      </c>
      <c r="H4472" s="1">
        <v>42135</v>
      </c>
      <c r="I4472" s="1">
        <v>42139</v>
      </c>
      <c r="J4472" s="1">
        <v>42137</v>
      </c>
      <c r="K4472" s="1">
        <v>42197</v>
      </c>
      <c r="N4472" s="5"/>
      <c r="O4472">
        <v>237.7</v>
      </c>
      <c r="P4472">
        <v>-13</v>
      </c>
      <c r="Q4472" s="2">
        <v>-3090.1</v>
      </c>
      <c r="R4472">
        <v>52.29</v>
      </c>
      <c r="V4472">
        <v>0</v>
      </c>
      <c r="W4472">
        <v>0</v>
      </c>
      <c r="X4472">
        <v>0</v>
      </c>
      <c r="Y4472">
        <v>289.99</v>
      </c>
      <c r="Z4472">
        <v>289.99</v>
      </c>
      <c r="AA4472">
        <v>289.99</v>
      </c>
      <c r="AB4472" s="1">
        <v>42382</v>
      </c>
      <c r="AC4472" t="s">
        <v>53</v>
      </c>
      <c r="AD4472" t="s">
        <v>53</v>
      </c>
      <c r="AJ4472">
        <v>52.29</v>
      </c>
      <c r="AK4472">
        <v>0</v>
      </c>
      <c r="AU4472" s="6">
        <v>42184</v>
      </c>
      <c r="AV4472" s="6">
        <v>42184</v>
      </c>
      <c r="AW4472" t="s">
        <v>54</v>
      </c>
      <c r="AX4472" t="str">
        <f t="shared" si="369"/>
        <v>FOR</v>
      </c>
      <c r="AY4472" t="s">
        <v>55</v>
      </c>
    </row>
    <row r="4473" spans="1:51" hidden="1">
      <c r="A4473">
        <v>101556</v>
      </c>
      <c r="B4473" t="s">
        <v>768</v>
      </c>
      <c r="C4473" t="str">
        <f t="shared" ref="C4473:D4489" si="373">"01471180628"</f>
        <v>01471180628</v>
      </c>
      <c r="D4473" t="str">
        <f t="shared" si="373"/>
        <v>01471180628</v>
      </c>
      <c r="E4473" t="s">
        <v>52</v>
      </c>
      <c r="F4473">
        <v>2015</v>
      </c>
      <c r="G4473" t="s">
        <v>797</v>
      </c>
      <c r="H4473" s="1">
        <v>42146</v>
      </c>
      <c r="I4473" s="1">
        <v>42163</v>
      </c>
      <c r="J4473" s="1">
        <v>42149</v>
      </c>
      <c r="K4473" s="1">
        <v>42209</v>
      </c>
      <c r="N4473" s="5"/>
      <c r="O4473">
        <v>125.3</v>
      </c>
      <c r="P4473">
        <v>-25</v>
      </c>
      <c r="Q4473" s="2">
        <v>-3132.5</v>
      </c>
      <c r="R4473">
        <v>27.57</v>
      </c>
      <c r="V4473">
        <v>0</v>
      </c>
      <c r="W4473">
        <v>0</v>
      </c>
      <c r="X4473">
        <v>0</v>
      </c>
      <c r="Y4473">
        <v>152.87</v>
      </c>
      <c r="Z4473">
        <v>152.87</v>
      </c>
      <c r="AA4473">
        <v>152.87</v>
      </c>
      <c r="AB4473" s="1">
        <v>42382</v>
      </c>
      <c r="AC4473" t="s">
        <v>53</v>
      </c>
      <c r="AD4473" t="s">
        <v>53</v>
      </c>
      <c r="AJ4473">
        <v>27.57</v>
      </c>
      <c r="AK4473">
        <v>0</v>
      </c>
      <c r="AU4473" s="6">
        <v>42184</v>
      </c>
      <c r="AV4473" s="6">
        <v>42184</v>
      </c>
      <c r="AW4473" t="s">
        <v>54</v>
      </c>
      <c r="AX4473" t="str">
        <f t="shared" si="369"/>
        <v>FOR</v>
      </c>
      <c r="AY4473" t="s">
        <v>55</v>
      </c>
    </row>
    <row r="4474" spans="1:51" hidden="1">
      <c r="A4474">
        <v>101556</v>
      </c>
      <c r="B4474" t="s">
        <v>768</v>
      </c>
      <c r="C4474" t="str">
        <f t="shared" si="373"/>
        <v>01471180628</v>
      </c>
      <c r="D4474" t="str">
        <f t="shared" si="373"/>
        <v>01471180628</v>
      </c>
      <c r="E4474" t="s">
        <v>52</v>
      </c>
      <c r="F4474">
        <v>2015</v>
      </c>
      <c r="G4474" t="s">
        <v>798</v>
      </c>
      <c r="H4474" s="1">
        <v>42146</v>
      </c>
      <c r="I4474" s="1">
        <v>42163</v>
      </c>
      <c r="J4474" s="1">
        <v>42149</v>
      </c>
      <c r="K4474" s="1">
        <v>42209</v>
      </c>
      <c r="N4474" s="5"/>
      <c r="O4474">
        <v>65</v>
      </c>
      <c r="P4474">
        <v>-25</v>
      </c>
      <c r="Q4474" s="2">
        <v>-1625</v>
      </c>
      <c r="R4474">
        <v>14.3</v>
      </c>
      <c r="V4474">
        <v>0</v>
      </c>
      <c r="W4474">
        <v>0</v>
      </c>
      <c r="X4474">
        <v>0</v>
      </c>
      <c r="Y4474">
        <v>79.3</v>
      </c>
      <c r="Z4474">
        <v>79.3</v>
      </c>
      <c r="AA4474">
        <v>79.3</v>
      </c>
      <c r="AB4474" s="1">
        <v>42382</v>
      </c>
      <c r="AC4474" t="s">
        <v>53</v>
      </c>
      <c r="AD4474" t="s">
        <v>53</v>
      </c>
      <c r="AJ4474">
        <v>14.3</v>
      </c>
      <c r="AK4474">
        <v>0</v>
      </c>
      <c r="AU4474" s="6">
        <v>42184</v>
      </c>
      <c r="AV4474" s="6">
        <v>42184</v>
      </c>
      <c r="AW4474" t="s">
        <v>54</v>
      </c>
      <c r="AX4474" t="str">
        <f t="shared" si="369"/>
        <v>FOR</v>
      </c>
      <c r="AY4474" t="s">
        <v>55</v>
      </c>
    </row>
    <row r="4475" spans="1:51" hidden="1">
      <c r="A4475">
        <v>101556</v>
      </c>
      <c r="B4475" t="s">
        <v>768</v>
      </c>
      <c r="C4475" t="str">
        <f t="shared" si="373"/>
        <v>01471180628</v>
      </c>
      <c r="D4475" t="str">
        <f t="shared" si="373"/>
        <v>01471180628</v>
      </c>
      <c r="E4475" t="s">
        <v>52</v>
      </c>
      <c r="F4475">
        <v>2015</v>
      </c>
      <c r="G4475" t="s">
        <v>799</v>
      </c>
      <c r="H4475" s="1">
        <v>42159</v>
      </c>
      <c r="I4475" s="1">
        <v>42164</v>
      </c>
      <c r="J4475" s="1">
        <v>42159</v>
      </c>
      <c r="K4475" s="1">
        <v>42219</v>
      </c>
      <c r="N4475" s="5"/>
      <c r="O4475">
        <v>49.46</v>
      </c>
      <c r="P4475">
        <v>-35</v>
      </c>
      <c r="Q4475" s="2">
        <v>-1731.1</v>
      </c>
      <c r="R4475">
        <v>10.88</v>
      </c>
      <c r="V4475">
        <v>0</v>
      </c>
      <c r="W4475">
        <v>0</v>
      </c>
      <c r="X4475">
        <v>0</v>
      </c>
      <c r="Y4475">
        <v>60.34</v>
      </c>
      <c r="Z4475">
        <v>60.34</v>
      </c>
      <c r="AA4475">
        <v>60.34</v>
      </c>
      <c r="AB4475" s="1">
        <v>42382</v>
      </c>
      <c r="AC4475" t="s">
        <v>53</v>
      </c>
      <c r="AD4475" t="s">
        <v>53</v>
      </c>
      <c r="AI4475">
        <v>10.88</v>
      </c>
      <c r="AK4475">
        <v>0</v>
      </c>
      <c r="AU4475" s="6">
        <v>42184</v>
      </c>
      <c r="AV4475" s="6">
        <v>42184</v>
      </c>
      <c r="AW4475" t="s">
        <v>54</v>
      </c>
      <c r="AX4475" t="str">
        <f t="shared" si="369"/>
        <v>FOR</v>
      </c>
      <c r="AY4475" t="s">
        <v>55</v>
      </c>
    </row>
    <row r="4476" spans="1:51" hidden="1">
      <c r="A4476">
        <v>101556</v>
      </c>
      <c r="B4476" t="s">
        <v>768</v>
      </c>
      <c r="C4476" t="str">
        <f t="shared" si="373"/>
        <v>01471180628</v>
      </c>
      <c r="D4476" t="str">
        <f t="shared" si="373"/>
        <v>01471180628</v>
      </c>
      <c r="E4476" t="s">
        <v>52</v>
      </c>
      <c r="F4476">
        <v>2015</v>
      </c>
      <c r="G4476" t="s">
        <v>800</v>
      </c>
      <c r="H4476" s="1">
        <v>42171</v>
      </c>
      <c r="I4476" s="1">
        <v>42177</v>
      </c>
      <c r="J4476" s="1">
        <v>42172</v>
      </c>
      <c r="K4476" s="1">
        <v>42232</v>
      </c>
      <c r="N4476" s="5"/>
      <c r="O4476">
        <v>118.85</v>
      </c>
      <c r="P4476">
        <v>-48</v>
      </c>
      <c r="Q4476" s="2">
        <v>-5704.8</v>
      </c>
      <c r="R4476">
        <v>26.15</v>
      </c>
      <c r="V4476">
        <v>0</v>
      </c>
      <c r="W4476">
        <v>0</v>
      </c>
      <c r="X4476">
        <v>0</v>
      </c>
      <c r="Y4476">
        <v>145</v>
      </c>
      <c r="Z4476">
        <v>145</v>
      </c>
      <c r="AA4476">
        <v>145</v>
      </c>
      <c r="AB4476" s="1">
        <v>42382</v>
      </c>
      <c r="AC4476" t="s">
        <v>53</v>
      </c>
      <c r="AD4476" t="s">
        <v>53</v>
      </c>
      <c r="AI4476">
        <v>26.15</v>
      </c>
      <c r="AK4476">
        <v>0</v>
      </c>
      <c r="AU4476" s="6">
        <v>42184</v>
      </c>
      <c r="AV4476" s="6">
        <v>42184</v>
      </c>
      <c r="AW4476" t="s">
        <v>54</v>
      </c>
      <c r="AX4476" t="str">
        <f t="shared" si="369"/>
        <v>FOR</v>
      </c>
      <c r="AY4476" t="s">
        <v>55</v>
      </c>
    </row>
    <row r="4477" spans="1:51" hidden="1">
      <c r="A4477">
        <v>101556</v>
      </c>
      <c r="B4477" t="s">
        <v>768</v>
      </c>
      <c r="C4477" t="str">
        <f t="shared" si="373"/>
        <v>01471180628</v>
      </c>
      <c r="D4477" t="str">
        <f t="shared" si="373"/>
        <v>01471180628</v>
      </c>
      <c r="E4477" t="s">
        <v>52</v>
      </c>
      <c r="F4477">
        <v>2015</v>
      </c>
      <c r="G4477" t="s">
        <v>801</v>
      </c>
      <c r="H4477" s="1">
        <v>42171</v>
      </c>
      <c r="I4477" s="1">
        <v>42177</v>
      </c>
      <c r="J4477" s="1">
        <v>42172</v>
      </c>
      <c r="K4477" s="1">
        <v>42232</v>
      </c>
      <c r="N4477" s="5"/>
      <c r="O4477">
        <v>118.85</v>
      </c>
      <c r="P4477">
        <v>-48</v>
      </c>
      <c r="Q4477" s="2">
        <v>-5704.8</v>
      </c>
      <c r="R4477">
        <v>26.15</v>
      </c>
      <c r="V4477">
        <v>0</v>
      </c>
      <c r="W4477">
        <v>0</v>
      </c>
      <c r="X4477">
        <v>0</v>
      </c>
      <c r="Y4477">
        <v>145</v>
      </c>
      <c r="Z4477">
        <v>145</v>
      </c>
      <c r="AA4477">
        <v>145</v>
      </c>
      <c r="AB4477" s="1">
        <v>42382</v>
      </c>
      <c r="AC4477" t="s">
        <v>53</v>
      </c>
      <c r="AD4477" t="s">
        <v>53</v>
      </c>
      <c r="AI4477">
        <v>26.15</v>
      </c>
      <c r="AK4477">
        <v>0</v>
      </c>
      <c r="AU4477" s="6">
        <v>42184</v>
      </c>
      <c r="AV4477" s="6">
        <v>42184</v>
      </c>
      <c r="AW4477" t="s">
        <v>54</v>
      </c>
      <c r="AX4477" t="str">
        <f t="shared" si="369"/>
        <v>FOR</v>
      </c>
      <c r="AY4477" t="s">
        <v>55</v>
      </c>
    </row>
    <row r="4478" spans="1:51">
      <c r="A4478">
        <v>101556</v>
      </c>
      <c r="B4478" t="s">
        <v>768</v>
      </c>
      <c r="C4478" t="str">
        <f t="shared" si="373"/>
        <v>01471180628</v>
      </c>
      <c r="D4478" t="str">
        <f t="shared" si="373"/>
        <v>01471180628</v>
      </c>
      <c r="E4478" t="s">
        <v>52</v>
      </c>
      <c r="F4478">
        <v>2015</v>
      </c>
      <c r="G4478" t="s">
        <v>802</v>
      </c>
      <c r="H4478" s="1">
        <v>42173</v>
      </c>
      <c r="I4478" s="1">
        <v>42180</v>
      </c>
      <c r="J4478" s="1">
        <v>42178</v>
      </c>
      <c r="K4478" s="1">
        <v>42238</v>
      </c>
      <c r="L4478" s="7">
        <v>57.9</v>
      </c>
      <c r="M4478" s="5">
        <v>46</v>
      </c>
      <c r="N4478" s="7">
        <v>2663.4</v>
      </c>
      <c r="O4478">
        <v>57.9</v>
      </c>
      <c r="P4478">
        <v>46</v>
      </c>
      <c r="Q4478" s="2">
        <v>2663.4</v>
      </c>
      <c r="R4478">
        <v>12.74</v>
      </c>
      <c r="V4478">
        <v>0</v>
      </c>
      <c r="W4478">
        <v>0</v>
      </c>
      <c r="X4478">
        <v>0</v>
      </c>
      <c r="Y4478">
        <v>70.64</v>
      </c>
      <c r="Z4478">
        <v>70.64</v>
      </c>
      <c r="AA4478">
        <v>70.64</v>
      </c>
      <c r="AB4478" s="1">
        <v>42382</v>
      </c>
      <c r="AC4478" t="s">
        <v>53</v>
      </c>
      <c r="AD4478" t="s">
        <v>53</v>
      </c>
      <c r="AI4478">
        <v>12.74</v>
      </c>
      <c r="AK4478">
        <v>0</v>
      </c>
      <c r="AU4478" s="6">
        <v>42284</v>
      </c>
      <c r="AV4478" s="6">
        <v>42284</v>
      </c>
      <c r="AW4478" t="s">
        <v>54</v>
      </c>
      <c r="AX4478" t="str">
        <f t="shared" si="369"/>
        <v>FOR</v>
      </c>
      <c r="AY4478" t="s">
        <v>55</v>
      </c>
    </row>
    <row r="4479" spans="1:51">
      <c r="A4479">
        <v>101556</v>
      </c>
      <c r="B4479" t="s">
        <v>768</v>
      </c>
      <c r="C4479" t="str">
        <f t="shared" si="373"/>
        <v>01471180628</v>
      </c>
      <c r="D4479" t="str">
        <f t="shared" si="373"/>
        <v>01471180628</v>
      </c>
      <c r="E4479" t="s">
        <v>52</v>
      </c>
      <c r="F4479">
        <v>2015</v>
      </c>
      <c r="G4479" t="s">
        <v>803</v>
      </c>
      <c r="H4479" s="1">
        <v>42178</v>
      </c>
      <c r="I4479" s="1">
        <v>42186</v>
      </c>
      <c r="J4479" s="1">
        <v>42182</v>
      </c>
      <c r="K4479" s="1">
        <v>42242</v>
      </c>
      <c r="L4479" s="7">
        <v>40</v>
      </c>
      <c r="M4479" s="5">
        <v>42</v>
      </c>
      <c r="N4479" s="7">
        <v>1680</v>
      </c>
      <c r="O4479">
        <v>40</v>
      </c>
      <c r="P4479">
        <v>42</v>
      </c>
      <c r="Q4479" s="2">
        <v>1680</v>
      </c>
      <c r="R4479">
        <v>8.8000000000000007</v>
      </c>
      <c r="V4479">
        <v>0</v>
      </c>
      <c r="W4479">
        <v>0</v>
      </c>
      <c r="X4479">
        <v>0</v>
      </c>
      <c r="Y4479">
        <v>48.8</v>
      </c>
      <c r="Z4479">
        <v>48.8</v>
      </c>
      <c r="AA4479">
        <v>48.8</v>
      </c>
      <c r="AB4479" s="1">
        <v>42382</v>
      </c>
      <c r="AC4479" t="s">
        <v>53</v>
      </c>
      <c r="AD4479" t="s">
        <v>53</v>
      </c>
      <c r="AI4479">
        <v>8.8000000000000007</v>
      </c>
      <c r="AK4479">
        <v>0</v>
      </c>
      <c r="AU4479" s="6">
        <v>42284</v>
      </c>
      <c r="AV4479" s="6">
        <v>42284</v>
      </c>
      <c r="AW4479" t="s">
        <v>54</v>
      </c>
      <c r="AX4479" t="str">
        <f t="shared" si="369"/>
        <v>FOR</v>
      </c>
      <c r="AY4479" t="s">
        <v>55</v>
      </c>
    </row>
    <row r="4480" spans="1:51">
      <c r="A4480">
        <v>101556</v>
      </c>
      <c r="B4480" t="s">
        <v>768</v>
      </c>
      <c r="C4480" t="str">
        <f t="shared" si="373"/>
        <v>01471180628</v>
      </c>
      <c r="D4480" t="str">
        <f t="shared" si="373"/>
        <v>01471180628</v>
      </c>
      <c r="E4480" t="s">
        <v>52</v>
      </c>
      <c r="F4480">
        <v>2015</v>
      </c>
      <c r="G4480" t="s">
        <v>804</v>
      </c>
      <c r="H4480" s="1">
        <v>42184</v>
      </c>
      <c r="I4480" s="1">
        <v>42186</v>
      </c>
      <c r="J4480" s="1">
        <v>42184</v>
      </c>
      <c r="K4480" s="1">
        <v>42244</v>
      </c>
      <c r="L4480" s="7">
        <v>130.33000000000001</v>
      </c>
      <c r="M4480" s="5">
        <v>40</v>
      </c>
      <c r="N4480" s="7">
        <v>5213.2</v>
      </c>
      <c r="O4480">
        <v>130.33000000000001</v>
      </c>
      <c r="P4480">
        <v>40</v>
      </c>
      <c r="Q4480" s="2">
        <v>5213.2</v>
      </c>
      <c r="R4480">
        <v>28.67</v>
      </c>
      <c r="V4480">
        <v>0</v>
      </c>
      <c r="W4480">
        <v>0</v>
      </c>
      <c r="X4480">
        <v>0</v>
      </c>
      <c r="Y4480">
        <v>159</v>
      </c>
      <c r="Z4480">
        <v>159</v>
      </c>
      <c r="AA4480">
        <v>159</v>
      </c>
      <c r="AB4480" s="1">
        <v>42382</v>
      </c>
      <c r="AC4480" t="s">
        <v>53</v>
      </c>
      <c r="AD4480" t="s">
        <v>53</v>
      </c>
      <c r="AI4480">
        <v>28.67</v>
      </c>
      <c r="AK4480">
        <v>0</v>
      </c>
      <c r="AU4480" s="6">
        <v>42284</v>
      </c>
      <c r="AV4480" s="6">
        <v>42284</v>
      </c>
      <c r="AW4480" t="s">
        <v>54</v>
      </c>
      <c r="AX4480" t="str">
        <f t="shared" si="369"/>
        <v>FOR</v>
      </c>
      <c r="AY4480" t="s">
        <v>55</v>
      </c>
    </row>
    <row r="4481" spans="1:51">
      <c r="A4481">
        <v>101556</v>
      </c>
      <c r="B4481" t="s">
        <v>768</v>
      </c>
      <c r="C4481" t="str">
        <f t="shared" si="373"/>
        <v>01471180628</v>
      </c>
      <c r="D4481" t="str">
        <f t="shared" si="373"/>
        <v>01471180628</v>
      </c>
      <c r="E4481" t="s">
        <v>52</v>
      </c>
      <c r="F4481">
        <v>2015</v>
      </c>
      <c r="G4481" t="s">
        <v>805</v>
      </c>
      <c r="H4481" s="1">
        <v>42187</v>
      </c>
      <c r="I4481" s="1">
        <v>42191</v>
      </c>
      <c r="J4481" s="1">
        <v>42188</v>
      </c>
      <c r="K4481" s="1">
        <v>42248</v>
      </c>
      <c r="L4481" s="7">
        <v>91.31</v>
      </c>
      <c r="M4481" s="5">
        <v>36</v>
      </c>
      <c r="N4481" s="7">
        <v>3287.16</v>
      </c>
      <c r="O4481">
        <v>91.31</v>
      </c>
      <c r="P4481">
        <v>36</v>
      </c>
      <c r="Q4481" s="2">
        <v>3287.16</v>
      </c>
      <c r="R4481">
        <v>20.09</v>
      </c>
      <c r="V4481">
        <v>0</v>
      </c>
      <c r="W4481">
        <v>0</v>
      </c>
      <c r="X4481">
        <v>0</v>
      </c>
      <c r="Y4481">
        <v>111.4</v>
      </c>
      <c r="Z4481">
        <v>111.4</v>
      </c>
      <c r="AA4481">
        <v>111.4</v>
      </c>
      <c r="AB4481" s="1">
        <v>42382</v>
      </c>
      <c r="AC4481" t="s">
        <v>53</v>
      </c>
      <c r="AD4481" t="s">
        <v>53</v>
      </c>
      <c r="AH4481">
        <v>20.09</v>
      </c>
      <c r="AK4481">
        <v>0</v>
      </c>
      <c r="AU4481" s="6">
        <v>42284</v>
      </c>
      <c r="AV4481" s="6">
        <v>42284</v>
      </c>
      <c r="AW4481" t="s">
        <v>54</v>
      </c>
      <c r="AX4481" t="str">
        <f t="shared" si="369"/>
        <v>FOR</v>
      </c>
      <c r="AY4481" t="s">
        <v>55</v>
      </c>
    </row>
    <row r="4482" spans="1:51">
      <c r="A4482">
        <v>101556</v>
      </c>
      <c r="B4482" t="s">
        <v>768</v>
      </c>
      <c r="C4482" t="str">
        <f t="shared" si="373"/>
        <v>01471180628</v>
      </c>
      <c r="D4482" t="str">
        <f t="shared" si="373"/>
        <v>01471180628</v>
      </c>
      <c r="E4482" t="s">
        <v>52</v>
      </c>
      <c r="F4482">
        <v>2015</v>
      </c>
      <c r="G4482" t="s">
        <v>806</v>
      </c>
      <c r="H4482" s="1">
        <v>42200</v>
      </c>
      <c r="I4482" s="1">
        <v>42201</v>
      </c>
      <c r="J4482" s="1">
        <v>42200</v>
      </c>
      <c r="K4482" s="1">
        <v>42260</v>
      </c>
      <c r="L4482" s="7">
        <v>120</v>
      </c>
      <c r="M4482" s="5">
        <v>24</v>
      </c>
      <c r="N4482" s="7">
        <v>2880</v>
      </c>
      <c r="O4482">
        <v>120</v>
      </c>
      <c r="P4482">
        <v>24</v>
      </c>
      <c r="Q4482" s="2">
        <v>2880</v>
      </c>
      <c r="R4482">
        <v>26.4</v>
      </c>
      <c r="V4482">
        <v>0</v>
      </c>
      <c r="W4482">
        <v>0</v>
      </c>
      <c r="X4482">
        <v>0</v>
      </c>
      <c r="Y4482">
        <v>146.4</v>
      </c>
      <c r="Z4482">
        <v>146.4</v>
      </c>
      <c r="AA4482">
        <v>146.4</v>
      </c>
      <c r="AB4482" s="1">
        <v>42382</v>
      </c>
      <c r="AC4482" t="s">
        <v>53</v>
      </c>
      <c r="AD4482" t="s">
        <v>53</v>
      </c>
      <c r="AH4482">
        <v>26.4</v>
      </c>
      <c r="AK4482">
        <v>0</v>
      </c>
      <c r="AU4482" s="6">
        <v>42284</v>
      </c>
      <c r="AV4482" s="6">
        <v>42284</v>
      </c>
      <c r="AW4482" t="s">
        <v>54</v>
      </c>
      <c r="AX4482" t="str">
        <f t="shared" si="369"/>
        <v>FOR</v>
      </c>
      <c r="AY4482" t="s">
        <v>55</v>
      </c>
    </row>
    <row r="4483" spans="1:51">
      <c r="A4483">
        <v>101556</v>
      </c>
      <c r="B4483" t="s">
        <v>768</v>
      </c>
      <c r="C4483" t="str">
        <f t="shared" si="373"/>
        <v>01471180628</v>
      </c>
      <c r="D4483" t="str">
        <f t="shared" si="373"/>
        <v>01471180628</v>
      </c>
      <c r="E4483" t="s">
        <v>52</v>
      </c>
      <c r="F4483">
        <v>2015</v>
      </c>
      <c r="G4483" t="s">
        <v>807</v>
      </c>
      <c r="H4483" s="1">
        <v>42200</v>
      </c>
      <c r="I4483" s="1">
        <v>42233</v>
      </c>
      <c r="J4483" s="1">
        <v>42207</v>
      </c>
      <c r="K4483" s="1">
        <v>42267</v>
      </c>
      <c r="L4483" s="7">
        <v>253</v>
      </c>
      <c r="M4483" s="5">
        <v>17</v>
      </c>
      <c r="N4483" s="7">
        <v>4301</v>
      </c>
      <c r="O4483">
        <v>253</v>
      </c>
      <c r="P4483">
        <v>17</v>
      </c>
      <c r="Q4483" s="2">
        <v>4301</v>
      </c>
      <c r="R4483">
        <v>55.66</v>
      </c>
      <c r="V4483">
        <v>0</v>
      </c>
      <c r="W4483">
        <v>0</v>
      </c>
      <c r="X4483">
        <v>0</v>
      </c>
      <c r="Y4483">
        <v>308.66000000000003</v>
      </c>
      <c r="Z4483">
        <v>308.66000000000003</v>
      </c>
      <c r="AA4483">
        <v>308.66000000000003</v>
      </c>
      <c r="AB4483" s="1">
        <v>42382</v>
      </c>
      <c r="AC4483" t="s">
        <v>53</v>
      </c>
      <c r="AD4483" t="s">
        <v>53</v>
      </c>
      <c r="AH4483">
        <v>55.66</v>
      </c>
      <c r="AK4483">
        <v>0</v>
      </c>
      <c r="AU4483" s="6">
        <v>42284</v>
      </c>
      <c r="AV4483" s="6">
        <v>42284</v>
      </c>
      <c r="AW4483" t="s">
        <v>54</v>
      </c>
      <c r="AX4483" t="str">
        <f t="shared" ref="AX4483:AX4546" si="374">"FOR"</f>
        <v>FOR</v>
      </c>
      <c r="AY4483" t="s">
        <v>55</v>
      </c>
    </row>
    <row r="4484" spans="1:51">
      <c r="A4484">
        <v>101556</v>
      </c>
      <c r="B4484" t="s">
        <v>768</v>
      </c>
      <c r="C4484" t="str">
        <f t="shared" si="373"/>
        <v>01471180628</v>
      </c>
      <c r="D4484" t="str">
        <f t="shared" si="373"/>
        <v>01471180628</v>
      </c>
      <c r="E4484" t="s">
        <v>52</v>
      </c>
      <c r="F4484">
        <v>2015</v>
      </c>
      <c r="G4484" t="s">
        <v>808</v>
      </c>
      <c r="H4484" s="1">
        <v>42208</v>
      </c>
      <c r="I4484" s="1">
        <v>42233</v>
      </c>
      <c r="J4484" s="1">
        <v>42208</v>
      </c>
      <c r="K4484" s="1">
        <v>42268</v>
      </c>
      <c r="L4484" s="7">
        <v>260.66000000000003</v>
      </c>
      <c r="M4484" s="5">
        <v>16</v>
      </c>
      <c r="N4484" s="7">
        <v>4170.5600000000004</v>
      </c>
      <c r="O4484">
        <v>260.66000000000003</v>
      </c>
      <c r="P4484">
        <v>16</v>
      </c>
      <c r="Q4484" s="2">
        <v>4170.5600000000004</v>
      </c>
      <c r="R4484">
        <v>57.35</v>
      </c>
      <c r="V4484">
        <v>0</v>
      </c>
      <c r="W4484">
        <v>0</v>
      </c>
      <c r="X4484">
        <v>0</v>
      </c>
      <c r="Y4484">
        <v>318.01</v>
      </c>
      <c r="Z4484">
        <v>318.01</v>
      </c>
      <c r="AA4484">
        <v>318.01</v>
      </c>
      <c r="AB4484" s="1">
        <v>42382</v>
      </c>
      <c r="AC4484" t="s">
        <v>53</v>
      </c>
      <c r="AD4484" t="s">
        <v>53</v>
      </c>
      <c r="AH4484">
        <v>57.35</v>
      </c>
      <c r="AK4484">
        <v>0</v>
      </c>
      <c r="AU4484" s="6">
        <v>42284</v>
      </c>
      <c r="AV4484" s="6">
        <v>42284</v>
      </c>
      <c r="AW4484" t="s">
        <v>54</v>
      </c>
      <c r="AX4484" t="str">
        <f t="shared" si="374"/>
        <v>FOR</v>
      </c>
      <c r="AY4484" t="s">
        <v>55</v>
      </c>
    </row>
    <row r="4485" spans="1:51">
      <c r="A4485">
        <v>101556</v>
      </c>
      <c r="B4485" t="s">
        <v>768</v>
      </c>
      <c r="C4485" t="str">
        <f t="shared" si="373"/>
        <v>01471180628</v>
      </c>
      <c r="D4485" t="str">
        <f t="shared" si="373"/>
        <v>01471180628</v>
      </c>
      <c r="E4485" t="s">
        <v>52</v>
      </c>
      <c r="F4485">
        <v>2015</v>
      </c>
      <c r="G4485" t="s">
        <v>809</v>
      </c>
      <c r="H4485" s="1">
        <v>42216</v>
      </c>
      <c r="I4485" s="1">
        <v>42228</v>
      </c>
      <c r="J4485" s="1">
        <v>42219</v>
      </c>
      <c r="K4485" s="1">
        <v>42279</v>
      </c>
      <c r="L4485" s="7">
        <v>570</v>
      </c>
      <c r="M4485" s="5">
        <v>5</v>
      </c>
      <c r="N4485" s="7">
        <v>2850</v>
      </c>
      <c r="O4485">
        <v>570</v>
      </c>
      <c r="P4485">
        <v>5</v>
      </c>
      <c r="Q4485" s="2">
        <v>2850</v>
      </c>
      <c r="R4485">
        <v>125.4</v>
      </c>
      <c r="V4485">
        <v>0</v>
      </c>
      <c r="W4485">
        <v>0</v>
      </c>
      <c r="X4485">
        <v>0</v>
      </c>
      <c r="Y4485">
        <v>695.4</v>
      </c>
      <c r="Z4485">
        <v>695.4</v>
      </c>
      <c r="AA4485">
        <v>695.4</v>
      </c>
      <c r="AB4485" s="1">
        <v>42382</v>
      </c>
      <c r="AC4485" t="s">
        <v>53</v>
      </c>
      <c r="AD4485" t="s">
        <v>53</v>
      </c>
      <c r="AG4485">
        <v>125.4</v>
      </c>
      <c r="AK4485">
        <v>0</v>
      </c>
      <c r="AU4485" s="6">
        <v>42284</v>
      </c>
      <c r="AV4485" s="6">
        <v>42284</v>
      </c>
      <c r="AW4485" t="s">
        <v>54</v>
      </c>
      <c r="AX4485" t="str">
        <f t="shared" si="374"/>
        <v>FOR</v>
      </c>
      <c r="AY4485" t="s">
        <v>55</v>
      </c>
    </row>
    <row r="4486" spans="1:51">
      <c r="A4486">
        <v>101556</v>
      </c>
      <c r="B4486" t="s">
        <v>768</v>
      </c>
      <c r="C4486" t="str">
        <f t="shared" si="373"/>
        <v>01471180628</v>
      </c>
      <c r="D4486" t="str">
        <f t="shared" si="373"/>
        <v>01471180628</v>
      </c>
      <c r="E4486" t="s">
        <v>52</v>
      </c>
      <c r="F4486">
        <v>2015</v>
      </c>
      <c r="G4486" t="s">
        <v>810</v>
      </c>
      <c r="H4486" s="1">
        <v>42223</v>
      </c>
      <c r="I4486" s="1">
        <v>42228</v>
      </c>
      <c r="J4486" s="1">
        <v>42223</v>
      </c>
      <c r="K4486" s="1">
        <v>42283</v>
      </c>
      <c r="L4486" s="7">
        <v>260.66000000000003</v>
      </c>
      <c r="M4486" s="5">
        <v>1</v>
      </c>
      <c r="N4486" s="7">
        <v>260.66000000000003</v>
      </c>
      <c r="O4486">
        <v>260.66000000000003</v>
      </c>
      <c r="P4486">
        <v>1</v>
      </c>
      <c r="Q4486">
        <v>260.66000000000003</v>
      </c>
      <c r="R4486">
        <v>57.35</v>
      </c>
      <c r="V4486">
        <v>0</v>
      </c>
      <c r="W4486">
        <v>0</v>
      </c>
      <c r="X4486">
        <v>0</v>
      </c>
      <c r="Y4486">
        <v>318.01</v>
      </c>
      <c r="Z4486">
        <v>318.01</v>
      </c>
      <c r="AA4486">
        <v>318.01</v>
      </c>
      <c r="AB4486" s="1">
        <v>42382</v>
      </c>
      <c r="AC4486" t="s">
        <v>53</v>
      </c>
      <c r="AD4486" t="s">
        <v>53</v>
      </c>
      <c r="AG4486">
        <v>57.35</v>
      </c>
      <c r="AK4486">
        <v>0</v>
      </c>
      <c r="AU4486" s="6">
        <v>42284</v>
      </c>
      <c r="AV4486" s="6">
        <v>42284</v>
      </c>
      <c r="AW4486" t="s">
        <v>54</v>
      </c>
      <c r="AX4486" t="str">
        <f t="shared" si="374"/>
        <v>FOR</v>
      </c>
      <c r="AY4486" t="s">
        <v>55</v>
      </c>
    </row>
    <row r="4487" spans="1:51">
      <c r="A4487">
        <v>101556</v>
      </c>
      <c r="B4487" t="s">
        <v>768</v>
      </c>
      <c r="C4487" t="str">
        <f t="shared" si="373"/>
        <v>01471180628</v>
      </c>
      <c r="D4487" t="str">
        <f t="shared" si="373"/>
        <v>01471180628</v>
      </c>
      <c r="E4487" t="s">
        <v>52</v>
      </c>
      <c r="F4487">
        <v>2015</v>
      </c>
      <c r="G4487" t="s">
        <v>811</v>
      </c>
      <c r="H4487" s="1">
        <v>42250</v>
      </c>
      <c r="I4487" s="1">
        <v>42250</v>
      </c>
      <c r="J4487" s="1">
        <v>42250</v>
      </c>
      <c r="K4487" s="1">
        <v>42310</v>
      </c>
      <c r="L4487" s="7">
        <v>106.53</v>
      </c>
      <c r="M4487" s="5">
        <v>-26</v>
      </c>
      <c r="N4487" s="7">
        <v>-2769.78</v>
      </c>
      <c r="O4487">
        <v>106.53</v>
      </c>
      <c r="P4487">
        <v>-26</v>
      </c>
      <c r="Q4487" s="2">
        <v>-2769.78</v>
      </c>
      <c r="R4487">
        <v>23.44</v>
      </c>
      <c r="V4487">
        <v>0</v>
      </c>
      <c r="W4487">
        <v>0</v>
      </c>
      <c r="X4487">
        <v>0</v>
      </c>
      <c r="Y4487">
        <v>129.97</v>
      </c>
      <c r="Z4487">
        <v>129.97</v>
      </c>
      <c r="AA4487">
        <v>129.97</v>
      </c>
      <c r="AB4487" s="1">
        <v>42382</v>
      </c>
      <c r="AC4487" t="s">
        <v>53</v>
      </c>
      <c r="AD4487" t="s">
        <v>53</v>
      </c>
      <c r="AF4487">
        <v>23.44</v>
      </c>
      <c r="AK4487">
        <v>0</v>
      </c>
      <c r="AU4487" s="6">
        <v>42284</v>
      </c>
      <c r="AV4487" s="6">
        <v>42284</v>
      </c>
      <c r="AW4487" t="s">
        <v>54</v>
      </c>
      <c r="AX4487" t="str">
        <f t="shared" si="374"/>
        <v>FOR</v>
      </c>
      <c r="AY4487" t="s">
        <v>55</v>
      </c>
    </row>
    <row r="4488" spans="1:51">
      <c r="A4488">
        <v>101556</v>
      </c>
      <c r="B4488" t="s">
        <v>768</v>
      </c>
      <c r="C4488" t="str">
        <f t="shared" si="373"/>
        <v>01471180628</v>
      </c>
      <c r="D4488" t="str">
        <f t="shared" si="373"/>
        <v>01471180628</v>
      </c>
      <c r="E4488" t="s">
        <v>52</v>
      </c>
      <c r="F4488">
        <v>2015</v>
      </c>
      <c r="G4488" t="s">
        <v>812</v>
      </c>
      <c r="H4488" s="1">
        <v>42262</v>
      </c>
      <c r="I4488" s="1">
        <v>42263</v>
      </c>
      <c r="J4488" s="1">
        <v>42263</v>
      </c>
      <c r="K4488" s="1">
        <v>42323</v>
      </c>
      <c r="L4488" s="7">
        <v>260.66000000000003</v>
      </c>
      <c r="M4488" s="5">
        <v>-39</v>
      </c>
      <c r="N4488" s="7">
        <v>-10165.74</v>
      </c>
      <c r="O4488">
        <v>260.66000000000003</v>
      </c>
      <c r="P4488">
        <v>-39</v>
      </c>
      <c r="Q4488" s="2">
        <v>-10165.74</v>
      </c>
      <c r="R4488">
        <v>57.35</v>
      </c>
      <c r="V4488">
        <v>0</v>
      </c>
      <c r="W4488">
        <v>0</v>
      </c>
      <c r="X4488">
        <v>0</v>
      </c>
      <c r="Y4488">
        <v>318.01</v>
      </c>
      <c r="Z4488">
        <v>318.01</v>
      </c>
      <c r="AA4488">
        <v>318.01</v>
      </c>
      <c r="AB4488" s="1">
        <v>42382</v>
      </c>
      <c r="AC4488" t="s">
        <v>53</v>
      </c>
      <c r="AD4488" t="s">
        <v>53</v>
      </c>
      <c r="AF4488">
        <v>57.35</v>
      </c>
      <c r="AK4488">
        <v>0</v>
      </c>
      <c r="AU4488" s="6">
        <v>42284</v>
      </c>
      <c r="AV4488" s="6">
        <v>42284</v>
      </c>
      <c r="AW4488" t="s">
        <v>54</v>
      </c>
      <c r="AX4488" t="str">
        <f t="shared" si="374"/>
        <v>FOR</v>
      </c>
      <c r="AY4488" t="s">
        <v>55</v>
      </c>
    </row>
    <row r="4489" spans="1:51">
      <c r="A4489">
        <v>101556</v>
      </c>
      <c r="B4489" t="s">
        <v>768</v>
      </c>
      <c r="C4489" t="str">
        <f t="shared" si="373"/>
        <v>01471180628</v>
      </c>
      <c r="D4489" t="str">
        <f t="shared" si="373"/>
        <v>01471180628</v>
      </c>
      <c r="E4489" t="s">
        <v>52</v>
      </c>
      <c r="F4489">
        <v>2015</v>
      </c>
      <c r="G4489" t="s">
        <v>813</v>
      </c>
      <c r="H4489" s="1">
        <v>42262</v>
      </c>
      <c r="I4489" s="1">
        <v>42263</v>
      </c>
      <c r="J4489" s="1">
        <v>42263</v>
      </c>
      <c r="K4489" s="1">
        <v>42323</v>
      </c>
      <c r="L4489" s="7">
        <v>447</v>
      </c>
      <c r="M4489" s="5">
        <v>-39</v>
      </c>
      <c r="N4489" s="7">
        <v>-17433</v>
      </c>
      <c r="O4489">
        <v>447</v>
      </c>
      <c r="P4489">
        <v>-39</v>
      </c>
      <c r="Q4489" s="2">
        <v>-17433</v>
      </c>
      <c r="R4489">
        <v>98.34</v>
      </c>
      <c r="V4489">
        <v>0</v>
      </c>
      <c r="W4489">
        <v>0</v>
      </c>
      <c r="X4489">
        <v>0</v>
      </c>
      <c r="Y4489">
        <v>545.34</v>
      </c>
      <c r="Z4489">
        <v>545.34</v>
      </c>
      <c r="AA4489">
        <v>545.34</v>
      </c>
      <c r="AB4489" s="1">
        <v>42382</v>
      </c>
      <c r="AC4489" t="s">
        <v>53</v>
      </c>
      <c r="AD4489" t="s">
        <v>53</v>
      </c>
      <c r="AF4489">
        <v>98.34</v>
      </c>
      <c r="AK4489">
        <v>0</v>
      </c>
      <c r="AU4489" s="6">
        <v>42284</v>
      </c>
      <c r="AV4489" s="6">
        <v>42284</v>
      </c>
      <c r="AW4489" t="s">
        <v>54</v>
      </c>
      <c r="AX4489" t="str">
        <f t="shared" si="374"/>
        <v>FOR</v>
      </c>
      <c r="AY4489" t="s">
        <v>55</v>
      </c>
    </row>
    <row r="4490" spans="1:51" hidden="1">
      <c r="A4490">
        <v>101562</v>
      </c>
      <c r="B4490" t="s">
        <v>814</v>
      </c>
      <c r="C4490" t="str">
        <f t="shared" ref="C4490:C4500" si="375">"13181610158"</f>
        <v>13181610158</v>
      </c>
      <c r="D4490" t="str">
        <f t="shared" ref="D4490:D4500" si="376">"04709610150"</f>
        <v>04709610150</v>
      </c>
      <c r="E4490" t="s">
        <v>52</v>
      </c>
      <c r="F4490">
        <v>2014</v>
      </c>
      <c r="G4490">
        <v>6196</v>
      </c>
      <c r="H4490" s="1">
        <v>41918</v>
      </c>
      <c r="I4490" s="1">
        <v>41955</v>
      </c>
      <c r="J4490" s="1">
        <v>41955</v>
      </c>
      <c r="K4490" s="1">
        <v>42015</v>
      </c>
      <c r="N4490" s="5"/>
      <c r="O4490" s="2">
        <v>1189.5</v>
      </c>
      <c r="P4490">
        <v>262</v>
      </c>
      <c r="Q4490" s="2">
        <v>311649</v>
      </c>
      <c r="R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 s="1">
        <v>42382</v>
      </c>
      <c r="AC4490" t="s">
        <v>53</v>
      </c>
      <c r="AD4490" t="s">
        <v>53</v>
      </c>
      <c r="AK4490">
        <v>0</v>
      </c>
      <c r="AU4490" s="6">
        <v>42277</v>
      </c>
      <c r="AV4490" s="6">
        <v>42277</v>
      </c>
      <c r="AW4490" t="s">
        <v>54</v>
      </c>
      <c r="AX4490" t="str">
        <f t="shared" si="374"/>
        <v>FOR</v>
      </c>
      <c r="AY4490" t="s">
        <v>55</v>
      </c>
    </row>
    <row r="4491" spans="1:51" hidden="1">
      <c r="A4491">
        <v>101562</v>
      </c>
      <c r="B4491" t="s">
        <v>814</v>
      </c>
      <c r="C4491" t="str">
        <f t="shared" si="375"/>
        <v>13181610158</v>
      </c>
      <c r="D4491" t="str">
        <f t="shared" si="376"/>
        <v>04709610150</v>
      </c>
      <c r="E4491" t="s">
        <v>52</v>
      </c>
      <c r="F4491">
        <v>2014</v>
      </c>
      <c r="G4491">
        <v>7346</v>
      </c>
      <c r="H4491" s="1">
        <v>41960</v>
      </c>
      <c r="I4491" s="1">
        <v>41978</v>
      </c>
      <c r="J4491" s="1">
        <v>41978</v>
      </c>
      <c r="K4491" s="1">
        <v>42038</v>
      </c>
      <c r="N4491" s="5"/>
      <c r="O4491">
        <v>51.83</v>
      </c>
      <c r="P4491">
        <v>239</v>
      </c>
      <c r="Q4491" s="2">
        <v>12387.37</v>
      </c>
      <c r="R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 s="1">
        <v>42382</v>
      </c>
      <c r="AC4491" t="s">
        <v>53</v>
      </c>
      <c r="AD4491" t="s">
        <v>53</v>
      </c>
      <c r="AK4491">
        <v>0</v>
      </c>
      <c r="AU4491" s="6">
        <v>42277</v>
      </c>
      <c r="AV4491" s="6">
        <v>42277</v>
      </c>
      <c r="AW4491" t="s">
        <v>54</v>
      </c>
      <c r="AX4491" t="str">
        <f t="shared" si="374"/>
        <v>FOR</v>
      </c>
      <c r="AY4491" t="s">
        <v>55</v>
      </c>
    </row>
    <row r="4492" spans="1:51">
      <c r="A4492">
        <v>101562</v>
      </c>
      <c r="B4492" t="s">
        <v>814</v>
      </c>
      <c r="C4492" t="str">
        <f t="shared" si="375"/>
        <v>13181610158</v>
      </c>
      <c r="D4492" t="str">
        <f t="shared" si="376"/>
        <v>04709610150</v>
      </c>
      <c r="E4492" t="s">
        <v>52</v>
      </c>
      <c r="F4492">
        <v>2015</v>
      </c>
      <c r="G4492">
        <v>250</v>
      </c>
      <c r="H4492" s="1">
        <v>42034</v>
      </c>
      <c r="I4492" s="1">
        <v>42053</v>
      </c>
      <c r="J4492" s="1">
        <v>42053</v>
      </c>
      <c r="K4492" s="1">
        <v>42113</v>
      </c>
      <c r="L4492" s="7">
        <v>930</v>
      </c>
      <c r="M4492" s="5">
        <v>227</v>
      </c>
      <c r="N4492" s="7">
        <v>211110</v>
      </c>
      <c r="O4492">
        <v>930</v>
      </c>
      <c r="P4492">
        <v>227</v>
      </c>
      <c r="Q4492" s="2">
        <v>211110</v>
      </c>
      <c r="R4492">
        <v>204.6</v>
      </c>
      <c r="V4492">
        <v>0</v>
      </c>
      <c r="W4492">
        <v>0</v>
      </c>
      <c r="X4492">
        <v>0</v>
      </c>
      <c r="Y4492" s="2">
        <v>1134.5999999999999</v>
      </c>
      <c r="Z4492" s="2">
        <v>1134.5999999999999</v>
      </c>
      <c r="AA4492" s="2">
        <v>1134.5999999999999</v>
      </c>
      <c r="AB4492" s="1">
        <v>42382</v>
      </c>
      <c r="AC4492" t="s">
        <v>53</v>
      </c>
      <c r="AD4492" t="s">
        <v>53</v>
      </c>
      <c r="AK4492">
        <v>204.6</v>
      </c>
      <c r="AU4492" s="6">
        <v>42340</v>
      </c>
      <c r="AV4492" s="6">
        <v>42340</v>
      </c>
      <c r="AW4492" t="s">
        <v>54</v>
      </c>
      <c r="AX4492" t="str">
        <f t="shared" si="374"/>
        <v>FOR</v>
      </c>
      <c r="AY4492" t="s">
        <v>55</v>
      </c>
    </row>
    <row r="4493" spans="1:51">
      <c r="A4493">
        <v>101562</v>
      </c>
      <c r="B4493" t="s">
        <v>814</v>
      </c>
      <c r="C4493" t="str">
        <f t="shared" si="375"/>
        <v>13181610158</v>
      </c>
      <c r="D4493" t="str">
        <f t="shared" si="376"/>
        <v>04709610150</v>
      </c>
      <c r="E4493" t="s">
        <v>52</v>
      </c>
      <c r="F4493">
        <v>2015</v>
      </c>
      <c r="G4493" t="s">
        <v>815</v>
      </c>
      <c r="H4493" s="1">
        <v>42107</v>
      </c>
      <c r="I4493" s="1">
        <v>42132</v>
      </c>
      <c r="J4493" s="1">
        <v>42131</v>
      </c>
      <c r="K4493" s="1">
        <v>42191</v>
      </c>
      <c r="L4493" s="7">
        <v>7.2</v>
      </c>
      <c r="M4493" s="5">
        <v>164</v>
      </c>
      <c r="N4493" s="7">
        <v>1180.8</v>
      </c>
      <c r="O4493">
        <v>7.2</v>
      </c>
      <c r="P4493">
        <v>164</v>
      </c>
      <c r="Q4493" s="2">
        <v>1180.8</v>
      </c>
      <c r="R4493">
        <v>1.58</v>
      </c>
      <c r="V4493">
        <v>0</v>
      </c>
      <c r="W4493">
        <v>0</v>
      </c>
      <c r="X4493">
        <v>0</v>
      </c>
      <c r="Y4493">
        <v>8.7799999999999994</v>
      </c>
      <c r="Z4493">
        <v>8.7799999999999994</v>
      </c>
      <c r="AA4493">
        <v>8.7799999999999994</v>
      </c>
      <c r="AB4493" s="1">
        <v>42382</v>
      </c>
      <c r="AC4493" t="s">
        <v>53</v>
      </c>
      <c r="AD4493" t="s">
        <v>53</v>
      </c>
      <c r="AJ4493">
        <v>1.58</v>
      </c>
      <c r="AK4493">
        <v>0</v>
      </c>
      <c r="AU4493" s="6">
        <v>42355</v>
      </c>
      <c r="AV4493" s="6">
        <v>42355</v>
      </c>
      <c r="AW4493" t="s">
        <v>54</v>
      </c>
      <c r="AX4493" t="str">
        <f t="shared" si="374"/>
        <v>FOR</v>
      </c>
      <c r="AY4493" t="s">
        <v>55</v>
      </c>
    </row>
    <row r="4494" spans="1:51">
      <c r="A4494">
        <v>101562</v>
      </c>
      <c r="B4494" t="s">
        <v>814</v>
      </c>
      <c r="C4494" t="str">
        <f t="shared" si="375"/>
        <v>13181610158</v>
      </c>
      <c r="D4494" t="str">
        <f t="shared" si="376"/>
        <v>04709610150</v>
      </c>
      <c r="E4494" t="s">
        <v>52</v>
      </c>
      <c r="F4494">
        <v>2015</v>
      </c>
      <c r="G4494" t="s">
        <v>816</v>
      </c>
      <c r="H4494" s="1">
        <v>42114</v>
      </c>
      <c r="I4494" s="1">
        <v>42128</v>
      </c>
      <c r="J4494" s="1">
        <v>42124</v>
      </c>
      <c r="K4494" s="1">
        <v>42184</v>
      </c>
      <c r="L4494" s="7">
        <v>21.6</v>
      </c>
      <c r="M4494" s="5">
        <v>171</v>
      </c>
      <c r="N4494" s="7">
        <v>3693.6</v>
      </c>
      <c r="O4494">
        <v>21.6</v>
      </c>
      <c r="P4494">
        <v>171</v>
      </c>
      <c r="Q4494" s="2">
        <v>3693.6</v>
      </c>
      <c r="R4494">
        <v>4.75</v>
      </c>
      <c r="V4494">
        <v>0</v>
      </c>
      <c r="W4494">
        <v>0</v>
      </c>
      <c r="X4494">
        <v>0</v>
      </c>
      <c r="Y4494">
        <v>26.35</v>
      </c>
      <c r="Z4494">
        <v>26.35</v>
      </c>
      <c r="AA4494">
        <v>26.35</v>
      </c>
      <c r="AB4494" s="1">
        <v>42382</v>
      </c>
      <c r="AC4494" t="s">
        <v>53</v>
      </c>
      <c r="AD4494" t="s">
        <v>53</v>
      </c>
      <c r="AK4494">
        <v>4.75</v>
      </c>
      <c r="AU4494" s="6">
        <v>42355</v>
      </c>
      <c r="AV4494" s="6">
        <v>42355</v>
      </c>
      <c r="AW4494" t="s">
        <v>54</v>
      </c>
      <c r="AX4494" t="str">
        <f t="shared" si="374"/>
        <v>FOR</v>
      </c>
      <c r="AY4494" t="s">
        <v>55</v>
      </c>
    </row>
    <row r="4495" spans="1:51">
      <c r="A4495">
        <v>101562</v>
      </c>
      <c r="B4495" t="s">
        <v>814</v>
      </c>
      <c r="C4495" t="str">
        <f t="shared" si="375"/>
        <v>13181610158</v>
      </c>
      <c r="D4495" t="str">
        <f t="shared" si="376"/>
        <v>04709610150</v>
      </c>
      <c r="E4495" t="s">
        <v>52</v>
      </c>
      <c r="F4495">
        <v>2015</v>
      </c>
      <c r="G4495" t="s">
        <v>817</v>
      </c>
      <c r="H4495" s="1">
        <v>42135</v>
      </c>
      <c r="I4495" s="1">
        <v>42174</v>
      </c>
      <c r="J4495" s="1">
        <v>42138</v>
      </c>
      <c r="K4495" s="1">
        <v>42198</v>
      </c>
      <c r="L4495" s="7">
        <v>18</v>
      </c>
      <c r="M4495" s="5">
        <v>157</v>
      </c>
      <c r="N4495" s="7">
        <v>2826</v>
      </c>
      <c r="O4495">
        <v>18</v>
      </c>
      <c r="P4495">
        <v>157</v>
      </c>
      <c r="Q4495" s="2">
        <v>2826</v>
      </c>
      <c r="R4495">
        <v>3.96</v>
      </c>
      <c r="V4495">
        <v>0</v>
      </c>
      <c r="W4495">
        <v>0</v>
      </c>
      <c r="X4495">
        <v>0</v>
      </c>
      <c r="Y4495">
        <v>21.96</v>
      </c>
      <c r="Z4495">
        <v>21.96</v>
      </c>
      <c r="AA4495">
        <v>21.96</v>
      </c>
      <c r="AB4495" s="1">
        <v>42382</v>
      </c>
      <c r="AC4495" t="s">
        <v>53</v>
      </c>
      <c r="AD4495" t="s">
        <v>53</v>
      </c>
      <c r="AJ4495">
        <v>3.96</v>
      </c>
      <c r="AK4495">
        <v>0</v>
      </c>
      <c r="AU4495" s="6">
        <v>42355</v>
      </c>
      <c r="AV4495" s="6">
        <v>42355</v>
      </c>
      <c r="AW4495" t="s">
        <v>54</v>
      </c>
      <c r="AX4495" t="str">
        <f t="shared" si="374"/>
        <v>FOR</v>
      </c>
      <c r="AY4495" t="s">
        <v>55</v>
      </c>
    </row>
    <row r="4496" spans="1:51">
      <c r="A4496">
        <v>101562</v>
      </c>
      <c r="B4496" t="s">
        <v>814</v>
      </c>
      <c r="C4496" t="str">
        <f t="shared" si="375"/>
        <v>13181610158</v>
      </c>
      <c r="D4496" t="str">
        <f t="shared" si="376"/>
        <v>04709610150</v>
      </c>
      <c r="E4496" t="s">
        <v>52</v>
      </c>
      <c r="F4496">
        <v>2015</v>
      </c>
      <c r="G4496" t="s">
        <v>818</v>
      </c>
      <c r="H4496" s="1">
        <v>42171</v>
      </c>
      <c r="I4496" s="1">
        <v>42178</v>
      </c>
      <c r="J4496" s="1">
        <v>42178</v>
      </c>
      <c r="K4496" s="1">
        <v>42238</v>
      </c>
      <c r="L4496" s="7">
        <v>36</v>
      </c>
      <c r="M4496" s="5">
        <v>117</v>
      </c>
      <c r="N4496" s="7">
        <v>4212</v>
      </c>
      <c r="O4496">
        <v>36</v>
      </c>
      <c r="P4496">
        <v>117</v>
      </c>
      <c r="Q4496" s="2">
        <v>4212</v>
      </c>
      <c r="R4496">
        <v>7.92</v>
      </c>
      <c r="V4496">
        <v>0</v>
      </c>
      <c r="W4496">
        <v>0</v>
      </c>
      <c r="X4496">
        <v>0</v>
      </c>
      <c r="Y4496">
        <v>43.92</v>
      </c>
      <c r="Z4496">
        <v>43.92</v>
      </c>
      <c r="AA4496">
        <v>43.92</v>
      </c>
      <c r="AB4496" s="1">
        <v>42382</v>
      </c>
      <c r="AC4496" t="s">
        <v>53</v>
      </c>
      <c r="AD4496" t="s">
        <v>53</v>
      </c>
      <c r="AI4496">
        <v>7.92</v>
      </c>
      <c r="AK4496">
        <v>0</v>
      </c>
      <c r="AU4496" s="6">
        <v>42355</v>
      </c>
      <c r="AV4496" s="6">
        <v>42355</v>
      </c>
      <c r="AW4496" t="s">
        <v>54</v>
      </c>
      <c r="AX4496" t="str">
        <f t="shared" si="374"/>
        <v>FOR</v>
      </c>
      <c r="AY4496" t="s">
        <v>55</v>
      </c>
    </row>
    <row r="4497" spans="1:51">
      <c r="A4497">
        <v>101562</v>
      </c>
      <c r="B4497" t="s">
        <v>814</v>
      </c>
      <c r="C4497" t="str">
        <f t="shared" si="375"/>
        <v>13181610158</v>
      </c>
      <c r="D4497" t="str">
        <f t="shared" si="376"/>
        <v>04709610150</v>
      </c>
      <c r="E4497" t="s">
        <v>52</v>
      </c>
      <c r="F4497">
        <v>2015</v>
      </c>
      <c r="G4497" t="s">
        <v>819</v>
      </c>
      <c r="H4497" s="1">
        <v>42173</v>
      </c>
      <c r="I4497" s="1">
        <v>42180</v>
      </c>
      <c r="J4497" s="1">
        <v>42177</v>
      </c>
      <c r="K4497" s="1">
        <v>42237</v>
      </c>
      <c r="L4497" s="7">
        <v>3100</v>
      </c>
      <c r="M4497" s="5">
        <v>118</v>
      </c>
      <c r="N4497" s="7">
        <v>365800</v>
      </c>
      <c r="O4497" s="2">
        <v>3100</v>
      </c>
      <c r="P4497">
        <v>118</v>
      </c>
      <c r="Q4497" s="2">
        <v>365800</v>
      </c>
      <c r="R4497">
        <v>682</v>
      </c>
      <c r="V4497">
        <v>0</v>
      </c>
      <c r="W4497">
        <v>0</v>
      </c>
      <c r="X4497">
        <v>0</v>
      </c>
      <c r="Y4497" s="2">
        <v>3782</v>
      </c>
      <c r="Z4497" s="2">
        <v>3782</v>
      </c>
      <c r="AA4497" s="2">
        <v>3782</v>
      </c>
      <c r="AB4497" s="1">
        <v>42382</v>
      </c>
      <c r="AC4497" t="s">
        <v>53</v>
      </c>
      <c r="AD4497" t="s">
        <v>53</v>
      </c>
      <c r="AI4497">
        <v>682</v>
      </c>
      <c r="AK4497">
        <v>0</v>
      </c>
      <c r="AU4497" s="6">
        <v>42355</v>
      </c>
      <c r="AV4497" s="6">
        <v>42355</v>
      </c>
      <c r="AW4497" t="s">
        <v>54</v>
      </c>
      <c r="AX4497" t="str">
        <f t="shared" si="374"/>
        <v>FOR</v>
      </c>
      <c r="AY4497" t="s">
        <v>55</v>
      </c>
    </row>
    <row r="4498" spans="1:51">
      <c r="A4498">
        <v>101562</v>
      </c>
      <c r="B4498" t="s">
        <v>814</v>
      </c>
      <c r="C4498" t="str">
        <f t="shared" si="375"/>
        <v>13181610158</v>
      </c>
      <c r="D4498" t="str">
        <f t="shared" si="376"/>
        <v>04709610150</v>
      </c>
      <c r="E4498" t="s">
        <v>52</v>
      </c>
      <c r="F4498">
        <v>2015</v>
      </c>
      <c r="G4498" t="s">
        <v>820</v>
      </c>
      <c r="H4498" s="1">
        <v>42194</v>
      </c>
      <c r="I4498" s="1">
        <v>42202</v>
      </c>
      <c r="J4498" s="1">
        <v>42199</v>
      </c>
      <c r="K4498" s="1">
        <v>42259</v>
      </c>
      <c r="L4498" s="7">
        <v>28.8</v>
      </c>
      <c r="M4498" s="5">
        <v>96</v>
      </c>
      <c r="N4498" s="7">
        <v>2764.8</v>
      </c>
      <c r="O4498">
        <v>28.8</v>
      </c>
      <c r="P4498">
        <v>96</v>
      </c>
      <c r="Q4498" s="2">
        <v>2764.8</v>
      </c>
      <c r="R4498">
        <v>6.34</v>
      </c>
      <c r="V4498">
        <v>0</v>
      </c>
      <c r="W4498">
        <v>0</v>
      </c>
      <c r="X4498">
        <v>0</v>
      </c>
      <c r="Y4498">
        <v>35.14</v>
      </c>
      <c r="Z4498">
        <v>35.14</v>
      </c>
      <c r="AA4498">
        <v>35.14</v>
      </c>
      <c r="AB4498" s="1">
        <v>42382</v>
      </c>
      <c r="AC4498" t="s">
        <v>53</v>
      </c>
      <c r="AD4498" t="s">
        <v>53</v>
      </c>
      <c r="AH4498">
        <v>6.34</v>
      </c>
      <c r="AK4498">
        <v>0</v>
      </c>
      <c r="AU4498" s="6">
        <v>42355</v>
      </c>
      <c r="AV4498" s="6">
        <v>42355</v>
      </c>
      <c r="AW4498" t="s">
        <v>54</v>
      </c>
      <c r="AX4498" t="str">
        <f t="shared" si="374"/>
        <v>FOR</v>
      </c>
      <c r="AY4498" t="s">
        <v>55</v>
      </c>
    </row>
    <row r="4499" spans="1:51">
      <c r="A4499">
        <v>101562</v>
      </c>
      <c r="B4499" t="s">
        <v>814</v>
      </c>
      <c r="C4499" t="str">
        <f t="shared" si="375"/>
        <v>13181610158</v>
      </c>
      <c r="D4499" t="str">
        <f t="shared" si="376"/>
        <v>04709610150</v>
      </c>
      <c r="E4499" t="s">
        <v>52</v>
      </c>
      <c r="F4499">
        <v>2015</v>
      </c>
      <c r="G4499" t="s">
        <v>821</v>
      </c>
      <c r="H4499" s="1">
        <v>42293</v>
      </c>
      <c r="I4499" s="1">
        <v>42318</v>
      </c>
      <c r="J4499" s="1">
        <v>42314</v>
      </c>
      <c r="K4499" s="1">
        <v>42374</v>
      </c>
      <c r="L4499" s="7">
        <v>21.6</v>
      </c>
      <c r="M4499" s="5">
        <v>-19</v>
      </c>
      <c r="N4499" s="7">
        <v>-410.4</v>
      </c>
      <c r="O4499">
        <v>21.6</v>
      </c>
      <c r="P4499">
        <v>-19</v>
      </c>
      <c r="Q4499">
        <v>-410.4</v>
      </c>
      <c r="R4499">
        <v>4.75</v>
      </c>
      <c r="V4499">
        <v>26.35</v>
      </c>
      <c r="W4499">
        <v>26.35</v>
      </c>
      <c r="X4499">
        <v>26.35</v>
      </c>
      <c r="Y4499">
        <v>26.35</v>
      </c>
      <c r="Z4499">
        <v>26.35</v>
      </c>
      <c r="AA4499">
        <v>26.35</v>
      </c>
      <c r="AB4499" s="1">
        <v>42382</v>
      </c>
      <c r="AC4499" t="s">
        <v>53</v>
      </c>
      <c r="AD4499" t="s">
        <v>53</v>
      </c>
      <c r="AK4499">
        <v>0</v>
      </c>
      <c r="AM4499">
        <v>4.75</v>
      </c>
      <c r="AU4499" s="6">
        <v>42355</v>
      </c>
      <c r="AV4499" s="6">
        <v>42355</v>
      </c>
      <c r="AW4499" t="s">
        <v>54</v>
      </c>
      <c r="AX4499" t="str">
        <f t="shared" si="374"/>
        <v>FOR</v>
      </c>
      <c r="AY4499" t="s">
        <v>55</v>
      </c>
    </row>
    <row r="4500" spans="1:51">
      <c r="A4500">
        <v>101562</v>
      </c>
      <c r="B4500" t="s">
        <v>814</v>
      </c>
      <c r="C4500" t="str">
        <f t="shared" si="375"/>
        <v>13181610158</v>
      </c>
      <c r="D4500" t="str">
        <f t="shared" si="376"/>
        <v>04709610150</v>
      </c>
      <c r="E4500" t="s">
        <v>52</v>
      </c>
      <c r="F4500">
        <v>2015</v>
      </c>
      <c r="G4500" t="s">
        <v>822</v>
      </c>
      <c r="H4500" s="1">
        <v>42331</v>
      </c>
      <c r="I4500" s="1">
        <v>42338</v>
      </c>
      <c r="J4500" s="1">
        <v>42334</v>
      </c>
      <c r="K4500" s="1">
        <v>42394</v>
      </c>
      <c r="L4500" s="7">
        <v>21.6</v>
      </c>
      <c r="M4500" s="5">
        <v>-39</v>
      </c>
      <c r="N4500" s="7">
        <v>-842.4</v>
      </c>
      <c r="O4500">
        <v>21.6</v>
      </c>
      <c r="P4500">
        <v>-39</v>
      </c>
      <c r="Q4500">
        <v>-842.4</v>
      </c>
      <c r="R4500">
        <v>4.75</v>
      </c>
      <c r="V4500">
        <v>26.35</v>
      </c>
      <c r="W4500">
        <v>26.35</v>
      </c>
      <c r="X4500">
        <v>26.35</v>
      </c>
      <c r="Y4500">
        <v>26.35</v>
      </c>
      <c r="Z4500">
        <v>26.35</v>
      </c>
      <c r="AA4500">
        <v>26.35</v>
      </c>
      <c r="AB4500" s="1">
        <v>42382</v>
      </c>
      <c r="AC4500" t="s">
        <v>53</v>
      </c>
      <c r="AD4500" t="s">
        <v>53</v>
      </c>
      <c r="AK4500">
        <v>0</v>
      </c>
      <c r="AM4500">
        <v>4.75</v>
      </c>
      <c r="AU4500" s="6">
        <v>42355</v>
      </c>
      <c r="AV4500" s="6">
        <v>42355</v>
      </c>
      <c r="AW4500" t="s">
        <v>54</v>
      </c>
      <c r="AX4500" t="str">
        <f t="shared" si="374"/>
        <v>FOR</v>
      </c>
      <c r="AY4500" t="s">
        <v>55</v>
      </c>
    </row>
    <row r="4501" spans="1:51" hidden="1">
      <c r="A4501">
        <v>101573</v>
      </c>
      <c r="B4501" t="s">
        <v>823</v>
      </c>
      <c r="C4501" t="str">
        <f t="shared" ref="C4501:D4517" si="377">"00176010346"</f>
        <v>00176010346</v>
      </c>
      <c r="D4501" t="str">
        <f t="shared" si="377"/>
        <v>00176010346</v>
      </c>
      <c r="E4501" t="s">
        <v>52</v>
      </c>
      <c r="F4501">
        <v>2013</v>
      </c>
      <c r="G4501">
        <v>17405</v>
      </c>
      <c r="H4501" s="1">
        <v>41471</v>
      </c>
      <c r="I4501" s="1">
        <v>41481</v>
      </c>
      <c r="J4501" s="1">
        <v>41481</v>
      </c>
      <c r="K4501" s="1">
        <v>41571</v>
      </c>
      <c r="N4501" s="5"/>
      <c r="O4501" s="2">
        <v>11102</v>
      </c>
      <c r="P4501">
        <v>466</v>
      </c>
      <c r="Q4501" s="2">
        <v>5173532</v>
      </c>
      <c r="R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 s="1">
        <v>42382</v>
      </c>
      <c r="AC4501" t="s">
        <v>53</v>
      </c>
      <c r="AD4501" t="s">
        <v>53</v>
      </c>
      <c r="AK4501">
        <v>0</v>
      </c>
      <c r="AU4501" s="6">
        <v>42037</v>
      </c>
      <c r="AV4501" s="6">
        <v>42037</v>
      </c>
      <c r="AW4501" t="s">
        <v>54</v>
      </c>
      <c r="AX4501" t="str">
        <f t="shared" si="374"/>
        <v>FOR</v>
      </c>
      <c r="AY4501" t="s">
        <v>55</v>
      </c>
    </row>
    <row r="4502" spans="1:51" hidden="1">
      <c r="A4502">
        <v>101573</v>
      </c>
      <c r="B4502" t="s">
        <v>823</v>
      </c>
      <c r="C4502" t="str">
        <f t="shared" si="377"/>
        <v>00176010346</v>
      </c>
      <c r="D4502" t="str">
        <f t="shared" si="377"/>
        <v>00176010346</v>
      </c>
      <c r="E4502" t="s">
        <v>52</v>
      </c>
      <c r="F4502">
        <v>2013</v>
      </c>
      <c r="G4502">
        <v>19396</v>
      </c>
      <c r="H4502" s="1">
        <v>41495</v>
      </c>
      <c r="I4502" s="1">
        <v>41515</v>
      </c>
      <c r="J4502" s="1">
        <v>41515</v>
      </c>
      <c r="K4502" s="1">
        <v>41605</v>
      </c>
      <c r="N4502" s="5"/>
      <c r="O4502" s="2">
        <v>9022</v>
      </c>
      <c r="P4502">
        <v>432</v>
      </c>
      <c r="Q4502" s="2">
        <v>3897504</v>
      </c>
      <c r="R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 s="1">
        <v>42382</v>
      </c>
      <c r="AC4502" t="s">
        <v>53</v>
      </c>
      <c r="AD4502" t="s">
        <v>53</v>
      </c>
      <c r="AK4502">
        <v>0</v>
      </c>
      <c r="AU4502" s="6">
        <v>42037</v>
      </c>
      <c r="AV4502" s="6">
        <v>42037</v>
      </c>
      <c r="AW4502" t="s">
        <v>54</v>
      </c>
      <c r="AX4502" t="str">
        <f t="shared" si="374"/>
        <v>FOR</v>
      </c>
      <c r="AY4502" t="s">
        <v>55</v>
      </c>
    </row>
    <row r="4503" spans="1:51" hidden="1">
      <c r="A4503">
        <v>101573</v>
      </c>
      <c r="B4503" t="s">
        <v>823</v>
      </c>
      <c r="C4503" t="str">
        <f t="shared" si="377"/>
        <v>00176010346</v>
      </c>
      <c r="D4503" t="str">
        <f t="shared" si="377"/>
        <v>00176010346</v>
      </c>
      <c r="E4503" t="s">
        <v>52</v>
      </c>
      <c r="F4503">
        <v>2013</v>
      </c>
      <c r="G4503">
        <v>22524</v>
      </c>
      <c r="H4503" s="1">
        <v>41547</v>
      </c>
      <c r="I4503" s="1">
        <v>41555</v>
      </c>
      <c r="J4503" s="1">
        <v>41555</v>
      </c>
      <c r="K4503" s="1">
        <v>41645</v>
      </c>
      <c r="N4503" s="5"/>
      <c r="O4503" s="2">
        <v>9022</v>
      </c>
      <c r="P4503">
        <v>392</v>
      </c>
      <c r="Q4503" s="2">
        <v>3536624</v>
      </c>
      <c r="R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 s="1">
        <v>42382</v>
      </c>
      <c r="AC4503" t="s">
        <v>53</v>
      </c>
      <c r="AD4503" t="s">
        <v>53</v>
      </c>
      <c r="AK4503">
        <v>0</v>
      </c>
      <c r="AU4503" s="6">
        <v>42037</v>
      </c>
      <c r="AV4503" s="6">
        <v>42037</v>
      </c>
      <c r="AW4503" t="s">
        <v>54</v>
      </c>
      <c r="AX4503" t="str">
        <f t="shared" si="374"/>
        <v>FOR</v>
      </c>
      <c r="AY4503" t="s">
        <v>55</v>
      </c>
    </row>
    <row r="4504" spans="1:51" hidden="1">
      <c r="A4504">
        <v>101573</v>
      </c>
      <c r="B4504" t="s">
        <v>823</v>
      </c>
      <c r="C4504" t="str">
        <f t="shared" si="377"/>
        <v>00176010346</v>
      </c>
      <c r="D4504" t="str">
        <f t="shared" si="377"/>
        <v>00176010346</v>
      </c>
      <c r="E4504" t="s">
        <v>52</v>
      </c>
      <c r="F4504">
        <v>2013</v>
      </c>
      <c r="G4504">
        <v>28306</v>
      </c>
      <c r="H4504" s="1">
        <v>41626</v>
      </c>
      <c r="I4504" s="1">
        <v>41638</v>
      </c>
      <c r="J4504" s="1">
        <v>41638</v>
      </c>
      <c r="K4504" s="1">
        <v>41728</v>
      </c>
      <c r="N4504" s="5"/>
      <c r="O4504" s="2">
        <v>10322</v>
      </c>
      <c r="P4504">
        <v>309</v>
      </c>
      <c r="Q4504" s="2">
        <v>3189498</v>
      </c>
      <c r="R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 s="1">
        <v>42382</v>
      </c>
      <c r="AC4504" t="s">
        <v>53</v>
      </c>
      <c r="AD4504" t="s">
        <v>53</v>
      </c>
      <c r="AK4504">
        <v>0</v>
      </c>
      <c r="AU4504" s="6">
        <v>42037</v>
      </c>
      <c r="AV4504" s="6">
        <v>42037</v>
      </c>
      <c r="AW4504" t="s">
        <v>54</v>
      </c>
      <c r="AX4504" t="str">
        <f t="shared" si="374"/>
        <v>FOR</v>
      </c>
      <c r="AY4504" t="s">
        <v>55</v>
      </c>
    </row>
    <row r="4505" spans="1:51" hidden="1">
      <c r="A4505">
        <v>101573</v>
      </c>
      <c r="B4505" t="s">
        <v>823</v>
      </c>
      <c r="C4505" t="str">
        <f t="shared" si="377"/>
        <v>00176010346</v>
      </c>
      <c r="D4505" t="str">
        <f t="shared" si="377"/>
        <v>00176010346</v>
      </c>
      <c r="E4505" t="s">
        <v>52</v>
      </c>
      <c r="F4505">
        <v>2013</v>
      </c>
      <c r="G4505">
        <v>91233</v>
      </c>
      <c r="H4505" s="1">
        <v>41618</v>
      </c>
      <c r="I4505" s="1">
        <v>41638</v>
      </c>
      <c r="J4505" s="1">
        <v>41638</v>
      </c>
      <c r="K4505" s="1">
        <v>41728</v>
      </c>
      <c r="N4505" s="5"/>
      <c r="O4505" s="2">
        <v>7765.3</v>
      </c>
      <c r="P4505">
        <v>309</v>
      </c>
      <c r="Q4505" s="2">
        <v>2399477.7000000002</v>
      </c>
      <c r="R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 s="1">
        <v>42382</v>
      </c>
      <c r="AC4505" t="s">
        <v>53</v>
      </c>
      <c r="AD4505" t="s">
        <v>53</v>
      </c>
      <c r="AK4505">
        <v>0</v>
      </c>
      <c r="AU4505" s="6">
        <v>42037</v>
      </c>
      <c r="AV4505" s="6">
        <v>42037</v>
      </c>
      <c r="AW4505" t="s">
        <v>54</v>
      </c>
      <c r="AX4505" t="str">
        <f t="shared" si="374"/>
        <v>FOR</v>
      </c>
      <c r="AY4505" t="s">
        <v>55</v>
      </c>
    </row>
    <row r="4506" spans="1:51" hidden="1">
      <c r="A4506">
        <v>101573</v>
      </c>
      <c r="B4506" t="s">
        <v>823</v>
      </c>
      <c r="C4506" t="str">
        <f t="shared" si="377"/>
        <v>00176010346</v>
      </c>
      <c r="D4506" t="str">
        <f t="shared" si="377"/>
        <v>00176010346</v>
      </c>
      <c r="E4506" t="s">
        <v>52</v>
      </c>
      <c r="F4506">
        <v>2014</v>
      </c>
      <c r="G4506">
        <v>1576</v>
      </c>
      <c r="H4506" s="1">
        <v>41667</v>
      </c>
      <c r="I4506" s="1">
        <v>41680</v>
      </c>
      <c r="J4506" s="1">
        <v>41680</v>
      </c>
      <c r="K4506" s="1">
        <v>41770</v>
      </c>
      <c r="N4506" s="5"/>
      <c r="O4506" s="2">
        <v>10322</v>
      </c>
      <c r="P4506">
        <v>267</v>
      </c>
      <c r="Q4506" s="2">
        <v>2755974</v>
      </c>
      <c r="R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 s="1">
        <v>42382</v>
      </c>
      <c r="AC4506" t="s">
        <v>53</v>
      </c>
      <c r="AD4506" t="s">
        <v>53</v>
      </c>
      <c r="AK4506">
        <v>0</v>
      </c>
      <c r="AU4506" s="6">
        <v>42037</v>
      </c>
      <c r="AV4506" s="6">
        <v>42037</v>
      </c>
      <c r="AW4506" t="s">
        <v>54</v>
      </c>
      <c r="AX4506" t="str">
        <f t="shared" si="374"/>
        <v>FOR</v>
      </c>
      <c r="AY4506" t="s">
        <v>55</v>
      </c>
    </row>
    <row r="4507" spans="1:51" hidden="1">
      <c r="A4507">
        <v>101573</v>
      </c>
      <c r="B4507" t="s">
        <v>823</v>
      </c>
      <c r="C4507" t="str">
        <f t="shared" si="377"/>
        <v>00176010346</v>
      </c>
      <c r="D4507" t="str">
        <f t="shared" si="377"/>
        <v>00176010346</v>
      </c>
      <c r="E4507" t="s">
        <v>52</v>
      </c>
      <c r="F4507">
        <v>2014</v>
      </c>
      <c r="G4507">
        <v>4555</v>
      </c>
      <c r="H4507" s="1">
        <v>41702</v>
      </c>
      <c r="I4507" s="1">
        <v>41712</v>
      </c>
      <c r="J4507" s="1">
        <v>41712</v>
      </c>
      <c r="K4507" s="1">
        <v>41802</v>
      </c>
      <c r="N4507" s="5"/>
      <c r="O4507" s="2">
        <v>2418</v>
      </c>
      <c r="P4507">
        <v>270</v>
      </c>
      <c r="Q4507" s="2">
        <v>652860</v>
      </c>
      <c r="R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 s="1">
        <v>42382</v>
      </c>
      <c r="AC4507" t="s">
        <v>53</v>
      </c>
      <c r="AD4507" t="s">
        <v>53</v>
      </c>
      <c r="AK4507">
        <v>0</v>
      </c>
      <c r="AU4507" s="6">
        <v>42072</v>
      </c>
      <c r="AV4507" s="6">
        <v>42072</v>
      </c>
      <c r="AW4507" t="s">
        <v>54</v>
      </c>
      <c r="AX4507" t="str">
        <f t="shared" si="374"/>
        <v>FOR</v>
      </c>
      <c r="AY4507" t="s">
        <v>55</v>
      </c>
    </row>
    <row r="4508" spans="1:51" hidden="1">
      <c r="A4508">
        <v>101573</v>
      </c>
      <c r="B4508" t="s">
        <v>823</v>
      </c>
      <c r="C4508" t="str">
        <f t="shared" si="377"/>
        <v>00176010346</v>
      </c>
      <c r="D4508" t="str">
        <f t="shared" si="377"/>
        <v>00176010346</v>
      </c>
      <c r="E4508" t="s">
        <v>52</v>
      </c>
      <c r="F4508">
        <v>2014</v>
      </c>
      <c r="G4508">
        <v>6756</v>
      </c>
      <c r="H4508" s="1">
        <v>41733</v>
      </c>
      <c r="I4508" s="1">
        <v>41743</v>
      </c>
      <c r="J4508" s="1">
        <v>41743</v>
      </c>
      <c r="K4508" s="1">
        <v>41833</v>
      </c>
      <c r="N4508" s="5"/>
      <c r="O4508" s="2">
        <v>13390</v>
      </c>
      <c r="P4508">
        <v>299</v>
      </c>
      <c r="Q4508" s="2">
        <v>4003610</v>
      </c>
      <c r="R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 s="1">
        <v>42382</v>
      </c>
      <c r="AC4508" t="s">
        <v>53</v>
      </c>
      <c r="AD4508" t="s">
        <v>53</v>
      </c>
      <c r="AK4508">
        <v>0</v>
      </c>
      <c r="AU4508" s="6">
        <v>42132</v>
      </c>
      <c r="AV4508" s="6">
        <v>42132</v>
      </c>
      <c r="AW4508" t="s">
        <v>54</v>
      </c>
      <c r="AX4508" t="str">
        <f t="shared" si="374"/>
        <v>FOR</v>
      </c>
      <c r="AY4508" t="s">
        <v>55</v>
      </c>
    </row>
    <row r="4509" spans="1:51" hidden="1">
      <c r="A4509">
        <v>101573</v>
      </c>
      <c r="B4509" t="s">
        <v>823</v>
      </c>
      <c r="C4509" t="str">
        <f t="shared" si="377"/>
        <v>00176010346</v>
      </c>
      <c r="D4509" t="str">
        <f t="shared" si="377"/>
        <v>00176010346</v>
      </c>
      <c r="E4509" t="s">
        <v>52</v>
      </c>
      <c r="F4509">
        <v>2014</v>
      </c>
      <c r="G4509">
        <v>8683</v>
      </c>
      <c r="H4509" s="1">
        <v>41759</v>
      </c>
      <c r="I4509" s="1">
        <v>41773</v>
      </c>
      <c r="J4509" s="1">
        <v>41773</v>
      </c>
      <c r="K4509" s="1">
        <v>41863</v>
      </c>
      <c r="N4509" s="5"/>
      <c r="O4509" s="2">
        <v>8606</v>
      </c>
      <c r="P4509">
        <v>269</v>
      </c>
      <c r="Q4509" s="2">
        <v>2315014</v>
      </c>
      <c r="R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 s="1">
        <v>42382</v>
      </c>
      <c r="AC4509" t="s">
        <v>53</v>
      </c>
      <c r="AD4509" t="s">
        <v>53</v>
      </c>
      <c r="AK4509">
        <v>0</v>
      </c>
      <c r="AU4509" s="6">
        <v>42132</v>
      </c>
      <c r="AV4509" s="6">
        <v>42132</v>
      </c>
      <c r="AW4509" t="s">
        <v>54</v>
      </c>
      <c r="AX4509" t="str">
        <f t="shared" si="374"/>
        <v>FOR</v>
      </c>
      <c r="AY4509" t="s">
        <v>55</v>
      </c>
    </row>
    <row r="4510" spans="1:51" hidden="1">
      <c r="A4510">
        <v>101573</v>
      </c>
      <c r="B4510" t="s">
        <v>823</v>
      </c>
      <c r="C4510" t="str">
        <f t="shared" si="377"/>
        <v>00176010346</v>
      </c>
      <c r="D4510" t="str">
        <f t="shared" si="377"/>
        <v>00176010346</v>
      </c>
      <c r="E4510" t="s">
        <v>52</v>
      </c>
      <c r="F4510">
        <v>2014</v>
      </c>
      <c r="G4510">
        <v>16251</v>
      </c>
      <c r="H4510" s="1">
        <v>41859</v>
      </c>
      <c r="I4510" s="1">
        <v>41878</v>
      </c>
      <c r="J4510" s="1">
        <v>41878</v>
      </c>
      <c r="K4510" s="1">
        <v>41968</v>
      </c>
      <c r="N4510" s="5"/>
      <c r="O4510" s="2">
        <v>4706</v>
      </c>
      <c r="P4510">
        <v>223</v>
      </c>
      <c r="Q4510" s="2">
        <v>1049438</v>
      </c>
      <c r="R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 s="1">
        <v>42382</v>
      </c>
      <c r="AC4510" t="s">
        <v>53</v>
      </c>
      <c r="AD4510" t="s">
        <v>53</v>
      </c>
      <c r="AK4510">
        <v>0</v>
      </c>
      <c r="AU4510" s="6">
        <v>42191</v>
      </c>
      <c r="AV4510" s="6">
        <v>42191</v>
      </c>
      <c r="AW4510" t="s">
        <v>54</v>
      </c>
      <c r="AX4510" t="str">
        <f t="shared" si="374"/>
        <v>FOR</v>
      </c>
      <c r="AY4510" t="s">
        <v>55</v>
      </c>
    </row>
    <row r="4511" spans="1:51">
      <c r="A4511">
        <v>101573</v>
      </c>
      <c r="B4511" t="s">
        <v>823</v>
      </c>
      <c r="C4511" t="str">
        <f t="shared" si="377"/>
        <v>00176010346</v>
      </c>
      <c r="D4511" t="str">
        <f t="shared" si="377"/>
        <v>00176010346</v>
      </c>
      <c r="E4511" t="s">
        <v>52</v>
      </c>
      <c r="F4511">
        <v>2014</v>
      </c>
      <c r="G4511">
        <v>21010</v>
      </c>
      <c r="H4511" s="1">
        <v>41929</v>
      </c>
      <c r="I4511" s="1">
        <v>41950</v>
      </c>
      <c r="J4511" s="1">
        <v>41950</v>
      </c>
      <c r="K4511" s="1">
        <v>42010</v>
      </c>
      <c r="L4511" s="7">
        <v>9906</v>
      </c>
      <c r="M4511" s="5">
        <v>273</v>
      </c>
      <c r="N4511" s="7">
        <v>2704338</v>
      </c>
      <c r="O4511" s="2">
        <v>9906</v>
      </c>
      <c r="P4511">
        <v>273</v>
      </c>
      <c r="Q4511" s="2">
        <v>2704338</v>
      </c>
      <c r="R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 s="1">
        <v>42382</v>
      </c>
      <c r="AC4511" t="s">
        <v>53</v>
      </c>
      <c r="AD4511" t="s">
        <v>53</v>
      </c>
      <c r="AK4511">
        <v>0</v>
      </c>
      <c r="AU4511" s="6">
        <v>42283</v>
      </c>
      <c r="AV4511" s="6">
        <v>42283</v>
      </c>
      <c r="AW4511" t="s">
        <v>54</v>
      </c>
      <c r="AX4511" t="str">
        <f t="shared" si="374"/>
        <v>FOR</v>
      </c>
      <c r="AY4511" t="s">
        <v>55</v>
      </c>
    </row>
    <row r="4512" spans="1:51">
      <c r="A4512">
        <v>101573</v>
      </c>
      <c r="B4512" t="s">
        <v>823</v>
      </c>
      <c r="C4512" t="str">
        <f t="shared" si="377"/>
        <v>00176010346</v>
      </c>
      <c r="D4512" t="str">
        <f t="shared" si="377"/>
        <v>00176010346</v>
      </c>
      <c r="E4512" t="s">
        <v>52</v>
      </c>
      <c r="F4512">
        <v>2014</v>
      </c>
      <c r="G4512">
        <v>25396</v>
      </c>
      <c r="H4512" s="1">
        <v>41985</v>
      </c>
      <c r="I4512" s="1">
        <v>42004</v>
      </c>
      <c r="J4512" s="1">
        <v>42004</v>
      </c>
      <c r="K4512" s="1">
        <v>42064</v>
      </c>
      <c r="L4512" s="7">
        <v>4056</v>
      </c>
      <c r="M4512" s="5">
        <v>277</v>
      </c>
      <c r="N4512" s="7">
        <v>1123512</v>
      </c>
      <c r="O4512" s="2">
        <v>4056</v>
      </c>
      <c r="P4512">
        <v>277</v>
      </c>
      <c r="Q4512" s="2">
        <v>1123512</v>
      </c>
      <c r="R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 s="1">
        <v>42382</v>
      </c>
      <c r="AC4512" t="s">
        <v>53</v>
      </c>
      <c r="AD4512" t="s">
        <v>53</v>
      </c>
      <c r="AK4512">
        <v>0</v>
      </c>
      <c r="AU4512" s="6">
        <v>42341</v>
      </c>
      <c r="AV4512" s="6">
        <v>42341</v>
      </c>
      <c r="AW4512" t="s">
        <v>54</v>
      </c>
      <c r="AX4512" t="str">
        <f t="shared" si="374"/>
        <v>FOR</v>
      </c>
      <c r="AY4512" t="s">
        <v>55</v>
      </c>
    </row>
    <row r="4513" spans="1:51" hidden="1">
      <c r="A4513">
        <v>101573</v>
      </c>
      <c r="B4513" t="s">
        <v>823</v>
      </c>
      <c r="C4513" t="str">
        <f t="shared" si="377"/>
        <v>00176010346</v>
      </c>
      <c r="D4513" t="str">
        <f t="shared" si="377"/>
        <v>00176010346</v>
      </c>
      <c r="E4513" t="s">
        <v>52</v>
      </c>
      <c r="F4513">
        <v>2014</v>
      </c>
      <c r="G4513">
        <v>90181</v>
      </c>
      <c r="H4513" s="1">
        <v>41719</v>
      </c>
      <c r="I4513" s="1">
        <v>41736</v>
      </c>
      <c r="J4513" s="1">
        <v>41736</v>
      </c>
      <c r="K4513" s="1">
        <v>41826</v>
      </c>
      <c r="N4513" s="5"/>
      <c r="O4513" s="2">
        <v>7765.3</v>
      </c>
      <c r="P4513">
        <v>213</v>
      </c>
      <c r="Q4513" s="2">
        <v>1654008.9</v>
      </c>
      <c r="R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 s="1">
        <v>42382</v>
      </c>
      <c r="AC4513" t="s">
        <v>53</v>
      </c>
      <c r="AD4513" t="s">
        <v>53</v>
      </c>
      <c r="AK4513">
        <v>0</v>
      </c>
      <c r="AU4513" s="6">
        <v>42039</v>
      </c>
      <c r="AV4513" s="6">
        <v>42039</v>
      </c>
      <c r="AW4513" t="s">
        <v>54</v>
      </c>
      <c r="AX4513" t="str">
        <f t="shared" si="374"/>
        <v>FOR</v>
      </c>
      <c r="AY4513" t="s">
        <v>55</v>
      </c>
    </row>
    <row r="4514" spans="1:51" hidden="1">
      <c r="A4514">
        <v>101573</v>
      </c>
      <c r="B4514" t="s">
        <v>823</v>
      </c>
      <c r="C4514" t="str">
        <f t="shared" si="377"/>
        <v>00176010346</v>
      </c>
      <c r="D4514" t="str">
        <f t="shared" si="377"/>
        <v>00176010346</v>
      </c>
      <c r="E4514" t="s">
        <v>52</v>
      </c>
      <c r="F4514">
        <v>2014</v>
      </c>
      <c r="G4514">
        <v>90471</v>
      </c>
      <c r="H4514" s="1">
        <v>41806</v>
      </c>
      <c r="I4514" s="1">
        <v>41814</v>
      </c>
      <c r="J4514" s="1">
        <v>41814</v>
      </c>
      <c r="K4514" s="1">
        <v>41904</v>
      </c>
      <c r="N4514" s="5"/>
      <c r="O4514" s="2">
        <v>7765.3</v>
      </c>
      <c r="P4514">
        <v>228</v>
      </c>
      <c r="Q4514" s="2">
        <v>1770488.4</v>
      </c>
      <c r="R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 s="1">
        <v>42382</v>
      </c>
      <c r="AC4514" t="s">
        <v>53</v>
      </c>
      <c r="AD4514" t="s">
        <v>53</v>
      </c>
      <c r="AK4514">
        <v>0</v>
      </c>
      <c r="AU4514" s="6">
        <v>42132</v>
      </c>
      <c r="AV4514" s="6">
        <v>42132</v>
      </c>
      <c r="AW4514" t="s">
        <v>54</v>
      </c>
      <c r="AX4514" t="str">
        <f t="shared" si="374"/>
        <v>FOR</v>
      </c>
      <c r="AY4514" t="s">
        <v>55</v>
      </c>
    </row>
    <row r="4515" spans="1:51" hidden="1">
      <c r="A4515">
        <v>101573</v>
      </c>
      <c r="B4515" t="s">
        <v>823</v>
      </c>
      <c r="C4515" t="str">
        <f t="shared" si="377"/>
        <v>00176010346</v>
      </c>
      <c r="D4515" t="str">
        <f t="shared" si="377"/>
        <v>00176010346</v>
      </c>
      <c r="E4515" t="s">
        <v>52</v>
      </c>
      <c r="F4515">
        <v>2014</v>
      </c>
      <c r="G4515">
        <v>90844</v>
      </c>
      <c r="H4515" s="1">
        <v>41898</v>
      </c>
      <c r="I4515" s="1">
        <v>41908</v>
      </c>
      <c r="J4515" s="1">
        <v>41908</v>
      </c>
      <c r="K4515" s="1">
        <v>41998</v>
      </c>
      <c r="N4515" s="5"/>
      <c r="O4515" s="2">
        <v>7765.3</v>
      </c>
      <c r="P4515">
        <v>251</v>
      </c>
      <c r="Q4515" s="2">
        <v>1949090.3</v>
      </c>
      <c r="R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 s="1">
        <v>42382</v>
      </c>
      <c r="AC4515" t="s">
        <v>53</v>
      </c>
      <c r="AD4515" t="s">
        <v>53</v>
      </c>
      <c r="AK4515">
        <v>0</v>
      </c>
      <c r="AU4515" s="6">
        <v>42249</v>
      </c>
      <c r="AV4515" s="6">
        <v>42249</v>
      </c>
      <c r="AW4515" t="s">
        <v>54</v>
      </c>
      <c r="AX4515" t="str">
        <f t="shared" si="374"/>
        <v>FOR</v>
      </c>
      <c r="AY4515" t="s">
        <v>55</v>
      </c>
    </row>
    <row r="4516" spans="1:51">
      <c r="A4516">
        <v>101573</v>
      </c>
      <c r="B4516" t="s">
        <v>823</v>
      </c>
      <c r="C4516" t="str">
        <f t="shared" si="377"/>
        <v>00176010346</v>
      </c>
      <c r="D4516" t="str">
        <f t="shared" si="377"/>
        <v>00176010346</v>
      </c>
      <c r="E4516" t="s">
        <v>52</v>
      </c>
      <c r="F4516">
        <v>2014</v>
      </c>
      <c r="G4516">
        <v>91188</v>
      </c>
      <c r="H4516" s="1">
        <v>41985</v>
      </c>
      <c r="I4516" s="1">
        <v>42002</v>
      </c>
      <c r="J4516" s="1">
        <v>42002</v>
      </c>
      <c r="K4516" s="1">
        <v>42062</v>
      </c>
      <c r="L4516" s="7">
        <v>7765.3</v>
      </c>
      <c r="M4516" s="5">
        <v>238</v>
      </c>
      <c r="N4516" s="7">
        <v>1848141.4</v>
      </c>
      <c r="O4516" s="2">
        <v>7765.3</v>
      </c>
      <c r="P4516">
        <v>238</v>
      </c>
      <c r="Q4516" s="2">
        <v>1848141.4</v>
      </c>
      <c r="R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 s="1">
        <v>42382</v>
      </c>
      <c r="AC4516" t="s">
        <v>53</v>
      </c>
      <c r="AD4516" t="s">
        <v>53</v>
      </c>
      <c r="AK4516">
        <v>0</v>
      </c>
      <c r="AU4516" s="6">
        <v>42300</v>
      </c>
      <c r="AV4516" s="6">
        <v>42300</v>
      </c>
      <c r="AW4516" t="s">
        <v>54</v>
      </c>
      <c r="AX4516" t="str">
        <f t="shared" si="374"/>
        <v>FOR</v>
      </c>
      <c r="AY4516" t="s">
        <v>55</v>
      </c>
    </row>
    <row r="4517" spans="1:51">
      <c r="A4517">
        <v>101573</v>
      </c>
      <c r="B4517" t="s">
        <v>823</v>
      </c>
      <c r="C4517" t="str">
        <f t="shared" si="377"/>
        <v>00176010346</v>
      </c>
      <c r="D4517" t="str">
        <f t="shared" si="377"/>
        <v>00176010346</v>
      </c>
      <c r="E4517" t="s">
        <v>52</v>
      </c>
      <c r="F4517">
        <v>2015</v>
      </c>
      <c r="G4517">
        <v>2306</v>
      </c>
      <c r="H4517" s="1">
        <v>42034</v>
      </c>
      <c r="I4517" s="1">
        <v>42067</v>
      </c>
      <c r="J4517" s="1">
        <v>42067</v>
      </c>
      <c r="K4517" s="1">
        <v>42127</v>
      </c>
      <c r="L4517" s="7">
        <v>2805</v>
      </c>
      <c r="M4517" s="5">
        <v>228</v>
      </c>
      <c r="N4517" s="7">
        <v>639540</v>
      </c>
      <c r="O4517" s="2">
        <v>2805</v>
      </c>
      <c r="P4517">
        <v>228</v>
      </c>
      <c r="Q4517" s="2">
        <v>639540</v>
      </c>
      <c r="R4517">
        <v>112.2</v>
      </c>
      <c r="V4517">
        <v>0</v>
      </c>
      <c r="W4517">
        <v>0</v>
      </c>
      <c r="X4517">
        <v>0</v>
      </c>
      <c r="Y4517" s="2">
        <v>2917.2</v>
      </c>
      <c r="Z4517" s="2">
        <v>2917.2</v>
      </c>
      <c r="AA4517" s="2">
        <v>2917.2</v>
      </c>
      <c r="AB4517" s="1">
        <v>42382</v>
      </c>
      <c r="AC4517" t="s">
        <v>53</v>
      </c>
      <c r="AD4517" t="s">
        <v>53</v>
      </c>
      <c r="AK4517">
        <v>112.2</v>
      </c>
      <c r="AU4517" s="6">
        <v>42355</v>
      </c>
      <c r="AV4517" s="6">
        <v>42355</v>
      </c>
      <c r="AW4517" t="s">
        <v>54</v>
      </c>
      <c r="AX4517" t="str">
        <f t="shared" si="374"/>
        <v>FOR</v>
      </c>
      <c r="AY4517" t="s">
        <v>55</v>
      </c>
    </row>
    <row r="4518" spans="1:51">
      <c r="A4518">
        <v>101574</v>
      </c>
      <c r="B4518" t="s">
        <v>824</v>
      </c>
      <c r="C4518" t="str">
        <f>"02404790392"</f>
        <v>02404790392</v>
      </c>
      <c r="D4518" t="str">
        <f>"02404790392"</f>
        <v>02404790392</v>
      </c>
      <c r="E4518" t="s">
        <v>52</v>
      </c>
      <c r="F4518">
        <v>2015</v>
      </c>
      <c r="G4518" t="s">
        <v>825</v>
      </c>
      <c r="H4518" s="1">
        <v>42063</v>
      </c>
      <c r="I4518" s="1">
        <v>42088</v>
      </c>
      <c r="J4518" s="1">
        <v>42088</v>
      </c>
      <c r="K4518" s="1">
        <v>42148</v>
      </c>
      <c r="L4518" s="7">
        <v>784</v>
      </c>
      <c r="M4518" s="5">
        <v>192</v>
      </c>
      <c r="N4518" s="7">
        <v>150528</v>
      </c>
      <c r="O4518">
        <v>784</v>
      </c>
      <c r="P4518">
        <v>192</v>
      </c>
      <c r="Q4518" s="2">
        <v>150528</v>
      </c>
      <c r="R4518">
        <v>172.48</v>
      </c>
      <c r="V4518">
        <v>0</v>
      </c>
      <c r="W4518">
        <v>0</v>
      </c>
      <c r="X4518">
        <v>0</v>
      </c>
      <c r="Y4518">
        <v>956.48</v>
      </c>
      <c r="Z4518">
        <v>956.48</v>
      </c>
      <c r="AA4518">
        <v>956.48</v>
      </c>
      <c r="AB4518" s="1">
        <v>42382</v>
      </c>
      <c r="AC4518" t="s">
        <v>53</v>
      </c>
      <c r="AD4518" t="s">
        <v>53</v>
      </c>
      <c r="AK4518">
        <v>172.48</v>
      </c>
      <c r="AU4518" s="6">
        <v>42340</v>
      </c>
      <c r="AV4518" s="6">
        <v>42340</v>
      </c>
      <c r="AW4518" t="s">
        <v>54</v>
      </c>
      <c r="AX4518" t="str">
        <f t="shared" si="374"/>
        <v>FOR</v>
      </c>
      <c r="AY4518" t="s">
        <v>55</v>
      </c>
    </row>
    <row r="4519" spans="1:51" hidden="1">
      <c r="A4519">
        <v>101580</v>
      </c>
      <c r="B4519" t="s">
        <v>826</v>
      </c>
      <c r="C4519" t="str">
        <f>"01424890620"</f>
        <v>01424890620</v>
      </c>
      <c r="D4519" t="str">
        <f>"01424890620"</f>
        <v>01424890620</v>
      </c>
      <c r="E4519" t="s">
        <v>52</v>
      </c>
      <c r="F4519">
        <v>2014</v>
      </c>
      <c r="G4519">
        <v>6</v>
      </c>
      <c r="H4519" s="1">
        <v>41663</v>
      </c>
      <c r="I4519" s="1">
        <v>41666</v>
      </c>
      <c r="J4519" s="1">
        <v>41666</v>
      </c>
      <c r="K4519" s="1">
        <v>41756</v>
      </c>
      <c r="N4519" s="5"/>
      <c r="O4519" s="2">
        <v>28094.83</v>
      </c>
      <c r="P4519">
        <v>407</v>
      </c>
      <c r="Q4519" s="2">
        <v>11434595.810000001</v>
      </c>
      <c r="R4519" s="2">
        <v>1478.67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 s="1">
        <v>42382</v>
      </c>
      <c r="AC4519" t="s">
        <v>53</v>
      </c>
      <c r="AD4519" t="s">
        <v>53</v>
      </c>
      <c r="AK4519" s="2">
        <v>1478.67</v>
      </c>
      <c r="AU4519" s="6">
        <v>42163</v>
      </c>
      <c r="AV4519" s="6">
        <v>42163</v>
      </c>
      <c r="AW4519" t="s">
        <v>54</v>
      </c>
      <c r="AX4519" t="str">
        <f t="shared" si="374"/>
        <v>FOR</v>
      </c>
      <c r="AY4519" t="s">
        <v>55</v>
      </c>
    </row>
    <row r="4520" spans="1:51" hidden="1">
      <c r="A4520">
        <v>101580</v>
      </c>
      <c r="B4520" t="s">
        <v>826</v>
      </c>
      <c r="C4520" t="str">
        <f>"01424890620"</f>
        <v>01424890620</v>
      </c>
      <c r="D4520" t="str">
        <f>"01424890620"</f>
        <v>01424890620</v>
      </c>
      <c r="E4520" t="s">
        <v>52</v>
      </c>
      <c r="F4520">
        <v>2014</v>
      </c>
      <c r="G4520">
        <v>22</v>
      </c>
      <c r="H4520" s="1">
        <v>41802</v>
      </c>
      <c r="I4520" s="1">
        <v>41806</v>
      </c>
      <c r="J4520" s="1">
        <v>41806</v>
      </c>
      <c r="K4520" s="1">
        <v>41896</v>
      </c>
      <c r="N4520" s="5"/>
      <c r="O4520" s="2">
        <v>508029.3</v>
      </c>
      <c r="P4520">
        <v>267</v>
      </c>
      <c r="Q4520" s="2">
        <v>135643823.09999999</v>
      </c>
      <c r="R4520" s="2">
        <v>37264.699999999997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 s="1">
        <v>42382</v>
      </c>
      <c r="AC4520" t="s">
        <v>53</v>
      </c>
      <c r="AD4520" t="s">
        <v>53</v>
      </c>
      <c r="AK4520" s="2">
        <v>37264.699999999997</v>
      </c>
      <c r="AU4520" s="6">
        <v>41919</v>
      </c>
      <c r="AV4520" s="6">
        <v>42163</v>
      </c>
      <c r="AW4520" t="s">
        <v>54</v>
      </c>
      <c r="AX4520" t="str">
        <f t="shared" si="374"/>
        <v>FOR</v>
      </c>
      <c r="AY4520" t="s">
        <v>55</v>
      </c>
    </row>
    <row r="4521" spans="1:51" hidden="1">
      <c r="A4521">
        <v>101582</v>
      </c>
      <c r="B4521" t="s">
        <v>827</v>
      </c>
      <c r="C4521" t="str">
        <f>"01180690628"</f>
        <v>01180690628</v>
      </c>
      <c r="D4521" t="str">
        <f>"01180690628"</f>
        <v>01180690628</v>
      </c>
      <c r="E4521" t="s">
        <v>52</v>
      </c>
      <c r="F4521">
        <v>2014</v>
      </c>
      <c r="G4521" t="s">
        <v>789</v>
      </c>
      <c r="H4521" s="1">
        <v>41919</v>
      </c>
      <c r="I4521" s="1">
        <v>41925</v>
      </c>
      <c r="J4521" s="1">
        <v>41925</v>
      </c>
      <c r="K4521" s="1">
        <v>42015</v>
      </c>
      <c r="N4521" s="5"/>
      <c r="O4521">
        <v>17.989999999999998</v>
      </c>
      <c r="P4521">
        <v>25</v>
      </c>
      <c r="Q4521">
        <v>449.75</v>
      </c>
      <c r="R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 s="1">
        <v>42382</v>
      </c>
      <c r="AC4521" t="s">
        <v>53</v>
      </c>
      <c r="AD4521" t="s">
        <v>53</v>
      </c>
      <c r="AK4521">
        <v>0</v>
      </c>
      <c r="AU4521" s="6">
        <v>42040</v>
      </c>
      <c r="AV4521" s="6">
        <v>42040</v>
      </c>
      <c r="AW4521" t="s">
        <v>54</v>
      </c>
      <c r="AX4521" t="str">
        <f t="shared" si="374"/>
        <v>FOR</v>
      </c>
      <c r="AY4521" t="s">
        <v>55</v>
      </c>
    </row>
    <row r="4522" spans="1:51" hidden="1">
      <c r="A4522">
        <v>101586</v>
      </c>
      <c r="B4522" t="s">
        <v>828</v>
      </c>
      <c r="C4522" t="str">
        <f t="shared" ref="C4522:D4551" si="378">"05102540019"</f>
        <v>05102540019</v>
      </c>
      <c r="D4522" t="str">
        <f t="shared" si="378"/>
        <v>05102540019</v>
      </c>
      <c r="E4522" t="s">
        <v>52</v>
      </c>
      <c r="F4522">
        <v>2013</v>
      </c>
      <c r="G4522">
        <v>30103297</v>
      </c>
      <c r="H4522" s="1">
        <v>41530</v>
      </c>
      <c r="I4522" s="1">
        <v>41541</v>
      </c>
      <c r="J4522" s="1">
        <v>41541</v>
      </c>
      <c r="K4522" s="1">
        <v>41631</v>
      </c>
      <c r="N4522" s="5"/>
      <c r="O4522" s="2">
        <v>4053.5</v>
      </c>
      <c r="P4522">
        <v>387</v>
      </c>
      <c r="Q4522" s="2">
        <v>1568704.5</v>
      </c>
      <c r="R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 s="1">
        <v>42382</v>
      </c>
      <c r="AC4522" t="s">
        <v>53</v>
      </c>
      <c r="AD4522" t="s">
        <v>53</v>
      </c>
      <c r="AK4522">
        <v>0</v>
      </c>
      <c r="AU4522" s="6">
        <v>42018</v>
      </c>
      <c r="AV4522" s="6">
        <v>42018</v>
      </c>
      <c r="AW4522" t="s">
        <v>54</v>
      </c>
      <c r="AX4522" t="str">
        <f t="shared" si="374"/>
        <v>FOR</v>
      </c>
      <c r="AY4522" t="s">
        <v>55</v>
      </c>
    </row>
    <row r="4523" spans="1:51" hidden="1">
      <c r="A4523">
        <v>101586</v>
      </c>
      <c r="B4523" t="s">
        <v>828</v>
      </c>
      <c r="C4523" t="str">
        <f t="shared" si="378"/>
        <v>05102540019</v>
      </c>
      <c r="D4523" t="str">
        <f t="shared" si="378"/>
        <v>05102540019</v>
      </c>
      <c r="E4523" t="s">
        <v>52</v>
      </c>
      <c r="F4523">
        <v>2013</v>
      </c>
      <c r="G4523">
        <v>30103408</v>
      </c>
      <c r="H4523" s="1">
        <v>41541</v>
      </c>
      <c r="I4523" s="1">
        <v>41561</v>
      </c>
      <c r="J4523" s="1">
        <v>41561</v>
      </c>
      <c r="K4523" s="1">
        <v>41651</v>
      </c>
      <c r="N4523" s="5"/>
      <c r="O4523" s="2">
        <v>3333.55</v>
      </c>
      <c r="P4523">
        <v>367</v>
      </c>
      <c r="Q4523" s="2">
        <v>1223412.8500000001</v>
      </c>
      <c r="R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 s="1">
        <v>42382</v>
      </c>
      <c r="AC4523" t="s">
        <v>53</v>
      </c>
      <c r="AD4523" t="s">
        <v>53</v>
      </c>
      <c r="AK4523">
        <v>0</v>
      </c>
      <c r="AU4523" s="6">
        <v>42018</v>
      </c>
      <c r="AV4523" s="6">
        <v>42018</v>
      </c>
      <c r="AW4523" t="s">
        <v>54</v>
      </c>
      <c r="AX4523" t="str">
        <f t="shared" si="374"/>
        <v>FOR</v>
      </c>
      <c r="AY4523" t="s">
        <v>55</v>
      </c>
    </row>
    <row r="4524" spans="1:51" hidden="1">
      <c r="A4524">
        <v>101586</v>
      </c>
      <c r="B4524" t="s">
        <v>828</v>
      </c>
      <c r="C4524" t="str">
        <f t="shared" si="378"/>
        <v>05102540019</v>
      </c>
      <c r="D4524" t="str">
        <f t="shared" si="378"/>
        <v>05102540019</v>
      </c>
      <c r="E4524" t="s">
        <v>52</v>
      </c>
      <c r="F4524">
        <v>2013</v>
      </c>
      <c r="G4524">
        <v>30104268</v>
      </c>
      <c r="H4524" s="1">
        <v>41603</v>
      </c>
      <c r="I4524" s="1">
        <v>41625</v>
      </c>
      <c r="J4524" s="1">
        <v>41625</v>
      </c>
      <c r="K4524" s="1">
        <v>41715</v>
      </c>
      <c r="N4524" s="5"/>
      <c r="O4524">
        <v>988.2</v>
      </c>
      <c r="P4524">
        <v>303</v>
      </c>
      <c r="Q4524" s="2">
        <v>299424.59999999998</v>
      </c>
      <c r="R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 s="1">
        <v>42382</v>
      </c>
      <c r="AC4524" t="s">
        <v>53</v>
      </c>
      <c r="AD4524" t="s">
        <v>53</v>
      </c>
      <c r="AK4524">
        <v>0</v>
      </c>
      <c r="AU4524" s="6">
        <v>42018</v>
      </c>
      <c r="AV4524" s="6">
        <v>42018</v>
      </c>
      <c r="AW4524" t="s">
        <v>54</v>
      </c>
      <c r="AX4524" t="str">
        <f t="shared" si="374"/>
        <v>FOR</v>
      </c>
      <c r="AY4524" t="s">
        <v>55</v>
      </c>
    </row>
    <row r="4525" spans="1:51" hidden="1">
      <c r="A4525">
        <v>101586</v>
      </c>
      <c r="B4525" t="s">
        <v>828</v>
      </c>
      <c r="C4525" t="str">
        <f t="shared" si="378"/>
        <v>05102540019</v>
      </c>
      <c r="D4525" t="str">
        <f t="shared" si="378"/>
        <v>05102540019</v>
      </c>
      <c r="E4525" t="s">
        <v>52</v>
      </c>
      <c r="F4525">
        <v>2013</v>
      </c>
      <c r="G4525">
        <v>30104398</v>
      </c>
      <c r="H4525" s="1">
        <v>41607</v>
      </c>
      <c r="I4525" s="1">
        <v>41669</v>
      </c>
      <c r="J4525" s="1">
        <v>41669</v>
      </c>
      <c r="K4525" s="1">
        <v>41759</v>
      </c>
      <c r="N4525" s="5"/>
      <c r="O4525" s="2">
        <v>1366.4</v>
      </c>
      <c r="P4525">
        <v>259</v>
      </c>
      <c r="Q4525" s="2">
        <v>353897.6</v>
      </c>
      <c r="R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 s="1">
        <v>42382</v>
      </c>
      <c r="AC4525" t="s">
        <v>53</v>
      </c>
      <c r="AD4525" t="s">
        <v>53</v>
      </c>
      <c r="AK4525">
        <v>0</v>
      </c>
      <c r="AU4525" s="6">
        <v>42018</v>
      </c>
      <c r="AV4525" s="6">
        <v>42018</v>
      </c>
      <c r="AW4525" t="s">
        <v>54</v>
      </c>
      <c r="AX4525" t="str">
        <f t="shared" si="374"/>
        <v>FOR</v>
      </c>
      <c r="AY4525" t="s">
        <v>55</v>
      </c>
    </row>
    <row r="4526" spans="1:51" hidden="1">
      <c r="A4526">
        <v>101586</v>
      </c>
      <c r="B4526" t="s">
        <v>828</v>
      </c>
      <c r="C4526" t="str">
        <f t="shared" si="378"/>
        <v>05102540019</v>
      </c>
      <c r="D4526" t="str">
        <f t="shared" si="378"/>
        <v>05102540019</v>
      </c>
      <c r="E4526" t="s">
        <v>52</v>
      </c>
      <c r="F4526">
        <v>2014</v>
      </c>
      <c r="G4526">
        <v>170</v>
      </c>
      <c r="H4526" s="1">
        <v>41663</v>
      </c>
      <c r="I4526" s="1">
        <v>41677</v>
      </c>
      <c r="J4526" s="1">
        <v>41677</v>
      </c>
      <c r="K4526" s="1">
        <v>41767</v>
      </c>
      <c r="N4526" s="5"/>
      <c r="O4526" s="2">
        <v>1451.8</v>
      </c>
      <c r="P4526">
        <v>257</v>
      </c>
      <c r="Q4526" s="2">
        <v>373112.6</v>
      </c>
      <c r="R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 s="1">
        <v>42382</v>
      </c>
      <c r="AC4526" t="s">
        <v>53</v>
      </c>
      <c r="AD4526" t="s">
        <v>53</v>
      </c>
      <c r="AK4526">
        <v>0</v>
      </c>
      <c r="AU4526" s="6">
        <v>42024</v>
      </c>
      <c r="AV4526" s="6">
        <v>42024</v>
      </c>
      <c r="AW4526" t="s">
        <v>54</v>
      </c>
      <c r="AX4526" t="str">
        <f t="shared" si="374"/>
        <v>FOR</v>
      </c>
      <c r="AY4526" t="s">
        <v>55</v>
      </c>
    </row>
    <row r="4527" spans="1:51" hidden="1">
      <c r="A4527">
        <v>101586</v>
      </c>
      <c r="B4527" t="s">
        <v>828</v>
      </c>
      <c r="C4527" t="str">
        <f t="shared" si="378"/>
        <v>05102540019</v>
      </c>
      <c r="D4527" t="str">
        <f t="shared" si="378"/>
        <v>05102540019</v>
      </c>
      <c r="E4527" t="s">
        <v>52</v>
      </c>
      <c r="F4527">
        <v>2014</v>
      </c>
      <c r="G4527">
        <v>258</v>
      </c>
      <c r="H4527" s="1">
        <v>41667</v>
      </c>
      <c r="I4527" s="1">
        <v>41684</v>
      </c>
      <c r="J4527" s="1">
        <v>41684</v>
      </c>
      <c r="K4527" s="1">
        <v>41774</v>
      </c>
      <c r="N4527" s="5"/>
      <c r="O4527">
        <v>475.8</v>
      </c>
      <c r="P4527">
        <v>250</v>
      </c>
      <c r="Q4527" s="2">
        <v>118950</v>
      </c>
      <c r="R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 s="1">
        <v>42382</v>
      </c>
      <c r="AC4527" t="s">
        <v>53</v>
      </c>
      <c r="AD4527" t="s">
        <v>53</v>
      </c>
      <c r="AK4527">
        <v>0</v>
      </c>
      <c r="AU4527" s="6">
        <v>42024</v>
      </c>
      <c r="AV4527" s="6">
        <v>42024</v>
      </c>
      <c r="AW4527" t="s">
        <v>54</v>
      </c>
      <c r="AX4527" t="str">
        <f t="shared" si="374"/>
        <v>FOR</v>
      </c>
      <c r="AY4527" t="s">
        <v>55</v>
      </c>
    </row>
    <row r="4528" spans="1:51" hidden="1">
      <c r="A4528">
        <v>101586</v>
      </c>
      <c r="B4528" t="s">
        <v>828</v>
      </c>
      <c r="C4528" t="str">
        <f t="shared" si="378"/>
        <v>05102540019</v>
      </c>
      <c r="D4528" t="str">
        <f t="shared" si="378"/>
        <v>05102540019</v>
      </c>
      <c r="E4528" t="s">
        <v>52</v>
      </c>
      <c r="F4528">
        <v>2014</v>
      </c>
      <c r="G4528">
        <v>300</v>
      </c>
      <c r="H4528" s="1">
        <v>41669</v>
      </c>
      <c r="I4528" s="1">
        <v>41695</v>
      </c>
      <c r="J4528" s="1">
        <v>41695</v>
      </c>
      <c r="K4528" s="1">
        <v>41785</v>
      </c>
      <c r="N4528" s="5"/>
      <c r="O4528" s="2">
        <v>4111.3999999999996</v>
      </c>
      <c r="P4528">
        <v>239</v>
      </c>
      <c r="Q4528" s="2">
        <v>982624.6</v>
      </c>
      <c r="R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 s="1">
        <v>42382</v>
      </c>
      <c r="AC4528" t="s">
        <v>53</v>
      </c>
      <c r="AD4528" t="s">
        <v>53</v>
      </c>
      <c r="AK4528">
        <v>0</v>
      </c>
      <c r="AU4528" s="6">
        <v>42024</v>
      </c>
      <c r="AV4528" s="6">
        <v>42024</v>
      </c>
      <c r="AW4528" t="s">
        <v>54</v>
      </c>
      <c r="AX4528" t="str">
        <f t="shared" si="374"/>
        <v>FOR</v>
      </c>
      <c r="AY4528" t="s">
        <v>55</v>
      </c>
    </row>
    <row r="4529" spans="1:51" hidden="1">
      <c r="A4529">
        <v>101586</v>
      </c>
      <c r="B4529" t="s">
        <v>828</v>
      </c>
      <c r="C4529" t="str">
        <f t="shared" si="378"/>
        <v>05102540019</v>
      </c>
      <c r="D4529" t="str">
        <f t="shared" si="378"/>
        <v>05102540019</v>
      </c>
      <c r="E4529" t="s">
        <v>52</v>
      </c>
      <c r="F4529">
        <v>2014</v>
      </c>
      <c r="G4529">
        <v>381</v>
      </c>
      <c r="H4529" s="1">
        <v>41675</v>
      </c>
      <c r="I4529" s="1">
        <v>41695</v>
      </c>
      <c r="J4529" s="1">
        <v>41695</v>
      </c>
      <c r="K4529" s="1">
        <v>41785</v>
      </c>
      <c r="N4529" s="5"/>
      <c r="O4529">
        <v>237.9</v>
      </c>
      <c r="P4529">
        <v>252</v>
      </c>
      <c r="Q4529" s="2">
        <v>59950.8</v>
      </c>
      <c r="R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 s="1">
        <v>42382</v>
      </c>
      <c r="AC4529" t="s">
        <v>53</v>
      </c>
      <c r="AD4529" t="s">
        <v>53</v>
      </c>
      <c r="AK4529">
        <v>0</v>
      </c>
      <c r="AU4529" s="6">
        <v>42037</v>
      </c>
      <c r="AV4529" s="6">
        <v>42037</v>
      </c>
      <c r="AW4529" t="s">
        <v>54</v>
      </c>
      <c r="AX4529" t="str">
        <f t="shared" si="374"/>
        <v>FOR</v>
      </c>
      <c r="AY4529" t="s">
        <v>55</v>
      </c>
    </row>
    <row r="4530" spans="1:51" hidden="1">
      <c r="A4530">
        <v>101586</v>
      </c>
      <c r="B4530" t="s">
        <v>828</v>
      </c>
      <c r="C4530" t="str">
        <f t="shared" si="378"/>
        <v>05102540019</v>
      </c>
      <c r="D4530" t="str">
        <f t="shared" si="378"/>
        <v>05102540019</v>
      </c>
      <c r="E4530" t="s">
        <v>52</v>
      </c>
      <c r="F4530">
        <v>2014</v>
      </c>
      <c r="G4530">
        <v>981</v>
      </c>
      <c r="H4530" s="1">
        <v>41718</v>
      </c>
      <c r="I4530" s="1">
        <v>41725</v>
      </c>
      <c r="J4530" s="1">
        <v>41725</v>
      </c>
      <c r="K4530" s="1">
        <v>41815</v>
      </c>
      <c r="N4530" s="5"/>
      <c r="O4530" s="2">
        <v>2141.1</v>
      </c>
      <c r="P4530">
        <v>435</v>
      </c>
      <c r="Q4530" s="2">
        <v>931378.5</v>
      </c>
      <c r="R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 s="1">
        <v>42382</v>
      </c>
      <c r="AC4530" t="s">
        <v>53</v>
      </c>
      <c r="AD4530" t="s">
        <v>53</v>
      </c>
      <c r="AK4530">
        <v>0</v>
      </c>
      <c r="AU4530" s="6">
        <v>42250</v>
      </c>
      <c r="AV4530" s="6">
        <v>42250</v>
      </c>
      <c r="AW4530" t="s">
        <v>54</v>
      </c>
      <c r="AX4530" t="str">
        <f t="shared" si="374"/>
        <v>FOR</v>
      </c>
      <c r="AY4530" t="s">
        <v>55</v>
      </c>
    </row>
    <row r="4531" spans="1:51" hidden="1">
      <c r="A4531">
        <v>101586</v>
      </c>
      <c r="B4531" t="s">
        <v>828</v>
      </c>
      <c r="C4531" t="str">
        <f t="shared" si="378"/>
        <v>05102540019</v>
      </c>
      <c r="D4531" t="str">
        <f t="shared" si="378"/>
        <v>05102540019</v>
      </c>
      <c r="E4531" t="s">
        <v>52</v>
      </c>
      <c r="F4531">
        <v>2014</v>
      </c>
      <c r="G4531">
        <v>1196</v>
      </c>
      <c r="H4531" s="1">
        <v>41733</v>
      </c>
      <c r="I4531" s="1">
        <v>41743</v>
      </c>
      <c r="J4531" s="1">
        <v>41743</v>
      </c>
      <c r="K4531" s="1">
        <v>41833</v>
      </c>
      <c r="N4531" s="5"/>
      <c r="O4531" s="2">
        <v>1415.2</v>
      </c>
      <c r="P4531">
        <v>417</v>
      </c>
      <c r="Q4531" s="2">
        <v>590138.4</v>
      </c>
      <c r="R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 s="1">
        <v>42382</v>
      </c>
      <c r="AC4531" t="s">
        <v>53</v>
      </c>
      <c r="AD4531" t="s">
        <v>53</v>
      </c>
      <c r="AK4531">
        <v>0</v>
      </c>
      <c r="AU4531" s="6">
        <v>42250</v>
      </c>
      <c r="AV4531" s="6">
        <v>42250</v>
      </c>
      <c r="AW4531" t="s">
        <v>54</v>
      </c>
      <c r="AX4531" t="str">
        <f t="shared" si="374"/>
        <v>FOR</v>
      </c>
      <c r="AY4531" t="s">
        <v>55</v>
      </c>
    </row>
    <row r="4532" spans="1:51" hidden="1">
      <c r="A4532">
        <v>101586</v>
      </c>
      <c r="B4532" t="s">
        <v>828</v>
      </c>
      <c r="C4532" t="str">
        <f t="shared" si="378"/>
        <v>05102540019</v>
      </c>
      <c r="D4532" t="str">
        <f t="shared" si="378"/>
        <v>05102540019</v>
      </c>
      <c r="E4532" t="s">
        <v>52</v>
      </c>
      <c r="F4532">
        <v>2014</v>
      </c>
      <c r="G4532">
        <v>1240</v>
      </c>
      <c r="H4532" s="1">
        <v>41738</v>
      </c>
      <c r="I4532" s="1">
        <v>41757</v>
      </c>
      <c r="J4532" s="1">
        <v>41757</v>
      </c>
      <c r="K4532" s="1">
        <v>41847</v>
      </c>
      <c r="N4532" s="5"/>
      <c r="O4532" s="2">
        <v>1262.7</v>
      </c>
      <c r="P4532">
        <v>403</v>
      </c>
      <c r="Q4532" s="2">
        <v>508868.1</v>
      </c>
      <c r="R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 s="1">
        <v>42382</v>
      </c>
      <c r="AC4532" t="s">
        <v>53</v>
      </c>
      <c r="AD4532" t="s">
        <v>53</v>
      </c>
      <c r="AK4532">
        <v>0</v>
      </c>
      <c r="AU4532" s="6">
        <v>42250</v>
      </c>
      <c r="AV4532" s="6">
        <v>42250</v>
      </c>
      <c r="AW4532" t="s">
        <v>54</v>
      </c>
      <c r="AX4532" t="str">
        <f t="shared" si="374"/>
        <v>FOR</v>
      </c>
      <c r="AY4532" t="s">
        <v>55</v>
      </c>
    </row>
    <row r="4533" spans="1:51" hidden="1">
      <c r="A4533">
        <v>101586</v>
      </c>
      <c r="B4533" t="s">
        <v>828</v>
      </c>
      <c r="C4533" t="str">
        <f t="shared" si="378"/>
        <v>05102540019</v>
      </c>
      <c r="D4533" t="str">
        <f t="shared" si="378"/>
        <v>05102540019</v>
      </c>
      <c r="E4533" t="s">
        <v>52</v>
      </c>
      <c r="F4533">
        <v>2014</v>
      </c>
      <c r="G4533">
        <v>1314</v>
      </c>
      <c r="H4533" s="1">
        <v>41744</v>
      </c>
      <c r="I4533" s="1">
        <v>41757</v>
      </c>
      <c r="J4533" s="1">
        <v>41757</v>
      </c>
      <c r="K4533" s="1">
        <v>41847</v>
      </c>
      <c r="N4533" s="5"/>
      <c r="O4533" s="2">
        <v>1189.5</v>
      </c>
      <c r="P4533">
        <v>403</v>
      </c>
      <c r="Q4533" s="2">
        <v>479368.5</v>
      </c>
      <c r="R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 s="1">
        <v>42382</v>
      </c>
      <c r="AC4533" t="s">
        <v>53</v>
      </c>
      <c r="AD4533" t="s">
        <v>53</v>
      </c>
      <c r="AK4533">
        <v>0</v>
      </c>
      <c r="AU4533" s="6">
        <v>42250</v>
      </c>
      <c r="AV4533" s="6">
        <v>42250</v>
      </c>
      <c r="AW4533" t="s">
        <v>54</v>
      </c>
      <c r="AX4533" t="str">
        <f t="shared" si="374"/>
        <v>FOR</v>
      </c>
      <c r="AY4533" t="s">
        <v>55</v>
      </c>
    </row>
    <row r="4534" spans="1:51" hidden="1">
      <c r="A4534">
        <v>101586</v>
      </c>
      <c r="B4534" t="s">
        <v>828</v>
      </c>
      <c r="C4534" t="str">
        <f t="shared" si="378"/>
        <v>05102540019</v>
      </c>
      <c r="D4534" t="str">
        <f t="shared" si="378"/>
        <v>05102540019</v>
      </c>
      <c r="E4534" t="s">
        <v>52</v>
      </c>
      <c r="F4534">
        <v>2014</v>
      </c>
      <c r="G4534">
        <v>1466</v>
      </c>
      <c r="H4534" s="1">
        <v>41759</v>
      </c>
      <c r="I4534" s="1">
        <v>41782</v>
      </c>
      <c r="J4534" s="1">
        <v>41782</v>
      </c>
      <c r="K4534" s="1">
        <v>41872</v>
      </c>
      <c r="N4534" s="5"/>
      <c r="O4534">
        <v>927.2</v>
      </c>
      <c r="P4534">
        <v>378</v>
      </c>
      <c r="Q4534" s="2">
        <v>350481.6</v>
      </c>
      <c r="R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 s="1">
        <v>42382</v>
      </c>
      <c r="AC4534" t="s">
        <v>53</v>
      </c>
      <c r="AD4534" t="s">
        <v>53</v>
      </c>
      <c r="AK4534">
        <v>0</v>
      </c>
      <c r="AU4534" s="6">
        <v>42250</v>
      </c>
      <c r="AV4534" s="6">
        <v>42250</v>
      </c>
      <c r="AW4534" t="s">
        <v>54</v>
      </c>
      <c r="AX4534" t="str">
        <f t="shared" si="374"/>
        <v>FOR</v>
      </c>
      <c r="AY4534" t="s">
        <v>55</v>
      </c>
    </row>
    <row r="4535" spans="1:51" hidden="1">
      <c r="A4535">
        <v>101586</v>
      </c>
      <c r="B4535" t="s">
        <v>828</v>
      </c>
      <c r="C4535" t="str">
        <f t="shared" si="378"/>
        <v>05102540019</v>
      </c>
      <c r="D4535" t="str">
        <f t="shared" si="378"/>
        <v>05102540019</v>
      </c>
      <c r="E4535" t="s">
        <v>52</v>
      </c>
      <c r="F4535">
        <v>2014</v>
      </c>
      <c r="G4535">
        <v>1575</v>
      </c>
      <c r="H4535" s="1">
        <v>41766</v>
      </c>
      <c r="I4535" s="1">
        <v>41782</v>
      </c>
      <c r="J4535" s="1">
        <v>41782</v>
      </c>
      <c r="K4535" s="1">
        <v>41872</v>
      </c>
      <c r="N4535" s="5"/>
      <c r="O4535" s="2">
        <v>2013</v>
      </c>
      <c r="P4535">
        <v>378</v>
      </c>
      <c r="Q4535" s="2">
        <v>760914</v>
      </c>
      <c r="R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 s="1">
        <v>42382</v>
      </c>
      <c r="AC4535" t="s">
        <v>53</v>
      </c>
      <c r="AD4535" t="s">
        <v>53</v>
      </c>
      <c r="AK4535">
        <v>0</v>
      </c>
      <c r="AU4535" s="6">
        <v>42250</v>
      </c>
      <c r="AV4535" s="6">
        <v>42250</v>
      </c>
      <c r="AW4535" t="s">
        <v>54</v>
      </c>
      <c r="AX4535" t="str">
        <f t="shared" si="374"/>
        <v>FOR</v>
      </c>
      <c r="AY4535" t="s">
        <v>55</v>
      </c>
    </row>
    <row r="4536" spans="1:51" hidden="1">
      <c r="A4536">
        <v>101586</v>
      </c>
      <c r="B4536" t="s">
        <v>828</v>
      </c>
      <c r="C4536" t="str">
        <f t="shared" si="378"/>
        <v>05102540019</v>
      </c>
      <c r="D4536" t="str">
        <f t="shared" si="378"/>
        <v>05102540019</v>
      </c>
      <c r="E4536" t="s">
        <v>52</v>
      </c>
      <c r="F4536">
        <v>2014</v>
      </c>
      <c r="G4536">
        <v>1803</v>
      </c>
      <c r="H4536" s="1">
        <v>41786</v>
      </c>
      <c r="I4536" s="1">
        <v>41800</v>
      </c>
      <c r="J4536" s="1">
        <v>41800</v>
      </c>
      <c r="K4536" s="1">
        <v>41890</v>
      </c>
      <c r="N4536" s="5"/>
      <c r="O4536">
        <v>463.6</v>
      </c>
      <c r="P4536">
        <v>360</v>
      </c>
      <c r="Q4536" s="2">
        <v>166896</v>
      </c>
      <c r="R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 s="1">
        <v>42382</v>
      </c>
      <c r="AC4536" t="s">
        <v>53</v>
      </c>
      <c r="AD4536" t="s">
        <v>53</v>
      </c>
      <c r="AK4536">
        <v>0</v>
      </c>
      <c r="AU4536" s="6">
        <v>42250</v>
      </c>
      <c r="AV4536" s="6">
        <v>42250</v>
      </c>
      <c r="AW4536" t="s">
        <v>54</v>
      </c>
      <c r="AX4536" t="str">
        <f t="shared" si="374"/>
        <v>FOR</v>
      </c>
      <c r="AY4536" t="s">
        <v>55</v>
      </c>
    </row>
    <row r="4537" spans="1:51" hidden="1">
      <c r="A4537">
        <v>101586</v>
      </c>
      <c r="B4537" t="s">
        <v>828</v>
      </c>
      <c r="C4537" t="str">
        <f t="shared" si="378"/>
        <v>05102540019</v>
      </c>
      <c r="D4537" t="str">
        <f t="shared" si="378"/>
        <v>05102540019</v>
      </c>
      <c r="E4537" t="s">
        <v>52</v>
      </c>
      <c r="F4537">
        <v>2014</v>
      </c>
      <c r="G4537">
        <v>2437</v>
      </c>
      <c r="H4537" s="1">
        <v>41834</v>
      </c>
      <c r="I4537" s="1">
        <v>41841</v>
      </c>
      <c r="J4537" s="1">
        <v>41841</v>
      </c>
      <c r="K4537" s="1">
        <v>41931</v>
      </c>
      <c r="N4537" s="5"/>
      <c r="O4537" s="2">
        <v>1055.3</v>
      </c>
      <c r="P4537">
        <v>319</v>
      </c>
      <c r="Q4537" s="2">
        <v>336640.7</v>
      </c>
      <c r="R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 s="1">
        <v>42382</v>
      </c>
      <c r="AC4537" t="s">
        <v>53</v>
      </c>
      <c r="AD4537" t="s">
        <v>53</v>
      </c>
      <c r="AK4537">
        <v>0</v>
      </c>
      <c r="AU4537" s="6">
        <v>42250</v>
      </c>
      <c r="AV4537" s="6">
        <v>42250</v>
      </c>
      <c r="AW4537" t="s">
        <v>54</v>
      </c>
      <c r="AX4537" t="str">
        <f t="shared" si="374"/>
        <v>FOR</v>
      </c>
      <c r="AY4537" t="s">
        <v>55</v>
      </c>
    </row>
    <row r="4538" spans="1:51" hidden="1">
      <c r="A4538">
        <v>101586</v>
      </c>
      <c r="B4538" t="s">
        <v>828</v>
      </c>
      <c r="C4538" t="str">
        <f t="shared" si="378"/>
        <v>05102540019</v>
      </c>
      <c r="D4538" t="str">
        <f t="shared" si="378"/>
        <v>05102540019</v>
      </c>
      <c r="E4538" t="s">
        <v>52</v>
      </c>
      <c r="F4538">
        <v>2014</v>
      </c>
      <c r="G4538">
        <v>2460</v>
      </c>
      <c r="H4538" s="1">
        <v>41834</v>
      </c>
      <c r="I4538" s="1">
        <v>41841</v>
      </c>
      <c r="J4538" s="1">
        <v>41841</v>
      </c>
      <c r="K4538" s="1">
        <v>41931</v>
      </c>
      <c r="N4538" s="5"/>
      <c r="O4538" s="2">
        <v>1189.5</v>
      </c>
      <c r="P4538">
        <v>319</v>
      </c>
      <c r="Q4538" s="2">
        <v>379450.5</v>
      </c>
      <c r="R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 s="1">
        <v>42382</v>
      </c>
      <c r="AC4538" t="s">
        <v>53</v>
      </c>
      <c r="AD4538" t="s">
        <v>53</v>
      </c>
      <c r="AK4538">
        <v>0</v>
      </c>
      <c r="AU4538" s="6">
        <v>42250</v>
      </c>
      <c r="AV4538" s="6">
        <v>42250</v>
      </c>
      <c r="AW4538" t="s">
        <v>54</v>
      </c>
      <c r="AX4538" t="str">
        <f t="shared" si="374"/>
        <v>FOR</v>
      </c>
      <c r="AY4538" t="s">
        <v>55</v>
      </c>
    </row>
    <row r="4539" spans="1:51" hidden="1">
      <c r="A4539">
        <v>101586</v>
      </c>
      <c r="B4539" t="s">
        <v>828</v>
      </c>
      <c r="C4539" t="str">
        <f t="shared" si="378"/>
        <v>05102540019</v>
      </c>
      <c r="D4539" t="str">
        <f t="shared" si="378"/>
        <v>05102540019</v>
      </c>
      <c r="E4539" t="s">
        <v>52</v>
      </c>
      <c r="F4539">
        <v>2014</v>
      </c>
      <c r="G4539">
        <v>2661</v>
      </c>
      <c r="H4539" s="1">
        <v>41849</v>
      </c>
      <c r="I4539" s="1">
        <v>41876</v>
      </c>
      <c r="J4539" s="1">
        <v>41876</v>
      </c>
      <c r="K4539" s="1">
        <v>41966</v>
      </c>
      <c r="N4539" s="5"/>
      <c r="O4539" s="2">
        <v>2903.6</v>
      </c>
      <c r="P4539">
        <v>284</v>
      </c>
      <c r="Q4539" s="2">
        <v>824622.4</v>
      </c>
      <c r="R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 s="1">
        <v>42382</v>
      </c>
      <c r="AC4539" t="s">
        <v>53</v>
      </c>
      <c r="AD4539" t="s">
        <v>53</v>
      </c>
      <c r="AK4539">
        <v>0</v>
      </c>
      <c r="AU4539" s="6">
        <v>42250</v>
      </c>
      <c r="AV4539" s="6">
        <v>42250</v>
      </c>
      <c r="AW4539" t="s">
        <v>54</v>
      </c>
      <c r="AX4539" t="str">
        <f t="shared" si="374"/>
        <v>FOR</v>
      </c>
      <c r="AY4539" t="s">
        <v>55</v>
      </c>
    </row>
    <row r="4540" spans="1:51" hidden="1">
      <c r="A4540">
        <v>101586</v>
      </c>
      <c r="B4540" t="s">
        <v>828</v>
      </c>
      <c r="C4540" t="str">
        <f t="shared" si="378"/>
        <v>05102540019</v>
      </c>
      <c r="D4540" t="str">
        <f t="shared" si="378"/>
        <v>05102540019</v>
      </c>
      <c r="E4540" t="s">
        <v>52</v>
      </c>
      <c r="F4540">
        <v>2014</v>
      </c>
      <c r="G4540">
        <v>2782</v>
      </c>
      <c r="H4540" s="1">
        <v>41858</v>
      </c>
      <c r="I4540" s="1">
        <v>41899</v>
      </c>
      <c r="J4540" s="1">
        <v>41899</v>
      </c>
      <c r="K4540" s="1">
        <v>41989</v>
      </c>
      <c r="N4540" s="5"/>
      <c r="O4540">
        <v>951.6</v>
      </c>
      <c r="P4540">
        <v>261</v>
      </c>
      <c r="Q4540" s="2">
        <v>248367.6</v>
      </c>
      <c r="R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 s="1">
        <v>42382</v>
      </c>
      <c r="AC4540" t="s">
        <v>53</v>
      </c>
      <c r="AD4540" t="s">
        <v>53</v>
      </c>
      <c r="AK4540">
        <v>0</v>
      </c>
      <c r="AU4540" s="6">
        <v>42250</v>
      </c>
      <c r="AV4540" s="6">
        <v>42250</v>
      </c>
      <c r="AW4540" t="s">
        <v>54</v>
      </c>
      <c r="AX4540" t="str">
        <f t="shared" si="374"/>
        <v>FOR</v>
      </c>
      <c r="AY4540" t="s">
        <v>55</v>
      </c>
    </row>
    <row r="4541" spans="1:51" hidden="1">
      <c r="A4541">
        <v>101586</v>
      </c>
      <c r="B4541" t="s">
        <v>828</v>
      </c>
      <c r="C4541" t="str">
        <f t="shared" si="378"/>
        <v>05102540019</v>
      </c>
      <c r="D4541" t="str">
        <f t="shared" si="378"/>
        <v>05102540019</v>
      </c>
      <c r="E4541" t="s">
        <v>52</v>
      </c>
      <c r="F4541">
        <v>2014</v>
      </c>
      <c r="G4541">
        <v>2896</v>
      </c>
      <c r="H4541" s="1">
        <v>41879</v>
      </c>
      <c r="I4541" s="1">
        <v>41911</v>
      </c>
      <c r="J4541" s="1">
        <v>41911</v>
      </c>
      <c r="K4541" s="1">
        <v>42001</v>
      </c>
      <c r="N4541" s="5"/>
      <c r="O4541" s="2">
        <v>3379.4</v>
      </c>
      <c r="P4541">
        <v>249</v>
      </c>
      <c r="Q4541" s="2">
        <v>841470.6</v>
      </c>
      <c r="R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 s="1">
        <v>42382</v>
      </c>
      <c r="AC4541" t="s">
        <v>53</v>
      </c>
      <c r="AD4541" t="s">
        <v>53</v>
      </c>
      <c r="AK4541">
        <v>0</v>
      </c>
      <c r="AU4541" s="6">
        <v>42250</v>
      </c>
      <c r="AV4541" s="6">
        <v>42250</v>
      </c>
      <c r="AW4541" t="s">
        <v>54</v>
      </c>
      <c r="AX4541" t="str">
        <f t="shared" si="374"/>
        <v>FOR</v>
      </c>
      <c r="AY4541" t="s">
        <v>55</v>
      </c>
    </row>
    <row r="4542" spans="1:51">
      <c r="A4542">
        <v>101586</v>
      </c>
      <c r="B4542" t="s">
        <v>828</v>
      </c>
      <c r="C4542" t="str">
        <f t="shared" si="378"/>
        <v>05102540019</v>
      </c>
      <c r="D4542" t="str">
        <f t="shared" si="378"/>
        <v>05102540019</v>
      </c>
      <c r="E4542" t="s">
        <v>52</v>
      </c>
      <c r="F4542">
        <v>2014</v>
      </c>
      <c r="G4542">
        <v>3790</v>
      </c>
      <c r="H4542" s="1">
        <v>41953</v>
      </c>
      <c r="I4542" s="1">
        <v>41974</v>
      </c>
      <c r="J4542" s="1">
        <v>41974</v>
      </c>
      <c r="K4542" s="1">
        <v>42034</v>
      </c>
      <c r="L4542" s="7">
        <v>4337.1000000000004</v>
      </c>
      <c r="M4542" s="5">
        <v>271</v>
      </c>
      <c r="N4542" s="7">
        <v>1175354.1000000001</v>
      </c>
      <c r="O4542" s="2">
        <v>4337.1000000000004</v>
      </c>
      <c r="P4542">
        <v>271</v>
      </c>
      <c r="Q4542" s="2">
        <v>1175354.1000000001</v>
      </c>
      <c r="R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 s="1">
        <v>42382</v>
      </c>
      <c r="AC4542" t="s">
        <v>53</v>
      </c>
      <c r="AD4542" t="s">
        <v>53</v>
      </c>
      <c r="AK4542">
        <v>0</v>
      </c>
      <c r="AU4542" s="6">
        <v>42305</v>
      </c>
      <c r="AV4542" s="6">
        <v>42305</v>
      </c>
      <c r="AW4542" t="s">
        <v>54</v>
      </c>
      <c r="AX4542" t="str">
        <f t="shared" si="374"/>
        <v>FOR</v>
      </c>
      <c r="AY4542" t="s">
        <v>55</v>
      </c>
    </row>
    <row r="4543" spans="1:51">
      <c r="A4543">
        <v>101586</v>
      </c>
      <c r="B4543" t="s">
        <v>828</v>
      </c>
      <c r="C4543" t="str">
        <f t="shared" si="378"/>
        <v>05102540019</v>
      </c>
      <c r="D4543" t="str">
        <f t="shared" si="378"/>
        <v>05102540019</v>
      </c>
      <c r="E4543" t="s">
        <v>52</v>
      </c>
      <c r="F4543">
        <v>2014</v>
      </c>
      <c r="G4543">
        <v>3934</v>
      </c>
      <c r="H4543" s="1">
        <v>41961</v>
      </c>
      <c r="I4543" s="1">
        <v>41974</v>
      </c>
      <c r="J4543" s="1">
        <v>41974</v>
      </c>
      <c r="K4543" s="1">
        <v>42034</v>
      </c>
      <c r="L4543" s="7">
        <v>1189.5</v>
      </c>
      <c r="M4543" s="5">
        <v>271</v>
      </c>
      <c r="N4543" s="7">
        <v>322354.5</v>
      </c>
      <c r="O4543" s="2">
        <v>1189.5</v>
      </c>
      <c r="P4543">
        <v>271</v>
      </c>
      <c r="Q4543" s="2">
        <v>322354.5</v>
      </c>
      <c r="R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 s="1">
        <v>42382</v>
      </c>
      <c r="AC4543" t="s">
        <v>53</v>
      </c>
      <c r="AD4543" t="s">
        <v>53</v>
      </c>
      <c r="AK4543">
        <v>0</v>
      </c>
      <c r="AU4543" s="6">
        <v>42305</v>
      </c>
      <c r="AV4543" s="6">
        <v>42305</v>
      </c>
      <c r="AW4543" t="s">
        <v>54</v>
      </c>
      <c r="AX4543" t="str">
        <f t="shared" si="374"/>
        <v>FOR</v>
      </c>
      <c r="AY4543" t="s">
        <v>55</v>
      </c>
    </row>
    <row r="4544" spans="1:51">
      <c r="A4544">
        <v>101586</v>
      </c>
      <c r="B4544" t="s">
        <v>828</v>
      </c>
      <c r="C4544" t="str">
        <f t="shared" si="378"/>
        <v>05102540019</v>
      </c>
      <c r="D4544" t="str">
        <f t="shared" si="378"/>
        <v>05102540019</v>
      </c>
      <c r="E4544" t="s">
        <v>52</v>
      </c>
      <c r="F4544">
        <v>2014</v>
      </c>
      <c r="G4544">
        <v>4032</v>
      </c>
      <c r="H4544" s="1">
        <v>41969</v>
      </c>
      <c r="I4544" s="1">
        <v>41984</v>
      </c>
      <c r="J4544" s="1">
        <v>41984</v>
      </c>
      <c r="K4544" s="1">
        <v>42044</v>
      </c>
      <c r="L4544" s="7">
        <v>713.7</v>
      </c>
      <c r="M4544" s="5">
        <v>261</v>
      </c>
      <c r="N4544" s="7">
        <v>186275.7</v>
      </c>
      <c r="O4544">
        <v>713.7</v>
      </c>
      <c r="P4544">
        <v>261</v>
      </c>
      <c r="Q4544" s="2">
        <v>186275.7</v>
      </c>
      <c r="R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 s="1">
        <v>42382</v>
      </c>
      <c r="AC4544" t="s">
        <v>53</v>
      </c>
      <c r="AD4544" t="s">
        <v>53</v>
      </c>
      <c r="AK4544">
        <v>0</v>
      </c>
      <c r="AU4544" s="6">
        <v>42305</v>
      </c>
      <c r="AV4544" s="6">
        <v>42305</v>
      </c>
      <c r="AW4544" t="s">
        <v>54</v>
      </c>
      <c r="AX4544" t="str">
        <f t="shared" si="374"/>
        <v>FOR</v>
      </c>
      <c r="AY4544" t="s">
        <v>55</v>
      </c>
    </row>
    <row r="4545" spans="1:51">
      <c r="A4545">
        <v>101586</v>
      </c>
      <c r="B4545" t="s">
        <v>828</v>
      </c>
      <c r="C4545" t="str">
        <f t="shared" si="378"/>
        <v>05102540019</v>
      </c>
      <c r="D4545" t="str">
        <f t="shared" si="378"/>
        <v>05102540019</v>
      </c>
      <c r="E4545" t="s">
        <v>52</v>
      </c>
      <c r="F4545">
        <v>2014</v>
      </c>
      <c r="G4545">
        <v>4093</v>
      </c>
      <c r="H4545" s="1">
        <v>41971</v>
      </c>
      <c r="I4545" s="1">
        <v>41988</v>
      </c>
      <c r="J4545" s="1">
        <v>41988</v>
      </c>
      <c r="K4545" s="1">
        <v>42048</v>
      </c>
      <c r="L4545" s="7">
        <v>512.4</v>
      </c>
      <c r="M4545" s="5">
        <v>257</v>
      </c>
      <c r="N4545" s="7">
        <v>131686.79999999999</v>
      </c>
      <c r="O4545">
        <v>512.4</v>
      </c>
      <c r="P4545">
        <v>257</v>
      </c>
      <c r="Q4545" s="2">
        <v>131686.79999999999</v>
      </c>
      <c r="R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 s="1">
        <v>42382</v>
      </c>
      <c r="AC4545" t="s">
        <v>53</v>
      </c>
      <c r="AD4545" t="s">
        <v>53</v>
      </c>
      <c r="AK4545">
        <v>0</v>
      </c>
      <c r="AU4545" s="6">
        <v>42305</v>
      </c>
      <c r="AV4545" s="6">
        <v>42305</v>
      </c>
      <c r="AW4545" t="s">
        <v>54</v>
      </c>
      <c r="AX4545" t="str">
        <f t="shared" si="374"/>
        <v>FOR</v>
      </c>
      <c r="AY4545" t="s">
        <v>55</v>
      </c>
    </row>
    <row r="4546" spans="1:51">
      <c r="A4546">
        <v>101586</v>
      </c>
      <c r="B4546" t="s">
        <v>828</v>
      </c>
      <c r="C4546" t="str">
        <f t="shared" si="378"/>
        <v>05102540019</v>
      </c>
      <c r="D4546" t="str">
        <f t="shared" si="378"/>
        <v>05102540019</v>
      </c>
      <c r="E4546" t="s">
        <v>52</v>
      </c>
      <c r="F4546">
        <v>2014</v>
      </c>
      <c r="G4546">
        <v>4352</v>
      </c>
      <c r="H4546" s="1">
        <v>41995</v>
      </c>
      <c r="I4546" s="1">
        <v>42004</v>
      </c>
      <c r="J4546" s="1">
        <v>42004</v>
      </c>
      <c r="K4546" s="1">
        <v>42064</v>
      </c>
      <c r="L4546" s="7">
        <v>475.8</v>
      </c>
      <c r="M4546" s="5">
        <v>277</v>
      </c>
      <c r="N4546" s="7">
        <v>131796.6</v>
      </c>
      <c r="O4546">
        <v>475.8</v>
      </c>
      <c r="P4546">
        <v>277</v>
      </c>
      <c r="Q4546" s="2">
        <v>131796.6</v>
      </c>
      <c r="R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 s="1">
        <v>42382</v>
      </c>
      <c r="AC4546" t="s">
        <v>53</v>
      </c>
      <c r="AD4546" t="s">
        <v>53</v>
      </c>
      <c r="AK4546">
        <v>0</v>
      </c>
      <c r="AU4546" s="6">
        <v>42341</v>
      </c>
      <c r="AV4546" s="6">
        <v>42341</v>
      </c>
      <c r="AW4546" t="s">
        <v>54</v>
      </c>
      <c r="AX4546" t="str">
        <f t="shared" si="374"/>
        <v>FOR</v>
      </c>
      <c r="AY4546" t="s">
        <v>55</v>
      </c>
    </row>
    <row r="4547" spans="1:51">
      <c r="A4547">
        <v>101586</v>
      </c>
      <c r="B4547" t="s">
        <v>828</v>
      </c>
      <c r="C4547" t="str">
        <f t="shared" si="378"/>
        <v>05102540019</v>
      </c>
      <c r="D4547" t="str">
        <f t="shared" si="378"/>
        <v>05102540019</v>
      </c>
      <c r="E4547" t="s">
        <v>52</v>
      </c>
      <c r="F4547">
        <v>2014</v>
      </c>
      <c r="G4547">
        <v>6344</v>
      </c>
      <c r="H4547" s="1">
        <v>41989</v>
      </c>
      <c r="I4547" s="1">
        <v>42004</v>
      </c>
      <c r="J4547" s="1">
        <v>42004</v>
      </c>
      <c r="K4547" s="1">
        <v>42064</v>
      </c>
      <c r="L4547" s="7">
        <v>713.7</v>
      </c>
      <c r="M4547" s="5">
        <v>277</v>
      </c>
      <c r="N4547" s="7">
        <v>197694.9</v>
      </c>
      <c r="O4547">
        <v>713.7</v>
      </c>
      <c r="P4547">
        <v>277</v>
      </c>
      <c r="Q4547" s="2">
        <v>197694.9</v>
      </c>
      <c r="R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 s="1">
        <v>42382</v>
      </c>
      <c r="AC4547" t="s">
        <v>53</v>
      </c>
      <c r="AD4547" t="s">
        <v>53</v>
      </c>
      <c r="AK4547">
        <v>0</v>
      </c>
      <c r="AU4547" s="6">
        <v>42341</v>
      </c>
      <c r="AV4547" s="6">
        <v>42341</v>
      </c>
      <c r="AW4547" t="s">
        <v>54</v>
      </c>
      <c r="AX4547" t="str">
        <f t="shared" ref="AX4547:AX4610" si="379">"FOR"</f>
        <v>FOR</v>
      </c>
      <c r="AY4547" t="s">
        <v>55</v>
      </c>
    </row>
    <row r="4548" spans="1:51">
      <c r="A4548">
        <v>101586</v>
      </c>
      <c r="B4548" t="s">
        <v>828</v>
      </c>
      <c r="C4548" t="str">
        <f t="shared" si="378"/>
        <v>05102540019</v>
      </c>
      <c r="D4548" t="str">
        <f t="shared" si="378"/>
        <v>05102540019</v>
      </c>
      <c r="E4548" t="s">
        <v>52</v>
      </c>
      <c r="F4548">
        <v>2015</v>
      </c>
      <c r="G4548">
        <v>105</v>
      </c>
      <c r="H4548" s="1">
        <v>42019</v>
      </c>
      <c r="I4548" s="1">
        <v>42030</v>
      </c>
      <c r="J4548" s="1">
        <v>42030</v>
      </c>
      <c r="K4548" s="1">
        <v>42090</v>
      </c>
      <c r="L4548" s="7">
        <v>1915</v>
      </c>
      <c r="M4548" s="5">
        <v>265</v>
      </c>
      <c r="N4548" s="7">
        <v>507475</v>
      </c>
      <c r="O4548" s="2">
        <v>1915</v>
      </c>
      <c r="P4548">
        <v>265</v>
      </c>
      <c r="Q4548" s="2">
        <v>507475</v>
      </c>
      <c r="R4548">
        <v>421.3</v>
      </c>
      <c r="V4548">
        <v>0</v>
      </c>
      <c r="W4548">
        <v>0</v>
      </c>
      <c r="X4548">
        <v>0</v>
      </c>
      <c r="Y4548" s="2">
        <v>2336.3000000000002</v>
      </c>
      <c r="Z4548" s="2">
        <v>2336.3000000000002</v>
      </c>
      <c r="AA4548" s="2">
        <v>2336.3000000000002</v>
      </c>
      <c r="AB4548" s="1">
        <v>42382</v>
      </c>
      <c r="AC4548" t="s">
        <v>53</v>
      </c>
      <c r="AD4548" t="s">
        <v>53</v>
      </c>
      <c r="AK4548">
        <v>421.3</v>
      </c>
      <c r="AU4548" s="6">
        <v>42355</v>
      </c>
      <c r="AV4548" s="6">
        <v>42355</v>
      </c>
      <c r="AW4548" t="s">
        <v>54</v>
      </c>
      <c r="AX4548" t="str">
        <f t="shared" si="379"/>
        <v>FOR</v>
      </c>
      <c r="AY4548" t="s">
        <v>55</v>
      </c>
    </row>
    <row r="4549" spans="1:51">
      <c r="A4549">
        <v>101586</v>
      </c>
      <c r="B4549" t="s">
        <v>828</v>
      </c>
      <c r="C4549" t="str">
        <f t="shared" si="378"/>
        <v>05102540019</v>
      </c>
      <c r="D4549" t="str">
        <f t="shared" si="378"/>
        <v>05102540019</v>
      </c>
      <c r="E4549" t="s">
        <v>52</v>
      </c>
      <c r="F4549">
        <v>2015</v>
      </c>
      <c r="G4549">
        <v>110</v>
      </c>
      <c r="H4549" s="1">
        <v>42019</v>
      </c>
      <c r="I4549" s="1">
        <v>42030</v>
      </c>
      <c r="J4549" s="1">
        <v>42030</v>
      </c>
      <c r="K4549" s="1">
        <v>42090</v>
      </c>
      <c r="L4549" s="7">
        <v>380</v>
      </c>
      <c r="M4549" s="5">
        <v>265</v>
      </c>
      <c r="N4549" s="7">
        <v>100700</v>
      </c>
      <c r="O4549">
        <v>380</v>
      </c>
      <c r="P4549">
        <v>265</v>
      </c>
      <c r="Q4549" s="2">
        <v>100700</v>
      </c>
      <c r="R4549">
        <v>83.6</v>
      </c>
      <c r="V4549">
        <v>0</v>
      </c>
      <c r="W4549">
        <v>0</v>
      </c>
      <c r="X4549">
        <v>0</v>
      </c>
      <c r="Y4549">
        <v>463.6</v>
      </c>
      <c r="Z4549">
        <v>463.6</v>
      </c>
      <c r="AA4549">
        <v>463.6</v>
      </c>
      <c r="AB4549" s="1">
        <v>42382</v>
      </c>
      <c r="AC4549" t="s">
        <v>53</v>
      </c>
      <c r="AD4549" t="s">
        <v>53</v>
      </c>
      <c r="AK4549">
        <v>83.6</v>
      </c>
      <c r="AU4549" s="6">
        <v>42355</v>
      </c>
      <c r="AV4549" s="6">
        <v>42355</v>
      </c>
      <c r="AW4549" t="s">
        <v>54</v>
      </c>
      <c r="AX4549" t="str">
        <f t="shared" si="379"/>
        <v>FOR</v>
      </c>
      <c r="AY4549" t="s">
        <v>55</v>
      </c>
    </row>
    <row r="4550" spans="1:51">
      <c r="A4550">
        <v>101586</v>
      </c>
      <c r="B4550" t="s">
        <v>828</v>
      </c>
      <c r="C4550" t="str">
        <f t="shared" si="378"/>
        <v>05102540019</v>
      </c>
      <c r="D4550" t="str">
        <f t="shared" si="378"/>
        <v>05102540019</v>
      </c>
      <c r="E4550" t="s">
        <v>52</v>
      </c>
      <c r="F4550">
        <v>2015</v>
      </c>
      <c r="G4550">
        <v>134</v>
      </c>
      <c r="H4550" s="1">
        <v>42023</v>
      </c>
      <c r="I4550" s="1">
        <v>42037</v>
      </c>
      <c r="J4550" s="1">
        <v>42037</v>
      </c>
      <c r="K4550" s="1">
        <v>42097</v>
      </c>
      <c r="L4550" s="7">
        <v>420</v>
      </c>
      <c r="M4550" s="5">
        <v>258</v>
      </c>
      <c r="N4550" s="7">
        <v>108360</v>
      </c>
      <c r="O4550">
        <v>420</v>
      </c>
      <c r="P4550">
        <v>258</v>
      </c>
      <c r="Q4550" s="2">
        <v>108360</v>
      </c>
      <c r="R4550">
        <v>92.4</v>
      </c>
      <c r="V4550">
        <v>0</v>
      </c>
      <c r="W4550">
        <v>0</v>
      </c>
      <c r="X4550">
        <v>0</v>
      </c>
      <c r="Y4550">
        <v>512.4</v>
      </c>
      <c r="Z4550">
        <v>512.4</v>
      </c>
      <c r="AA4550">
        <v>512.4</v>
      </c>
      <c r="AB4550" s="1">
        <v>42382</v>
      </c>
      <c r="AC4550" t="s">
        <v>53</v>
      </c>
      <c r="AD4550" t="s">
        <v>53</v>
      </c>
      <c r="AK4550">
        <v>92.4</v>
      </c>
      <c r="AU4550" s="6">
        <v>42355</v>
      </c>
      <c r="AV4550" s="6">
        <v>42355</v>
      </c>
      <c r="AW4550" t="s">
        <v>54</v>
      </c>
      <c r="AX4550" t="str">
        <f t="shared" si="379"/>
        <v>FOR</v>
      </c>
      <c r="AY4550" t="s">
        <v>55</v>
      </c>
    </row>
    <row r="4551" spans="1:51">
      <c r="A4551">
        <v>101586</v>
      </c>
      <c r="B4551" t="s">
        <v>828</v>
      </c>
      <c r="C4551" t="str">
        <f t="shared" si="378"/>
        <v>05102540019</v>
      </c>
      <c r="D4551" t="str">
        <f t="shared" si="378"/>
        <v>05102540019</v>
      </c>
      <c r="E4551" t="s">
        <v>52</v>
      </c>
      <c r="F4551">
        <v>2015</v>
      </c>
      <c r="G4551">
        <v>149</v>
      </c>
      <c r="H4551" s="1">
        <v>42024</v>
      </c>
      <c r="I4551" s="1">
        <v>42032</v>
      </c>
      <c r="J4551" s="1">
        <v>42032</v>
      </c>
      <c r="K4551" s="1">
        <v>42092</v>
      </c>
      <c r="L4551" s="7">
        <v>585</v>
      </c>
      <c r="M4551" s="5">
        <v>263</v>
      </c>
      <c r="N4551" s="7">
        <v>153855</v>
      </c>
      <c r="O4551">
        <v>585</v>
      </c>
      <c r="P4551">
        <v>263</v>
      </c>
      <c r="Q4551" s="2">
        <v>153855</v>
      </c>
      <c r="R4551">
        <v>128.69999999999999</v>
      </c>
      <c r="V4551">
        <v>0</v>
      </c>
      <c r="W4551">
        <v>0</v>
      </c>
      <c r="X4551">
        <v>0</v>
      </c>
      <c r="Y4551">
        <v>713.7</v>
      </c>
      <c r="Z4551">
        <v>713.7</v>
      </c>
      <c r="AA4551">
        <v>713.7</v>
      </c>
      <c r="AB4551" s="1">
        <v>42382</v>
      </c>
      <c r="AC4551" t="s">
        <v>53</v>
      </c>
      <c r="AD4551" t="s">
        <v>53</v>
      </c>
      <c r="AK4551">
        <v>128.69999999999999</v>
      </c>
      <c r="AU4551" s="6">
        <v>42355</v>
      </c>
      <c r="AV4551" s="6">
        <v>42355</v>
      </c>
      <c r="AW4551" t="s">
        <v>54</v>
      </c>
      <c r="AX4551" t="str">
        <f t="shared" si="379"/>
        <v>FOR</v>
      </c>
      <c r="AY4551" t="s">
        <v>55</v>
      </c>
    </row>
    <row r="4552" spans="1:51" hidden="1">
      <c r="A4552">
        <v>101594</v>
      </c>
      <c r="B4552" t="s">
        <v>829</v>
      </c>
      <c r="C4552" t="str">
        <f t="shared" ref="C4552:D4561" si="380">"01432450623"</f>
        <v>01432450623</v>
      </c>
      <c r="D4552" t="str">
        <f t="shared" si="380"/>
        <v>01432450623</v>
      </c>
      <c r="E4552" t="s">
        <v>52</v>
      </c>
      <c r="F4552">
        <v>2014</v>
      </c>
      <c r="G4552">
        <v>785</v>
      </c>
      <c r="H4552" s="1">
        <v>41855</v>
      </c>
      <c r="I4552" s="1">
        <v>42039</v>
      </c>
      <c r="J4552" s="1">
        <v>42039</v>
      </c>
      <c r="K4552" s="1">
        <v>42099</v>
      </c>
      <c r="N4552" s="5"/>
      <c r="O4552" s="2">
        <v>1320.36</v>
      </c>
      <c r="P4552">
        <v>85</v>
      </c>
      <c r="Q4552" s="2">
        <v>112230.6</v>
      </c>
      <c r="R4552">
        <v>0</v>
      </c>
      <c r="V4552">
        <v>0</v>
      </c>
      <c r="W4552">
        <v>0</v>
      </c>
      <c r="X4552">
        <v>0</v>
      </c>
      <c r="Y4552">
        <v>0</v>
      </c>
      <c r="Z4552" s="2">
        <v>1320.36</v>
      </c>
      <c r="AA4552">
        <v>0</v>
      </c>
      <c r="AB4552" s="1">
        <v>42382</v>
      </c>
      <c r="AC4552" t="s">
        <v>53</v>
      </c>
      <c r="AD4552" t="s">
        <v>53</v>
      </c>
      <c r="AK4552">
        <v>0</v>
      </c>
      <c r="AU4552" s="6">
        <v>42184</v>
      </c>
      <c r="AV4552" s="6">
        <v>42184</v>
      </c>
      <c r="AW4552" t="s">
        <v>54</v>
      </c>
      <c r="AX4552" t="str">
        <f t="shared" si="379"/>
        <v>FOR</v>
      </c>
      <c r="AY4552" t="s">
        <v>55</v>
      </c>
    </row>
    <row r="4553" spans="1:51" hidden="1">
      <c r="A4553">
        <v>101594</v>
      </c>
      <c r="B4553" t="s">
        <v>829</v>
      </c>
      <c r="C4553" t="str">
        <f t="shared" si="380"/>
        <v>01432450623</v>
      </c>
      <c r="D4553" t="str">
        <f t="shared" si="380"/>
        <v>01432450623</v>
      </c>
      <c r="E4553" t="s">
        <v>52</v>
      </c>
      <c r="F4553">
        <v>2014</v>
      </c>
      <c r="G4553">
        <v>786</v>
      </c>
      <c r="H4553" s="1">
        <v>41855</v>
      </c>
      <c r="I4553" s="1">
        <v>42039</v>
      </c>
      <c r="J4553" s="1">
        <v>42039</v>
      </c>
      <c r="K4553" s="1">
        <v>42099</v>
      </c>
      <c r="N4553" s="5"/>
      <c r="O4553" s="2">
        <v>1355.42</v>
      </c>
      <c r="P4553">
        <v>85</v>
      </c>
      <c r="Q4553" s="2">
        <v>115210.7</v>
      </c>
      <c r="R4553">
        <v>0</v>
      </c>
      <c r="V4553">
        <v>0</v>
      </c>
      <c r="W4553">
        <v>0</v>
      </c>
      <c r="X4553">
        <v>0</v>
      </c>
      <c r="Y4553">
        <v>0</v>
      </c>
      <c r="Z4553" s="2">
        <v>1355.42</v>
      </c>
      <c r="AA4553">
        <v>0</v>
      </c>
      <c r="AB4553" s="1">
        <v>42382</v>
      </c>
      <c r="AC4553" t="s">
        <v>53</v>
      </c>
      <c r="AD4553" t="s">
        <v>53</v>
      </c>
      <c r="AK4553">
        <v>0</v>
      </c>
      <c r="AU4553" s="6">
        <v>42184</v>
      </c>
      <c r="AV4553" s="6">
        <v>42184</v>
      </c>
      <c r="AW4553" t="s">
        <v>54</v>
      </c>
      <c r="AX4553" t="str">
        <f t="shared" si="379"/>
        <v>FOR</v>
      </c>
      <c r="AY4553" t="s">
        <v>55</v>
      </c>
    </row>
    <row r="4554" spans="1:51" hidden="1">
      <c r="A4554">
        <v>101594</v>
      </c>
      <c r="B4554" t="s">
        <v>829</v>
      </c>
      <c r="C4554" t="str">
        <f t="shared" si="380"/>
        <v>01432450623</v>
      </c>
      <c r="D4554" t="str">
        <f t="shared" si="380"/>
        <v>01432450623</v>
      </c>
      <c r="E4554" t="s">
        <v>52</v>
      </c>
      <c r="F4554">
        <v>2014</v>
      </c>
      <c r="G4554">
        <v>787</v>
      </c>
      <c r="H4554" s="1">
        <v>41855</v>
      </c>
      <c r="I4554" s="1">
        <v>42039</v>
      </c>
      <c r="J4554" s="1">
        <v>42039</v>
      </c>
      <c r="K4554" s="1">
        <v>42099</v>
      </c>
      <c r="N4554" s="5"/>
      <c r="O4554" s="2">
        <v>2832.84</v>
      </c>
      <c r="P4554">
        <v>85</v>
      </c>
      <c r="Q4554" s="2">
        <v>240791.4</v>
      </c>
      <c r="R4554">
        <v>0</v>
      </c>
      <c r="V4554">
        <v>0</v>
      </c>
      <c r="W4554">
        <v>0</v>
      </c>
      <c r="X4554">
        <v>0</v>
      </c>
      <c r="Y4554">
        <v>0</v>
      </c>
      <c r="Z4554" s="2">
        <v>2832.84</v>
      </c>
      <c r="AA4554">
        <v>0</v>
      </c>
      <c r="AB4554" s="1">
        <v>42382</v>
      </c>
      <c r="AC4554" t="s">
        <v>53</v>
      </c>
      <c r="AD4554" t="s">
        <v>53</v>
      </c>
      <c r="AK4554">
        <v>0</v>
      </c>
      <c r="AU4554" s="6">
        <v>42184</v>
      </c>
      <c r="AV4554" s="6">
        <v>42184</v>
      </c>
      <c r="AW4554" t="s">
        <v>54</v>
      </c>
      <c r="AX4554" t="str">
        <f t="shared" si="379"/>
        <v>FOR</v>
      </c>
      <c r="AY4554" t="s">
        <v>55</v>
      </c>
    </row>
    <row r="4555" spans="1:51">
      <c r="A4555">
        <v>101594</v>
      </c>
      <c r="B4555" t="s">
        <v>829</v>
      </c>
      <c r="C4555" t="str">
        <f t="shared" si="380"/>
        <v>01432450623</v>
      </c>
      <c r="D4555" t="str">
        <f t="shared" si="380"/>
        <v>01432450623</v>
      </c>
      <c r="E4555" t="s">
        <v>52</v>
      </c>
      <c r="F4555">
        <v>2014</v>
      </c>
      <c r="G4555">
        <v>1257</v>
      </c>
      <c r="H4555" s="1">
        <v>42004</v>
      </c>
      <c r="I4555" s="1">
        <v>42254</v>
      </c>
      <c r="J4555" s="1">
        <v>42254</v>
      </c>
      <c r="K4555" s="1">
        <v>42314</v>
      </c>
      <c r="L4555" s="7">
        <v>2177.6999999999998</v>
      </c>
      <c r="M4555" s="5">
        <v>-9</v>
      </c>
      <c r="N4555" s="7">
        <v>-19599.3</v>
      </c>
      <c r="O4555" s="2">
        <v>2177.6999999999998</v>
      </c>
      <c r="P4555">
        <v>-9</v>
      </c>
      <c r="Q4555" s="2">
        <v>-19599.3</v>
      </c>
      <c r="R4555">
        <v>0</v>
      </c>
      <c r="V4555">
        <v>0</v>
      </c>
      <c r="W4555">
        <v>0</v>
      </c>
      <c r="X4555">
        <v>0</v>
      </c>
      <c r="Y4555">
        <v>0</v>
      </c>
      <c r="Z4555" s="2">
        <v>2177.6999999999998</v>
      </c>
      <c r="AA4555">
        <v>0</v>
      </c>
      <c r="AB4555" s="1">
        <v>42382</v>
      </c>
      <c r="AC4555" t="s">
        <v>53</v>
      </c>
      <c r="AD4555" t="s">
        <v>53</v>
      </c>
      <c r="AK4555">
        <v>0</v>
      </c>
      <c r="AU4555" s="6">
        <v>42305</v>
      </c>
      <c r="AV4555" s="6">
        <v>42305</v>
      </c>
      <c r="AW4555" t="s">
        <v>54</v>
      </c>
      <c r="AX4555" t="str">
        <f t="shared" si="379"/>
        <v>FOR</v>
      </c>
      <c r="AY4555" t="s">
        <v>55</v>
      </c>
    </row>
    <row r="4556" spans="1:51">
      <c r="A4556">
        <v>101594</v>
      </c>
      <c r="B4556" t="s">
        <v>829</v>
      </c>
      <c r="C4556" t="str">
        <f t="shared" si="380"/>
        <v>01432450623</v>
      </c>
      <c r="D4556" t="str">
        <f t="shared" si="380"/>
        <v>01432450623</v>
      </c>
      <c r="E4556" t="s">
        <v>52</v>
      </c>
      <c r="F4556">
        <v>2014</v>
      </c>
      <c r="G4556">
        <v>1266</v>
      </c>
      <c r="H4556" s="1">
        <v>42004</v>
      </c>
      <c r="I4556" s="1">
        <v>42039</v>
      </c>
      <c r="J4556" s="1">
        <v>42039</v>
      </c>
      <c r="K4556" s="1">
        <v>42099</v>
      </c>
      <c r="L4556" s="7">
        <v>1277.97</v>
      </c>
      <c r="M4556" s="5">
        <v>206</v>
      </c>
      <c r="N4556" s="7">
        <v>263261.82</v>
      </c>
      <c r="O4556" s="2">
        <v>1277.97</v>
      </c>
      <c r="P4556">
        <v>206</v>
      </c>
      <c r="Q4556" s="2">
        <v>263261.82</v>
      </c>
      <c r="R4556">
        <v>0</v>
      </c>
      <c r="V4556">
        <v>0</v>
      </c>
      <c r="W4556">
        <v>0</v>
      </c>
      <c r="X4556">
        <v>0</v>
      </c>
      <c r="Y4556">
        <v>0</v>
      </c>
      <c r="Z4556" s="2">
        <v>1277.97</v>
      </c>
      <c r="AA4556">
        <v>0</v>
      </c>
      <c r="AB4556" s="1">
        <v>42382</v>
      </c>
      <c r="AC4556" t="s">
        <v>53</v>
      </c>
      <c r="AD4556" t="s">
        <v>53</v>
      </c>
      <c r="AK4556">
        <v>0</v>
      </c>
      <c r="AU4556" s="6">
        <v>42305</v>
      </c>
      <c r="AV4556" s="6">
        <v>42305</v>
      </c>
      <c r="AW4556" t="s">
        <v>54</v>
      </c>
      <c r="AX4556" t="str">
        <f t="shared" si="379"/>
        <v>FOR</v>
      </c>
      <c r="AY4556" t="s">
        <v>55</v>
      </c>
    </row>
    <row r="4557" spans="1:51">
      <c r="A4557">
        <v>101594</v>
      </c>
      <c r="B4557" t="s">
        <v>829</v>
      </c>
      <c r="C4557" t="str">
        <f t="shared" si="380"/>
        <v>01432450623</v>
      </c>
      <c r="D4557" t="str">
        <f t="shared" si="380"/>
        <v>01432450623</v>
      </c>
      <c r="E4557" t="s">
        <v>52</v>
      </c>
      <c r="F4557">
        <v>2014</v>
      </c>
      <c r="G4557">
        <v>1268</v>
      </c>
      <c r="H4557" s="1">
        <v>42004</v>
      </c>
      <c r="I4557" s="1">
        <v>42039</v>
      </c>
      <c r="J4557" s="1">
        <v>42039</v>
      </c>
      <c r="K4557" s="1">
        <v>42099</v>
      </c>
      <c r="L4557" s="7">
        <v>1109.6300000000001</v>
      </c>
      <c r="M4557" s="5">
        <v>206</v>
      </c>
      <c r="N4557" s="7">
        <v>228583.78</v>
      </c>
      <c r="O4557" s="2">
        <v>1109.6300000000001</v>
      </c>
      <c r="P4557">
        <v>206</v>
      </c>
      <c r="Q4557" s="2">
        <v>228583.78</v>
      </c>
      <c r="R4557">
        <v>0</v>
      </c>
      <c r="V4557">
        <v>0</v>
      </c>
      <c r="W4557">
        <v>0</v>
      </c>
      <c r="X4557">
        <v>0</v>
      </c>
      <c r="Y4557">
        <v>0</v>
      </c>
      <c r="Z4557" s="2">
        <v>1109.6300000000001</v>
      </c>
      <c r="AA4557">
        <v>0</v>
      </c>
      <c r="AB4557" s="1">
        <v>42382</v>
      </c>
      <c r="AC4557" t="s">
        <v>53</v>
      </c>
      <c r="AD4557" t="s">
        <v>53</v>
      </c>
      <c r="AK4557">
        <v>0</v>
      </c>
      <c r="AU4557" s="6">
        <v>42305</v>
      </c>
      <c r="AV4557" s="6">
        <v>42305</v>
      </c>
      <c r="AW4557" t="s">
        <v>54</v>
      </c>
      <c r="AX4557" t="str">
        <f t="shared" si="379"/>
        <v>FOR</v>
      </c>
      <c r="AY4557" t="s">
        <v>55</v>
      </c>
    </row>
    <row r="4558" spans="1:51">
      <c r="A4558">
        <v>101594</v>
      </c>
      <c r="B4558" t="s">
        <v>829</v>
      </c>
      <c r="C4558" t="str">
        <f t="shared" si="380"/>
        <v>01432450623</v>
      </c>
      <c r="D4558" t="str">
        <f t="shared" si="380"/>
        <v>01432450623</v>
      </c>
      <c r="E4558" t="s">
        <v>52</v>
      </c>
      <c r="F4558">
        <v>2014</v>
      </c>
      <c r="G4558">
        <v>1269</v>
      </c>
      <c r="H4558" s="1">
        <v>42004</v>
      </c>
      <c r="I4558" s="1">
        <v>42039</v>
      </c>
      <c r="J4558" s="1">
        <v>42039</v>
      </c>
      <c r="K4558" s="1">
        <v>42099</v>
      </c>
      <c r="L4558" s="7">
        <v>1694.8</v>
      </c>
      <c r="M4558" s="5">
        <v>206</v>
      </c>
      <c r="N4558" s="7">
        <v>349128.8</v>
      </c>
      <c r="O4558" s="2">
        <v>1694.8</v>
      </c>
      <c r="P4558">
        <v>206</v>
      </c>
      <c r="Q4558" s="2">
        <v>349128.8</v>
      </c>
      <c r="R4558">
        <v>0</v>
      </c>
      <c r="V4558">
        <v>0</v>
      </c>
      <c r="W4558">
        <v>0</v>
      </c>
      <c r="X4558">
        <v>0</v>
      </c>
      <c r="Y4558">
        <v>0</v>
      </c>
      <c r="Z4558" s="2">
        <v>1694.8</v>
      </c>
      <c r="AA4558">
        <v>0</v>
      </c>
      <c r="AB4558" s="1">
        <v>42382</v>
      </c>
      <c r="AC4558" t="s">
        <v>53</v>
      </c>
      <c r="AD4558" t="s">
        <v>53</v>
      </c>
      <c r="AK4558">
        <v>0</v>
      </c>
      <c r="AU4558" s="6">
        <v>42305</v>
      </c>
      <c r="AV4558" s="6">
        <v>42305</v>
      </c>
      <c r="AW4558" t="s">
        <v>54</v>
      </c>
      <c r="AX4558" t="str">
        <f t="shared" si="379"/>
        <v>FOR</v>
      </c>
      <c r="AY4558" t="s">
        <v>55</v>
      </c>
    </row>
    <row r="4559" spans="1:51">
      <c r="A4559">
        <v>101594</v>
      </c>
      <c r="B4559" t="s">
        <v>829</v>
      </c>
      <c r="C4559" t="str">
        <f t="shared" si="380"/>
        <v>01432450623</v>
      </c>
      <c r="D4559" t="str">
        <f t="shared" si="380"/>
        <v>01432450623</v>
      </c>
      <c r="E4559" t="s">
        <v>52</v>
      </c>
      <c r="F4559">
        <v>2014</v>
      </c>
      <c r="G4559">
        <v>1271</v>
      </c>
      <c r="H4559" s="1">
        <v>42004</v>
      </c>
      <c r="I4559" s="1">
        <v>42254</v>
      </c>
      <c r="J4559" s="1">
        <v>42254</v>
      </c>
      <c r="K4559" s="1">
        <v>42314</v>
      </c>
      <c r="L4559" s="7">
        <v>2944.82</v>
      </c>
      <c r="M4559" s="5">
        <v>-9</v>
      </c>
      <c r="N4559" s="7">
        <v>-26503.38</v>
      </c>
      <c r="O4559" s="2">
        <v>2944.82</v>
      </c>
      <c r="P4559">
        <v>-9</v>
      </c>
      <c r="Q4559" s="2">
        <v>-26503.38</v>
      </c>
      <c r="R4559">
        <v>0</v>
      </c>
      <c r="V4559">
        <v>0</v>
      </c>
      <c r="W4559">
        <v>0</v>
      </c>
      <c r="X4559">
        <v>0</v>
      </c>
      <c r="Y4559">
        <v>0</v>
      </c>
      <c r="Z4559" s="2">
        <v>2944.82</v>
      </c>
      <c r="AA4559">
        <v>0</v>
      </c>
      <c r="AB4559" s="1">
        <v>42382</v>
      </c>
      <c r="AC4559" t="s">
        <v>53</v>
      </c>
      <c r="AD4559" t="s">
        <v>53</v>
      </c>
      <c r="AK4559">
        <v>0</v>
      </c>
      <c r="AU4559" s="6">
        <v>42305</v>
      </c>
      <c r="AV4559" s="6">
        <v>42305</v>
      </c>
      <c r="AW4559" t="s">
        <v>54</v>
      </c>
      <c r="AX4559" t="str">
        <f t="shared" si="379"/>
        <v>FOR</v>
      </c>
      <c r="AY4559" t="s">
        <v>55</v>
      </c>
    </row>
    <row r="4560" spans="1:51">
      <c r="A4560">
        <v>101594</v>
      </c>
      <c r="B4560" t="s">
        <v>829</v>
      </c>
      <c r="C4560" t="str">
        <f t="shared" si="380"/>
        <v>01432450623</v>
      </c>
      <c r="D4560" t="str">
        <f t="shared" si="380"/>
        <v>01432450623</v>
      </c>
      <c r="E4560" t="s">
        <v>52</v>
      </c>
      <c r="F4560">
        <v>2014</v>
      </c>
      <c r="G4560">
        <v>1272</v>
      </c>
      <c r="H4560" s="1">
        <v>42004</v>
      </c>
      <c r="I4560" s="1">
        <v>42254</v>
      </c>
      <c r="J4560" s="1">
        <v>42254</v>
      </c>
      <c r="K4560" s="1">
        <v>42314</v>
      </c>
      <c r="L4560" s="7">
        <v>1061.4000000000001</v>
      </c>
      <c r="M4560" s="5">
        <v>-9</v>
      </c>
      <c r="N4560" s="7">
        <v>-9552.6</v>
      </c>
      <c r="O4560" s="2">
        <v>1061.4000000000001</v>
      </c>
      <c r="P4560">
        <v>-9</v>
      </c>
      <c r="Q4560" s="2">
        <v>-9552.6</v>
      </c>
      <c r="R4560">
        <v>0</v>
      </c>
      <c r="V4560">
        <v>0</v>
      </c>
      <c r="W4560">
        <v>0</v>
      </c>
      <c r="X4560">
        <v>0</v>
      </c>
      <c r="Y4560">
        <v>0</v>
      </c>
      <c r="Z4560" s="2">
        <v>1061.4000000000001</v>
      </c>
      <c r="AA4560">
        <v>0</v>
      </c>
      <c r="AB4560" s="1">
        <v>42382</v>
      </c>
      <c r="AC4560" t="s">
        <v>53</v>
      </c>
      <c r="AD4560" t="s">
        <v>53</v>
      </c>
      <c r="AK4560">
        <v>0</v>
      </c>
      <c r="AU4560" s="6">
        <v>42305</v>
      </c>
      <c r="AV4560" s="6">
        <v>42305</v>
      </c>
      <c r="AW4560" t="s">
        <v>54</v>
      </c>
      <c r="AX4560" t="str">
        <f t="shared" si="379"/>
        <v>FOR</v>
      </c>
      <c r="AY4560" t="s">
        <v>55</v>
      </c>
    </row>
    <row r="4561" spans="1:51">
      <c r="A4561">
        <v>101594</v>
      </c>
      <c r="B4561" t="s">
        <v>829</v>
      </c>
      <c r="C4561" t="str">
        <f t="shared" si="380"/>
        <v>01432450623</v>
      </c>
      <c r="D4561" t="str">
        <f t="shared" si="380"/>
        <v>01432450623</v>
      </c>
      <c r="E4561" t="s">
        <v>52</v>
      </c>
      <c r="F4561">
        <v>2014</v>
      </c>
      <c r="G4561">
        <v>1273</v>
      </c>
      <c r="H4561" s="1">
        <v>42004</v>
      </c>
      <c r="I4561" s="1">
        <v>42039</v>
      </c>
      <c r="J4561" s="1">
        <v>42039</v>
      </c>
      <c r="K4561" s="1">
        <v>42099</v>
      </c>
      <c r="L4561" s="7">
        <v>597.79999999999995</v>
      </c>
      <c r="M4561" s="5">
        <v>206</v>
      </c>
      <c r="N4561" s="7">
        <v>123146.8</v>
      </c>
      <c r="O4561">
        <v>597.79999999999995</v>
      </c>
      <c r="P4561">
        <v>206</v>
      </c>
      <c r="Q4561" s="2">
        <v>123146.8</v>
      </c>
      <c r="R4561">
        <v>0</v>
      </c>
      <c r="V4561">
        <v>0</v>
      </c>
      <c r="W4561">
        <v>0</v>
      </c>
      <c r="X4561">
        <v>0</v>
      </c>
      <c r="Y4561">
        <v>0</v>
      </c>
      <c r="Z4561">
        <v>597.79999999999995</v>
      </c>
      <c r="AA4561">
        <v>0</v>
      </c>
      <c r="AB4561" s="1">
        <v>42382</v>
      </c>
      <c r="AC4561" t="s">
        <v>53</v>
      </c>
      <c r="AD4561" t="s">
        <v>53</v>
      </c>
      <c r="AK4561">
        <v>0</v>
      </c>
      <c r="AU4561" s="6">
        <v>42305</v>
      </c>
      <c r="AV4561" s="6">
        <v>42305</v>
      </c>
      <c r="AW4561" t="s">
        <v>54</v>
      </c>
      <c r="AX4561" t="str">
        <f t="shared" si="379"/>
        <v>FOR</v>
      </c>
      <c r="AY4561" t="s">
        <v>55</v>
      </c>
    </row>
    <row r="4562" spans="1:51" hidden="1">
      <c r="A4562">
        <v>101601</v>
      </c>
      <c r="B4562" t="s">
        <v>830</v>
      </c>
      <c r="C4562" t="str">
        <f t="shared" ref="C4562:C4573" si="381">"00674091202"</f>
        <v>00674091202</v>
      </c>
      <c r="D4562" t="str">
        <f t="shared" ref="D4562:D4573" si="382">"03898780378"</f>
        <v>03898780378</v>
      </c>
      <c r="E4562" t="s">
        <v>52</v>
      </c>
      <c r="F4562">
        <v>2014</v>
      </c>
      <c r="G4562">
        <v>676</v>
      </c>
      <c r="H4562" s="1">
        <v>41698</v>
      </c>
      <c r="I4562" s="1">
        <v>41712</v>
      </c>
      <c r="J4562" s="1">
        <v>41712</v>
      </c>
      <c r="K4562" s="1">
        <v>41802</v>
      </c>
      <c r="N4562" s="5"/>
      <c r="O4562" s="2">
        <v>2013</v>
      </c>
      <c r="P4562">
        <v>356</v>
      </c>
      <c r="Q4562" s="2">
        <v>716628</v>
      </c>
      <c r="R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 s="1">
        <v>42382</v>
      </c>
      <c r="AC4562" t="s">
        <v>53</v>
      </c>
      <c r="AD4562" t="s">
        <v>53</v>
      </c>
      <c r="AK4562">
        <v>0</v>
      </c>
      <c r="AU4562" s="6">
        <v>42158</v>
      </c>
      <c r="AV4562" s="6">
        <v>42158</v>
      </c>
      <c r="AW4562" t="s">
        <v>54</v>
      </c>
      <c r="AX4562" t="str">
        <f t="shared" si="379"/>
        <v>FOR</v>
      </c>
      <c r="AY4562" t="s">
        <v>55</v>
      </c>
    </row>
    <row r="4563" spans="1:51" hidden="1">
      <c r="A4563">
        <v>101601</v>
      </c>
      <c r="B4563" t="s">
        <v>830</v>
      </c>
      <c r="C4563" t="str">
        <f t="shared" si="381"/>
        <v>00674091202</v>
      </c>
      <c r="D4563" t="str">
        <f t="shared" si="382"/>
        <v>03898780378</v>
      </c>
      <c r="E4563" t="s">
        <v>52</v>
      </c>
      <c r="F4563">
        <v>2014</v>
      </c>
      <c r="G4563">
        <v>906</v>
      </c>
      <c r="H4563" s="1">
        <v>41729</v>
      </c>
      <c r="I4563" s="1">
        <v>41744</v>
      </c>
      <c r="J4563" s="1">
        <v>41744</v>
      </c>
      <c r="K4563" s="1">
        <v>41834</v>
      </c>
      <c r="N4563" s="5"/>
      <c r="O4563" s="2">
        <v>2013</v>
      </c>
      <c r="P4563">
        <v>324</v>
      </c>
      <c r="Q4563" s="2">
        <v>652212</v>
      </c>
      <c r="R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 s="1">
        <v>42382</v>
      </c>
      <c r="AC4563" t="s">
        <v>53</v>
      </c>
      <c r="AD4563" t="s">
        <v>53</v>
      </c>
      <c r="AK4563">
        <v>0</v>
      </c>
      <c r="AU4563" s="6">
        <v>42158</v>
      </c>
      <c r="AV4563" s="6">
        <v>42158</v>
      </c>
      <c r="AW4563" t="s">
        <v>54</v>
      </c>
      <c r="AX4563" t="str">
        <f t="shared" si="379"/>
        <v>FOR</v>
      </c>
      <c r="AY4563" t="s">
        <v>55</v>
      </c>
    </row>
    <row r="4564" spans="1:51" hidden="1">
      <c r="A4564">
        <v>101601</v>
      </c>
      <c r="B4564" t="s">
        <v>830</v>
      </c>
      <c r="C4564" t="str">
        <f t="shared" si="381"/>
        <v>00674091202</v>
      </c>
      <c r="D4564" t="str">
        <f t="shared" si="382"/>
        <v>03898780378</v>
      </c>
      <c r="E4564" t="s">
        <v>52</v>
      </c>
      <c r="F4564">
        <v>2014</v>
      </c>
      <c r="G4564">
        <v>1609</v>
      </c>
      <c r="H4564" s="1">
        <v>41759</v>
      </c>
      <c r="I4564" s="1">
        <v>41778</v>
      </c>
      <c r="J4564" s="1">
        <v>41778</v>
      </c>
      <c r="K4564" s="1">
        <v>41868</v>
      </c>
      <c r="N4564" s="5"/>
      <c r="O4564" s="2">
        <v>2013</v>
      </c>
      <c r="P4564">
        <v>290</v>
      </c>
      <c r="Q4564" s="2">
        <v>583770</v>
      </c>
      <c r="R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 s="1">
        <v>42382</v>
      </c>
      <c r="AC4564" t="s">
        <v>53</v>
      </c>
      <c r="AD4564" t="s">
        <v>53</v>
      </c>
      <c r="AK4564">
        <v>0</v>
      </c>
      <c r="AU4564" s="6">
        <v>42158</v>
      </c>
      <c r="AV4564" s="6">
        <v>42158</v>
      </c>
      <c r="AW4564" t="s">
        <v>54</v>
      </c>
      <c r="AX4564" t="str">
        <f t="shared" si="379"/>
        <v>FOR</v>
      </c>
      <c r="AY4564" t="s">
        <v>55</v>
      </c>
    </row>
    <row r="4565" spans="1:51" hidden="1">
      <c r="A4565">
        <v>101601</v>
      </c>
      <c r="B4565" t="s">
        <v>830</v>
      </c>
      <c r="C4565" t="str">
        <f t="shared" si="381"/>
        <v>00674091202</v>
      </c>
      <c r="D4565" t="str">
        <f t="shared" si="382"/>
        <v>03898780378</v>
      </c>
      <c r="E4565" t="s">
        <v>52</v>
      </c>
      <c r="F4565">
        <v>2014</v>
      </c>
      <c r="G4565">
        <v>1850</v>
      </c>
      <c r="H4565" s="1">
        <v>41790</v>
      </c>
      <c r="I4565" s="1">
        <v>41806</v>
      </c>
      <c r="J4565" s="1">
        <v>41806</v>
      </c>
      <c r="K4565" s="1">
        <v>41896</v>
      </c>
      <c r="N4565" s="5"/>
      <c r="O4565" s="2">
        <v>2013</v>
      </c>
      <c r="P4565">
        <v>262</v>
      </c>
      <c r="Q4565" s="2">
        <v>527406</v>
      </c>
      <c r="R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 s="1">
        <v>42382</v>
      </c>
      <c r="AC4565" t="s">
        <v>53</v>
      </c>
      <c r="AD4565" t="s">
        <v>53</v>
      </c>
      <c r="AK4565">
        <v>0</v>
      </c>
      <c r="AU4565" s="6">
        <v>42158</v>
      </c>
      <c r="AV4565" s="6">
        <v>42158</v>
      </c>
      <c r="AW4565" t="s">
        <v>54</v>
      </c>
      <c r="AX4565" t="str">
        <f t="shared" si="379"/>
        <v>FOR</v>
      </c>
      <c r="AY4565" t="s">
        <v>55</v>
      </c>
    </row>
    <row r="4566" spans="1:51" hidden="1">
      <c r="A4566">
        <v>101601</v>
      </c>
      <c r="B4566" t="s">
        <v>830</v>
      </c>
      <c r="C4566" t="str">
        <f t="shared" si="381"/>
        <v>00674091202</v>
      </c>
      <c r="D4566" t="str">
        <f t="shared" si="382"/>
        <v>03898780378</v>
      </c>
      <c r="E4566" t="s">
        <v>52</v>
      </c>
      <c r="F4566">
        <v>2014</v>
      </c>
      <c r="G4566">
        <v>2252</v>
      </c>
      <c r="H4566" s="1">
        <v>41820</v>
      </c>
      <c r="I4566" s="1">
        <v>41836</v>
      </c>
      <c r="J4566" s="1">
        <v>41836</v>
      </c>
      <c r="K4566" s="1">
        <v>41926</v>
      </c>
      <c r="N4566" s="5"/>
      <c r="O4566" s="2">
        <v>2013</v>
      </c>
      <c r="P4566">
        <v>232</v>
      </c>
      <c r="Q4566" s="2">
        <v>467016</v>
      </c>
      <c r="R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 s="1">
        <v>42382</v>
      </c>
      <c r="AC4566" t="s">
        <v>53</v>
      </c>
      <c r="AD4566" t="s">
        <v>53</v>
      </c>
      <c r="AK4566">
        <v>0</v>
      </c>
      <c r="AU4566" s="6">
        <v>42158</v>
      </c>
      <c r="AV4566" s="6">
        <v>42158</v>
      </c>
      <c r="AW4566" t="s">
        <v>54</v>
      </c>
      <c r="AX4566" t="str">
        <f t="shared" si="379"/>
        <v>FOR</v>
      </c>
      <c r="AY4566" t="s">
        <v>55</v>
      </c>
    </row>
    <row r="4567" spans="1:51" hidden="1">
      <c r="A4567">
        <v>101601</v>
      </c>
      <c r="B4567" t="s">
        <v>830</v>
      </c>
      <c r="C4567" t="str">
        <f t="shared" si="381"/>
        <v>00674091202</v>
      </c>
      <c r="D4567" t="str">
        <f t="shared" si="382"/>
        <v>03898780378</v>
      </c>
      <c r="E4567" t="s">
        <v>52</v>
      </c>
      <c r="F4567">
        <v>2014</v>
      </c>
      <c r="G4567">
        <v>2859</v>
      </c>
      <c r="H4567" s="1">
        <v>41851</v>
      </c>
      <c r="I4567" s="1">
        <v>41883</v>
      </c>
      <c r="J4567" s="1">
        <v>41883</v>
      </c>
      <c r="K4567" s="1">
        <v>41973</v>
      </c>
      <c r="N4567" s="5"/>
      <c r="O4567" s="2">
        <v>2013</v>
      </c>
      <c r="P4567">
        <v>185</v>
      </c>
      <c r="Q4567" s="2">
        <v>372405</v>
      </c>
      <c r="R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 s="1">
        <v>42382</v>
      </c>
      <c r="AC4567" t="s">
        <v>53</v>
      </c>
      <c r="AD4567" t="s">
        <v>53</v>
      </c>
      <c r="AK4567">
        <v>0</v>
      </c>
      <c r="AU4567" s="6">
        <v>42158</v>
      </c>
      <c r="AV4567" s="6">
        <v>42158</v>
      </c>
      <c r="AW4567" t="s">
        <v>54</v>
      </c>
      <c r="AX4567" t="str">
        <f t="shared" si="379"/>
        <v>FOR</v>
      </c>
      <c r="AY4567" t="s">
        <v>55</v>
      </c>
    </row>
    <row r="4568" spans="1:51" hidden="1">
      <c r="A4568">
        <v>101601</v>
      </c>
      <c r="B4568" t="s">
        <v>830</v>
      </c>
      <c r="C4568" t="str">
        <f t="shared" si="381"/>
        <v>00674091202</v>
      </c>
      <c r="D4568" t="str">
        <f t="shared" si="382"/>
        <v>03898780378</v>
      </c>
      <c r="E4568" t="s">
        <v>52</v>
      </c>
      <c r="F4568">
        <v>2014</v>
      </c>
      <c r="G4568">
        <v>3123</v>
      </c>
      <c r="H4568" s="1">
        <v>41880</v>
      </c>
      <c r="I4568" s="1">
        <v>41928</v>
      </c>
      <c r="J4568" s="1">
        <v>41928</v>
      </c>
      <c r="K4568" s="1">
        <v>41988</v>
      </c>
      <c r="N4568" s="5"/>
      <c r="O4568" s="2">
        <v>2013</v>
      </c>
      <c r="P4568">
        <v>196</v>
      </c>
      <c r="Q4568" s="2">
        <v>394548</v>
      </c>
      <c r="R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 s="1">
        <v>42382</v>
      </c>
      <c r="AC4568" t="s">
        <v>53</v>
      </c>
      <c r="AD4568" t="s">
        <v>53</v>
      </c>
      <c r="AK4568">
        <v>0</v>
      </c>
      <c r="AU4568" s="6">
        <v>42184</v>
      </c>
      <c r="AV4568" s="6">
        <v>42184</v>
      </c>
      <c r="AW4568" t="s">
        <v>54</v>
      </c>
      <c r="AX4568" t="str">
        <f t="shared" si="379"/>
        <v>FOR</v>
      </c>
      <c r="AY4568" t="s">
        <v>55</v>
      </c>
    </row>
    <row r="4569" spans="1:51" hidden="1">
      <c r="A4569">
        <v>101601</v>
      </c>
      <c r="B4569" t="s">
        <v>830</v>
      </c>
      <c r="C4569" t="str">
        <f t="shared" si="381"/>
        <v>00674091202</v>
      </c>
      <c r="D4569" t="str">
        <f t="shared" si="382"/>
        <v>03898780378</v>
      </c>
      <c r="E4569" t="s">
        <v>52</v>
      </c>
      <c r="F4569">
        <v>2014</v>
      </c>
      <c r="G4569">
        <v>3153</v>
      </c>
      <c r="H4569" s="1">
        <v>41897</v>
      </c>
      <c r="I4569" s="1">
        <v>41907</v>
      </c>
      <c r="J4569" s="1">
        <v>41907</v>
      </c>
      <c r="K4569" s="1">
        <v>41997</v>
      </c>
      <c r="N4569" s="5"/>
      <c r="O4569" s="2">
        <v>7251.38</v>
      </c>
      <c r="P4569">
        <v>251</v>
      </c>
      <c r="Q4569" s="2">
        <v>1820096.38</v>
      </c>
      <c r="R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 s="1">
        <v>42382</v>
      </c>
      <c r="AC4569" t="s">
        <v>53</v>
      </c>
      <c r="AD4569" t="s">
        <v>53</v>
      </c>
      <c r="AK4569">
        <v>0</v>
      </c>
      <c r="AU4569" s="6">
        <v>42248</v>
      </c>
      <c r="AV4569" s="6">
        <v>42248</v>
      </c>
      <c r="AW4569" t="s">
        <v>54</v>
      </c>
      <c r="AX4569" t="str">
        <f t="shared" si="379"/>
        <v>FOR</v>
      </c>
      <c r="AY4569" t="s">
        <v>55</v>
      </c>
    </row>
    <row r="4570" spans="1:51" hidden="1">
      <c r="A4570">
        <v>101601</v>
      </c>
      <c r="B4570" t="s">
        <v>830</v>
      </c>
      <c r="C4570" t="str">
        <f t="shared" si="381"/>
        <v>00674091202</v>
      </c>
      <c r="D4570" t="str">
        <f t="shared" si="382"/>
        <v>03898780378</v>
      </c>
      <c r="E4570" t="s">
        <v>52</v>
      </c>
      <c r="F4570">
        <v>2014</v>
      </c>
      <c r="G4570">
        <v>3527</v>
      </c>
      <c r="H4570" s="1">
        <v>41912</v>
      </c>
      <c r="I4570" s="1">
        <v>41929</v>
      </c>
      <c r="J4570" s="1">
        <v>41929</v>
      </c>
      <c r="K4570" s="1">
        <v>41989</v>
      </c>
      <c r="N4570" s="5"/>
      <c r="O4570" s="2">
        <v>2013</v>
      </c>
      <c r="P4570">
        <v>259</v>
      </c>
      <c r="Q4570" s="2">
        <v>521367</v>
      </c>
      <c r="R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 s="1">
        <v>42382</v>
      </c>
      <c r="AC4570" t="s">
        <v>53</v>
      </c>
      <c r="AD4570" t="s">
        <v>53</v>
      </c>
      <c r="AK4570">
        <v>0</v>
      </c>
      <c r="AU4570" s="6">
        <v>42248</v>
      </c>
      <c r="AV4570" s="6">
        <v>42248</v>
      </c>
      <c r="AW4570" t="s">
        <v>54</v>
      </c>
      <c r="AX4570" t="str">
        <f t="shared" si="379"/>
        <v>FOR</v>
      </c>
      <c r="AY4570" t="s">
        <v>55</v>
      </c>
    </row>
    <row r="4571" spans="1:51">
      <c r="A4571">
        <v>101601</v>
      </c>
      <c r="B4571" t="s">
        <v>830</v>
      </c>
      <c r="C4571" t="str">
        <f t="shared" si="381"/>
        <v>00674091202</v>
      </c>
      <c r="D4571" t="str">
        <f t="shared" si="382"/>
        <v>03898780378</v>
      </c>
      <c r="E4571" t="s">
        <v>52</v>
      </c>
      <c r="F4571">
        <v>2014</v>
      </c>
      <c r="G4571">
        <v>3909</v>
      </c>
      <c r="H4571" s="1">
        <v>41943</v>
      </c>
      <c r="I4571" s="1">
        <v>41957</v>
      </c>
      <c r="J4571" s="1">
        <v>41957</v>
      </c>
      <c r="K4571" s="1">
        <v>42017</v>
      </c>
      <c r="L4571" s="7">
        <v>2013</v>
      </c>
      <c r="M4571" s="5">
        <v>265</v>
      </c>
      <c r="N4571" s="7">
        <v>533445</v>
      </c>
      <c r="O4571" s="2">
        <v>2013</v>
      </c>
      <c r="P4571">
        <v>265</v>
      </c>
      <c r="Q4571" s="2">
        <v>533445</v>
      </c>
      <c r="R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 s="1">
        <v>42382</v>
      </c>
      <c r="AC4571" t="s">
        <v>53</v>
      </c>
      <c r="AD4571" t="s">
        <v>53</v>
      </c>
      <c r="AK4571">
        <v>0</v>
      </c>
      <c r="AU4571" s="6">
        <v>42282</v>
      </c>
      <c r="AV4571" s="6">
        <v>42282</v>
      </c>
      <c r="AW4571" t="s">
        <v>54</v>
      </c>
      <c r="AX4571" t="str">
        <f t="shared" si="379"/>
        <v>FOR</v>
      </c>
      <c r="AY4571" t="s">
        <v>55</v>
      </c>
    </row>
    <row r="4572" spans="1:51">
      <c r="A4572">
        <v>101601</v>
      </c>
      <c r="B4572" t="s">
        <v>830</v>
      </c>
      <c r="C4572" t="str">
        <f t="shared" si="381"/>
        <v>00674091202</v>
      </c>
      <c r="D4572" t="str">
        <f t="shared" si="382"/>
        <v>03898780378</v>
      </c>
      <c r="E4572" t="s">
        <v>52</v>
      </c>
      <c r="F4572">
        <v>2014</v>
      </c>
      <c r="G4572">
        <v>4318</v>
      </c>
      <c r="H4572" s="1">
        <v>41973</v>
      </c>
      <c r="I4572" s="1">
        <v>41990</v>
      </c>
      <c r="J4572" s="1">
        <v>41990</v>
      </c>
      <c r="K4572" s="1">
        <v>42050</v>
      </c>
      <c r="L4572" s="7">
        <v>2013</v>
      </c>
      <c r="M4572" s="5">
        <v>232</v>
      </c>
      <c r="N4572" s="7">
        <v>467016</v>
      </c>
      <c r="O4572" s="2">
        <v>2013</v>
      </c>
      <c r="P4572">
        <v>232</v>
      </c>
      <c r="Q4572" s="2">
        <v>467016</v>
      </c>
      <c r="R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 s="1">
        <v>42382</v>
      </c>
      <c r="AC4572" t="s">
        <v>53</v>
      </c>
      <c r="AD4572" t="s">
        <v>53</v>
      </c>
      <c r="AK4572">
        <v>0</v>
      </c>
      <c r="AU4572" s="6">
        <v>42282</v>
      </c>
      <c r="AV4572" s="6">
        <v>42282</v>
      </c>
      <c r="AW4572" t="s">
        <v>54</v>
      </c>
      <c r="AX4572" t="str">
        <f t="shared" si="379"/>
        <v>FOR</v>
      </c>
      <c r="AY4572" t="s">
        <v>55</v>
      </c>
    </row>
    <row r="4573" spans="1:51">
      <c r="A4573">
        <v>101601</v>
      </c>
      <c r="B4573" t="s">
        <v>830</v>
      </c>
      <c r="C4573" t="str">
        <f t="shared" si="381"/>
        <v>00674091202</v>
      </c>
      <c r="D4573" t="str">
        <f t="shared" si="382"/>
        <v>03898780378</v>
      </c>
      <c r="E4573" t="s">
        <v>52</v>
      </c>
      <c r="F4573">
        <v>2014</v>
      </c>
      <c r="G4573">
        <v>4726</v>
      </c>
      <c r="H4573" s="1">
        <v>42004</v>
      </c>
      <c r="I4573" s="1">
        <v>42004</v>
      </c>
      <c r="J4573" s="1">
        <v>42004</v>
      </c>
      <c r="K4573" s="1">
        <v>42064</v>
      </c>
      <c r="L4573" s="7">
        <v>2013</v>
      </c>
      <c r="M4573" s="5">
        <v>236</v>
      </c>
      <c r="N4573" s="7">
        <v>475068</v>
      </c>
      <c r="O4573" s="2">
        <v>2013</v>
      </c>
      <c r="P4573">
        <v>236</v>
      </c>
      <c r="Q4573" s="2">
        <v>475068</v>
      </c>
      <c r="R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 s="1">
        <v>42382</v>
      </c>
      <c r="AC4573" t="s">
        <v>53</v>
      </c>
      <c r="AD4573" t="s">
        <v>53</v>
      </c>
      <c r="AK4573">
        <v>0</v>
      </c>
      <c r="AU4573" s="6">
        <v>42300</v>
      </c>
      <c r="AV4573" s="6">
        <v>42300</v>
      </c>
      <c r="AW4573" t="s">
        <v>54</v>
      </c>
      <c r="AX4573" t="str">
        <f t="shared" si="379"/>
        <v>FOR</v>
      </c>
      <c r="AY4573" t="s">
        <v>55</v>
      </c>
    </row>
    <row r="4574" spans="1:51" hidden="1">
      <c r="A4574">
        <v>101604</v>
      </c>
      <c r="B4574" t="s">
        <v>831</v>
      </c>
      <c r="C4574" t="str">
        <f t="shared" ref="C4574:D4601" si="383">"10804870151"</f>
        <v>10804870151</v>
      </c>
      <c r="D4574" t="str">
        <f t="shared" si="383"/>
        <v>10804870151</v>
      </c>
      <c r="E4574" t="s">
        <v>52</v>
      </c>
      <c r="F4574">
        <v>2014</v>
      </c>
      <c r="G4574">
        <v>40301062</v>
      </c>
      <c r="H4574" s="1">
        <v>41739</v>
      </c>
      <c r="I4574" s="1">
        <v>41872</v>
      </c>
      <c r="J4574" s="1">
        <v>41872</v>
      </c>
      <c r="K4574" s="1">
        <v>41962</v>
      </c>
      <c r="N4574" s="5"/>
      <c r="O4574" s="2">
        <v>10614</v>
      </c>
      <c r="P4574">
        <v>133</v>
      </c>
      <c r="Q4574" s="2">
        <v>1411662</v>
      </c>
      <c r="R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 s="1">
        <v>42382</v>
      </c>
      <c r="AC4574" t="s">
        <v>53</v>
      </c>
      <c r="AD4574" t="s">
        <v>53</v>
      </c>
      <c r="AK4574">
        <v>0</v>
      </c>
      <c r="AU4574" s="6">
        <v>42095</v>
      </c>
      <c r="AV4574" s="6">
        <v>42095</v>
      </c>
      <c r="AW4574" t="s">
        <v>54</v>
      </c>
      <c r="AX4574" t="str">
        <f t="shared" si="379"/>
        <v>FOR</v>
      </c>
      <c r="AY4574" t="s">
        <v>55</v>
      </c>
    </row>
    <row r="4575" spans="1:51" hidden="1">
      <c r="A4575">
        <v>101604</v>
      </c>
      <c r="B4575" t="s">
        <v>831</v>
      </c>
      <c r="C4575" t="str">
        <f t="shared" si="383"/>
        <v>10804870151</v>
      </c>
      <c r="D4575" t="str">
        <f t="shared" si="383"/>
        <v>10804870151</v>
      </c>
      <c r="E4575" t="s">
        <v>52</v>
      </c>
      <c r="F4575">
        <v>2014</v>
      </c>
      <c r="G4575">
        <v>40301200</v>
      </c>
      <c r="H4575" s="1">
        <v>41759</v>
      </c>
      <c r="I4575" s="1">
        <v>41872</v>
      </c>
      <c r="J4575" s="1">
        <v>41872</v>
      </c>
      <c r="K4575" s="1">
        <v>41962</v>
      </c>
      <c r="N4575" s="5"/>
      <c r="O4575" s="2">
        <v>5307</v>
      </c>
      <c r="P4575">
        <v>133</v>
      </c>
      <c r="Q4575" s="2">
        <v>705831</v>
      </c>
      <c r="R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 s="1">
        <v>42382</v>
      </c>
      <c r="AC4575" t="s">
        <v>53</v>
      </c>
      <c r="AD4575" t="s">
        <v>53</v>
      </c>
      <c r="AK4575">
        <v>0</v>
      </c>
      <c r="AU4575" s="6">
        <v>42095</v>
      </c>
      <c r="AV4575" s="6">
        <v>42095</v>
      </c>
      <c r="AW4575" t="s">
        <v>54</v>
      </c>
      <c r="AX4575" t="str">
        <f t="shared" si="379"/>
        <v>FOR</v>
      </c>
      <c r="AY4575" t="s">
        <v>55</v>
      </c>
    </row>
    <row r="4576" spans="1:51" hidden="1">
      <c r="A4576">
        <v>101604</v>
      </c>
      <c r="B4576" t="s">
        <v>831</v>
      </c>
      <c r="C4576" t="str">
        <f t="shared" si="383"/>
        <v>10804870151</v>
      </c>
      <c r="D4576" t="str">
        <f t="shared" si="383"/>
        <v>10804870151</v>
      </c>
      <c r="E4576" t="s">
        <v>52</v>
      </c>
      <c r="F4576">
        <v>2014</v>
      </c>
      <c r="G4576">
        <v>40301305</v>
      </c>
      <c r="H4576" s="1">
        <v>41768</v>
      </c>
      <c r="I4576" s="1">
        <v>41872</v>
      </c>
      <c r="J4576" s="1">
        <v>41872</v>
      </c>
      <c r="K4576" s="1">
        <v>41962</v>
      </c>
      <c r="N4576" s="5"/>
      <c r="O4576" s="2">
        <v>8137.4</v>
      </c>
      <c r="P4576">
        <v>133</v>
      </c>
      <c r="Q4576" s="2">
        <v>1082274.2</v>
      </c>
      <c r="R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 s="1">
        <v>42382</v>
      </c>
      <c r="AC4576" t="s">
        <v>53</v>
      </c>
      <c r="AD4576" t="s">
        <v>53</v>
      </c>
      <c r="AK4576">
        <v>0</v>
      </c>
      <c r="AU4576" s="6">
        <v>42095</v>
      </c>
      <c r="AV4576" s="6">
        <v>42095</v>
      </c>
      <c r="AW4576" t="s">
        <v>54</v>
      </c>
      <c r="AX4576" t="str">
        <f t="shared" si="379"/>
        <v>FOR</v>
      </c>
      <c r="AY4576" t="s">
        <v>55</v>
      </c>
    </row>
    <row r="4577" spans="1:51" hidden="1">
      <c r="A4577">
        <v>101604</v>
      </c>
      <c r="B4577" t="s">
        <v>831</v>
      </c>
      <c r="C4577" t="str">
        <f t="shared" si="383"/>
        <v>10804870151</v>
      </c>
      <c r="D4577" t="str">
        <f t="shared" si="383"/>
        <v>10804870151</v>
      </c>
      <c r="E4577" t="s">
        <v>52</v>
      </c>
      <c r="F4577">
        <v>2014</v>
      </c>
      <c r="G4577">
        <v>40301315</v>
      </c>
      <c r="H4577" s="1">
        <v>41768</v>
      </c>
      <c r="I4577" s="1">
        <v>41872</v>
      </c>
      <c r="J4577" s="1">
        <v>41872</v>
      </c>
      <c r="K4577" s="1">
        <v>41962</v>
      </c>
      <c r="N4577" s="5"/>
      <c r="O4577" s="2">
        <v>1586</v>
      </c>
      <c r="P4577">
        <v>133</v>
      </c>
      <c r="Q4577" s="2">
        <v>210938</v>
      </c>
      <c r="R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 s="1">
        <v>42382</v>
      </c>
      <c r="AC4577" t="s">
        <v>53</v>
      </c>
      <c r="AD4577" t="s">
        <v>53</v>
      </c>
      <c r="AK4577">
        <v>0</v>
      </c>
      <c r="AU4577" s="6">
        <v>42095</v>
      </c>
      <c r="AV4577" s="6">
        <v>42095</v>
      </c>
      <c r="AW4577" t="s">
        <v>54</v>
      </c>
      <c r="AX4577" t="str">
        <f t="shared" si="379"/>
        <v>FOR</v>
      </c>
      <c r="AY4577" t="s">
        <v>55</v>
      </c>
    </row>
    <row r="4578" spans="1:51" hidden="1">
      <c r="A4578">
        <v>101604</v>
      </c>
      <c r="B4578" t="s">
        <v>831</v>
      </c>
      <c r="C4578" t="str">
        <f t="shared" si="383"/>
        <v>10804870151</v>
      </c>
      <c r="D4578" t="str">
        <f t="shared" si="383"/>
        <v>10804870151</v>
      </c>
      <c r="E4578" t="s">
        <v>52</v>
      </c>
      <c r="F4578">
        <v>2014</v>
      </c>
      <c r="G4578">
        <v>40301329</v>
      </c>
      <c r="H4578" s="1">
        <v>41768</v>
      </c>
      <c r="I4578" s="1">
        <v>41872</v>
      </c>
      <c r="J4578" s="1">
        <v>41872</v>
      </c>
      <c r="K4578" s="1">
        <v>41962</v>
      </c>
      <c r="N4578" s="5"/>
      <c r="O4578" s="2">
        <v>1098</v>
      </c>
      <c r="P4578">
        <v>133</v>
      </c>
      <c r="Q4578" s="2">
        <v>146034</v>
      </c>
      <c r="R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 s="1">
        <v>42382</v>
      </c>
      <c r="AC4578" t="s">
        <v>53</v>
      </c>
      <c r="AD4578" t="s">
        <v>53</v>
      </c>
      <c r="AK4578">
        <v>0</v>
      </c>
      <c r="AU4578" s="6">
        <v>42095</v>
      </c>
      <c r="AV4578" s="6">
        <v>42095</v>
      </c>
      <c r="AW4578" t="s">
        <v>54</v>
      </c>
      <c r="AX4578" t="str">
        <f t="shared" si="379"/>
        <v>FOR</v>
      </c>
      <c r="AY4578" t="s">
        <v>55</v>
      </c>
    </row>
    <row r="4579" spans="1:51" hidden="1">
      <c r="A4579">
        <v>101604</v>
      </c>
      <c r="B4579" t="s">
        <v>831</v>
      </c>
      <c r="C4579" t="str">
        <f t="shared" si="383"/>
        <v>10804870151</v>
      </c>
      <c r="D4579" t="str">
        <f t="shared" si="383"/>
        <v>10804870151</v>
      </c>
      <c r="E4579" t="s">
        <v>52</v>
      </c>
      <c r="F4579">
        <v>2014</v>
      </c>
      <c r="G4579">
        <v>40301710</v>
      </c>
      <c r="H4579" s="1">
        <v>41790</v>
      </c>
      <c r="I4579" s="1">
        <v>41872</v>
      </c>
      <c r="J4579" s="1">
        <v>41872</v>
      </c>
      <c r="K4579" s="1">
        <v>41962</v>
      </c>
      <c r="N4579" s="5"/>
      <c r="O4579" s="2">
        <v>3660</v>
      </c>
      <c r="P4579">
        <v>133</v>
      </c>
      <c r="Q4579" s="2">
        <v>486780</v>
      </c>
      <c r="R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 s="1">
        <v>42382</v>
      </c>
      <c r="AC4579" t="s">
        <v>53</v>
      </c>
      <c r="AD4579" t="s">
        <v>53</v>
      </c>
      <c r="AK4579">
        <v>0</v>
      </c>
      <c r="AU4579" s="6">
        <v>42095</v>
      </c>
      <c r="AV4579" s="6">
        <v>42095</v>
      </c>
      <c r="AW4579" t="s">
        <v>54</v>
      </c>
      <c r="AX4579" t="str">
        <f t="shared" si="379"/>
        <v>FOR</v>
      </c>
      <c r="AY4579" t="s">
        <v>55</v>
      </c>
    </row>
    <row r="4580" spans="1:51" hidden="1">
      <c r="A4580">
        <v>101604</v>
      </c>
      <c r="B4580" t="s">
        <v>831</v>
      </c>
      <c r="C4580" t="str">
        <f t="shared" si="383"/>
        <v>10804870151</v>
      </c>
      <c r="D4580" t="str">
        <f t="shared" si="383"/>
        <v>10804870151</v>
      </c>
      <c r="E4580" t="s">
        <v>52</v>
      </c>
      <c r="F4580">
        <v>2014</v>
      </c>
      <c r="G4580">
        <v>40301793</v>
      </c>
      <c r="H4580" s="1">
        <v>41790</v>
      </c>
      <c r="I4580" s="1">
        <v>41872</v>
      </c>
      <c r="J4580" s="1">
        <v>41872</v>
      </c>
      <c r="K4580" s="1">
        <v>41962</v>
      </c>
      <c r="N4580" s="5"/>
      <c r="O4580" s="2">
        <v>3660</v>
      </c>
      <c r="P4580">
        <v>133</v>
      </c>
      <c r="Q4580" s="2">
        <v>486780</v>
      </c>
      <c r="R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 s="1">
        <v>42382</v>
      </c>
      <c r="AC4580" t="s">
        <v>53</v>
      </c>
      <c r="AD4580" t="s">
        <v>53</v>
      </c>
      <c r="AK4580">
        <v>0</v>
      </c>
      <c r="AU4580" s="6">
        <v>42095</v>
      </c>
      <c r="AV4580" s="6">
        <v>42095</v>
      </c>
      <c r="AW4580" t="s">
        <v>54</v>
      </c>
      <c r="AX4580" t="str">
        <f t="shared" si="379"/>
        <v>FOR</v>
      </c>
      <c r="AY4580" t="s">
        <v>55</v>
      </c>
    </row>
    <row r="4581" spans="1:51" hidden="1">
      <c r="A4581">
        <v>101604</v>
      </c>
      <c r="B4581" t="s">
        <v>831</v>
      </c>
      <c r="C4581" t="str">
        <f t="shared" si="383"/>
        <v>10804870151</v>
      </c>
      <c r="D4581" t="str">
        <f t="shared" si="383"/>
        <v>10804870151</v>
      </c>
      <c r="E4581" t="s">
        <v>52</v>
      </c>
      <c r="F4581">
        <v>2014</v>
      </c>
      <c r="G4581">
        <v>40302020</v>
      </c>
      <c r="H4581" s="1">
        <v>41810</v>
      </c>
      <c r="I4581" s="1">
        <v>41911</v>
      </c>
      <c r="J4581" s="1">
        <v>41911</v>
      </c>
      <c r="K4581" s="1">
        <v>42001</v>
      </c>
      <c r="N4581" s="5"/>
      <c r="O4581" s="2">
        <v>3660</v>
      </c>
      <c r="P4581">
        <v>130</v>
      </c>
      <c r="Q4581" s="2">
        <v>475800</v>
      </c>
      <c r="R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 s="1">
        <v>42382</v>
      </c>
      <c r="AC4581" t="s">
        <v>53</v>
      </c>
      <c r="AD4581" t="s">
        <v>53</v>
      </c>
      <c r="AK4581">
        <v>0</v>
      </c>
      <c r="AU4581" s="6">
        <v>42131</v>
      </c>
      <c r="AV4581" s="6">
        <v>42131</v>
      </c>
      <c r="AW4581" t="s">
        <v>54</v>
      </c>
      <c r="AX4581" t="str">
        <f t="shared" si="379"/>
        <v>FOR</v>
      </c>
      <c r="AY4581" t="s">
        <v>55</v>
      </c>
    </row>
    <row r="4582" spans="1:51" hidden="1">
      <c r="A4582">
        <v>101604</v>
      </c>
      <c r="B4582" t="s">
        <v>831</v>
      </c>
      <c r="C4582" t="str">
        <f t="shared" si="383"/>
        <v>10804870151</v>
      </c>
      <c r="D4582" t="str">
        <f t="shared" si="383"/>
        <v>10804870151</v>
      </c>
      <c r="E4582" t="s">
        <v>52</v>
      </c>
      <c r="F4582">
        <v>2014</v>
      </c>
      <c r="G4582">
        <v>40302169</v>
      </c>
      <c r="H4582" s="1">
        <v>41820</v>
      </c>
      <c r="I4582" s="1">
        <v>41911</v>
      </c>
      <c r="J4582" s="1">
        <v>41911</v>
      </c>
      <c r="K4582" s="1">
        <v>42001</v>
      </c>
      <c r="N4582" s="5"/>
      <c r="O4582" s="2">
        <v>2684</v>
      </c>
      <c r="P4582">
        <v>130</v>
      </c>
      <c r="Q4582" s="2">
        <v>348920</v>
      </c>
      <c r="R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 s="1">
        <v>42382</v>
      </c>
      <c r="AC4582" t="s">
        <v>53</v>
      </c>
      <c r="AD4582" t="s">
        <v>53</v>
      </c>
      <c r="AK4582">
        <v>0</v>
      </c>
      <c r="AU4582" s="6">
        <v>42131</v>
      </c>
      <c r="AV4582" s="6">
        <v>42131</v>
      </c>
      <c r="AW4582" t="s">
        <v>54</v>
      </c>
      <c r="AX4582" t="str">
        <f t="shared" si="379"/>
        <v>FOR</v>
      </c>
      <c r="AY4582" t="s">
        <v>55</v>
      </c>
    </row>
    <row r="4583" spans="1:51" hidden="1">
      <c r="A4583">
        <v>101604</v>
      </c>
      <c r="B4583" t="s">
        <v>831</v>
      </c>
      <c r="C4583" t="str">
        <f t="shared" si="383"/>
        <v>10804870151</v>
      </c>
      <c r="D4583" t="str">
        <f t="shared" si="383"/>
        <v>10804870151</v>
      </c>
      <c r="E4583" t="s">
        <v>52</v>
      </c>
      <c r="F4583">
        <v>2014</v>
      </c>
      <c r="G4583">
        <v>40302420</v>
      </c>
      <c r="H4583" s="1">
        <v>41844</v>
      </c>
      <c r="I4583" s="1">
        <v>41911</v>
      </c>
      <c r="J4583" s="1">
        <v>41911</v>
      </c>
      <c r="K4583" s="1">
        <v>42001</v>
      </c>
      <c r="N4583" s="5"/>
      <c r="O4583" s="2">
        <v>2745</v>
      </c>
      <c r="P4583">
        <v>157</v>
      </c>
      <c r="Q4583" s="2">
        <v>430965</v>
      </c>
      <c r="R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 s="1">
        <v>42382</v>
      </c>
      <c r="AC4583" t="s">
        <v>53</v>
      </c>
      <c r="AD4583" t="s">
        <v>53</v>
      </c>
      <c r="AK4583">
        <v>0</v>
      </c>
      <c r="AU4583" s="6">
        <v>42158</v>
      </c>
      <c r="AV4583" s="6">
        <v>42158</v>
      </c>
      <c r="AW4583" t="s">
        <v>54</v>
      </c>
      <c r="AX4583" t="str">
        <f t="shared" si="379"/>
        <v>FOR</v>
      </c>
      <c r="AY4583" t="s">
        <v>55</v>
      </c>
    </row>
    <row r="4584" spans="1:51" hidden="1">
      <c r="A4584">
        <v>101604</v>
      </c>
      <c r="B4584" t="s">
        <v>831</v>
      </c>
      <c r="C4584" t="str">
        <f t="shared" si="383"/>
        <v>10804870151</v>
      </c>
      <c r="D4584" t="str">
        <f t="shared" si="383"/>
        <v>10804870151</v>
      </c>
      <c r="E4584" t="s">
        <v>52</v>
      </c>
      <c r="F4584">
        <v>2014</v>
      </c>
      <c r="G4584">
        <v>40302442</v>
      </c>
      <c r="H4584" s="1">
        <v>41844</v>
      </c>
      <c r="I4584" s="1">
        <v>41911</v>
      </c>
      <c r="J4584" s="1">
        <v>41911</v>
      </c>
      <c r="K4584" s="1">
        <v>42001</v>
      </c>
      <c r="N4584" s="5"/>
      <c r="O4584" s="2">
        <v>10614</v>
      </c>
      <c r="P4584">
        <v>157</v>
      </c>
      <c r="Q4584" s="2">
        <v>1666398</v>
      </c>
      <c r="R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 s="1">
        <v>42382</v>
      </c>
      <c r="AC4584" t="s">
        <v>53</v>
      </c>
      <c r="AD4584" t="s">
        <v>53</v>
      </c>
      <c r="AK4584">
        <v>0</v>
      </c>
      <c r="AU4584" s="6">
        <v>42158</v>
      </c>
      <c r="AV4584" s="6">
        <v>42158</v>
      </c>
      <c r="AW4584" t="s">
        <v>54</v>
      </c>
      <c r="AX4584" t="str">
        <f t="shared" si="379"/>
        <v>FOR</v>
      </c>
      <c r="AY4584" t="s">
        <v>55</v>
      </c>
    </row>
    <row r="4585" spans="1:51" hidden="1">
      <c r="A4585">
        <v>101604</v>
      </c>
      <c r="B4585" t="s">
        <v>831</v>
      </c>
      <c r="C4585" t="str">
        <f t="shared" si="383"/>
        <v>10804870151</v>
      </c>
      <c r="D4585" t="str">
        <f t="shared" si="383"/>
        <v>10804870151</v>
      </c>
      <c r="E4585" t="s">
        <v>52</v>
      </c>
      <c r="F4585">
        <v>2014</v>
      </c>
      <c r="G4585">
        <v>40302579</v>
      </c>
      <c r="H4585" s="1">
        <v>41858</v>
      </c>
      <c r="I4585" s="1">
        <v>41963</v>
      </c>
      <c r="J4585" s="1">
        <v>41963</v>
      </c>
      <c r="K4585" s="1">
        <v>42023</v>
      </c>
      <c r="N4585" s="5"/>
      <c r="O4585" s="2">
        <v>10614</v>
      </c>
      <c r="P4585">
        <v>227</v>
      </c>
      <c r="Q4585" s="2">
        <v>2409378</v>
      </c>
      <c r="R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 s="1">
        <v>42382</v>
      </c>
      <c r="AC4585" t="s">
        <v>53</v>
      </c>
      <c r="AD4585" t="s">
        <v>53</v>
      </c>
      <c r="AK4585">
        <v>0</v>
      </c>
      <c r="AU4585" s="6">
        <v>42250</v>
      </c>
      <c r="AV4585" s="6">
        <v>42250</v>
      </c>
      <c r="AW4585" t="s">
        <v>54</v>
      </c>
      <c r="AX4585" t="str">
        <f t="shared" si="379"/>
        <v>FOR</v>
      </c>
      <c r="AY4585" t="s">
        <v>55</v>
      </c>
    </row>
    <row r="4586" spans="1:51" hidden="1">
      <c r="A4586">
        <v>101604</v>
      </c>
      <c r="B4586" t="s">
        <v>831</v>
      </c>
      <c r="C4586" t="str">
        <f t="shared" si="383"/>
        <v>10804870151</v>
      </c>
      <c r="D4586" t="str">
        <f t="shared" si="383"/>
        <v>10804870151</v>
      </c>
      <c r="E4586" t="s">
        <v>52</v>
      </c>
      <c r="F4586">
        <v>2014</v>
      </c>
      <c r="G4586">
        <v>40302588</v>
      </c>
      <c r="H4586" s="1">
        <v>41858</v>
      </c>
      <c r="I4586" s="1">
        <v>41963</v>
      </c>
      <c r="J4586" s="1">
        <v>41963</v>
      </c>
      <c r="K4586" s="1">
        <v>42023</v>
      </c>
      <c r="N4586" s="5"/>
      <c r="O4586" s="2">
        <v>3660</v>
      </c>
      <c r="P4586">
        <v>227</v>
      </c>
      <c r="Q4586" s="2">
        <v>830820</v>
      </c>
      <c r="R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 s="1">
        <v>42382</v>
      </c>
      <c r="AC4586" t="s">
        <v>53</v>
      </c>
      <c r="AD4586" t="s">
        <v>53</v>
      </c>
      <c r="AK4586">
        <v>0</v>
      </c>
      <c r="AU4586" s="6">
        <v>42250</v>
      </c>
      <c r="AV4586" s="6">
        <v>42250</v>
      </c>
      <c r="AW4586" t="s">
        <v>54</v>
      </c>
      <c r="AX4586" t="str">
        <f t="shared" si="379"/>
        <v>FOR</v>
      </c>
      <c r="AY4586" t="s">
        <v>55</v>
      </c>
    </row>
    <row r="4587" spans="1:51" hidden="1">
      <c r="A4587">
        <v>101604</v>
      </c>
      <c r="B4587" t="s">
        <v>831</v>
      </c>
      <c r="C4587" t="str">
        <f t="shared" si="383"/>
        <v>10804870151</v>
      </c>
      <c r="D4587" t="str">
        <f t="shared" si="383"/>
        <v>10804870151</v>
      </c>
      <c r="E4587" t="s">
        <v>52</v>
      </c>
      <c r="F4587">
        <v>2014</v>
      </c>
      <c r="G4587">
        <v>40500834</v>
      </c>
      <c r="H4587" s="1">
        <v>41873</v>
      </c>
      <c r="I4587" s="1">
        <v>41920</v>
      </c>
      <c r="J4587" s="1">
        <v>41920</v>
      </c>
      <c r="K4587" s="1">
        <v>42010</v>
      </c>
      <c r="N4587" s="5"/>
      <c r="O4587" s="2">
        <v>7954.4</v>
      </c>
      <c r="P4587">
        <v>240</v>
      </c>
      <c r="Q4587" s="2">
        <v>1909056</v>
      </c>
      <c r="R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 s="1">
        <v>42382</v>
      </c>
      <c r="AC4587" t="s">
        <v>53</v>
      </c>
      <c r="AD4587" t="s">
        <v>53</v>
      </c>
      <c r="AK4587">
        <v>0</v>
      </c>
      <c r="AU4587" s="6">
        <v>42250</v>
      </c>
      <c r="AV4587" s="6">
        <v>42250</v>
      </c>
      <c r="AW4587" t="s">
        <v>54</v>
      </c>
      <c r="AX4587" t="str">
        <f t="shared" si="379"/>
        <v>FOR</v>
      </c>
      <c r="AY4587" t="s">
        <v>55</v>
      </c>
    </row>
    <row r="4588" spans="1:51" hidden="1">
      <c r="A4588">
        <v>101604</v>
      </c>
      <c r="B4588" t="s">
        <v>831</v>
      </c>
      <c r="C4588" t="str">
        <f t="shared" si="383"/>
        <v>10804870151</v>
      </c>
      <c r="D4588" t="str">
        <f t="shared" si="383"/>
        <v>10804870151</v>
      </c>
      <c r="E4588" t="s">
        <v>52</v>
      </c>
      <c r="F4588">
        <v>2014</v>
      </c>
      <c r="G4588">
        <v>40500839</v>
      </c>
      <c r="H4588" s="1">
        <v>41873</v>
      </c>
      <c r="I4588" s="1">
        <v>41920</v>
      </c>
      <c r="J4588" s="1">
        <v>41920</v>
      </c>
      <c r="K4588" s="1">
        <v>42010</v>
      </c>
      <c r="N4588" s="5"/>
      <c r="O4588" s="2">
        <v>2799.9</v>
      </c>
      <c r="P4588">
        <v>240</v>
      </c>
      <c r="Q4588" s="2">
        <v>671976</v>
      </c>
      <c r="R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 s="1">
        <v>42382</v>
      </c>
      <c r="AC4588" t="s">
        <v>53</v>
      </c>
      <c r="AD4588" t="s">
        <v>53</v>
      </c>
      <c r="AK4588">
        <v>0</v>
      </c>
      <c r="AU4588" s="6">
        <v>42250</v>
      </c>
      <c r="AV4588" s="6">
        <v>42250</v>
      </c>
      <c r="AW4588" t="s">
        <v>54</v>
      </c>
      <c r="AX4588" t="str">
        <f t="shared" si="379"/>
        <v>FOR</v>
      </c>
      <c r="AY4588" t="s">
        <v>55</v>
      </c>
    </row>
    <row r="4589" spans="1:51" hidden="1">
      <c r="A4589">
        <v>101604</v>
      </c>
      <c r="B4589" t="s">
        <v>831</v>
      </c>
      <c r="C4589" t="str">
        <f t="shared" si="383"/>
        <v>10804870151</v>
      </c>
      <c r="D4589" t="str">
        <f t="shared" si="383"/>
        <v>10804870151</v>
      </c>
      <c r="E4589" t="s">
        <v>52</v>
      </c>
      <c r="F4589">
        <v>2014</v>
      </c>
      <c r="G4589">
        <v>40500892</v>
      </c>
      <c r="H4589" s="1">
        <v>41898</v>
      </c>
      <c r="I4589" s="1">
        <v>41929</v>
      </c>
      <c r="J4589" s="1">
        <v>41929</v>
      </c>
      <c r="K4589" s="1">
        <v>41989</v>
      </c>
      <c r="N4589" s="5"/>
      <c r="O4589" s="2">
        <v>2647.4</v>
      </c>
      <c r="P4589">
        <v>261</v>
      </c>
      <c r="Q4589" s="2">
        <v>690971.4</v>
      </c>
      <c r="R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 s="1">
        <v>42382</v>
      </c>
      <c r="AC4589" t="s">
        <v>53</v>
      </c>
      <c r="AD4589" t="s">
        <v>53</v>
      </c>
      <c r="AK4589">
        <v>0</v>
      </c>
      <c r="AU4589" s="6">
        <v>42250</v>
      </c>
      <c r="AV4589" s="6">
        <v>42250</v>
      </c>
      <c r="AW4589" t="s">
        <v>54</v>
      </c>
      <c r="AX4589" t="str">
        <f t="shared" si="379"/>
        <v>FOR</v>
      </c>
      <c r="AY4589" t="s">
        <v>55</v>
      </c>
    </row>
    <row r="4590" spans="1:51" hidden="1">
      <c r="A4590">
        <v>101604</v>
      </c>
      <c r="B4590" t="s">
        <v>831</v>
      </c>
      <c r="C4590" t="str">
        <f t="shared" si="383"/>
        <v>10804870151</v>
      </c>
      <c r="D4590" t="str">
        <f t="shared" si="383"/>
        <v>10804870151</v>
      </c>
      <c r="E4590" t="s">
        <v>52</v>
      </c>
      <c r="F4590">
        <v>2014</v>
      </c>
      <c r="G4590">
        <v>40500913</v>
      </c>
      <c r="H4590" s="1">
        <v>41904</v>
      </c>
      <c r="I4590" s="1">
        <v>41929</v>
      </c>
      <c r="J4590" s="1">
        <v>41929</v>
      </c>
      <c r="K4590" s="1">
        <v>41989</v>
      </c>
      <c r="N4590" s="5"/>
      <c r="O4590" s="2">
        <v>3263.5</v>
      </c>
      <c r="P4590">
        <v>261</v>
      </c>
      <c r="Q4590" s="2">
        <v>851773.5</v>
      </c>
      <c r="R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 s="1">
        <v>42382</v>
      </c>
      <c r="AC4590" t="s">
        <v>53</v>
      </c>
      <c r="AD4590" t="s">
        <v>53</v>
      </c>
      <c r="AK4590">
        <v>0</v>
      </c>
      <c r="AU4590" s="6">
        <v>42250</v>
      </c>
      <c r="AV4590" s="6">
        <v>42250</v>
      </c>
      <c r="AW4590" t="s">
        <v>54</v>
      </c>
      <c r="AX4590" t="str">
        <f t="shared" si="379"/>
        <v>FOR</v>
      </c>
      <c r="AY4590" t="s">
        <v>55</v>
      </c>
    </row>
    <row r="4591" spans="1:51" hidden="1">
      <c r="A4591">
        <v>101604</v>
      </c>
      <c r="B4591" t="s">
        <v>831</v>
      </c>
      <c r="C4591" t="str">
        <f t="shared" si="383"/>
        <v>10804870151</v>
      </c>
      <c r="D4591" t="str">
        <f t="shared" si="383"/>
        <v>10804870151</v>
      </c>
      <c r="E4591" t="s">
        <v>52</v>
      </c>
      <c r="F4591">
        <v>2014</v>
      </c>
      <c r="G4591">
        <v>40500914</v>
      </c>
      <c r="H4591" s="1">
        <v>41904</v>
      </c>
      <c r="I4591" s="1">
        <v>41929</v>
      </c>
      <c r="J4591" s="1">
        <v>41929</v>
      </c>
      <c r="K4591" s="1">
        <v>41989</v>
      </c>
      <c r="N4591" s="5"/>
      <c r="O4591">
        <v>823.5</v>
      </c>
      <c r="P4591">
        <v>261</v>
      </c>
      <c r="Q4591" s="2">
        <v>214933.5</v>
      </c>
      <c r="R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 s="1">
        <v>42382</v>
      </c>
      <c r="AC4591" t="s">
        <v>53</v>
      </c>
      <c r="AD4591" t="s">
        <v>53</v>
      </c>
      <c r="AK4591">
        <v>0</v>
      </c>
      <c r="AU4591" s="6">
        <v>42250</v>
      </c>
      <c r="AV4591" s="6">
        <v>42250</v>
      </c>
      <c r="AW4591" t="s">
        <v>54</v>
      </c>
      <c r="AX4591" t="str">
        <f t="shared" si="379"/>
        <v>FOR</v>
      </c>
      <c r="AY4591" t="s">
        <v>55</v>
      </c>
    </row>
    <row r="4592" spans="1:51" hidden="1">
      <c r="A4592">
        <v>101604</v>
      </c>
      <c r="B4592" t="s">
        <v>831</v>
      </c>
      <c r="C4592" t="str">
        <f t="shared" si="383"/>
        <v>10804870151</v>
      </c>
      <c r="D4592" t="str">
        <f t="shared" si="383"/>
        <v>10804870151</v>
      </c>
      <c r="E4592" t="s">
        <v>52</v>
      </c>
      <c r="F4592">
        <v>2014</v>
      </c>
      <c r="G4592">
        <v>40501005</v>
      </c>
      <c r="H4592" s="1">
        <v>41929</v>
      </c>
      <c r="I4592" s="1">
        <v>41967</v>
      </c>
      <c r="J4592" s="1">
        <v>41967</v>
      </c>
      <c r="K4592" s="1">
        <v>42027</v>
      </c>
      <c r="N4592" s="5"/>
      <c r="O4592">
        <v>976</v>
      </c>
      <c r="P4592">
        <v>250</v>
      </c>
      <c r="Q4592" s="2">
        <v>244000</v>
      </c>
      <c r="R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 s="1">
        <v>42382</v>
      </c>
      <c r="AC4592" t="s">
        <v>53</v>
      </c>
      <c r="AD4592" t="s">
        <v>53</v>
      </c>
      <c r="AK4592">
        <v>0</v>
      </c>
      <c r="AU4592" s="6">
        <v>42277</v>
      </c>
      <c r="AV4592" s="6">
        <v>42277</v>
      </c>
      <c r="AW4592" t="s">
        <v>54</v>
      </c>
      <c r="AX4592" t="str">
        <f t="shared" si="379"/>
        <v>FOR</v>
      </c>
      <c r="AY4592" t="s">
        <v>55</v>
      </c>
    </row>
    <row r="4593" spans="1:51" hidden="1">
      <c r="A4593">
        <v>101604</v>
      </c>
      <c r="B4593" t="s">
        <v>831</v>
      </c>
      <c r="C4593" t="str">
        <f t="shared" si="383"/>
        <v>10804870151</v>
      </c>
      <c r="D4593" t="str">
        <f t="shared" si="383"/>
        <v>10804870151</v>
      </c>
      <c r="E4593" t="s">
        <v>52</v>
      </c>
      <c r="F4593">
        <v>2014</v>
      </c>
      <c r="G4593">
        <v>40501089</v>
      </c>
      <c r="H4593" s="1">
        <v>41953</v>
      </c>
      <c r="I4593" s="1">
        <v>42031</v>
      </c>
      <c r="J4593" s="1">
        <v>42031</v>
      </c>
      <c r="K4593" s="1">
        <v>42091</v>
      </c>
      <c r="N4593" s="5"/>
      <c r="O4593" s="2">
        <v>3775.9</v>
      </c>
      <c r="P4593">
        <v>186</v>
      </c>
      <c r="Q4593" s="2">
        <v>702317.4</v>
      </c>
      <c r="R4593">
        <v>0</v>
      </c>
      <c r="V4593">
        <v>0</v>
      </c>
      <c r="W4593">
        <v>0</v>
      </c>
      <c r="X4593">
        <v>0</v>
      </c>
      <c r="Y4593">
        <v>0</v>
      </c>
      <c r="Z4593" s="2">
        <v>3775.9</v>
      </c>
      <c r="AA4593">
        <v>0</v>
      </c>
      <c r="AB4593" s="1">
        <v>42382</v>
      </c>
      <c r="AC4593" t="s">
        <v>53</v>
      </c>
      <c r="AD4593" t="s">
        <v>53</v>
      </c>
      <c r="AK4593">
        <v>0</v>
      </c>
      <c r="AU4593" s="6">
        <v>42277</v>
      </c>
      <c r="AV4593" s="6">
        <v>42277</v>
      </c>
      <c r="AW4593" t="s">
        <v>54</v>
      </c>
      <c r="AX4593" t="str">
        <f t="shared" si="379"/>
        <v>FOR</v>
      </c>
      <c r="AY4593" t="s">
        <v>55</v>
      </c>
    </row>
    <row r="4594" spans="1:51" hidden="1">
      <c r="A4594">
        <v>101604</v>
      </c>
      <c r="B4594" t="s">
        <v>831</v>
      </c>
      <c r="C4594" t="str">
        <f t="shared" si="383"/>
        <v>10804870151</v>
      </c>
      <c r="D4594" t="str">
        <f t="shared" si="383"/>
        <v>10804870151</v>
      </c>
      <c r="E4594" t="s">
        <v>52</v>
      </c>
      <c r="F4594">
        <v>2014</v>
      </c>
      <c r="G4594">
        <v>40501120</v>
      </c>
      <c r="H4594" s="1">
        <v>41962</v>
      </c>
      <c r="I4594" s="1">
        <v>42031</v>
      </c>
      <c r="J4594" s="1">
        <v>42031</v>
      </c>
      <c r="K4594" s="1">
        <v>42091</v>
      </c>
      <c r="N4594" s="5"/>
      <c r="O4594" s="2">
        <v>4123.6000000000004</v>
      </c>
      <c r="P4594">
        <v>186</v>
      </c>
      <c r="Q4594" s="2">
        <v>766989.6</v>
      </c>
      <c r="R4594">
        <v>0</v>
      </c>
      <c r="V4594">
        <v>0</v>
      </c>
      <c r="W4594">
        <v>0</v>
      </c>
      <c r="X4594">
        <v>0</v>
      </c>
      <c r="Y4594">
        <v>0</v>
      </c>
      <c r="Z4594" s="2">
        <v>4123.6000000000004</v>
      </c>
      <c r="AA4594">
        <v>0</v>
      </c>
      <c r="AB4594" s="1">
        <v>42382</v>
      </c>
      <c r="AC4594" t="s">
        <v>53</v>
      </c>
      <c r="AD4594" t="s">
        <v>53</v>
      </c>
      <c r="AK4594">
        <v>0</v>
      </c>
      <c r="AU4594" s="6">
        <v>42277</v>
      </c>
      <c r="AV4594" s="6">
        <v>42277</v>
      </c>
      <c r="AW4594" t="s">
        <v>54</v>
      </c>
      <c r="AX4594" t="str">
        <f t="shared" si="379"/>
        <v>FOR</v>
      </c>
      <c r="AY4594" t="s">
        <v>55</v>
      </c>
    </row>
    <row r="4595" spans="1:51" hidden="1">
      <c r="A4595">
        <v>101604</v>
      </c>
      <c r="B4595" t="s">
        <v>831</v>
      </c>
      <c r="C4595" t="str">
        <f t="shared" si="383"/>
        <v>10804870151</v>
      </c>
      <c r="D4595" t="str">
        <f t="shared" si="383"/>
        <v>10804870151</v>
      </c>
      <c r="E4595" t="s">
        <v>52</v>
      </c>
      <c r="F4595">
        <v>2014</v>
      </c>
      <c r="G4595">
        <v>40501169</v>
      </c>
      <c r="H4595" s="1">
        <v>41971</v>
      </c>
      <c r="I4595" s="1">
        <v>42031</v>
      </c>
      <c r="J4595" s="1">
        <v>42031</v>
      </c>
      <c r="K4595" s="1">
        <v>42091</v>
      </c>
      <c r="N4595" s="5"/>
      <c r="O4595" s="2">
        <v>3599</v>
      </c>
      <c r="P4595">
        <v>186</v>
      </c>
      <c r="Q4595" s="2">
        <v>669414</v>
      </c>
      <c r="R4595">
        <v>0</v>
      </c>
      <c r="V4595">
        <v>0</v>
      </c>
      <c r="W4595">
        <v>0</v>
      </c>
      <c r="X4595">
        <v>0</v>
      </c>
      <c r="Y4595">
        <v>0</v>
      </c>
      <c r="Z4595" s="2">
        <v>3599</v>
      </c>
      <c r="AA4595">
        <v>0</v>
      </c>
      <c r="AB4595" s="1">
        <v>42382</v>
      </c>
      <c r="AC4595" t="s">
        <v>53</v>
      </c>
      <c r="AD4595" t="s">
        <v>53</v>
      </c>
      <c r="AK4595">
        <v>0</v>
      </c>
      <c r="AU4595" s="6">
        <v>42277</v>
      </c>
      <c r="AV4595" s="6">
        <v>42277</v>
      </c>
      <c r="AW4595" t="s">
        <v>54</v>
      </c>
      <c r="AX4595" t="str">
        <f t="shared" si="379"/>
        <v>FOR</v>
      </c>
      <c r="AY4595" t="s">
        <v>55</v>
      </c>
    </row>
    <row r="4596" spans="1:51" hidden="1">
      <c r="A4596">
        <v>101604</v>
      </c>
      <c r="B4596" t="s">
        <v>831</v>
      </c>
      <c r="C4596" t="str">
        <f t="shared" si="383"/>
        <v>10804870151</v>
      </c>
      <c r="D4596" t="str">
        <f t="shared" si="383"/>
        <v>10804870151</v>
      </c>
      <c r="E4596" t="s">
        <v>52</v>
      </c>
      <c r="F4596">
        <v>2014</v>
      </c>
      <c r="G4596">
        <v>40501208</v>
      </c>
      <c r="H4596" s="1">
        <v>41990</v>
      </c>
      <c r="I4596" s="1">
        <v>42030</v>
      </c>
      <c r="J4596" s="1">
        <v>42030</v>
      </c>
      <c r="K4596" s="1">
        <v>42090</v>
      </c>
      <c r="N4596" s="5"/>
      <c r="O4596" s="2">
        <v>4026</v>
      </c>
      <c r="P4596">
        <v>187</v>
      </c>
      <c r="Q4596" s="2">
        <v>752862</v>
      </c>
      <c r="R4596">
        <v>0</v>
      </c>
      <c r="V4596">
        <v>0</v>
      </c>
      <c r="W4596">
        <v>0</v>
      </c>
      <c r="X4596">
        <v>0</v>
      </c>
      <c r="Y4596">
        <v>0</v>
      </c>
      <c r="Z4596" s="2">
        <v>4026</v>
      </c>
      <c r="AA4596">
        <v>0</v>
      </c>
      <c r="AB4596" s="1">
        <v>42382</v>
      </c>
      <c r="AC4596" t="s">
        <v>53</v>
      </c>
      <c r="AD4596" t="s">
        <v>53</v>
      </c>
      <c r="AK4596">
        <v>0</v>
      </c>
      <c r="AU4596" s="6">
        <v>42277</v>
      </c>
      <c r="AV4596" s="6">
        <v>42277</v>
      </c>
      <c r="AW4596" t="s">
        <v>54</v>
      </c>
      <c r="AX4596" t="str">
        <f t="shared" si="379"/>
        <v>FOR</v>
      </c>
      <c r="AY4596" t="s">
        <v>55</v>
      </c>
    </row>
    <row r="4597" spans="1:51" hidden="1">
      <c r="A4597">
        <v>101604</v>
      </c>
      <c r="B4597" t="s">
        <v>831</v>
      </c>
      <c r="C4597" t="str">
        <f t="shared" si="383"/>
        <v>10804870151</v>
      </c>
      <c r="D4597" t="str">
        <f t="shared" si="383"/>
        <v>10804870151</v>
      </c>
      <c r="E4597" t="s">
        <v>52</v>
      </c>
      <c r="F4597">
        <v>2014</v>
      </c>
      <c r="G4597">
        <v>140300467</v>
      </c>
      <c r="H4597" s="1">
        <v>41695</v>
      </c>
      <c r="I4597" s="1">
        <v>41780</v>
      </c>
      <c r="J4597" s="1">
        <v>41780</v>
      </c>
      <c r="K4597" s="1">
        <v>41870</v>
      </c>
      <c r="N4597" s="5"/>
      <c r="O4597" s="2">
        <v>3891.8</v>
      </c>
      <c r="P4597">
        <v>149</v>
      </c>
      <c r="Q4597" s="2">
        <v>579878.19999999995</v>
      </c>
      <c r="R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 s="1">
        <v>42382</v>
      </c>
      <c r="AC4597" t="s">
        <v>53</v>
      </c>
      <c r="AD4597" t="s">
        <v>53</v>
      </c>
      <c r="AK4597">
        <v>0</v>
      </c>
      <c r="AU4597" s="6">
        <v>42019</v>
      </c>
      <c r="AV4597" s="6">
        <v>42019</v>
      </c>
      <c r="AW4597" t="s">
        <v>54</v>
      </c>
      <c r="AX4597" t="str">
        <f t="shared" si="379"/>
        <v>FOR</v>
      </c>
      <c r="AY4597" t="s">
        <v>55</v>
      </c>
    </row>
    <row r="4598" spans="1:51" hidden="1">
      <c r="A4598">
        <v>101604</v>
      </c>
      <c r="B4598" t="s">
        <v>831</v>
      </c>
      <c r="C4598" t="str">
        <f t="shared" si="383"/>
        <v>10804870151</v>
      </c>
      <c r="D4598" t="str">
        <f t="shared" si="383"/>
        <v>10804870151</v>
      </c>
      <c r="E4598" t="s">
        <v>52</v>
      </c>
      <c r="F4598">
        <v>2014</v>
      </c>
      <c r="G4598">
        <v>140300469</v>
      </c>
      <c r="H4598" s="1">
        <v>41695</v>
      </c>
      <c r="I4598" s="1">
        <v>41780</v>
      </c>
      <c r="J4598" s="1">
        <v>41780</v>
      </c>
      <c r="K4598" s="1">
        <v>41870</v>
      </c>
      <c r="N4598" s="5"/>
      <c r="O4598" s="2">
        <v>10614</v>
      </c>
      <c r="P4598">
        <v>149</v>
      </c>
      <c r="Q4598" s="2">
        <v>1581486</v>
      </c>
      <c r="R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 s="1">
        <v>42382</v>
      </c>
      <c r="AC4598" t="s">
        <v>53</v>
      </c>
      <c r="AD4598" t="s">
        <v>53</v>
      </c>
      <c r="AK4598">
        <v>0</v>
      </c>
      <c r="AU4598" s="6">
        <v>42019</v>
      </c>
      <c r="AV4598" s="6">
        <v>42019</v>
      </c>
      <c r="AW4598" t="s">
        <v>54</v>
      </c>
      <c r="AX4598" t="str">
        <f t="shared" si="379"/>
        <v>FOR</v>
      </c>
      <c r="AY4598" t="s">
        <v>55</v>
      </c>
    </row>
    <row r="4599" spans="1:51" hidden="1">
      <c r="A4599">
        <v>101604</v>
      </c>
      <c r="B4599" t="s">
        <v>831</v>
      </c>
      <c r="C4599" t="str">
        <f t="shared" si="383"/>
        <v>10804870151</v>
      </c>
      <c r="D4599" t="str">
        <f t="shared" si="383"/>
        <v>10804870151</v>
      </c>
      <c r="E4599" t="s">
        <v>52</v>
      </c>
      <c r="F4599">
        <v>2014</v>
      </c>
      <c r="G4599">
        <v>140300470</v>
      </c>
      <c r="H4599" s="1">
        <v>41695</v>
      </c>
      <c r="I4599" s="1">
        <v>41780</v>
      </c>
      <c r="J4599" s="1">
        <v>41780</v>
      </c>
      <c r="K4599" s="1">
        <v>41870</v>
      </c>
      <c r="N4599" s="5"/>
      <c r="O4599" s="2">
        <v>3184.2</v>
      </c>
      <c r="P4599">
        <v>149</v>
      </c>
      <c r="Q4599" s="2">
        <v>474445.8</v>
      </c>
      <c r="R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 s="1">
        <v>42382</v>
      </c>
      <c r="AC4599" t="s">
        <v>53</v>
      </c>
      <c r="AD4599" t="s">
        <v>53</v>
      </c>
      <c r="AK4599">
        <v>0</v>
      </c>
      <c r="AU4599" s="6">
        <v>42019</v>
      </c>
      <c r="AV4599" s="6">
        <v>42019</v>
      </c>
      <c r="AW4599" t="s">
        <v>54</v>
      </c>
      <c r="AX4599" t="str">
        <f t="shared" si="379"/>
        <v>FOR</v>
      </c>
      <c r="AY4599" t="s">
        <v>55</v>
      </c>
    </row>
    <row r="4600" spans="1:51" hidden="1">
      <c r="A4600">
        <v>101604</v>
      </c>
      <c r="B4600" t="s">
        <v>831</v>
      </c>
      <c r="C4600" t="str">
        <f t="shared" si="383"/>
        <v>10804870151</v>
      </c>
      <c r="D4600" t="str">
        <f t="shared" si="383"/>
        <v>10804870151</v>
      </c>
      <c r="E4600" t="s">
        <v>52</v>
      </c>
      <c r="F4600">
        <v>2014</v>
      </c>
      <c r="G4600">
        <v>140300471</v>
      </c>
      <c r="H4600" s="1">
        <v>41695</v>
      </c>
      <c r="I4600" s="1">
        <v>41780</v>
      </c>
      <c r="J4600" s="1">
        <v>41780</v>
      </c>
      <c r="K4600" s="1">
        <v>41870</v>
      </c>
      <c r="N4600" s="5"/>
      <c r="O4600" s="2">
        <v>2745</v>
      </c>
      <c r="P4600">
        <v>149</v>
      </c>
      <c r="Q4600" s="2">
        <v>409005</v>
      </c>
      <c r="R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 s="1">
        <v>42382</v>
      </c>
      <c r="AC4600" t="s">
        <v>53</v>
      </c>
      <c r="AD4600" t="s">
        <v>53</v>
      </c>
      <c r="AK4600">
        <v>0</v>
      </c>
      <c r="AU4600" s="6">
        <v>42019</v>
      </c>
      <c r="AV4600" s="6">
        <v>42019</v>
      </c>
      <c r="AW4600" t="s">
        <v>54</v>
      </c>
      <c r="AX4600" t="str">
        <f t="shared" si="379"/>
        <v>FOR</v>
      </c>
      <c r="AY4600" t="s">
        <v>55</v>
      </c>
    </row>
    <row r="4601" spans="1:51">
      <c r="A4601">
        <v>101604</v>
      </c>
      <c r="B4601" t="s">
        <v>831</v>
      </c>
      <c r="C4601" t="str">
        <f t="shared" si="383"/>
        <v>10804870151</v>
      </c>
      <c r="D4601" t="str">
        <f t="shared" si="383"/>
        <v>10804870151</v>
      </c>
      <c r="E4601" t="s">
        <v>52</v>
      </c>
      <c r="F4601">
        <v>2015</v>
      </c>
      <c r="G4601">
        <v>150500053</v>
      </c>
      <c r="H4601" s="1">
        <v>42033</v>
      </c>
      <c r="I4601" s="1">
        <v>42054</v>
      </c>
      <c r="J4601" s="1">
        <v>42054</v>
      </c>
      <c r="K4601" s="1">
        <v>42114</v>
      </c>
      <c r="L4601" s="7">
        <v>5925</v>
      </c>
      <c r="M4601" s="5">
        <v>225</v>
      </c>
      <c r="N4601" s="7">
        <v>1333125</v>
      </c>
      <c r="O4601" s="2">
        <v>5925</v>
      </c>
      <c r="P4601">
        <v>225</v>
      </c>
      <c r="Q4601" s="2">
        <v>1333125</v>
      </c>
      <c r="R4601" s="2">
        <v>1303.5</v>
      </c>
      <c r="V4601">
        <v>0</v>
      </c>
      <c r="W4601">
        <v>0</v>
      </c>
      <c r="X4601">
        <v>0</v>
      </c>
      <c r="Y4601" s="2">
        <v>7228.5</v>
      </c>
      <c r="Z4601" s="2">
        <v>7228.5</v>
      </c>
      <c r="AA4601" s="2">
        <v>7228.5</v>
      </c>
      <c r="AB4601" s="1">
        <v>42382</v>
      </c>
      <c r="AC4601" t="s">
        <v>53</v>
      </c>
      <c r="AD4601" t="s">
        <v>53</v>
      </c>
      <c r="AK4601" s="2">
        <v>1303.5</v>
      </c>
      <c r="AU4601" s="6">
        <v>42339</v>
      </c>
      <c r="AV4601" s="6">
        <v>42339</v>
      </c>
      <c r="AW4601" t="s">
        <v>54</v>
      </c>
      <c r="AX4601" t="str">
        <f t="shared" si="379"/>
        <v>FOR</v>
      </c>
      <c r="AY4601" t="s">
        <v>55</v>
      </c>
    </row>
    <row r="4602" spans="1:51" hidden="1">
      <c r="A4602">
        <v>101636</v>
      </c>
      <c r="B4602" t="s">
        <v>832</v>
      </c>
      <c r="C4602" t="str">
        <f t="shared" ref="C4602:D4614" si="384">"01446930628"</f>
        <v>01446930628</v>
      </c>
      <c r="D4602" t="str">
        <f t="shared" si="384"/>
        <v>01446930628</v>
      </c>
      <c r="E4602" t="s">
        <v>52</v>
      </c>
      <c r="F4602">
        <v>2014</v>
      </c>
      <c r="G4602">
        <v>16</v>
      </c>
      <c r="H4602" s="1">
        <v>41733</v>
      </c>
      <c r="I4602" s="1">
        <v>41773</v>
      </c>
      <c r="J4602" s="1">
        <v>41773</v>
      </c>
      <c r="K4602" s="1">
        <v>41863</v>
      </c>
      <c r="N4602" s="5"/>
      <c r="O4602" s="2">
        <v>3989.4</v>
      </c>
      <c r="P4602">
        <v>209</v>
      </c>
      <c r="Q4602" s="2">
        <v>833784.6</v>
      </c>
      <c r="R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 s="1">
        <v>42382</v>
      </c>
      <c r="AC4602" t="s">
        <v>53</v>
      </c>
      <c r="AD4602" t="s">
        <v>53</v>
      </c>
      <c r="AK4602">
        <v>0</v>
      </c>
      <c r="AU4602" s="6">
        <v>42072</v>
      </c>
      <c r="AV4602" s="6">
        <v>42072</v>
      </c>
      <c r="AW4602" t="s">
        <v>54</v>
      </c>
      <c r="AX4602" t="str">
        <f t="shared" si="379"/>
        <v>FOR</v>
      </c>
      <c r="AY4602" t="s">
        <v>55</v>
      </c>
    </row>
    <row r="4603" spans="1:51" hidden="1">
      <c r="A4603">
        <v>101636</v>
      </c>
      <c r="B4603" t="s">
        <v>832</v>
      </c>
      <c r="C4603" t="str">
        <f t="shared" si="384"/>
        <v>01446930628</v>
      </c>
      <c r="D4603" t="str">
        <f t="shared" si="384"/>
        <v>01446930628</v>
      </c>
      <c r="E4603" t="s">
        <v>52</v>
      </c>
      <c r="F4603">
        <v>2014</v>
      </c>
      <c r="G4603">
        <v>17</v>
      </c>
      <c r="H4603" s="1">
        <v>41733</v>
      </c>
      <c r="I4603" s="1">
        <v>41773</v>
      </c>
      <c r="J4603" s="1">
        <v>41773</v>
      </c>
      <c r="K4603" s="1">
        <v>41863</v>
      </c>
      <c r="N4603" s="5"/>
      <c r="O4603" s="2">
        <v>3989.4</v>
      </c>
      <c r="P4603">
        <v>209</v>
      </c>
      <c r="Q4603" s="2">
        <v>833784.6</v>
      </c>
      <c r="R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 s="1">
        <v>42382</v>
      </c>
      <c r="AC4603" t="s">
        <v>53</v>
      </c>
      <c r="AD4603" t="s">
        <v>53</v>
      </c>
      <c r="AK4603">
        <v>0</v>
      </c>
      <c r="AU4603" s="6">
        <v>42072</v>
      </c>
      <c r="AV4603" s="6">
        <v>42072</v>
      </c>
      <c r="AW4603" t="s">
        <v>54</v>
      </c>
      <c r="AX4603" t="str">
        <f t="shared" si="379"/>
        <v>FOR</v>
      </c>
      <c r="AY4603" t="s">
        <v>55</v>
      </c>
    </row>
    <row r="4604" spans="1:51" hidden="1">
      <c r="A4604">
        <v>101636</v>
      </c>
      <c r="B4604" t="s">
        <v>832</v>
      </c>
      <c r="C4604" t="str">
        <f t="shared" si="384"/>
        <v>01446930628</v>
      </c>
      <c r="D4604" t="str">
        <f t="shared" si="384"/>
        <v>01446930628</v>
      </c>
      <c r="E4604" t="s">
        <v>52</v>
      </c>
      <c r="F4604">
        <v>2014</v>
      </c>
      <c r="G4604">
        <v>18</v>
      </c>
      <c r="H4604" s="1">
        <v>41733</v>
      </c>
      <c r="I4604" s="1">
        <v>41773</v>
      </c>
      <c r="J4604" s="1">
        <v>41773</v>
      </c>
      <c r="K4604" s="1">
        <v>41863</v>
      </c>
      <c r="N4604" s="5"/>
      <c r="O4604" s="2">
        <v>3989.4</v>
      </c>
      <c r="P4604">
        <v>209</v>
      </c>
      <c r="Q4604" s="2">
        <v>833784.6</v>
      </c>
      <c r="R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 s="1">
        <v>42382</v>
      </c>
      <c r="AC4604" t="s">
        <v>53</v>
      </c>
      <c r="AD4604" t="s">
        <v>53</v>
      </c>
      <c r="AK4604">
        <v>0</v>
      </c>
      <c r="AU4604" s="6">
        <v>42072</v>
      </c>
      <c r="AV4604" s="6">
        <v>42072</v>
      </c>
      <c r="AW4604" t="s">
        <v>54</v>
      </c>
      <c r="AX4604" t="str">
        <f t="shared" si="379"/>
        <v>FOR</v>
      </c>
      <c r="AY4604" t="s">
        <v>55</v>
      </c>
    </row>
    <row r="4605" spans="1:51">
      <c r="A4605">
        <v>101636</v>
      </c>
      <c r="B4605" t="s">
        <v>832</v>
      </c>
      <c r="C4605" t="str">
        <f t="shared" si="384"/>
        <v>01446930628</v>
      </c>
      <c r="D4605" t="str">
        <f t="shared" si="384"/>
        <v>01446930628</v>
      </c>
      <c r="E4605" t="s">
        <v>52</v>
      </c>
      <c r="F4605">
        <v>2014</v>
      </c>
      <c r="G4605">
        <v>49</v>
      </c>
      <c r="H4605" s="1">
        <v>41921</v>
      </c>
      <c r="I4605" s="1">
        <v>41955</v>
      </c>
      <c r="J4605" s="1">
        <v>41955</v>
      </c>
      <c r="K4605" s="1">
        <v>42015</v>
      </c>
      <c r="L4605" s="7">
        <v>1462.78</v>
      </c>
      <c r="M4605" s="5">
        <v>268</v>
      </c>
      <c r="N4605" s="7">
        <v>392025.04</v>
      </c>
      <c r="O4605" s="2">
        <v>1462.78</v>
      </c>
      <c r="P4605">
        <v>268</v>
      </c>
      <c r="Q4605" s="2">
        <v>392025.04</v>
      </c>
      <c r="R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 s="1">
        <v>42382</v>
      </c>
      <c r="AC4605" t="s">
        <v>53</v>
      </c>
      <c r="AD4605" t="s">
        <v>53</v>
      </c>
      <c r="AK4605">
        <v>0</v>
      </c>
      <c r="AU4605" s="6">
        <v>42283</v>
      </c>
      <c r="AV4605" s="6">
        <v>42283</v>
      </c>
      <c r="AW4605" t="s">
        <v>54</v>
      </c>
      <c r="AX4605" t="str">
        <f t="shared" si="379"/>
        <v>FOR</v>
      </c>
      <c r="AY4605" t="s">
        <v>55</v>
      </c>
    </row>
    <row r="4606" spans="1:51">
      <c r="A4606">
        <v>101636</v>
      </c>
      <c r="B4606" t="s">
        <v>832</v>
      </c>
      <c r="C4606" t="str">
        <f t="shared" si="384"/>
        <v>01446930628</v>
      </c>
      <c r="D4606" t="str">
        <f t="shared" si="384"/>
        <v>01446930628</v>
      </c>
      <c r="E4606" t="s">
        <v>52</v>
      </c>
      <c r="F4606">
        <v>2014</v>
      </c>
      <c r="G4606">
        <v>50</v>
      </c>
      <c r="H4606" s="1">
        <v>41921</v>
      </c>
      <c r="I4606" s="1">
        <v>41942</v>
      </c>
      <c r="J4606" s="1">
        <v>41942</v>
      </c>
      <c r="K4606" s="1">
        <v>42002</v>
      </c>
      <c r="L4606" s="7">
        <v>1529.88</v>
      </c>
      <c r="M4606" s="5">
        <v>281</v>
      </c>
      <c r="N4606" s="7">
        <v>429896.28</v>
      </c>
      <c r="O4606" s="2">
        <v>1529.88</v>
      </c>
      <c r="P4606">
        <v>281</v>
      </c>
      <c r="Q4606" s="2">
        <v>429896.28</v>
      </c>
      <c r="R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 s="1">
        <v>42382</v>
      </c>
      <c r="AC4606" t="s">
        <v>53</v>
      </c>
      <c r="AD4606" t="s">
        <v>53</v>
      </c>
      <c r="AK4606">
        <v>0</v>
      </c>
      <c r="AU4606" s="6">
        <v>42283</v>
      </c>
      <c r="AV4606" s="6">
        <v>42283</v>
      </c>
      <c r="AW4606" t="s">
        <v>54</v>
      </c>
      <c r="AX4606" t="str">
        <f t="shared" si="379"/>
        <v>FOR</v>
      </c>
      <c r="AY4606" t="s">
        <v>55</v>
      </c>
    </row>
    <row r="4607" spans="1:51">
      <c r="A4607">
        <v>101636</v>
      </c>
      <c r="B4607" t="s">
        <v>832</v>
      </c>
      <c r="C4607" t="str">
        <f t="shared" si="384"/>
        <v>01446930628</v>
      </c>
      <c r="D4607" t="str">
        <f t="shared" si="384"/>
        <v>01446930628</v>
      </c>
      <c r="E4607" t="s">
        <v>52</v>
      </c>
      <c r="F4607">
        <v>2014</v>
      </c>
      <c r="G4607">
        <v>51</v>
      </c>
      <c r="H4607" s="1">
        <v>41921</v>
      </c>
      <c r="I4607" s="1">
        <v>41942</v>
      </c>
      <c r="J4607" s="1">
        <v>41942</v>
      </c>
      <c r="K4607" s="1">
        <v>42002</v>
      </c>
      <c r="L4607" s="7">
        <v>1795.84</v>
      </c>
      <c r="M4607" s="5">
        <v>281</v>
      </c>
      <c r="N4607" s="7">
        <v>504631.03999999998</v>
      </c>
      <c r="O4607" s="2">
        <v>1795.84</v>
      </c>
      <c r="P4607">
        <v>281</v>
      </c>
      <c r="Q4607" s="2">
        <v>504631.03999999998</v>
      </c>
      <c r="R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 s="1">
        <v>42382</v>
      </c>
      <c r="AC4607" t="s">
        <v>53</v>
      </c>
      <c r="AD4607" t="s">
        <v>53</v>
      </c>
      <c r="AK4607">
        <v>0</v>
      </c>
      <c r="AU4607" s="6">
        <v>42283</v>
      </c>
      <c r="AV4607" s="6">
        <v>42283</v>
      </c>
      <c r="AW4607" t="s">
        <v>54</v>
      </c>
      <c r="AX4607" t="str">
        <f t="shared" si="379"/>
        <v>FOR</v>
      </c>
      <c r="AY4607" t="s">
        <v>55</v>
      </c>
    </row>
    <row r="4608" spans="1:51">
      <c r="A4608">
        <v>101636</v>
      </c>
      <c r="B4608" t="s">
        <v>832</v>
      </c>
      <c r="C4608" t="str">
        <f t="shared" si="384"/>
        <v>01446930628</v>
      </c>
      <c r="D4608" t="str">
        <f t="shared" si="384"/>
        <v>01446930628</v>
      </c>
      <c r="E4608" t="s">
        <v>52</v>
      </c>
      <c r="F4608">
        <v>2014</v>
      </c>
      <c r="G4608">
        <v>52</v>
      </c>
      <c r="H4608" s="1">
        <v>41921</v>
      </c>
      <c r="I4608" s="1">
        <v>41942</v>
      </c>
      <c r="J4608" s="1">
        <v>41942</v>
      </c>
      <c r="K4608" s="1">
        <v>42002</v>
      </c>
      <c r="L4608" s="7">
        <v>2327.7600000000002</v>
      </c>
      <c r="M4608" s="5">
        <v>281</v>
      </c>
      <c r="N4608" s="7">
        <v>654100.56000000006</v>
      </c>
      <c r="O4608" s="2">
        <v>2327.7600000000002</v>
      </c>
      <c r="P4608">
        <v>281</v>
      </c>
      <c r="Q4608" s="2">
        <v>654100.56000000006</v>
      </c>
      <c r="R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 s="1">
        <v>42382</v>
      </c>
      <c r="AC4608" t="s">
        <v>53</v>
      </c>
      <c r="AD4608" t="s">
        <v>53</v>
      </c>
      <c r="AK4608">
        <v>0</v>
      </c>
      <c r="AU4608" s="6">
        <v>42283</v>
      </c>
      <c r="AV4608" s="6">
        <v>42283</v>
      </c>
      <c r="AW4608" t="s">
        <v>54</v>
      </c>
      <c r="AX4608" t="str">
        <f t="shared" si="379"/>
        <v>FOR</v>
      </c>
      <c r="AY4608" t="s">
        <v>55</v>
      </c>
    </row>
    <row r="4609" spans="1:51">
      <c r="A4609">
        <v>101636</v>
      </c>
      <c r="B4609" t="s">
        <v>832</v>
      </c>
      <c r="C4609" t="str">
        <f t="shared" si="384"/>
        <v>01446930628</v>
      </c>
      <c r="D4609" t="str">
        <f t="shared" si="384"/>
        <v>01446930628</v>
      </c>
      <c r="E4609" t="s">
        <v>52</v>
      </c>
      <c r="F4609">
        <v>2014</v>
      </c>
      <c r="G4609">
        <v>53</v>
      </c>
      <c r="H4609" s="1">
        <v>41921</v>
      </c>
      <c r="I4609" s="1">
        <v>41942</v>
      </c>
      <c r="J4609" s="1">
        <v>41942</v>
      </c>
      <c r="K4609" s="1">
        <v>42002</v>
      </c>
      <c r="L4609" s="7">
        <v>1196.82</v>
      </c>
      <c r="M4609" s="5">
        <v>281</v>
      </c>
      <c r="N4609" s="7">
        <v>336306.42</v>
      </c>
      <c r="O4609" s="2">
        <v>1196.82</v>
      </c>
      <c r="P4609">
        <v>281</v>
      </c>
      <c r="Q4609" s="2">
        <v>336306.42</v>
      </c>
      <c r="R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 s="1">
        <v>42382</v>
      </c>
      <c r="AC4609" t="s">
        <v>53</v>
      </c>
      <c r="AD4609" t="s">
        <v>53</v>
      </c>
      <c r="AK4609">
        <v>0</v>
      </c>
      <c r="AU4609" s="6">
        <v>42283</v>
      </c>
      <c r="AV4609" s="6">
        <v>42283</v>
      </c>
      <c r="AW4609" t="s">
        <v>54</v>
      </c>
      <c r="AX4609" t="str">
        <f t="shared" si="379"/>
        <v>FOR</v>
      </c>
      <c r="AY4609" t="s">
        <v>55</v>
      </c>
    </row>
    <row r="4610" spans="1:51">
      <c r="A4610">
        <v>101636</v>
      </c>
      <c r="B4610" t="s">
        <v>832</v>
      </c>
      <c r="C4610" t="str">
        <f t="shared" si="384"/>
        <v>01446930628</v>
      </c>
      <c r="D4610" t="str">
        <f t="shared" si="384"/>
        <v>01446930628</v>
      </c>
      <c r="E4610" t="s">
        <v>52</v>
      </c>
      <c r="F4610">
        <v>2014</v>
      </c>
      <c r="G4610">
        <v>54</v>
      </c>
      <c r="H4610" s="1">
        <v>41921</v>
      </c>
      <c r="I4610" s="1">
        <v>41942</v>
      </c>
      <c r="J4610" s="1">
        <v>41942</v>
      </c>
      <c r="K4610" s="1">
        <v>42002</v>
      </c>
      <c r="L4610" s="7">
        <v>2659.6</v>
      </c>
      <c r="M4610" s="5">
        <v>281</v>
      </c>
      <c r="N4610" s="7">
        <v>747347.6</v>
      </c>
      <c r="O4610" s="2">
        <v>2659.6</v>
      </c>
      <c r="P4610">
        <v>281</v>
      </c>
      <c r="Q4610" s="2">
        <v>747347.6</v>
      </c>
      <c r="R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 s="1">
        <v>42382</v>
      </c>
      <c r="AC4610" t="s">
        <v>53</v>
      </c>
      <c r="AD4610" t="s">
        <v>53</v>
      </c>
      <c r="AK4610">
        <v>0</v>
      </c>
      <c r="AU4610" s="6">
        <v>42283</v>
      </c>
      <c r="AV4610" s="6">
        <v>42283</v>
      </c>
      <c r="AW4610" t="s">
        <v>54</v>
      </c>
      <c r="AX4610" t="str">
        <f t="shared" si="379"/>
        <v>FOR</v>
      </c>
      <c r="AY4610" t="s">
        <v>55</v>
      </c>
    </row>
    <row r="4611" spans="1:51">
      <c r="A4611">
        <v>101636</v>
      </c>
      <c r="B4611" t="s">
        <v>832</v>
      </c>
      <c r="C4611" t="str">
        <f t="shared" si="384"/>
        <v>01446930628</v>
      </c>
      <c r="D4611" t="str">
        <f t="shared" si="384"/>
        <v>01446930628</v>
      </c>
      <c r="E4611" t="s">
        <v>52</v>
      </c>
      <c r="F4611">
        <v>2014</v>
      </c>
      <c r="G4611">
        <v>69</v>
      </c>
      <c r="H4611" s="1">
        <v>42002</v>
      </c>
      <c r="I4611" s="1">
        <v>42025</v>
      </c>
      <c r="J4611" s="1">
        <v>42025</v>
      </c>
      <c r="K4611" s="1">
        <v>42085</v>
      </c>
      <c r="L4611" s="7">
        <v>2393.64</v>
      </c>
      <c r="M4611" s="5">
        <v>214</v>
      </c>
      <c r="N4611" s="7">
        <v>512238.96</v>
      </c>
      <c r="O4611" s="2">
        <v>2393.64</v>
      </c>
      <c r="P4611">
        <v>214</v>
      </c>
      <c r="Q4611" s="2">
        <v>512238.96</v>
      </c>
      <c r="R4611">
        <v>0</v>
      </c>
      <c r="V4611">
        <v>0</v>
      </c>
      <c r="W4611">
        <v>0</v>
      </c>
      <c r="X4611">
        <v>0</v>
      </c>
      <c r="Y4611">
        <v>0</v>
      </c>
      <c r="Z4611" s="2">
        <v>2393.64</v>
      </c>
      <c r="AA4611">
        <v>0</v>
      </c>
      <c r="AB4611" s="1">
        <v>42382</v>
      </c>
      <c r="AC4611" t="s">
        <v>53</v>
      </c>
      <c r="AD4611" t="s">
        <v>53</v>
      </c>
      <c r="AK4611">
        <v>0</v>
      </c>
      <c r="AU4611" s="6">
        <v>42299</v>
      </c>
      <c r="AV4611" s="6">
        <v>42299</v>
      </c>
      <c r="AW4611" t="s">
        <v>54</v>
      </c>
      <c r="AX4611" t="str">
        <f t="shared" ref="AX4611:AX4674" si="385">"FOR"</f>
        <v>FOR</v>
      </c>
      <c r="AY4611" t="s">
        <v>55</v>
      </c>
    </row>
    <row r="4612" spans="1:51">
      <c r="A4612">
        <v>101636</v>
      </c>
      <c r="B4612" t="s">
        <v>832</v>
      </c>
      <c r="C4612" t="str">
        <f t="shared" si="384"/>
        <v>01446930628</v>
      </c>
      <c r="D4612" t="str">
        <f t="shared" si="384"/>
        <v>01446930628</v>
      </c>
      <c r="E4612" t="s">
        <v>52</v>
      </c>
      <c r="F4612">
        <v>2014</v>
      </c>
      <c r="G4612">
        <v>70</v>
      </c>
      <c r="H4612" s="1">
        <v>42002</v>
      </c>
      <c r="I4612" s="1">
        <v>42025</v>
      </c>
      <c r="J4612" s="1">
        <v>42025</v>
      </c>
      <c r="K4612" s="1">
        <v>42085</v>
      </c>
      <c r="L4612" s="7">
        <v>2526.62</v>
      </c>
      <c r="M4612" s="5">
        <v>214</v>
      </c>
      <c r="N4612" s="7">
        <v>540696.68000000005</v>
      </c>
      <c r="O4612" s="2">
        <v>2526.62</v>
      </c>
      <c r="P4612">
        <v>214</v>
      </c>
      <c r="Q4612" s="2">
        <v>540696.68000000005</v>
      </c>
      <c r="R4612">
        <v>0</v>
      </c>
      <c r="V4612">
        <v>0</v>
      </c>
      <c r="W4612">
        <v>0</v>
      </c>
      <c r="X4612">
        <v>0</v>
      </c>
      <c r="Y4612">
        <v>0</v>
      </c>
      <c r="Z4612" s="2">
        <v>2526.62</v>
      </c>
      <c r="AA4612">
        <v>0</v>
      </c>
      <c r="AB4612" s="1">
        <v>42382</v>
      </c>
      <c r="AC4612" t="s">
        <v>53</v>
      </c>
      <c r="AD4612" t="s">
        <v>53</v>
      </c>
      <c r="AK4612">
        <v>0</v>
      </c>
      <c r="AU4612" s="6">
        <v>42299</v>
      </c>
      <c r="AV4612" s="6">
        <v>42299</v>
      </c>
      <c r="AW4612" t="s">
        <v>54</v>
      </c>
      <c r="AX4612" t="str">
        <f t="shared" si="385"/>
        <v>FOR</v>
      </c>
      <c r="AY4612" t="s">
        <v>55</v>
      </c>
    </row>
    <row r="4613" spans="1:51">
      <c r="A4613">
        <v>101636</v>
      </c>
      <c r="B4613" t="s">
        <v>832</v>
      </c>
      <c r="C4613" t="str">
        <f t="shared" si="384"/>
        <v>01446930628</v>
      </c>
      <c r="D4613" t="str">
        <f t="shared" si="384"/>
        <v>01446930628</v>
      </c>
      <c r="E4613" t="s">
        <v>52</v>
      </c>
      <c r="F4613">
        <v>2014</v>
      </c>
      <c r="G4613">
        <v>71</v>
      </c>
      <c r="H4613" s="1">
        <v>42002</v>
      </c>
      <c r="I4613" s="1">
        <v>42025</v>
      </c>
      <c r="J4613" s="1">
        <v>42025</v>
      </c>
      <c r="K4613" s="1">
        <v>42085</v>
      </c>
      <c r="L4613" s="7">
        <v>2260.66</v>
      </c>
      <c r="M4613" s="5">
        <v>214</v>
      </c>
      <c r="N4613" s="7">
        <v>483781.24</v>
      </c>
      <c r="O4613" s="2">
        <v>2260.66</v>
      </c>
      <c r="P4613">
        <v>214</v>
      </c>
      <c r="Q4613" s="2">
        <v>483781.24</v>
      </c>
      <c r="R4613">
        <v>0</v>
      </c>
      <c r="V4613">
        <v>0</v>
      </c>
      <c r="W4613">
        <v>0</v>
      </c>
      <c r="X4613">
        <v>0</v>
      </c>
      <c r="Y4613">
        <v>0</v>
      </c>
      <c r="Z4613" s="2">
        <v>2260.66</v>
      </c>
      <c r="AA4613">
        <v>0</v>
      </c>
      <c r="AB4613" s="1">
        <v>42382</v>
      </c>
      <c r="AC4613" t="s">
        <v>53</v>
      </c>
      <c r="AD4613" t="s">
        <v>53</v>
      </c>
      <c r="AK4613">
        <v>0</v>
      </c>
      <c r="AU4613" s="6">
        <v>42299</v>
      </c>
      <c r="AV4613" s="6">
        <v>42299</v>
      </c>
      <c r="AW4613" t="s">
        <v>54</v>
      </c>
      <c r="AX4613" t="str">
        <f t="shared" si="385"/>
        <v>FOR</v>
      </c>
      <c r="AY4613" t="s">
        <v>55</v>
      </c>
    </row>
    <row r="4614" spans="1:51">
      <c r="A4614">
        <v>101636</v>
      </c>
      <c r="B4614" t="s">
        <v>832</v>
      </c>
      <c r="C4614" t="str">
        <f t="shared" si="384"/>
        <v>01446930628</v>
      </c>
      <c r="D4614" t="str">
        <f t="shared" si="384"/>
        <v>01446930628</v>
      </c>
      <c r="E4614" t="s">
        <v>52</v>
      </c>
      <c r="F4614">
        <v>2015</v>
      </c>
      <c r="G4614" t="s">
        <v>833</v>
      </c>
      <c r="H4614" s="1">
        <v>42036</v>
      </c>
      <c r="I4614" s="1">
        <v>42164</v>
      </c>
      <c r="J4614" s="1">
        <v>42164</v>
      </c>
      <c r="K4614" s="1">
        <v>42224</v>
      </c>
      <c r="L4614" s="7">
        <v>2071</v>
      </c>
      <c r="M4614" s="5">
        <v>131</v>
      </c>
      <c r="N4614" s="7">
        <v>271301</v>
      </c>
      <c r="O4614" s="2">
        <v>2071</v>
      </c>
      <c r="P4614">
        <v>131</v>
      </c>
      <c r="Q4614" s="2">
        <v>271301</v>
      </c>
      <c r="R4614">
        <v>455.62</v>
      </c>
      <c r="V4614">
        <v>0</v>
      </c>
      <c r="W4614">
        <v>0</v>
      </c>
      <c r="X4614">
        <v>0</v>
      </c>
      <c r="Y4614" s="2">
        <v>2526.62</v>
      </c>
      <c r="Z4614" s="2">
        <v>2526.62</v>
      </c>
      <c r="AA4614" s="2">
        <v>2526.62</v>
      </c>
      <c r="AB4614" s="1">
        <v>42382</v>
      </c>
      <c r="AC4614" t="s">
        <v>53</v>
      </c>
      <c r="AD4614" t="s">
        <v>53</v>
      </c>
      <c r="AI4614">
        <v>455.62</v>
      </c>
      <c r="AK4614">
        <v>0</v>
      </c>
      <c r="AU4614" s="6">
        <v>42355</v>
      </c>
      <c r="AV4614" s="6">
        <v>42355</v>
      </c>
      <c r="AW4614" t="s">
        <v>54</v>
      </c>
      <c r="AX4614" t="str">
        <f t="shared" si="385"/>
        <v>FOR</v>
      </c>
      <c r="AY4614" t="s">
        <v>55</v>
      </c>
    </row>
    <row r="4615" spans="1:51" hidden="1">
      <c r="A4615">
        <v>101643</v>
      </c>
      <c r="B4615" t="s">
        <v>834</v>
      </c>
      <c r="C4615" t="str">
        <f t="shared" ref="C4615:D4617" si="386">"07220700962"</f>
        <v>07220700962</v>
      </c>
      <c r="D4615" t="str">
        <f t="shared" si="386"/>
        <v>07220700962</v>
      </c>
      <c r="E4615" t="s">
        <v>52</v>
      </c>
      <c r="F4615">
        <v>2014</v>
      </c>
      <c r="G4615">
        <v>14018708</v>
      </c>
      <c r="H4615" s="1">
        <v>41802</v>
      </c>
      <c r="I4615" s="1">
        <v>41808</v>
      </c>
      <c r="J4615" s="1">
        <v>41808</v>
      </c>
      <c r="K4615" s="1">
        <v>41898</v>
      </c>
      <c r="N4615" s="5"/>
      <c r="O4615">
        <v>513.62</v>
      </c>
      <c r="P4615">
        <v>261</v>
      </c>
      <c r="Q4615" s="2">
        <v>134054.82</v>
      </c>
      <c r="R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 s="1">
        <v>42382</v>
      </c>
      <c r="AC4615" t="s">
        <v>53</v>
      </c>
      <c r="AD4615" t="s">
        <v>53</v>
      </c>
      <c r="AK4615">
        <v>0</v>
      </c>
      <c r="AU4615" s="6">
        <v>42159</v>
      </c>
      <c r="AV4615" s="6">
        <v>42159</v>
      </c>
      <c r="AW4615" t="s">
        <v>54</v>
      </c>
      <c r="AX4615" t="str">
        <f t="shared" si="385"/>
        <v>FOR</v>
      </c>
      <c r="AY4615" t="s">
        <v>55</v>
      </c>
    </row>
    <row r="4616" spans="1:51" hidden="1">
      <c r="A4616">
        <v>101643</v>
      </c>
      <c r="B4616" t="s">
        <v>834</v>
      </c>
      <c r="C4616" t="str">
        <f t="shared" si="386"/>
        <v>07220700962</v>
      </c>
      <c r="D4616" t="str">
        <f t="shared" si="386"/>
        <v>07220700962</v>
      </c>
      <c r="E4616" t="s">
        <v>52</v>
      </c>
      <c r="F4616">
        <v>2014</v>
      </c>
      <c r="G4616">
        <v>14022078</v>
      </c>
      <c r="H4616" s="1">
        <v>41829</v>
      </c>
      <c r="I4616" s="1">
        <v>41834</v>
      </c>
      <c r="J4616" s="1">
        <v>41834</v>
      </c>
      <c r="K4616" s="1">
        <v>41924</v>
      </c>
      <c r="N4616" s="5"/>
      <c r="O4616" s="2">
        <v>1958.71</v>
      </c>
      <c r="P4616">
        <v>260</v>
      </c>
      <c r="Q4616" s="2">
        <v>509264.6</v>
      </c>
      <c r="R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 s="1">
        <v>42382</v>
      </c>
      <c r="AC4616" t="s">
        <v>53</v>
      </c>
      <c r="AD4616" t="s">
        <v>53</v>
      </c>
      <c r="AK4616">
        <v>0</v>
      </c>
      <c r="AU4616" s="6">
        <v>42184</v>
      </c>
      <c r="AV4616" s="6">
        <v>42184</v>
      </c>
      <c r="AW4616" t="s">
        <v>54</v>
      </c>
      <c r="AX4616" t="str">
        <f t="shared" si="385"/>
        <v>FOR</v>
      </c>
      <c r="AY4616" t="s">
        <v>55</v>
      </c>
    </row>
    <row r="4617" spans="1:51" hidden="1">
      <c r="A4617">
        <v>101643</v>
      </c>
      <c r="B4617" t="s">
        <v>834</v>
      </c>
      <c r="C4617" t="str">
        <f t="shared" si="386"/>
        <v>07220700962</v>
      </c>
      <c r="D4617" t="str">
        <f t="shared" si="386"/>
        <v>07220700962</v>
      </c>
      <c r="E4617" t="s">
        <v>52</v>
      </c>
      <c r="F4617">
        <v>2015</v>
      </c>
      <c r="G4617">
        <v>15002021</v>
      </c>
      <c r="H4617" s="1">
        <v>42025</v>
      </c>
      <c r="I4617" s="1">
        <v>42030</v>
      </c>
      <c r="J4617" s="1">
        <v>42030</v>
      </c>
      <c r="K4617" s="1">
        <v>42090</v>
      </c>
      <c r="N4617" s="5"/>
      <c r="O4617" s="2">
        <v>1029.9000000000001</v>
      </c>
      <c r="P4617">
        <v>185</v>
      </c>
      <c r="Q4617" s="2">
        <v>190531.5</v>
      </c>
      <c r="R4617">
        <v>0</v>
      </c>
      <c r="V4617">
        <v>0</v>
      </c>
      <c r="W4617">
        <v>0</v>
      </c>
      <c r="X4617">
        <v>0</v>
      </c>
      <c r="Y4617" s="2">
        <v>1256.48</v>
      </c>
      <c r="Z4617" s="2">
        <v>1256.48</v>
      </c>
      <c r="AA4617" s="2">
        <v>1256.48</v>
      </c>
      <c r="AB4617" s="1">
        <v>42382</v>
      </c>
      <c r="AC4617" t="s">
        <v>53</v>
      </c>
      <c r="AD4617" t="s">
        <v>53</v>
      </c>
      <c r="AK4617">
        <v>0</v>
      </c>
      <c r="AU4617" s="6">
        <v>42275</v>
      </c>
      <c r="AV4617" s="6">
        <v>42275</v>
      </c>
      <c r="AW4617" t="s">
        <v>54</v>
      </c>
      <c r="AX4617" t="str">
        <f t="shared" si="385"/>
        <v>FOR</v>
      </c>
      <c r="AY4617" t="s">
        <v>55</v>
      </c>
    </row>
    <row r="4618" spans="1:51">
      <c r="A4618">
        <v>101655</v>
      </c>
      <c r="B4618" t="s">
        <v>835</v>
      </c>
      <c r="C4618" t="str">
        <f>"00846530152"</f>
        <v>00846530152</v>
      </c>
      <c r="D4618" t="str">
        <f>"00846530152"</f>
        <v>00846530152</v>
      </c>
      <c r="E4618" t="s">
        <v>52</v>
      </c>
      <c r="F4618">
        <v>2015</v>
      </c>
      <c r="G4618" t="s">
        <v>836</v>
      </c>
      <c r="H4618" s="1">
        <v>42216</v>
      </c>
      <c r="I4618" s="1">
        <v>42223</v>
      </c>
      <c r="J4618" s="1">
        <v>42221</v>
      </c>
      <c r="K4618" s="1">
        <v>42281</v>
      </c>
      <c r="L4618" s="7">
        <v>309.08999999999997</v>
      </c>
      <c r="M4618" s="5">
        <v>18</v>
      </c>
      <c r="N4618" s="7">
        <v>5563.62</v>
      </c>
      <c r="O4618">
        <v>309.08999999999997</v>
      </c>
      <c r="P4618">
        <v>18</v>
      </c>
      <c r="Q4618" s="2">
        <v>5563.62</v>
      </c>
      <c r="R4618">
        <v>0</v>
      </c>
      <c r="V4618">
        <v>0</v>
      </c>
      <c r="W4618">
        <v>0</v>
      </c>
      <c r="X4618">
        <v>0</v>
      </c>
      <c r="Y4618">
        <v>340</v>
      </c>
      <c r="Z4618">
        <v>340</v>
      </c>
      <c r="AA4618">
        <v>340</v>
      </c>
      <c r="AB4618" s="1">
        <v>42382</v>
      </c>
      <c r="AC4618" t="s">
        <v>53</v>
      </c>
      <c r="AD4618" t="s">
        <v>53</v>
      </c>
      <c r="AK4618">
        <v>0</v>
      </c>
      <c r="AU4618" s="6">
        <v>42299</v>
      </c>
      <c r="AV4618" s="6">
        <v>42299</v>
      </c>
      <c r="AW4618" t="s">
        <v>54</v>
      </c>
      <c r="AX4618" t="str">
        <f t="shared" si="385"/>
        <v>FOR</v>
      </c>
      <c r="AY4618" t="s">
        <v>55</v>
      </c>
    </row>
    <row r="4619" spans="1:51" hidden="1">
      <c r="A4619">
        <v>101670</v>
      </c>
      <c r="B4619" t="s">
        <v>837</v>
      </c>
      <c r="C4619" t="str">
        <f t="shared" ref="C4619:D4621" si="387">"04763060961"</f>
        <v>04763060961</v>
      </c>
      <c r="D4619" t="str">
        <f t="shared" si="387"/>
        <v>04763060961</v>
      </c>
      <c r="E4619" t="s">
        <v>52</v>
      </c>
      <c r="F4619">
        <v>2014</v>
      </c>
      <c r="G4619">
        <v>14054114</v>
      </c>
      <c r="H4619" s="1">
        <v>41900</v>
      </c>
      <c r="I4619" s="1">
        <v>41929</v>
      </c>
      <c r="J4619" s="1">
        <v>41929</v>
      </c>
      <c r="K4619" s="1">
        <v>41989</v>
      </c>
      <c r="N4619" s="5"/>
      <c r="O4619">
        <v>512.79999999999995</v>
      </c>
      <c r="P4619">
        <v>104</v>
      </c>
      <c r="Q4619" s="2">
        <v>53331.199999999997</v>
      </c>
      <c r="R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 s="1">
        <v>42382</v>
      </c>
      <c r="AC4619" t="s">
        <v>53</v>
      </c>
      <c r="AD4619" t="s">
        <v>53</v>
      </c>
      <c r="AK4619">
        <v>0</v>
      </c>
      <c r="AU4619" s="6">
        <v>42093</v>
      </c>
      <c r="AV4619" s="6">
        <v>42093</v>
      </c>
      <c r="AW4619" t="s">
        <v>54</v>
      </c>
      <c r="AX4619" t="str">
        <f t="shared" si="385"/>
        <v>FOR</v>
      </c>
      <c r="AY4619" t="s">
        <v>55</v>
      </c>
    </row>
    <row r="4620" spans="1:51" hidden="1">
      <c r="A4620">
        <v>101670</v>
      </c>
      <c r="B4620" t="s">
        <v>837</v>
      </c>
      <c r="C4620" t="str">
        <f t="shared" si="387"/>
        <v>04763060961</v>
      </c>
      <c r="D4620" t="str">
        <f t="shared" si="387"/>
        <v>04763060961</v>
      </c>
      <c r="E4620" t="s">
        <v>52</v>
      </c>
      <c r="F4620">
        <v>2014</v>
      </c>
      <c r="G4620">
        <v>14071820</v>
      </c>
      <c r="H4620" s="1">
        <v>41988</v>
      </c>
      <c r="I4620" s="1">
        <v>42004</v>
      </c>
      <c r="J4620" s="1">
        <v>42004</v>
      </c>
      <c r="K4620" s="1">
        <v>42064</v>
      </c>
      <c r="N4620" s="5"/>
      <c r="O4620">
        <v>512.79999999999995</v>
      </c>
      <c r="P4620">
        <v>29</v>
      </c>
      <c r="Q4620" s="2">
        <v>14871.2</v>
      </c>
      <c r="R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 s="1">
        <v>42382</v>
      </c>
      <c r="AC4620" t="s">
        <v>53</v>
      </c>
      <c r="AD4620" t="s">
        <v>53</v>
      </c>
      <c r="AK4620">
        <v>0</v>
      </c>
      <c r="AU4620" s="6">
        <v>42093</v>
      </c>
      <c r="AV4620" s="6">
        <v>42093</v>
      </c>
      <c r="AW4620" t="s">
        <v>54</v>
      </c>
      <c r="AX4620" t="str">
        <f t="shared" si="385"/>
        <v>FOR</v>
      </c>
      <c r="AY4620" t="s">
        <v>55</v>
      </c>
    </row>
    <row r="4621" spans="1:51">
      <c r="A4621">
        <v>101670</v>
      </c>
      <c r="B4621" t="s">
        <v>837</v>
      </c>
      <c r="C4621" t="str">
        <f t="shared" si="387"/>
        <v>04763060961</v>
      </c>
      <c r="D4621" t="str">
        <f t="shared" si="387"/>
        <v>04763060961</v>
      </c>
      <c r="E4621" t="s">
        <v>52</v>
      </c>
      <c r="F4621">
        <v>2015</v>
      </c>
      <c r="G4621">
        <v>15013528</v>
      </c>
      <c r="H4621" s="1">
        <v>42079</v>
      </c>
      <c r="I4621" s="1">
        <v>42102</v>
      </c>
      <c r="J4621" s="1">
        <v>42102</v>
      </c>
      <c r="K4621" s="1">
        <v>42162</v>
      </c>
      <c r="L4621" s="7">
        <v>420.33</v>
      </c>
      <c r="M4621" s="5">
        <v>178</v>
      </c>
      <c r="N4621" s="7">
        <v>74818.740000000005</v>
      </c>
      <c r="O4621">
        <v>420.33</v>
      </c>
      <c r="P4621">
        <v>178</v>
      </c>
      <c r="Q4621" s="2">
        <v>74818.740000000005</v>
      </c>
      <c r="R4621">
        <v>92.47</v>
      </c>
      <c r="V4621">
        <v>0</v>
      </c>
      <c r="W4621">
        <v>0</v>
      </c>
      <c r="X4621">
        <v>0</v>
      </c>
      <c r="Y4621">
        <v>512.79999999999995</v>
      </c>
      <c r="Z4621">
        <v>512.79999999999995</v>
      </c>
      <c r="AA4621">
        <v>512.79999999999995</v>
      </c>
      <c r="AB4621" s="1">
        <v>42382</v>
      </c>
      <c r="AC4621" t="s">
        <v>53</v>
      </c>
      <c r="AD4621" t="s">
        <v>53</v>
      </c>
      <c r="AK4621">
        <v>92.47</v>
      </c>
      <c r="AU4621" s="6">
        <v>42340</v>
      </c>
      <c r="AV4621" s="6">
        <v>42340</v>
      </c>
      <c r="AW4621" t="s">
        <v>54</v>
      </c>
      <c r="AX4621" t="str">
        <f t="shared" si="385"/>
        <v>FOR</v>
      </c>
      <c r="AY4621" t="s">
        <v>55</v>
      </c>
    </row>
    <row r="4622" spans="1:51" hidden="1">
      <c r="A4622">
        <v>101703</v>
      </c>
      <c r="B4622" t="s">
        <v>838</v>
      </c>
      <c r="C4622" t="str">
        <f>"09549001007"</f>
        <v>09549001007</v>
      </c>
      <c r="D4622" t="str">
        <f>"09549001007"</f>
        <v>09549001007</v>
      </c>
      <c r="E4622" t="s">
        <v>52</v>
      </c>
      <c r="F4622">
        <v>2014</v>
      </c>
      <c r="G4622">
        <v>1029</v>
      </c>
      <c r="H4622" s="1">
        <v>41934</v>
      </c>
      <c r="I4622" s="1">
        <v>41941</v>
      </c>
      <c r="J4622" s="1">
        <v>41941</v>
      </c>
      <c r="K4622" s="1">
        <v>42001</v>
      </c>
      <c r="N4622" s="5"/>
      <c r="O4622" s="2">
        <v>1464</v>
      </c>
      <c r="P4622">
        <v>130</v>
      </c>
      <c r="Q4622" s="2">
        <v>190320</v>
      </c>
      <c r="R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 s="1">
        <v>42382</v>
      </c>
      <c r="AC4622" t="s">
        <v>53</v>
      </c>
      <c r="AD4622" t="s">
        <v>53</v>
      </c>
      <c r="AK4622">
        <v>0</v>
      </c>
      <c r="AU4622" s="6">
        <v>42131</v>
      </c>
      <c r="AV4622" s="6">
        <v>42131</v>
      </c>
      <c r="AW4622" t="s">
        <v>54</v>
      </c>
      <c r="AX4622" t="str">
        <f t="shared" si="385"/>
        <v>FOR</v>
      </c>
      <c r="AY4622" t="s">
        <v>55</v>
      </c>
    </row>
    <row r="4623" spans="1:51" hidden="1">
      <c r="A4623">
        <v>101703</v>
      </c>
      <c r="B4623" t="s">
        <v>838</v>
      </c>
      <c r="C4623" t="str">
        <f>"09549001007"</f>
        <v>09549001007</v>
      </c>
      <c r="D4623" t="str">
        <f>"09549001007"</f>
        <v>09549001007</v>
      </c>
      <c r="E4623" t="s">
        <v>52</v>
      </c>
      <c r="F4623">
        <v>2015</v>
      </c>
      <c r="G4623">
        <v>145</v>
      </c>
      <c r="H4623" s="1">
        <v>42046</v>
      </c>
      <c r="I4623" s="1">
        <v>42047</v>
      </c>
      <c r="J4623" s="1">
        <v>42047</v>
      </c>
      <c r="K4623" s="1">
        <v>42107</v>
      </c>
      <c r="N4623" s="5"/>
      <c r="O4623" s="2">
        <v>4200</v>
      </c>
      <c r="P4623">
        <v>84</v>
      </c>
      <c r="Q4623" s="2">
        <v>352800</v>
      </c>
      <c r="R4623">
        <v>0</v>
      </c>
      <c r="V4623">
        <v>0</v>
      </c>
      <c r="W4623">
        <v>0</v>
      </c>
      <c r="X4623">
        <v>0</v>
      </c>
      <c r="Y4623" s="2">
        <v>5124</v>
      </c>
      <c r="Z4623" s="2">
        <v>5124</v>
      </c>
      <c r="AA4623" s="2">
        <v>5124</v>
      </c>
      <c r="AB4623" s="1">
        <v>42382</v>
      </c>
      <c r="AC4623" t="s">
        <v>53</v>
      </c>
      <c r="AD4623" t="s">
        <v>53</v>
      </c>
      <c r="AK4623">
        <v>0</v>
      </c>
      <c r="AU4623" s="6">
        <v>42191</v>
      </c>
      <c r="AV4623" s="6">
        <v>42191</v>
      </c>
      <c r="AW4623" t="s">
        <v>54</v>
      </c>
      <c r="AX4623" t="str">
        <f t="shared" si="385"/>
        <v>FOR</v>
      </c>
      <c r="AY4623" t="s">
        <v>55</v>
      </c>
    </row>
    <row r="4624" spans="1:51" hidden="1">
      <c r="A4624">
        <v>101709</v>
      </c>
      <c r="B4624" t="s">
        <v>839</v>
      </c>
      <c r="C4624" t="str">
        <f t="shared" ref="C4624:D4631" si="388">"06088781213"</f>
        <v>06088781213</v>
      </c>
      <c r="D4624" t="str">
        <f t="shared" si="388"/>
        <v>06088781213</v>
      </c>
      <c r="E4624" t="s">
        <v>52</v>
      </c>
      <c r="F4624">
        <v>2014</v>
      </c>
      <c r="G4624">
        <v>92</v>
      </c>
      <c r="H4624" s="1">
        <v>41729</v>
      </c>
      <c r="I4624" s="1">
        <v>41731</v>
      </c>
      <c r="J4624" s="1">
        <v>41731</v>
      </c>
      <c r="K4624" s="1">
        <v>41821</v>
      </c>
      <c r="N4624" s="5"/>
      <c r="O4624" s="2">
        <v>5124</v>
      </c>
      <c r="P4624">
        <v>274</v>
      </c>
      <c r="Q4624" s="2">
        <v>1403976</v>
      </c>
      <c r="R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 s="1">
        <v>42382</v>
      </c>
      <c r="AC4624" t="s">
        <v>53</v>
      </c>
      <c r="AD4624" t="s">
        <v>53</v>
      </c>
      <c r="AK4624">
        <v>0</v>
      </c>
      <c r="AU4624" s="6">
        <v>42095</v>
      </c>
      <c r="AV4624" s="6">
        <v>42095</v>
      </c>
      <c r="AW4624" t="s">
        <v>54</v>
      </c>
      <c r="AX4624" t="str">
        <f t="shared" si="385"/>
        <v>FOR</v>
      </c>
      <c r="AY4624" t="s">
        <v>55</v>
      </c>
    </row>
    <row r="4625" spans="1:51" hidden="1">
      <c r="A4625">
        <v>101709</v>
      </c>
      <c r="B4625" t="s">
        <v>839</v>
      </c>
      <c r="C4625" t="str">
        <f t="shared" si="388"/>
        <v>06088781213</v>
      </c>
      <c r="D4625" t="str">
        <f t="shared" si="388"/>
        <v>06088781213</v>
      </c>
      <c r="E4625" t="s">
        <v>52</v>
      </c>
      <c r="F4625">
        <v>2014</v>
      </c>
      <c r="G4625">
        <v>267</v>
      </c>
      <c r="H4625" s="1">
        <v>41912</v>
      </c>
      <c r="I4625" s="1">
        <v>41928</v>
      </c>
      <c r="J4625" s="1">
        <v>41928</v>
      </c>
      <c r="K4625" s="1">
        <v>41988</v>
      </c>
      <c r="N4625" s="5"/>
      <c r="O4625">
        <v>301.95</v>
      </c>
      <c r="P4625">
        <v>107</v>
      </c>
      <c r="Q4625" s="2">
        <v>32308.65</v>
      </c>
      <c r="R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 s="1">
        <v>42382</v>
      </c>
      <c r="AC4625" t="s">
        <v>53</v>
      </c>
      <c r="AD4625" t="s">
        <v>53</v>
      </c>
      <c r="AK4625">
        <v>0</v>
      </c>
      <c r="AU4625" s="6">
        <v>42095</v>
      </c>
      <c r="AV4625" s="6">
        <v>42095</v>
      </c>
      <c r="AW4625" t="s">
        <v>54</v>
      </c>
      <c r="AX4625" t="str">
        <f t="shared" si="385"/>
        <v>FOR</v>
      </c>
      <c r="AY4625" t="s">
        <v>55</v>
      </c>
    </row>
    <row r="4626" spans="1:51" hidden="1">
      <c r="A4626">
        <v>101709</v>
      </c>
      <c r="B4626" t="s">
        <v>839</v>
      </c>
      <c r="C4626" t="str">
        <f t="shared" si="388"/>
        <v>06088781213</v>
      </c>
      <c r="D4626" t="str">
        <f t="shared" si="388"/>
        <v>06088781213</v>
      </c>
      <c r="E4626" t="s">
        <v>52</v>
      </c>
      <c r="F4626">
        <v>2014</v>
      </c>
      <c r="G4626">
        <v>288</v>
      </c>
      <c r="H4626" s="1">
        <v>41928</v>
      </c>
      <c r="I4626" s="1">
        <v>41932</v>
      </c>
      <c r="J4626" s="1">
        <v>41932</v>
      </c>
      <c r="K4626" s="1">
        <v>41992</v>
      </c>
      <c r="N4626" s="5"/>
      <c r="O4626" s="2">
        <v>1098</v>
      </c>
      <c r="P4626">
        <v>103</v>
      </c>
      <c r="Q4626" s="2">
        <v>113094</v>
      </c>
      <c r="R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 s="1">
        <v>42382</v>
      </c>
      <c r="AC4626" t="s">
        <v>53</v>
      </c>
      <c r="AD4626" t="s">
        <v>53</v>
      </c>
      <c r="AK4626">
        <v>0</v>
      </c>
      <c r="AU4626" s="6">
        <v>42095</v>
      </c>
      <c r="AV4626" s="6">
        <v>42095</v>
      </c>
      <c r="AW4626" t="s">
        <v>54</v>
      </c>
      <c r="AX4626" t="str">
        <f t="shared" si="385"/>
        <v>FOR</v>
      </c>
      <c r="AY4626" t="s">
        <v>55</v>
      </c>
    </row>
    <row r="4627" spans="1:51">
      <c r="A4627">
        <v>101709</v>
      </c>
      <c r="B4627" t="s">
        <v>839</v>
      </c>
      <c r="C4627" t="str">
        <f t="shared" si="388"/>
        <v>06088781213</v>
      </c>
      <c r="D4627" t="str">
        <f t="shared" si="388"/>
        <v>06088781213</v>
      </c>
      <c r="E4627" t="s">
        <v>52</v>
      </c>
      <c r="F4627">
        <v>2015</v>
      </c>
      <c r="G4627">
        <v>1</v>
      </c>
      <c r="H4627" s="1">
        <v>42009</v>
      </c>
      <c r="I4627" s="1">
        <v>42086</v>
      </c>
      <c r="J4627" s="1">
        <v>42086</v>
      </c>
      <c r="K4627" s="1">
        <v>42146</v>
      </c>
      <c r="L4627" s="7">
        <v>9166.67</v>
      </c>
      <c r="M4627" s="5">
        <v>158</v>
      </c>
      <c r="N4627" s="7">
        <v>1448333.86</v>
      </c>
      <c r="O4627" s="2">
        <v>9166.67</v>
      </c>
      <c r="P4627">
        <v>158</v>
      </c>
      <c r="Q4627" s="2">
        <v>1448333.86</v>
      </c>
      <c r="R4627">
        <v>0</v>
      </c>
      <c r="V4627">
        <v>0</v>
      </c>
      <c r="W4627">
        <v>0</v>
      </c>
      <c r="X4627">
        <v>0</v>
      </c>
      <c r="Y4627" s="2">
        <v>11183.34</v>
      </c>
      <c r="Z4627" s="2">
        <v>11183.34</v>
      </c>
      <c r="AA4627" s="2">
        <v>11183.34</v>
      </c>
      <c r="AB4627" s="1">
        <v>42382</v>
      </c>
      <c r="AC4627" t="s">
        <v>53</v>
      </c>
      <c r="AD4627" t="s">
        <v>53</v>
      </c>
      <c r="AK4627">
        <v>0</v>
      </c>
      <c r="AU4627" s="6">
        <v>42304</v>
      </c>
      <c r="AV4627" s="6">
        <v>42304</v>
      </c>
      <c r="AW4627" t="s">
        <v>54</v>
      </c>
      <c r="AX4627" t="str">
        <f t="shared" si="385"/>
        <v>FOR</v>
      </c>
      <c r="AY4627" t="s">
        <v>55</v>
      </c>
    </row>
    <row r="4628" spans="1:51">
      <c r="A4628">
        <v>101709</v>
      </c>
      <c r="B4628" t="s">
        <v>839</v>
      </c>
      <c r="C4628" t="str">
        <f t="shared" si="388"/>
        <v>06088781213</v>
      </c>
      <c r="D4628" t="str">
        <f t="shared" si="388"/>
        <v>06088781213</v>
      </c>
      <c r="E4628" t="s">
        <v>52</v>
      </c>
      <c r="F4628">
        <v>2015</v>
      </c>
      <c r="G4628">
        <v>69</v>
      </c>
      <c r="H4628" s="1">
        <v>42075</v>
      </c>
      <c r="I4628" s="1">
        <v>42086</v>
      </c>
      <c r="J4628" s="1">
        <v>42086</v>
      </c>
      <c r="K4628" s="1">
        <v>42146</v>
      </c>
      <c r="L4628" s="7">
        <v>840</v>
      </c>
      <c r="M4628" s="5">
        <v>193</v>
      </c>
      <c r="N4628" s="7">
        <v>162120</v>
      </c>
      <c r="O4628">
        <v>840</v>
      </c>
      <c r="P4628">
        <v>193</v>
      </c>
      <c r="Q4628" s="2">
        <v>162120</v>
      </c>
      <c r="R4628">
        <v>184.8</v>
      </c>
      <c r="V4628">
        <v>0</v>
      </c>
      <c r="W4628">
        <v>0</v>
      </c>
      <c r="X4628">
        <v>0</v>
      </c>
      <c r="Y4628" s="2">
        <v>1024.8</v>
      </c>
      <c r="Z4628" s="2">
        <v>1024.8</v>
      </c>
      <c r="AA4628" s="2">
        <v>1024.8</v>
      </c>
      <c r="AB4628" s="1">
        <v>42382</v>
      </c>
      <c r="AC4628" t="s">
        <v>53</v>
      </c>
      <c r="AD4628" t="s">
        <v>53</v>
      </c>
      <c r="AK4628">
        <v>184.8</v>
      </c>
      <c r="AU4628" s="6">
        <v>42339</v>
      </c>
      <c r="AV4628" s="6">
        <v>42339</v>
      </c>
      <c r="AW4628" t="s">
        <v>54</v>
      </c>
      <c r="AX4628" t="str">
        <f t="shared" si="385"/>
        <v>FOR</v>
      </c>
      <c r="AY4628" t="s">
        <v>55</v>
      </c>
    </row>
    <row r="4629" spans="1:51">
      <c r="A4629">
        <v>101709</v>
      </c>
      <c r="B4629" t="s">
        <v>839</v>
      </c>
      <c r="C4629" t="str">
        <f t="shared" si="388"/>
        <v>06088781213</v>
      </c>
      <c r="D4629" t="str">
        <f t="shared" si="388"/>
        <v>06088781213</v>
      </c>
      <c r="E4629" t="s">
        <v>52</v>
      </c>
      <c r="F4629">
        <v>2015</v>
      </c>
      <c r="G4629" t="s">
        <v>840</v>
      </c>
      <c r="H4629" s="1">
        <v>42130</v>
      </c>
      <c r="I4629" s="1">
        <v>42177</v>
      </c>
      <c r="J4629" s="1">
        <v>42138</v>
      </c>
      <c r="K4629" s="1">
        <v>42198</v>
      </c>
      <c r="L4629" s="7">
        <v>336.6</v>
      </c>
      <c r="M4629" s="5">
        <v>141</v>
      </c>
      <c r="N4629" s="7">
        <v>47460.6</v>
      </c>
      <c r="O4629">
        <v>336.6</v>
      </c>
      <c r="P4629">
        <v>141</v>
      </c>
      <c r="Q4629" s="2">
        <v>47460.6</v>
      </c>
      <c r="R4629">
        <v>74.05</v>
      </c>
      <c r="V4629">
        <v>0</v>
      </c>
      <c r="W4629">
        <v>0</v>
      </c>
      <c r="X4629">
        <v>0</v>
      </c>
      <c r="Y4629">
        <v>410.65</v>
      </c>
      <c r="Z4629">
        <v>410.65</v>
      </c>
      <c r="AA4629">
        <v>410.65</v>
      </c>
      <c r="AB4629" s="1">
        <v>42382</v>
      </c>
      <c r="AC4629" t="s">
        <v>53</v>
      </c>
      <c r="AD4629" t="s">
        <v>53</v>
      </c>
      <c r="AJ4629">
        <v>74.05</v>
      </c>
      <c r="AK4629">
        <v>0</v>
      </c>
      <c r="AU4629" s="6">
        <v>42339</v>
      </c>
      <c r="AV4629" s="6">
        <v>42339</v>
      </c>
      <c r="AW4629" t="s">
        <v>54</v>
      </c>
      <c r="AX4629" t="str">
        <f t="shared" si="385"/>
        <v>FOR</v>
      </c>
      <c r="AY4629" t="s">
        <v>55</v>
      </c>
    </row>
    <row r="4630" spans="1:51">
      <c r="A4630">
        <v>101709</v>
      </c>
      <c r="B4630" t="s">
        <v>839</v>
      </c>
      <c r="C4630" t="str">
        <f t="shared" si="388"/>
        <v>06088781213</v>
      </c>
      <c r="D4630" t="str">
        <f t="shared" si="388"/>
        <v>06088781213</v>
      </c>
      <c r="E4630" t="s">
        <v>52</v>
      </c>
      <c r="F4630">
        <v>2015</v>
      </c>
      <c r="G4630" t="s">
        <v>841</v>
      </c>
      <c r="H4630" s="1">
        <v>42144</v>
      </c>
      <c r="I4630" s="1">
        <v>42165</v>
      </c>
      <c r="J4630" s="1">
        <v>42144</v>
      </c>
      <c r="K4630" s="1">
        <v>42204</v>
      </c>
      <c r="L4630" s="7">
        <v>840</v>
      </c>
      <c r="M4630" s="5">
        <v>135</v>
      </c>
      <c r="N4630" s="7">
        <v>113400</v>
      </c>
      <c r="O4630">
        <v>840</v>
      </c>
      <c r="P4630">
        <v>135</v>
      </c>
      <c r="Q4630" s="2">
        <v>113400</v>
      </c>
      <c r="R4630">
        <v>184.8</v>
      </c>
      <c r="V4630">
        <v>0</v>
      </c>
      <c r="W4630">
        <v>0</v>
      </c>
      <c r="X4630">
        <v>0</v>
      </c>
      <c r="Y4630" s="2">
        <v>1024.8</v>
      </c>
      <c r="Z4630" s="2">
        <v>1024.8</v>
      </c>
      <c r="AA4630" s="2">
        <v>1024.8</v>
      </c>
      <c r="AB4630" s="1">
        <v>42382</v>
      </c>
      <c r="AC4630" t="s">
        <v>53</v>
      </c>
      <c r="AD4630" t="s">
        <v>53</v>
      </c>
      <c r="AJ4630">
        <v>184.8</v>
      </c>
      <c r="AK4630">
        <v>0</v>
      </c>
      <c r="AU4630" s="6">
        <v>42339</v>
      </c>
      <c r="AV4630" s="6">
        <v>42339</v>
      </c>
      <c r="AW4630" t="s">
        <v>54</v>
      </c>
      <c r="AX4630" t="str">
        <f t="shared" si="385"/>
        <v>FOR</v>
      </c>
      <c r="AY4630" t="s">
        <v>55</v>
      </c>
    </row>
    <row r="4631" spans="1:51">
      <c r="A4631">
        <v>101709</v>
      </c>
      <c r="B4631" t="s">
        <v>839</v>
      </c>
      <c r="C4631" t="str">
        <f t="shared" si="388"/>
        <v>06088781213</v>
      </c>
      <c r="D4631" t="str">
        <f t="shared" si="388"/>
        <v>06088781213</v>
      </c>
      <c r="E4631" t="s">
        <v>52</v>
      </c>
      <c r="F4631">
        <v>2015</v>
      </c>
      <c r="G4631" t="s">
        <v>842</v>
      </c>
      <c r="H4631" s="1">
        <v>42213</v>
      </c>
      <c r="I4631" s="1">
        <v>42227</v>
      </c>
      <c r="J4631" s="1">
        <v>42214</v>
      </c>
      <c r="K4631" s="1">
        <v>42274</v>
      </c>
      <c r="L4631" s="7">
        <v>900</v>
      </c>
      <c r="M4631" s="5">
        <v>65</v>
      </c>
      <c r="N4631" s="7">
        <v>58500</v>
      </c>
      <c r="O4631">
        <v>900</v>
      </c>
      <c r="P4631">
        <v>65</v>
      </c>
      <c r="Q4631" s="2">
        <v>58500</v>
      </c>
      <c r="R4631">
        <v>198</v>
      </c>
      <c r="V4631">
        <v>0</v>
      </c>
      <c r="W4631">
        <v>0</v>
      </c>
      <c r="X4631">
        <v>0</v>
      </c>
      <c r="Y4631" s="2">
        <v>1098</v>
      </c>
      <c r="Z4631" s="2">
        <v>1098</v>
      </c>
      <c r="AA4631" s="2">
        <v>1098</v>
      </c>
      <c r="AB4631" s="1">
        <v>42382</v>
      </c>
      <c r="AC4631" t="s">
        <v>53</v>
      </c>
      <c r="AD4631" t="s">
        <v>53</v>
      </c>
      <c r="AH4631">
        <v>198</v>
      </c>
      <c r="AK4631">
        <v>0</v>
      </c>
      <c r="AU4631" s="6">
        <v>42339</v>
      </c>
      <c r="AV4631" s="6">
        <v>42339</v>
      </c>
      <c r="AW4631" t="s">
        <v>54</v>
      </c>
      <c r="AX4631" t="str">
        <f t="shared" si="385"/>
        <v>FOR</v>
      </c>
      <c r="AY4631" t="s">
        <v>55</v>
      </c>
    </row>
    <row r="4632" spans="1:51" hidden="1">
      <c r="A4632">
        <v>101711</v>
      </c>
      <c r="B4632" t="s">
        <v>843</v>
      </c>
      <c r="C4632" t="str">
        <f t="shared" ref="C4632:D4636" si="389">"06436131210"</f>
        <v>06436131210</v>
      </c>
      <c r="D4632" t="str">
        <f t="shared" si="389"/>
        <v>06436131210</v>
      </c>
      <c r="E4632" t="s">
        <v>52</v>
      </c>
      <c r="F4632">
        <v>2014</v>
      </c>
      <c r="G4632">
        <v>163</v>
      </c>
      <c r="H4632" s="1">
        <v>41849</v>
      </c>
      <c r="I4632" s="1">
        <v>41872</v>
      </c>
      <c r="J4632" s="1">
        <v>41872</v>
      </c>
      <c r="K4632" s="1">
        <v>41962</v>
      </c>
      <c r="N4632" s="5"/>
      <c r="O4632" s="2">
        <v>2708.4</v>
      </c>
      <c r="P4632">
        <v>229</v>
      </c>
      <c r="Q4632" s="2">
        <v>620223.6</v>
      </c>
      <c r="R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 s="1">
        <v>42382</v>
      </c>
      <c r="AC4632" t="s">
        <v>53</v>
      </c>
      <c r="AD4632" t="s">
        <v>53</v>
      </c>
      <c r="AK4632">
        <v>0</v>
      </c>
      <c r="AU4632" s="6">
        <v>42191</v>
      </c>
      <c r="AV4632" s="6">
        <v>42191</v>
      </c>
      <c r="AW4632" t="s">
        <v>54</v>
      </c>
      <c r="AX4632" t="str">
        <f t="shared" si="385"/>
        <v>FOR</v>
      </c>
      <c r="AY4632" t="s">
        <v>55</v>
      </c>
    </row>
    <row r="4633" spans="1:51" hidden="1">
      <c r="A4633">
        <v>101711</v>
      </c>
      <c r="B4633" t="s">
        <v>843</v>
      </c>
      <c r="C4633" t="str">
        <f t="shared" si="389"/>
        <v>06436131210</v>
      </c>
      <c r="D4633" t="str">
        <f t="shared" si="389"/>
        <v>06436131210</v>
      </c>
      <c r="E4633" t="s">
        <v>52</v>
      </c>
      <c r="F4633">
        <v>2014</v>
      </c>
      <c r="G4633">
        <v>233</v>
      </c>
      <c r="H4633" s="1">
        <v>41934</v>
      </c>
      <c r="I4633" s="1">
        <v>41941</v>
      </c>
      <c r="J4633" s="1">
        <v>41941</v>
      </c>
      <c r="K4633" s="1">
        <v>42001</v>
      </c>
      <c r="N4633" s="5"/>
      <c r="O4633" s="2">
        <v>1954.44</v>
      </c>
      <c r="P4633">
        <v>276</v>
      </c>
      <c r="Q4633" s="2">
        <v>539425.43999999994</v>
      </c>
      <c r="R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 s="1">
        <v>42382</v>
      </c>
      <c r="AC4633" t="s">
        <v>53</v>
      </c>
      <c r="AD4633" t="s">
        <v>53</v>
      </c>
      <c r="AK4633">
        <v>0</v>
      </c>
      <c r="AU4633" s="6">
        <v>42277</v>
      </c>
      <c r="AV4633" s="6">
        <v>42277</v>
      </c>
      <c r="AW4633" t="s">
        <v>54</v>
      </c>
      <c r="AX4633" t="str">
        <f t="shared" si="385"/>
        <v>FOR</v>
      </c>
      <c r="AY4633" t="s">
        <v>55</v>
      </c>
    </row>
    <row r="4634" spans="1:51" hidden="1">
      <c r="A4634">
        <v>101711</v>
      </c>
      <c r="B4634" t="s">
        <v>843</v>
      </c>
      <c r="C4634" t="str">
        <f t="shared" si="389"/>
        <v>06436131210</v>
      </c>
      <c r="D4634" t="str">
        <f t="shared" si="389"/>
        <v>06436131210</v>
      </c>
      <c r="E4634" t="s">
        <v>52</v>
      </c>
      <c r="F4634">
        <v>2014</v>
      </c>
      <c r="G4634">
        <v>255</v>
      </c>
      <c r="H4634" s="1">
        <v>41960</v>
      </c>
      <c r="I4634" s="1">
        <v>41964</v>
      </c>
      <c r="J4634" s="1">
        <v>41964</v>
      </c>
      <c r="K4634" s="1">
        <v>42024</v>
      </c>
      <c r="N4634" s="5"/>
      <c r="O4634" s="2">
        <v>1320.04</v>
      </c>
      <c r="P4634">
        <v>253</v>
      </c>
      <c r="Q4634" s="2">
        <v>333970.12</v>
      </c>
      <c r="R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 s="1">
        <v>42382</v>
      </c>
      <c r="AC4634" t="s">
        <v>53</v>
      </c>
      <c r="AD4634" t="s">
        <v>53</v>
      </c>
      <c r="AK4634">
        <v>0</v>
      </c>
      <c r="AU4634" s="6">
        <v>42277</v>
      </c>
      <c r="AV4634" s="6">
        <v>42277</v>
      </c>
      <c r="AW4634" t="s">
        <v>54</v>
      </c>
      <c r="AX4634" t="str">
        <f t="shared" si="385"/>
        <v>FOR</v>
      </c>
      <c r="AY4634" t="s">
        <v>55</v>
      </c>
    </row>
    <row r="4635" spans="1:51" hidden="1">
      <c r="A4635">
        <v>101711</v>
      </c>
      <c r="B4635" t="s">
        <v>843</v>
      </c>
      <c r="C4635" t="str">
        <f t="shared" si="389"/>
        <v>06436131210</v>
      </c>
      <c r="D4635" t="str">
        <f t="shared" si="389"/>
        <v>06436131210</v>
      </c>
      <c r="E4635" t="s">
        <v>52</v>
      </c>
      <c r="F4635">
        <v>2014</v>
      </c>
      <c r="G4635">
        <v>267</v>
      </c>
      <c r="H4635" s="1">
        <v>41968</v>
      </c>
      <c r="I4635" s="1">
        <v>41976</v>
      </c>
      <c r="J4635" s="1">
        <v>41976</v>
      </c>
      <c r="K4635" s="1">
        <v>42036</v>
      </c>
      <c r="N4635" s="5"/>
      <c r="O4635" s="2">
        <v>2304.58</v>
      </c>
      <c r="P4635">
        <v>241</v>
      </c>
      <c r="Q4635" s="2">
        <v>555403.78</v>
      </c>
      <c r="R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 s="1">
        <v>42382</v>
      </c>
      <c r="AC4635" t="s">
        <v>53</v>
      </c>
      <c r="AD4635" t="s">
        <v>53</v>
      </c>
      <c r="AK4635">
        <v>0</v>
      </c>
      <c r="AU4635" s="6">
        <v>42277</v>
      </c>
      <c r="AV4635" s="6">
        <v>42277</v>
      </c>
      <c r="AW4635" t="s">
        <v>54</v>
      </c>
      <c r="AX4635" t="str">
        <f t="shared" si="385"/>
        <v>FOR</v>
      </c>
      <c r="AY4635" t="s">
        <v>55</v>
      </c>
    </row>
    <row r="4636" spans="1:51">
      <c r="A4636">
        <v>101711</v>
      </c>
      <c r="B4636" t="s">
        <v>843</v>
      </c>
      <c r="C4636" t="str">
        <f t="shared" si="389"/>
        <v>06436131210</v>
      </c>
      <c r="D4636" t="str">
        <f t="shared" si="389"/>
        <v>06436131210</v>
      </c>
      <c r="E4636" t="s">
        <v>52</v>
      </c>
      <c r="F4636">
        <v>2015</v>
      </c>
      <c r="G4636">
        <v>37</v>
      </c>
      <c r="H4636" s="1">
        <v>42052</v>
      </c>
      <c r="I4636" s="1">
        <v>42054</v>
      </c>
      <c r="J4636" s="1">
        <v>42054</v>
      </c>
      <c r="K4636" s="1">
        <v>42114</v>
      </c>
      <c r="L4636" s="7">
        <v>1634</v>
      </c>
      <c r="M4636" s="5">
        <v>227</v>
      </c>
      <c r="N4636" s="7">
        <v>370918</v>
      </c>
      <c r="O4636" s="2">
        <v>1634</v>
      </c>
      <c r="P4636">
        <v>227</v>
      </c>
      <c r="Q4636" s="2">
        <v>370918</v>
      </c>
      <c r="R4636">
        <v>359.48</v>
      </c>
      <c r="V4636">
        <v>0</v>
      </c>
      <c r="W4636">
        <v>0</v>
      </c>
      <c r="X4636">
        <v>0</v>
      </c>
      <c r="Y4636" s="2">
        <v>1993.48</v>
      </c>
      <c r="Z4636" s="2">
        <v>1993.48</v>
      </c>
      <c r="AA4636" s="2">
        <v>1993.48</v>
      </c>
      <c r="AB4636" s="1">
        <v>42382</v>
      </c>
      <c r="AC4636" t="s">
        <v>53</v>
      </c>
      <c r="AD4636" t="s">
        <v>53</v>
      </c>
      <c r="AK4636">
        <v>359.48</v>
      </c>
      <c r="AU4636" s="6">
        <v>42341</v>
      </c>
      <c r="AV4636" s="6">
        <v>42341</v>
      </c>
      <c r="AW4636" t="s">
        <v>54</v>
      </c>
      <c r="AX4636" t="str">
        <f t="shared" si="385"/>
        <v>FOR</v>
      </c>
      <c r="AY4636" t="s">
        <v>55</v>
      </c>
    </row>
    <row r="4637" spans="1:51" hidden="1">
      <c r="A4637">
        <v>101716</v>
      </c>
      <c r="B4637" t="s">
        <v>844</v>
      </c>
      <c r="C4637" t="str">
        <f t="shared" ref="C4637:D4639" si="390">"01425920624"</f>
        <v>01425920624</v>
      </c>
      <c r="D4637" t="str">
        <f t="shared" si="390"/>
        <v>01425920624</v>
      </c>
      <c r="E4637" t="s">
        <v>52</v>
      </c>
      <c r="F4637">
        <v>2014</v>
      </c>
      <c r="G4637">
        <v>25</v>
      </c>
      <c r="H4637" s="1">
        <v>41877</v>
      </c>
      <c r="I4637" s="1">
        <v>41879</v>
      </c>
      <c r="J4637" s="1">
        <v>41879</v>
      </c>
      <c r="K4637" s="1">
        <v>41969</v>
      </c>
      <c r="N4637" s="5"/>
      <c r="O4637" s="2">
        <v>2196</v>
      </c>
      <c r="P4637">
        <v>48</v>
      </c>
      <c r="Q4637" s="2">
        <v>105408</v>
      </c>
      <c r="R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 s="1">
        <v>42382</v>
      </c>
      <c r="AC4637" t="s">
        <v>53</v>
      </c>
      <c r="AD4637" t="s">
        <v>53</v>
      </c>
      <c r="AK4637">
        <v>0</v>
      </c>
      <c r="AU4637" s="6">
        <v>42017</v>
      </c>
      <c r="AV4637" s="6">
        <v>42017</v>
      </c>
      <c r="AW4637" t="s">
        <v>54</v>
      </c>
      <c r="AX4637" t="str">
        <f t="shared" si="385"/>
        <v>FOR</v>
      </c>
      <c r="AY4637" t="s">
        <v>55</v>
      </c>
    </row>
    <row r="4638" spans="1:51" hidden="1">
      <c r="A4638">
        <v>101716</v>
      </c>
      <c r="B4638" t="s">
        <v>844</v>
      </c>
      <c r="C4638" t="str">
        <f t="shared" si="390"/>
        <v>01425920624</v>
      </c>
      <c r="D4638" t="str">
        <f t="shared" si="390"/>
        <v>01425920624</v>
      </c>
      <c r="E4638" t="s">
        <v>52</v>
      </c>
      <c r="F4638">
        <v>2014</v>
      </c>
      <c r="G4638">
        <v>34</v>
      </c>
      <c r="H4638" s="1">
        <v>41932</v>
      </c>
      <c r="I4638" s="1">
        <v>41932</v>
      </c>
      <c r="J4638" s="1">
        <v>41932</v>
      </c>
      <c r="K4638" s="1">
        <v>41992</v>
      </c>
      <c r="N4638" s="5"/>
      <c r="O4638" s="2">
        <v>1586</v>
      </c>
      <c r="P4638">
        <v>25</v>
      </c>
      <c r="Q4638" s="2">
        <v>39650</v>
      </c>
      <c r="R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 s="1">
        <v>42382</v>
      </c>
      <c r="AC4638" t="s">
        <v>53</v>
      </c>
      <c r="AD4638" t="s">
        <v>53</v>
      </c>
      <c r="AK4638">
        <v>0</v>
      </c>
      <c r="AU4638" s="6">
        <v>42017</v>
      </c>
      <c r="AV4638" s="6">
        <v>42017</v>
      </c>
      <c r="AW4638" t="s">
        <v>54</v>
      </c>
      <c r="AX4638" t="str">
        <f t="shared" si="385"/>
        <v>FOR</v>
      </c>
      <c r="AY4638" t="s">
        <v>55</v>
      </c>
    </row>
    <row r="4639" spans="1:51" hidden="1">
      <c r="A4639">
        <v>101716</v>
      </c>
      <c r="B4639" t="s">
        <v>844</v>
      </c>
      <c r="C4639" t="str">
        <f t="shared" si="390"/>
        <v>01425920624</v>
      </c>
      <c r="D4639" t="str">
        <f t="shared" si="390"/>
        <v>01425920624</v>
      </c>
      <c r="E4639" t="s">
        <v>52</v>
      </c>
      <c r="F4639">
        <v>2015</v>
      </c>
      <c r="G4639">
        <v>8</v>
      </c>
      <c r="H4639" s="1">
        <v>42062</v>
      </c>
      <c r="I4639" s="1">
        <v>42067</v>
      </c>
      <c r="J4639" s="1">
        <v>42067</v>
      </c>
      <c r="K4639" s="1">
        <v>42127</v>
      </c>
      <c r="N4639" s="5"/>
      <c r="O4639" s="2">
        <v>4300</v>
      </c>
      <c r="P4639">
        <v>32</v>
      </c>
      <c r="Q4639" s="2">
        <v>137600</v>
      </c>
      <c r="R4639">
        <v>0</v>
      </c>
      <c r="V4639">
        <v>0</v>
      </c>
      <c r="W4639">
        <v>0</v>
      </c>
      <c r="X4639">
        <v>0</v>
      </c>
      <c r="Y4639" s="2">
        <v>5246</v>
      </c>
      <c r="Z4639" s="2">
        <v>5246</v>
      </c>
      <c r="AA4639" s="2">
        <v>5246</v>
      </c>
      <c r="AB4639" s="1">
        <v>42382</v>
      </c>
      <c r="AC4639" t="s">
        <v>53</v>
      </c>
      <c r="AD4639" t="s">
        <v>53</v>
      </c>
      <c r="AK4639">
        <v>0</v>
      </c>
      <c r="AU4639" s="6">
        <v>42159</v>
      </c>
      <c r="AV4639" s="6">
        <v>42159</v>
      </c>
      <c r="AW4639" t="s">
        <v>54</v>
      </c>
      <c r="AX4639" t="str">
        <f t="shared" si="385"/>
        <v>FOR</v>
      </c>
      <c r="AY4639" t="s">
        <v>55</v>
      </c>
    </row>
    <row r="4640" spans="1:51" hidden="1">
      <c r="A4640">
        <v>101717</v>
      </c>
      <c r="B4640" t="s">
        <v>845</v>
      </c>
      <c r="C4640" t="str">
        <f>"01573850516"</f>
        <v>01573850516</v>
      </c>
      <c r="D4640" t="str">
        <f>"04552920482"</f>
        <v>04552920482</v>
      </c>
      <c r="E4640" t="s">
        <v>52</v>
      </c>
      <c r="F4640">
        <v>2015</v>
      </c>
      <c r="G4640">
        <v>702</v>
      </c>
      <c r="H4640" s="1">
        <v>42030</v>
      </c>
      <c r="I4640" s="1">
        <v>42037</v>
      </c>
      <c r="J4640" s="1">
        <v>42037</v>
      </c>
      <c r="K4640" s="1">
        <v>42097</v>
      </c>
      <c r="N4640" s="5"/>
      <c r="O4640" s="2">
        <v>1000</v>
      </c>
      <c r="P4640">
        <v>33</v>
      </c>
      <c r="Q4640" s="2">
        <v>33000</v>
      </c>
      <c r="R4640">
        <v>0</v>
      </c>
      <c r="V4640">
        <v>0</v>
      </c>
      <c r="W4640">
        <v>0</v>
      </c>
      <c r="X4640">
        <v>0</v>
      </c>
      <c r="Y4640">
        <v>0</v>
      </c>
      <c r="Z4640" s="2">
        <v>1220</v>
      </c>
      <c r="AA4640" s="2">
        <v>1220</v>
      </c>
      <c r="AB4640" s="1">
        <v>42382</v>
      </c>
      <c r="AC4640" t="s">
        <v>53</v>
      </c>
      <c r="AD4640" t="s">
        <v>53</v>
      </c>
      <c r="AK4640">
        <v>0</v>
      </c>
      <c r="AU4640" s="6">
        <v>42130</v>
      </c>
      <c r="AV4640" s="6">
        <v>42130</v>
      </c>
      <c r="AW4640" t="s">
        <v>54</v>
      </c>
      <c r="AX4640" t="str">
        <f t="shared" si="385"/>
        <v>FOR</v>
      </c>
      <c r="AY4640" t="s">
        <v>55</v>
      </c>
    </row>
    <row r="4641" spans="1:51">
      <c r="A4641">
        <v>101717</v>
      </c>
      <c r="B4641" t="s">
        <v>845</v>
      </c>
      <c r="C4641" t="str">
        <f>"01573850516"</f>
        <v>01573850516</v>
      </c>
      <c r="D4641" t="str">
        <f>"04552920482"</f>
        <v>04552920482</v>
      </c>
      <c r="E4641" t="s">
        <v>52</v>
      </c>
      <c r="F4641">
        <v>2015</v>
      </c>
      <c r="G4641" t="s">
        <v>846</v>
      </c>
      <c r="H4641" s="1">
        <v>42272</v>
      </c>
      <c r="I4641" s="1">
        <v>42342</v>
      </c>
      <c r="J4641" s="1">
        <v>42341</v>
      </c>
      <c r="K4641" s="1">
        <v>42401</v>
      </c>
      <c r="L4641" s="7">
        <v>2625</v>
      </c>
      <c r="M4641" s="5">
        <v>-48</v>
      </c>
      <c r="N4641" s="7">
        <v>-126000</v>
      </c>
      <c r="O4641" s="2">
        <v>2625</v>
      </c>
      <c r="P4641">
        <v>-48</v>
      </c>
      <c r="Q4641" s="2">
        <v>-126000</v>
      </c>
      <c r="R4641">
        <v>577.5</v>
      </c>
      <c r="V4641">
        <v>0</v>
      </c>
      <c r="W4641" s="2">
        <v>3202.5</v>
      </c>
      <c r="X4641">
        <v>0</v>
      </c>
      <c r="Y4641" s="2">
        <v>3202.5</v>
      </c>
      <c r="Z4641" s="2">
        <v>3202.5</v>
      </c>
      <c r="AA4641" s="2">
        <v>3202.5</v>
      </c>
      <c r="AB4641" s="1">
        <v>42382</v>
      </c>
      <c r="AC4641" t="s">
        <v>53</v>
      </c>
      <c r="AD4641" t="s">
        <v>53</v>
      </c>
      <c r="AK4641">
        <v>0</v>
      </c>
      <c r="AN4641">
        <v>577.5</v>
      </c>
      <c r="AU4641" s="6">
        <v>42353</v>
      </c>
      <c r="AV4641" s="6">
        <v>42353</v>
      </c>
      <c r="AW4641" t="s">
        <v>54</v>
      </c>
      <c r="AX4641" t="str">
        <f t="shared" si="385"/>
        <v>FOR</v>
      </c>
      <c r="AY4641" t="s">
        <v>55</v>
      </c>
    </row>
    <row r="4642" spans="1:51">
      <c r="A4642">
        <v>101717</v>
      </c>
      <c r="B4642" t="s">
        <v>845</v>
      </c>
      <c r="C4642" t="str">
        <f>"01573850516"</f>
        <v>01573850516</v>
      </c>
      <c r="D4642" t="str">
        <f>"04552920482"</f>
        <v>04552920482</v>
      </c>
      <c r="E4642" t="s">
        <v>52</v>
      </c>
      <c r="F4642">
        <v>2015</v>
      </c>
      <c r="G4642" t="s">
        <v>847</v>
      </c>
      <c r="H4642" s="1">
        <v>42292</v>
      </c>
      <c r="I4642" s="1">
        <v>42313</v>
      </c>
      <c r="J4642" s="1">
        <v>42310</v>
      </c>
      <c r="K4642" s="1">
        <v>42370</v>
      </c>
      <c r="L4642" s="7">
        <v>546</v>
      </c>
      <c r="M4642" s="5">
        <v>-31</v>
      </c>
      <c r="N4642" s="7">
        <v>-16926</v>
      </c>
      <c r="O4642">
        <v>546</v>
      </c>
      <c r="P4642">
        <v>-31</v>
      </c>
      <c r="Q4642" s="2">
        <v>-16926</v>
      </c>
      <c r="R4642">
        <v>120.12</v>
      </c>
      <c r="V4642">
        <v>666.12</v>
      </c>
      <c r="W4642">
        <v>666.12</v>
      </c>
      <c r="X4642">
        <v>666.12</v>
      </c>
      <c r="Y4642">
        <v>666.12</v>
      </c>
      <c r="Z4642">
        <v>666.12</v>
      </c>
      <c r="AA4642">
        <v>666.12</v>
      </c>
      <c r="AB4642" s="1">
        <v>42382</v>
      </c>
      <c r="AC4642" t="s">
        <v>53</v>
      </c>
      <c r="AD4642" t="s">
        <v>53</v>
      </c>
      <c r="AK4642">
        <v>0</v>
      </c>
      <c r="AM4642">
        <v>120.12</v>
      </c>
      <c r="AU4642" s="6">
        <v>42339</v>
      </c>
      <c r="AV4642" s="6">
        <v>42339</v>
      </c>
      <c r="AW4642" t="s">
        <v>54</v>
      </c>
      <c r="AX4642" t="str">
        <f t="shared" si="385"/>
        <v>FOR</v>
      </c>
      <c r="AY4642" t="s">
        <v>55</v>
      </c>
    </row>
    <row r="4643" spans="1:51" hidden="1">
      <c r="A4643">
        <v>101724</v>
      </c>
      <c r="B4643" t="s">
        <v>848</v>
      </c>
      <c r="C4643" t="str">
        <f>"01445360629"</f>
        <v>01445360629</v>
      </c>
      <c r="D4643" t="str">
        <f>"RLCNNZ63S45C352S"</f>
        <v>RLCNNZ63S45C352S</v>
      </c>
      <c r="E4643" t="s">
        <v>52</v>
      </c>
      <c r="F4643">
        <v>2014</v>
      </c>
      <c r="G4643" t="s">
        <v>849</v>
      </c>
      <c r="H4643" s="1">
        <v>41925</v>
      </c>
      <c r="I4643" s="1">
        <v>41925</v>
      </c>
      <c r="J4643" s="1">
        <v>41925</v>
      </c>
      <c r="K4643" s="1">
        <v>42015</v>
      </c>
      <c r="N4643" s="5"/>
      <c r="O4643">
        <v>61</v>
      </c>
      <c r="P4643">
        <v>25</v>
      </c>
      <c r="Q4643" s="2">
        <v>1525</v>
      </c>
      <c r="R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 s="1">
        <v>42382</v>
      </c>
      <c r="AC4643" t="s">
        <v>53</v>
      </c>
      <c r="AD4643" t="s">
        <v>53</v>
      </c>
      <c r="AK4643">
        <v>0</v>
      </c>
      <c r="AU4643" s="6">
        <v>42040</v>
      </c>
      <c r="AV4643" s="6">
        <v>42040</v>
      </c>
      <c r="AW4643" t="s">
        <v>54</v>
      </c>
      <c r="AX4643" t="str">
        <f t="shared" si="385"/>
        <v>FOR</v>
      </c>
      <c r="AY4643" t="s">
        <v>55</v>
      </c>
    </row>
    <row r="4644" spans="1:51" hidden="1">
      <c r="A4644">
        <v>101724</v>
      </c>
      <c r="B4644" t="s">
        <v>848</v>
      </c>
      <c r="C4644" t="str">
        <f>"01445360629"</f>
        <v>01445360629</v>
      </c>
      <c r="D4644" t="str">
        <f>"RLCNNZ63S45C352S"</f>
        <v>RLCNNZ63S45C352S</v>
      </c>
      <c r="E4644" t="s">
        <v>52</v>
      </c>
      <c r="F4644">
        <v>2014</v>
      </c>
      <c r="G4644" t="s">
        <v>850</v>
      </c>
      <c r="H4644" s="1">
        <v>41935</v>
      </c>
      <c r="I4644" s="1">
        <v>41936</v>
      </c>
      <c r="J4644" s="1">
        <v>41936</v>
      </c>
      <c r="K4644" s="1">
        <v>41996</v>
      </c>
      <c r="N4644" s="5"/>
      <c r="O4644">
        <v>51.85</v>
      </c>
      <c r="P4644">
        <v>44</v>
      </c>
      <c r="Q4644" s="2">
        <v>2281.4</v>
      </c>
      <c r="R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 s="1">
        <v>42382</v>
      </c>
      <c r="AC4644" t="s">
        <v>53</v>
      </c>
      <c r="AD4644" t="s">
        <v>53</v>
      </c>
      <c r="AK4644">
        <v>0</v>
      </c>
      <c r="AU4644" s="6">
        <v>42040</v>
      </c>
      <c r="AV4644" s="6">
        <v>42040</v>
      </c>
      <c r="AW4644" t="s">
        <v>54</v>
      </c>
      <c r="AX4644" t="str">
        <f t="shared" si="385"/>
        <v>FOR</v>
      </c>
      <c r="AY4644" t="s">
        <v>55</v>
      </c>
    </row>
    <row r="4645" spans="1:51" hidden="1">
      <c r="A4645">
        <v>101724</v>
      </c>
      <c r="B4645" t="s">
        <v>848</v>
      </c>
      <c r="C4645" t="str">
        <f>"01445360629"</f>
        <v>01445360629</v>
      </c>
      <c r="D4645" t="str">
        <f>"RLCNNZ63S45C352S"</f>
        <v>RLCNNZ63S45C352S</v>
      </c>
      <c r="E4645" t="s">
        <v>52</v>
      </c>
      <c r="F4645">
        <v>2014</v>
      </c>
      <c r="G4645" t="s">
        <v>851</v>
      </c>
      <c r="H4645" s="1">
        <v>41983</v>
      </c>
      <c r="I4645" s="1">
        <v>41983</v>
      </c>
      <c r="J4645" s="1">
        <v>41983</v>
      </c>
      <c r="K4645" s="1">
        <v>42043</v>
      </c>
      <c r="N4645" s="5"/>
      <c r="O4645">
        <v>50.91</v>
      </c>
      <c r="P4645">
        <v>-3</v>
      </c>
      <c r="Q4645">
        <v>-152.72999999999999</v>
      </c>
      <c r="R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 s="1">
        <v>42382</v>
      </c>
      <c r="AC4645" t="s">
        <v>53</v>
      </c>
      <c r="AD4645" t="s">
        <v>53</v>
      </c>
      <c r="AK4645">
        <v>0</v>
      </c>
      <c r="AU4645" s="6">
        <v>42040</v>
      </c>
      <c r="AV4645" s="6">
        <v>42040</v>
      </c>
      <c r="AW4645" t="s">
        <v>54</v>
      </c>
      <c r="AX4645" t="str">
        <f t="shared" si="385"/>
        <v>FOR</v>
      </c>
      <c r="AY4645" t="s">
        <v>55</v>
      </c>
    </row>
    <row r="4646" spans="1:51" hidden="1">
      <c r="A4646">
        <v>101725</v>
      </c>
      <c r="B4646" t="s">
        <v>852</v>
      </c>
      <c r="C4646" t="str">
        <f>"02048930206"</f>
        <v>02048930206</v>
      </c>
      <c r="D4646" t="str">
        <f>"02048930206"</f>
        <v>02048930206</v>
      </c>
      <c r="E4646" t="s">
        <v>52</v>
      </c>
      <c r="F4646">
        <v>2014</v>
      </c>
      <c r="G4646">
        <v>13748</v>
      </c>
      <c r="H4646" s="1">
        <v>41957</v>
      </c>
      <c r="I4646" s="1">
        <v>41970</v>
      </c>
      <c r="J4646" s="1">
        <v>41970</v>
      </c>
      <c r="K4646" s="1">
        <v>42030</v>
      </c>
      <c r="N4646" s="5"/>
      <c r="O4646">
        <v>534.36</v>
      </c>
      <c r="P4646">
        <v>-6</v>
      </c>
      <c r="Q4646" s="2">
        <v>-3206.16</v>
      </c>
      <c r="R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 s="1">
        <v>42382</v>
      </c>
      <c r="AC4646" t="s">
        <v>53</v>
      </c>
      <c r="AD4646" t="s">
        <v>53</v>
      </c>
      <c r="AK4646">
        <v>0</v>
      </c>
      <c r="AU4646" s="6">
        <v>42024</v>
      </c>
      <c r="AV4646" s="6">
        <v>42024</v>
      </c>
      <c r="AW4646" t="s">
        <v>54</v>
      </c>
      <c r="AX4646" t="str">
        <f t="shared" si="385"/>
        <v>FOR</v>
      </c>
      <c r="AY4646" t="s">
        <v>55</v>
      </c>
    </row>
    <row r="4647" spans="1:51" hidden="1">
      <c r="A4647">
        <v>101729</v>
      </c>
      <c r="B4647" t="s">
        <v>853</v>
      </c>
      <c r="C4647" t="str">
        <f>"00840200158"</f>
        <v>00840200158</v>
      </c>
      <c r="D4647" t="str">
        <f>"00840200158"</f>
        <v>00840200158</v>
      </c>
      <c r="E4647" t="s">
        <v>52</v>
      </c>
      <c r="F4647">
        <v>2014</v>
      </c>
      <c r="G4647">
        <v>240</v>
      </c>
      <c r="H4647" s="1">
        <v>41851</v>
      </c>
      <c r="I4647" s="1">
        <v>41872</v>
      </c>
      <c r="J4647" s="1">
        <v>41872</v>
      </c>
      <c r="K4647" s="1">
        <v>41962</v>
      </c>
      <c r="N4647" s="5"/>
      <c r="O4647" s="2">
        <v>4298.84</v>
      </c>
      <c r="P4647">
        <v>197</v>
      </c>
      <c r="Q4647" s="2">
        <v>846871.48</v>
      </c>
      <c r="R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 s="1">
        <v>42382</v>
      </c>
      <c r="AC4647" t="s">
        <v>53</v>
      </c>
      <c r="AD4647" t="s">
        <v>53</v>
      </c>
      <c r="AK4647">
        <v>0</v>
      </c>
      <c r="AU4647" s="6">
        <v>42159</v>
      </c>
      <c r="AV4647" s="6">
        <v>42159</v>
      </c>
      <c r="AW4647" t="s">
        <v>54</v>
      </c>
      <c r="AX4647" t="str">
        <f t="shared" si="385"/>
        <v>FOR</v>
      </c>
      <c r="AY4647" t="s">
        <v>55</v>
      </c>
    </row>
    <row r="4648" spans="1:51" hidden="1">
      <c r="A4648">
        <v>101732</v>
      </c>
      <c r="B4648" t="s">
        <v>854</v>
      </c>
      <c r="C4648" t="str">
        <f>"00980351001"</f>
        <v>00980351001</v>
      </c>
      <c r="D4648" t="str">
        <f>"01270690587"</f>
        <v>01270690587</v>
      </c>
      <c r="E4648" t="s">
        <v>52</v>
      </c>
      <c r="F4648">
        <v>2014</v>
      </c>
      <c r="G4648">
        <v>337</v>
      </c>
      <c r="H4648" s="1">
        <v>41759</v>
      </c>
      <c r="I4648" s="1">
        <v>41771</v>
      </c>
      <c r="J4648" s="1">
        <v>41771</v>
      </c>
      <c r="K4648" s="1">
        <v>41861</v>
      </c>
      <c r="N4648" s="5"/>
      <c r="O4648" s="2">
        <v>3172</v>
      </c>
      <c r="P4648">
        <v>269</v>
      </c>
      <c r="Q4648" s="2">
        <v>853268</v>
      </c>
      <c r="R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 s="1">
        <v>42382</v>
      </c>
      <c r="AC4648" t="s">
        <v>53</v>
      </c>
      <c r="AD4648" t="s">
        <v>53</v>
      </c>
      <c r="AK4648">
        <v>0</v>
      </c>
      <c r="AU4648" s="6">
        <v>42130</v>
      </c>
      <c r="AV4648" s="6">
        <v>42130</v>
      </c>
      <c r="AW4648" t="s">
        <v>54</v>
      </c>
      <c r="AX4648" t="str">
        <f t="shared" si="385"/>
        <v>FOR</v>
      </c>
      <c r="AY4648" t="s">
        <v>55</v>
      </c>
    </row>
    <row r="4649" spans="1:51" hidden="1">
      <c r="A4649">
        <v>101732</v>
      </c>
      <c r="B4649" t="s">
        <v>854</v>
      </c>
      <c r="C4649" t="str">
        <f>"00980351001"</f>
        <v>00980351001</v>
      </c>
      <c r="D4649" t="str">
        <f>"01270690587"</f>
        <v>01270690587</v>
      </c>
      <c r="E4649" t="s">
        <v>52</v>
      </c>
      <c r="F4649">
        <v>2014</v>
      </c>
      <c r="G4649">
        <v>501</v>
      </c>
      <c r="H4649" s="1">
        <v>41820</v>
      </c>
      <c r="I4649" s="1">
        <v>41873</v>
      </c>
      <c r="J4649" s="1">
        <v>41873</v>
      </c>
      <c r="K4649" s="1">
        <v>41963</v>
      </c>
      <c r="N4649" s="5"/>
      <c r="O4649" s="2">
        <v>3172</v>
      </c>
      <c r="P4649">
        <v>167</v>
      </c>
      <c r="Q4649" s="2">
        <v>529724</v>
      </c>
      <c r="R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 s="1">
        <v>42382</v>
      </c>
      <c r="AC4649" t="s">
        <v>53</v>
      </c>
      <c r="AD4649" t="s">
        <v>53</v>
      </c>
      <c r="AK4649">
        <v>0</v>
      </c>
      <c r="AU4649" s="6">
        <v>42130</v>
      </c>
      <c r="AV4649" s="6">
        <v>42130</v>
      </c>
      <c r="AW4649" t="s">
        <v>54</v>
      </c>
      <c r="AX4649" t="str">
        <f t="shared" si="385"/>
        <v>FOR</v>
      </c>
      <c r="AY4649" t="s">
        <v>55</v>
      </c>
    </row>
    <row r="4650" spans="1:51" hidden="1">
      <c r="A4650">
        <v>101732</v>
      </c>
      <c r="B4650" t="s">
        <v>854</v>
      </c>
      <c r="C4650" t="str">
        <f>"00980351001"</f>
        <v>00980351001</v>
      </c>
      <c r="D4650" t="str">
        <f>"01270690587"</f>
        <v>01270690587</v>
      </c>
      <c r="E4650" t="s">
        <v>52</v>
      </c>
      <c r="F4650">
        <v>2014</v>
      </c>
      <c r="G4650">
        <v>729</v>
      </c>
      <c r="H4650" s="1">
        <v>41898</v>
      </c>
      <c r="I4650" s="1">
        <v>41920</v>
      </c>
      <c r="J4650" s="1">
        <v>41920</v>
      </c>
      <c r="K4650" s="1">
        <v>42010</v>
      </c>
      <c r="N4650" s="5"/>
      <c r="O4650" s="2">
        <v>3172</v>
      </c>
      <c r="P4650">
        <v>202</v>
      </c>
      <c r="Q4650" s="2">
        <v>640744</v>
      </c>
      <c r="R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 s="1">
        <v>42382</v>
      </c>
      <c r="AC4650" t="s">
        <v>53</v>
      </c>
      <c r="AD4650" t="s">
        <v>53</v>
      </c>
      <c r="AK4650">
        <v>0</v>
      </c>
      <c r="AU4650" s="6">
        <v>42212</v>
      </c>
      <c r="AV4650" s="6">
        <v>42212</v>
      </c>
      <c r="AW4650" t="s">
        <v>54</v>
      </c>
      <c r="AX4650" t="str">
        <f t="shared" si="385"/>
        <v>FOR</v>
      </c>
      <c r="AY4650" t="s">
        <v>55</v>
      </c>
    </row>
    <row r="4651" spans="1:51">
      <c r="A4651">
        <v>101732</v>
      </c>
      <c r="B4651" t="s">
        <v>854</v>
      </c>
      <c r="C4651" t="str">
        <f>"00980351001"</f>
        <v>00980351001</v>
      </c>
      <c r="D4651" t="str">
        <f>"01270690587"</f>
        <v>01270690587</v>
      </c>
      <c r="E4651" t="s">
        <v>52</v>
      </c>
      <c r="F4651">
        <v>2014</v>
      </c>
      <c r="G4651">
        <v>986</v>
      </c>
      <c r="H4651" s="1">
        <v>41943</v>
      </c>
      <c r="I4651" s="1">
        <v>41970</v>
      </c>
      <c r="J4651" s="1">
        <v>41970</v>
      </c>
      <c r="K4651" s="1">
        <v>42030</v>
      </c>
      <c r="L4651" s="7">
        <v>3172</v>
      </c>
      <c r="M4651" s="5">
        <v>252</v>
      </c>
      <c r="N4651" s="7">
        <v>799344</v>
      </c>
      <c r="O4651" s="2">
        <v>3172</v>
      </c>
      <c r="P4651">
        <v>252</v>
      </c>
      <c r="Q4651" s="2">
        <v>799344</v>
      </c>
      <c r="R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 s="1">
        <v>42382</v>
      </c>
      <c r="AC4651" t="s">
        <v>53</v>
      </c>
      <c r="AD4651" t="s">
        <v>53</v>
      </c>
      <c r="AK4651">
        <v>0</v>
      </c>
      <c r="AU4651" s="6">
        <v>42282</v>
      </c>
      <c r="AV4651" s="6">
        <v>42282</v>
      </c>
      <c r="AW4651" t="s">
        <v>54</v>
      </c>
      <c r="AX4651" t="str">
        <f t="shared" si="385"/>
        <v>FOR</v>
      </c>
      <c r="AY4651" t="s">
        <v>55</v>
      </c>
    </row>
    <row r="4652" spans="1:51">
      <c r="A4652">
        <v>101732</v>
      </c>
      <c r="B4652" t="s">
        <v>854</v>
      </c>
      <c r="C4652" t="str">
        <f>"00980351001"</f>
        <v>00980351001</v>
      </c>
      <c r="D4652" t="str">
        <f>"01270690587"</f>
        <v>01270690587</v>
      </c>
      <c r="E4652" t="s">
        <v>52</v>
      </c>
      <c r="F4652">
        <v>2015</v>
      </c>
      <c r="G4652">
        <v>7</v>
      </c>
      <c r="H4652" s="1">
        <v>42018</v>
      </c>
      <c r="I4652" s="1">
        <v>42072</v>
      </c>
      <c r="J4652" s="1">
        <v>42072</v>
      </c>
      <c r="K4652" s="1">
        <v>42132</v>
      </c>
      <c r="L4652" s="7">
        <v>2600</v>
      </c>
      <c r="M4652" s="5">
        <v>208</v>
      </c>
      <c r="N4652" s="7">
        <v>540800</v>
      </c>
      <c r="O4652" s="2">
        <v>2600</v>
      </c>
      <c r="P4652">
        <v>208</v>
      </c>
      <c r="Q4652" s="2">
        <v>540800</v>
      </c>
      <c r="R4652">
        <v>572</v>
      </c>
      <c r="V4652">
        <v>0</v>
      </c>
      <c r="W4652">
        <v>0</v>
      </c>
      <c r="X4652">
        <v>0</v>
      </c>
      <c r="Y4652" s="2">
        <v>3172</v>
      </c>
      <c r="Z4652" s="2">
        <v>3172</v>
      </c>
      <c r="AA4652" s="2">
        <v>3172</v>
      </c>
      <c r="AB4652" s="1">
        <v>42382</v>
      </c>
      <c r="AC4652" t="s">
        <v>53</v>
      </c>
      <c r="AD4652" t="s">
        <v>53</v>
      </c>
      <c r="AK4652">
        <v>572</v>
      </c>
      <c r="AU4652" s="6">
        <v>42340</v>
      </c>
      <c r="AV4652" s="6">
        <v>42340</v>
      </c>
      <c r="AW4652" t="s">
        <v>54</v>
      </c>
      <c r="AX4652" t="str">
        <f t="shared" si="385"/>
        <v>FOR</v>
      </c>
      <c r="AY4652" t="s">
        <v>55</v>
      </c>
    </row>
    <row r="4653" spans="1:51" hidden="1">
      <c r="A4653">
        <v>101735</v>
      </c>
      <c r="B4653" t="s">
        <v>855</v>
      </c>
      <c r="C4653" t="str">
        <f t="shared" ref="C4653:D4660" si="391">"03581091216"</f>
        <v>03581091216</v>
      </c>
      <c r="D4653" t="str">
        <f t="shared" si="391"/>
        <v>03581091216</v>
      </c>
      <c r="E4653" t="s">
        <v>52</v>
      </c>
      <c r="F4653">
        <v>2014</v>
      </c>
      <c r="G4653">
        <v>23</v>
      </c>
      <c r="H4653" s="1">
        <v>41695</v>
      </c>
      <c r="I4653" s="1">
        <v>41746</v>
      </c>
      <c r="J4653" s="1">
        <v>41746</v>
      </c>
      <c r="K4653" s="1">
        <v>41836</v>
      </c>
      <c r="N4653" s="5"/>
      <c r="O4653" s="2">
        <v>9753.74</v>
      </c>
      <c r="P4653">
        <v>201</v>
      </c>
      <c r="Q4653" s="2">
        <v>1960501.74</v>
      </c>
      <c r="R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 s="1">
        <v>42382</v>
      </c>
      <c r="AC4653" t="s">
        <v>53</v>
      </c>
      <c r="AD4653" t="s">
        <v>53</v>
      </c>
      <c r="AK4653">
        <v>0</v>
      </c>
      <c r="AU4653" s="6">
        <v>42037</v>
      </c>
      <c r="AV4653" s="6">
        <v>42037</v>
      </c>
      <c r="AW4653" t="s">
        <v>54</v>
      </c>
      <c r="AX4653" t="str">
        <f t="shared" si="385"/>
        <v>FOR</v>
      </c>
      <c r="AY4653" t="s">
        <v>55</v>
      </c>
    </row>
    <row r="4654" spans="1:51" hidden="1">
      <c r="A4654">
        <v>101735</v>
      </c>
      <c r="B4654" t="s">
        <v>855</v>
      </c>
      <c r="C4654" t="str">
        <f t="shared" si="391"/>
        <v>03581091216</v>
      </c>
      <c r="D4654" t="str">
        <f t="shared" si="391"/>
        <v>03581091216</v>
      </c>
      <c r="E4654" t="s">
        <v>52</v>
      </c>
      <c r="F4654">
        <v>2014</v>
      </c>
      <c r="G4654">
        <v>26</v>
      </c>
      <c r="H4654" s="1">
        <v>41701</v>
      </c>
      <c r="I4654" s="1">
        <v>41702</v>
      </c>
      <c r="J4654" s="1">
        <v>41702</v>
      </c>
      <c r="K4654" s="1">
        <v>41792</v>
      </c>
      <c r="N4654" s="5"/>
      <c r="O4654" s="2">
        <v>7764.48</v>
      </c>
      <c r="P4654">
        <v>245</v>
      </c>
      <c r="Q4654" s="2">
        <v>1902297.6</v>
      </c>
      <c r="R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 s="1">
        <v>42382</v>
      </c>
      <c r="AC4654" t="s">
        <v>53</v>
      </c>
      <c r="AD4654" t="s">
        <v>53</v>
      </c>
      <c r="AK4654">
        <v>0</v>
      </c>
      <c r="AU4654" s="6">
        <v>42037</v>
      </c>
      <c r="AV4654" s="6">
        <v>42037</v>
      </c>
      <c r="AW4654" t="s">
        <v>54</v>
      </c>
      <c r="AX4654" t="str">
        <f t="shared" si="385"/>
        <v>FOR</v>
      </c>
      <c r="AY4654" t="s">
        <v>55</v>
      </c>
    </row>
    <row r="4655" spans="1:51" hidden="1">
      <c r="A4655">
        <v>101735</v>
      </c>
      <c r="B4655" t="s">
        <v>855</v>
      </c>
      <c r="C4655" t="str">
        <f t="shared" si="391"/>
        <v>03581091216</v>
      </c>
      <c r="D4655" t="str">
        <f t="shared" si="391"/>
        <v>03581091216</v>
      </c>
      <c r="E4655" t="s">
        <v>52</v>
      </c>
      <c r="F4655">
        <v>2014</v>
      </c>
      <c r="G4655">
        <v>44</v>
      </c>
      <c r="H4655" s="1">
        <v>41761</v>
      </c>
      <c r="I4655" s="1">
        <v>41768</v>
      </c>
      <c r="J4655" s="1">
        <v>41768</v>
      </c>
      <c r="K4655" s="1">
        <v>41858</v>
      </c>
      <c r="N4655" s="5"/>
      <c r="O4655" s="2">
        <v>7764.48</v>
      </c>
      <c r="P4655">
        <v>238</v>
      </c>
      <c r="Q4655" s="2">
        <v>1847946.24</v>
      </c>
      <c r="R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 s="1">
        <v>42382</v>
      </c>
      <c r="AC4655" t="s">
        <v>53</v>
      </c>
      <c r="AD4655" t="s">
        <v>53</v>
      </c>
      <c r="AK4655">
        <v>0</v>
      </c>
      <c r="AU4655" s="6">
        <v>42096</v>
      </c>
      <c r="AV4655" s="6">
        <v>42096</v>
      </c>
      <c r="AW4655" t="s">
        <v>54</v>
      </c>
      <c r="AX4655" t="str">
        <f t="shared" si="385"/>
        <v>FOR</v>
      </c>
      <c r="AY4655" t="s">
        <v>55</v>
      </c>
    </row>
    <row r="4656" spans="1:51" hidden="1">
      <c r="A4656">
        <v>101735</v>
      </c>
      <c r="B4656" t="s">
        <v>855</v>
      </c>
      <c r="C4656" t="str">
        <f t="shared" si="391"/>
        <v>03581091216</v>
      </c>
      <c r="D4656" t="str">
        <f t="shared" si="391"/>
        <v>03581091216</v>
      </c>
      <c r="E4656" t="s">
        <v>52</v>
      </c>
      <c r="F4656">
        <v>2014</v>
      </c>
      <c r="G4656">
        <v>78</v>
      </c>
      <c r="H4656" s="1">
        <v>41822</v>
      </c>
      <c r="I4656" s="1">
        <v>41831</v>
      </c>
      <c r="J4656" s="1">
        <v>41831</v>
      </c>
      <c r="K4656" s="1">
        <v>41921</v>
      </c>
      <c r="N4656" s="5"/>
      <c r="O4656" s="2">
        <v>7764.48</v>
      </c>
      <c r="P4656">
        <v>237</v>
      </c>
      <c r="Q4656" s="2">
        <v>1840181.76</v>
      </c>
      <c r="R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 s="1">
        <v>42382</v>
      </c>
      <c r="AC4656" t="s">
        <v>53</v>
      </c>
      <c r="AD4656" t="s">
        <v>53</v>
      </c>
      <c r="AK4656">
        <v>0</v>
      </c>
      <c r="AU4656" s="6">
        <v>42158</v>
      </c>
      <c r="AV4656" s="6">
        <v>42158</v>
      </c>
      <c r="AW4656" t="s">
        <v>54</v>
      </c>
      <c r="AX4656" t="str">
        <f t="shared" si="385"/>
        <v>FOR</v>
      </c>
      <c r="AY4656" t="s">
        <v>55</v>
      </c>
    </row>
    <row r="4657" spans="1:51" hidden="1">
      <c r="A4657">
        <v>101735</v>
      </c>
      <c r="B4657" t="s">
        <v>855</v>
      </c>
      <c r="C4657" t="str">
        <f t="shared" si="391"/>
        <v>03581091216</v>
      </c>
      <c r="D4657" t="str">
        <f t="shared" si="391"/>
        <v>03581091216</v>
      </c>
      <c r="E4657" t="s">
        <v>52</v>
      </c>
      <c r="F4657">
        <v>2014</v>
      </c>
      <c r="G4657">
        <v>93</v>
      </c>
      <c r="H4657" s="1">
        <v>41886</v>
      </c>
      <c r="I4657" s="1">
        <v>41891</v>
      </c>
      <c r="J4657" s="1">
        <v>41891</v>
      </c>
      <c r="K4657" s="1">
        <v>41981</v>
      </c>
      <c r="N4657" s="5"/>
      <c r="O4657" s="2">
        <v>7764.48</v>
      </c>
      <c r="P4657">
        <v>268</v>
      </c>
      <c r="Q4657" s="2">
        <v>2080880.6399999999</v>
      </c>
      <c r="R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 s="1">
        <v>42382</v>
      </c>
      <c r="AC4657" t="s">
        <v>53</v>
      </c>
      <c r="AD4657" t="s">
        <v>53</v>
      </c>
      <c r="AK4657">
        <v>0</v>
      </c>
      <c r="AU4657" s="6">
        <v>42249</v>
      </c>
      <c r="AV4657" s="6">
        <v>42249</v>
      </c>
      <c r="AW4657" t="s">
        <v>54</v>
      </c>
      <c r="AX4657" t="str">
        <f t="shared" si="385"/>
        <v>FOR</v>
      </c>
      <c r="AY4657" t="s">
        <v>55</v>
      </c>
    </row>
    <row r="4658" spans="1:51">
      <c r="A4658">
        <v>101735</v>
      </c>
      <c r="B4658" t="s">
        <v>855</v>
      </c>
      <c r="C4658" t="str">
        <f t="shared" si="391"/>
        <v>03581091216</v>
      </c>
      <c r="D4658" t="str">
        <f t="shared" si="391"/>
        <v>03581091216</v>
      </c>
      <c r="E4658" t="s">
        <v>52</v>
      </c>
      <c r="F4658">
        <v>2014</v>
      </c>
      <c r="G4658">
        <v>139</v>
      </c>
      <c r="H4658" s="1">
        <v>41948</v>
      </c>
      <c r="I4658" s="1">
        <v>41967</v>
      </c>
      <c r="J4658" s="1">
        <v>41967</v>
      </c>
      <c r="K4658" s="1">
        <v>42027</v>
      </c>
      <c r="L4658" s="7">
        <v>7764.48</v>
      </c>
      <c r="M4658" s="5">
        <v>255</v>
      </c>
      <c r="N4658" s="7">
        <v>1979942.4</v>
      </c>
      <c r="O4658" s="2">
        <v>7764.48</v>
      </c>
      <c r="P4658">
        <v>255</v>
      </c>
      <c r="Q4658" s="2">
        <v>1979942.4</v>
      </c>
      <c r="R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 s="1">
        <v>42382</v>
      </c>
      <c r="AC4658" t="s">
        <v>53</v>
      </c>
      <c r="AD4658" t="s">
        <v>53</v>
      </c>
      <c r="AK4658">
        <v>0</v>
      </c>
      <c r="AU4658" s="6">
        <v>42282</v>
      </c>
      <c r="AV4658" s="6">
        <v>42282</v>
      </c>
      <c r="AW4658" t="s">
        <v>54</v>
      </c>
      <c r="AX4658" t="str">
        <f t="shared" si="385"/>
        <v>FOR</v>
      </c>
      <c r="AY4658" t="s">
        <v>55</v>
      </c>
    </row>
    <row r="4659" spans="1:51">
      <c r="A4659">
        <v>101735</v>
      </c>
      <c r="B4659" t="s">
        <v>855</v>
      </c>
      <c r="C4659" t="str">
        <f t="shared" si="391"/>
        <v>03581091216</v>
      </c>
      <c r="D4659" t="str">
        <f t="shared" si="391"/>
        <v>03581091216</v>
      </c>
      <c r="E4659" t="s">
        <v>52</v>
      </c>
      <c r="F4659">
        <v>2015</v>
      </c>
      <c r="G4659">
        <v>2</v>
      </c>
      <c r="H4659" s="1">
        <v>42012</v>
      </c>
      <c r="I4659" s="1">
        <v>42044</v>
      </c>
      <c r="J4659" s="1">
        <v>42044</v>
      </c>
      <c r="K4659" s="1">
        <v>42104</v>
      </c>
      <c r="L4659" s="7">
        <v>6364.33</v>
      </c>
      <c r="M4659" s="5">
        <v>236</v>
      </c>
      <c r="N4659" s="7">
        <v>1501981.88</v>
      </c>
      <c r="O4659" s="2">
        <v>6364.33</v>
      </c>
      <c r="P4659">
        <v>236</v>
      </c>
      <c r="Q4659" s="2">
        <v>1501981.88</v>
      </c>
      <c r="R4659" s="2">
        <v>1400.15</v>
      </c>
      <c r="V4659">
        <v>0</v>
      </c>
      <c r="W4659">
        <v>0</v>
      </c>
      <c r="X4659">
        <v>0</v>
      </c>
      <c r="Y4659">
        <v>0</v>
      </c>
      <c r="Z4659" s="2">
        <v>7764.48</v>
      </c>
      <c r="AA4659" s="2">
        <v>7764.48</v>
      </c>
      <c r="AB4659" s="1">
        <v>42382</v>
      </c>
      <c r="AC4659" t="s">
        <v>53</v>
      </c>
      <c r="AD4659" t="s">
        <v>53</v>
      </c>
      <c r="AK4659" s="2">
        <v>1400.15</v>
      </c>
      <c r="AU4659" s="6">
        <v>42340</v>
      </c>
      <c r="AV4659" s="6">
        <v>42340</v>
      </c>
      <c r="AW4659" t="s">
        <v>54</v>
      </c>
      <c r="AX4659" t="str">
        <f t="shared" si="385"/>
        <v>FOR</v>
      </c>
      <c r="AY4659" t="s">
        <v>55</v>
      </c>
    </row>
    <row r="4660" spans="1:51">
      <c r="A4660">
        <v>101735</v>
      </c>
      <c r="B4660" t="s">
        <v>855</v>
      </c>
      <c r="C4660" t="str">
        <f t="shared" si="391"/>
        <v>03581091216</v>
      </c>
      <c r="D4660" t="str">
        <f t="shared" si="391"/>
        <v>03581091216</v>
      </c>
      <c r="E4660" t="s">
        <v>52</v>
      </c>
      <c r="F4660">
        <v>2015</v>
      </c>
      <c r="G4660">
        <v>16</v>
      </c>
      <c r="H4660" s="1">
        <v>42063</v>
      </c>
      <c r="I4660" s="1">
        <v>42088</v>
      </c>
      <c r="J4660" s="1">
        <v>42088</v>
      </c>
      <c r="K4660" s="1">
        <v>42148</v>
      </c>
      <c r="L4660" s="7">
        <v>6364.33</v>
      </c>
      <c r="M4660" s="5">
        <v>208</v>
      </c>
      <c r="N4660" s="7">
        <v>1323780.6399999999</v>
      </c>
      <c r="O4660" s="2">
        <v>6364.33</v>
      </c>
      <c r="P4660">
        <v>208</v>
      </c>
      <c r="Q4660" s="2">
        <v>1323780.6399999999</v>
      </c>
      <c r="R4660" s="2">
        <v>1400.15</v>
      </c>
      <c r="V4660">
        <v>0</v>
      </c>
      <c r="W4660">
        <v>0</v>
      </c>
      <c r="X4660">
        <v>0</v>
      </c>
      <c r="Y4660" s="2">
        <v>7764.48</v>
      </c>
      <c r="Z4660" s="2">
        <v>7764.48</v>
      </c>
      <c r="AA4660" s="2">
        <v>7764.48</v>
      </c>
      <c r="AB4660" s="1">
        <v>42382</v>
      </c>
      <c r="AC4660" t="s">
        <v>53</v>
      </c>
      <c r="AD4660" t="s">
        <v>53</v>
      </c>
      <c r="AK4660" s="2">
        <v>1400.15</v>
      </c>
      <c r="AU4660" s="6">
        <v>42356</v>
      </c>
      <c r="AV4660" s="6">
        <v>42356</v>
      </c>
      <c r="AW4660" t="s">
        <v>54</v>
      </c>
      <c r="AX4660" t="str">
        <f t="shared" si="385"/>
        <v>FOR</v>
      </c>
      <c r="AY4660" t="s">
        <v>55</v>
      </c>
    </row>
    <row r="4661" spans="1:51" hidden="1">
      <c r="A4661">
        <v>101736</v>
      </c>
      <c r="B4661" t="s">
        <v>856</v>
      </c>
      <c r="C4661" t="str">
        <f>"11861240155"</f>
        <v>11861240155</v>
      </c>
      <c r="D4661" t="str">
        <f>"02466440167"</f>
        <v>02466440167</v>
      </c>
      <c r="E4661" t="s">
        <v>52</v>
      </c>
      <c r="F4661">
        <v>2014</v>
      </c>
      <c r="G4661">
        <v>14019307</v>
      </c>
      <c r="H4661" s="1">
        <v>41912</v>
      </c>
      <c r="I4661" s="1">
        <v>41950</v>
      </c>
      <c r="J4661" s="1">
        <v>41950</v>
      </c>
      <c r="K4661" s="1">
        <v>42010</v>
      </c>
      <c r="N4661" s="5"/>
      <c r="O4661" s="2">
        <v>3672.2</v>
      </c>
      <c r="P4661">
        <v>239</v>
      </c>
      <c r="Q4661" s="2">
        <v>877655.8</v>
      </c>
      <c r="R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 s="1">
        <v>42382</v>
      </c>
      <c r="AC4661" t="s">
        <v>53</v>
      </c>
      <c r="AD4661" t="s">
        <v>53</v>
      </c>
      <c r="AK4661">
        <v>0</v>
      </c>
      <c r="AU4661" s="6">
        <v>42249</v>
      </c>
      <c r="AV4661" s="6">
        <v>42249</v>
      </c>
      <c r="AW4661" t="s">
        <v>54</v>
      </c>
      <c r="AX4661" t="str">
        <f t="shared" si="385"/>
        <v>FOR</v>
      </c>
      <c r="AY4661" t="s">
        <v>55</v>
      </c>
    </row>
    <row r="4662" spans="1:51" hidden="1">
      <c r="A4662">
        <v>101738</v>
      </c>
      <c r="B4662" t="s">
        <v>857</v>
      </c>
      <c r="C4662" t="str">
        <f t="shared" ref="C4662:D4667" si="392">"01303080624"</f>
        <v>01303080624</v>
      </c>
      <c r="D4662" t="str">
        <f t="shared" si="392"/>
        <v>01303080624</v>
      </c>
      <c r="E4662" t="s">
        <v>52</v>
      </c>
      <c r="F4662">
        <v>2014</v>
      </c>
      <c r="G4662" t="s">
        <v>647</v>
      </c>
      <c r="H4662" s="1">
        <v>41943</v>
      </c>
      <c r="I4662" s="1">
        <v>41949</v>
      </c>
      <c r="J4662" s="1">
        <v>41949</v>
      </c>
      <c r="K4662" s="1">
        <v>42009</v>
      </c>
      <c r="N4662" s="5"/>
      <c r="O4662">
        <v>133.4</v>
      </c>
      <c r="P4662">
        <v>31</v>
      </c>
      <c r="Q4662" s="2">
        <v>4135.3999999999996</v>
      </c>
      <c r="R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 s="1">
        <v>42382</v>
      </c>
      <c r="AC4662" t="s">
        <v>53</v>
      </c>
      <c r="AD4662" t="s">
        <v>53</v>
      </c>
      <c r="AK4662">
        <v>0</v>
      </c>
      <c r="AU4662" s="6">
        <v>42040</v>
      </c>
      <c r="AV4662" s="6">
        <v>42040</v>
      </c>
      <c r="AW4662" t="s">
        <v>54</v>
      </c>
      <c r="AX4662" t="str">
        <f t="shared" si="385"/>
        <v>FOR</v>
      </c>
      <c r="AY4662" t="s">
        <v>55</v>
      </c>
    </row>
    <row r="4663" spans="1:51" hidden="1">
      <c r="A4663">
        <v>101738</v>
      </c>
      <c r="B4663" t="s">
        <v>857</v>
      </c>
      <c r="C4663" t="str">
        <f t="shared" si="392"/>
        <v>01303080624</v>
      </c>
      <c r="D4663" t="str">
        <f t="shared" si="392"/>
        <v>01303080624</v>
      </c>
      <c r="E4663" t="s">
        <v>52</v>
      </c>
      <c r="F4663">
        <v>2014</v>
      </c>
      <c r="G4663" t="s">
        <v>579</v>
      </c>
      <c r="H4663" s="1">
        <v>41973</v>
      </c>
      <c r="I4663" s="1">
        <v>41975</v>
      </c>
      <c r="J4663" s="1">
        <v>41975</v>
      </c>
      <c r="K4663" s="1">
        <v>42035</v>
      </c>
      <c r="N4663" s="5"/>
      <c r="O4663">
        <v>114.6</v>
      </c>
      <c r="P4663">
        <v>5</v>
      </c>
      <c r="Q4663">
        <v>573</v>
      </c>
      <c r="R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 s="1">
        <v>42382</v>
      </c>
      <c r="AC4663" t="s">
        <v>53</v>
      </c>
      <c r="AD4663" t="s">
        <v>53</v>
      </c>
      <c r="AK4663">
        <v>0</v>
      </c>
      <c r="AU4663" s="6">
        <v>42040</v>
      </c>
      <c r="AV4663" s="6">
        <v>42040</v>
      </c>
      <c r="AW4663" t="s">
        <v>54</v>
      </c>
      <c r="AX4663" t="str">
        <f t="shared" si="385"/>
        <v>FOR</v>
      </c>
      <c r="AY4663" t="s">
        <v>55</v>
      </c>
    </row>
    <row r="4664" spans="1:51" hidden="1">
      <c r="A4664">
        <v>101738</v>
      </c>
      <c r="B4664" t="s">
        <v>857</v>
      </c>
      <c r="C4664" t="str">
        <f t="shared" si="392"/>
        <v>01303080624</v>
      </c>
      <c r="D4664" t="str">
        <f t="shared" si="392"/>
        <v>01303080624</v>
      </c>
      <c r="E4664" t="s">
        <v>52</v>
      </c>
      <c r="F4664">
        <v>2014</v>
      </c>
      <c r="G4664" t="s">
        <v>858</v>
      </c>
      <c r="H4664" s="1">
        <v>42002</v>
      </c>
      <c r="I4664" s="1">
        <v>42002</v>
      </c>
      <c r="J4664" s="1">
        <v>42002</v>
      </c>
      <c r="K4664" s="1">
        <v>42062</v>
      </c>
      <c r="N4664" s="5"/>
      <c r="O4664">
        <v>78.2</v>
      </c>
      <c r="P4664">
        <v>-22</v>
      </c>
      <c r="Q4664" s="2">
        <v>-1720.4</v>
      </c>
      <c r="R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 s="1">
        <v>42382</v>
      </c>
      <c r="AC4664" t="s">
        <v>53</v>
      </c>
      <c r="AD4664" t="s">
        <v>53</v>
      </c>
      <c r="AK4664">
        <v>0</v>
      </c>
      <c r="AU4664" s="6">
        <v>42040</v>
      </c>
      <c r="AV4664" s="6">
        <v>42040</v>
      </c>
      <c r="AW4664" t="s">
        <v>54</v>
      </c>
      <c r="AX4664" t="str">
        <f t="shared" si="385"/>
        <v>FOR</v>
      </c>
      <c r="AY4664" t="s">
        <v>55</v>
      </c>
    </row>
    <row r="4665" spans="1:51" hidden="1">
      <c r="A4665">
        <v>101738</v>
      </c>
      <c r="B4665" t="s">
        <v>857</v>
      </c>
      <c r="C4665" t="str">
        <f t="shared" si="392"/>
        <v>01303080624</v>
      </c>
      <c r="D4665" t="str">
        <f t="shared" si="392"/>
        <v>01303080624</v>
      </c>
      <c r="E4665" t="s">
        <v>52</v>
      </c>
      <c r="F4665">
        <v>2015</v>
      </c>
      <c r="G4665" t="s">
        <v>859</v>
      </c>
      <c r="H4665" s="1">
        <v>42035</v>
      </c>
      <c r="I4665" s="1">
        <v>42038</v>
      </c>
      <c r="J4665" s="1">
        <v>42038</v>
      </c>
      <c r="K4665" s="1">
        <v>42098</v>
      </c>
      <c r="N4665" s="5"/>
      <c r="O4665">
        <v>132.6</v>
      </c>
      <c r="P4665">
        <v>25</v>
      </c>
      <c r="Q4665" s="2">
        <v>3315</v>
      </c>
      <c r="R4665">
        <v>0</v>
      </c>
      <c r="V4665">
        <v>0</v>
      </c>
      <c r="W4665">
        <v>0</v>
      </c>
      <c r="X4665">
        <v>0</v>
      </c>
      <c r="Y4665">
        <v>132.6</v>
      </c>
      <c r="Z4665">
        <v>132.6</v>
      </c>
      <c r="AA4665">
        <v>132.6</v>
      </c>
      <c r="AB4665" s="1">
        <v>42382</v>
      </c>
      <c r="AC4665" t="s">
        <v>53</v>
      </c>
      <c r="AD4665" t="s">
        <v>53</v>
      </c>
      <c r="AK4665">
        <v>0</v>
      </c>
      <c r="AU4665" s="6">
        <v>42123</v>
      </c>
      <c r="AV4665" s="6">
        <v>42123</v>
      </c>
      <c r="AW4665" t="s">
        <v>54</v>
      </c>
      <c r="AX4665" t="str">
        <f t="shared" si="385"/>
        <v>FOR</v>
      </c>
      <c r="AY4665" t="s">
        <v>55</v>
      </c>
    </row>
    <row r="4666" spans="1:51" hidden="1">
      <c r="A4666">
        <v>101738</v>
      </c>
      <c r="B4666" t="s">
        <v>857</v>
      </c>
      <c r="C4666" t="str">
        <f t="shared" si="392"/>
        <v>01303080624</v>
      </c>
      <c r="D4666" t="str">
        <f t="shared" si="392"/>
        <v>01303080624</v>
      </c>
      <c r="E4666" t="s">
        <v>52</v>
      </c>
      <c r="F4666">
        <v>2015</v>
      </c>
      <c r="G4666" t="s">
        <v>860</v>
      </c>
      <c r="H4666" s="1">
        <v>42062</v>
      </c>
      <c r="I4666" s="1">
        <v>42066</v>
      </c>
      <c r="J4666" s="1">
        <v>42066</v>
      </c>
      <c r="K4666" s="1">
        <v>42126</v>
      </c>
      <c r="N4666" s="5"/>
      <c r="O4666">
        <v>82.9</v>
      </c>
      <c r="P4666">
        <v>-3</v>
      </c>
      <c r="Q4666">
        <v>-248.7</v>
      </c>
      <c r="R4666">
        <v>0</v>
      </c>
      <c r="V4666">
        <v>0</v>
      </c>
      <c r="W4666">
        <v>0</v>
      </c>
      <c r="X4666">
        <v>0</v>
      </c>
      <c r="Y4666">
        <v>82.9</v>
      </c>
      <c r="Z4666">
        <v>82.9</v>
      </c>
      <c r="AA4666">
        <v>82.9</v>
      </c>
      <c r="AB4666" s="1">
        <v>42382</v>
      </c>
      <c r="AC4666" t="s">
        <v>53</v>
      </c>
      <c r="AD4666" t="s">
        <v>53</v>
      </c>
      <c r="AK4666">
        <v>0</v>
      </c>
      <c r="AU4666" s="6">
        <v>42123</v>
      </c>
      <c r="AV4666" s="6">
        <v>42123</v>
      </c>
      <c r="AW4666" t="s">
        <v>54</v>
      </c>
      <c r="AX4666" t="str">
        <f t="shared" si="385"/>
        <v>FOR</v>
      </c>
      <c r="AY4666" t="s">
        <v>55</v>
      </c>
    </row>
    <row r="4667" spans="1:51" hidden="1">
      <c r="A4667">
        <v>101738</v>
      </c>
      <c r="B4667" t="s">
        <v>857</v>
      </c>
      <c r="C4667" t="str">
        <f t="shared" si="392"/>
        <v>01303080624</v>
      </c>
      <c r="D4667" t="str">
        <f t="shared" si="392"/>
        <v>01303080624</v>
      </c>
      <c r="E4667" t="s">
        <v>52</v>
      </c>
      <c r="F4667">
        <v>2015</v>
      </c>
      <c r="G4667" t="s">
        <v>861</v>
      </c>
      <c r="H4667" s="1">
        <v>42094</v>
      </c>
      <c r="I4667" s="1">
        <v>42094</v>
      </c>
      <c r="J4667" s="1">
        <v>42094</v>
      </c>
      <c r="K4667" s="1">
        <v>42154</v>
      </c>
      <c r="N4667" s="5"/>
      <c r="O4667">
        <v>67.2</v>
      </c>
      <c r="P4667">
        <v>-31</v>
      </c>
      <c r="Q4667" s="2">
        <v>-2083.1999999999998</v>
      </c>
      <c r="R4667">
        <v>0</v>
      </c>
      <c r="V4667">
        <v>0</v>
      </c>
      <c r="W4667">
        <v>0</v>
      </c>
      <c r="X4667">
        <v>0</v>
      </c>
      <c r="Y4667">
        <v>67.2</v>
      </c>
      <c r="Z4667">
        <v>67.2</v>
      </c>
      <c r="AA4667">
        <v>67.2</v>
      </c>
      <c r="AB4667" s="1">
        <v>42382</v>
      </c>
      <c r="AC4667" t="s">
        <v>53</v>
      </c>
      <c r="AD4667" t="s">
        <v>53</v>
      </c>
      <c r="AK4667">
        <v>0</v>
      </c>
      <c r="AU4667" s="6">
        <v>42123</v>
      </c>
      <c r="AV4667" s="6">
        <v>42123</v>
      </c>
      <c r="AW4667" t="s">
        <v>54</v>
      </c>
      <c r="AX4667" t="str">
        <f t="shared" si="385"/>
        <v>FOR</v>
      </c>
      <c r="AY4667" t="s">
        <v>55</v>
      </c>
    </row>
    <row r="4668" spans="1:51" hidden="1">
      <c r="A4668">
        <v>101741</v>
      </c>
      <c r="B4668" t="s">
        <v>862</v>
      </c>
      <c r="C4668" t="str">
        <f t="shared" ref="C4668:D4673" si="393">"01487150623"</f>
        <v>01487150623</v>
      </c>
      <c r="D4668" t="str">
        <f t="shared" si="393"/>
        <v>01487150623</v>
      </c>
      <c r="E4668" t="s">
        <v>52</v>
      </c>
      <c r="F4668">
        <v>2014</v>
      </c>
      <c r="G4668">
        <v>6</v>
      </c>
      <c r="H4668" s="1">
        <v>41813</v>
      </c>
      <c r="I4668" s="1">
        <v>41815</v>
      </c>
      <c r="J4668" s="1">
        <v>41815</v>
      </c>
      <c r="K4668" s="1">
        <v>41905</v>
      </c>
      <c r="N4668" s="5"/>
      <c r="O4668" s="2">
        <v>61000</v>
      </c>
      <c r="P4668">
        <v>143</v>
      </c>
      <c r="Q4668" s="2">
        <v>8723000</v>
      </c>
      <c r="R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 s="1">
        <v>42382</v>
      </c>
      <c r="AC4668" t="s">
        <v>53</v>
      </c>
      <c r="AD4668" t="s">
        <v>53</v>
      </c>
      <c r="AK4668">
        <v>0</v>
      </c>
      <c r="AU4668" s="6">
        <v>42048</v>
      </c>
      <c r="AV4668" s="6">
        <v>42048</v>
      </c>
      <c r="AW4668" t="s">
        <v>54</v>
      </c>
      <c r="AX4668" t="str">
        <f t="shared" si="385"/>
        <v>FOR</v>
      </c>
      <c r="AY4668" t="s">
        <v>55</v>
      </c>
    </row>
    <row r="4669" spans="1:51" hidden="1">
      <c r="A4669">
        <v>101741</v>
      </c>
      <c r="B4669" t="s">
        <v>862</v>
      </c>
      <c r="C4669" t="str">
        <f t="shared" si="393"/>
        <v>01487150623</v>
      </c>
      <c r="D4669" t="str">
        <f t="shared" si="393"/>
        <v>01487150623</v>
      </c>
      <c r="E4669" t="s">
        <v>52</v>
      </c>
      <c r="F4669">
        <v>2014</v>
      </c>
      <c r="G4669">
        <v>10</v>
      </c>
      <c r="H4669" s="1">
        <v>41943</v>
      </c>
      <c r="I4669" s="1">
        <v>41946</v>
      </c>
      <c r="J4669" s="1">
        <v>41946</v>
      </c>
      <c r="K4669" s="1">
        <v>42006</v>
      </c>
      <c r="N4669" s="5"/>
      <c r="O4669" s="2">
        <v>50850.06</v>
      </c>
      <c r="P4669">
        <v>95</v>
      </c>
      <c r="Q4669" s="2">
        <v>4830755.7</v>
      </c>
      <c r="R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 s="1">
        <v>42382</v>
      </c>
      <c r="AC4669" t="s">
        <v>53</v>
      </c>
      <c r="AD4669" t="s">
        <v>53</v>
      </c>
      <c r="AK4669">
        <v>0</v>
      </c>
      <c r="AU4669" s="6">
        <v>42101</v>
      </c>
      <c r="AV4669" s="6">
        <v>42101</v>
      </c>
      <c r="AW4669" t="s">
        <v>54</v>
      </c>
      <c r="AX4669" t="str">
        <f t="shared" si="385"/>
        <v>FOR</v>
      </c>
      <c r="AY4669" t="s">
        <v>55</v>
      </c>
    </row>
    <row r="4670" spans="1:51" hidden="1">
      <c r="A4670">
        <v>101741</v>
      </c>
      <c r="B4670" t="s">
        <v>862</v>
      </c>
      <c r="C4670" t="str">
        <f t="shared" si="393"/>
        <v>01487150623</v>
      </c>
      <c r="D4670" t="str">
        <f t="shared" si="393"/>
        <v>01487150623</v>
      </c>
      <c r="E4670" t="s">
        <v>52</v>
      </c>
      <c r="F4670">
        <v>2014</v>
      </c>
      <c r="G4670">
        <v>13</v>
      </c>
      <c r="H4670" s="1">
        <v>42004</v>
      </c>
      <c r="I4670" s="1">
        <v>42004</v>
      </c>
      <c r="J4670" s="1">
        <v>42004</v>
      </c>
      <c r="K4670" s="1">
        <v>42064</v>
      </c>
      <c r="N4670" s="5"/>
      <c r="O4670" s="2">
        <v>50850.06</v>
      </c>
      <c r="P4670">
        <v>101</v>
      </c>
      <c r="Q4670" s="2">
        <v>5135856.0599999996</v>
      </c>
      <c r="R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 s="1">
        <v>42382</v>
      </c>
      <c r="AC4670" t="s">
        <v>53</v>
      </c>
      <c r="AD4670" t="s">
        <v>53</v>
      </c>
      <c r="AK4670">
        <v>0</v>
      </c>
      <c r="AU4670" s="6">
        <v>42165</v>
      </c>
      <c r="AV4670" s="6">
        <v>42165</v>
      </c>
      <c r="AW4670" t="s">
        <v>54</v>
      </c>
      <c r="AX4670" t="str">
        <f t="shared" si="385"/>
        <v>FOR</v>
      </c>
      <c r="AY4670" t="s">
        <v>55</v>
      </c>
    </row>
    <row r="4671" spans="1:51">
      <c r="A4671">
        <v>101741</v>
      </c>
      <c r="B4671" t="s">
        <v>862</v>
      </c>
      <c r="C4671" t="str">
        <f t="shared" si="393"/>
        <v>01487150623</v>
      </c>
      <c r="D4671" t="str">
        <f t="shared" si="393"/>
        <v>01487150623</v>
      </c>
      <c r="E4671" t="s">
        <v>52</v>
      </c>
      <c r="F4671">
        <v>2015</v>
      </c>
      <c r="G4671">
        <v>1</v>
      </c>
      <c r="H4671" s="1">
        <v>42034</v>
      </c>
      <c r="I4671" s="1">
        <v>42038</v>
      </c>
      <c r="J4671" s="1">
        <v>42038</v>
      </c>
      <c r="K4671" s="1">
        <v>42098</v>
      </c>
      <c r="L4671" s="7">
        <v>14836.76</v>
      </c>
      <c r="M4671" s="5">
        <v>243</v>
      </c>
      <c r="N4671" s="7">
        <v>3605332.68</v>
      </c>
      <c r="O4671" s="2">
        <v>14836.76</v>
      </c>
      <c r="P4671">
        <v>243</v>
      </c>
      <c r="Q4671" s="2">
        <v>3605332.68</v>
      </c>
      <c r="R4671" s="2">
        <v>3264.09</v>
      </c>
      <c r="V4671">
        <v>0</v>
      </c>
      <c r="W4671">
        <v>0</v>
      </c>
      <c r="X4671">
        <v>0</v>
      </c>
      <c r="Y4671">
        <v>0</v>
      </c>
      <c r="Z4671" s="2">
        <v>18100.849999999999</v>
      </c>
      <c r="AA4671" s="2">
        <v>18100.849999999999</v>
      </c>
      <c r="AB4671" s="1">
        <v>42382</v>
      </c>
      <c r="AC4671" t="s">
        <v>53</v>
      </c>
      <c r="AD4671" t="s">
        <v>53</v>
      </c>
      <c r="AK4671" s="2">
        <v>3264.09</v>
      </c>
      <c r="AU4671" s="6">
        <v>42341</v>
      </c>
      <c r="AV4671" s="6">
        <v>42341</v>
      </c>
      <c r="AW4671" t="s">
        <v>54</v>
      </c>
      <c r="AX4671" t="str">
        <f t="shared" si="385"/>
        <v>FOR</v>
      </c>
      <c r="AY4671" t="s">
        <v>55</v>
      </c>
    </row>
    <row r="4672" spans="1:51" hidden="1">
      <c r="A4672">
        <v>101741</v>
      </c>
      <c r="B4672" t="s">
        <v>862</v>
      </c>
      <c r="C4672" t="str">
        <f t="shared" si="393"/>
        <v>01487150623</v>
      </c>
      <c r="D4672" t="str">
        <f t="shared" si="393"/>
        <v>01487150623</v>
      </c>
      <c r="E4672" t="s">
        <v>52</v>
      </c>
      <c r="F4672">
        <v>2015</v>
      </c>
      <c r="G4672">
        <v>2</v>
      </c>
      <c r="H4672" s="1">
        <v>42046</v>
      </c>
      <c r="I4672" s="1">
        <v>42072</v>
      </c>
      <c r="J4672" s="1">
        <v>42072</v>
      </c>
      <c r="K4672" s="1">
        <v>42132</v>
      </c>
      <c r="N4672" s="5"/>
      <c r="O4672" s="2">
        <v>82100</v>
      </c>
      <c r="P4672">
        <v>118</v>
      </c>
      <c r="Q4672" s="2">
        <v>9687800</v>
      </c>
      <c r="R4672">
        <v>0</v>
      </c>
      <c r="V4672">
        <v>0</v>
      </c>
      <c r="W4672">
        <v>0</v>
      </c>
      <c r="X4672">
        <v>0</v>
      </c>
      <c r="Y4672">
        <v>0</v>
      </c>
      <c r="Z4672" s="2">
        <v>100162</v>
      </c>
      <c r="AA4672" s="2">
        <v>100162</v>
      </c>
      <c r="AB4672" s="1">
        <v>42382</v>
      </c>
      <c r="AC4672" t="s">
        <v>53</v>
      </c>
      <c r="AD4672" t="s">
        <v>53</v>
      </c>
      <c r="AK4672">
        <v>0</v>
      </c>
      <c r="AU4672" s="6">
        <v>42250</v>
      </c>
      <c r="AV4672" s="6">
        <v>42250</v>
      </c>
      <c r="AW4672" t="s">
        <v>54</v>
      </c>
      <c r="AX4672" t="str">
        <f t="shared" si="385"/>
        <v>FOR</v>
      </c>
      <c r="AY4672" t="s">
        <v>55</v>
      </c>
    </row>
    <row r="4673" spans="1:51">
      <c r="A4673">
        <v>101741</v>
      </c>
      <c r="B4673" t="s">
        <v>862</v>
      </c>
      <c r="C4673" t="str">
        <f t="shared" si="393"/>
        <v>01487150623</v>
      </c>
      <c r="D4673" t="str">
        <f t="shared" si="393"/>
        <v>01487150623</v>
      </c>
      <c r="E4673" t="s">
        <v>52</v>
      </c>
      <c r="F4673">
        <v>2015</v>
      </c>
      <c r="G4673">
        <v>4</v>
      </c>
      <c r="H4673" s="1">
        <v>42062</v>
      </c>
      <c r="I4673" s="1">
        <v>42067</v>
      </c>
      <c r="J4673" s="1">
        <v>42067</v>
      </c>
      <c r="K4673" s="1">
        <v>42127</v>
      </c>
      <c r="L4673" s="7">
        <v>41680.379999999997</v>
      </c>
      <c r="M4673" s="5">
        <v>226</v>
      </c>
      <c r="N4673" s="7">
        <v>9419765.8800000008</v>
      </c>
      <c r="O4673" s="2">
        <v>41680.379999999997</v>
      </c>
      <c r="P4673">
        <v>226</v>
      </c>
      <c r="Q4673" s="2">
        <v>9419765.8800000008</v>
      </c>
      <c r="R4673" s="2">
        <v>9169.68</v>
      </c>
      <c r="V4673">
        <v>0</v>
      </c>
      <c r="W4673">
        <v>0</v>
      </c>
      <c r="X4673">
        <v>0</v>
      </c>
      <c r="Y4673" s="2">
        <v>50850.06</v>
      </c>
      <c r="Z4673" s="2">
        <v>50850.06</v>
      </c>
      <c r="AA4673" s="2">
        <v>50850.06</v>
      </c>
      <c r="AB4673" s="1">
        <v>42382</v>
      </c>
      <c r="AC4673" t="s">
        <v>53</v>
      </c>
      <c r="AD4673" t="s">
        <v>53</v>
      </c>
      <c r="AK4673" s="2">
        <v>9169.68</v>
      </c>
      <c r="AU4673" s="6">
        <v>42353</v>
      </c>
      <c r="AV4673" s="6">
        <v>42353</v>
      </c>
      <c r="AW4673" t="s">
        <v>54</v>
      </c>
      <c r="AX4673" t="str">
        <f t="shared" si="385"/>
        <v>FOR</v>
      </c>
      <c r="AY4673" t="s">
        <v>55</v>
      </c>
    </row>
    <row r="4674" spans="1:51" hidden="1">
      <c r="A4674">
        <v>101744</v>
      </c>
      <c r="B4674" t="s">
        <v>863</v>
      </c>
      <c r="C4674" t="str">
        <f t="shared" ref="C4674:D4678" si="394">"01040690156"</f>
        <v>01040690156</v>
      </c>
      <c r="D4674" t="str">
        <f t="shared" si="394"/>
        <v>01040690156</v>
      </c>
      <c r="E4674" t="s">
        <v>52</v>
      </c>
      <c r="F4674">
        <v>2014</v>
      </c>
      <c r="G4674">
        <v>77</v>
      </c>
      <c r="H4674" s="1">
        <v>41683</v>
      </c>
      <c r="I4674" s="1">
        <v>41698</v>
      </c>
      <c r="J4674" s="1">
        <v>41698</v>
      </c>
      <c r="K4674" s="1">
        <v>41788</v>
      </c>
      <c r="N4674" s="5"/>
      <c r="O4674">
        <v>358.63</v>
      </c>
      <c r="P4674">
        <v>259</v>
      </c>
      <c r="Q4674" s="2">
        <v>92885.17</v>
      </c>
      <c r="R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 s="1">
        <v>42382</v>
      </c>
      <c r="AC4674" t="s">
        <v>53</v>
      </c>
      <c r="AD4674" t="s">
        <v>53</v>
      </c>
      <c r="AK4674">
        <v>0</v>
      </c>
      <c r="AU4674" s="6">
        <v>42047</v>
      </c>
      <c r="AV4674" s="6">
        <v>42047</v>
      </c>
      <c r="AW4674" t="s">
        <v>54</v>
      </c>
      <c r="AX4674" t="str">
        <f t="shared" si="385"/>
        <v>FOR</v>
      </c>
      <c r="AY4674" t="s">
        <v>55</v>
      </c>
    </row>
    <row r="4675" spans="1:51" hidden="1">
      <c r="A4675">
        <v>101744</v>
      </c>
      <c r="B4675" t="s">
        <v>863</v>
      </c>
      <c r="C4675" t="str">
        <f t="shared" si="394"/>
        <v>01040690156</v>
      </c>
      <c r="D4675" t="str">
        <f t="shared" si="394"/>
        <v>01040690156</v>
      </c>
      <c r="E4675" t="s">
        <v>52</v>
      </c>
      <c r="F4675">
        <v>2014</v>
      </c>
      <c r="G4675">
        <v>78</v>
      </c>
      <c r="H4675" s="1">
        <v>41683</v>
      </c>
      <c r="I4675" s="1">
        <v>41698</v>
      </c>
      <c r="J4675" s="1">
        <v>41698</v>
      </c>
      <c r="K4675" s="1">
        <v>41788</v>
      </c>
      <c r="N4675" s="5"/>
      <c r="O4675" s="2">
        <v>1434.52</v>
      </c>
      <c r="P4675">
        <v>259</v>
      </c>
      <c r="Q4675" s="2">
        <v>371540.68</v>
      </c>
      <c r="R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 s="1">
        <v>42382</v>
      </c>
      <c r="AC4675" t="s">
        <v>53</v>
      </c>
      <c r="AD4675" t="s">
        <v>53</v>
      </c>
      <c r="AK4675">
        <v>0</v>
      </c>
      <c r="AU4675" s="6">
        <v>42047</v>
      </c>
      <c r="AV4675" s="6">
        <v>42047</v>
      </c>
      <c r="AW4675" t="s">
        <v>54</v>
      </c>
      <c r="AX4675" t="str">
        <f t="shared" ref="AX4675:AX4738" si="395">"FOR"</f>
        <v>FOR</v>
      </c>
      <c r="AY4675" t="s">
        <v>55</v>
      </c>
    </row>
    <row r="4676" spans="1:51" hidden="1">
      <c r="A4676">
        <v>101744</v>
      </c>
      <c r="B4676" t="s">
        <v>863</v>
      </c>
      <c r="C4676" t="str">
        <f t="shared" si="394"/>
        <v>01040690156</v>
      </c>
      <c r="D4676" t="str">
        <f t="shared" si="394"/>
        <v>01040690156</v>
      </c>
      <c r="E4676" t="s">
        <v>52</v>
      </c>
      <c r="F4676">
        <v>2014</v>
      </c>
      <c r="G4676">
        <v>226</v>
      </c>
      <c r="H4676" s="1">
        <v>41807</v>
      </c>
      <c r="I4676" s="1">
        <v>41821</v>
      </c>
      <c r="J4676" s="1">
        <v>41821</v>
      </c>
      <c r="K4676" s="1">
        <v>41911</v>
      </c>
      <c r="N4676" s="5"/>
      <c r="O4676">
        <v>268.58</v>
      </c>
      <c r="P4676">
        <v>183</v>
      </c>
      <c r="Q4676" s="2">
        <v>49150.14</v>
      </c>
      <c r="R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 s="1">
        <v>42382</v>
      </c>
      <c r="AC4676" t="s">
        <v>53</v>
      </c>
      <c r="AD4676" t="s">
        <v>53</v>
      </c>
      <c r="AK4676">
        <v>0</v>
      </c>
      <c r="AU4676" s="6">
        <v>42094</v>
      </c>
      <c r="AV4676" s="6">
        <v>42094</v>
      </c>
      <c r="AW4676" t="s">
        <v>54</v>
      </c>
      <c r="AX4676" t="str">
        <f t="shared" si="395"/>
        <v>FOR</v>
      </c>
      <c r="AY4676" t="s">
        <v>55</v>
      </c>
    </row>
    <row r="4677" spans="1:51" hidden="1">
      <c r="A4677">
        <v>101744</v>
      </c>
      <c r="B4677" t="s">
        <v>863</v>
      </c>
      <c r="C4677" t="str">
        <f t="shared" si="394"/>
        <v>01040690156</v>
      </c>
      <c r="D4677" t="str">
        <f t="shared" si="394"/>
        <v>01040690156</v>
      </c>
      <c r="E4677" t="s">
        <v>52</v>
      </c>
      <c r="F4677">
        <v>2014</v>
      </c>
      <c r="G4677">
        <v>271</v>
      </c>
      <c r="H4677" s="1">
        <v>41884</v>
      </c>
      <c r="I4677" s="1">
        <v>41913</v>
      </c>
      <c r="J4677" s="1">
        <v>41913</v>
      </c>
      <c r="K4677" s="1">
        <v>42003</v>
      </c>
      <c r="N4677" s="5"/>
      <c r="O4677" s="2">
        <v>1793.16</v>
      </c>
      <c r="P4677">
        <v>91</v>
      </c>
      <c r="Q4677" s="2">
        <v>163177.56</v>
      </c>
      <c r="R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 s="1">
        <v>42382</v>
      </c>
      <c r="AC4677" t="s">
        <v>53</v>
      </c>
      <c r="AD4677" t="s">
        <v>53</v>
      </c>
      <c r="AK4677">
        <v>0</v>
      </c>
      <c r="AU4677" s="6">
        <v>42094</v>
      </c>
      <c r="AV4677" s="6">
        <v>42094</v>
      </c>
      <c r="AW4677" t="s">
        <v>54</v>
      </c>
      <c r="AX4677" t="str">
        <f t="shared" si="395"/>
        <v>FOR</v>
      </c>
      <c r="AY4677" t="s">
        <v>55</v>
      </c>
    </row>
    <row r="4678" spans="1:51" hidden="1">
      <c r="A4678">
        <v>101744</v>
      </c>
      <c r="B4678" t="s">
        <v>863</v>
      </c>
      <c r="C4678" t="str">
        <f t="shared" si="394"/>
        <v>01040690156</v>
      </c>
      <c r="D4678" t="str">
        <f t="shared" si="394"/>
        <v>01040690156</v>
      </c>
      <c r="E4678" t="s">
        <v>52</v>
      </c>
      <c r="F4678">
        <v>2014</v>
      </c>
      <c r="G4678">
        <v>299</v>
      </c>
      <c r="H4678" s="1">
        <v>41900</v>
      </c>
      <c r="I4678" s="1">
        <v>41946</v>
      </c>
      <c r="J4678" s="1">
        <v>41946</v>
      </c>
      <c r="K4678" s="1">
        <v>42006</v>
      </c>
      <c r="N4678" s="5"/>
      <c r="O4678" s="2">
        <v>1434.52</v>
      </c>
      <c r="P4678">
        <v>88</v>
      </c>
      <c r="Q4678" s="2">
        <v>126237.75999999999</v>
      </c>
      <c r="R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 s="1">
        <v>42382</v>
      </c>
      <c r="AC4678" t="s">
        <v>53</v>
      </c>
      <c r="AD4678" t="s">
        <v>53</v>
      </c>
      <c r="AK4678">
        <v>0</v>
      </c>
      <c r="AU4678" s="6">
        <v>42094</v>
      </c>
      <c r="AV4678" s="6">
        <v>42094</v>
      </c>
      <c r="AW4678" t="s">
        <v>54</v>
      </c>
      <c r="AX4678" t="str">
        <f t="shared" si="395"/>
        <v>FOR</v>
      </c>
      <c r="AY4678" t="s">
        <v>55</v>
      </c>
    </row>
    <row r="4679" spans="1:51" hidden="1">
      <c r="A4679">
        <v>101747</v>
      </c>
      <c r="B4679" t="s">
        <v>864</v>
      </c>
      <c r="C4679" t="str">
        <f t="shared" ref="C4679:C4684" si="396">"01018080620"</f>
        <v>01018080620</v>
      </c>
      <c r="D4679" t="str">
        <f t="shared" ref="D4679:D4684" si="397">"ZTTRSM69D02L254H"</f>
        <v>ZTTRSM69D02L254H</v>
      </c>
      <c r="E4679" t="s">
        <v>52</v>
      </c>
      <c r="F4679">
        <v>2014</v>
      </c>
      <c r="G4679" t="s">
        <v>865</v>
      </c>
      <c r="H4679" s="1">
        <v>41913</v>
      </c>
      <c r="I4679" s="1">
        <v>41941</v>
      </c>
      <c r="J4679" s="1">
        <v>41941</v>
      </c>
      <c r="K4679" s="1">
        <v>42001</v>
      </c>
      <c r="N4679" s="5"/>
      <c r="O4679">
        <v>84.42</v>
      </c>
      <c r="P4679">
        <v>39</v>
      </c>
      <c r="Q4679" s="2">
        <v>3292.38</v>
      </c>
      <c r="R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 s="1">
        <v>42382</v>
      </c>
      <c r="AC4679" t="s">
        <v>53</v>
      </c>
      <c r="AD4679" t="s">
        <v>53</v>
      </c>
      <c r="AK4679">
        <v>0</v>
      </c>
      <c r="AU4679" s="6">
        <v>42040</v>
      </c>
      <c r="AV4679" s="6">
        <v>42040</v>
      </c>
      <c r="AW4679" t="s">
        <v>54</v>
      </c>
      <c r="AX4679" t="str">
        <f t="shared" si="395"/>
        <v>FOR</v>
      </c>
      <c r="AY4679" t="s">
        <v>55</v>
      </c>
    </row>
    <row r="4680" spans="1:51" hidden="1">
      <c r="A4680">
        <v>101747</v>
      </c>
      <c r="B4680" t="s">
        <v>864</v>
      </c>
      <c r="C4680" t="str">
        <f t="shared" si="396"/>
        <v>01018080620</v>
      </c>
      <c r="D4680" t="str">
        <f t="shared" si="397"/>
        <v>ZTTRSM69D02L254H</v>
      </c>
      <c r="E4680" t="s">
        <v>52</v>
      </c>
      <c r="F4680">
        <v>2014</v>
      </c>
      <c r="G4680" t="s">
        <v>866</v>
      </c>
      <c r="H4680" s="1">
        <v>41942</v>
      </c>
      <c r="I4680" s="1">
        <v>41955</v>
      </c>
      <c r="J4680" s="1">
        <v>41955</v>
      </c>
      <c r="K4680" s="1">
        <v>42015</v>
      </c>
      <c r="N4680" s="5"/>
      <c r="O4680">
        <v>102.61</v>
      </c>
      <c r="P4680">
        <v>25</v>
      </c>
      <c r="Q4680" s="2">
        <v>2565.25</v>
      </c>
      <c r="R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 s="1">
        <v>42382</v>
      </c>
      <c r="AC4680" t="s">
        <v>53</v>
      </c>
      <c r="AD4680" t="s">
        <v>53</v>
      </c>
      <c r="AK4680">
        <v>0</v>
      </c>
      <c r="AU4680" s="6">
        <v>42040</v>
      </c>
      <c r="AV4680" s="6">
        <v>42040</v>
      </c>
      <c r="AW4680" t="s">
        <v>54</v>
      </c>
      <c r="AX4680" t="str">
        <f t="shared" si="395"/>
        <v>FOR</v>
      </c>
      <c r="AY4680" t="s">
        <v>55</v>
      </c>
    </row>
    <row r="4681" spans="1:51" hidden="1">
      <c r="A4681">
        <v>101747</v>
      </c>
      <c r="B4681" t="s">
        <v>864</v>
      </c>
      <c r="C4681" t="str">
        <f t="shared" si="396"/>
        <v>01018080620</v>
      </c>
      <c r="D4681" t="str">
        <f t="shared" si="397"/>
        <v>ZTTRSM69D02L254H</v>
      </c>
      <c r="E4681" t="s">
        <v>52</v>
      </c>
      <c r="F4681">
        <v>2014</v>
      </c>
      <c r="G4681" t="s">
        <v>867</v>
      </c>
      <c r="H4681" s="1">
        <v>41973</v>
      </c>
      <c r="I4681" s="1">
        <v>41975</v>
      </c>
      <c r="J4681" s="1">
        <v>41975</v>
      </c>
      <c r="K4681" s="1">
        <v>42035</v>
      </c>
      <c r="N4681" s="5"/>
      <c r="O4681">
        <v>201.74</v>
      </c>
      <c r="P4681">
        <v>5</v>
      </c>
      <c r="Q4681" s="2">
        <v>1008.7</v>
      </c>
      <c r="R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 s="1">
        <v>42382</v>
      </c>
      <c r="AC4681" t="s">
        <v>53</v>
      </c>
      <c r="AD4681" t="s">
        <v>53</v>
      </c>
      <c r="AK4681">
        <v>0</v>
      </c>
      <c r="AU4681" s="6">
        <v>42040</v>
      </c>
      <c r="AV4681" s="6">
        <v>42040</v>
      </c>
      <c r="AW4681" t="s">
        <v>54</v>
      </c>
      <c r="AX4681" t="str">
        <f t="shared" si="395"/>
        <v>FOR</v>
      </c>
      <c r="AY4681" t="s">
        <v>55</v>
      </c>
    </row>
    <row r="4682" spans="1:51" hidden="1">
      <c r="A4682">
        <v>101747</v>
      </c>
      <c r="B4682" t="s">
        <v>864</v>
      </c>
      <c r="C4682" t="str">
        <f t="shared" si="396"/>
        <v>01018080620</v>
      </c>
      <c r="D4682" t="str">
        <f t="shared" si="397"/>
        <v>ZTTRSM69D02L254H</v>
      </c>
      <c r="E4682" t="s">
        <v>52</v>
      </c>
      <c r="F4682">
        <v>2014</v>
      </c>
      <c r="G4682" t="s">
        <v>868</v>
      </c>
      <c r="H4682" s="1">
        <v>42003</v>
      </c>
      <c r="I4682" s="1">
        <v>42004</v>
      </c>
      <c r="J4682" s="1">
        <v>42004</v>
      </c>
      <c r="K4682" s="1">
        <v>42064</v>
      </c>
      <c r="N4682" s="5"/>
      <c r="O4682">
        <v>55.51</v>
      </c>
      <c r="P4682">
        <v>59</v>
      </c>
      <c r="Q4682" s="2">
        <v>3275.09</v>
      </c>
      <c r="R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 s="1">
        <v>42382</v>
      </c>
      <c r="AC4682" t="s">
        <v>53</v>
      </c>
      <c r="AD4682" t="s">
        <v>53</v>
      </c>
      <c r="AK4682">
        <v>0</v>
      </c>
      <c r="AU4682" s="6">
        <v>42123</v>
      </c>
      <c r="AV4682" s="6">
        <v>42123</v>
      </c>
      <c r="AW4682" t="s">
        <v>54</v>
      </c>
      <c r="AX4682" t="str">
        <f t="shared" si="395"/>
        <v>FOR</v>
      </c>
      <c r="AY4682" t="s">
        <v>55</v>
      </c>
    </row>
    <row r="4683" spans="1:51" hidden="1">
      <c r="A4683">
        <v>101747</v>
      </c>
      <c r="B4683" t="s">
        <v>864</v>
      </c>
      <c r="C4683" t="str">
        <f t="shared" si="396"/>
        <v>01018080620</v>
      </c>
      <c r="D4683" t="str">
        <f t="shared" si="397"/>
        <v>ZTTRSM69D02L254H</v>
      </c>
      <c r="E4683" t="s">
        <v>52</v>
      </c>
      <c r="F4683">
        <v>2015</v>
      </c>
      <c r="G4683" t="s">
        <v>869</v>
      </c>
      <c r="H4683" s="1">
        <v>42035</v>
      </c>
      <c r="I4683" s="1">
        <v>42045</v>
      </c>
      <c r="J4683" s="1">
        <v>42045</v>
      </c>
      <c r="K4683" s="1">
        <v>42105</v>
      </c>
      <c r="N4683" s="5"/>
      <c r="O4683">
        <v>94.57</v>
      </c>
      <c r="P4683">
        <v>18</v>
      </c>
      <c r="Q4683" s="2">
        <v>1702.26</v>
      </c>
      <c r="R4683">
        <v>20.81</v>
      </c>
      <c r="V4683">
        <v>0</v>
      </c>
      <c r="W4683">
        <v>0</v>
      </c>
      <c r="X4683">
        <v>0</v>
      </c>
      <c r="Y4683">
        <v>115.38</v>
      </c>
      <c r="Z4683">
        <v>115.38</v>
      </c>
      <c r="AA4683">
        <v>115.38</v>
      </c>
      <c r="AB4683" s="1">
        <v>42382</v>
      </c>
      <c r="AC4683" t="s">
        <v>53</v>
      </c>
      <c r="AD4683" t="s">
        <v>53</v>
      </c>
      <c r="AK4683">
        <v>20.81</v>
      </c>
      <c r="AU4683" s="6">
        <v>42123</v>
      </c>
      <c r="AV4683" s="6">
        <v>42123</v>
      </c>
      <c r="AW4683" t="s">
        <v>54</v>
      </c>
      <c r="AX4683" t="str">
        <f t="shared" si="395"/>
        <v>FOR</v>
      </c>
      <c r="AY4683" t="s">
        <v>55</v>
      </c>
    </row>
    <row r="4684" spans="1:51" hidden="1">
      <c r="A4684">
        <v>101747</v>
      </c>
      <c r="B4684" t="s">
        <v>864</v>
      </c>
      <c r="C4684" t="str">
        <f t="shared" si="396"/>
        <v>01018080620</v>
      </c>
      <c r="D4684" t="str">
        <f t="shared" si="397"/>
        <v>ZTTRSM69D02L254H</v>
      </c>
      <c r="E4684" t="s">
        <v>52</v>
      </c>
      <c r="F4684">
        <v>2015</v>
      </c>
      <c r="G4684" t="s">
        <v>870</v>
      </c>
      <c r="H4684" s="1">
        <v>42063</v>
      </c>
      <c r="I4684" s="1">
        <v>42104</v>
      </c>
      <c r="J4684" s="1">
        <v>42104</v>
      </c>
      <c r="K4684" s="1">
        <v>42164</v>
      </c>
      <c r="N4684" s="5"/>
      <c r="O4684">
        <v>72.06</v>
      </c>
      <c r="P4684">
        <v>-41</v>
      </c>
      <c r="Q4684" s="2">
        <v>-2954.46</v>
      </c>
      <c r="R4684">
        <v>15.85</v>
      </c>
      <c r="V4684">
        <v>0</v>
      </c>
      <c r="W4684">
        <v>0</v>
      </c>
      <c r="X4684">
        <v>0</v>
      </c>
      <c r="Y4684">
        <v>87.91</v>
      </c>
      <c r="Z4684">
        <v>87.91</v>
      </c>
      <c r="AA4684">
        <v>87.91</v>
      </c>
      <c r="AB4684" s="1">
        <v>42382</v>
      </c>
      <c r="AC4684" t="s">
        <v>53</v>
      </c>
      <c r="AD4684" t="s">
        <v>53</v>
      </c>
      <c r="AK4684">
        <v>15.85</v>
      </c>
      <c r="AU4684" s="6">
        <v>42123</v>
      </c>
      <c r="AV4684" s="6">
        <v>42123</v>
      </c>
      <c r="AW4684" t="s">
        <v>54</v>
      </c>
      <c r="AX4684" t="str">
        <f t="shared" si="395"/>
        <v>FOR</v>
      </c>
      <c r="AY4684" t="s">
        <v>55</v>
      </c>
    </row>
    <row r="4685" spans="1:51" hidden="1">
      <c r="A4685">
        <v>101754</v>
      </c>
      <c r="B4685" t="s">
        <v>871</v>
      </c>
      <c r="C4685" t="str">
        <f t="shared" ref="C4685:D4704" si="398">"07328871210"</f>
        <v>07328871210</v>
      </c>
      <c r="D4685" t="str">
        <f t="shared" si="398"/>
        <v>07328871210</v>
      </c>
      <c r="E4685" t="s">
        <v>52</v>
      </c>
      <c r="F4685">
        <v>2013</v>
      </c>
      <c r="G4685">
        <v>1580</v>
      </c>
      <c r="H4685" s="1">
        <v>41486</v>
      </c>
      <c r="I4685" s="1">
        <v>41534</v>
      </c>
      <c r="J4685" s="1">
        <v>41534</v>
      </c>
      <c r="K4685" s="1">
        <v>41624</v>
      </c>
      <c r="N4685" s="5"/>
      <c r="O4685">
        <v>396.88</v>
      </c>
      <c r="P4685">
        <v>400</v>
      </c>
      <c r="Q4685" s="2">
        <v>158752</v>
      </c>
      <c r="R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 s="1">
        <v>42382</v>
      </c>
      <c r="AC4685" t="s">
        <v>53</v>
      </c>
      <c r="AD4685" t="s">
        <v>53</v>
      </c>
      <c r="AK4685">
        <v>0</v>
      </c>
      <c r="AU4685" s="6">
        <v>42024</v>
      </c>
      <c r="AV4685" s="6">
        <v>42024</v>
      </c>
      <c r="AW4685" t="s">
        <v>54</v>
      </c>
      <c r="AX4685" t="str">
        <f t="shared" si="395"/>
        <v>FOR</v>
      </c>
      <c r="AY4685" t="s">
        <v>55</v>
      </c>
    </row>
    <row r="4686" spans="1:51" hidden="1">
      <c r="A4686">
        <v>101754</v>
      </c>
      <c r="B4686" t="s">
        <v>871</v>
      </c>
      <c r="C4686" t="str">
        <f t="shared" si="398"/>
        <v>07328871210</v>
      </c>
      <c r="D4686" t="str">
        <f t="shared" si="398"/>
        <v>07328871210</v>
      </c>
      <c r="E4686" t="s">
        <v>52</v>
      </c>
      <c r="F4686">
        <v>2014</v>
      </c>
      <c r="G4686">
        <v>262</v>
      </c>
      <c r="H4686" s="1">
        <v>41670</v>
      </c>
      <c r="I4686" s="1">
        <v>41716</v>
      </c>
      <c r="J4686" s="1">
        <v>41716</v>
      </c>
      <c r="K4686" s="1">
        <v>41806</v>
      </c>
      <c r="N4686" s="5"/>
      <c r="O4686">
        <v>200.08</v>
      </c>
      <c r="P4686">
        <v>218</v>
      </c>
      <c r="Q4686" s="2">
        <v>43617.440000000002</v>
      </c>
      <c r="R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 s="1">
        <v>42382</v>
      </c>
      <c r="AC4686" t="s">
        <v>53</v>
      </c>
      <c r="AD4686" t="s">
        <v>53</v>
      </c>
      <c r="AK4686">
        <v>0</v>
      </c>
      <c r="AU4686" s="6">
        <v>42024</v>
      </c>
      <c r="AV4686" s="6">
        <v>42024</v>
      </c>
      <c r="AW4686" t="s">
        <v>54</v>
      </c>
      <c r="AX4686" t="str">
        <f t="shared" si="395"/>
        <v>FOR</v>
      </c>
      <c r="AY4686" t="s">
        <v>55</v>
      </c>
    </row>
    <row r="4687" spans="1:51" hidden="1">
      <c r="A4687">
        <v>101754</v>
      </c>
      <c r="B4687" t="s">
        <v>871</v>
      </c>
      <c r="C4687" t="str">
        <f t="shared" si="398"/>
        <v>07328871210</v>
      </c>
      <c r="D4687" t="str">
        <f t="shared" si="398"/>
        <v>07328871210</v>
      </c>
      <c r="E4687" t="s">
        <v>52</v>
      </c>
      <c r="F4687">
        <v>2014</v>
      </c>
      <c r="G4687">
        <v>263</v>
      </c>
      <c r="H4687" s="1">
        <v>41670</v>
      </c>
      <c r="I4687" s="1">
        <v>41716</v>
      </c>
      <c r="J4687" s="1">
        <v>41716</v>
      </c>
      <c r="K4687" s="1">
        <v>41806</v>
      </c>
      <c r="N4687" s="5"/>
      <c r="O4687" s="2">
        <v>1159</v>
      </c>
      <c r="P4687">
        <v>218</v>
      </c>
      <c r="Q4687" s="2">
        <v>252662</v>
      </c>
      <c r="R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 s="1">
        <v>42382</v>
      </c>
      <c r="AC4687" t="s">
        <v>53</v>
      </c>
      <c r="AD4687" t="s">
        <v>53</v>
      </c>
      <c r="AK4687">
        <v>0</v>
      </c>
      <c r="AU4687" s="6">
        <v>42024</v>
      </c>
      <c r="AV4687" s="6">
        <v>42024</v>
      </c>
      <c r="AW4687" t="s">
        <v>54</v>
      </c>
      <c r="AX4687" t="str">
        <f t="shared" si="395"/>
        <v>FOR</v>
      </c>
      <c r="AY4687" t="s">
        <v>55</v>
      </c>
    </row>
    <row r="4688" spans="1:51" hidden="1">
      <c r="A4688">
        <v>101754</v>
      </c>
      <c r="B4688" t="s">
        <v>871</v>
      </c>
      <c r="C4688" t="str">
        <f t="shared" si="398"/>
        <v>07328871210</v>
      </c>
      <c r="D4688" t="str">
        <f t="shared" si="398"/>
        <v>07328871210</v>
      </c>
      <c r="E4688" t="s">
        <v>52</v>
      </c>
      <c r="F4688">
        <v>2014</v>
      </c>
      <c r="G4688">
        <v>615</v>
      </c>
      <c r="H4688" s="1">
        <v>41698</v>
      </c>
      <c r="I4688" s="1">
        <v>41716</v>
      </c>
      <c r="J4688" s="1">
        <v>41716</v>
      </c>
      <c r="K4688" s="1">
        <v>41806</v>
      </c>
      <c r="N4688" s="5"/>
      <c r="O4688">
        <v>600.24</v>
      </c>
      <c r="P4688">
        <v>231</v>
      </c>
      <c r="Q4688" s="2">
        <v>138655.44</v>
      </c>
      <c r="R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 s="1">
        <v>42382</v>
      </c>
      <c r="AC4688" t="s">
        <v>53</v>
      </c>
      <c r="AD4688" t="s">
        <v>53</v>
      </c>
      <c r="AK4688">
        <v>0</v>
      </c>
      <c r="AU4688" s="6">
        <v>42037</v>
      </c>
      <c r="AV4688" s="6">
        <v>42037</v>
      </c>
      <c r="AW4688" t="s">
        <v>54</v>
      </c>
      <c r="AX4688" t="str">
        <f t="shared" si="395"/>
        <v>FOR</v>
      </c>
      <c r="AY4688" t="s">
        <v>55</v>
      </c>
    </row>
    <row r="4689" spans="1:51" hidden="1">
      <c r="A4689">
        <v>101754</v>
      </c>
      <c r="B4689" t="s">
        <v>871</v>
      </c>
      <c r="C4689" t="str">
        <f t="shared" si="398"/>
        <v>07328871210</v>
      </c>
      <c r="D4689" t="str">
        <f t="shared" si="398"/>
        <v>07328871210</v>
      </c>
      <c r="E4689" t="s">
        <v>52</v>
      </c>
      <c r="F4689">
        <v>2014</v>
      </c>
      <c r="G4689">
        <v>616</v>
      </c>
      <c r="H4689" s="1">
        <v>41698</v>
      </c>
      <c r="I4689" s="1">
        <v>41716</v>
      </c>
      <c r="J4689" s="1">
        <v>41716</v>
      </c>
      <c r="K4689" s="1">
        <v>41806</v>
      </c>
      <c r="N4689" s="5"/>
      <c r="O4689" s="2">
        <v>1220.98</v>
      </c>
      <c r="P4689">
        <v>231</v>
      </c>
      <c r="Q4689" s="2">
        <v>282046.38</v>
      </c>
      <c r="R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 s="1">
        <v>42382</v>
      </c>
      <c r="AC4689" t="s">
        <v>53</v>
      </c>
      <c r="AD4689" t="s">
        <v>53</v>
      </c>
      <c r="AK4689">
        <v>0</v>
      </c>
      <c r="AU4689" s="6">
        <v>42037</v>
      </c>
      <c r="AV4689" s="6">
        <v>42037</v>
      </c>
      <c r="AW4689" t="s">
        <v>54</v>
      </c>
      <c r="AX4689" t="str">
        <f t="shared" si="395"/>
        <v>FOR</v>
      </c>
      <c r="AY4689" t="s">
        <v>55</v>
      </c>
    </row>
    <row r="4690" spans="1:51" hidden="1">
      <c r="A4690">
        <v>101754</v>
      </c>
      <c r="B4690" t="s">
        <v>871</v>
      </c>
      <c r="C4690" t="str">
        <f t="shared" si="398"/>
        <v>07328871210</v>
      </c>
      <c r="D4690" t="str">
        <f t="shared" si="398"/>
        <v>07328871210</v>
      </c>
      <c r="E4690" t="s">
        <v>52</v>
      </c>
      <c r="F4690">
        <v>2014</v>
      </c>
      <c r="G4690">
        <v>617</v>
      </c>
      <c r="H4690" s="1">
        <v>41698</v>
      </c>
      <c r="I4690" s="1">
        <v>41716</v>
      </c>
      <c r="J4690" s="1">
        <v>41716</v>
      </c>
      <c r="K4690" s="1">
        <v>41806</v>
      </c>
      <c r="N4690" s="5"/>
      <c r="O4690">
        <v>829.6</v>
      </c>
      <c r="P4690">
        <v>231</v>
      </c>
      <c r="Q4690" s="2">
        <v>191637.6</v>
      </c>
      <c r="R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 s="1">
        <v>42382</v>
      </c>
      <c r="AC4690" t="s">
        <v>53</v>
      </c>
      <c r="AD4690" t="s">
        <v>53</v>
      </c>
      <c r="AK4690">
        <v>0</v>
      </c>
      <c r="AU4690" s="6">
        <v>42037</v>
      </c>
      <c r="AV4690" s="6">
        <v>42037</v>
      </c>
      <c r="AW4690" t="s">
        <v>54</v>
      </c>
      <c r="AX4690" t="str">
        <f t="shared" si="395"/>
        <v>FOR</v>
      </c>
      <c r="AY4690" t="s">
        <v>55</v>
      </c>
    </row>
    <row r="4691" spans="1:51" hidden="1">
      <c r="A4691">
        <v>101754</v>
      </c>
      <c r="B4691" t="s">
        <v>871</v>
      </c>
      <c r="C4691" t="str">
        <f t="shared" si="398"/>
        <v>07328871210</v>
      </c>
      <c r="D4691" t="str">
        <f t="shared" si="398"/>
        <v>07328871210</v>
      </c>
      <c r="E4691" t="s">
        <v>52</v>
      </c>
      <c r="F4691">
        <v>2014</v>
      </c>
      <c r="G4691">
        <v>618</v>
      </c>
      <c r="H4691" s="1">
        <v>41698</v>
      </c>
      <c r="I4691" s="1">
        <v>41716</v>
      </c>
      <c r="J4691" s="1">
        <v>41716</v>
      </c>
      <c r="K4691" s="1">
        <v>41806</v>
      </c>
      <c r="N4691" s="5"/>
      <c r="O4691">
        <v>414.8</v>
      </c>
      <c r="P4691">
        <v>231</v>
      </c>
      <c r="Q4691" s="2">
        <v>95818.8</v>
      </c>
      <c r="R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 s="1">
        <v>42382</v>
      </c>
      <c r="AC4691" t="s">
        <v>53</v>
      </c>
      <c r="AD4691" t="s">
        <v>53</v>
      </c>
      <c r="AK4691">
        <v>0</v>
      </c>
      <c r="AU4691" s="6">
        <v>42037</v>
      </c>
      <c r="AV4691" s="6">
        <v>42037</v>
      </c>
      <c r="AW4691" t="s">
        <v>54</v>
      </c>
      <c r="AX4691" t="str">
        <f t="shared" si="395"/>
        <v>FOR</v>
      </c>
      <c r="AY4691" t="s">
        <v>55</v>
      </c>
    </row>
    <row r="4692" spans="1:51" hidden="1">
      <c r="A4692">
        <v>101754</v>
      </c>
      <c r="B4692" t="s">
        <v>871</v>
      </c>
      <c r="C4692" t="str">
        <f t="shared" si="398"/>
        <v>07328871210</v>
      </c>
      <c r="D4692" t="str">
        <f t="shared" si="398"/>
        <v>07328871210</v>
      </c>
      <c r="E4692" t="s">
        <v>52</v>
      </c>
      <c r="F4692">
        <v>2014</v>
      </c>
      <c r="G4692">
        <v>941</v>
      </c>
      <c r="H4692" s="1">
        <v>41726</v>
      </c>
      <c r="I4692" s="1">
        <v>41757</v>
      </c>
      <c r="J4692" s="1">
        <v>41757</v>
      </c>
      <c r="K4692" s="1">
        <v>41847</v>
      </c>
      <c r="N4692" s="5"/>
      <c r="O4692">
        <v>414.8</v>
      </c>
      <c r="P4692">
        <v>228</v>
      </c>
      <c r="Q4692" s="2">
        <v>94574.399999999994</v>
      </c>
      <c r="R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 s="1">
        <v>42382</v>
      </c>
      <c r="AC4692" t="s">
        <v>53</v>
      </c>
      <c r="AD4692" t="s">
        <v>53</v>
      </c>
      <c r="AK4692">
        <v>0</v>
      </c>
      <c r="AU4692" s="6">
        <v>42075</v>
      </c>
      <c r="AV4692" s="6">
        <v>42075</v>
      </c>
      <c r="AW4692" t="s">
        <v>54</v>
      </c>
      <c r="AX4692" t="str">
        <f t="shared" si="395"/>
        <v>FOR</v>
      </c>
      <c r="AY4692" t="s">
        <v>55</v>
      </c>
    </row>
    <row r="4693" spans="1:51" hidden="1">
      <c r="A4693">
        <v>101754</v>
      </c>
      <c r="B4693" t="s">
        <v>871</v>
      </c>
      <c r="C4693" t="str">
        <f t="shared" si="398"/>
        <v>07328871210</v>
      </c>
      <c r="D4693" t="str">
        <f t="shared" si="398"/>
        <v>07328871210</v>
      </c>
      <c r="E4693" t="s">
        <v>52</v>
      </c>
      <c r="F4693">
        <v>2014</v>
      </c>
      <c r="G4693">
        <v>984</v>
      </c>
      <c r="H4693" s="1">
        <v>41729</v>
      </c>
      <c r="I4693" s="1">
        <v>41757</v>
      </c>
      <c r="J4693" s="1">
        <v>41757</v>
      </c>
      <c r="K4693" s="1">
        <v>41847</v>
      </c>
      <c r="N4693" s="5"/>
      <c r="O4693" s="2">
        <v>1133.3800000000001</v>
      </c>
      <c r="P4693">
        <v>228</v>
      </c>
      <c r="Q4693" s="2">
        <v>258410.64</v>
      </c>
      <c r="R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 s="1">
        <v>42382</v>
      </c>
      <c r="AC4693" t="s">
        <v>53</v>
      </c>
      <c r="AD4693" t="s">
        <v>53</v>
      </c>
      <c r="AK4693">
        <v>0</v>
      </c>
      <c r="AU4693" s="6">
        <v>42075</v>
      </c>
      <c r="AV4693" s="6">
        <v>42075</v>
      </c>
      <c r="AW4693" t="s">
        <v>54</v>
      </c>
      <c r="AX4693" t="str">
        <f t="shared" si="395"/>
        <v>FOR</v>
      </c>
      <c r="AY4693" t="s">
        <v>55</v>
      </c>
    </row>
    <row r="4694" spans="1:51" hidden="1">
      <c r="A4694">
        <v>101754</v>
      </c>
      <c r="B4694" t="s">
        <v>871</v>
      </c>
      <c r="C4694" t="str">
        <f t="shared" si="398"/>
        <v>07328871210</v>
      </c>
      <c r="D4694" t="str">
        <f t="shared" si="398"/>
        <v>07328871210</v>
      </c>
      <c r="E4694" t="s">
        <v>52</v>
      </c>
      <c r="F4694">
        <v>2014</v>
      </c>
      <c r="G4694">
        <v>985</v>
      </c>
      <c r="H4694" s="1">
        <v>41729</v>
      </c>
      <c r="I4694" s="1">
        <v>41757</v>
      </c>
      <c r="J4694" s="1">
        <v>41757</v>
      </c>
      <c r="K4694" s="1">
        <v>41847</v>
      </c>
      <c r="N4694" s="5"/>
      <c r="O4694">
        <v>695.4</v>
      </c>
      <c r="P4694">
        <v>228</v>
      </c>
      <c r="Q4694" s="2">
        <v>158551.20000000001</v>
      </c>
      <c r="R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 s="1">
        <v>42382</v>
      </c>
      <c r="AC4694" t="s">
        <v>53</v>
      </c>
      <c r="AD4694" t="s">
        <v>53</v>
      </c>
      <c r="AK4694">
        <v>0</v>
      </c>
      <c r="AU4694" s="6">
        <v>42075</v>
      </c>
      <c r="AV4694" s="6">
        <v>42075</v>
      </c>
      <c r="AW4694" t="s">
        <v>54</v>
      </c>
      <c r="AX4694" t="str">
        <f t="shared" si="395"/>
        <v>FOR</v>
      </c>
      <c r="AY4694" t="s">
        <v>55</v>
      </c>
    </row>
    <row r="4695" spans="1:51" hidden="1">
      <c r="A4695">
        <v>101754</v>
      </c>
      <c r="B4695" t="s">
        <v>871</v>
      </c>
      <c r="C4695" t="str">
        <f t="shared" si="398"/>
        <v>07328871210</v>
      </c>
      <c r="D4695" t="str">
        <f t="shared" si="398"/>
        <v>07328871210</v>
      </c>
      <c r="E4695" t="s">
        <v>52</v>
      </c>
      <c r="F4695">
        <v>2014</v>
      </c>
      <c r="G4695">
        <v>986</v>
      </c>
      <c r="H4695" s="1">
        <v>41729</v>
      </c>
      <c r="I4695" s="1">
        <v>41757</v>
      </c>
      <c r="J4695" s="1">
        <v>41757</v>
      </c>
      <c r="K4695" s="1">
        <v>41847</v>
      </c>
      <c r="N4695" s="5"/>
      <c r="O4695">
        <v>453.11</v>
      </c>
      <c r="P4695">
        <v>228</v>
      </c>
      <c r="Q4695" s="2">
        <v>103309.08</v>
      </c>
      <c r="R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 s="1">
        <v>42382</v>
      </c>
      <c r="AC4695" t="s">
        <v>53</v>
      </c>
      <c r="AD4695" t="s">
        <v>53</v>
      </c>
      <c r="AK4695">
        <v>0</v>
      </c>
      <c r="AU4695" s="6">
        <v>42075</v>
      </c>
      <c r="AV4695" s="6">
        <v>42075</v>
      </c>
      <c r="AW4695" t="s">
        <v>54</v>
      </c>
      <c r="AX4695" t="str">
        <f t="shared" si="395"/>
        <v>FOR</v>
      </c>
      <c r="AY4695" t="s">
        <v>55</v>
      </c>
    </row>
    <row r="4696" spans="1:51" hidden="1">
      <c r="A4696">
        <v>101754</v>
      </c>
      <c r="B4696" t="s">
        <v>871</v>
      </c>
      <c r="C4696" t="str">
        <f t="shared" si="398"/>
        <v>07328871210</v>
      </c>
      <c r="D4696" t="str">
        <f t="shared" si="398"/>
        <v>07328871210</v>
      </c>
      <c r="E4696" t="s">
        <v>52</v>
      </c>
      <c r="F4696">
        <v>2014</v>
      </c>
      <c r="G4696">
        <v>987</v>
      </c>
      <c r="H4696" s="1">
        <v>41729</v>
      </c>
      <c r="I4696" s="1">
        <v>41757</v>
      </c>
      <c r="J4696" s="1">
        <v>41757</v>
      </c>
      <c r="K4696" s="1">
        <v>41847</v>
      </c>
      <c r="N4696" s="5"/>
      <c r="O4696" s="2">
        <v>1322.72</v>
      </c>
      <c r="P4696">
        <v>228</v>
      </c>
      <c r="Q4696" s="2">
        <v>301580.15999999997</v>
      </c>
      <c r="R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 s="1">
        <v>42382</v>
      </c>
      <c r="AC4696" t="s">
        <v>53</v>
      </c>
      <c r="AD4696" t="s">
        <v>53</v>
      </c>
      <c r="AK4696">
        <v>0</v>
      </c>
      <c r="AU4696" s="6">
        <v>42075</v>
      </c>
      <c r="AV4696" s="6">
        <v>42075</v>
      </c>
      <c r="AW4696" t="s">
        <v>54</v>
      </c>
      <c r="AX4696" t="str">
        <f t="shared" si="395"/>
        <v>FOR</v>
      </c>
      <c r="AY4696" t="s">
        <v>55</v>
      </c>
    </row>
    <row r="4697" spans="1:51" hidden="1">
      <c r="A4697">
        <v>101754</v>
      </c>
      <c r="B4697" t="s">
        <v>871</v>
      </c>
      <c r="C4697" t="str">
        <f t="shared" si="398"/>
        <v>07328871210</v>
      </c>
      <c r="D4697" t="str">
        <f t="shared" si="398"/>
        <v>07328871210</v>
      </c>
      <c r="E4697" t="s">
        <v>52</v>
      </c>
      <c r="F4697">
        <v>2014</v>
      </c>
      <c r="G4697">
        <v>988</v>
      </c>
      <c r="H4697" s="1">
        <v>41729</v>
      </c>
      <c r="I4697" s="1">
        <v>41757</v>
      </c>
      <c r="J4697" s="1">
        <v>41757</v>
      </c>
      <c r="K4697" s="1">
        <v>41847</v>
      </c>
      <c r="N4697" s="5"/>
      <c r="O4697" s="2">
        <v>2781.6</v>
      </c>
      <c r="P4697">
        <v>228</v>
      </c>
      <c r="Q4697" s="2">
        <v>634204.80000000005</v>
      </c>
      <c r="R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 s="1">
        <v>42382</v>
      </c>
      <c r="AC4697" t="s">
        <v>53</v>
      </c>
      <c r="AD4697" t="s">
        <v>53</v>
      </c>
      <c r="AK4697">
        <v>0</v>
      </c>
      <c r="AU4697" s="6">
        <v>42075</v>
      </c>
      <c r="AV4697" s="6">
        <v>42075</v>
      </c>
      <c r="AW4697" t="s">
        <v>54</v>
      </c>
      <c r="AX4697" t="str">
        <f t="shared" si="395"/>
        <v>FOR</v>
      </c>
      <c r="AY4697" t="s">
        <v>55</v>
      </c>
    </row>
    <row r="4698" spans="1:51" hidden="1">
      <c r="A4698">
        <v>101754</v>
      </c>
      <c r="B4698" t="s">
        <v>871</v>
      </c>
      <c r="C4698" t="str">
        <f t="shared" si="398"/>
        <v>07328871210</v>
      </c>
      <c r="D4698" t="str">
        <f t="shared" si="398"/>
        <v>07328871210</v>
      </c>
      <c r="E4698" t="s">
        <v>52</v>
      </c>
      <c r="F4698">
        <v>2014</v>
      </c>
      <c r="G4698">
        <v>1349</v>
      </c>
      <c r="H4698" s="1">
        <v>41759</v>
      </c>
      <c r="I4698" s="1">
        <v>41778</v>
      </c>
      <c r="J4698" s="1">
        <v>41778</v>
      </c>
      <c r="K4698" s="1">
        <v>41868</v>
      </c>
      <c r="N4698" s="5"/>
      <c r="O4698">
        <v>333.06</v>
      </c>
      <c r="P4698">
        <v>234</v>
      </c>
      <c r="Q4698" s="2">
        <v>77936.039999999994</v>
      </c>
      <c r="R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 s="1">
        <v>42382</v>
      </c>
      <c r="AC4698" t="s">
        <v>53</v>
      </c>
      <c r="AD4698" t="s">
        <v>53</v>
      </c>
      <c r="AK4698">
        <v>0</v>
      </c>
      <c r="AU4698" s="6">
        <v>42102</v>
      </c>
      <c r="AV4698" s="6">
        <v>42102</v>
      </c>
      <c r="AW4698" t="s">
        <v>54</v>
      </c>
      <c r="AX4698" t="str">
        <f t="shared" si="395"/>
        <v>FOR</v>
      </c>
      <c r="AY4698" t="s">
        <v>55</v>
      </c>
    </row>
    <row r="4699" spans="1:51" hidden="1">
      <c r="A4699">
        <v>101754</v>
      </c>
      <c r="B4699" t="s">
        <v>871</v>
      </c>
      <c r="C4699" t="str">
        <f t="shared" si="398"/>
        <v>07328871210</v>
      </c>
      <c r="D4699" t="str">
        <f t="shared" si="398"/>
        <v>07328871210</v>
      </c>
      <c r="E4699" t="s">
        <v>52</v>
      </c>
      <c r="F4699">
        <v>2014</v>
      </c>
      <c r="G4699">
        <v>1350</v>
      </c>
      <c r="H4699" s="1">
        <v>41759</v>
      </c>
      <c r="I4699" s="1">
        <v>41778</v>
      </c>
      <c r="J4699" s="1">
        <v>41778</v>
      </c>
      <c r="K4699" s="1">
        <v>41868</v>
      </c>
      <c r="N4699" s="5"/>
      <c r="O4699">
        <v>829.6</v>
      </c>
      <c r="P4699">
        <v>234</v>
      </c>
      <c r="Q4699" s="2">
        <v>194126.4</v>
      </c>
      <c r="R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 s="1">
        <v>42382</v>
      </c>
      <c r="AC4699" t="s">
        <v>53</v>
      </c>
      <c r="AD4699" t="s">
        <v>53</v>
      </c>
      <c r="AK4699">
        <v>0</v>
      </c>
      <c r="AU4699" s="6">
        <v>42102</v>
      </c>
      <c r="AV4699" s="6">
        <v>42102</v>
      </c>
      <c r="AW4699" t="s">
        <v>54</v>
      </c>
      <c r="AX4699" t="str">
        <f t="shared" si="395"/>
        <v>FOR</v>
      </c>
      <c r="AY4699" t="s">
        <v>55</v>
      </c>
    </row>
    <row r="4700" spans="1:51" hidden="1">
      <c r="A4700">
        <v>101754</v>
      </c>
      <c r="B4700" t="s">
        <v>871</v>
      </c>
      <c r="C4700" t="str">
        <f t="shared" si="398"/>
        <v>07328871210</v>
      </c>
      <c r="D4700" t="str">
        <f t="shared" si="398"/>
        <v>07328871210</v>
      </c>
      <c r="E4700" t="s">
        <v>52</v>
      </c>
      <c r="F4700">
        <v>2014</v>
      </c>
      <c r="G4700">
        <v>1701</v>
      </c>
      <c r="H4700" s="1">
        <v>41789</v>
      </c>
      <c r="I4700" s="1">
        <v>41807</v>
      </c>
      <c r="J4700" s="1">
        <v>41807</v>
      </c>
      <c r="K4700" s="1">
        <v>41897</v>
      </c>
      <c r="N4700" s="5"/>
      <c r="O4700">
        <v>829.6</v>
      </c>
      <c r="P4700">
        <v>235</v>
      </c>
      <c r="Q4700" s="2">
        <v>194956</v>
      </c>
      <c r="R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 s="1">
        <v>42382</v>
      </c>
      <c r="AC4700" t="s">
        <v>53</v>
      </c>
      <c r="AD4700" t="s">
        <v>53</v>
      </c>
      <c r="AK4700">
        <v>0</v>
      </c>
      <c r="AU4700" s="6">
        <v>42132</v>
      </c>
      <c r="AV4700" s="6">
        <v>42132</v>
      </c>
      <c r="AW4700" t="s">
        <v>54</v>
      </c>
      <c r="AX4700" t="str">
        <f t="shared" si="395"/>
        <v>FOR</v>
      </c>
      <c r="AY4700" t="s">
        <v>55</v>
      </c>
    </row>
    <row r="4701" spans="1:51" hidden="1">
      <c r="A4701">
        <v>101754</v>
      </c>
      <c r="B4701" t="s">
        <v>871</v>
      </c>
      <c r="C4701" t="str">
        <f t="shared" si="398"/>
        <v>07328871210</v>
      </c>
      <c r="D4701" t="str">
        <f t="shared" si="398"/>
        <v>07328871210</v>
      </c>
      <c r="E4701" t="s">
        <v>52</v>
      </c>
      <c r="F4701">
        <v>2014</v>
      </c>
      <c r="G4701">
        <v>1702</v>
      </c>
      <c r="H4701" s="1">
        <v>41789</v>
      </c>
      <c r="I4701" s="1">
        <v>41807</v>
      </c>
      <c r="J4701" s="1">
        <v>41807</v>
      </c>
      <c r="K4701" s="1">
        <v>41897</v>
      </c>
      <c r="N4701" s="5"/>
      <c r="O4701">
        <v>725.9</v>
      </c>
      <c r="P4701">
        <v>235</v>
      </c>
      <c r="Q4701" s="2">
        <v>170586.5</v>
      </c>
      <c r="R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 s="1">
        <v>42382</v>
      </c>
      <c r="AC4701" t="s">
        <v>53</v>
      </c>
      <c r="AD4701" t="s">
        <v>53</v>
      </c>
      <c r="AK4701">
        <v>0</v>
      </c>
      <c r="AU4701" s="6">
        <v>42132</v>
      </c>
      <c r="AV4701" s="6">
        <v>42132</v>
      </c>
      <c r="AW4701" t="s">
        <v>54</v>
      </c>
      <c r="AX4701" t="str">
        <f t="shared" si="395"/>
        <v>FOR</v>
      </c>
      <c r="AY4701" t="s">
        <v>55</v>
      </c>
    </row>
    <row r="4702" spans="1:51" hidden="1">
      <c r="A4702">
        <v>101754</v>
      </c>
      <c r="B4702" t="s">
        <v>871</v>
      </c>
      <c r="C4702" t="str">
        <f t="shared" si="398"/>
        <v>07328871210</v>
      </c>
      <c r="D4702" t="str">
        <f t="shared" si="398"/>
        <v>07328871210</v>
      </c>
      <c r="E4702" t="s">
        <v>52</v>
      </c>
      <c r="F4702">
        <v>2014</v>
      </c>
      <c r="G4702">
        <v>1703</v>
      </c>
      <c r="H4702" s="1">
        <v>41789</v>
      </c>
      <c r="I4702" s="1">
        <v>41807</v>
      </c>
      <c r="J4702" s="1">
        <v>41807</v>
      </c>
      <c r="K4702" s="1">
        <v>41897</v>
      </c>
      <c r="N4702" s="5"/>
      <c r="O4702">
        <v>453.11</v>
      </c>
      <c r="P4702">
        <v>235</v>
      </c>
      <c r="Q4702" s="2">
        <v>106480.85</v>
      </c>
      <c r="R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 s="1">
        <v>42382</v>
      </c>
      <c r="AC4702" t="s">
        <v>53</v>
      </c>
      <c r="AD4702" t="s">
        <v>53</v>
      </c>
      <c r="AK4702">
        <v>0</v>
      </c>
      <c r="AU4702" s="6">
        <v>42132</v>
      </c>
      <c r="AV4702" s="6">
        <v>42132</v>
      </c>
      <c r="AW4702" t="s">
        <v>54</v>
      </c>
      <c r="AX4702" t="str">
        <f t="shared" si="395"/>
        <v>FOR</v>
      </c>
      <c r="AY4702" t="s">
        <v>55</v>
      </c>
    </row>
    <row r="4703" spans="1:51" hidden="1">
      <c r="A4703">
        <v>101754</v>
      </c>
      <c r="B4703" t="s">
        <v>871</v>
      </c>
      <c r="C4703" t="str">
        <f t="shared" si="398"/>
        <v>07328871210</v>
      </c>
      <c r="D4703" t="str">
        <f t="shared" si="398"/>
        <v>07328871210</v>
      </c>
      <c r="E4703" t="s">
        <v>52</v>
      </c>
      <c r="F4703">
        <v>2014</v>
      </c>
      <c r="G4703">
        <v>1704</v>
      </c>
      <c r="H4703" s="1">
        <v>41789</v>
      </c>
      <c r="I4703" s="1">
        <v>41807</v>
      </c>
      <c r="J4703" s="1">
        <v>41807</v>
      </c>
      <c r="K4703" s="1">
        <v>41897</v>
      </c>
      <c r="N4703" s="5"/>
      <c r="O4703">
        <v>400.16</v>
      </c>
      <c r="P4703">
        <v>235</v>
      </c>
      <c r="Q4703" s="2">
        <v>94037.6</v>
      </c>
      <c r="R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 s="1">
        <v>42382</v>
      </c>
      <c r="AC4703" t="s">
        <v>53</v>
      </c>
      <c r="AD4703" t="s">
        <v>53</v>
      </c>
      <c r="AK4703">
        <v>0</v>
      </c>
      <c r="AU4703" s="6">
        <v>42132</v>
      </c>
      <c r="AV4703" s="6">
        <v>42132</v>
      </c>
      <c r="AW4703" t="s">
        <v>54</v>
      </c>
      <c r="AX4703" t="str">
        <f t="shared" si="395"/>
        <v>FOR</v>
      </c>
      <c r="AY4703" t="s">
        <v>55</v>
      </c>
    </row>
    <row r="4704" spans="1:51" hidden="1">
      <c r="A4704">
        <v>101754</v>
      </c>
      <c r="B4704" t="s">
        <v>871</v>
      </c>
      <c r="C4704" t="str">
        <f t="shared" si="398"/>
        <v>07328871210</v>
      </c>
      <c r="D4704" t="str">
        <f t="shared" si="398"/>
        <v>07328871210</v>
      </c>
      <c r="E4704" t="s">
        <v>52</v>
      </c>
      <c r="F4704">
        <v>2014</v>
      </c>
      <c r="G4704">
        <v>1705</v>
      </c>
      <c r="H4704" s="1">
        <v>41789</v>
      </c>
      <c r="I4704" s="1">
        <v>41807</v>
      </c>
      <c r="J4704" s="1">
        <v>41807</v>
      </c>
      <c r="K4704" s="1">
        <v>41897</v>
      </c>
      <c r="N4704" s="5"/>
      <c r="O4704">
        <v>579.5</v>
      </c>
      <c r="P4704">
        <v>235</v>
      </c>
      <c r="Q4704" s="2">
        <v>136182.5</v>
      </c>
      <c r="R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 s="1">
        <v>42382</v>
      </c>
      <c r="AC4704" t="s">
        <v>53</v>
      </c>
      <c r="AD4704" t="s">
        <v>53</v>
      </c>
      <c r="AK4704">
        <v>0</v>
      </c>
      <c r="AU4704" s="6">
        <v>42132</v>
      </c>
      <c r="AV4704" s="6">
        <v>42132</v>
      </c>
      <c r="AW4704" t="s">
        <v>54</v>
      </c>
      <c r="AX4704" t="str">
        <f t="shared" si="395"/>
        <v>FOR</v>
      </c>
      <c r="AY4704" t="s">
        <v>55</v>
      </c>
    </row>
    <row r="4705" spans="1:51" hidden="1">
      <c r="A4705">
        <v>101754</v>
      </c>
      <c r="B4705" t="s">
        <v>871</v>
      </c>
      <c r="C4705" t="str">
        <f t="shared" ref="C4705:D4724" si="399">"07328871210"</f>
        <v>07328871210</v>
      </c>
      <c r="D4705" t="str">
        <f t="shared" si="399"/>
        <v>07328871210</v>
      </c>
      <c r="E4705" t="s">
        <v>52</v>
      </c>
      <c r="F4705">
        <v>2014</v>
      </c>
      <c r="G4705">
        <v>2039</v>
      </c>
      <c r="H4705" s="1">
        <v>41820</v>
      </c>
      <c r="I4705" s="1">
        <v>41841</v>
      </c>
      <c r="J4705" s="1">
        <v>41841</v>
      </c>
      <c r="K4705" s="1">
        <v>41931</v>
      </c>
      <c r="N4705" s="5"/>
      <c r="O4705">
        <v>200.08</v>
      </c>
      <c r="P4705">
        <v>227</v>
      </c>
      <c r="Q4705" s="2">
        <v>45418.16</v>
      </c>
      <c r="R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 s="1">
        <v>42382</v>
      </c>
      <c r="AC4705" t="s">
        <v>53</v>
      </c>
      <c r="AD4705" t="s">
        <v>53</v>
      </c>
      <c r="AK4705">
        <v>0</v>
      </c>
      <c r="AU4705" s="6">
        <v>42158</v>
      </c>
      <c r="AV4705" s="6">
        <v>42158</v>
      </c>
      <c r="AW4705" t="s">
        <v>54</v>
      </c>
      <c r="AX4705" t="str">
        <f t="shared" si="395"/>
        <v>FOR</v>
      </c>
      <c r="AY4705" t="s">
        <v>55</v>
      </c>
    </row>
    <row r="4706" spans="1:51" hidden="1">
      <c r="A4706">
        <v>101754</v>
      </c>
      <c r="B4706" t="s">
        <v>871</v>
      </c>
      <c r="C4706" t="str">
        <f t="shared" si="399"/>
        <v>07328871210</v>
      </c>
      <c r="D4706" t="str">
        <f t="shared" si="399"/>
        <v>07328871210</v>
      </c>
      <c r="E4706" t="s">
        <v>52</v>
      </c>
      <c r="F4706">
        <v>2014</v>
      </c>
      <c r="G4706">
        <v>2040</v>
      </c>
      <c r="H4706" s="1">
        <v>41820</v>
      </c>
      <c r="I4706" s="1">
        <v>41841</v>
      </c>
      <c r="J4706" s="1">
        <v>41841</v>
      </c>
      <c r="K4706" s="1">
        <v>41931</v>
      </c>
      <c r="N4706" s="5"/>
      <c r="O4706">
        <v>725.9</v>
      </c>
      <c r="P4706">
        <v>227</v>
      </c>
      <c r="Q4706" s="2">
        <v>164779.29999999999</v>
      </c>
      <c r="R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 s="1">
        <v>42382</v>
      </c>
      <c r="AC4706" t="s">
        <v>53</v>
      </c>
      <c r="AD4706" t="s">
        <v>53</v>
      </c>
      <c r="AK4706">
        <v>0</v>
      </c>
      <c r="AU4706" s="6">
        <v>42158</v>
      </c>
      <c r="AV4706" s="6">
        <v>42158</v>
      </c>
      <c r="AW4706" t="s">
        <v>54</v>
      </c>
      <c r="AX4706" t="str">
        <f t="shared" si="395"/>
        <v>FOR</v>
      </c>
      <c r="AY4706" t="s">
        <v>55</v>
      </c>
    </row>
    <row r="4707" spans="1:51" hidden="1">
      <c r="A4707">
        <v>101754</v>
      </c>
      <c r="B4707" t="s">
        <v>871</v>
      </c>
      <c r="C4707" t="str">
        <f t="shared" si="399"/>
        <v>07328871210</v>
      </c>
      <c r="D4707" t="str">
        <f t="shared" si="399"/>
        <v>07328871210</v>
      </c>
      <c r="E4707" t="s">
        <v>52</v>
      </c>
      <c r="F4707">
        <v>2014</v>
      </c>
      <c r="G4707">
        <v>2041</v>
      </c>
      <c r="H4707" s="1">
        <v>41820</v>
      </c>
      <c r="I4707" s="1">
        <v>41841</v>
      </c>
      <c r="J4707" s="1">
        <v>41841</v>
      </c>
      <c r="K4707" s="1">
        <v>41931</v>
      </c>
      <c r="N4707" s="5"/>
      <c r="O4707" s="2">
        <v>1390.8</v>
      </c>
      <c r="P4707">
        <v>227</v>
      </c>
      <c r="Q4707" s="2">
        <v>315711.59999999998</v>
      </c>
      <c r="R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 s="1">
        <v>42382</v>
      </c>
      <c r="AC4707" t="s">
        <v>53</v>
      </c>
      <c r="AD4707" t="s">
        <v>53</v>
      </c>
      <c r="AK4707">
        <v>0</v>
      </c>
      <c r="AU4707" s="6">
        <v>42158</v>
      </c>
      <c r="AV4707" s="6">
        <v>42158</v>
      </c>
      <c r="AW4707" t="s">
        <v>54</v>
      </c>
      <c r="AX4707" t="str">
        <f t="shared" si="395"/>
        <v>FOR</v>
      </c>
      <c r="AY4707" t="s">
        <v>55</v>
      </c>
    </row>
    <row r="4708" spans="1:51" hidden="1">
      <c r="A4708">
        <v>101754</v>
      </c>
      <c r="B4708" t="s">
        <v>871</v>
      </c>
      <c r="C4708" t="str">
        <f t="shared" si="399"/>
        <v>07328871210</v>
      </c>
      <c r="D4708" t="str">
        <f t="shared" si="399"/>
        <v>07328871210</v>
      </c>
      <c r="E4708" t="s">
        <v>52</v>
      </c>
      <c r="F4708">
        <v>2014</v>
      </c>
      <c r="G4708">
        <v>2042</v>
      </c>
      <c r="H4708" s="1">
        <v>41820</v>
      </c>
      <c r="I4708" s="1">
        <v>41841</v>
      </c>
      <c r="J4708" s="1">
        <v>41841</v>
      </c>
      <c r="K4708" s="1">
        <v>41931</v>
      </c>
      <c r="N4708" s="5"/>
      <c r="O4708">
        <v>414.8</v>
      </c>
      <c r="P4708">
        <v>227</v>
      </c>
      <c r="Q4708" s="2">
        <v>94159.6</v>
      </c>
      <c r="R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 s="1">
        <v>42382</v>
      </c>
      <c r="AC4708" t="s">
        <v>53</v>
      </c>
      <c r="AD4708" t="s">
        <v>53</v>
      </c>
      <c r="AK4708">
        <v>0</v>
      </c>
      <c r="AU4708" s="6">
        <v>42158</v>
      </c>
      <c r="AV4708" s="6">
        <v>42158</v>
      </c>
      <c r="AW4708" t="s">
        <v>54</v>
      </c>
      <c r="AX4708" t="str">
        <f t="shared" si="395"/>
        <v>FOR</v>
      </c>
      <c r="AY4708" t="s">
        <v>55</v>
      </c>
    </row>
    <row r="4709" spans="1:51" hidden="1">
      <c r="A4709">
        <v>101754</v>
      </c>
      <c r="B4709" t="s">
        <v>871</v>
      </c>
      <c r="C4709" t="str">
        <f t="shared" si="399"/>
        <v>07328871210</v>
      </c>
      <c r="D4709" t="str">
        <f t="shared" si="399"/>
        <v>07328871210</v>
      </c>
      <c r="E4709" t="s">
        <v>52</v>
      </c>
      <c r="F4709">
        <v>2014</v>
      </c>
      <c r="G4709">
        <v>2420</v>
      </c>
      <c r="H4709" s="1">
        <v>41851</v>
      </c>
      <c r="I4709" s="1">
        <v>41899</v>
      </c>
      <c r="J4709" s="1">
        <v>41899</v>
      </c>
      <c r="K4709" s="1">
        <v>41989</v>
      </c>
      <c r="N4709" s="5"/>
      <c r="O4709" s="2">
        <v>1874.41</v>
      </c>
      <c r="P4709">
        <v>197</v>
      </c>
      <c r="Q4709" s="2">
        <v>369258.77</v>
      </c>
      <c r="R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 s="1">
        <v>42382</v>
      </c>
      <c r="AC4709" t="s">
        <v>53</v>
      </c>
      <c r="AD4709" t="s">
        <v>53</v>
      </c>
      <c r="AK4709">
        <v>0</v>
      </c>
      <c r="AU4709" s="6">
        <v>42186</v>
      </c>
      <c r="AV4709" s="6">
        <v>42186</v>
      </c>
      <c r="AW4709" t="s">
        <v>54</v>
      </c>
      <c r="AX4709" t="str">
        <f t="shared" si="395"/>
        <v>FOR</v>
      </c>
      <c r="AY4709" t="s">
        <v>55</v>
      </c>
    </row>
    <row r="4710" spans="1:51" hidden="1">
      <c r="A4710">
        <v>101754</v>
      </c>
      <c r="B4710" t="s">
        <v>871</v>
      </c>
      <c r="C4710" t="str">
        <f t="shared" si="399"/>
        <v>07328871210</v>
      </c>
      <c r="D4710" t="str">
        <f t="shared" si="399"/>
        <v>07328871210</v>
      </c>
      <c r="E4710" t="s">
        <v>52</v>
      </c>
      <c r="F4710">
        <v>2014</v>
      </c>
      <c r="G4710">
        <v>2421</v>
      </c>
      <c r="H4710" s="1">
        <v>41851</v>
      </c>
      <c r="I4710" s="1">
        <v>41899</v>
      </c>
      <c r="J4710" s="1">
        <v>41899</v>
      </c>
      <c r="K4710" s="1">
        <v>41989</v>
      </c>
      <c r="N4710" s="5"/>
      <c r="O4710">
        <v>800.32</v>
      </c>
      <c r="P4710">
        <v>197</v>
      </c>
      <c r="Q4710" s="2">
        <v>157663.04000000001</v>
      </c>
      <c r="R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 s="1">
        <v>42382</v>
      </c>
      <c r="AC4710" t="s">
        <v>53</v>
      </c>
      <c r="AD4710" t="s">
        <v>53</v>
      </c>
      <c r="AK4710">
        <v>0</v>
      </c>
      <c r="AU4710" s="6">
        <v>42186</v>
      </c>
      <c r="AV4710" s="6">
        <v>42186</v>
      </c>
      <c r="AW4710" t="s">
        <v>54</v>
      </c>
      <c r="AX4710" t="str">
        <f t="shared" si="395"/>
        <v>FOR</v>
      </c>
      <c r="AY4710" t="s">
        <v>55</v>
      </c>
    </row>
    <row r="4711" spans="1:51" hidden="1">
      <c r="A4711">
        <v>101754</v>
      </c>
      <c r="B4711" t="s">
        <v>871</v>
      </c>
      <c r="C4711" t="str">
        <f t="shared" si="399"/>
        <v>07328871210</v>
      </c>
      <c r="D4711" t="str">
        <f t="shared" si="399"/>
        <v>07328871210</v>
      </c>
      <c r="E4711" t="s">
        <v>52</v>
      </c>
      <c r="F4711">
        <v>2014</v>
      </c>
      <c r="G4711">
        <v>2422</v>
      </c>
      <c r="H4711" s="1">
        <v>41851</v>
      </c>
      <c r="I4711" s="1">
        <v>41899</v>
      </c>
      <c r="J4711" s="1">
        <v>41899</v>
      </c>
      <c r="K4711" s="1">
        <v>41989</v>
      </c>
      <c r="N4711" s="5"/>
      <c r="O4711">
        <v>333.06</v>
      </c>
      <c r="P4711">
        <v>197</v>
      </c>
      <c r="Q4711" s="2">
        <v>65612.820000000007</v>
      </c>
      <c r="R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 s="1">
        <v>42382</v>
      </c>
      <c r="AC4711" t="s">
        <v>53</v>
      </c>
      <c r="AD4711" t="s">
        <v>53</v>
      </c>
      <c r="AK4711">
        <v>0</v>
      </c>
      <c r="AU4711" s="6">
        <v>42186</v>
      </c>
      <c r="AV4711" s="6">
        <v>42186</v>
      </c>
      <c r="AW4711" t="s">
        <v>54</v>
      </c>
      <c r="AX4711" t="str">
        <f t="shared" si="395"/>
        <v>FOR</v>
      </c>
      <c r="AY4711" t="s">
        <v>55</v>
      </c>
    </row>
    <row r="4712" spans="1:51" hidden="1">
      <c r="A4712">
        <v>101754</v>
      </c>
      <c r="B4712" t="s">
        <v>871</v>
      </c>
      <c r="C4712" t="str">
        <f t="shared" si="399"/>
        <v>07328871210</v>
      </c>
      <c r="D4712" t="str">
        <f t="shared" si="399"/>
        <v>07328871210</v>
      </c>
      <c r="E4712" t="s">
        <v>52</v>
      </c>
      <c r="F4712">
        <v>2014</v>
      </c>
      <c r="G4712">
        <v>2423</v>
      </c>
      <c r="H4712" s="1">
        <v>41851</v>
      </c>
      <c r="I4712" s="1">
        <v>41899</v>
      </c>
      <c r="J4712" s="1">
        <v>41899</v>
      </c>
      <c r="K4712" s="1">
        <v>41989</v>
      </c>
      <c r="N4712" s="5"/>
      <c r="O4712" s="2">
        <v>1738.5</v>
      </c>
      <c r="P4712">
        <v>197</v>
      </c>
      <c r="Q4712" s="2">
        <v>342484.5</v>
      </c>
      <c r="R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 s="1">
        <v>42382</v>
      </c>
      <c r="AC4712" t="s">
        <v>53</v>
      </c>
      <c r="AD4712" t="s">
        <v>53</v>
      </c>
      <c r="AK4712">
        <v>0</v>
      </c>
      <c r="AU4712" s="6">
        <v>42186</v>
      </c>
      <c r="AV4712" s="6">
        <v>42186</v>
      </c>
      <c r="AW4712" t="s">
        <v>54</v>
      </c>
      <c r="AX4712" t="str">
        <f t="shared" si="395"/>
        <v>FOR</v>
      </c>
      <c r="AY4712" t="s">
        <v>55</v>
      </c>
    </row>
    <row r="4713" spans="1:51" hidden="1">
      <c r="A4713">
        <v>101754</v>
      </c>
      <c r="B4713" t="s">
        <v>871</v>
      </c>
      <c r="C4713" t="str">
        <f t="shared" si="399"/>
        <v>07328871210</v>
      </c>
      <c r="D4713" t="str">
        <f t="shared" si="399"/>
        <v>07328871210</v>
      </c>
      <c r="E4713" t="s">
        <v>52</v>
      </c>
      <c r="F4713">
        <v>2014</v>
      </c>
      <c r="G4713">
        <v>2424</v>
      </c>
      <c r="H4713" s="1">
        <v>41851</v>
      </c>
      <c r="I4713" s="1">
        <v>41899</v>
      </c>
      <c r="J4713" s="1">
        <v>41899</v>
      </c>
      <c r="K4713" s="1">
        <v>41989</v>
      </c>
      <c r="N4713" s="5"/>
      <c r="O4713" s="2">
        <v>1220.98</v>
      </c>
      <c r="P4713">
        <v>197</v>
      </c>
      <c r="Q4713" s="2">
        <v>240533.06</v>
      </c>
      <c r="R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 s="1">
        <v>42382</v>
      </c>
      <c r="AC4713" t="s">
        <v>53</v>
      </c>
      <c r="AD4713" t="s">
        <v>53</v>
      </c>
      <c r="AK4713">
        <v>0</v>
      </c>
      <c r="AU4713" s="6">
        <v>42186</v>
      </c>
      <c r="AV4713" s="6">
        <v>42186</v>
      </c>
      <c r="AW4713" t="s">
        <v>54</v>
      </c>
      <c r="AX4713" t="str">
        <f t="shared" si="395"/>
        <v>FOR</v>
      </c>
      <c r="AY4713" t="s">
        <v>55</v>
      </c>
    </row>
    <row r="4714" spans="1:51" hidden="1">
      <c r="A4714">
        <v>101754</v>
      </c>
      <c r="B4714" t="s">
        <v>871</v>
      </c>
      <c r="C4714" t="str">
        <f t="shared" si="399"/>
        <v>07328871210</v>
      </c>
      <c r="D4714" t="str">
        <f t="shared" si="399"/>
        <v>07328871210</v>
      </c>
      <c r="E4714" t="s">
        <v>52</v>
      </c>
      <c r="F4714">
        <v>2014</v>
      </c>
      <c r="G4714">
        <v>2425</v>
      </c>
      <c r="H4714" s="1">
        <v>41851</v>
      </c>
      <c r="I4714" s="1">
        <v>41899</v>
      </c>
      <c r="J4714" s="1">
        <v>41899</v>
      </c>
      <c r="K4714" s="1">
        <v>41989</v>
      </c>
      <c r="N4714" s="5"/>
      <c r="O4714">
        <v>414.8</v>
      </c>
      <c r="P4714">
        <v>197</v>
      </c>
      <c r="Q4714" s="2">
        <v>81715.600000000006</v>
      </c>
      <c r="R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 s="1">
        <v>42382</v>
      </c>
      <c r="AC4714" t="s">
        <v>53</v>
      </c>
      <c r="AD4714" t="s">
        <v>53</v>
      </c>
      <c r="AK4714">
        <v>0</v>
      </c>
      <c r="AU4714" s="6">
        <v>42186</v>
      </c>
      <c r="AV4714" s="6">
        <v>42186</v>
      </c>
      <c r="AW4714" t="s">
        <v>54</v>
      </c>
      <c r="AX4714" t="str">
        <f t="shared" si="395"/>
        <v>FOR</v>
      </c>
      <c r="AY4714" t="s">
        <v>55</v>
      </c>
    </row>
    <row r="4715" spans="1:51" hidden="1">
      <c r="A4715">
        <v>101754</v>
      </c>
      <c r="B4715" t="s">
        <v>871</v>
      </c>
      <c r="C4715" t="str">
        <f t="shared" si="399"/>
        <v>07328871210</v>
      </c>
      <c r="D4715" t="str">
        <f t="shared" si="399"/>
        <v>07328871210</v>
      </c>
      <c r="E4715" t="s">
        <v>52</v>
      </c>
      <c r="F4715">
        <v>2014</v>
      </c>
      <c r="G4715">
        <v>2426</v>
      </c>
      <c r="H4715" s="1">
        <v>41851</v>
      </c>
      <c r="I4715" s="1">
        <v>41899</v>
      </c>
      <c r="J4715" s="1">
        <v>41899</v>
      </c>
      <c r="K4715" s="1">
        <v>41989</v>
      </c>
      <c r="N4715" s="5"/>
      <c r="O4715">
        <v>829.6</v>
      </c>
      <c r="P4715">
        <v>197</v>
      </c>
      <c r="Q4715" s="2">
        <v>163431.20000000001</v>
      </c>
      <c r="R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 s="1">
        <v>42382</v>
      </c>
      <c r="AC4715" t="s">
        <v>53</v>
      </c>
      <c r="AD4715" t="s">
        <v>53</v>
      </c>
      <c r="AK4715">
        <v>0</v>
      </c>
      <c r="AU4715" s="6">
        <v>42186</v>
      </c>
      <c r="AV4715" s="6">
        <v>42186</v>
      </c>
      <c r="AW4715" t="s">
        <v>54</v>
      </c>
      <c r="AX4715" t="str">
        <f t="shared" si="395"/>
        <v>FOR</v>
      </c>
      <c r="AY4715" t="s">
        <v>55</v>
      </c>
    </row>
    <row r="4716" spans="1:51" hidden="1">
      <c r="A4716">
        <v>101754</v>
      </c>
      <c r="B4716" t="s">
        <v>871</v>
      </c>
      <c r="C4716" t="str">
        <f t="shared" si="399"/>
        <v>07328871210</v>
      </c>
      <c r="D4716" t="str">
        <f t="shared" si="399"/>
        <v>07328871210</v>
      </c>
      <c r="E4716" t="s">
        <v>52</v>
      </c>
      <c r="F4716">
        <v>2014</v>
      </c>
      <c r="G4716">
        <v>2617</v>
      </c>
      <c r="H4716" s="1">
        <v>41879</v>
      </c>
      <c r="I4716" s="1">
        <v>41899</v>
      </c>
      <c r="J4716" s="1">
        <v>41899</v>
      </c>
      <c r="K4716" s="1">
        <v>41989</v>
      </c>
      <c r="N4716" s="5"/>
      <c r="O4716">
        <v>414.8</v>
      </c>
      <c r="P4716">
        <v>197</v>
      </c>
      <c r="Q4716" s="2">
        <v>81715.600000000006</v>
      </c>
      <c r="R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 s="1">
        <v>42382</v>
      </c>
      <c r="AC4716" t="s">
        <v>53</v>
      </c>
      <c r="AD4716" t="s">
        <v>53</v>
      </c>
      <c r="AK4716">
        <v>0</v>
      </c>
      <c r="AU4716" s="6">
        <v>42186</v>
      </c>
      <c r="AV4716" s="6">
        <v>42186</v>
      </c>
      <c r="AW4716" t="s">
        <v>54</v>
      </c>
      <c r="AX4716" t="str">
        <f t="shared" si="395"/>
        <v>FOR</v>
      </c>
      <c r="AY4716" t="s">
        <v>55</v>
      </c>
    </row>
    <row r="4717" spans="1:51" hidden="1">
      <c r="A4717">
        <v>101754</v>
      </c>
      <c r="B4717" t="s">
        <v>871</v>
      </c>
      <c r="C4717" t="str">
        <f t="shared" si="399"/>
        <v>07328871210</v>
      </c>
      <c r="D4717" t="str">
        <f t="shared" si="399"/>
        <v>07328871210</v>
      </c>
      <c r="E4717" t="s">
        <v>52</v>
      </c>
      <c r="F4717">
        <v>2014</v>
      </c>
      <c r="G4717">
        <v>2649</v>
      </c>
      <c r="H4717" s="1">
        <v>41880</v>
      </c>
      <c r="I4717" s="1">
        <v>41899</v>
      </c>
      <c r="J4717" s="1">
        <v>41899</v>
      </c>
      <c r="K4717" s="1">
        <v>41989</v>
      </c>
      <c r="N4717" s="5"/>
      <c r="O4717" s="2">
        <v>1831.46</v>
      </c>
      <c r="P4717">
        <v>197</v>
      </c>
      <c r="Q4717" s="2">
        <v>360797.62</v>
      </c>
      <c r="R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 s="1">
        <v>42382</v>
      </c>
      <c r="AC4717" t="s">
        <v>53</v>
      </c>
      <c r="AD4717" t="s">
        <v>53</v>
      </c>
      <c r="AK4717">
        <v>0</v>
      </c>
      <c r="AU4717" s="6">
        <v>42186</v>
      </c>
      <c r="AV4717" s="6">
        <v>42186</v>
      </c>
      <c r="AW4717" t="s">
        <v>54</v>
      </c>
      <c r="AX4717" t="str">
        <f t="shared" si="395"/>
        <v>FOR</v>
      </c>
      <c r="AY4717" t="s">
        <v>55</v>
      </c>
    </row>
    <row r="4718" spans="1:51" hidden="1">
      <c r="A4718">
        <v>101754</v>
      </c>
      <c r="B4718" t="s">
        <v>871</v>
      </c>
      <c r="C4718" t="str">
        <f t="shared" si="399"/>
        <v>07328871210</v>
      </c>
      <c r="D4718" t="str">
        <f t="shared" si="399"/>
        <v>07328871210</v>
      </c>
      <c r="E4718" t="s">
        <v>52</v>
      </c>
      <c r="F4718">
        <v>2014</v>
      </c>
      <c r="G4718">
        <v>2762</v>
      </c>
      <c r="H4718" s="1">
        <v>41891</v>
      </c>
      <c r="I4718" s="1">
        <v>41899</v>
      </c>
      <c r="J4718" s="1">
        <v>41899</v>
      </c>
      <c r="K4718" s="1">
        <v>41989</v>
      </c>
      <c r="N4718" s="5"/>
      <c r="O4718" s="2">
        <v>1244.4000000000001</v>
      </c>
      <c r="P4718">
        <v>260</v>
      </c>
      <c r="Q4718" s="2">
        <v>323544</v>
      </c>
      <c r="R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 s="1">
        <v>42382</v>
      </c>
      <c r="AC4718" t="s">
        <v>53</v>
      </c>
      <c r="AD4718" t="s">
        <v>53</v>
      </c>
      <c r="AK4718">
        <v>0</v>
      </c>
      <c r="AU4718" s="6">
        <v>42249</v>
      </c>
      <c r="AV4718" s="6">
        <v>42249</v>
      </c>
      <c r="AW4718" t="s">
        <v>54</v>
      </c>
      <c r="AX4718" t="str">
        <f t="shared" si="395"/>
        <v>FOR</v>
      </c>
      <c r="AY4718" t="s">
        <v>55</v>
      </c>
    </row>
    <row r="4719" spans="1:51" hidden="1">
      <c r="A4719">
        <v>101754</v>
      </c>
      <c r="B4719" t="s">
        <v>871</v>
      </c>
      <c r="C4719" t="str">
        <f t="shared" si="399"/>
        <v>07328871210</v>
      </c>
      <c r="D4719" t="str">
        <f t="shared" si="399"/>
        <v>07328871210</v>
      </c>
      <c r="E4719" t="s">
        <v>52</v>
      </c>
      <c r="F4719">
        <v>2014</v>
      </c>
      <c r="G4719">
        <v>2927</v>
      </c>
      <c r="H4719" s="1">
        <v>41912</v>
      </c>
      <c r="I4719" s="1">
        <v>41932</v>
      </c>
      <c r="J4719" s="1">
        <v>41932</v>
      </c>
      <c r="K4719" s="1">
        <v>41992</v>
      </c>
      <c r="N4719" s="5"/>
      <c r="O4719">
        <v>508.74</v>
      </c>
      <c r="P4719">
        <v>257</v>
      </c>
      <c r="Q4719" s="2">
        <v>130746.18</v>
      </c>
      <c r="R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 s="1">
        <v>42382</v>
      </c>
      <c r="AC4719" t="s">
        <v>53</v>
      </c>
      <c r="AD4719" t="s">
        <v>53</v>
      </c>
      <c r="AK4719">
        <v>0</v>
      </c>
      <c r="AU4719" s="6">
        <v>42249</v>
      </c>
      <c r="AV4719" s="6">
        <v>42249</v>
      </c>
      <c r="AW4719" t="s">
        <v>54</v>
      </c>
      <c r="AX4719" t="str">
        <f t="shared" si="395"/>
        <v>FOR</v>
      </c>
      <c r="AY4719" t="s">
        <v>55</v>
      </c>
    </row>
    <row r="4720" spans="1:51" hidden="1">
      <c r="A4720">
        <v>101754</v>
      </c>
      <c r="B4720" t="s">
        <v>871</v>
      </c>
      <c r="C4720" t="str">
        <f t="shared" si="399"/>
        <v>07328871210</v>
      </c>
      <c r="D4720" t="str">
        <f t="shared" si="399"/>
        <v>07328871210</v>
      </c>
      <c r="E4720" t="s">
        <v>52</v>
      </c>
      <c r="F4720">
        <v>2014</v>
      </c>
      <c r="G4720">
        <v>2928</v>
      </c>
      <c r="H4720" s="1">
        <v>41912</v>
      </c>
      <c r="I4720" s="1">
        <v>41932</v>
      </c>
      <c r="J4720" s="1">
        <v>41932</v>
      </c>
      <c r="K4720" s="1">
        <v>41992</v>
      </c>
      <c r="N4720" s="5"/>
      <c r="O4720">
        <v>414.8</v>
      </c>
      <c r="P4720">
        <v>257</v>
      </c>
      <c r="Q4720" s="2">
        <v>106603.6</v>
      </c>
      <c r="R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 s="1">
        <v>42382</v>
      </c>
      <c r="AC4720" t="s">
        <v>53</v>
      </c>
      <c r="AD4720" t="s">
        <v>53</v>
      </c>
      <c r="AK4720">
        <v>0</v>
      </c>
      <c r="AU4720" s="6">
        <v>42249</v>
      </c>
      <c r="AV4720" s="6">
        <v>42249</v>
      </c>
      <c r="AW4720" t="s">
        <v>54</v>
      </c>
      <c r="AX4720" t="str">
        <f t="shared" si="395"/>
        <v>FOR</v>
      </c>
      <c r="AY4720" t="s">
        <v>55</v>
      </c>
    </row>
    <row r="4721" spans="1:51" hidden="1">
      <c r="A4721">
        <v>101754</v>
      </c>
      <c r="B4721" t="s">
        <v>871</v>
      </c>
      <c r="C4721" t="str">
        <f t="shared" si="399"/>
        <v>07328871210</v>
      </c>
      <c r="D4721" t="str">
        <f t="shared" si="399"/>
        <v>07328871210</v>
      </c>
      <c r="E4721" t="s">
        <v>52</v>
      </c>
      <c r="F4721">
        <v>2014</v>
      </c>
      <c r="G4721">
        <v>2929</v>
      </c>
      <c r="H4721" s="1">
        <v>41912</v>
      </c>
      <c r="I4721" s="1">
        <v>41932</v>
      </c>
      <c r="J4721" s="1">
        <v>41932</v>
      </c>
      <c r="K4721" s="1">
        <v>41992</v>
      </c>
      <c r="N4721" s="5"/>
      <c r="O4721">
        <v>600.24</v>
      </c>
      <c r="P4721">
        <v>257</v>
      </c>
      <c r="Q4721" s="2">
        <v>154261.68</v>
      </c>
      <c r="R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 s="1">
        <v>42382</v>
      </c>
      <c r="AC4721" t="s">
        <v>53</v>
      </c>
      <c r="AD4721" t="s">
        <v>53</v>
      </c>
      <c r="AK4721">
        <v>0</v>
      </c>
      <c r="AU4721" s="6">
        <v>42249</v>
      </c>
      <c r="AV4721" s="6">
        <v>42249</v>
      </c>
      <c r="AW4721" t="s">
        <v>54</v>
      </c>
      <c r="AX4721" t="str">
        <f t="shared" si="395"/>
        <v>FOR</v>
      </c>
      <c r="AY4721" t="s">
        <v>55</v>
      </c>
    </row>
    <row r="4722" spans="1:51" hidden="1">
      <c r="A4722">
        <v>101754</v>
      </c>
      <c r="B4722" t="s">
        <v>871</v>
      </c>
      <c r="C4722" t="str">
        <f t="shared" si="399"/>
        <v>07328871210</v>
      </c>
      <c r="D4722" t="str">
        <f t="shared" si="399"/>
        <v>07328871210</v>
      </c>
      <c r="E4722" t="s">
        <v>52</v>
      </c>
      <c r="F4722">
        <v>2014</v>
      </c>
      <c r="G4722">
        <v>2930</v>
      </c>
      <c r="H4722" s="1">
        <v>41912</v>
      </c>
      <c r="I4722" s="1">
        <v>41932</v>
      </c>
      <c r="J4722" s="1">
        <v>41932</v>
      </c>
      <c r="K4722" s="1">
        <v>41992</v>
      </c>
      <c r="N4722" s="5"/>
      <c r="O4722">
        <v>725.9</v>
      </c>
      <c r="P4722">
        <v>257</v>
      </c>
      <c r="Q4722" s="2">
        <v>186556.3</v>
      </c>
      <c r="R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 s="1">
        <v>42382</v>
      </c>
      <c r="AC4722" t="s">
        <v>53</v>
      </c>
      <c r="AD4722" t="s">
        <v>53</v>
      </c>
      <c r="AK4722">
        <v>0</v>
      </c>
      <c r="AU4722" s="6">
        <v>42249</v>
      </c>
      <c r="AV4722" s="6">
        <v>42249</v>
      </c>
      <c r="AW4722" t="s">
        <v>54</v>
      </c>
      <c r="AX4722" t="str">
        <f t="shared" si="395"/>
        <v>FOR</v>
      </c>
      <c r="AY4722" t="s">
        <v>55</v>
      </c>
    </row>
    <row r="4723" spans="1:51" hidden="1">
      <c r="A4723">
        <v>101754</v>
      </c>
      <c r="B4723" t="s">
        <v>871</v>
      </c>
      <c r="C4723" t="str">
        <f t="shared" si="399"/>
        <v>07328871210</v>
      </c>
      <c r="D4723" t="str">
        <f t="shared" si="399"/>
        <v>07328871210</v>
      </c>
      <c r="E4723" t="s">
        <v>52</v>
      </c>
      <c r="F4723">
        <v>2014</v>
      </c>
      <c r="G4723">
        <v>2931</v>
      </c>
      <c r="H4723" s="1">
        <v>41912</v>
      </c>
      <c r="I4723" s="1">
        <v>41932</v>
      </c>
      <c r="J4723" s="1">
        <v>41932</v>
      </c>
      <c r="K4723" s="1">
        <v>41992</v>
      </c>
      <c r="N4723" s="5"/>
      <c r="O4723" s="2">
        <v>1526.22</v>
      </c>
      <c r="P4723">
        <v>257</v>
      </c>
      <c r="Q4723" s="2">
        <v>392238.54</v>
      </c>
      <c r="R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 s="1">
        <v>42382</v>
      </c>
      <c r="AC4723" t="s">
        <v>53</v>
      </c>
      <c r="AD4723" t="s">
        <v>53</v>
      </c>
      <c r="AK4723">
        <v>0</v>
      </c>
      <c r="AU4723" s="6">
        <v>42249</v>
      </c>
      <c r="AV4723" s="6">
        <v>42249</v>
      </c>
      <c r="AW4723" t="s">
        <v>54</v>
      </c>
      <c r="AX4723" t="str">
        <f t="shared" si="395"/>
        <v>FOR</v>
      </c>
      <c r="AY4723" t="s">
        <v>55</v>
      </c>
    </row>
    <row r="4724" spans="1:51" hidden="1">
      <c r="A4724">
        <v>101754</v>
      </c>
      <c r="B4724" t="s">
        <v>871</v>
      </c>
      <c r="C4724" t="str">
        <f t="shared" si="399"/>
        <v>07328871210</v>
      </c>
      <c r="D4724" t="str">
        <f t="shared" si="399"/>
        <v>07328871210</v>
      </c>
      <c r="E4724" t="s">
        <v>52</v>
      </c>
      <c r="F4724">
        <v>2014</v>
      </c>
      <c r="G4724">
        <v>2932</v>
      </c>
      <c r="H4724" s="1">
        <v>41912</v>
      </c>
      <c r="I4724" s="1">
        <v>41932</v>
      </c>
      <c r="J4724" s="1">
        <v>41932</v>
      </c>
      <c r="K4724" s="1">
        <v>41992</v>
      </c>
      <c r="N4724" s="5"/>
      <c r="O4724">
        <v>508.74</v>
      </c>
      <c r="P4724">
        <v>257</v>
      </c>
      <c r="Q4724" s="2">
        <v>130746.18</v>
      </c>
      <c r="R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 s="1">
        <v>42382</v>
      </c>
      <c r="AC4724" t="s">
        <v>53</v>
      </c>
      <c r="AD4724" t="s">
        <v>53</v>
      </c>
      <c r="AK4724">
        <v>0</v>
      </c>
      <c r="AU4724" s="6">
        <v>42249</v>
      </c>
      <c r="AV4724" s="6">
        <v>42249</v>
      </c>
      <c r="AW4724" t="s">
        <v>54</v>
      </c>
      <c r="AX4724" t="str">
        <f t="shared" si="395"/>
        <v>FOR</v>
      </c>
      <c r="AY4724" t="s">
        <v>55</v>
      </c>
    </row>
    <row r="4725" spans="1:51" hidden="1">
      <c r="A4725">
        <v>101754</v>
      </c>
      <c r="B4725" t="s">
        <v>871</v>
      </c>
      <c r="C4725" t="str">
        <f t="shared" ref="C4725:D4741" si="400">"07328871210"</f>
        <v>07328871210</v>
      </c>
      <c r="D4725" t="str">
        <f t="shared" si="400"/>
        <v>07328871210</v>
      </c>
      <c r="E4725" t="s">
        <v>52</v>
      </c>
      <c r="F4725">
        <v>2014</v>
      </c>
      <c r="G4725">
        <v>2933</v>
      </c>
      <c r="H4725" s="1">
        <v>41912</v>
      </c>
      <c r="I4725" s="1">
        <v>41932</v>
      </c>
      <c r="J4725" s="1">
        <v>41932</v>
      </c>
      <c r="K4725" s="1">
        <v>41992</v>
      </c>
      <c r="N4725" s="5"/>
      <c r="O4725">
        <v>245.95</v>
      </c>
      <c r="P4725">
        <v>257</v>
      </c>
      <c r="Q4725" s="2">
        <v>63209.15</v>
      </c>
      <c r="R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 s="1">
        <v>42382</v>
      </c>
      <c r="AC4725" t="s">
        <v>53</v>
      </c>
      <c r="AD4725" t="s">
        <v>53</v>
      </c>
      <c r="AK4725">
        <v>0</v>
      </c>
      <c r="AU4725" s="6">
        <v>42249</v>
      </c>
      <c r="AV4725" s="6">
        <v>42249</v>
      </c>
      <c r="AW4725" t="s">
        <v>54</v>
      </c>
      <c r="AX4725" t="str">
        <f t="shared" si="395"/>
        <v>FOR</v>
      </c>
      <c r="AY4725" t="s">
        <v>55</v>
      </c>
    </row>
    <row r="4726" spans="1:51" hidden="1">
      <c r="A4726">
        <v>101754</v>
      </c>
      <c r="B4726" t="s">
        <v>871</v>
      </c>
      <c r="C4726" t="str">
        <f t="shared" si="400"/>
        <v>07328871210</v>
      </c>
      <c r="D4726" t="str">
        <f t="shared" si="400"/>
        <v>07328871210</v>
      </c>
      <c r="E4726" t="s">
        <v>52</v>
      </c>
      <c r="F4726">
        <v>2014</v>
      </c>
      <c r="G4726">
        <v>2934</v>
      </c>
      <c r="H4726" s="1">
        <v>41912</v>
      </c>
      <c r="I4726" s="1">
        <v>41932</v>
      </c>
      <c r="J4726" s="1">
        <v>41932</v>
      </c>
      <c r="K4726" s="1">
        <v>41992</v>
      </c>
      <c r="N4726" s="5"/>
      <c r="O4726">
        <v>414.8</v>
      </c>
      <c r="P4726">
        <v>257</v>
      </c>
      <c r="Q4726" s="2">
        <v>106603.6</v>
      </c>
      <c r="R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 s="1">
        <v>42382</v>
      </c>
      <c r="AC4726" t="s">
        <v>53</v>
      </c>
      <c r="AD4726" t="s">
        <v>53</v>
      </c>
      <c r="AK4726">
        <v>0</v>
      </c>
      <c r="AU4726" s="6">
        <v>42249</v>
      </c>
      <c r="AV4726" s="6">
        <v>42249</v>
      </c>
      <c r="AW4726" t="s">
        <v>54</v>
      </c>
      <c r="AX4726" t="str">
        <f t="shared" si="395"/>
        <v>FOR</v>
      </c>
      <c r="AY4726" t="s">
        <v>55</v>
      </c>
    </row>
    <row r="4727" spans="1:51" hidden="1">
      <c r="A4727">
        <v>101754</v>
      </c>
      <c r="B4727" t="s">
        <v>871</v>
      </c>
      <c r="C4727" t="str">
        <f t="shared" si="400"/>
        <v>07328871210</v>
      </c>
      <c r="D4727" t="str">
        <f t="shared" si="400"/>
        <v>07328871210</v>
      </c>
      <c r="E4727" t="s">
        <v>52</v>
      </c>
      <c r="F4727">
        <v>2014</v>
      </c>
      <c r="G4727">
        <v>2935</v>
      </c>
      <c r="H4727" s="1">
        <v>41912</v>
      </c>
      <c r="I4727" s="1">
        <v>41932</v>
      </c>
      <c r="J4727" s="1">
        <v>41932</v>
      </c>
      <c r="K4727" s="1">
        <v>41992</v>
      </c>
      <c r="N4727" s="5"/>
      <c r="O4727" s="2">
        <v>1769</v>
      </c>
      <c r="P4727">
        <v>257</v>
      </c>
      <c r="Q4727" s="2">
        <v>454633</v>
      </c>
      <c r="R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 s="1">
        <v>42382</v>
      </c>
      <c r="AC4727" t="s">
        <v>53</v>
      </c>
      <c r="AD4727" t="s">
        <v>53</v>
      </c>
      <c r="AK4727">
        <v>0</v>
      </c>
      <c r="AU4727" s="6">
        <v>42249</v>
      </c>
      <c r="AV4727" s="6">
        <v>42249</v>
      </c>
      <c r="AW4727" t="s">
        <v>54</v>
      </c>
      <c r="AX4727" t="str">
        <f t="shared" si="395"/>
        <v>FOR</v>
      </c>
      <c r="AY4727" t="s">
        <v>55</v>
      </c>
    </row>
    <row r="4728" spans="1:51">
      <c r="A4728">
        <v>101754</v>
      </c>
      <c r="B4728" t="s">
        <v>871</v>
      </c>
      <c r="C4728" t="str">
        <f t="shared" si="400"/>
        <v>07328871210</v>
      </c>
      <c r="D4728" t="str">
        <f t="shared" si="400"/>
        <v>07328871210</v>
      </c>
      <c r="E4728" t="s">
        <v>52</v>
      </c>
      <c r="F4728">
        <v>2014</v>
      </c>
      <c r="G4728">
        <v>3299</v>
      </c>
      <c r="H4728" s="1">
        <v>41943</v>
      </c>
      <c r="I4728" s="1">
        <v>41964</v>
      </c>
      <c r="J4728" s="1">
        <v>41964</v>
      </c>
      <c r="K4728" s="1">
        <v>42024</v>
      </c>
      <c r="L4728" s="7">
        <v>695.4</v>
      </c>
      <c r="M4728" s="5">
        <v>259</v>
      </c>
      <c r="N4728" s="7">
        <v>180108.6</v>
      </c>
      <c r="O4728">
        <v>695.4</v>
      </c>
      <c r="P4728">
        <v>259</v>
      </c>
      <c r="Q4728" s="2">
        <v>180108.6</v>
      </c>
      <c r="R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 s="1">
        <v>42382</v>
      </c>
      <c r="AC4728" t="s">
        <v>53</v>
      </c>
      <c r="AD4728" t="s">
        <v>53</v>
      </c>
      <c r="AK4728">
        <v>0</v>
      </c>
      <c r="AU4728" s="6">
        <v>42283</v>
      </c>
      <c r="AV4728" s="6">
        <v>42283</v>
      </c>
      <c r="AW4728" t="s">
        <v>54</v>
      </c>
      <c r="AX4728" t="str">
        <f t="shared" si="395"/>
        <v>FOR</v>
      </c>
      <c r="AY4728" t="s">
        <v>55</v>
      </c>
    </row>
    <row r="4729" spans="1:51">
      <c r="A4729">
        <v>101754</v>
      </c>
      <c r="B4729" t="s">
        <v>871</v>
      </c>
      <c r="C4729" t="str">
        <f t="shared" si="400"/>
        <v>07328871210</v>
      </c>
      <c r="D4729" t="str">
        <f t="shared" si="400"/>
        <v>07328871210</v>
      </c>
      <c r="E4729" t="s">
        <v>52</v>
      </c>
      <c r="F4729">
        <v>2014</v>
      </c>
      <c r="G4729">
        <v>3300</v>
      </c>
      <c r="H4729" s="1">
        <v>41943</v>
      </c>
      <c r="I4729" s="1">
        <v>41964</v>
      </c>
      <c r="J4729" s="1">
        <v>41964</v>
      </c>
      <c r="K4729" s="1">
        <v>42024</v>
      </c>
      <c r="L4729" s="7">
        <v>333.06</v>
      </c>
      <c r="M4729" s="5">
        <v>259</v>
      </c>
      <c r="N4729" s="7">
        <v>86262.54</v>
      </c>
      <c r="O4729">
        <v>333.06</v>
      </c>
      <c r="P4729">
        <v>259</v>
      </c>
      <c r="Q4729" s="2">
        <v>86262.54</v>
      </c>
      <c r="R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 s="1">
        <v>42382</v>
      </c>
      <c r="AC4729" t="s">
        <v>53</v>
      </c>
      <c r="AD4729" t="s">
        <v>53</v>
      </c>
      <c r="AK4729">
        <v>0</v>
      </c>
      <c r="AU4729" s="6">
        <v>42283</v>
      </c>
      <c r="AV4729" s="6">
        <v>42283</v>
      </c>
      <c r="AW4729" t="s">
        <v>54</v>
      </c>
      <c r="AX4729" t="str">
        <f t="shared" si="395"/>
        <v>FOR</v>
      </c>
      <c r="AY4729" t="s">
        <v>55</v>
      </c>
    </row>
    <row r="4730" spans="1:51">
      <c r="A4730">
        <v>101754</v>
      </c>
      <c r="B4730" t="s">
        <v>871</v>
      </c>
      <c r="C4730" t="str">
        <f t="shared" si="400"/>
        <v>07328871210</v>
      </c>
      <c r="D4730" t="str">
        <f t="shared" si="400"/>
        <v>07328871210</v>
      </c>
      <c r="E4730" t="s">
        <v>52</v>
      </c>
      <c r="F4730">
        <v>2014</v>
      </c>
      <c r="G4730">
        <v>3301</v>
      </c>
      <c r="H4730" s="1">
        <v>41943</v>
      </c>
      <c r="I4730" s="1">
        <v>41964</v>
      </c>
      <c r="J4730" s="1">
        <v>41964</v>
      </c>
      <c r="K4730" s="1">
        <v>42024</v>
      </c>
      <c r="L4730" s="7">
        <v>400.16</v>
      </c>
      <c r="M4730" s="5">
        <v>259</v>
      </c>
      <c r="N4730" s="7">
        <v>103641.44</v>
      </c>
      <c r="O4730">
        <v>400.16</v>
      </c>
      <c r="P4730">
        <v>259</v>
      </c>
      <c r="Q4730" s="2">
        <v>103641.44</v>
      </c>
      <c r="R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 s="1">
        <v>42382</v>
      </c>
      <c r="AC4730" t="s">
        <v>53</v>
      </c>
      <c r="AD4730" t="s">
        <v>53</v>
      </c>
      <c r="AK4730">
        <v>0</v>
      </c>
      <c r="AU4730" s="6">
        <v>42283</v>
      </c>
      <c r="AV4730" s="6">
        <v>42283</v>
      </c>
      <c r="AW4730" t="s">
        <v>54</v>
      </c>
      <c r="AX4730" t="str">
        <f t="shared" si="395"/>
        <v>FOR</v>
      </c>
      <c r="AY4730" t="s">
        <v>55</v>
      </c>
    </row>
    <row r="4731" spans="1:51">
      <c r="A4731">
        <v>101754</v>
      </c>
      <c r="B4731" t="s">
        <v>871</v>
      </c>
      <c r="C4731" t="str">
        <f t="shared" si="400"/>
        <v>07328871210</v>
      </c>
      <c r="D4731" t="str">
        <f t="shared" si="400"/>
        <v>07328871210</v>
      </c>
      <c r="E4731" t="s">
        <v>52</v>
      </c>
      <c r="F4731">
        <v>2014</v>
      </c>
      <c r="G4731">
        <v>3302</v>
      </c>
      <c r="H4731" s="1">
        <v>41943</v>
      </c>
      <c r="I4731" s="1">
        <v>41964</v>
      </c>
      <c r="J4731" s="1">
        <v>41964</v>
      </c>
      <c r="K4731" s="1">
        <v>42024</v>
      </c>
      <c r="L4731" s="7">
        <v>1017.48</v>
      </c>
      <c r="M4731" s="5">
        <v>259</v>
      </c>
      <c r="N4731" s="7">
        <v>263527.32</v>
      </c>
      <c r="O4731" s="2">
        <v>1017.48</v>
      </c>
      <c r="P4731">
        <v>259</v>
      </c>
      <c r="Q4731" s="2">
        <v>263527.32</v>
      </c>
      <c r="R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 s="1">
        <v>42382</v>
      </c>
      <c r="AC4731" t="s">
        <v>53</v>
      </c>
      <c r="AD4731" t="s">
        <v>53</v>
      </c>
      <c r="AK4731">
        <v>0</v>
      </c>
      <c r="AU4731" s="6">
        <v>42283</v>
      </c>
      <c r="AV4731" s="6">
        <v>42283</v>
      </c>
      <c r="AW4731" t="s">
        <v>54</v>
      </c>
      <c r="AX4731" t="str">
        <f t="shared" si="395"/>
        <v>FOR</v>
      </c>
      <c r="AY4731" t="s">
        <v>55</v>
      </c>
    </row>
    <row r="4732" spans="1:51">
      <c r="A4732">
        <v>101754</v>
      </c>
      <c r="B4732" t="s">
        <v>871</v>
      </c>
      <c r="C4732" t="str">
        <f t="shared" si="400"/>
        <v>07328871210</v>
      </c>
      <c r="D4732" t="str">
        <f t="shared" si="400"/>
        <v>07328871210</v>
      </c>
      <c r="E4732" t="s">
        <v>52</v>
      </c>
      <c r="F4732">
        <v>2014</v>
      </c>
      <c r="G4732">
        <v>3303</v>
      </c>
      <c r="H4732" s="1">
        <v>41943</v>
      </c>
      <c r="I4732" s="1">
        <v>41964</v>
      </c>
      <c r="J4732" s="1">
        <v>41964</v>
      </c>
      <c r="K4732" s="1">
        <v>42024</v>
      </c>
      <c r="L4732" s="7">
        <v>829.6</v>
      </c>
      <c r="M4732" s="5">
        <v>259</v>
      </c>
      <c r="N4732" s="7">
        <v>214866.4</v>
      </c>
      <c r="O4732">
        <v>829.6</v>
      </c>
      <c r="P4732">
        <v>259</v>
      </c>
      <c r="Q4732" s="2">
        <v>214866.4</v>
      </c>
      <c r="R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 s="1">
        <v>42382</v>
      </c>
      <c r="AC4732" t="s">
        <v>53</v>
      </c>
      <c r="AD4732" t="s">
        <v>53</v>
      </c>
      <c r="AK4732">
        <v>0</v>
      </c>
      <c r="AU4732" s="6">
        <v>42283</v>
      </c>
      <c r="AV4732" s="6">
        <v>42283</v>
      </c>
      <c r="AW4732" t="s">
        <v>54</v>
      </c>
      <c r="AX4732" t="str">
        <f t="shared" si="395"/>
        <v>FOR</v>
      </c>
      <c r="AY4732" t="s">
        <v>55</v>
      </c>
    </row>
    <row r="4733" spans="1:51">
      <c r="A4733">
        <v>101754</v>
      </c>
      <c r="B4733" t="s">
        <v>871</v>
      </c>
      <c r="C4733" t="str">
        <f t="shared" si="400"/>
        <v>07328871210</v>
      </c>
      <c r="D4733" t="str">
        <f t="shared" si="400"/>
        <v>07328871210</v>
      </c>
      <c r="E4733" t="s">
        <v>52</v>
      </c>
      <c r="F4733">
        <v>2014</v>
      </c>
      <c r="G4733">
        <v>3596</v>
      </c>
      <c r="H4733" s="1">
        <v>41970</v>
      </c>
      <c r="I4733" s="1">
        <v>41995</v>
      </c>
      <c r="J4733" s="1">
        <v>41995</v>
      </c>
      <c r="K4733" s="1">
        <v>42055</v>
      </c>
      <c r="L4733" s="7">
        <v>829.6</v>
      </c>
      <c r="M4733" s="5">
        <v>249</v>
      </c>
      <c r="N4733" s="7">
        <v>206570.4</v>
      </c>
      <c r="O4733">
        <v>829.6</v>
      </c>
      <c r="P4733">
        <v>249</v>
      </c>
      <c r="Q4733" s="2">
        <v>206570.4</v>
      </c>
      <c r="R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 s="1">
        <v>42382</v>
      </c>
      <c r="AC4733" t="s">
        <v>53</v>
      </c>
      <c r="AD4733" t="s">
        <v>53</v>
      </c>
      <c r="AK4733">
        <v>0</v>
      </c>
      <c r="AU4733" s="6">
        <v>42304</v>
      </c>
      <c r="AV4733" s="6">
        <v>42304</v>
      </c>
      <c r="AW4733" t="s">
        <v>54</v>
      </c>
      <c r="AX4733" t="str">
        <f t="shared" si="395"/>
        <v>FOR</v>
      </c>
      <c r="AY4733" t="s">
        <v>55</v>
      </c>
    </row>
    <row r="4734" spans="1:51">
      <c r="A4734">
        <v>101754</v>
      </c>
      <c r="B4734" t="s">
        <v>871</v>
      </c>
      <c r="C4734" t="str">
        <f t="shared" si="400"/>
        <v>07328871210</v>
      </c>
      <c r="D4734" t="str">
        <f t="shared" si="400"/>
        <v>07328871210</v>
      </c>
      <c r="E4734" t="s">
        <v>52</v>
      </c>
      <c r="F4734">
        <v>2014</v>
      </c>
      <c r="G4734">
        <v>3609</v>
      </c>
      <c r="H4734" s="1">
        <v>41971</v>
      </c>
      <c r="I4734" s="1">
        <v>41995</v>
      </c>
      <c r="J4734" s="1">
        <v>41995</v>
      </c>
      <c r="K4734" s="1">
        <v>42055</v>
      </c>
      <c r="L4734" s="7">
        <v>695.4</v>
      </c>
      <c r="M4734" s="5">
        <v>249</v>
      </c>
      <c r="N4734" s="7">
        <v>173154.6</v>
      </c>
      <c r="O4734">
        <v>695.4</v>
      </c>
      <c r="P4734">
        <v>249</v>
      </c>
      <c r="Q4734" s="2">
        <v>173154.6</v>
      </c>
      <c r="R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 s="1">
        <v>42382</v>
      </c>
      <c r="AC4734" t="s">
        <v>53</v>
      </c>
      <c r="AD4734" t="s">
        <v>53</v>
      </c>
      <c r="AK4734">
        <v>0</v>
      </c>
      <c r="AU4734" s="6">
        <v>42304</v>
      </c>
      <c r="AV4734" s="6">
        <v>42304</v>
      </c>
      <c r="AW4734" t="s">
        <v>54</v>
      </c>
      <c r="AX4734" t="str">
        <f t="shared" si="395"/>
        <v>FOR</v>
      </c>
      <c r="AY4734" t="s">
        <v>55</v>
      </c>
    </row>
    <row r="4735" spans="1:51">
      <c r="A4735">
        <v>101754</v>
      </c>
      <c r="B4735" t="s">
        <v>871</v>
      </c>
      <c r="C4735" t="str">
        <f t="shared" si="400"/>
        <v>07328871210</v>
      </c>
      <c r="D4735" t="str">
        <f t="shared" si="400"/>
        <v>07328871210</v>
      </c>
      <c r="E4735" t="s">
        <v>52</v>
      </c>
      <c r="F4735">
        <v>2014</v>
      </c>
      <c r="G4735">
        <v>3610</v>
      </c>
      <c r="H4735" s="1">
        <v>41971</v>
      </c>
      <c r="I4735" s="1">
        <v>41995</v>
      </c>
      <c r="J4735" s="1">
        <v>41995</v>
      </c>
      <c r="K4735" s="1">
        <v>42055</v>
      </c>
      <c r="L4735" s="7">
        <v>2071.0700000000002</v>
      </c>
      <c r="M4735" s="5">
        <v>249</v>
      </c>
      <c r="N4735" s="7">
        <v>515696.43</v>
      </c>
      <c r="O4735" s="2">
        <v>2071.0700000000002</v>
      </c>
      <c r="P4735">
        <v>249</v>
      </c>
      <c r="Q4735" s="2">
        <v>515696.43</v>
      </c>
      <c r="R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 s="1">
        <v>42382</v>
      </c>
      <c r="AC4735" t="s">
        <v>53</v>
      </c>
      <c r="AD4735" t="s">
        <v>53</v>
      </c>
      <c r="AK4735">
        <v>0</v>
      </c>
      <c r="AU4735" s="6">
        <v>42304</v>
      </c>
      <c r="AV4735" s="6">
        <v>42304</v>
      </c>
      <c r="AW4735" t="s">
        <v>54</v>
      </c>
      <c r="AX4735" t="str">
        <f t="shared" si="395"/>
        <v>FOR</v>
      </c>
      <c r="AY4735" t="s">
        <v>55</v>
      </c>
    </row>
    <row r="4736" spans="1:51">
      <c r="A4736">
        <v>101754</v>
      </c>
      <c r="B4736" t="s">
        <v>871</v>
      </c>
      <c r="C4736" t="str">
        <f t="shared" si="400"/>
        <v>07328871210</v>
      </c>
      <c r="D4736" t="str">
        <f t="shared" si="400"/>
        <v>07328871210</v>
      </c>
      <c r="E4736" t="s">
        <v>52</v>
      </c>
      <c r="F4736">
        <v>2014</v>
      </c>
      <c r="G4736">
        <v>3909</v>
      </c>
      <c r="H4736" s="1">
        <v>42003</v>
      </c>
      <c r="I4736" s="1">
        <v>42048</v>
      </c>
      <c r="J4736" s="1">
        <v>42048</v>
      </c>
      <c r="K4736" s="1">
        <v>42108</v>
      </c>
      <c r="L4736" s="7">
        <v>600.24</v>
      </c>
      <c r="M4736" s="5">
        <v>196</v>
      </c>
      <c r="N4736" s="7">
        <v>117647.03999999999</v>
      </c>
      <c r="O4736">
        <v>600.24</v>
      </c>
      <c r="P4736">
        <v>196</v>
      </c>
      <c r="Q4736" s="2">
        <v>117647.03999999999</v>
      </c>
      <c r="R4736">
        <v>0</v>
      </c>
      <c r="V4736">
        <v>0</v>
      </c>
      <c r="W4736">
        <v>0</v>
      </c>
      <c r="X4736">
        <v>0</v>
      </c>
      <c r="Y4736">
        <v>0</v>
      </c>
      <c r="Z4736">
        <v>600.24</v>
      </c>
      <c r="AA4736">
        <v>0</v>
      </c>
      <c r="AB4736" s="1">
        <v>42382</v>
      </c>
      <c r="AC4736" t="s">
        <v>53</v>
      </c>
      <c r="AD4736" t="s">
        <v>53</v>
      </c>
      <c r="AK4736">
        <v>0</v>
      </c>
      <c r="AU4736" s="6">
        <v>42304</v>
      </c>
      <c r="AV4736" s="6">
        <v>42304</v>
      </c>
      <c r="AW4736" t="s">
        <v>54</v>
      </c>
      <c r="AX4736" t="str">
        <f t="shared" si="395"/>
        <v>FOR</v>
      </c>
      <c r="AY4736" t="s">
        <v>55</v>
      </c>
    </row>
    <row r="4737" spans="1:51">
      <c r="A4737">
        <v>101754</v>
      </c>
      <c r="B4737" t="s">
        <v>871</v>
      </c>
      <c r="C4737" t="str">
        <f t="shared" si="400"/>
        <v>07328871210</v>
      </c>
      <c r="D4737" t="str">
        <f t="shared" si="400"/>
        <v>07328871210</v>
      </c>
      <c r="E4737" t="s">
        <v>52</v>
      </c>
      <c r="F4737">
        <v>2015</v>
      </c>
      <c r="G4737">
        <v>226</v>
      </c>
      <c r="H4737" s="1">
        <v>42034</v>
      </c>
      <c r="I4737" s="1">
        <v>42048</v>
      </c>
      <c r="J4737" s="1">
        <v>42048</v>
      </c>
      <c r="K4737" s="1">
        <v>42108</v>
      </c>
      <c r="L4737" s="7">
        <v>273</v>
      </c>
      <c r="M4737" s="5">
        <v>247</v>
      </c>
      <c r="N4737" s="7">
        <v>67431</v>
      </c>
      <c r="O4737">
        <v>273</v>
      </c>
      <c r="P4737">
        <v>247</v>
      </c>
      <c r="Q4737" s="2">
        <v>67431</v>
      </c>
      <c r="R4737">
        <v>60.06</v>
      </c>
      <c r="V4737">
        <v>0</v>
      </c>
      <c r="W4737">
        <v>0</v>
      </c>
      <c r="X4737">
        <v>0</v>
      </c>
      <c r="Y4737">
        <v>333.06</v>
      </c>
      <c r="Z4737">
        <v>333.06</v>
      </c>
      <c r="AA4737">
        <v>333.06</v>
      </c>
      <c r="AB4737" s="1">
        <v>42382</v>
      </c>
      <c r="AC4737" t="s">
        <v>53</v>
      </c>
      <c r="AD4737" t="s">
        <v>53</v>
      </c>
      <c r="AK4737">
        <v>60.06</v>
      </c>
      <c r="AU4737" s="6">
        <v>42355</v>
      </c>
      <c r="AV4737" s="6">
        <v>42355</v>
      </c>
      <c r="AW4737" t="s">
        <v>54</v>
      </c>
      <c r="AX4737" t="str">
        <f t="shared" si="395"/>
        <v>FOR</v>
      </c>
      <c r="AY4737" t="s">
        <v>55</v>
      </c>
    </row>
    <row r="4738" spans="1:51">
      <c r="A4738">
        <v>101754</v>
      </c>
      <c r="B4738" t="s">
        <v>871</v>
      </c>
      <c r="C4738" t="str">
        <f t="shared" si="400"/>
        <v>07328871210</v>
      </c>
      <c r="D4738" t="str">
        <f t="shared" si="400"/>
        <v>07328871210</v>
      </c>
      <c r="E4738" t="s">
        <v>52</v>
      </c>
      <c r="F4738">
        <v>2015</v>
      </c>
      <c r="G4738">
        <v>227</v>
      </c>
      <c r="H4738" s="1">
        <v>42034</v>
      </c>
      <c r="I4738" s="1">
        <v>42048</v>
      </c>
      <c r="J4738" s="1">
        <v>42048</v>
      </c>
      <c r="K4738" s="1">
        <v>42108</v>
      </c>
      <c r="L4738" s="7">
        <v>595</v>
      </c>
      <c r="M4738" s="5">
        <v>247</v>
      </c>
      <c r="N4738" s="7">
        <v>146965</v>
      </c>
      <c r="O4738">
        <v>595</v>
      </c>
      <c r="P4738">
        <v>247</v>
      </c>
      <c r="Q4738" s="2">
        <v>146965</v>
      </c>
      <c r="R4738">
        <v>130.9</v>
      </c>
      <c r="V4738">
        <v>0</v>
      </c>
      <c r="W4738">
        <v>0</v>
      </c>
      <c r="X4738">
        <v>0</v>
      </c>
      <c r="Y4738">
        <v>725.9</v>
      </c>
      <c r="Z4738">
        <v>725.9</v>
      </c>
      <c r="AA4738">
        <v>725.9</v>
      </c>
      <c r="AB4738" s="1">
        <v>42382</v>
      </c>
      <c r="AC4738" t="s">
        <v>53</v>
      </c>
      <c r="AD4738" t="s">
        <v>53</v>
      </c>
      <c r="AK4738">
        <v>130.9</v>
      </c>
      <c r="AU4738" s="6">
        <v>42355</v>
      </c>
      <c r="AV4738" s="6">
        <v>42355</v>
      </c>
      <c r="AW4738" t="s">
        <v>54</v>
      </c>
      <c r="AX4738" t="str">
        <f t="shared" si="395"/>
        <v>FOR</v>
      </c>
      <c r="AY4738" t="s">
        <v>55</v>
      </c>
    </row>
    <row r="4739" spans="1:51">
      <c r="A4739">
        <v>101754</v>
      </c>
      <c r="B4739" t="s">
        <v>871</v>
      </c>
      <c r="C4739" t="str">
        <f t="shared" si="400"/>
        <v>07328871210</v>
      </c>
      <c r="D4739" t="str">
        <f t="shared" si="400"/>
        <v>07328871210</v>
      </c>
      <c r="E4739" t="s">
        <v>52</v>
      </c>
      <c r="F4739">
        <v>2015</v>
      </c>
      <c r="G4739">
        <v>228</v>
      </c>
      <c r="H4739" s="1">
        <v>42034</v>
      </c>
      <c r="I4739" s="1">
        <v>42048</v>
      </c>
      <c r="J4739" s="1">
        <v>42048</v>
      </c>
      <c r="K4739" s="1">
        <v>42108</v>
      </c>
      <c r="L4739" s="7">
        <v>340</v>
      </c>
      <c r="M4739" s="5">
        <v>247</v>
      </c>
      <c r="N4739" s="7">
        <v>83980</v>
      </c>
      <c r="O4739">
        <v>340</v>
      </c>
      <c r="P4739">
        <v>247</v>
      </c>
      <c r="Q4739" s="2">
        <v>83980</v>
      </c>
      <c r="R4739">
        <v>74.8</v>
      </c>
      <c r="V4739">
        <v>0</v>
      </c>
      <c r="W4739">
        <v>0</v>
      </c>
      <c r="X4739">
        <v>0</v>
      </c>
      <c r="Y4739">
        <v>414.8</v>
      </c>
      <c r="Z4739">
        <v>414.8</v>
      </c>
      <c r="AA4739">
        <v>414.8</v>
      </c>
      <c r="AB4739" s="1">
        <v>42382</v>
      </c>
      <c r="AC4739" t="s">
        <v>53</v>
      </c>
      <c r="AD4739" t="s">
        <v>53</v>
      </c>
      <c r="AK4739">
        <v>74.8</v>
      </c>
      <c r="AU4739" s="6">
        <v>42355</v>
      </c>
      <c r="AV4739" s="6">
        <v>42355</v>
      </c>
      <c r="AW4739" t="s">
        <v>54</v>
      </c>
      <c r="AX4739" t="str">
        <f t="shared" ref="AX4739:AX4802" si="401">"FOR"</f>
        <v>FOR</v>
      </c>
      <c r="AY4739" t="s">
        <v>55</v>
      </c>
    </row>
    <row r="4740" spans="1:51">
      <c r="A4740">
        <v>101754</v>
      </c>
      <c r="B4740" t="s">
        <v>871</v>
      </c>
      <c r="C4740" t="str">
        <f t="shared" si="400"/>
        <v>07328871210</v>
      </c>
      <c r="D4740" t="str">
        <f t="shared" si="400"/>
        <v>07328871210</v>
      </c>
      <c r="E4740" t="s">
        <v>52</v>
      </c>
      <c r="F4740">
        <v>2015</v>
      </c>
      <c r="G4740">
        <v>229</v>
      </c>
      <c r="H4740" s="1">
        <v>42034</v>
      </c>
      <c r="I4740" s="1">
        <v>42048</v>
      </c>
      <c r="J4740" s="1">
        <v>42048</v>
      </c>
      <c r="K4740" s="1">
        <v>42108</v>
      </c>
      <c r="L4740" s="7">
        <v>492</v>
      </c>
      <c r="M4740" s="5">
        <v>247</v>
      </c>
      <c r="N4740" s="7">
        <v>121524</v>
      </c>
      <c r="O4740">
        <v>492</v>
      </c>
      <c r="P4740">
        <v>247</v>
      </c>
      <c r="Q4740" s="2">
        <v>121524</v>
      </c>
      <c r="R4740">
        <v>108.24</v>
      </c>
      <c r="V4740">
        <v>0</v>
      </c>
      <c r="W4740">
        <v>0</v>
      </c>
      <c r="X4740">
        <v>0</v>
      </c>
      <c r="Y4740">
        <v>600.24</v>
      </c>
      <c r="Z4740">
        <v>600.24</v>
      </c>
      <c r="AA4740">
        <v>600.24</v>
      </c>
      <c r="AB4740" s="1">
        <v>42382</v>
      </c>
      <c r="AC4740" t="s">
        <v>53</v>
      </c>
      <c r="AD4740" t="s">
        <v>53</v>
      </c>
      <c r="AK4740">
        <v>108.24</v>
      </c>
      <c r="AU4740" s="6">
        <v>42355</v>
      </c>
      <c r="AV4740" s="6">
        <v>42355</v>
      </c>
      <c r="AW4740" t="s">
        <v>54</v>
      </c>
      <c r="AX4740" t="str">
        <f t="shared" si="401"/>
        <v>FOR</v>
      </c>
      <c r="AY4740" t="s">
        <v>55</v>
      </c>
    </row>
    <row r="4741" spans="1:51">
      <c r="A4741">
        <v>101754</v>
      </c>
      <c r="B4741" t="s">
        <v>871</v>
      </c>
      <c r="C4741" t="str">
        <f t="shared" si="400"/>
        <v>07328871210</v>
      </c>
      <c r="D4741" t="str">
        <f t="shared" si="400"/>
        <v>07328871210</v>
      </c>
      <c r="E4741" t="s">
        <v>52</v>
      </c>
      <c r="F4741">
        <v>2015</v>
      </c>
      <c r="G4741">
        <v>230</v>
      </c>
      <c r="H4741" s="1">
        <v>42034</v>
      </c>
      <c r="I4741" s="1">
        <v>42048</v>
      </c>
      <c r="J4741" s="1">
        <v>42048</v>
      </c>
      <c r="K4741" s="1">
        <v>42108</v>
      </c>
      <c r="L4741" s="7">
        <v>1668</v>
      </c>
      <c r="M4741" s="5">
        <v>247</v>
      </c>
      <c r="N4741" s="7">
        <v>411996</v>
      </c>
      <c r="O4741" s="2">
        <v>1668</v>
      </c>
      <c r="P4741">
        <v>247</v>
      </c>
      <c r="Q4741" s="2">
        <v>411996</v>
      </c>
      <c r="R4741">
        <v>366.96</v>
      </c>
      <c r="V4741">
        <v>0</v>
      </c>
      <c r="W4741">
        <v>0</v>
      </c>
      <c r="X4741">
        <v>0</v>
      </c>
      <c r="Y4741" s="2">
        <v>2034.96</v>
      </c>
      <c r="Z4741" s="2">
        <v>2034.96</v>
      </c>
      <c r="AA4741" s="2">
        <v>2034.96</v>
      </c>
      <c r="AB4741" s="1">
        <v>42382</v>
      </c>
      <c r="AC4741" t="s">
        <v>53</v>
      </c>
      <c r="AD4741" t="s">
        <v>53</v>
      </c>
      <c r="AK4741">
        <v>366.96</v>
      </c>
      <c r="AU4741" s="6">
        <v>42355</v>
      </c>
      <c r="AV4741" s="6">
        <v>42355</v>
      </c>
      <c r="AW4741" t="s">
        <v>54</v>
      </c>
      <c r="AX4741" t="str">
        <f t="shared" si="401"/>
        <v>FOR</v>
      </c>
      <c r="AY4741" t="s">
        <v>55</v>
      </c>
    </row>
    <row r="4742" spans="1:51" hidden="1">
      <c r="A4742">
        <v>101756</v>
      </c>
      <c r="B4742" t="s">
        <v>872</v>
      </c>
      <c r="C4742" t="str">
        <f>"04707001006"</f>
        <v>04707001006</v>
      </c>
      <c r="D4742" t="str">
        <f>"04707001006"</f>
        <v>04707001006</v>
      </c>
      <c r="E4742" t="s">
        <v>52</v>
      </c>
      <c r="F4742">
        <v>2014</v>
      </c>
      <c r="G4742">
        <v>979</v>
      </c>
      <c r="H4742" s="1">
        <v>41788</v>
      </c>
      <c r="I4742" s="1">
        <v>41814</v>
      </c>
      <c r="J4742" s="1">
        <v>41814</v>
      </c>
      <c r="K4742" s="1">
        <v>41904</v>
      </c>
      <c r="N4742" s="5"/>
      <c r="O4742">
        <v>320.74</v>
      </c>
      <c r="P4742">
        <v>120</v>
      </c>
      <c r="Q4742" s="2">
        <v>38488.800000000003</v>
      </c>
      <c r="R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 s="1">
        <v>42382</v>
      </c>
      <c r="AC4742" t="s">
        <v>53</v>
      </c>
      <c r="AD4742" t="s">
        <v>53</v>
      </c>
      <c r="AK4742">
        <v>0</v>
      </c>
      <c r="AU4742" s="6">
        <v>42024</v>
      </c>
      <c r="AV4742" s="6">
        <v>42024</v>
      </c>
      <c r="AW4742" t="s">
        <v>54</v>
      </c>
      <c r="AX4742" t="str">
        <f t="shared" si="401"/>
        <v>FOR</v>
      </c>
      <c r="AY4742" t="s">
        <v>55</v>
      </c>
    </row>
    <row r="4743" spans="1:51" hidden="1">
      <c r="A4743">
        <v>101756</v>
      </c>
      <c r="B4743" t="s">
        <v>872</v>
      </c>
      <c r="C4743" t="str">
        <f>"04707001006"</f>
        <v>04707001006</v>
      </c>
      <c r="D4743" t="str">
        <f>"04707001006"</f>
        <v>04707001006</v>
      </c>
      <c r="E4743" t="s">
        <v>52</v>
      </c>
      <c r="F4743">
        <v>2014</v>
      </c>
      <c r="G4743">
        <v>1381</v>
      </c>
      <c r="H4743" s="1">
        <v>41845</v>
      </c>
      <c r="I4743" s="1">
        <v>41873</v>
      </c>
      <c r="J4743" s="1">
        <v>41873</v>
      </c>
      <c r="K4743" s="1">
        <v>41963</v>
      </c>
      <c r="N4743" s="5"/>
      <c r="O4743" s="2">
        <v>3878.38</v>
      </c>
      <c r="P4743">
        <v>61</v>
      </c>
      <c r="Q4743" s="2">
        <v>236581.18</v>
      </c>
      <c r="R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 s="1">
        <v>42382</v>
      </c>
      <c r="AC4743" t="s">
        <v>53</v>
      </c>
      <c r="AD4743" t="s">
        <v>53</v>
      </c>
      <c r="AK4743">
        <v>0</v>
      </c>
      <c r="AU4743" s="6">
        <v>42024</v>
      </c>
      <c r="AV4743" s="6">
        <v>42024</v>
      </c>
      <c r="AW4743" t="s">
        <v>54</v>
      </c>
      <c r="AX4743" t="str">
        <f t="shared" si="401"/>
        <v>FOR</v>
      </c>
      <c r="AY4743" t="s">
        <v>55</v>
      </c>
    </row>
    <row r="4744" spans="1:51" hidden="1">
      <c r="A4744">
        <v>101757</v>
      </c>
      <c r="B4744" t="s">
        <v>873</v>
      </c>
      <c r="C4744" t="str">
        <f>"01783380486"</f>
        <v>01783380486</v>
      </c>
      <c r="D4744" t="str">
        <f>""</f>
        <v/>
      </c>
      <c r="E4744" t="s">
        <v>52</v>
      </c>
      <c r="F4744">
        <v>2015</v>
      </c>
      <c r="G4744">
        <v>122</v>
      </c>
      <c r="H4744" s="1">
        <v>42026</v>
      </c>
      <c r="I4744" s="1">
        <v>42047</v>
      </c>
      <c r="J4744" s="1">
        <v>42047</v>
      </c>
      <c r="K4744" s="1">
        <v>42107</v>
      </c>
      <c r="N4744" s="5"/>
      <c r="O4744">
        <v>400</v>
      </c>
      <c r="P4744">
        <v>84</v>
      </c>
      <c r="Q4744" s="2">
        <v>33600</v>
      </c>
      <c r="R4744">
        <v>0</v>
      </c>
      <c r="V4744">
        <v>0</v>
      </c>
      <c r="W4744">
        <v>0</v>
      </c>
      <c r="X4744">
        <v>0</v>
      </c>
      <c r="Y4744">
        <v>488</v>
      </c>
      <c r="Z4744">
        <v>488</v>
      </c>
      <c r="AA4744">
        <v>488</v>
      </c>
      <c r="AB4744" s="1">
        <v>42382</v>
      </c>
      <c r="AC4744" t="s">
        <v>53</v>
      </c>
      <c r="AD4744" t="s">
        <v>53</v>
      </c>
      <c r="AK4744">
        <v>0</v>
      </c>
      <c r="AU4744" s="6">
        <v>42191</v>
      </c>
      <c r="AV4744" s="6">
        <v>42191</v>
      </c>
      <c r="AW4744" t="s">
        <v>54</v>
      </c>
      <c r="AX4744" t="str">
        <f t="shared" si="401"/>
        <v>FOR</v>
      </c>
      <c r="AY4744" t="s">
        <v>55</v>
      </c>
    </row>
    <row r="4745" spans="1:51">
      <c r="A4745">
        <v>101759</v>
      </c>
      <c r="B4745" t="s">
        <v>874</v>
      </c>
      <c r="C4745" t="str">
        <f t="shared" ref="C4745:C4773" si="402">"01308430626"</f>
        <v>01308430626</v>
      </c>
      <c r="D4745" t="str">
        <f t="shared" ref="D4745:D4773" si="403">"VRSCMN80T31A783K"</f>
        <v>VRSCMN80T31A783K</v>
      </c>
      <c r="E4745" t="s">
        <v>52</v>
      </c>
      <c r="F4745">
        <v>2013</v>
      </c>
      <c r="G4745">
        <v>334</v>
      </c>
      <c r="H4745" s="1">
        <v>41386</v>
      </c>
      <c r="I4745" s="1">
        <v>42307</v>
      </c>
      <c r="J4745" s="1">
        <v>42307</v>
      </c>
      <c r="K4745" s="1">
        <v>42367</v>
      </c>
      <c r="L4745" s="7">
        <v>755.51</v>
      </c>
      <c r="M4745" s="5">
        <v>-26</v>
      </c>
      <c r="N4745" s="7">
        <v>-19643.259999999998</v>
      </c>
      <c r="O4745">
        <v>755.51</v>
      </c>
      <c r="P4745">
        <v>-26</v>
      </c>
      <c r="Q4745" s="2">
        <v>-19643.259999999998</v>
      </c>
      <c r="R4745">
        <v>0</v>
      </c>
      <c r="V4745">
        <v>0</v>
      </c>
      <c r="W4745">
        <v>755.51</v>
      </c>
      <c r="X4745">
        <v>0</v>
      </c>
      <c r="Y4745">
        <v>0</v>
      </c>
      <c r="Z4745">
        <v>755.51</v>
      </c>
      <c r="AA4745">
        <v>0</v>
      </c>
      <c r="AB4745" s="1">
        <v>42382</v>
      </c>
      <c r="AC4745" t="s">
        <v>53</v>
      </c>
      <c r="AD4745" t="s">
        <v>53</v>
      </c>
      <c r="AK4745">
        <v>0</v>
      </c>
      <c r="AU4745" s="6">
        <v>42341</v>
      </c>
      <c r="AV4745" s="6">
        <v>42341</v>
      </c>
      <c r="AW4745" t="s">
        <v>54</v>
      </c>
      <c r="AX4745" t="str">
        <f t="shared" si="401"/>
        <v>FOR</v>
      </c>
      <c r="AY4745" t="s">
        <v>55</v>
      </c>
    </row>
    <row r="4746" spans="1:51" hidden="1">
      <c r="A4746">
        <v>101759</v>
      </c>
      <c r="B4746" t="s">
        <v>874</v>
      </c>
      <c r="C4746" t="str">
        <f t="shared" si="402"/>
        <v>01308430626</v>
      </c>
      <c r="D4746" t="str">
        <f t="shared" si="403"/>
        <v>VRSCMN80T31A783K</v>
      </c>
      <c r="E4746" t="s">
        <v>52</v>
      </c>
      <c r="F4746">
        <v>2014</v>
      </c>
      <c r="G4746">
        <v>88</v>
      </c>
      <c r="H4746" s="1">
        <v>41676</v>
      </c>
      <c r="I4746" s="1">
        <v>41680</v>
      </c>
      <c r="J4746" s="1">
        <v>41680</v>
      </c>
      <c r="K4746" s="1">
        <v>41770</v>
      </c>
      <c r="N4746" s="5"/>
      <c r="O4746" s="2">
        <v>2244.5100000000002</v>
      </c>
      <c r="P4746">
        <v>249</v>
      </c>
      <c r="Q4746" s="2">
        <v>558882.99</v>
      </c>
      <c r="R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 s="1">
        <v>42382</v>
      </c>
      <c r="AC4746" t="s">
        <v>53</v>
      </c>
      <c r="AD4746" t="s">
        <v>53</v>
      </c>
      <c r="AK4746">
        <v>0</v>
      </c>
      <c r="AU4746" s="6">
        <v>42019</v>
      </c>
      <c r="AV4746" s="6">
        <v>42019</v>
      </c>
      <c r="AW4746" t="s">
        <v>54</v>
      </c>
      <c r="AX4746" t="str">
        <f t="shared" si="401"/>
        <v>FOR</v>
      </c>
      <c r="AY4746" t="s">
        <v>55</v>
      </c>
    </row>
    <row r="4747" spans="1:51" hidden="1">
      <c r="A4747">
        <v>101759</v>
      </c>
      <c r="B4747" t="s">
        <v>874</v>
      </c>
      <c r="C4747" t="str">
        <f t="shared" si="402"/>
        <v>01308430626</v>
      </c>
      <c r="D4747" t="str">
        <f t="shared" si="403"/>
        <v>VRSCMN80T31A783K</v>
      </c>
      <c r="E4747" t="s">
        <v>52</v>
      </c>
      <c r="F4747">
        <v>2014</v>
      </c>
      <c r="G4747">
        <v>148</v>
      </c>
      <c r="H4747" s="1">
        <v>41695</v>
      </c>
      <c r="I4747" s="1">
        <v>41698</v>
      </c>
      <c r="J4747" s="1">
        <v>41698</v>
      </c>
      <c r="K4747" s="1">
        <v>41788</v>
      </c>
      <c r="N4747" s="5"/>
      <c r="O4747" s="2">
        <v>2019.21</v>
      </c>
      <c r="P4747">
        <v>231</v>
      </c>
      <c r="Q4747" s="2">
        <v>466437.51</v>
      </c>
      <c r="R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 s="1">
        <v>42382</v>
      </c>
      <c r="AC4747" t="s">
        <v>53</v>
      </c>
      <c r="AD4747" t="s">
        <v>53</v>
      </c>
      <c r="AK4747">
        <v>0</v>
      </c>
      <c r="AU4747" s="6">
        <v>42019</v>
      </c>
      <c r="AV4747" s="6">
        <v>42019</v>
      </c>
      <c r="AW4747" t="s">
        <v>54</v>
      </c>
      <c r="AX4747" t="str">
        <f t="shared" si="401"/>
        <v>FOR</v>
      </c>
      <c r="AY4747" t="s">
        <v>55</v>
      </c>
    </row>
    <row r="4748" spans="1:51" hidden="1">
      <c r="A4748">
        <v>101759</v>
      </c>
      <c r="B4748" t="s">
        <v>874</v>
      </c>
      <c r="C4748" t="str">
        <f t="shared" si="402"/>
        <v>01308430626</v>
      </c>
      <c r="D4748" t="str">
        <f t="shared" si="403"/>
        <v>VRSCMN80T31A783K</v>
      </c>
      <c r="E4748" t="s">
        <v>52</v>
      </c>
      <c r="F4748">
        <v>2014</v>
      </c>
      <c r="G4748">
        <v>177</v>
      </c>
      <c r="H4748" s="1">
        <v>41703</v>
      </c>
      <c r="I4748" s="1">
        <v>41705</v>
      </c>
      <c r="J4748" s="1">
        <v>41705</v>
      </c>
      <c r="K4748" s="1">
        <v>41795</v>
      </c>
      <c r="N4748" s="5"/>
      <c r="O4748">
        <v>436.61</v>
      </c>
      <c r="P4748">
        <v>239</v>
      </c>
      <c r="Q4748" s="2">
        <v>104349.79</v>
      </c>
      <c r="R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 s="1">
        <v>42382</v>
      </c>
      <c r="AC4748" t="s">
        <v>53</v>
      </c>
      <c r="AD4748" t="s">
        <v>53</v>
      </c>
      <c r="AK4748">
        <v>0</v>
      </c>
      <c r="AU4748" s="6">
        <v>42034</v>
      </c>
      <c r="AV4748" s="6">
        <v>42034</v>
      </c>
      <c r="AW4748" t="s">
        <v>54</v>
      </c>
      <c r="AX4748" t="str">
        <f t="shared" si="401"/>
        <v>FOR</v>
      </c>
      <c r="AY4748" t="s">
        <v>55</v>
      </c>
    </row>
    <row r="4749" spans="1:51" hidden="1">
      <c r="A4749">
        <v>101759</v>
      </c>
      <c r="B4749" t="s">
        <v>874</v>
      </c>
      <c r="C4749" t="str">
        <f t="shared" si="402"/>
        <v>01308430626</v>
      </c>
      <c r="D4749" t="str">
        <f t="shared" si="403"/>
        <v>VRSCMN80T31A783K</v>
      </c>
      <c r="E4749" t="s">
        <v>52</v>
      </c>
      <c r="F4749">
        <v>2014</v>
      </c>
      <c r="G4749">
        <v>209</v>
      </c>
      <c r="H4749" s="1">
        <v>41715</v>
      </c>
      <c r="I4749" s="1">
        <v>41716</v>
      </c>
      <c r="J4749" s="1">
        <v>41716</v>
      </c>
      <c r="K4749" s="1">
        <v>41806</v>
      </c>
      <c r="N4749" s="5"/>
      <c r="O4749">
        <v>583.41</v>
      </c>
      <c r="P4749">
        <v>228</v>
      </c>
      <c r="Q4749" s="2">
        <v>133017.48000000001</v>
      </c>
      <c r="R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 s="1">
        <v>42382</v>
      </c>
      <c r="AC4749" t="s">
        <v>53</v>
      </c>
      <c r="AD4749" t="s">
        <v>53</v>
      </c>
      <c r="AK4749">
        <v>0</v>
      </c>
      <c r="AU4749" s="6">
        <v>42034</v>
      </c>
      <c r="AV4749" s="6">
        <v>42034</v>
      </c>
      <c r="AW4749" t="s">
        <v>54</v>
      </c>
      <c r="AX4749" t="str">
        <f t="shared" si="401"/>
        <v>FOR</v>
      </c>
      <c r="AY4749" t="s">
        <v>55</v>
      </c>
    </row>
    <row r="4750" spans="1:51" hidden="1">
      <c r="A4750">
        <v>101759</v>
      </c>
      <c r="B4750" t="s">
        <v>874</v>
      </c>
      <c r="C4750" t="str">
        <f t="shared" si="402"/>
        <v>01308430626</v>
      </c>
      <c r="D4750" t="str">
        <f t="shared" si="403"/>
        <v>VRSCMN80T31A783K</v>
      </c>
      <c r="E4750" t="s">
        <v>52</v>
      </c>
      <c r="F4750">
        <v>2014</v>
      </c>
      <c r="G4750">
        <v>223</v>
      </c>
      <c r="H4750" s="1">
        <v>41719</v>
      </c>
      <c r="I4750" s="1">
        <v>41724</v>
      </c>
      <c r="J4750" s="1">
        <v>41724</v>
      </c>
      <c r="K4750" s="1">
        <v>41814</v>
      </c>
      <c r="N4750" s="5"/>
      <c r="O4750">
        <v>219.24</v>
      </c>
      <c r="P4750">
        <v>220</v>
      </c>
      <c r="Q4750" s="2">
        <v>48232.800000000003</v>
      </c>
      <c r="R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 s="1">
        <v>42382</v>
      </c>
      <c r="AC4750" t="s">
        <v>53</v>
      </c>
      <c r="AD4750" t="s">
        <v>53</v>
      </c>
      <c r="AK4750">
        <v>0</v>
      </c>
      <c r="AU4750" s="6">
        <v>42034</v>
      </c>
      <c r="AV4750" s="6">
        <v>42034</v>
      </c>
      <c r="AW4750" t="s">
        <v>54</v>
      </c>
      <c r="AX4750" t="str">
        <f t="shared" si="401"/>
        <v>FOR</v>
      </c>
      <c r="AY4750" t="s">
        <v>55</v>
      </c>
    </row>
    <row r="4751" spans="1:51" hidden="1">
      <c r="A4751">
        <v>101759</v>
      </c>
      <c r="B4751" t="s">
        <v>874</v>
      </c>
      <c r="C4751" t="str">
        <f t="shared" si="402"/>
        <v>01308430626</v>
      </c>
      <c r="D4751" t="str">
        <f t="shared" si="403"/>
        <v>VRSCMN80T31A783K</v>
      </c>
      <c r="E4751" t="s">
        <v>52</v>
      </c>
      <c r="F4751">
        <v>2014</v>
      </c>
      <c r="G4751">
        <v>251</v>
      </c>
      <c r="H4751" s="1">
        <v>41730</v>
      </c>
      <c r="I4751" s="1">
        <v>41733</v>
      </c>
      <c r="J4751" s="1">
        <v>41733</v>
      </c>
      <c r="K4751" s="1">
        <v>41823</v>
      </c>
      <c r="N4751" s="5"/>
      <c r="O4751">
        <v>63.87</v>
      </c>
      <c r="P4751">
        <v>238</v>
      </c>
      <c r="Q4751" s="2">
        <v>15201.06</v>
      </c>
      <c r="R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 s="1">
        <v>42382</v>
      </c>
      <c r="AC4751" t="s">
        <v>53</v>
      </c>
      <c r="AD4751" t="s">
        <v>53</v>
      </c>
      <c r="AK4751">
        <v>0</v>
      </c>
      <c r="AU4751" s="6">
        <v>42061</v>
      </c>
      <c r="AV4751" s="6">
        <v>42061</v>
      </c>
      <c r="AW4751" t="s">
        <v>54</v>
      </c>
      <c r="AX4751" t="str">
        <f t="shared" si="401"/>
        <v>FOR</v>
      </c>
      <c r="AY4751" t="s">
        <v>55</v>
      </c>
    </row>
    <row r="4752" spans="1:51" hidden="1">
      <c r="A4752">
        <v>101759</v>
      </c>
      <c r="B4752" t="s">
        <v>874</v>
      </c>
      <c r="C4752" t="str">
        <f t="shared" si="402"/>
        <v>01308430626</v>
      </c>
      <c r="D4752" t="str">
        <f t="shared" si="403"/>
        <v>VRSCMN80T31A783K</v>
      </c>
      <c r="E4752" t="s">
        <v>52</v>
      </c>
      <c r="F4752">
        <v>2014</v>
      </c>
      <c r="G4752">
        <v>292</v>
      </c>
      <c r="H4752" s="1">
        <v>41743</v>
      </c>
      <c r="I4752" s="1">
        <v>41744</v>
      </c>
      <c r="J4752" s="1">
        <v>41744</v>
      </c>
      <c r="K4752" s="1">
        <v>41834</v>
      </c>
      <c r="N4752" s="5"/>
      <c r="O4752">
        <v>707.91</v>
      </c>
      <c r="P4752">
        <v>227</v>
      </c>
      <c r="Q4752" s="2">
        <v>160695.57</v>
      </c>
      <c r="R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 s="1">
        <v>42382</v>
      </c>
      <c r="AC4752" t="s">
        <v>53</v>
      </c>
      <c r="AD4752" t="s">
        <v>53</v>
      </c>
      <c r="AK4752">
        <v>0</v>
      </c>
      <c r="AU4752" s="6">
        <v>42061</v>
      </c>
      <c r="AV4752" s="6">
        <v>42061</v>
      </c>
      <c r="AW4752" t="s">
        <v>54</v>
      </c>
      <c r="AX4752" t="str">
        <f t="shared" si="401"/>
        <v>FOR</v>
      </c>
      <c r="AY4752" t="s">
        <v>55</v>
      </c>
    </row>
    <row r="4753" spans="1:51" hidden="1">
      <c r="A4753">
        <v>101759</v>
      </c>
      <c r="B4753" t="s">
        <v>874</v>
      </c>
      <c r="C4753" t="str">
        <f t="shared" si="402"/>
        <v>01308430626</v>
      </c>
      <c r="D4753" t="str">
        <f t="shared" si="403"/>
        <v>VRSCMN80T31A783K</v>
      </c>
      <c r="E4753" t="s">
        <v>52</v>
      </c>
      <c r="F4753">
        <v>2014</v>
      </c>
      <c r="G4753">
        <v>368</v>
      </c>
      <c r="H4753" s="1">
        <v>41771</v>
      </c>
      <c r="I4753" s="1">
        <v>41773</v>
      </c>
      <c r="J4753" s="1">
        <v>41773</v>
      </c>
      <c r="K4753" s="1">
        <v>41863</v>
      </c>
      <c r="N4753" s="5"/>
      <c r="O4753">
        <v>446.78</v>
      </c>
      <c r="P4753">
        <v>267</v>
      </c>
      <c r="Q4753" s="2">
        <v>119290.26</v>
      </c>
      <c r="R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 s="1">
        <v>42382</v>
      </c>
      <c r="AC4753" t="s">
        <v>53</v>
      </c>
      <c r="AD4753" t="s">
        <v>53</v>
      </c>
      <c r="AK4753">
        <v>0</v>
      </c>
      <c r="AU4753" s="6">
        <v>42130</v>
      </c>
      <c r="AV4753" s="6">
        <v>42130</v>
      </c>
      <c r="AW4753" t="s">
        <v>54</v>
      </c>
      <c r="AX4753" t="str">
        <f t="shared" si="401"/>
        <v>FOR</v>
      </c>
      <c r="AY4753" t="s">
        <v>55</v>
      </c>
    </row>
    <row r="4754" spans="1:51" hidden="1">
      <c r="A4754">
        <v>101759</v>
      </c>
      <c r="B4754" t="s">
        <v>874</v>
      </c>
      <c r="C4754" t="str">
        <f t="shared" si="402"/>
        <v>01308430626</v>
      </c>
      <c r="D4754" t="str">
        <f t="shared" si="403"/>
        <v>VRSCMN80T31A783K</v>
      </c>
      <c r="E4754" t="s">
        <v>52</v>
      </c>
      <c r="F4754">
        <v>2014</v>
      </c>
      <c r="G4754">
        <v>430</v>
      </c>
      <c r="H4754" s="1">
        <v>41789</v>
      </c>
      <c r="I4754" s="1">
        <v>41793</v>
      </c>
      <c r="J4754" s="1">
        <v>41793</v>
      </c>
      <c r="K4754" s="1">
        <v>41883</v>
      </c>
      <c r="N4754" s="5"/>
      <c r="O4754">
        <v>508.97</v>
      </c>
      <c r="P4754">
        <v>247</v>
      </c>
      <c r="Q4754" s="2">
        <v>125715.59</v>
      </c>
      <c r="R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 s="1">
        <v>42382</v>
      </c>
      <c r="AC4754" t="s">
        <v>53</v>
      </c>
      <c r="AD4754" t="s">
        <v>53</v>
      </c>
      <c r="AK4754">
        <v>0</v>
      </c>
      <c r="AU4754" s="6">
        <v>42130</v>
      </c>
      <c r="AV4754" s="6">
        <v>42130</v>
      </c>
      <c r="AW4754" t="s">
        <v>54</v>
      </c>
      <c r="AX4754" t="str">
        <f t="shared" si="401"/>
        <v>FOR</v>
      </c>
      <c r="AY4754" t="s">
        <v>55</v>
      </c>
    </row>
    <row r="4755" spans="1:51" hidden="1">
      <c r="A4755">
        <v>101759</v>
      </c>
      <c r="B4755" t="s">
        <v>874</v>
      </c>
      <c r="C4755" t="str">
        <f t="shared" si="402"/>
        <v>01308430626</v>
      </c>
      <c r="D4755" t="str">
        <f t="shared" si="403"/>
        <v>VRSCMN80T31A783K</v>
      </c>
      <c r="E4755" t="s">
        <v>52</v>
      </c>
      <c r="F4755">
        <v>2014</v>
      </c>
      <c r="G4755">
        <v>442</v>
      </c>
      <c r="H4755" s="1">
        <v>41796</v>
      </c>
      <c r="I4755" s="1">
        <v>41799</v>
      </c>
      <c r="J4755" s="1">
        <v>41799</v>
      </c>
      <c r="K4755" s="1">
        <v>41889</v>
      </c>
      <c r="N4755" s="5"/>
      <c r="O4755">
        <v>491.97</v>
      </c>
      <c r="P4755">
        <v>241</v>
      </c>
      <c r="Q4755" s="2">
        <v>118564.77</v>
      </c>
      <c r="R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 s="1">
        <v>42382</v>
      </c>
      <c r="AC4755" t="s">
        <v>53</v>
      </c>
      <c r="AD4755" t="s">
        <v>53</v>
      </c>
      <c r="AK4755">
        <v>0</v>
      </c>
      <c r="AU4755" s="6">
        <v>42130</v>
      </c>
      <c r="AV4755" s="6">
        <v>42130</v>
      </c>
      <c r="AW4755" t="s">
        <v>54</v>
      </c>
      <c r="AX4755" t="str">
        <f t="shared" si="401"/>
        <v>FOR</v>
      </c>
      <c r="AY4755" t="s">
        <v>55</v>
      </c>
    </row>
    <row r="4756" spans="1:51" hidden="1">
      <c r="A4756">
        <v>101759</v>
      </c>
      <c r="B4756" t="s">
        <v>874</v>
      </c>
      <c r="C4756" t="str">
        <f t="shared" si="402"/>
        <v>01308430626</v>
      </c>
      <c r="D4756" t="str">
        <f t="shared" si="403"/>
        <v>VRSCMN80T31A783K</v>
      </c>
      <c r="E4756" t="s">
        <v>52</v>
      </c>
      <c r="F4756">
        <v>2014</v>
      </c>
      <c r="G4756">
        <v>496</v>
      </c>
      <c r="H4756" s="1">
        <v>41809</v>
      </c>
      <c r="I4756" s="1">
        <v>41814</v>
      </c>
      <c r="J4756" s="1">
        <v>41814</v>
      </c>
      <c r="K4756" s="1">
        <v>41904</v>
      </c>
      <c r="N4756" s="5"/>
      <c r="O4756">
        <v>549.04999999999995</v>
      </c>
      <c r="P4756">
        <v>226</v>
      </c>
      <c r="Q4756" s="2">
        <v>124085.3</v>
      </c>
      <c r="R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 s="1">
        <v>42382</v>
      </c>
      <c r="AC4756" t="s">
        <v>53</v>
      </c>
      <c r="AD4756" t="s">
        <v>53</v>
      </c>
      <c r="AK4756">
        <v>0</v>
      </c>
      <c r="AU4756" s="6">
        <v>42130</v>
      </c>
      <c r="AV4756" s="6">
        <v>42130</v>
      </c>
      <c r="AW4756" t="s">
        <v>54</v>
      </c>
      <c r="AX4756" t="str">
        <f t="shared" si="401"/>
        <v>FOR</v>
      </c>
      <c r="AY4756" t="s">
        <v>55</v>
      </c>
    </row>
    <row r="4757" spans="1:51" hidden="1">
      <c r="A4757">
        <v>101759</v>
      </c>
      <c r="B4757" t="s">
        <v>874</v>
      </c>
      <c r="C4757" t="str">
        <f t="shared" si="402"/>
        <v>01308430626</v>
      </c>
      <c r="D4757" t="str">
        <f t="shared" si="403"/>
        <v>VRSCMN80T31A783K</v>
      </c>
      <c r="E4757" t="s">
        <v>52</v>
      </c>
      <c r="F4757">
        <v>2014</v>
      </c>
      <c r="G4757">
        <v>604</v>
      </c>
      <c r="H4757" s="1">
        <v>41845</v>
      </c>
      <c r="I4757" s="1">
        <v>41848</v>
      </c>
      <c r="J4757" s="1">
        <v>41848</v>
      </c>
      <c r="K4757" s="1">
        <v>41938</v>
      </c>
      <c r="N4757" s="5"/>
      <c r="O4757">
        <v>891.83</v>
      </c>
      <c r="P4757">
        <v>221</v>
      </c>
      <c r="Q4757" s="2">
        <v>197094.43</v>
      </c>
      <c r="R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 s="1">
        <v>42382</v>
      </c>
      <c r="AC4757" t="s">
        <v>53</v>
      </c>
      <c r="AD4757" t="s">
        <v>53</v>
      </c>
      <c r="AK4757">
        <v>0</v>
      </c>
      <c r="AU4757" s="6">
        <v>42159</v>
      </c>
      <c r="AV4757" s="6">
        <v>42159</v>
      </c>
      <c r="AW4757" t="s">
        <v>54</v>
      </c>
      <c r="AX4757" t="str">
        <f t="shared" si="401"/>
        <v>FOR</v>
      </c>
      <c r="AY4757" t="s">
        <v>55</v>
      </c>
    </row>
    <row r="4758" spans="1:51" hidden="1">
      <c r="A4758">
        <v>101759</v>
      </c>
      <c r="B4758" t="s">
        <v>874</v>
      </c>
      <c r="C4758" t="str">
        <f t="shared" si="402"/>
        <v>01308430626</v>
      </c>
      <c r="D4758" t="str">
        <f t="shared" si="403"/>
        <v>VRSCMN80T31A783K</v>
      </c>
      <c r="E4758" t="s">
        <v>52</v>
      </c>
      <c r="F4758">
        <v>2014</v>
      </c>
      <c r="G4758">
        <v>618</v>
      </c>
      <c r="H4758" s="1">
        <v>41849</v>
      </c>
      <c r="I4758" s="1">
        <v>41849</v>
      </c>
      <c r="J4758" s="1">
        <v>41849</v>
      </c>
      <c r="K4758" s="1">
        <v>41939</v>
      </c>
      <c r="N4758" s="5"/>
      <c r="O4758">
        <v>200.67</v>
      </c>
      <c r="P4758">
        <v>220</v>
      </c>
      <c r="Q4758" s="2">
        <v>44147.4</v>
      </c>
      <c r="R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 s="1">
        <v>42382</v>
      </c>
      <c r="AC4758" t="s">
        <v>53</v>
      </c>
      <c r="AD4758" t="s">
        <v>53</v>
      </c>
      <c r="AK4758">
        <v>0</v>
      </c>
      <c r="AU4758" s="6">
        <v>42159</v>
      </c>
      <c r="AV4758" s="6">
        <v>42159</v>
      </c>
      <c r="AW4758" t="s">
        <v>54</v>
      </c>
      <c r="AX4758" t="str">
        <f t="shared" si="401"/>
        <v>FOR</v>
      </c>
      <c r="AY4758" t="s">
        <v>55</v>
      </c>
    </row>
    <row r="4759" spans="1:51" hidden="1">
      <c r="A4759">
        <v>101759</v>
      </c>
      <c r="B4759" t="s">
        <v>874</v>
      </c>
      <c r="C4759" t="str">
        <f t="shared" si="402"/>
        <v>01308430626</v>
      </c>
      <c r="D4759" t="str">
        <f t="shared" si="403"/>
        <v>VRSCMN80T31A783K</v>
      </c>
      <c r="E4759" t="s">
        <v>52</v>
      </c>
      <c r="F4759">
        <v>2014</v>
      </c>
      <c r="G4759">
        <v>619</v>
      </c>
      <c r="H4759" s="1">
        <v>41849</v>
      </c>
      <c r="I4759" s="1">
        <v>41849</v>
      </c>
      <c r="J4759" s="1">
        <v>41849</v>
      </c>
      <c r="K4759" s="1">
        <v>41939</v>
      </c>
      <c r="N4759" s="5"/>
      <c r="O4759">
        <v>292.60000000000002</v>
      </c>
      <c r="P4759">
        <v>220</v>
      </c>
      <c r="Q4759" s="2">
        <v>64372</v>
      </c>
      <c r="R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 s="1">
        <v>42382</v>
      </c>
      <c r="AC4759" t="s">
        <v>53</v>
      </c>
      <c r="AD4759" t="s">
        <v>53</v>
      </c>
      <c r="AK4759">
        <v>0</v>
      </c>
      <c r="AU4759" s="6">
        <v>42159</v>
      </c>
      <c r="AV4759" s="6">
        <v>42159</v>
      </c>
      <c r="AW4759" t="s">
        <v>54</v>
      </c>
      <c r="AX4759" t="str">
        <f t="shared" si="401"/>
        <v>FOR</v>
      </c>
      <c r="AY4759" t="s">
        <v>55</v>
      </c>
    </row>
    <row r="4760" spans="1:51" hidden="1">
      <c r="A4760">
        <v>101759</v>
      </c>
      <c r="B4760" t="s">
        <v>874</v>
      </c>
      <c r="C4760" t="str">
        <f t="shared" si="402"/>
        <v>01308430626</v>
      </c>
      <c r="D4760" t="str">
        <f t="shared" si="403"/>
        <v>VRSCMN80T31A783K</v>
      </c>
      <c r="E4760" t="s">
        <v>52</v>
      </c>
      <c r="F4760">
        <v>2014</v>
      </c>
      <c r="G4760">
        <v>681</v>
      </c>
      <c r="H4760" s="1">
        <v>41888</v>
      </c>
      <c r="I4760" s="1">
        <v>41892</v>
      </c>
      <c r="J4760" s="1">
        <v>41892</v>
      </c>
      <c r="K4760" s="1">
        <v>41982</v>
      </c>
      <c r="N4760" s="5"/>
      <c r="O4760">
        <v>618.19000000000005</v>
      </c>
      <c r="P4760">
        <v>267</v>
      </c>
      <c r="Q4760" s="2">
        <v>165056.73000000001</v>
      </c>
      <c r="R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 s="1">
        <v>42382</v>
      </c>
      <c r="AC4760" t="s">
        <v>53</v>
      </c>
      <c r="AD4760" t="s">
        <v>53</v>
      </c>
      <c r="AK4760">
        <v>0</v>
      </c>
      <c r="AU4760" s="6">
        <v>42249</v>
      </c>
      <c r="AV4760" s="6">
        <v>42249</v>
      </c>
      <c r="AW4760" t="s">
        <v>54</v>
      </c>
      <c r="AX4760" t="str">
        <f t="shared" si="401"/>
        <v>FOR</v>
      </c>
      <c r="AY4760" t="s">
        <v>55</v>
      </c>
    </row>
    <row r="4761" spans="1:51" hidden="1">
      <c r="A4761">
        <v>101759</v>
      </c>
      <c r="B4761" t="s">
        <v>874</v>
      </c>
      <c r="C4761" t="str">
        <f t="shared" si="402"/>
        <v>01308430626</v>
      </c>
      <c r="D4761" t="str">
        <f t="shared" si="403"/>
        <v>VRSCMN80T31A783K</v>
      </c>
      <c r="E4761" t="s">
        <v>52</v>
      </c>
      <c r="F4761">
        <v>2014</v>
      </c>
      <c r="G4761">
        <v>752</v>
      </c>
      <c r="H4761" s="1">
        <v>41911</v>
      </c>
      <c r="I4761" s="1">
        <v>41913</v>
      </c>
      <c r="J4761" s="1">
        <v>41913</v>
      </c>
      <c r="K4761" s="1">
        <v>42003</v>
      </c>
      <c r="N4761" s="5"/>
      <c r="O4761">
        <v>680.98</v>
      </c>
      <c r="P4761">
        <v>246</v>
      </c>
      <c r="Q4761" s="2">
        <v>167521.07999999999</v>
      </c>
      <c r="R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 s="1">
        <v>42382</v>
      </c>
      <c r="AC4761" t="s">
        <v>53</v>
      </c>
      <c r="AD4761" t="s">
        <v>53</v>
      </c>
      <c r="AK4761">
        <v>0</v>
      </c>
      <c r="AU4761" s="6">
        <v>42249</v>
      </c>
      <c r="AV4761" s="6">
        <v>42249</v>
      </c>
      <c r="AW4761" t="s">
        <v>54</v>
      </c>
      <c r="AX4761" t="str">
        <f t="shared" si="401"/>
        <v>FOR</v>
      </c>
      <c r="AY4761" t="s">
        <v>55</v>
      </c>
    </row>
    <row r="4762" spans="1:51" hidden="1">
      <c r="A4762">
        <v>101759</v>
      </c>
      <c r="B4762" t="s">
        <v>874</v>
      </c>
      <c r="C4762" t="str">
        <f t="shared" si="402"/>
        <v>01308430626</v>
      </c>
      <c r="D4762" t="str">
        <f t="shared" si="403"/>
        <v>VRSCMN80T31A783K</v>
      </c>
      <c r="E4762" t="s">
        <v>52</v>
      </c>
      <c r="F4762">
        <v>2014</v>
      </c>
      <c r="G4762">
        <v>816</v>
      </c>
      <c r="H4762" s="1">
        <v>41933</v>
      </c>
      <c r="I4762" s="1">
        <v>41935</v>
      </c>
      <c r="J4762" s="1">
        <v>41935</v>
      </c>
      <c r="K4762" s="1">
        <v>41995</v>
      </c>
      <c r="N4762" s="5"/>
      <c r="O4762">
        <v>591.70000000000005</v>
      </c>
      <c r="P4762">
        <v>282</v>
      </c>
      <c r="Q4762" s="2">
        <v>166859.4</v>
      </c>
      <c r="R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 s="1">
        <v>42382</v>
      </c>
      <c r="AC4762" t="s">
        <v>53</v>
      </c>
      <c r="AD4762" t="s">
        <v>53</v>
      </c>
      <c r="AK4762">
        <v>0</v>
      </c>
      <c r="AU4762" s="6">
        <v>42277</v>
      </c>
      <c r="AV4762" s="6">
        <v>42277</v>
      </c>
      <c r="AW4762" t="s">
        <v>54</v>
      </c>
      <c r="AX4762" t="str">
        <f t="shared" si="401"/>
        <v>FOR</v>
      </c>
      <c r="AY4762" t="s">
        <v>55</v>
      </c>
    </row>
    <row r="4763" spans="1:51" hidden="1">
      <c r="A4763">
        <v>101759</v>
      </c>
      <c r="B4763" t="s">
        <v>874</v>
      </c>
      <c r="C4763" t="str">
        <f t="shared" si="402"/>
        <v>01308430626</v>
      </c>
      <c r="D4763" t="str">
        <f t="shared" si="403"/>
        <v>VRSCMN80T31A783K</v>
      </c>
      <c r="E4763" t="s">
        <v>52</v>
      </c>
      <c r="F4763">
        <v>2014</v>
      </c>
      <c r="G4763">
        <v>839</v>
      </c>
      <c r="H4763" s="1">
        <v>41941</v>
      </c>
      <c r="I4763" s="1">
        <v>41946</v>
      </c>
      <c r="J4763" s="1">
        <v>41946</v>
      </c>
      <c r="K4763" s="1">
        <v>42006</v>
      </c>
      <c r="N4763" s="5"/>
      <c r="O4763">
        <v>298.83</v>
      </c>
      <c r="P4763">
        <v>271</v>
      </c>
      <c r="Q4763" s="2">
        <v>80982.929999999993</v>
      </c>
      <c r="R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 s="1">
        <v>42382</v>
      </c>
      <c r="AC4763" t="s">
        <v>53</v>
      </c>
      <c r="AD4763" t="s">
        <v>53</v>
      </c>
      <c r="AK4763">
        <v>0</v>
      </c>
      <c r="AU4763" s="6">
        <v>42277</v>
      </c>
      <c r="AV4763" s="6">
        <v>42277</v>
      </c>
      <c r="AW4763" t="s">
        <v>54</v>
      </c>
      <c r="AX4763" t="str">
        <f t="shared" si="401"/>
        <v>FOR</v>
      </c>
      <c r="AY4763" t="s">
        <v>55</v>
      </c>
    </row>
    <row r="4764" spans="1:51" hidden="1">
      <c r="A4764">
        <v>101759</v>
      </c>
      <c r="B4764" t="s">
        <v>874</v>
      </c>
      <c r="C4764" t="str">
        <f t="shared" si="402"/>
        <v>01308430626</v>
      </c>
      <c r="D4764" t="str">
        <f t="shared" si="403"/>
        <v>VRSCMN80T31A783K</v>
      </c>
      <c r="E4764" t="s">
        <v>52</v>
      </c>
      <c r="F4764">
        <v>2014</v>
      </c>
      <c r="G4764">
        <v>842</v>
      </c>
      <c r="H4764" s="1">
        <v>41941</v>
      </c>
      <c r="I4764" s="1">
        <v>41946</v>
      </c>
      <c r="J4764" s="1">
        <v>41946</v>
      </c>
      <c r="K4764" s="1">
        <v>42006</v>
      </c>
      <c r="N4764" s="5"/>
      <c r="O4764">
        <v>333.98</v>
      </c>
      <c r="P4764">
        <v>271</v>
      </c>
      <c r="Q4764" s="2">
        <v>90508.58</v>
      </c>
      <c r="R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 s="1">
        <v>42382</v>
      </c>
      <c r="AC4764" t="s">
        <v>53</v>
      </c>
      <c r="AD4764" t="s">
        <v>53</v>
      </c>
      <c r="AK4764">
        <v>0</v>
      </c>
      <c r="AU4764" s="6">
        <v>42277</v>
      </c>
      <c r="AV4764" s="6">
        <v>42277</v>
      </c>
      <c r="AW4764" t="s">
        <v>54</v>
      </c>
      <c r="AX4764" t="str">
        <f t="shared" si="401"/>
        <v>FOR</v>
      </c>
      <c r="AY4764" t="s">
        <v>55</v>
      </c>
    </row>
    <row r="4765" spans="1:51" hidden="1">
      <c r="A4765">
        <v>101759</v>
      </c>
      <c r="B4765" t="s">
        <v>874</v>
      </c>
      <c r="C4765" t="str">
        <f t="shared" si="402"/>
        <v>01308430626</v>
      </c>
      <c r="D4765" t="str">
        <f t="shared" si="403"/>
        <v>VRSCMN80T31A783K</v>
      </c>
      <c r="E4765" t="s">
        <v>52</v>
      </c>
      <c r="F4765">
        <v>2014</v>
      </c>
      <c r="G4765">
        <v>856</v>
      </c>
      <c r="H4765" s="1">
        <v>41947</v>
      </c>
      <c r="I4765" s="1">
        <v>41955</v>
      </c>
      <c r="J4765" s="1">
        <v>41955</v>
      </c>
      <c r="K4765" s="1">
        <v>42015</v>
      </c>
      <c r="N4765" s="5"/>
      <c r="O4765">
        <v>331.74</v>
      </c>
      <c r="P4765">
        <v>262</v>
      </c>
      <c r="Q4765" s="2">
        <v>86915.88</v>
      </c>
      <c r="R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 s="1">
        <v>42382</v>
      </c>
      <c r="AC4765" t="s">
        <v>53</v>
      </c>
      <c r="AD4765" t="s">
        <v>53</v>
      </c>
      <c r="AK4765">
        <v>0</v>
      </c>
      <c r="AU4765" s="6">
        <v>42277</v>
      </c>
      <c r="AV4765" s="6">
        <v>42277</v>
      </c>
      <c r="AW4765" t="s">
        <v>54</v>
      </c>
      <c r="AX4765" t="str">
        <f t="shared" si="401"/>
        <v>FOR</v>
      </c>
      <c r="AY4765" t="s">
        <v>55</v>
      </c>
    </row>
    <row r="4766" spans="1:51" hidden="1">
      <c r="A4766">
        <v>101759</v>
      </c>
      <c r="B4766" t="s">
        <v>874</v>
      </c>
      <c r="C4766" t="str">
        <f t="shared" si="402"/>
        <v>01308430626</v>
      </c>
      <c r="D4766" t="str">
        <f t="shared" si="403"/>
        <v>VRSCMN80T31A783K</v>
      </c>
      <c r="E4766" t="s">
        <v>52</v>
      </c>
      <c r="F4766">
        <v>2014</v>
      </c>
      <c r="G4766">
        <v>899</v>
      </c>
      <c r="H4766" s="1">
        <v>41963</v>
      </c>
      <c r="I4766" s="1">
        <v>41967</v>
      </c>
      <c r="J4766" s="1">
        <v>41967</v>
      </c>
      <c r="K4766" s="1">
        <v>42027</v>
      </c>
      <c r="N4766" s="5"/>
      <c r="O4766">
        <v>322.24</v>
      </c>
      <c r="P4766">
        <v>250</v>
      </c>
      <c r="Q4766" s="2">
        <v>80560</v>
      </c>
      <c r="R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 s="1">
        <v>42382</v>
      </c>
      <c r="AC4766" t="s">
        <v>53</v>
      </c>
      <c r="AD4766" t="s">
        <v>53</v>
      </c>
      <c r="AK4766">
        <v>0</v>
      </c>
      <c r="AU4766" s="6">
        <v>42277</v>
      </c>
      <c r="AV4766" s="6">
        <v>42277</v>
      </c>
      <c r="AW4766" t="s">
        <v>54</v>
      </c>
      <c r="AX4766" t="str">
        <f t="shared" si="401"/>
        <v>FOR</v>
      </c>
      <c r="AY4766" t="s">
        <v>55</v>
      </c>
    </row>
    <row r="4767" spans="1:51">
      <c r="A4767">
        <v>101759</v>
      </c>
      <c r="B4767" t="s">
        <v>874</v>
      </c>
      <c r="C4767" t="str">
        <f t="shared" si="402"/>
        <v>01308430626</v>
      </c>
      <c r="D4767" t="str">
        <f t="shared" si="403"/>
        <v>VRSCMN80T31A783K</v>
      </c>
      <c r="E4767" t="s">
        <v>52</v>
      </c>
      <c r="F4767">
        <v>2014</v>
      </c>
      <c r="G4767">
        <v>929</v>
      </c>
      <c r="H4767" s="1">
        <v>41975</v>
      </c>
      <c r="I4767" s="1">
        <v>41978</v>
      </c>
      <c r="J4767" s="1">
        <v>41978</v>
      </c>
      <c r="K4767" s="1">
        <v>42038</v>
      </c>
      <c r="L4767" s="7">
        <v>4790.6400000000003</v>
      </c>
      <c r="M4767" s="5">
        <v>262</v>
      </c>
      <c r="N4767" s="7">
        <v>1255147.68</v>
      </c>
      <c r="O4767" s="2">
        <v>4790.6400000000003</v>
      </c>
      <c r="P4767">
        <v>262</v>
      </c>
      <c r="Q4767" s="2">
        <v>1255147.68</v>
      </c>
      <c r="R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 s="1">
        <v>42382</v>
      </c>
      <c r="AC4767" t="s">
        <v>53</v>
      </c>
      <c r="AD4767" t="s">
        <v>53</v>
      </c>
      <c r="AK4767">
        <v>0</v>
      </c>
      <c r="AU4767" s="6">
        <v>42300</v>
      </c>
      <c r="AV4767" s="6">
        <v>42300</v>
      </c>
      <c r="AW4767" t="s">
        <v>54</v>
      </c>
      <c r="AX4767" t="str">
        <f t="shared" si="401"/>
        <v>FOR</v>
      </c>
      <c r="AY4767" t="s">
        <v>55</v>
      </c>
    </row>
    <row r="4768" spans="1:51">
      <c r="A4768">
        <v>101759</v>
      </c>
      <c r="B4768" t="s">
        <v>874</v>
      </c>
      <c r="C4768" t="str">
        <f t="shared" si="402"/>
        <v>01308430626</v>
      </c>
      <c r="D4768" t="str">
        <f t="shared" si="403"/>
        <v>VRSCMN80T31A783K</v>
      </c>
      <c r="E4768" t="s">
        <v>52</v>
      </c>
      <c r="F4768">
        <v>2014</v>
      </c>
      <c r="G4768">
        <v>973</v>
      </c>
      <c r="H4768" s="1">
        <v>41997</v>
      </c>
      <c r="I4768" s="1">
        <v>42004</v>
      </c>
      <c r="J4768" s="1">
        <v>42004</v>
      </c>
      <c r="K4768" s="1">
        <v>42064</v>
      </c>
      <c r="L4768" s="7">
        <v>529.30999999999995</v>
      </c>
      <c r="M4768" s="5">
        <v>236</v>
      </c>
      <c r="N4768" s="7">
        <v>124917.16</v>
      </c>
      <c r="O4768">
        <v>529.30999999999995</v>
      </c>
      <c r="P4768">
        <v>236</v>
      </c>
      <c r="Q4768" s="2">
        <v>124917.16</v>
      </c>
      <c r="R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 s="1">
        <v>42382</v>
      </c>
      <c r="AC4768" t="s">
        <v>53</v>
      </c>
      <c r="AD4768" t="s">
        <v>53</v>
      </c>
      <c r="AK4768">
        <v>0</v>
      </c>
      <c r="AU4768" s="6">
        <v>42300</v>
      </c>
      <c r="AV4768" s="6">
        <v>42300</v>
      </c>
      <c r="AW4768" t="s">
        <v>54</v>
      </c>
      <c r="AX4768" t="str">
        <f t="shared" si="401"/>
        <v>FOR</v>
      </c>
      <c r="AY4768" t="s">
        <v>55</v>
      </c>
    </row>
    <row r="4769" spans="1:51">
      <c r="A4769">
        <v>101759</v>
      </c>
      <c r="B4769" t="s">
        <v>874</v>
      </c>
      <c r="C4769" t="str">
        <f t="shared" si="402"/>
        <v>01308430626</v>
      </c>
      <c r="D4769" t="str">
        <f t="shared" si="403"/>
        <v>VRSCMN80T31A783K</v>
      </c>
      <c r="E4769" t="s">
        <v>52</v>
      </c>
      <c r="F4769">
        <v>2014</v>
      </c>
      <c r="G4769">
        <v>982</v>
      </c>
      <c r="H4769" s="1">
        <v>42004</v>
      </c>
      <c r="I4769" s="1">
        <v>42004</v>
      </c>
      <c r="J4769" s="1">
        <v>42004</v>
      </c>
      <c r="K4769" s="1">
        <v>42064</v>
      </c>
      <c r="L4769" s="7">
        <v>1197.04</v>
      </c>
      <c r="M4769" s="5">
        <v>236</v>
      </c>
      <c r="N4769" s="7">
        <v>282501.44</v>
      </c>
      <c r="O4769" s="2">
        <v>1197.04</v>
      </c>
      <c r="P4769">
        <v>236</v>
      </c>
      <c r="Q4769" s="2">
        <v>282501.44</v>
      </c>
      <c r="R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 s="1">
        <v>42382</v>
      </c>
      <c r="AC4769" t="s">
        <v>53</v>
      </c>
      <c r="AD4769" t="s">
        <v>53</v>
      </c>
      <c r="AK4769">
        <v>0</v>
      </c>
      <c r="AU4769" s="6">
        <v>42300</v>
      </c>
      <c r="AV4769" s="6">
        <v>42300</v>
      </c>
      <c r="AW4769" t="s">
        <v>54</v>
      </c>
      <c r="AX4769" t="str">
        <f t="shared" si="401"/>
        <v>FOR</v>
      </c>
      <c r="AY4769" t="s">
        <v>55</v>
      </c>
    </row>
    <row r="4770" spans="1:51" hidden="1">
      <c r="A4770">
        <v>101759</v>
      </c>
      <c r="B4770" t="s">
        <v>874</v>
      </c>
      <c r="C4770" t="str">
        <f t="shared" si="402"/>
        <v>01308430626</v>
      </c>
      <c r="D4770" t="str">
        <f t="shared" si="403"/>
        <v>VRSCMN80T31A783K</v>
      </c>
      <c r="E4770" t="s">
        <v>52</v>
      </c>
      <c r="F4770">
        <v>2014</v>
      </c>
      <c r="G4770" t="s">
        <v>875</v>
      </c>
      <c r="H4770" s="1">
        <v>41984</v>
      </c>
      <c r="I4770" s="1">
        <v>41988</v>
      </c>
      <c r="J4770" s="1">
        <v>41988</v>
      </c>
      <c r="K4770" s="1">
        <v>42048</v>
      </c>
      <c r="N4770" s="5"/>
      <c r="O4770">
        <v>60.39</v>
      </c>
      <c r="P4770">
        <v>-8</v>
      </c>
      <c r="Q4770">
        <v>-483.12</v>
      </c>
      <c r="R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 s="1">
        <v>42382</v>
      </c>
      <c r="AC4770" t="s">
        <v>53</v>
      </c>
      <c r="AD4770" t="s">
        <v>53</v>
      </c>
      <c r="AK4770">
        <v>0</v>
      </c>
      <c r="AU4770" s="6">
        <v>42040</v>
      </c>
      <c r="AV4770" s="6">
        <v>42040</v>
      </c>
      <c r="AW4770" t="s">
        <v>54</v>
      </c>
      <c r="AX4770" t="str">
        <f t="shared" si="401"/>
        <v>FOR</v>
      </c>
      <c r="AY4770" t="s">
        <v>55</v>
      </c>
    </row>
    <row r="4771" spans="1:51">
      <c r="A4771">
        <v>101759</v>
      </c>
      <c r="B4771" t="s">
        <v>874</v>
      </c>
      <c r="C4771" t="str">
        <f t="shared" si="402"/>
        <v>01308430626</v>
      </c>
      <c r="D4771" t="str">
        <f t="shared" si="403"/>
        <v>VRSCMN80T31A783K</v>
      </c>
      <c r="E4771" t="s">
        <v>52</v>
      </c>
      <c r="F4771">
        <v>2015</v>
      </c>
      <c r="G4771">
        <v>86</v>
      </c>
      <c r="H4771" s="1">
        <v>42045</v>
      </c>
      <c r="I4771" s="1">
        <v>42047</v>
      </c>
      <c r="J4771" s="1">
        <v>42047</v>
      </c>
      <c r="K4771" s="1">
        <v>42107</v>
      </c>
      <c r="L4771" s="7">
        <v>589.88</v>
      </c>
      <c r="M4771" s="5">
        <v>234</v>
      </c>
      <c r="N4771" s="7">
        <v>138031.92000000001</v>
      </c>
      <c r="O4771">
        <v>589.88</v>
      </c>
      <c r="P4771">
        <v>234</v>
      </c>
      <c r="Q4771" s="2">
        <v>138031.92000000001</v>
      </c>
      <c r="R4771">
        <v>129.77000000000001</v>
      </c>
      <c r="V4771">
        <v>0</v>
      </c>
      <c r="W4771">
        <v>0</v>
      </c>
      <c r="X4771">
        <v>0</v>
      </c>
      <c r="Y4771">
        <v>719.65</v>
      </c>
      <c r="Z4771">
        <v>719.65</v>
      </c>
      <c r="AA4771">
        <v>719.65</v>
      </c>
      <c r="AB4771" s="1">
        <v>42382</v>
      </c>
      <c r="AC4771" t="s">
        <v>53</v>
      </c>
      <c r="AD4771" t="s">
        <v>53</v>
      </c>
      <c r="AK4771">
        <v>129.77000000000001</v>
      </c>
      <c r="AU4771" s="6">
        <v>42341</v>
      </c>
      <c r="AV4771" s="6">
        <v>42341</v>
      </c>
      <c r="AW4771" t="s">
        <v>54</v>
      </c>
      <c r="AX4771" t="str">
        <f t="shared" si="401"/>
        <v>FOR</v>
      </c>
      <c r="AY4771" t="s">
        <v>55</v>
      </c>
    </row>
    <row r="4772" spans="1:51">
      <c r="A4772">
        <v>101759</v>
      </c>
      <c r="B4772" t="s">
        <v>874</v>
      </c>
      <c r="C4772" t="str">
        <f t="shared" si="402"/>
        <v>01308430626</v>
      </c>
      <c r="D4772" t="str">
        <f t="shared" si="403"/>
        <v>VRSCMN80T31A783K</v>
      </c>
      <c r="E4772" t="s">
        <v>52</v>
      </c>
      <c r="F4772">
        <v>2015</v>
      </c>
      <c r="G4772">
        <v>137</v>
      </c>
      <c r="H4772" s="1">
        <v>42061</v>
      </c>
      <c r="I4772" s="1">
        <v>42069</v>
      </c>
      <c r="J4772" s="1">
        <v>42069</v>
      </c>
      <c r="K4772" s="1">
        <v>42129</v>
      </c>
      <c r="L4772" s="7">
        <v>764.85</v>
      </c>
      <c r="M4772" s="5">
        <v>212</v>
      </c>
      <c r="N4772" s="7">
        <v>162148.20000000001</v>
      </c>
      <c r="O4772">
        <v>764.85</v>
      </c>
      <c r="P4772">
        <v>212</v>
      </c>
      <c r="Q4772" s="2">
        <v>162148.20000000001</v>
      </c>
      <c r="R4772">
        <v>168.27</v>
      </c>
      <c r="V4772">
        <v>0</v>
      </c>
      <c r="W4772">
        <v>0</v>
      </c>
      <c r="X4772">
        <v>0</v>
      </c>
      <c r="Y4772">
        <v>933.12</v>
      </c>
      <c r="Z4772">
        <v>933.12</v>
      </c>
      <c r="AA4772">
        <v>933.12</v>
      </c>
      <c r="AB4772" s="1">
        <v>42382</v>
      </c>
      <c r="AC4772" t="s">
        <v>53</v>
      </c>
      <c r="AD4772" t="s">
        <v>53</v>
      </c>
      <c r="AK4772">
        <v>168.27</v>
      </c>
      <c r="AU4772" s="6">
        <v>42341</v>
      </c>
      <c r="AV4772" s="6">
        <v>42341</v>
      </c>
      <c r="AW4772" t="s">
        <v>54</v>
      </c>
      <c r="AX4772" t="str">
        <f t="shared" si="401"/>
        <v>FOR</v>
      </c>
      <c r="AY4772" t="s">
        <v>55</v>
      </c>
    </row>
    <row r="4773" spans="1:51">
      <c r="A4773">
        <v>101759</v>
      </c>
      <c r="B4773" t="s">
        <v>874</v>
      </c>
      <c r="C4773" t="str">
        <f t="shared" si="402"/>
        <v>01308430626</v>
      </c>
      <c r="D4773" t="str">
        <f t="shared" si="403"/>
        <v>VRSCMN80T31A783K</v>
      </c>
      <c r="E4773" t="s">
        <v>52</v>
      </c>
      <c r="F4773">
        <v>2015</v>
      </c>
      <c r="G4773">
        <v>138</v>
      </c>
      <c r="H4773" s="1">
        <v>42061</v>
      </c>
      <c r="I4773" s="1">
        <v>42069</v>
      </c>
      <c r="J4773" s="1">
        <v>42069</v>
      </c>
      <c r="K4773" s="1">
        <v>42129</v>
      </c>
      <c r="L4773" s="7">
        <v>203.51</v>
      </c>
      <c r="M4773" s="5">
        <v>212</v>
      </c>
      <c r="N4773" s="7">
        <v>43144.12</v>
      </c>
      <c r="O4773">
        <v>203.51</v>
      </c>
      <c r="P4773">
        <v>212</v>
      </c>
      <c r="Q4773" s="2">
        <v>43144.12</v>
      </c>
      <c r="R4773">
        <v>44.77</v>
      </c>
      <c r="V4773">
        <v>0</v>
      </c>
      <c r="W4773">
        <v>0</v>
      </c>
      <c r="X4773">
        <v>0</v>
      </c>
      <c r="Y4773">
        <v>248.28</v>
      </c>
      <c r="Z4773">
        <v>248.28</v>
      </c>
      <c r="AA4773">
        <v>248.28</v>
      </c>
      <c r="AB4773" s="1">
        <v>42382</v>
      </c>
      <c r="AC4773" t="s">
        <v>53</v>
      </c>
      <c r="AD4773" t="s">
        <v>53</v>
      </c>
      <c r="AK4773">
        <v>44.77</v>
      </c>
      <c r="AU4773" s="6">
        <v>42341</v>
      </c>
      <c r="AV4773" s="6">
        <v>42341</v>
      </c>
      <c r="AW4773" t="s">
        <v>54</v>
      </c>
      <c r="AX4773" t="str">
        <f t="shared" si="401"/>
        <v>FOR</v>
      </c>
      <c r="AY4773" t="s">
        <v>55</v>
      </c>
    </row>
    <row r="4774" spans="1:51" hidden="1">
      <c r="A4774">
        <v>101766</v>
      </c>
      <c r="B4774" t="s">
        <v>876</v>
      </c>
      <c r="C4774" t="str">
        <f>"04485280871"</f>
        <v>04485280871</v>
      </c>
      <c r="D4774" t="str">
        <f>"04485280871"</f>
        <v>04485280871</v>
      </c>
      <c r="E4774" t="s">
        <v>52</v>
      </c>
      <c r="F4774">
        <v>2014</v>
      </c>
      <c r="G4774">
        <v>396</v>
      </c>
      <c r="H4774" s="1">
        <v>41778</v>
      </c>
      <c r="I4774" s="1">
        <v>41779</v>
      </c>
      <c r="J4774" s="1">
        <v>41779</v>
      </c>
      <c r="K4774" s="1">
        <v>41869</v>
      </c>
      <c r="N4774" s="5"/>
      <c r="O4774">
        <v>113.09</v>
      </c>
      <c r="P4774">
        <v>155</v>
      </c>
      <c r="Q4774" s="2">
        <v>17528.95</v>
      </c>
      <c r="R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 s="1">
        <v>42382</v>
      </c>
      <c r="AC4774" t="s">
        <v>53</v>
      </c>
      <c r="AD4774" t="s">
        <v>53</v>
      </c>
      <c r="AK4774">
        <v>0</v>
      </c>
      <c r="AU4774" s="6">
        <v>42024</v>
      </c>
      <c r="AV4774" s="6">
        <v>42024</v>
      </c>
      <c r="AW4774" t="s">
        <v>54</v>
      </c>
      <c r="AX4774" t="str">
        <f t="shared" si="401"/>
        <v>FOR</v>
      </c>
      <c r="AY4774" t="s">
        <v>55</v>
      </c>
    </row>
    <row r="4775" spans="1:51" hidden="1">
      <c r="A4775">
        <v>101766</v>
      </c>
      <c r="B4775" t="s">
        <v>876</v>
      </c>
      <c r="C4775" t="str">
        <f>"04485280871"</f>
        <v>04485280871</v>
      </c>
      <c r="D4775" t="str">
        <f>"04485280871"</f>
        <v>04485280871</v>
      </c>
      <c r="E4775" t="s">
        <v>52</v>
      </c>
      <c r="F4775">
        <v>2014</v>
      </c>
      <c r="G4775">
        <v>810</v>
      </c>
      <c r="H4775" s="1">
        <v>41927</v>
      </c>
      <c r="I4775" s="1">
        <v>41941</v>
      </c>
      <c r="J4775" s="1">
        <v>41941</v>
      </c>
      <c r="K4775" s="1">
        <v>42001</v>
      </c>
      <c r="N4775" s="5"/>
      <c r="O4775">
        <v>252.54</v>
      </c>
      <c r="P4775">
        <v>23</v>
      </c>
      <c r="Q4775" s="2">
        <v>5808.42</v>
      </c>
      <c r="R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 s="1">
        <v>42382</v>
      </c>
      <c r="AC4775" t="s">
        <v>53</v>
      </c>
      <c r="AD4775" t="s">
        <v>53</v>
      </c>
      <c r="AK4775">
        <v>0</v>
      </c>
      <c r="AU4775" s="6">
        <v>42024</v>
      </c>
      <c r="AV4775" s="6">
        <v>42024</v>
      </c>
      <c r="AW4775" t="s">
        <v>54</v>
      </c>
      <c r="AX4775" t="str">
        <f t="shared" si="401"/>
        <v>FOR</v>
      </c>
      <c r="AY4775" t="s">
        <v>55</v>
      </c>
    </row>
    <row r="4776" spans="1:51">
      <c r="A4776">
        <v>101767</v>
      </c>
      <c r="B4776" t="s">
        <v>877</v>
      </c>
      <c r="C4776" t="str">
        <f>"03687120612"</f>
        <v>03687120612</v>
      </c>
      <c r="D4776" t="str">
        <f>"03687120612"</f>
        <v>03687120612</v>
      </c>
      <c r="E4776" t="s">
        <v>52</v>
      </c>
      <c r="F4776">
        <v>2013</v>
      </c>
      <c r="G4776">
        <v>74</v>
      </c>
      <c r="H4776" s="1">
        <v>41418</v>
      </c>
      <c r="I4776" s="1">
        <v>41430</v>
      </c>
      <c r="J4776" s="1">
        <v>41430</v>
      </c>
      <c r="K4776" s="1">
        <v>41520</v>
      </c>
      <c r="L4776" s="7">
        <v>1488.3</v>
      </c>
      <c r="M4776" s="5">
        <v>833</v>
      </c>
      <c r="N4776" s="7">
        <v>1239753.8999999999</v>
      </c>
      <c r="O4776" s="2">
        <v>1488.3</v>
      </c>
      <c r="P4776">
        <v>833</v>
      </c>
      <c r="Q4776" s="2">
        <v>1239753.8999999999</v>
      </c>
      <c r="R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 s="1">
        <v>42382</v>
      </c>
      <c r="AC4776" t="s">
        <v>53</v>
      </c>
      <c r="AD4776" t="s">
        <v>53</v>
      </c>
      <c r="AK4776">
        <v>0</v>
      </c>
      <c r="AU4776" s="6">
        <v>42353</v>
      </c>
      <c r="AV4776" s="6">
        <v>42353</v>
      </c>
      <c r="AW4776" t="s">
        <v>54</v>
      </c>
      <c r="AX4776" t="str">
        <f t="shared" si="401"/>
        <v>FOR</v>
      </c>
      <c r="AY4776" t="s">
        <v>55</v>
      </c>
    </row>
    <row r="4777" spans="1:51" hidden="1">
      <c r="A4777">
        <v>101773</v>
      </c>
      <c r="B4777" t="s">
        <v>878</v>
      </c>
      <c r="C4777" t="str">
        <f>"00934261009"</f>
        <v>00934261009</v>
      </c>
      <c r="D4777" t="str">
        <f>"00813330586"</f>
        <v>00813330586</v>
      </c>
      <c r="E4777" t="s">
        <v>52</v>
      </c>
      <c r="F4777">
        <v>2014</v>
      </c>
      <c r="G4777">
        <v>465</v>
      </c>
      <c r="H4777" s="1">
        <v>41939</v>
      </c>
      <c r="I4777" s="1">
        <v>41941</v>
      </c>
      <c r="J4777" s="1">
        <v>41941</v>
      </c>
      <c r="K4777" s="1">
        <v>42001</v>
      </c>
      <c r="N4777" s="5"/>
      <c r="O4777" s="2">
        <v>1449.36</v>
      </c>
      <c r="P4777">
        <v>165</v>
      </c>
      <c r="Q4777" s="2">
        <v>239144.4</v>
      </c>
      <c r="R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 s="1">
        <v>42382</v>
      </c>
      <c r="AC4777" t="s">
        <v>53</v>
      </c>
      <c r="AD4777" t="s">
        <v>53</v>
      </c>
      <c r="AK4777">
        <v>0</v>
      </c>
      <c r="AU4777" s="6">
        <v>42166</v>
      </c>
      <c r="AV4777" s="6">
        <v>42166</v>
      </c>
      <c r="AW4777" t="s">
        <v>54</v>
      </c>
      <c r="AX4777" t="str">
        <f t="shared" si="401"/>
        <v>FOR</v>
      </c>
      <c r="AY4777" t="s">
        <v>55</v>
      </c>
    </row>
    <row r="4778" spans="1:51" hidden="1">
      <c r="A4778">
        <v>101773</v>
      </c>
      <c r="B4778" t="s">
        <v>878</v>
      </c>
      <c r="C4778" t="str">
        <f>"00934261009"</f>
        <v>00934261009</v>
      </c>
      <c r="D4778" t="str">
        <f>"00813330586"</f>
        <v>00813330586</v>
      </c>
      <c r="E4778" t="s">
        <v>52</v>
      </c>
      <c r="F4778">
        <v>2014</v>
      </c>
      <c r="G4778">
        <v>479</v>
      </c>
      <c r="H4778" s="1">
        <v>41948</v>
      </c>
      <c r="I4778" s="1">
        <v>41953</v>
      </c>
      <c r="J4778" s="1">
        <v>41953</v>
      </c>
      <c r="K4778" s="1">
        <v>42013</v>
      </c>
      <c r="N4778" s="5"/>
      <c r="O4778">
        <v>434.08</v>
      </c>
      <c r="P4778">
        <v>153</v>
      </c>
      <c r="Q4778" s="2">
        <v>66414.240000000005</v>
      </c>
      <c r="R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 s="1">
        <v>42382</v>
      </c>
      <c r="AC4778" t="s">
        <v>53</v>
      </c>
      <c r="AD4778" t="s">
        <v>53</v>
      </c>
      <c r="AK4778">
        <v>0</v>
      </c>
      <c r="AU4778" s="6">
        <v>42166</v>
      </c>
      <c r="AV4778" s="6">
        <v>42166</v>
      </c>
      <c r="AW4778" t="s">
        <v>54</v>
      </c>
      <c r="AX4778" t="str">
        <f t="shared" si="401"/>
        <v>FOR</v>
      </c>
      <c r="AY4778" t="s">
        <v>55</v>
      </c>
    </row>
    <row r="4779" spans="1:51" hidden="1">
      <c r="A4779">
        <v>101780</v>
      </c>
      <c r="B4779" t="s">
        <v>879</v>
      </c>
      <c r="C4779" t="str">
        <f t="shared" ref="C4779:D4783" si="404">"00873670152"</f>
        <v>00873670152</v>
      </c>
      <c r="D4779" t="str">
        <f t="shared" si="404"/>
        <v>00873670152</v>
      </c>
      <c r="E4779" t="s">
        <v>52</v>
      </c>
      <c r="F4779">
        <v>2014</v>
      </c>
      <c r="G4779">
        <v>91400147</v>
      </c>
      <c r="H4779" s="1">
        <v>41687</v>
      </c>
      <c r="I4779" s="1">
        <v>41701</v>
      </c>
      <c r="J4779" s="1">
        <v>41701</v>
      </c>
      <c r="K4779" s="1">
        <v>41791</v>
      </c>
      <c r="N4779" s="5"/>
      <c r="O4779" s="2">
        <v>1817.8</v>
      </c>
      <c r="P4779">
        <v>311</v>
      </c>
      <c r="Q4779" s="2">
        <v>565335.80000000005</v>
      </c>
      <c r="R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 s="1">
        <v>42382</v>
      </c>
      <c r="AC4779" t="s">
        <v>53</v>
      </c>
      <c r="AD4779" t="s">
        <v>53</v>
      </c>
      <c r="AK4779">
        <v>0</v>
      </c>
      <c r="AU4779" s="6">
        <v>42102</v>
      </c>
      <c r="AV4779" s="6">
        <v>42102</v>
      </c>
      <c r="AW4779" t="s">
        <v>54</v>
      </c>
      <c r="AX4779" t="str">
        <f t="shared" si="401"/>
        <v>FOR</v>
      </c>
      <c r="AY4779" t="s">
        <v>55</v>
      </c>
    </row>
    <row r="4780" spans="1:51" hidden="1">
      <c r="A4780">
        <v>101780</v>
      </c>
      <c r="B4780" t="s">
        <v>879</v>
      </c>
      <c r="C4780" t="str">
        <f t="shared" si="404"/>
        <v>00873670152</v>
      </c>
      <c r="D4780" t="str">
        <f t="shared" si="404"/>
        <v>00873670152</v>
      </c>
      <c r="E4780" t="s">
        <v>52</v>
      </c>
      <c r="F4780">
        <v>2014</v>
      </c>
      <c r="G4780">
        <v>91400210</v>
      </c>
      <c r="H4780" s="1">
        <v>41710</v>
      </c>
      <c r="I4780" s="1">
        <v>41719</v>
      </c>
      <c r="J4780" s="1">
        <v>41719</v>
      </c>
      <c r="K4780" s="1">
        <v>41809</v>
      </c>
      <c r="N4780" s="5"/>
      <c r="O4780" s="2">
        <v>3635.6</v>
      </c>
      <c r="P4780">
        <v>293</v>
      </c>
      <c r="Q4780" s="2">
        <v>1065230.8</v>
      </c>
      <c r="R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 s="1">
        <v>42382</v>
      </c>
      <c r="AC4780" t="s">
        <v>53</v>
      </c>
      <c r="AD4780" t="s">
        <v>53</v>
      </c>
      <c r="AK4780">
        <v>0</v>
      </c>
      <c r="AU4780" s="6">
        <v>42102</v>
      </c>
      <c r="AV4780" s="6">
        <v>42102</v>
      </c>
      <c r="AW4780" t="s">
        <v>54</v>
      </c>
      <c r="AX4780" t="str">
        <f t="shared" si="401"/>
        <v>FOR</v>
      </c>
      <c r="AY4780" t="s">
        <v>55</v>
      </c>
    </row>
    <row r="4781" spans="1:51" hidden="1">
      <c r="A4781">
        <v>101780</v>
      </c>
      <c r="B4781" t="s">
        <v>879</v>
      </c>
      <c r="C4781" t="str">
        <f t="shared" si="404"/>
        <v>00873670152</v>
      </c>
      <c r="D4781" t="str">
        <f t="shared" si="404"/>
        <v>00873670152</v>
      </c>
      <c r="E4781" t="s">
        <v>52</v>
      </c>
      <c r="F4781">
        <v>2014</v>
      </c>
      <c r="G4781">
        <v>91400291</v>
      </c>
      <c r="H4781" s="1">
        <v>41733</v>
      </c>
      <c r="I4781" s="1">
        <v>41746</v>
      </c>
      <c r="J4781" s="1">
        <v>41746</v>
      </c>
      <c r="K4781" s="1">
        <v>41836</v>
      </c>
      <c r="N4781" s="5"/>
      <c r="O4781" s="2">
        <v>1817.8</v>
      </c>
      <c r="P4781">
        <v>266</v>
      </c>
      <c r="Q4781" s="2">
        <v>483534.8</v>
      </c>
      <c r="R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 s="1">
        <v>42382</v>
      </c>
      <c r="AC4781" t="s">
        <v>53</v>
      </c>
      <c r="AD4781" t="s">
        <v>53</v>
      </c>
      <c r="AK4781">
        <v>0</v>
      </c>
      <c r="AU4781" s="6">
        <v>42102</v>
      </c>
      <c r="AV4781" s="6">
        <v>42102</v>
      </c>
      <c r="AW4781" t="s">
        <v>54</v>
      </c>
      <c r="AX4781" t="str">
        <f t="shared" si="401"/>
        <v>FOR</v>
      </c>
      <c r="AY4781" t="s">
        <v>55</v>
      </c>
    </row>
    <row r="4782" spans="1:51" hidden="1">
      <c r="A4782">
        <v>101780</v>
      </c>
      <c r="B4782" t="s">
        <v>879</v>
      </c>
      <c r="C4782" t="str">
        <f t="shared" si="404"/>
        <v>00873670152</v>
      </c>
      <c r="D4782" t="str">
        <f t="shared" si="404"/>
        <v>00873670152</v>
      </c>
      <c r="E4782" t="s">
        <v>52</v>
      </c>
      <c r="F4782">
        <v>2014</v>
      </c>
      <c r="G4782">
        <v>91400349</v>
      </c>
      <c r="H4782" s="1">
        <v>41754</v>
      </c>
      <c r="I4782" s="1">
        <v>42052</v>
      </c>
      <c r="J4782" s="1">
        <v>42052</v>
      </c>
      <c r="K4782" s="1">
        <v>42112</v>
      </c>
      <c r="N4782" s="5"/>
      <c r="O4782" s="2">
        <v>1817.8</v>
      </c>
      <c r="P4782">
        <v>19</v>
      </c>
      <c r="Q4782" s="2">
        <v>34538.199999999997</v>
      </c>
      <c r="R4782">
        <v>0</v>
      </c>
      <c r="V4782">
        <v>0</v>
      </c>
      <c r="W4782">
        <v>0</v>
      </c>
      <c r="X4782">
        <v>0</v>
      </c>
      <c r="Y4782">
        <v>0</v>
      </c>
      <c r="Z4782" s="2">
        <v>1817.8</v>
      </c>
      <c r="AA4782">
        <v>0</v>
      </c>
      <c r="AB4782" s="1">
        <v>42382</v>
      </c>
      <c r="AC4782" t="s">
        <v>53</v>
      </c>
      <c r="AD4782" t="s">
        <v>53</v>
      </c>
      <c r="AK4782">
        <v>0</v>
      </c>
      <c r="AU4782" s="6">
        <v>42131</v>
      </c>
      <c r="AV4782" s="6">
        <v>42131</v>
      </c>
      <c r="AW4782" t="s">
        <v>54</v>
      </c>
      <c r="AX4782" t="str">
        <f t="shared" si="401"/>
        <v>FOR</v>
      </c>
      <c r="AY4782" t="s">
        <v>55</v>
      </c>
    </row>
    <row r="4783" spans="1:51" hidden="1">
      <c r="A4783">
        <v>101780</v>
      </c>
      <c r="B4783" t="s">
        <v>879</v>
      </c>
      <c r="C4783" t="str">
        <f t="shared" si="404"/>
        <v>00873670152</v>
      </c>
      <c r="D4783" t="str">
        <f t="shared" si="404"/>
        <v>00873670152</v>
      </c>
      <c r="E4783" t="s">
        <v>52</v>
      </c>
      <c r="F4783">
        <v>2014</v>
      </c>
      <c r="G4783">
        <v>91400403</v>
      </c>
      <c r="H4783" s="1">
        <v>41775</v>
      </c>
      <c r="I4783" s="1">
        <v>41788</v>
      </c>
      <c r="J4783" s="1">
        <v>41788</v>
      </c>
      <c r="K4783" s="1">
        <v>41878</v>
      </c>
      <c r="N4783" s="5"/>
      <c r="O4783" s="2">
        <v>3635.6</v>
      </c>
      <c r="P4783">
        <v>253</v>
      </c>
      <c r="Q4783" s="2">
        <v>919806.8</v>
      </c>
      <c r="R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 s="1">
        <v>42382</v>
      </c>
      <c r="AC4783" t="s">
        <v>53</v>
      </c>
      <c r="AD4783" t="s">
        <v>53</v>
      </c>
      <c r="AK4783">
        <v>0</v>
      </c>
      <c r="AU4783" s="6">
        <v>42131</v>
      </c>
      <c r="AV4783" s="6">
        <v>42131</v>
      </c>
      <c r="AW4783" t="s">
        <v>54</v>
      </c>
      <c r="AX4783" t="str">
        <f t="shared" si="401"/>
        <v>FOR</v>
      </c>
      <c r="AY4783" t="s">
        <v>55</v>
      </c>
    </row>
    <row r="4784" spans="1:51" hidden="1">
      <c r="A4784">
        <v>101781</v>
      </c>
      <c r="B4784" t="s">
        <v>880</v>
      </c>
      <c r="C4784" t="str">
        <f>"06514991212"</f>
        <v>06514991212</v>
      </c>
      <c r="D4784" t="str">
        <f>"06514991212"</f>
        <v>06514991212</v>
      </c>
      <c r="E4784" t="s">
        <v>52</v>
      </c>
      <c r="F4784">
        <v>2014</v>
      </c>
      <c r="G4784" t="s">
        <v>881</v>
      </c>
      <c r="H4784" s="1">
        <v>41940</v>
      </c>
      <c r="I4784" s="1">
        <v>41983</v>
      </c>
      <c r="J4784" s="1">
        <v>41983</v>
      </c>
      <c r="K4784" s="1">
        <v>42043</v>
      </c>
      <c r="N4784" s="5"/>
      <c r="O4784">
        <v>93.91</v>
      </c>
      <c r="P4784">
        <v>-3</v>
      </c>
      <c r="Q4784">
        <v>-281.73</v>
      </c>
      <c r="R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 s="1">
        <v>42382</v>
      </c>
      <c r="AC4784" t="s">
        <v>53</v>
      </c>
      <c r="AD4784" t="s">
        <v>53</v>
      </c>
      <c r="AK4784">
        <v>0</v>
      </c>
      <c r="AU4784" s="6">
        <v>42040</v>
      </c>
      <c r="AV4784" s="6">
        <v>42040</v>
      </c>
      <c r="AW4784" t="s">
        <v>54</v>
      </c>
      <c r="AX4784" t="str">
        <f t="shared" si="401"/>
        <v>FOR</v>
      </c>
      <c r="AY4784" t="s">
        <v>55</v>
      </c>
    </row>
    <row r="4785" spans="1:51" hidden="1">
      <c r="A4785">
        <v>101781</v>
      </c>
      <c r="B4785" t="s">
        <v>880</v>
      </c>
      <c r="C4785" t="str">
        <f>"06514991212"</f>
        <v>06514991212</v>
      </c>
      <c r="D4785" t="str">
        <f>"06514991212"</f>
        <v>06514991212</v>
      </c>
      <c r="E4785" t="s">
        <v>52</v>
      </c>
      <c r="F4785">
        <v>2014</v>
      </c>
      <c r="G4785" t="s">
        <v>882</v>
      </c>
      <c r="H4785" s="1">
        <v>41975</v>
      </c>
      <c r="I4785" s="1">
        <v>41983</v>
      </c>
      <c r="J4785" s="1">
        <v>41983</v>
      </c>
      <c r="K4785" s="1">
        <v>42043</v>
      </c>
      <c r="N4785" s="5"/>
      <c r="O4785">
        <v>28.41</v>
      </c>
      <c r="P4785">
        <v>-3</v>
      </c>
      <c r="Q4785">
        <v>-85.23</v>
      </c>
      <c r="R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 s="1">
        <v>42382</v>
      </c>
      <c r="AC4785" t="s">
        <v>53</v>
      </c>
      <c r="AD4785" t="s">
        <v>53</v>
      </c>
      <c r="AK4785">
        <v>0</v>
      </c>
      <c r="AU4785" s="6">
        <v>42040</v>
      </c>
      <c r="AV4785" s="6">
        <v>42040</v>
      </c>
      <c r="AW4785" t="s">
        <v>54</v>
      </c>
      <c r="AX4785" t="str">
        <f t="shared" si="401"/>
        <v>FOR</v>
      </c>
      <c r="AY4785" t="s">
        <v>55</v>
      </c>
    </row>
    <row r="4786" spans="1:51" hidden="1">
      <c r="A4786">
        <v>101782</v>
      </c>
      <c r="B4786" t="s">
        <v>883</v>
      </c>
      <c r="C4786" t="str">
        <f>"06720091211"</f>
        <v>06720091211</v>
      </c>
      <c r="D4786" t="str">
        <f>"06720091211"</f>
        <v>06720091211</v>
      </c>
      <c r="E4786" t="s">
        <v>52</v>
      </c>
      <c r="F4786">
        <v>2014</v>
      </c>
      <c r="G4786">
        <v>123</v>
      </c>
      <c r="H4786" s="1">
        <v>41922</v>
      </c>
      <c r="I4786" s="1">
        <v>42067</v>
      </c>
      <c r="J4786" s="1">
        <v>42067</v>
      </c>
      <c r="K4786" s="1">
        <v>42127</v>
      </c>
      <c r="N4786" s="5"/>
      <c r="O4786" s="2">
        <v>8732</v>
      </c>
      <c r="P4786">
        <v>11</v>
      </c>
      <c r="Q4786" s="2">
        <v>96052</v>
      </c>
      <c r="R4786">
        <v>0</v>
      </c>
      <c r="V4786">
        <v>0</v>
      </c>
      <c r="W4786">
        <v>0</v>
      </c>
      <c r="X4786">
        <v>0</v>
      </c>
      <c r="Y4786">
        <v>0</v>
      </c>
      <c r="Z4786" s="2">
        <v>8732</v>
      </c>
      <c r="AA4786">
        <v>0</v>
      </c>
      <c r="AB4786" s="1">
        <v>42382</v>
      </c>
      <c r="AC4786" t="s">
        <v>53</v>
      </c>
      <c r="AD4786" t="s">
        <v>53</v>
      </c>
      <c r="AK4786">
        <v>0</v>
      </c>
      <c r="AU4786" s="6">
        <v>42138</v>
      </c>
      <c r="AV4786" s="6">
        <v>42138</v>
      </c>
      <c r="AW4786" t="s">
        <v>54</v>
      </c>
      <c r="AX4786" t="str">
        <f t="shared" si="401"/>
        <v>FOR</v>
      </c>
      <c r="AY4786" t="s">
        <v>55</v>
      </c>
    </row>
    <row r="4787" spans="1:51" hidden="1">
      <c r="A4787">
        <v>101785</v>
      </c>
      <c r="B4787" t="s">
        <v>884</v>
      </c>
      <c r="C4787" t="str">
        <f>"02701930642"</f>
        <v>02701930642</v>
      </c>
      <c r="D4787" t="str">
        <f>""</f>
        <v/>
      </c>
      <c r="E4787" t="s">
        <v>52</v>
      </c>
      <c r="F4787">
        <v>2013</v>
      </c>
      <c r="G4787">
        <v>22</v>
      </c>
      <c r="H4787" s="1">
        <v>41455</v>
      </c>
      <c r="I4787" s="1">
        <v>41467</v>
      </c>
      <c r="J4787" s="1">
        <v>41467</v>
      </c>
      <c r="K4787" s="1">
        <v>41557</v>
      </c>
      <c r="N4787" s="5"/>
      <c r="O4787" s="2">
        <v>5445</v>
      </c>
      <c r="P4787">
        <v>544</v>
      </c>
      <c r="Q4787" s="2">
        <v>2962080</v>
      </c>
      <c r="R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 s="1">
        <v>42382</v>
      </c>
      <c r="AC4787" t="s">
        <v>53</v>
      </c>
      <c r="AD4787" t="s">
        <v>53</v>
      </c>
      <c r="AK4787">
        <v>0</v>
      </c>
      <c r="AU4787" s="6">
        <v>42101</v>
      </c>
      <c r="AV4787" s="6">
        <v>42101</v>
      </c>
      <c r="AW4787" t="s">
        <v>54</v>
      </c>
      <c r="AX4787" t="str">
        <f t="shared" si="401"/>
        <v>FOR</v>
      </c>
      <c r="AY4787" t="s">
        <v>55</v>
      </c>
    </row>
    <row r="4788" spans="1:51" hidden="1">
      <c r="A4788">
        <v>101785</v>
      </c>
      <c r="B4788" t="s">
        <v>884</v>
      </c>
      <c r="C4788" t="str">
        <f>"02701930642"</f>
        <v>02701930642</v>
      </c>
      <c r="D4788" t="str">
        <f>""</f>
        <v/>
      </c>
      <c r="E4788" t="s">
        <v>52</v>
      </c>
      <c r="F4788">
        <v>2013</v>
      </c>
      <c r="G4788">
        <v>23</v>
      </c>
      <c r="H4788" s="1">
        <v>41455</v>
      </c>
      <c r="I4788" s="1">
        <v>41467</v>
      </c>
      <c r="J4788" s="1">
        <v>41467</v>
      </c>
      <c r="K4788" s="1">
        <v>41557</v>
      </c>
      <c r="N4788" s="5"/>
      <c r="O4788" s="2">
        <v>1210</v>
      </c>
      <c r="P4788">
        <v>544</v>
      </c>
      <c r="Q4788" s="2">
        <v>658240</v>
      </c>
      <c r="R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 s="1">
        <v>42382</v>
      </c>
      <c r="AC4788" t="s">
        <v>53</v>
      </c>
      <c r="AD4788" t="s">
        <v>53</v>
      </c>
      <c r="AK4788">
        <v>0</v>
      </c>
      <c r="AU4788" s="6">
        <v>42101</v>
      </c>
      <c r="AV4788" s="6">
        <v>42101</v>
      </c>
      <c r="AW4788" t="s">
        <v>54</v>
      </c>
      <c r="AX4788" t="str">
        <f t="shared" si="401"/>
        <v>FOR</v>
      </c>
      <c r="AY4788" t="s">
        <v>55</v>
      </c>
    </row>
    <row r="4789" spans="1:51" hidden="1">
      <c r="A4789">
        <v>101785</v>
      </c>
      <c r="B4789" t="s">
        <v>884</v>
      </c>
      <c r="C4789" t="str">
        <f>"02701930642"</f>
        <v>02701930642</v>
      </c>
      <c r="D4789" t="str">
        <f>""</f>
        <v/>
      </c>
      <c r="E4789" t="s">
        <v>52</v>
      </c>
      <c r="F4789">
        <v>2013</v>
      </c>
      <c r="G4789">
        <v>25</v>
      </c>
      <c r="H4789" s="1">
        <v>41460</v>
      </c>
      <c r="I4789" s="1">
        <v>41471</v>
      </c>
      <c r="J4789" s="1">
        <v>41471</v>
      </c>
      <c r="K4789" s="1">
        <v>41561</v>
      </c>
      <c r="N4789" s="5"/>
      <c r="O4789" s="2">
        <v>5557.28</v>
      </c>
      <c r="P4789">
        <v>540</v>
      </c>
      <c r="Q4789" s="2">
        <v>3000931.2</v>
      </c>
      <c r="R4789">
        <v>250.72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 s="1">
        <v>42382</v>
      </c>
      <c r="AC4789" t="s">
        <v>53</v>
      </c>
      <c r="AD4789" t="s">
        <v>53</v>
      </c>
      <c r="AK4789">
        <v>250.72</v>
      </c>
      <c r="AU4789" s="6">
        <v>42101</v>
      </c>
      <c r="AV4789" s="6">
        <v>42101</v>
      </c>
      <c r="AW4789" t="s">
        <v>54</v>
      </c>
      <c r="AX4789" t="str">
        <f t="shared" si="401"/>
        <v>FOR</v>
      </c>
      <c r="AY4789" t="s">
        <v>55</v>
      </c>
    </row>
    <row r="4790" spans="1:51" hidden="1">
      <c r="A4790">
        <v>101787</v>
      </c>
      <c r="B4790" t="s">
        <v>885</v>
      </c>
      <c r="C4790" t="str">
        <f t="shared" ref="C4790:D4797" si="405">"09275090158"</f>
        <v>09275090158</v>
      </c>
      <c r="D4790" t="str">
        <f t="shared" si="405"/>
        <v>09275090158</v>
      </c>
      <c r="E4790" t="s">
        <v>52</v>
      </c>
      <c r="F4790">
        <v>2014</v>
      </c>
      <c r="G4790">
        <v>14017893</v>
      </c>
      <c r="H4790" s="1">
        <v>41787</v>
      </c>
      <c r="I4790" s="1">
        <v>42040</v>
      </c>
      <c r="J4790" s="1">
        <v>42040</v>
      </c>
      <c r="K4790" s="1">
        <v>42100</v>
      </c>
      <c r="N4790" s="5"/>
      <c r="O4790" s="2">
        <v>1907.06</v>
      </c>
      <c r="P4790">
        <v>148</v>
      </c>
      <c r="Q4790" s="2">
        <v>282244.88</v>
      </c>
      <c r="R4790">
        <v>0</v>
      </c>
      <c r="V4790">
        <v>0</v>
      </c>
      <c r="W4790">
        <v>0</v>
      </c>
      <c r="X4790">
        <v>0</v>
      </c>
      <c r="Y4790">
        <v>0</v>
      </c>
      <c r="Z4790" s="2">
        <v>1907.06</v>
      </c>
      <c r="AA4790">
        <v>0</v>
      </c>
      <c r="AB4790" s="1">
        <v>42382</v>
      </c>
      <c r="AC4790" t="s">
        <v>53</v>
      </c>
      <c r="AD4790" t="s">
        <v>53</v>
      </c>
      <c r="AK4790">
        <v>0</v>
      </c>
      <c r="AU4790" s="6">
        <v>42248</v>
      </c>
      <c r="AV4790" s="6">
        <v>42248</v>
      </c>
      <c r="AW4790" t="s">
        <v>54</v>
      </c>
      <c r="AX4790" t="str">
        <f t="shared" si="401"/>
        <v>FOR</v>
      </c>
      <c r="AY4790" t="s">
        <v>55</v>
      </c>
    </row>
    <row r="4791" spans="1:51" hidden="1">
      <c r="A4791">
        <v>101787</v>
      </c>
      <c r="B4791" t="s">
        <v>885</v>
      </c>
      <c r="C4791" t="str">
        <f t="shared" si="405"/>
        <v>09275090158</v>
      </c>
      <c r="D4791" t="str">
        <f t="shared" si="405"/>
        <v>09275090158</v>
      </c>
      <c r="E4791" t="s">
        <v>52</v>
      </c>
      <c r="F4791">
        <v>2014</v>
      </c>
      <c r="G4791">
        <v>14017894</v>
      </c>
      <c r="H4791" s="1">
        <v>41787</v>
      </c>
      <c r="I4791" s="1">
        <v>41883</v>
      </c>
      <c r="J4791" s="1">
        <v>41883</v>
      </c>
      <c r="K4791" s="1">
        <v>41973</v>
      </c>
      <c r="N4791" s="5"/>
      <c r="O4791">
        <v>953.53</v>
      </c>
      <c r="P4791">
        <v>275</v>
      </c>
      <c r="Q4791" s="2">
        <v>262220.75</v>
      </c>
      <c r="R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 s="1">
        <v>42382</v>
      </c>
      <c r="AC4791" t="s">
        <v>53</v>
      </c>
      <c r="AD4791" t="s">
        <v>53</v>
      </c>
      <c r="AK4791">
        <v>0</v>
      </c>
      <c r="AU4791" s="6">
        <v>42248</v>
      </c>
      <c r="AV4791" s="6">
        <v>42248</v>
      </c>
      <c r="AW4791" t="s">
        <v>54</v>
      </c>
      <c r="AX4791" t="str">
        <f t="shared" si="401"/>
        <v>FOR</v>
      </c>
      <c r="AY4791" t="s">
        <v>55</v>
      </c>
    </row>
    <row r="4792" spans="1:51" hidden="1">
      <c r="A4792">
        <v>101787</v>
      </c>
      <c r="B4792" t="s">
        <v>885</v>
      </c>
      <c r="C4792" t="str">
        <f t="shared" si="405"/>
        <v>09275090158</v>
      </c>
      <c r="D4792" t="str">
        <f t="shared" si="405"/>
        <v>09275090158</v>
      </c>
      <c r="E4792" t="s">
        <v>52</v>
      </c>
      <c r="F4792">
        <v>2014</v>
      </c>
      <c r="G4792">
        <v>14026167</v>
      </c>
      <c r="H4792" s="1">
        <v>41857</v>
      </c>
      <c r="I4792" s="1">
        <v>42040</v>
      </c>
      <c r="J4792" s="1">
        <v>42040</v>
      </c>
      <c r="K4792" s="1">
        <v>42100</v>
      </c>
      <c r="N4792" s="5"/>
      <c r="O4792" s="2">
        <v>1907.06</v>
      </c>
      <c r="P4792">
        <v>148</v>
      </c>
      <c r="Q4792" s="2">
        <v>282244.88</v>
      </c>
      <c r="R4792">
        <v>0</v>
      </c>
      <c r="V4792">
        <v>0</v>
      </c>
      <c r="W4792">
        <v>0</v>
      </c>
      <c r="X4792">
        <v>0</v>
      </c>
      <c r="Y4792">
        <v>0</v>
      </c>
      <c r="Z4792" s="2">
        <v>1907.06</v>
      </c>
      <c r="AA4792">
        <v>0</v>
      </c>
      <c r="AB4792" s="1">
        <v>42382</v>
      </c>
      <c r="AC4792" t="s">
        <v>53</v>
      </c>
      <c r="AD4792" t="s">
        <v>53</v>
      </c>
      <c r="AK4792">
        <v>0</v>
      </c>
      <c r="AU4792" s="6">
        <v>42248</v>
      </c>
      <c r="AV4792" s="6">
        <v>42248</v>
      </c>
      <c r="AW4792" t="s">
        <v>54</v>
      </c>
      <c r="AX4792" t="str">
        <f t="shared" si="401"/>
        <v>FOR</v>
      </c>
      <c r="AY4792" t="s">
        <v>55</v>
      </c>
    </row>
    <row r="4793" spans="1:51" hidden="1">
      <c r="A4793">
        <v>101787</v>
      </c>
      <c r="B4793" t="s">
        <v>885</v>
      </c>
      <c r="C4793" t="str">
        <f t="shared" si="405"/>
        <v>09275090158</v>
      </c>
      <c r="D4793" t="str">
        <f t="shared" si="405"/>
        <v>09275090158</v>
      </c>
      <c r="E4793" t="s">
        <v>52</v>
      </c>
      <c r="F4793">
        <v>2014</v>
      </c>
      <c r="G4793">
        <v>14026168</v>
      </c>
      <c r="H4793" s="1">
        <v>41857</v>
      </c>
      <c r="I4793" s="1">
        <v>41883</v>
      </c>
      <c r="J4793" s="1">
        <v>41883</v>
      </c>
      <c r="K4793" s="1">
        <v>41973</v>
      </c>
      <c r="N4793" s="5"/>
      <c r="O4793">
        <v>953.53</v>
      </c>
      <c r="P4793">
        <v>275</v>
      </c>
      <c r="Q4793" s="2">
        <v>262220.75</v>
      </c>
      <c r="R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 s="1">
        <v>42382</v>
      </c>
      <c r="AC4793" t="s">
        <v>53</v>
      </c>
      <c r="AD4793" t="s">
        <v>53</v>
      </c>
      <c r="AK4793">
        <v>0</v>
      </c>
      <c r="AU4793" s="6">
        <v>42248</v>
      </c>
      <c r="AV4793" s="6">
        <v>42248</v>
      </c>
      <c r="AW4793" t="s">
        <v>54</v>
      </c>
      <c r="AX4793" t="str">
        <f t="shared" si="401"/>
        <v>FOR</v>
      </c>
      <c r="AY4793" t="s">
        <v>55</v>
      </c>
    </row>
    <row r="4794" spans="1:51">
      <c r="A4794">
        <v>101787</v>
      </c>
      <c r="B4794" t="s">
        <v>885</v>
      </c>
      <c r="C4794" t="str">
        <f t="shared" si="405"/>
        <v>09275090158</v>
      </c>
      <c r="D4794" t="str">
        <f t="shared" si="405"/>
        <v>09275090158</v>
      </c>
      <c r="E4794" t="s">
        <v>52</v>
      </c>
      <c r="F4794">
        <v>2014</v>
      </c>
      <c r="G4794">
        <v>14033966</v>
      </c>
      <c r="H4794" s="1">
        <v>41962</v>
      </c>
      <c r="I4794" s="1">
        <v>41974</v>
      </c>
      <c r="J4794" s="1">
        <v>41974</v>
      </c>
      <c r="K4794" s="1">
        <v>42034</v>
      </c>
      <c r="L4794" s="7">
        <v>1907.06</v>
      </c>
      <c r="M4794" s="5">
        <v>248</v>
      </c>
      <c r="N4794" s="7">
        <v>472950.88</v>
      </c>
      <c r="O4794" s="2">
        <v>1907.06</v>
      </c>
      <c r="P4794">
        <v>248</v>
      </c>
      <c r="Q4794" s="2">
        <v>472950.88</v>
      </c>
      <c r="R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 s="1">
        <v>42382</v>
      </c>
      <c r="AC4794" t="s">
        <v>53</v>
      </c>
      <c r="AD4794" t="s">
        <v>53</v>
      </c>
      <c r="AK4794">
        <v>0</v>
      </c>
      <c r="AU4794" s="6">
        <v>42282</v>
      </c>
      <c r="AV4794" s="6">
        <v>42282</v>
      </c>
      <c r="AW4794" t="s">
        <v>54</v>
      </c>
      <c r="AX4794" t="str">
        <f t="shared" si="401"/>
        <v>FOR</v>
      </c>
      <c r="AY4794" t="s">
        <v>55</v>
      </c>
    </row>
    <row r="4795" spans="1:51">
      <c r="A4795">
        <v>101787</v>
      </c>
      <c r="B4795" t="s">
        <v>885</v>
      </c>
      <c r="C4795" t="str">
        <f t="shared" si="405"/>
        <v>09275090158</v>
      </c>
      <c r="D4795" t="str">
        <f t="shared" si="405"/>
        <v>09275090158</v>
      </c>
      <c r="E4795" t="s">
        <v>52</v>
      </c>
      <c r="F4795">
        <v>2014</v>
      </c>
      <c r="G4795">
        <v>14033967</v>
      </c>
      <c r="H4795" s="1">
        <v>41962</v>
      </c>
      <c r="I4795" s="1">
        <v>41974</v>
      </c>
      <c r="J4795" s="1">
        <v>41974</v>
      </c>
      <c r="K4795" s="1">
        <v>42034</v>
      </c>
      <c r="L4795" s="7">
        <v>953.53</v>
      </c>
      <c r="M4795" s="5">
        <v>248</v>
      </c>
      <c r="N4795" s="7">
        <v>236475.44</v>
      </c>
      <c r="O4795">
        <v>953.53</v>
      </c>
      <c r="P4795">
        <v>248</v>
      </c>
      <c r="Q4795" s="2">
        <v>236475.44</v>
      </c>
      <c r="R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 s="1">
        <v>42382</v>
      </c>
      <c r="AC4795" t="s">
        <v>53</v>
      </c>
      <c r="AD4795" t="s">
        <v>53</v>
      </c>
      <c r="AK4795">
        <v>0</v>
      </c>
      <c r="AU4795" s="6">
        <v>42282</v>
      </c>
      <c r="AV4795" s="6">
        <v>42282</v>
      </c>
      <c r="AW4795" t="s">
        <v>54</v>
      </c>
      <c r="AX4795" t="str">
        <f t="shared" si="401"/>
        <v>FOR</v>
      </c>
      <c r="AY4795" t="s">
        <v>55</v>
      </c>
    </row>
    <row r="4796" spans="1:51">
      <c r="A4796">
        <v>101787</v>
      </c>
      <c r="B4796" t="s">
        <v>885</v>
      </c>
      <c r="C4796" t="str">
        <f t="shared" si="405"/>
        <v>09275090158</v>
      </c>
      <c r="D4796" t="str">
        <f t="shared" si="405"/>
        <v>09275090158</v>
      </c>
      <c r="E4796" t="s">
        <v>52</v>
      </c>
      <c r="F4796">
        <v>2015</v>
      </c>
      <c r="G4796">
        <v>7715003575</v>
      </c>
      <c r="H4796" s="1">
        <v>42060</v>
      </c>
      <c r="I4796" s="1">
        <v>42080</v>
      </c>
      <c r="J4796" s="1">
        <v>42080</v>
      </c>
      <c r="K4796" s="1">
        <v>42140</v>
      </c>
      <c r="L4796" s="7">
        <v>1563.16</v>
      </c>
      <c r="M4796" s="5">
        <v>215</v>
      </c>
      <c r="N4796" s="7">
        <v>336079.4</v>
      </c>
      <c r="O4796" s="2">
        <v>1563.16</v>
      </c>
      <c r="P4796">
        <v>215</v>
      </c>
      <c r="Q4796" s="2">
        <v>336079.4</v>
      </c>
      <c r="R4796">
        <v>343.9</v>
      </c>
      <c r="V4796">
        <v>0</v>
      </c>
      <c r="W4796">
        <v>0</v>
      </c>
      <c r="X4796">
        <v>0</v>
      </c>
      <c r="Y4796">
        <v>0</v>
      </c>
      <c r="Z4796" s="2">
        <v>1907.06</v>
      </c>
      <c r="AA4796" s="2">
        <v>1907.06</v>
      </c>
      <c r="AB4796" s="1">
        <v>42382</v>
      </c>
      <c r="AC4796" t="s">
        <v>53</v>
      </c>
      <c r="AD4796" t="s">
        <v>53</v>
      </c>
      <c r="AK4796">
        <v>343.9</v>
      </c>
      <c r="AU4796" s="6">
        <v>42355</v>
      </c>
      <c r="AV4796" s="6">
        <v>42355</v>
      </c>
      <c r="AW4796" t="s">
        <v>54</v>
      </c>
      <c r="AX4796" t="str">
        <f t="shared" si="401"/>
        <v>FOR</v>
      </c>
      <c r="AY4796" t="s">
        <v>55</v>
      </c>
    </row>
    <row r="4797" spans="1:51">
      <c r="A4797">
        <v>101787</v>
      </c>
      <c r="B4797" t="s">
        <v>885</v>
      </c>
      <c r="C4797" t="str">
        <f t="shared" si="405"/>
        <v>09275090158</v>
      </c>
      <c r="D4797" t="str">
        <f t="shared" si="405"/>
        <v>09275090158</v>
      </c>
      <c r="E4797" t="s">
        <v>52</v>
      </c>
      <c r="F4797">
        <v>2015</v>
      </c>
      <c r="G4797">
        <v>7715003576</v>
      </c>
      <c r="H4797" s="1">
        <v>42060</v>
      </c>
      <c r="I4797" s="1">
        <v>42080</v>
      </c>
      <c r="J4797" s="1">
        <v>42080</v>
      </c>
      <c r="K4797" s="1">
        <v>42140</v>
      </c>
      <c r="L4797" s="7">
        <v>781.58</v>
      </c>
      <c r="M4797" s="5">
        <v>215</v>
      </c>
      <c r="N4797" s="7">
        <v>168039.7</v>
      </c>
      <c r="O4797">
        <v>781.58</v>
      </c>
      <c r="P4797">
        <v>215</v>
      </c>
      <c r="Q4797" s="2">
        <v>168039.7</v>
      </c>
      <c r="R4797">
        <v>171.95</v>
      </c>
      <c r="V4797">
        <v>0</v>
      </c>
      <c r="W4797">
        <v>0</v>
      </c>
      <c r="X4797">
        <v>0</v>
      </c>
      <c r="Y4797">
        <v>0</v>
      </c>
      <c r="Z4797">
        <v>953.53</v>
      </c>
      <c r="AA4797">
        <v>953.53</v>
      </c>
      <c r="AB4797" s="1">
        <v>42382</v>
      </c>
      <c r="AC4797" t="s">
        <v>53</v>
      </c>
      <c r="AD4797" t="s">
        <v>53</v>
      </c>
      <c r="AK4797">
        <v>171.95</v>
      </c>
      <c r="AU4797" s="6">
        <v>42355</v>
      </c>
      <c r="AV4797" s="6">
        <v>42355</v>
      </c>
      <c r="AW4797" t="s">
        <v>54</v>
      </c>
      <c r="AX4797" t="str">
        <f t="shared" si="401"/>
        <v>FOR</v>
      </c>
      <c r="AY4797" t="s">
        <v>55</v>
      </c>
    </row>
    <row r="4798" spans="1:51" hidden="1">
      <c r="A4798">
        <v>101788</v>
      </c>
      <c r="B4798" t="s">
        <v>886</v>
      </c>
      <c r="C4798" t="str">
        <f>"01322850627"</f>
        <v>01322850627</v>
      </c>
      <c r="D4798" t="str">
        <f>"01322850627"</f>
        <v>01322850627</v>
      </c>
      <c r="E4798" t="s">
        <v>52</v>
      </c>
      <c r="F4798">
        <v>2014</v>
      </c>
      <c r="G4798">
        <v>5</v>
      </c>
      <c r="H4798" s="1">
        <v>41688</v>
      </c>
      <c r="I4798" s="1">
        <v>41688</v>
      </c>
      <c r="J4798" s="1">
        <v>41688</v>
      </c>
      <c r="K4798" s="1">
        <v>41778</v>
      </c>
      <c r="N4798" s="5"/>
      <c r="O4798" s="2">
        <v>3050</v>
      </c>
      <c r="P4798">
        <v>246</v>
      </c>
      <c r="Q4798" s="2">
        <v>750300</v>
      </c>
      <c r="R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 s="1">
        <v>42382</v>
      </c>
      <c r="AC4798" t="s">
        <v>53</v>
      </c>
      <c r="AD4798" t="s">
        <v>53</v>
      </c>
      <c r="AK4798">
        <v>0</v>
      </c>
      <c r="AU4798" s="6">
        <v>42024</v>
      </c>
      <c r="AV4798" s="6">
        <v>42024</v>
      </c>
      <c r="AW4798" t="s">
        <v>54</v>
      </c>
      <c r="AX4798" t="str">
        <f t="shared" si="401"/>
        <v>FOR</v>
      </c>
      <c r="AY4798" t="s">
        <v>55</v>
      </c>
    </row>
    <row r="4799" spans="1:51" hidden="1">
      <c r="A4799">
        <v>101789</v>
      </c>
      <c r="B4799" t="s">
        <v>887</v>
      </c>
      <c r="C4799" t="str">
        <f t="shared" ref="C4799:D4821" si="406">"01553270628"</f>
        <v>01553270628</v>
      </c>
      <c r="D4799" t="str">
        <f t="shared" si="406"/>
        <v>01553270628</v>
      </c>
      <c r="E4799" t="s">
        <v>52</v>
      </c>
      <c r="F4799">
        <v>2014</v>
      </c>
      <c r="G4799" t="s">
        <v>888</v>
      </c>
      <c r="H4799" s="1">
        <v>41911</v>
      </c>
      <c r="I4799" s="1">
        <v>41912</v>
      </c>
      <c r="J4799" s="1">
        <v>41912</v>
      </c>
      <c r="K4799" s="1">
        <v>42002</v>
      </c>
      <c r="N4799" s="5"/>
      <c r="O4799">
        <v>30</v>
      </c>
      <c r="P4799">
        <v>38</v>
      </c>
      <c r="Q4799" s="2">
        <v>1140</v>
      </c>
      <c r="R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 s="1">
        <v>42382</v>
      </c>
      <c r="AC4799" t="s">
        <v>53</v>
      </c>
      <c r="AD4799" t="s">
        <v>53</v>
      </c>
      <c r="AK4799">
        <v>0</v>
      </c>
      <c r="AU4799" s="6">
        <v>42040</v>
      </c>
      <c r="AV4799" s="6">
        <v>42040</v>
      </c>
      <c r="AW4799" t="s">
        <v>54</v>
      </c>
      <c r="AX4799" t="str">
        <f t="shared" si="401"/>
        <v>FOR</v>
      </c>
      <c r="AY4799" t="s">
        <v>55</v>
      </c>
    </row>
    <row r="4800" spans="1:51" hidden="1">
      <c r="A4800">
        <v>101789</v>
      </c>
      <c r="B4800" t="s">
        <v>887</v>
      </c>
      <c r="C4800" t="str">
        <f t="shared" si="406"/>
        <v>01553270628</v>
      </c>
      <c r="D4800" t="str">
        <f t="shared" si="406"/>
        <v>01553270628</v>
      </c>
      <c r="E4800" t="s">
        <v>52</v>
      </c>
      <c r="F4800">
        <v>2014</v>
      </c>
      <c r="G4800" t="s">
        <v>386</v>
      </c>
      <c r="H4800" s="1">
        <v>41919</v>
      </c>
      <c r="I4800" s="1">
        <v>41925</v>
      </c>
      <c r="J4800" s="1">
        <v>41925</v>
      </c>
      <c r="K4800" s="1">
        <v>42015</v>
      </c>
      <c r="N4800" s="5"/>
      <c r="O4800">
        <v>75</v>
      </c>
      <c r="P4800">
        <v>25</v>
      </c>
      <c r="Q4800" s="2">
        <v>1875</v>
      </c>
      <c r="R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 s="1">
        <v>42382</v>
      </c>
      <c r="AC4800" t="s">
        <v>53</v>
      </c>
      <c r="AD4800" t="s">
        <v>53</v>
      </c>
      <c r="AK4800">
        <v>0</v>
      </c>
      <c r="AU4800" s="6">
        <v>42040</v>
      </c>
      <c r="AV4800" s="6">
        <v>42040</v>
      </c>
      <c r="AW4800" t="s">
        <v>54</v>
      </c>
      <c r="AX4800" t="str">
        <f t="shared" si="401"/>
        <v>FOR</v>
      </c>
      <c r="AY4800" t="s">
        <v>55</v>
      </c>
    </row>
    <row r="4801" spans="1:51" hidden="1">
      <c r="A4801">
        <v>101789</v>
      </c>
      <c r="B4801" t="s">
        <v>887</v>
      </c>
      <c r="C4801" t="str">
        <f t="shared" si="406"/>
        <v>01553270628</v>
      </c>
      <c r="D4801" t="str">
        <f t="shared" si="406"/>
        <v>01553270628</v>
      </c>
      <c r="E4801" t="s">
        <v>52</v>
      </c>
      <c r="F4801">
        <v>2014</v>
      </c>
      <c r="G4801" t="s">
        <v>618</v>
      </c>
      <c r="H4801" s="1">
        <v>41925</v>
      </c>
      <c r="I4801" s="1">
        <v>41925</v>
      </c>
      <c r="J4801" s="1">
        <v>41925</v>
      </c>
      <c r="K4801" s="1">
        <v>42015</v>
      </c>
      <c r="N4801" s="5"/>
      <c r="O4801">
        <v>39.9</v>
      </c>
      <c r="P4801">
        <v>25</v>
      </c>
      <c r="Q4801">
        <v>997.5</v>
      </c>
      <c r="R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 s="1">
        <v>42382</v>
      </c>
      <c r="AC4801" t="s">
        <v>53</v>
      </c>
      <c r="AD4801" t="s">
        <v>53</v>
      </c>
      <c r="AK4801">
        <v>0</v>
      </c>
      <c r="AU4801" s="6">
        <v>42040</v>
      </c>
      <c r="AV4801" s="6">
        <v>42040</v>
      </c>
      <c r="AW4801" t="s">
        <v>54</v>
      </c>
      <c r="AX4801" t="str">
        <f t="shared" si="401"/>
        <v>FOR</v>
      </c>
      <c r="AY4801" t="s">
        <v>55</v>
      </c>
    </row>
    <row r="4802" spans="1:51" hidden="1">
      <c r="A4802">
        <v>101789</v>
      </c>
      <c r="B4802" t="s">
        <v>887</v>
      </c>
      <c r="C4802" t="str">
        <f t="shared" si="406"/>
        <v>01553270628</v>
      </c>
      <c r="D4802" t="str">
        <f t="shared" si="406"/>
        <v>01553270628</v>
      </c>
      <c r="E4802" t="s">
        <v>52</v>
      </c>
      <c r="F4802">
        <v>2014</v>
      </c>
      <c r="G4802" t="s">
        <v>619</v>
      </c>
      <c r="H4802" s="1">
        <v>41927</v>
      </c>
      <c r="I4802" s="1">
        <v>41928</v>
      </c>
      <c r="J4802" s="1">
        <v>41928</v>
      </c>
      <c r="K4802" s="1">
        <v>41988</v>
      </c>
      <c r="N4802" s="5"/>
      <c r="O4802">
        <v>64.8</v>
      </c>
      <c r="P4802">
        <v>52</v>
      </c>
      <c r="Q4802" s="2">
        <v>3369.6</v>
      </c>
      <c r="R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 s="1">
        <v>42382</v>
      </c>
      <c r="AC4802" t="s">
        <v>53</v>
      </c>
      <c r="AD4802" t="s">
        <v>53</v>
      </c>
      <c r="AK4802">
        <v>0</v>
      </c>
      <c r="AU4802" s="6">
        <v>42040</v>
      </c>
      <c r="AV4802" s="6">
        <v>42040</v>
      </c>
      <c r="AW4802" t="s">
        <v>54</v>
      </c>
      <c r="AX4802" t="str">
        <f t="shared" si="401"/>
        <v>FOR</v>
      </c>
      <c r="AY4802" t="s">
        <v>55</v>
      </c>
    </row>
    <row r="4803" spans="1:51" hidden="1">
      <c r="A4803">
        <v>101789</v>
      </c>
      <c r="B4803" t="s">
        <v>887</v>
      </c>
      <c r="C4803" t="str">
        <f t="shared" si="406"/>
        <v>01553270628</v>
      </c>
      <c r="D4803" t="str">
        <f t="shared" si="406"/>
        <v>01553270628</v>
      </c>
      <c r="E4803" t="s">
        <v>52</v>
      </c>
      <c r="F4803">
        <v>2014</v>
      </c>
      <c r="G4803" t="s">
        <v>889</v>
      </c>
      <c r="H4803" s="1">
        <v>41955</v>
      </c>
      <c r="I4803" s="1">
        <v>41957</v>
      </c>
      <c r="J4803" s="1">
        <v>41957</v>
      </c>
      <c r="K4803" s="1">
        <v>42017</v>
      </c>
      <c r="N4803" s="5"/>
      <c r="O4803">
        <v>54.8</v>
      </c>
      <c r="P4803">
        <v>23</v>
      </c>
      <c r="Q4803" s="2">
        <v>1260.4000000000001</v>
      </c>
      <c r="R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 s="1">
        <v>42382</v>
      </c>
      <c r="AC4803" t="s">
        <v>53</v>
      </c>
      <c r="AD4803" t="s">
        <v>53</v>
      </c>
      <c r="AK4803">
        <v>0</v>
      </c>
      <c r="AU4803" s="6">
        <v>42040</v>
      </c>
      <c r="AV4803" s="6">
        <v>42040</v>
      </c>
      <c r="AW4803" t="s">
        <v>54</v>
      </c>
      <c r="AX4803" t="str">
        <f t="shared" ref="AX4803:AX4866" si="407">"FOR"</f>
        <v>FOR</v>
      </c>
      <c r="AY4803" t="s">
        <v>55</v>
      </c>
    </row>
    <row r="4804" spans="1:51" hidden="1">
      <c r="A4804">
        <v>101789</v>
      </c>
      <c r="B4804" t="s">
        <v>887</v>
      </c>
      <c r="C4804" t="str">
        <f t="shared" si="406"/>
        <v>01553270628</v>
      </c>
      <c r="D4804" t="str">
        <f t="shared" si="406"/>
        <v>01553270628</v>
      </c>
      <c r="E4804" t="s">
        <v>52</v>
      </c>
      <c r="F4804">
        <v>2014</v>
      </c>
      <c r="G4804" t="s">
        <v>890</v>
      </c>
      <c r="H4804" s="1">
        <v>41962</v>
      </c>
      <c r="I4804" s="1">
        <v>41964</v>
      </c>
      <c r="J4804" s="1">
        <v>41964</v>
      </c>
      <c r="K4804" s="1">
        <v>42024</v>
      </c>
      <c r="N4804" s="5"/>
      <c r="O4804">
        <v>24.99</v>
      </c>
      <c r="P4804">
        <v>16</v>
      </c>
      <c r="Q4804">
        <v>399.84</v>
      </c>
      <c r="R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 s="1">
        <v>42382</v>
      </c>
      <c r="AC4804" t="s">
        <v>53</v>
      </c>
      <c r="AD4804" t="s">
        <v>53</v>
      </c>
      <c r="AK4804">
        <v>0</v>
      </c>
      <c r="AU4804" s="6">
        <v>42040</v>
      </c>
      <c r="AV4804" s="6">
        <v>42040</v>
      </c>
      <c r="AW4804" t="s">
        <v>54</v>
      </c>
      <c r="AX4804" t="str">
        <f t="shared" si="407"/>
        <v>FOR</v>
      </c>
      <c r="AY4804" t="s">
        <v>55</v>
      </c>
    </row>
    <row r="4805" spans="1:51" hidden="1">
      <c r="A4805">
        <v>101789</v>
      </c>
      <c r="B4805" t="s">
        <v>887</v>
      </c>
      <c r="C4805" t="str">
        <f t="shared" si="406"/>
        <v>01553270628</v>
      </c>
      <c r="D4805" t="str">
        <f t="shared" si="406"/>
        <v>01553270628</v>
      </c>
      <c r="E4805" t="s">
        <v>52</v>
      </c>
      <c r="F4805">
        <v>2014</v>
      </c>
      <c r="G4805" t="s">
        <v>891</v>
      </c>
      <c r="H4805" s="1">
        <v>41970</v>
      </c>
      <c r="I4805" s="1">
        <v>41983</v>
      </c>
      <c r="J4805" s="1">
        <v>41983</v>
      </c>
      <c r="K4805" s="1">
        <v>42043</v>
      </c>
      <c r="N4805" s="5"/>
      <c r="O4805">
        <v>139.80000000000001</v>
      </c>
      <c r="P4805">
        <v>-3</v>
      </c>
      <c r="Q4805">
        <v>-419.4</v>
      </c>
      <c r="R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 s="1">
        <v>42382</v>
      </c>
      <c r="AC4805" t="s">
        <v>53</v>
      </c>
      <c r="AD4805" t="s">
        <v>53</v>
      </c>
      <c r="AK4805">
        <v>0</v>
      </c>
      <c r="AU4805" s="6">
        <v>42040</v>
      </c>
      <c r="AV4805" s="6">
        <v>42040</v>
      </c>
      <c r="AW4805" t="s">
        <v>54</v>
      </c>
      <c r="AX4805" t="str">
        <f t="shared" si="407"/>
        <v>FOR</v>
      </c>
      <c r="AY4805" t="s">
        <v>55</v>
      </c>
    </row>
    <row r="4806" spans="1:51" hidden="1">
      <c r="A4806">
        <v>101789</v>
      </c>
      <c r="B4806" t="s">
        <v>887</v>
      </c>
      <c r="C4806" t="str">
        <f t="shared" si="406"/>
        <v>01553270628</v>
      </c>
      <c r="D4806" t="str">
        <f t="shared" si="406"/>
        <v>01553270628</v>
      </c>
      <c r="E4806" t="s">
        <v>52</v>
      </c>
      <c r="F4806">
        <v>2014</v>
      </c>
      <c r="G4806" t="s">
        <v>892</v>
      </c>
      <c r="H4806" s="1">
        <v>41977</v>
      </c>
      <c r="I4806" s="1">
        <v>41983</v>
      </c>
      <c r="J4806" s="1">
        <v>41983</v>
      </c>
      <c r="K4806" s="1">
        <v>42043</v>
      </c>
      <c r="N4806" s="5"/>
      <c r="O4806">
        <v>79.599999999999994</v>
      </c>
      <c r="P4806">
        <v>-3</v>
      </c>
      <c r="Q4806">
        <v>-238.8</v>
      </c>
      <c r="R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 s="1">
        <v>42382</v>
      </c>
      <c r="AC4806" t="s">
        <v>53</v>
      </c>
      <c r="AD4806" t="s">
        <v>53</v>
      </c>
      <c r="AK4806">
        <v>0</v>
      </c>
      <c r="AU4806" s="6">
        <v>42040</v>
      </c>
      <c r="AV4806" s="6">
        <v>42040</v>
      </c>
      <c r="AW4806" t="s">
        <v>54</v>
      </c>
      <c r="AX4806" t="str">
        <f t="shared" si="407"/>
        <v>FOR</v>
      </c>
      <c r="AY4806" t="s">
        <v>55</v>
      </c>
    </row>
    <row r="4807" spans="1:51" hidden="1">
      <c r="A4807">
        <v>101789</v>
      </c>
      <c r="B4807" t="s">
        <v>887</v>
      </c>
      <c r="C4807" t="str">
        <f t="shared" si="406"/>
        <v>01553270628</v>
      </c>
      <c r="D4807" t="str">
        <f t="shared" si="406"/>
        <v>01553270628</v>
      </c>
      <c r="E4807" t="s">
        <v>52</v>
      </c>
      <c r="F4807">
        <v>2014</v>
      </c>
      <c r="G4807" t="s">
        <v>893</v>
      </c>
      <c r="H4807" s="1">
        <v>41982</v>
      </c>
      <c r="I4807" s="1">
        <v>41983</v>
      </c>
      <c r="J4807" s="1">
        <v>41983</v>
      </c>
      <c r="K4807" s="1">
        <v>42043</v>
      </c>
      <c r="N4807" s="5"/>
      <c r="O4807">
        <v>29.9</v>
      </c>
      <c r="P4807">
        <v>-3</v>
      </c>
      <c r="Q4807">
        <v>-89.7</v>
      </c>
      <c r="R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 s="1">
        <v>42382</v>
      </c>
      <c r="AC4807" t="s">
        <v>53</v>
      </c>
      <c r="AD4807" t="s">
        <v>53</v>
      </c>
      <c r="AK4807">
        <v>0</v>
      </c>
      <c r="AU4807" s="6">
        <v>42040</v>
      </c>
      <c r="AV4807" s="6">
        <v>42040</v>
      </c>
      <c r="AW4807" t="s">
        <v>54</v>
      </c>
      <c r="AX4807" t="str">
        <f t="shared" si="407"/>
        <v>FOR</v>
      </c>
      <c r="AY4807" t="s">
        <v>55</v>
      </c>
    </row>
    <row r="4808" spans="1:51" hidden="1">
      <c r="A4808">
        <v>101789</v>
      </c>
      <c r="B4808" t="s">
        <v>887</v>
      </c>
      <c r="C4808" t="str">
        <f t="shared" si="406"/>
        <v>01553270628</v>
      </c>
      <c r="D4808" t="str">
        <f t="shared" si="406"/>
        <v>01553270628</v>
      </c>
      <c r="E4808" t="s">
        <v>52</v>
      </c>
      <c r="F4808">
        <v>2014</v>
      </c>
      <c r="G4808" t="s">
        <v>373</v>
      </c>
      <c r="H4808" s="1">
        <v>41983</v>
      </c>
      <c r="I4808" s="1">
        <v>41983</v>
      </c>
      <c r="J4808" s="1">
        <v>41983</v>
      </c>
      <c r="K4808" s="1">
        <v>42043</v>
      </c>
      <c r="N4808" s="5"/>
      <c r="O4808">
        <v>24.9</v>
      </c>
      <c r="P4808">
        <v>-3</v>
      </c>
      <c r="Q4808">
        <v>-74.7</v>
      </c>
      <c r="R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 s="1">
        <v>42382</v>
      </c>
      <c r="AC4808" t="s">
        <v>53</v>
      </c>
      <c r="AD4808" t="s">
        <v>53</v>
      </c>
      <c r="AK4808">
        <v>0</v>
      </c>
      <c r="AU4808" s="6">
        <v>42040</v>
      </c>
      <c r="AV4808" s="6">
        <v>42040</v>
      </c>
      <c r="AW4808" t="s">
        <v>54</v>
      </c>
      <c r="AX4808" t="str">
        <f t="shared" si="407"/>
        <v>FOR</v>
      </c>
      <c r="AY4808" t="s">
        <v>55</v>
      </c>
    </row>
    <row r="4809" spans="1:51" hidden="1">
      <c r="A4809">
        <v>101789</v>
      </c>
      <c r="B4809" t="s">
        <v>887</v>
      </c>
      <c r="C4809" t="str">
        <f t="shared" si="406"/>
        <v>01553270628</v>
      </c>
      <c r="D4809" t="str">
        <f t="shared" si="406"/>
        <v>01553270628</v>
      </c>
      <c r="E4809" t="s">
        <v>52</v>
      </c>
      <c r="F4809">
        <v>2015</v>
      </c>
      <c r="G4809">
        <v>24</v>
      </c>
      <c r="H4809" s="1">
        <v>42068</v>
      </c>
      <c r="I4809" s="1">
        <v>42164</v>
      </c>
      <c r="J4809" s="1">
        <v>42164</v>
      </c>
      <c r="K4809" s="1">
        <v>42224</v>
      </c>
      <c r="N4809" s="5"/>
      <c r="O4809">
        <v>278.61</v>
      </c>
      <c r="P4809">
        <v>-40</v>
      </c>
      <c r="Q4809" s="2">
        <v>-11144.4</v>
      </c>
      <c r="R4809">
        <v>61.29</v>
      </c>
      <c r="V4809">
        <v>0</v>
      </c>
      <c r="W4809">
        <v>0</v>
      </c>
      <c r="X4809">
        <v>0</v>
      </c>
      <c r="Y4809">
        <v>339.9</v>
      </c>
      <c r="Z4809">
        <v>339.9</v>
      </c>
      <c r="AA4809">
        <v>339.9</v>
      </c>
      <c r="AB4809" s="1">
        <v>42382</v>
      </c>
      <c r="AC4809" t="s">
        <v>53</v>
      </c>
      <c r="AD4809" t="s">
        <v>53</v>
      </c>
      <c r="AI4809">
        <v>61.29</v>
      </c>
      <c r="AK4809">
        <v>0</v>
      </c>
      <c r="AU4809" s="6">
        <v>42184</v>
      </c>
      <c r="AV4809" s="6">
        <v>42184</v>
      </c>
      <c r="AW4809" t="s">
        <v>54</v>
      </c>
      <c r="AX4809" t="str">
        <f t="shared" si="407"/>
        <v>FOR</v>
      </c>
      <c r="AY4809" t="s">
        <v>55</v>
      </c>
    </row>
    <row r="4810" spans="1:51" hidden="1">
      <c r="A4810">
        <v>101789</v>
      </c>
      <c r="B4810" t="s">
        <v>887</v>
      </c>
      <c r="C4810" t="str">
        <f t="shared" si="406"/>
        <v>01553270628</v>
      </c>
      <c r="D4810" t="str">
        <f t="shared" si="406"/>
        <v>01553270628</v>
      </c>
      <c r="E4810" t="s">
        <v>52</v>
      </c>
      <c r="F4810">
        <v>2015</v>
      </c>
      <c r="G4810" t="s">
        <v>405</v>
      </c>
      <c r="H4810" s="1">
        <v>42013</v>
      </c>
      <c r="I4810" s="1">
        <v>42025</v>
      </c>
      <c r="J4810" s="1">
        <v>42025</v>
      </c>
      <c r="K4810" s="1">
        <v>42085</v>
      </c>
      <c r="N4810" s="5"/>
      <c r="O4810">
        <v>24.51</v>
      </c>
      <c r="P4810">
        <v>38</v>
      </c>
      <c r="Q4810">
        <v>931.38</v>
      </c>
      <c r="R4810">
        <v>5.39</v>
      </c>
      <c r="V4810">
        <v>0</v>
      </c>
      <c r="W4810">
        <v>0</v>
      </c>
      <c r="X4810">
        <v>0</v>
      </c>
      <c r="Y4810">
        <v>29.9</v>
      </c>
      <c r="Z4810">
        <v>29.9</v>
      </c>
      <c r="AA4810">
        <v>29.9</v>
      </c>
      <c r="AB4810" s="1">
        <v>42382</v>
      </c>
      <c r="AC4810" t="s">
        <v>53</v>
      </c>
      <c r="AD4810" t="s">
        <v>53</v>
      </c>
      <c r="AK4810">
        <v>5.39</v>
      </c>
      <c r="AU4810" s="6">
        <v>42123</v>
      </c>
      <c r="AV4810" s="6">
        <v>42123</v>
      </c>
      <c r="AW4810" t="s">
        <v>54</v>
      </c>
      <c r="AX4810" t="str">
        <f t="shared" si="407"/>
        <v>FOR</v>
      </c>
      <c r="AY4810" t="s">
        <v>55</v>
      </c>
    </row>
    <row r="4811" spans="1:51" hidden="1">
      <c r="A4811">
        <v>101789</v>
      </c>
      <c r="B4811" t="s">
        <v>887</v>
      </c>
      <c r="C4811" t="str">
        <f t="shared" si="406"/>
        <v>01553270628</v>
      </c>
      <c r="D4811" t="str">
        <f t="shared" si="406"/>
        <v>01553270628</v>
      </c>
      <c r="E4811" t="s">
        <v>52</v>
      </c>
      <c r="F4811">
        <v>2015</v>
      </c>
      <c r="G4811" t="s">
        <v>454</v>
      </c>
      <c r="H4811" s="1">
        <v>42020</v>
      </c>
      <c r="I4811" s="1">
        <v>42025</v>
      </c>
      <c r="J4811" s="1">
        <v>42025</v>
      </c>
      <c r="K4811" s="1">
        <v>42085</v>
      </c>
      <c r="N4811" s="5"/>
      <c r="O4811">
        <v>49.02</v>
      </c>
      <c r="P4811">
        <v>38</v>
      </c>
      <c r="Q4811" s="2">
        <v>1862.76</v>
      </c>
      <c r="R4811">
        <v>10.78</v>
      </c>
      <c r="V4811">
        <v>0</v>
      </c>
      <c r="W4811">
        <v>0</v>
      </c>
      <c r="X4811">
        <v>0</v>
      </c>
      <c r="Y4811">
        <v>59.8</v>
      </c>
      <c r="Z4811">
        <v>59.8</v>
      </c>
      <c r="AA4811">
        <v>59.8</v>
      </c>
      <c r="AB4811" s="1">
        <v>42382</v>
      </c>
      <c r="AC4811" t="s">
        <v>53</v>
      </c>
      <c r="AD4811" t="s">
        <v>53</v>
      </c>
      <c r="AK4811">
        <v>10.78</v>
      </c>
      <c r="AU4811" s="6">
        <v>42123</v>
      </c>
      <c r="AV4811" s="6">
        <v>42123</v>
      </c>
      <c r="AW4811" t="s">
        <v>54</v>
      </c>
      <c r="AX4811" t="str">
        <f t="shared" si="407"/>
        <v>FOR</v>
      </c>
      <c r="AY4811" t="s">
        <v>55</v>
      </c>
    </row>
    <row r="4812" spans="1:51" hidden="1">
      <c r="A4812">
        <v>101789</v>
      </c>
      <c r="B4812" t="s">
        <v>887</v>
      </c>
      <c r="C4812" t="str">
        <f t="shared" si="406"/>
        <v>01553270628</v>
      </c>
      <c r="D4812" t="str">
        <f t="shared" si="406"/>
        <v>01553270628</v>
      </c>
      <c r="E4812" t="s">
        <v>52</v>
      </c>
      <c r="F4812">
        <v>2015</v>
      </c>
      <c r="G4812" t="s">
        <v>77</v>
      </c>
      <c r="H4812" s="1">
        <v>42025</v>
      </c>
      <c r="I4812" s="1">
        <v>42025</v>
      </c>
      <c r="J4812" s="1">
        <v>42025</v>
      </c>
      <c r="K4812" s="1">
        <v>42085</v>
      </c>
      <c r="N4812" s="5"/>
      <c r="O4812">
        <v>28.61</v>
      </c>
      <c r="P4812">
        <v>38</v>
      </c>
      <c r="Q4812" s="2">
        <v>1087.18</v>
      </c>
      <c r="R4812">
        <v>6.29</v>
      </c>
      <c r="V4812">
        <v>0</v>
      </c>
      <c r="W4812">
        <v>0</v>
      </c>
      <c r="X4812">
        <v>0</v>
      </c>
      <c r="Y4812">
        <v>34.9</v>
      </c>
      <c r="Z4812">
        <v>34.9</v>
      </c>
      <c r="AA4812">
        <v>34.9</v>
      </c>
      <c r="AB4812" s="1">
        <v>42382</v>
      </c>
      <c r="AC4812" t="s">
        <v>53</v>
      </c>
      <c r="AD4812" t="s">
        <v>53</v>
      </c>
      <c r="AK4812">
        <v>6.29</v>
      </c>
      <c r="AU4812" s="6">
        <v>42123</v>
      </c>
      <c r="AV4812" s="6">
        <v>42123</v>
      </c>
      <c r="AW4812" t="s">
        <v>54</v>
      </c>
      <c r="AX4812" t="str">
        <f t="shared" si="407"/>
        <v>FOR</v>
      </c>
      <c r="AY4812" t="s">
        <v>55</v>
      </c>
    </row>
    <row r="4813" spans="1:51" hidden="1">
      <c r="A4813">
        <v>101789</v>
      </c>
      <c r="B4813" t="s">
        <v>887</v>
      </c>
      <c r="C4813" t="str">
        <f t="shared" si="406"/>
        <v>01553270628</v>
      </c>
      <c r="D4813" t="str">
        <f t="shared" si="406"/>
        <v>01553270628</v>
      </c>
      <c r="E4813" t="s">
        <v>52</v>
      </c>
      <c r="F4813">
        <v>2015</v>
      </c>
      <c r="G4813" t="s">
        <v>459</v>
      </c>
      <c r="H4813" s="1">
        <v>42031</v>
      </c>
      <c r="I4813" s="1">
        <v>42033</v>
      </c>
      <c r="J4813" s="1">
        <v>42033</v>
      </c>
      <c r="K4813" s="1">
        <v>42093</v>
      </c>
      <c r="N4813" s="5"/>
      <c r="O4813">
        <v>15.57</v>
      </c>
      <c r="P4813">
        <v>30</v>
      </c>
      <c r="Q4813">
        <v>467.1</v>
      </c>
      <c r="R4813">
        <v>3.43</v>
      </c>
      <c r="V4813">
        <v>0</v>
      </c>
      <c r="W4813">
        <v>0</v>
      </c>
      <c r="X4813">
        <v>0</v>
      </c>
      <c r="Y4813">
        <v>19</v>
      </c>
      <c r="Z4813">
        <v>19</v>
      </c>
      <c r="AA4813">
        <v>19</v>
      </c>
      <c r="AB4813" s="1">
        <v>42382</v>
      </c>
      <c r="AC4813" t="s">
        <v>53</v>
      </c>
      <c r="AD4813" t="s">
        <v>53</v>
      </c>
      <c r="AK4813">
        <v>3.43</v>
      </c>
      <c r="AU4813" s="6">
        <v>42123</v>
      </c>
      <c r="AV4813" s="6">
        <v>42123</v>
      </c>
      <c r="AW4813" t="s">
        <v>54</v>
      </c>
      <c r="AX4813" t="str">
        <f t="shared" si="407"/>
        <v>FOR</v>
      </c>
      <c r="AY4813" t="s">
        <v>55</v>
      </c>
    </row>
    <row r="4814" spans="1:51" hidden="1">
      <c r="A4814">
        <v>101789</v>
      </c>
      <c r="B4814" t="s">
        <v>887</v>
      </c>
      <c r="C4814" t="str">
        <f t="shared" si="406"/>
        <v>01553270628</v>
      </c>
      <c r="D4814" t="str">
        <f t="shared" si="406"/>
        <v>01553270628</v>
      </c>
      <c r="E4814" t="s">
        <v>52</v>
      </c>
      <c r="F4814">
        <v>2015</v>
      </c>
      <c r="G4814" t="s">
        <v>406</v>
      </c>
      <c r="H4814" s="1">
        <v>42039</v>
      </c>
      <c r="I4814" s="1">
        <v>42040</v>
      </c>
      <c r="J4814" s="1">
        <v>42040</v>
      </c>
      <c r="K4814" s="1">
        <v>42100</v>
      </c>
      <c r="N4814" s="5"/>
      <c r="O4814">
        <v>36.72</v>
      </c>
      <c r="P4814">
        <v>23</v>
      </c>
      <c r="Q4814">
        <v>844.56</v>
      </c>
      <c r="R4814">
        <v>8.08</v>
      </c>
      <c r="V4814">
        <v>0</v>
      </c>
      <c r="W4814">
        <v>0</v>
      </c>
      <c r="X4814">
        <v>0</v>
      </c>
      <c r="Y4814">
        <v>44.8</v>
      </c>
      <c r="Z4814">
        <v>44.8</v>
      </c>
      <c r="AA4814">
        <v>44.8</v>
      </c>
      <c r="AB4814" s="1">
        <v>42382</v>
      </c>
      <c r="AC4814" t="s">
        <v>53</v>
      </c>
      <c r="AD4814" t="s">
        <v>53</v>
      </c>
      <c r="AK4814">
        <v>8.08</v>
      </c>
      <c r="AU4814" s="6">
        <v>42123</v>
      </c>
      <c r="AV4814" s="6">
        <v>42123</v>
      </c>
      <c r="AW4814" t="s">
        <v>54</v>
      </c>
      <c r="AX4814" t="str">
        <f t="shared" si="407"/>
        <v>FOR</v>
      </c>
      <c r="AY4814" t="s">
        <v>55</v>
      </c>
    </row>
    <row r="4815" spans="1:51" hidden="1">
      <c r="A4815">
        <v>101789</v>
      </c>
      <c r="B4815" t="s">
        <v>887</v>
      </c>
      <c r="C4815" t="str">
        <f t="shared" si="406"/>
        <v>01553270628</v>
      </c>
      <c r="D4815" t="str">
        <f t="shared" si="406"/>
        <v>01553270628</v>
      </c>
      <c r="E4815" t="s">
        <v>52</v>
      </c>
      <c r="F4815">
        <v>2015</v>
      </c>
      <c r="G4815" t="s">
        <v>633</v>
      </c>
      <c r="H4815" s="1">
        <v>42058</v>
      </c>
      <c r="I4815" s="1">
        <v>42059</v>
      </c>
      <c r="J4815" s="1">
        <v>42059</v>
      </c>
      <c r="K4815" s="1">
        <v>42119</v>
      </c>
      <c r="N4815" s="5"/>
      <c r="O4815">
        <v>28.61</v>
      </c>
      <c r="P4815">
        <v>4</v>
      </c>
      <c r="Q4815">
        <v>114.44</v>
      </c>
      <c r="R4815">
        <v>6.29</v>
      </c>
      <c r="V4815">
        <v>0</v>
      </c>
      <c r="W4815">
        <v>0</v>
      </c>
      <c r="X4815">
        <v>0</v>
      </c>
      <c r="Y4815">
        <v>34.9</v>
      </c>
      <c r="Z4815">
        <v>34.9</v>
      </c>
      <c r="AA4815">
        <v>34.9</v>
      </c>
      <c r="AB4815" s="1">
        <v>42382</v>
      </c>
      <c r="AC4815" t="s">
        <v>53</v>
      </c>
      <c r="AD4815" t="s">
        <v>53</v>
      </c>
      <c r="AK4815">
        <v>6.29</v>
      </c>
      <c r="AU4815" s="6">
        <v>42123</v>
      </c>
      <c r="AV4815" s="6">
        <v>42123</v>
      </c>
      <c r="AW4815" t="s">
        <v>54</v>
      </c>
      <c r="AX4815" t="str">
        <f t="shared" si="407"/>
        <v>FOR</v>
      </c>
      <c r="AY4815" t="s">
        <v>55</v>
      </c>
    </row>
    <row r="4816" spans="1:51" hidden="1">
      <c r="A4816">
        <v>101789</v>
      </c>
      <c r="B4816" t="s">
        <v>887</v>
      </c>
      <c r="C4816" t="str">
        <f t="shared" si="406"/>
        <v>01553270628</v>
      </c>
      <c r="D4816" t="str">
        <f t="shared" si="406"/>
        <v>01553270628</v>
      </c>
      <c r="E4816" t="s">
        <v>52</v>
      </c>
      <c r="F4816">
        <v>2015</v>
      </c>
      <c r="G4816" t="s">
        <v>445</v>
      </c>
      <c r="H4816" s="1">
        <v>42079</v>
      </c>
      <c r="I4816" s="1">
        <v>42115</v>
      </c>
      <c r="J4816" s="1">
        <v>42115</v>
      </c>
      <c r="K4816" s="1">
        <v>42175</v>
      </c>
      <c r="N4816" s="5"/>
      <c r="O4816">
        <v>196.64</v>
      </c>
      <c r="P4816">
        <v>9</v>
      </c>
      <c r="Q4816" s="2">
        <v>1769.76</v>
      </c>
      <c r="R4816">
        <v>43.26</v>
      </c>
      <c r="V4816">
        <v>0</v>
      </c>
      <c r="W4816">
        <v>0</v>
      </c>
      <c r="X4816">
        <v>0</v>
      </c>
      <c r="Y4816">
        <v>239.9</v>
      </c>
      <c r="Z4816">
        <v>239.9</v>
      </c>
      <c r="AA4816">
        <v>239.9</v>
      </c>
      <c r="AB4816" s="1">
        <v>42382</v>
      </c>
      <c r="AC4816" t="s">
        <v>53</v>
      </c>
      <c r="AD4816" t="s">
        <v>53</v>
      </c>
      <c r="AK4816">
        <v>43.26</v>
      </c>
      <c r="AU4816" s="6">
        <v>42184</v>
      </c>
      <c r="AV4816" s="6">
        <v>42184</v>
      </c>
      <c r="AW4816" t="s">
        <v>54</v>
      </c>
      <c r="AX4816" t="str">
        <f t="shared" si="407"/>
        <v>FOR</v>
      </c>
      <c r="AY4816" t="s">
        <v>55</v>
      </c>
    </row>
    <row r="4817" spans="1:51" hidden="1">
      <c r="A4817">
        <v>101789</v>
      </c>
      <c r="B4817" t="s">
        <v>887</v>
      </c>
      <c r="C4817" t="str">
        <f t="shared" si="406"/>
        <v>01553270628</v>
      </c>
      <c r="D4817" t="str">
        <f t="shared" si="406"/>
        <v>01553270628</v>
      </c>
      <c r="E4817" t="s">
        <v>52</v>
      </c>
      <c r="F4817">
        <v>2015</v>
      </c>
      <c r="G4817" t="s">
        <v>894</v>
      </c>
      <c r="H4817" s="1">
        <v>42159</v>
      </c>
      <c r="I4817" s="1">
        <v>42164</v>
      </c>
      <c r="J4817" s="1">
        <v>42159</v>
      </c>
      <c r="K4817" s="1">
        <v>42219</v>
      </c>
      <c r="N4817" s="5"/>
      <c r="O4817">
        <v>114.51</v>
      </c>
      <c r="P4817">
        <v>-35</v>
      </c>
      <c r="Q4817" s="2">
        <v>-4007.85</v>
      </c>
      <c r="R4817">
        <v>25.19</v>
      </c>
      <c r="V4817">
        <v>0</v>
      </c>
      <c r="W4817">
        <v>0</v>
      </c>
      <c r="X4817">
        <v>0</v>
      </c>
      <c r="Y4817">
        <v>139.69999999999999</v>
      </c>
      <c r="Z4817">
        <v>139.69999999999999</v>
      </c>
      <c r="AA4817">
        <v>139.69999999999999</v>
      </c>
      <c r="AB4817" s="1">
        <v>42382</v>
      </c>
      <c r="AC4817" t="s">
        <v>53</v>
      </c>
      <c r="AD4817" t="s">
        <v>53</v>
      </c>
      <c r="AI4817">
        <v>25.19</v>
      </c>
      <c r="AK4817">
        <v>0</v>
      </c>
      <c r="AU4817" s="6">
        <v>42184</v>
      </c>
      <c r="AV4817" s="6">
        <v>42184</v>
      </c>
      <c r="AW4817" t="s">
        <v>54</v>
      </c>
      <c r="AX4817" t="str">
        <f t="shared" si="407"/>
        <v>FOR</v>
      </c>
      <c r="AY4817" t="s">
        <v>55</v>
      </c>
    </row>
    <row r="4818" spans="1:51" hidden="1">
      <c r="A4818">
        <v>101789</v>
      </c>
      <c r="B4818" t="s">
        <v>887</v>
      </c>
      <c r="C4818" t="str">
        <f t="shared" si="406"/>
        <v>01553270628</v>
      </c>
      <c r="D4818" t="str">
        <f t="shared" si="406"/>
        <v>01553270628</v>
      </c>
      <c r="E4818" t="s">
        <v>52</v>
      </c>
      <c r="F4818">
        <v>2015</v>
      </c>
      <c r="G4818" t="s">
        <v>895</v>
      </c>
      <c r="H4818" s="1">
        <v>42159</v>
      </c>
      <c r="I4818" s="1">
        <v>42164</v>
      </c>
      <c r="J4818" s="1">
        <v>42159</v>
      </c>
      <c r="K4818" s="1">
        <v>42219</v>
      </c>
      <c r="N4818" s="5"/>
      <c r="O4818">
        <v>57.21</v>
      </c>
      <c r="P4818">
        <v>-35</v>
      </c>
      <c r="Q4818" s="2">
        <v>-2002.35</v>
      </c>
      <c r="R4818">
        <v>12.59</v>
      </c>
      <c r="V4818">
        <v>0</v>
      </c>
      <c r="W4818">
        <v>0</v>
      </c>
      <c r="X4818">
        <v>0</v>
      </c>
      <c r="Y4818">
        <v>69.8</v>
      </c>
      <c r="Z4818">
        <v>69.8</v>
      </c>
      <c r="AA4818">
        <v>69.8</v>
      </c>
      <c r="AB4818" s="1">
        <v>42382</v>
      </c>
      <c r="AC4818" t="s">
        <v>53</v>
      </c>
      <c r="AD4818" t="s">
        <v>53</v>
      </c>
      <c r="AI4818">
        <v>12.59</v>
      </c>
      <c r="AK4818">
        <v>0</v>
      </c>
      <c r="AU4818" s="6">
        <v>42184</v>
      </c>
      <c r="AV4818" s="6">
        <v>42184</v>
      </c>
      <c r="AW4818" t="s">
        <v>54</v>
      </c>
      <c r="AX4818" t="str">
        <f t="shared" si="407"/>
        <v>FOR</v>
      </c>
      <c r="AY4818" t="s">
        <v>55</v>
      </c>
    </row>
    <row r="4819" spans="1:51">
      <c r="A4819">
        <v>101789</v>
      </c>
      <c r="B4819" t="s">
        <v>887</v>
      </c>
      <c r="C4819" t="str">
        <f t="shared" si="406"/>
        <v>01553270628</v>
      </c>
      <c r="D4819" t="str">
        <f t="shared" si="406"/>
        <v>01553270628</v>
      </c>
      <c r="E4819" t="s">
        <v>52</v>
      </c>
      <c r="F4819">
        <v>2015</v>
      </c>
      <c r="G4819" t="s">
        <v>896</v>
      </c>
      <c r="H4819" s="1">
        <v>42261</v>
      </c>
      <c r="I4819" s="1">
        <v>42262</v>
      </c>
      <c r="J4819" s="1">
        <v>42261</v>
      </c>
      <c r="K4819" s="1">
        <v>42321</v>
      </c>
      <c r="L4819" s="7">
        <v>204.28</v>
      </c>
      <c r="M4819" s="5">
        <v>-37</v>
      </c>
      <c r="N4819" s="7">
        <v>-7558.36</v>
      </c>
      <c r="O4819">
        <v>204.28</v>
      </c>
      <c r="P4819">
        <v>-37</v>
      </c>
      <c r="Q4819" s="2">
        <v>-7558.36</v>
      </c>
      <c r="R4819">
        <v>44.94</v>
      </c>
      <c r="V4819">
        <v>0</v>
      </c>
      <c r="W4819">
        <v>0</v>
      </c>
      <c r="X4819">
        <v>0</v>
      </c>
      <c r="Y4819">
        <v>249.22</v>
      </c>
      <c r="Z4819">
        <v>249.22</v>
      </c>
      <c r="AA4819">
        <v>249.22</v>
      </c>
      <c r="AB4819" s="1">
        <v>42382</v>
      </c>
      <c r="AC4819" t="s">
        <v>53</v>
      </c>
      <c r="AD4819" t="s">
        <v>53</v>
      </c>
      <c r="AF4819">
        <v>44.94</v>
      </c>
      <c r="AK4819">
        <v>0</v>
      </c>
      <c r="AU4819" s="6">
        <v>42284</v>
      </c>
      <c r="AV4819" s="6">
        <v>42284</v>
      </c>
      <c r="AW4819" t="s">
        <v>54</v>
      </c>
      <c r="AX4819" t="str">
        <f t="shared" si="407"/>
        <v>FOR</v>
      </c>
      <c r="AY4819" t="s">
        <v>55</v>
      </c>
    </row>
    <row r="4820" spans="1:51">
      <c r="A4820">
        <v>101789</v>
      </c>
      <c r="B4820" t="s">
        <v>887</v>
      </c>
      <c r="C4820" t="str">
        <f t="shared" si="406"/>
        <v>01553270628</v>
      </c>
      <c r="D4820" t="str">
        <f t="shared" si="406"/>
        <v>01553270628</v>
      </c>
      <c r="E4820" t="s">
        <v>52</v>
      </c>
      <c r="F4820">
        <v>2015</v>
      </c>
      <c r="G4820" t="s">
        <v>897</v>
      </c>
      <c r="H4820" s="1">
        <v>42261</v>
      </c>
      <c r="I4820" s="1">
        <v>42262</v>
      </c>
      <c r="J4820" s="1">
        <v>42261</v>
      </c>
      <c r="K4820" s="1">
        <v>42321</v>
      </c>
      <c r="L4820" s="7">
        <v>811.5</v>
      </c>
      <c r="M4820" s="5">
        <v>-37</v>
      </c>
      <c r="N4820" s="7">
        <v>-30025.5</v>
      </c>
      <c r="O4820">
        <v>811.5</v>
      </c>
      <c r="P4820">
        <v>-37</v>
      </c>
      <c r="Q4820" s="2">
        <v>-30025.5</v>
      </c>
      <c r="R4820">
        <v>178.53</v>
      </c>
      <c r="V4820">
        <v>0</v>
      </c>
      <c r="W4820">
        <v>0</v>
      </c>
      <c r="X4820">
        <v>0</v>
      </c>
      <c r="Y4820">
        <v>990.03</v>
      </c>
      <c r="Z4820">
        <v>990.03</v>
      </c>
      <c r="AA4820">
        <v>990.03</v>
      </c>
      <c r="AB4820" s="1">
        <v>42382</v>
      </c>
      <c r="AC4820" t="s">
        <v>53</v>
      </c>
      <c r="AD4820" t="s">
        <v>53</v>
      </c>
      <c r="AF4820">
        <v>178.53</v>
      </c>
      <c r="AK4820">
        <v>0</v>
      </c>
      <c r="AU4820" s="6">
        <v>42284</v>
      </c>
      <c r="AV4820" s="6">
        <v>42284</v>
      </c>
      <c r="AW4820" t="s">
        <v>54</v>
      </c>
      <c r="AX4820" t="str">
        <f t="shared" si="407"/>
        <v>FOR</v>
      </c>
      <c r="AY4820" t="s">
        <v>55</v>
      </c>
    </row>
    <row r="4821" spans="1:51">
      <c r="A4821">
        <v>101789</v>
      </c>
      <c r="B4821" t="s">
        <v>887</v>
      </c>
      <c r="C4821" t="str">
        <f t="shared" si="406"/>
        <v>01553270628</v>
      </c>
      <c r="D4821" t="str">
        <f t="shared" si="406"/>
        <v>01553270628</v>
      </c>
      <c r="E4821" t="s">
        <v>52</v>
      </c>
      <c r="F4821">
        <v>2015</v>
      </c>
      <c r="G4821" t="s">
        <v>898</v>
      </c>
      <c r="H4821" s="1">
        <v>42264</v>
      </c>
      <c r="I4821" s="1">
        <v>42265</v>
      </c>
      <c r="J4821" s="1">
        <v>42264</v>
      </c>
      <c r="K4821" s="1">
        <v>42324</v>
      </c>
      <c r="L4821" s="7">
        <v>100.51</v>
      </c>
      <c r="M4821" s="5">
        <v>-40</v>
      </c>
      <c r="N4821" s="7">
        <v>-4020.4</v>
      </c>
      <c r="O4821">
        <v>100.51</v>
      </c>
      <c r="P4821">
        <v>-40</v>
      </c>
      <c r="Q4821" s="2">
        <v>-4020.4</v>
      </c>
      <c r="R4821">
        <v>22.11</v>
      </c>
      <c r="V4821">
        <v>0</v>
      </c>
      <c r="W4821">
        <v>0</v>
      </c>
      <c r="X4821">
        <v>0</v>
      </c>
      <c r="Y4821">
        <v>122.62</v>
      </c>
      <c r="Z4821">
        <v>122.62</v>
      </c>
      <c r="AA4821">
        <v>122.62</v>
      </c>
      <c r="AB4821" s="1">
        <v>42382</v>
      </c>
      <c r="AC4821" t="s">
        <v>53</v>
      </c>
      <c r="AD4821" t="s">
        <v>53</v>
      </c>
      <c r="AF4821">
        <v>22.11</v>
      </c>
      <c r="AK4821">
        <v>0</v>
      </c>
      <c r="AU4821" s="6">
        <v>42284</v>
      </c>
      <c r="AV4821" s="6">
        <v>42284</v>
      </c>
      <c r="AW4821" t="s">
        <v>54</v>
      </c>
      <c r="AX4821" t="str">
        <f t="shared" si="407"/>
        <v>FOR</v>
      </c>
      <c r="AY4821" t="s">
        <v>55</v>
      </c>
    </row>
    <row r="4822" spans="1:51" hidden="1">
      <c r="A4822">
        <v>101795</v>
      </c>
      <c r="B4822" t="s">
        <v>899</v>
      </c>
      <c r="C4822" t="str">
        <f>"07758920636"</f>
        <v>07758920636</v>
      </c>
      <c r="D4822" t="str">
        <f>"07758920636"</f>
        <v>07758920636</v>
      </c>
      <c r="E4822" t="s">
        <v>52</v>
      </c>
      <c r="F4822">
        <v>2015</v>
      </c>
      <c r="G4822">
        <v>204</v>
      </c>
      <c r="H4822" s="1">
        <v>42179</v>
      </c>
      <c r="I4822" s="1">
        <v>42187</v>
      </c>
      <c r="J4822" s="1">
        <v>42186</v>
      </c>
      <c r="K4822" s="1">
        <v>42246</v>
      </c>
      <c r="N4822" s="5"/>
      <c r="O4822" s="2">
        <v>4800</v>
      </c>
      <c r="P4822">
        <v>2</v>
      </c>
      <c r="Q4822" s="2">
        <v>9600</v>
      </c>
      <c r="R4822">
        <v>0</v>
      </c>
      <c r="V4822">
        <v>0</v>
      </c>
      <c r="W4822">
        <v>0</v>
      </c>
      <c r="X4822">
        <v>0</v>
      </c>
      <c r="Y4822" s="2">
        <v>5856</v>
      </c>
      <c r="Z4822" s="2">
        <v>5856</v>
      </c>
      <c r="AA4822" s="2">
        <v>5856</v>
      </c>
      <c r="AB4822" s="1">
        <v>42382</v>
      </c>
      <c r="AC4822" t="s">
        <v>53</v>
      </c>
      <c r="AD4822" t="s">
        <v>53</v>
      </c>
      <c r="AK4822">
        <v>0</v>
      </c>
      <c r="AU4822" s="6">
        <v>42248</v>
      </c>
      <c r="AV4822" s="6">
        <v>42248</v>
      </c>
      <c r="AW4822" t="s">
        <v>54</v>
      </c>
      <c r="AX4822" t="str">
        <f t="shared" si="407"/>
        <v>FOR</v>
      </c>
      <c r="AY4822" t="s">
        <v>55</v>
      </c>
    </row>
    <row r="4823" spans="1:51" hidden="1">
      <c r="A4823">
        <v>101796</v>
      </c>
      <c r="B4823" t="s">
        <v>900</v>
      </c>
      <c r="C4823" t="str">
        <f>"00426180683"</f>
        <v>00426180683</v>
      </c>
      <c r="D4823" t="str">
        <f>"00426180683"</f>
        <v>00426180683</v>
      </c>
      <c r="E4823" t="s">
        <v>52</v>
      </c>
      <c r="F4823">
        <v>2014</v>
      </c>
      <c r="G4823">
        <v>151</v>
      </c>
      <c r="H4823" s="1">
        <v>41912</v>
      </c>
      <c r="I4823" s="1">
        <v>41956</v>
      </c>
      <c r="J4823" s="1">
        <v>41956</v>
      </c>
      <c r="K4823" s="1">
        <v>42016</v>
      </c>
      <c r="N4823" s="5"/>
      <c r="O4823">
        <v>122</v>
      </c>
      <c r="P4823">
        <v>233</v>
      </c>
      <c r="Q4823" s="2">
        <v>28426</v>
      </c>
      <c r="R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 s="1">
        <v>42382</v>
      </c>
      <c r="AC4823" t="s">
        <v>53</v>
      </c>
      <c r="AD4823" t="s">
        <v>53</v>
      </c>
      <c r="AK4823">
        <v>0</v>
      </c>
      <c r="AU4823" s="6">
        <v>42249</v>
      </c>
      <c r="AV4823" s="6">
        <v>42249</v>
      </c>
      <c r="AW4823" t="s">
        <v>54</v>
      </c>
      <c r="AX4823" t="str">
        <f t="shared" si="407"/>
        <v>FOR</v>
      </c>
      <c r="AY4823" t="s">
        <v>55</v>
      </c>
    </row>
    <row r="4824" spans="1:51" hidden="1">
      <c r="A4824">
        <v>101801</v>
      </c>
      <c r="B4824" t="s">
        <v>901</v>
      </c>
      <c r="C4824" t="str">
        <f>"02414280343"</f>
        <v>02414280343</v>
      </c>
      <c r="D4824" t="str">
        <f>"02414280343"</f>
        <v>02414280343</v>
      </c>
      <c r="E4824" t="s">
        <v>52</v>
      </c>
      <c r="F4824">
        <v>2015</v>
      </c>
      <c r="G4824">
        <v>105</v>
      </c>
      <c r="H4824" s="1">
        <v>42058</v>
      </c>
      <c r="I4824" s="1">
        <v>42068</v>
      </c>
      <c r="J4824" s="1">
        <v>42068</v>
      </c>
      <c r="K4824" s="1">
        <v>42128</v>
      </c>
      <c r="N4824" s="5"/>
      <c r="O4824" s="2">
        <v>1800</v>
      </c>
      <c r="P4824">
        <v>93</v>
      </c>
      <c r="Q4824" s="2">
        <v>167400</v>
      </c>
      <c r="R4824">
        <v>0</v>
      </c>
      <c r="V4824">
        <v>0</v>
      </c>
      <c r="W4824">
        <v>0</v>
      </c>
      <c r="X4824">
        <v>0</v>
      </c>
      <c r="Y4824" s="2">
        <v>2196</v>
      </c>
      <c r="Z4824" s="2">
        <v>2196</v>
      </c>
      <c r="AA4824" s="2">
        <v>2196</v>
      </c>
      <c r="AB4824" s="1">
        <v>42382</v>
      </c>
      <c r="AC4824" t="s">
        <v>53</v>
      </c>
      <c r="AD4824" t="s">
        <v>53</v>
      </c>
      <c r="AK4824">
        <v>0</v>
      </c>
      <c r="AU4824" s="6">
        <v>42221</v>
      </c>
      <c r="AV4824" s="6">
        <v>42221</v>
      </c>
      <c r="AW4824" t="s">
        <v>54</v>
      </c>
      <c r="AX4824" t="str">
        <f t="shared" si="407"/>
        <v>FOR</v>
      </c>
      <c r="AY4824" t="s">
        <v>55</v>
      </c>
    </row>
    <row r="4825" spans="1:51" hidden="1">
      <c r="A4825">
        <v>101802</v>
      </c>
      <c r="B4825" t="s">
        <v>902</v>
      </c>
      <c r="C4825" t="str">
        <f t="shared" ref="C4825:D4838" si="408">"01433030705"</f>
        <v>01433030705</v>
      </c>
      <c r="D4825" t="str">
        <f t="shared" si="408"/>
        <v>01433030705</v>
      </c>
      <c r="E4825" t="s">
        <v>52</v>
      </c>
      <c r="F4825">
        <v>2014</v>
      </c>
      <c r="G4825">
        <v>73</v>
      </c>
      <c r="H4825" s="1">
        <v>41732</v>
      </c>
      <c r="I4825" s="1">
        <v>41736</v>
      </c>
      <c r="J4825" s="1">
        <v>41736</v>
      </c>
      <c r="K4825" s="1">
        <v>41826</v>
      </c>
      <c r="N4825" s="5"/>
      <c r="O4825">
        <v>829.6</v>
      </c>
      <c r="P4825">
        <v>192</v>
      </c>
      <c r="Q4825" s="2">
        <v>159283.20000000001</v>
      </c>
      <c r="R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 s="1">
        <v>42382</v>
      </c>
      <c r="AC4825" t="s">
        <v>53</v>
      </c>
      <c r="AD4825" t="s">
        <v>53</v>
      </c>
      <c r="AK4825">
        <v>0</v>
      </c>
      <c r="AU4825" s="6">
        <v>42018</v>
      </c>
      <c r="AV4825" s="6">
        <v>42018</v>
      </c>
      <c r="AW4825" t="s">
        <v>54</v>
      </c>
      <c r="AX4825" t="str">
        <f t="shared" si="407"/>
        <v>FOR</v>
      </c>
      <c r="AY4825" t="s">
        <v>55</v>
      </c>
    </row>
    <row r="4826" spans="1:51" hidden="1">
      <c r="A4826">
        <v>101802</v>
      </c>
      <c r="B4826" t="s">
        <v>902</v>
      </c>
      <c r="C4826" t="str">
        <f t="shared" si="408"/>
        <v>01433030705</v>
      </c>
      <c r="D4826" t="str">
        <f t="shared" si="408"/>
        <v>01433030705</v>
      </c>
      <c r="E4826" t="s">
        <v>52</v>
      </c>
      <c r="F4826">
        <v>2014</v>
      </c>
      <c r="G4826">
        <v>82</v>
      </c>
      <c r="H4826" s="1">
        <v>41744</v>
      </c>
      <c r="I4826" s="1">
        <v>41744</v>
      </c>
      <c r="J4826" s="1">
        <v>41744</v>
      </c>
      <c r="K4826" s="1">
        <v>41834</v>
      </c>
      <c r="N4826" s="5"/>
      <c r="O4826">
        <v>146.4</v>
      </c>
      <c r="P4826">
        <v>184</v>
      </c>
      <c r="Q4826" s="2">
        <v>26937.599999999999</v>
      </c>
      <c r="R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 s="1">
        <v>42382</v>
      </c>
      <c r="AC4826" t="s">
        <v>53</v>
      </c>
      <c r="AD4826" t="s">
        <v>53</v>
      </c>
      <c r="AK4826">
        <v>0</v>
      </c>
      <c r="AU4826" s="6">
        <v>42018</v>
      </c>
      <c r="AV4826" s="6">
        <v>42018</v>
      </c>
      <c r="AW4826" t="s">
        <v>54</v>
      </c>
      <c r="AX4826" t="str">
        <f t="shared" si="407"/>
        <v>FOR</v>
      </c>
      <c r="AY4826" t="s">
        <v>55</v>
      </c>
    </row>
    <row r="4827" spans="1:51" hidden="1">
      <c r="A4827">
        <v>101802</v>
      </c>
      <c r="B4827" t="s">
        <v>902</v>
      </c>
      <c r="C4827" t="str">
        <f t="shared" si="408"/>
        <v>01433030705</v>
      </c>
      <c r="D4827" t="str">
        <f t="shared" si="408"/>
        <v>01433030705</v>
      </c>
      <c r="E4827" t="s">
        <v>52</v>
      </c>
      <c r="F4827">
        <v>2014</v>
      </c>
      <c r="G4827">
        <v>112</v>
      </c>
      <c r="H4827" s="1">
        <v>41781</v>
      </c>
      <c r="I4827" s="1">
        <v>41782</v>
      </c>
      <c r="J4827" s="1">
        <v>41782</v>
      </c>
      <c r="K4827" s="1">
        <v>41872</v>
      </c>
      <c r="N4827" s="5"/>
      <c r="O4827">
        <v>219.6</v>
      </c>
      <c r="P4827">
        <v>146</v>
      </c>
      <c r="Q4827" s="2">
        <v>32061.599999999999</v>
      </c>
      <c r="R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 s="1">
        <v>42382</v>
      </c>
      <c r="AC4827" t="s">
        <v>53</v>
      </c>
      <c r="AD4827" t="s">
        <v>53</v>
      </c>
      <c r="AK4827">
        <v>0</v>
      </c>
      <c r="AU4827" s="6">
        <v>42018</v>
      </c>
      <c r="AV4827" s="6">
        <v>42018</v>
      </c>
      <c r="AW4827" t="s">
        <v>54</v>
      </c>
      <c r="AX4827" t="str">
        <f t="shared" si="407"/>
        <v>FOR</v>
      </c>
      <c r="AY4827" t="s">
        <v>55</v>
      </c>
    </row>
    <row r="4828" spans="1:51" hidden="1">
      <c r="A4828">
        <v>101802</v>
      </c>
      <c r="B4828" t="s">
        <v>902</v>
      </c>
      <c r="C4828" t="str">
        <f t="shared" si="408"/>
        <v>01433030705</v>
      </c>
      <c r="D4828" t="str">
        <f t="shared" si="408"/>
        <v>01433030705</v>
      </c>
      <c r="E4828" t="s">
        <v>52</v>
      </c>
      <c r="F4828">
        <v>2014</v>
      </c>
      <c r="G4828">
        <v>123</v>
      </c>
      <c r="H4828" s="1">
        <v>41795</v>
      </c>
      <c r="I4828" s="1">
        <v>41796</v>
      </c>
      <c r="J4828" s="1">
        <v>41796</v>
      </c>
      <c r="K4828" s="1">
        <v>41886</v>
      </c>
      <c r="N4828" s="5"/>
      <c r="O4828">
        <v>396.5</v>
      </c>
      <c r="P4828">
        <v>132</v>
      </c>
      <c r="Q4828" s="2">
        <v>52338</v>
      </c>
      <c r="R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 s="1">
        <v>42382</v>
      </c>
      <c r="AC4828" t="s">
        <v>53</v>
      </c>
      <c r="AD4828" t="s">
        <v>53</v>
      </c>
      <c r="AK4828">
        <v>0</v>
      </c>
      <c r="AU4828" s="6">
        <v>42018</v>
      </c>
      <c r="AV4828" s="6">
        <v>42018</v>
      </c>
      <c r="AW4828" t="s">
        <v>54</v>
      </c>
      <c r="AX4828" t="str">
        <f t="shared" si="407"/>
        <v>FOR</v>
      </c>
      <c r="AY4828" t="s">
        <v>55</v>
      </c>
    </row>
    <row r="4829" spans="1:51" hidden="1">
      <c r="A4829">
        <v>101802</v>
      </c>
      <c r="B4829" t="s">
        <v>902</v>
      </c>
      <c r="C4829" t="str">
        <f t="shared" si="408"/>
        <v>01433030705</v>
      </c>
      <c r="D4829" t="str">
        <f t="shared" si="408"/>
        <v>01433030705</v>
      </c>
      <c r="E4829" t="s">
        <v>52</v>
      </c>
      <c r="F4829">
        <v>2014</v>
      </c>
      <c r="G4829">
        <v>141</v>
      </c>
      <c r="H4829" s="1">
        <v>41815</v>
      </c>
      <c r="I4829" s="1">
        <v>41820</v>
      </c>
      <c r="J4829" s="1">
        <v>41820</v>
      </c>
      <c r="K4829" s="1">
        <v>41910</v>
      </c>
      <c r="N4829" s="5"/>
      <c r="O4829">
        <v>146.4</v>
      </c>
      <c r="P4829">
        <v>108</v>
      </c>
      <c r="Q4829" s="2">
        <v>15811.2</v>
      </c>
      <c r="R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 s="1">
        <v>42382</v>
      </c>
      <c r="AC4829" t="s">
        <v>53</v>
      </c>
      <c r="AD4829" t="s">
        <v>53</v>
      </c>
      <c r="AK4829">
        <v>0</v>
      </c>
      <c r="AU4829" s="6">
        <v>42018</v>
      </c>
      <c r="AV4829" s="6">
        <v>42018</v>
      </c>
      <c r="AW4829" t="s">
        <v>54</v>
      </c>
      <c r="AX4829" t="str">
        <f t="shared" si="407"/>
        <v>FOR</v>
      </c>
      <c r="AY4829" t="s">
        <v>55</v>
      </c>
    </row>
    <row r="4830" spans="1:51" hidden="1">
      <c r="A4830">
        <v>101802</v>
      </c>
      <c r="B4830" t="s">
        <v>902</v>
      </c>
      <c r="C4830" t="str">
        <f t="shared" si="408"/>
        <v>01433030705</v>
      </c>
      <c r="D4830" t="str">
        <f t="shared" si="408"/>
        <v>01433030705</v>
      </c>
      <c r="E4830" t="s">
        <v>52</v>
      </c>
      <c r="F4830">
        <v>2014</v>
      </c>
      <c r="G4830">
        <v>1288</v>
      </c>
      <c r="H4830" s="1">
        <v>41718</v>
      </c>
      <c r="I4830" s="1">
        <v>41722</v>
      </c>
      <c r="J4830" s="1">
        <v>41722</v>
      </c>
      <c r="K4830" s="1">
        <v>41812</v>
      </c>
      <c r="N4830" s="5"/>
      <c r="O4830">
        <v>274.5</v>
      </c>
      <c r="P4830">
        <v>206</v>
      </c>
      <c r="Q4830" s="2">
        <v>56547</v>
      </c>
      <c r="R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 s="1">
        <v>42382</v>
      </c>
      <c r="AC4830" t="s">
        <v>53</v>
      </c>
      <c r="AD4830" t="s">
        <v>53</v>
      </c>
      <c r="AK4830">
        <v>0</v>
      </c>
      <c r="AU4830" s="6">
        <v>42018</v>
      </c>
      <c r="AV4830" s="6">
        <v>42018</v>
      </c>
      <c r="AW4830" t="s">
        <v>54</v>
      </c>
      <c r="AX4830" t="str">
        <f t="shared" si="407"/>
        <v>FOR</v>
      </c>
      <c r="AY4830" t="s">
        <v>55</v>
      </c>
    </row>
    <row r="4831" spans="1:51" hidden="1">
      <c r="A4831">
        <v>101802</v>
      </c>
      <c r="B4831" t="s">
        <v>902</v>
      </c>
      <c r="C4831" t="str">
        <f t="shared" si="408"/>
        <v>01433030705</v>
      </c>
      <c r="D4831" t="str">
        <f t="shared" si="408"/>
        <v>01433030705</v>
      </c>
      <c r="E4831" t="s">
        <v>52</v>
      </c>
      <c r="F4831">
        <v>2014</v>
      </c>
      <c r="G4831">
        <v>3465</v>
      </c>
      <c r="H4831" s="1">
        <v>41890</v>
      </c>
      <c r="I4831" s="1">
        <v>41892</v>
      </c>
      <c r="J4831" s="1">
        <v>41892</v>
      </c>
      <c r="K4831" s="1">
        <v>41982</v>
      </c>
      <c r="N4831" s="5"/>
      <c r="O4831">
        <v>500.2</v>
      </c>
      <c r="P4831">
        <v>36</v>
      </c>
      <c r="Q4831" s="2">
        <v>18007.2</v>
      </c>
      <c r="R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 s="1">
        <v>42382</v>
      </c>
      <c r="AC4831" t="s">
        <v>53</v>
      </c>
      <c r="AD4831" t="s">
        <v>53</v>
      </c>
      <c r="AK4831">
        <v>0</v>
      </c>
      <c r="AU4831" s="6">
        <v>42018</v>
      </c>
      <c r="AV4831" s="6">
        <v>42018</v>
      </c>
      <c r="AW4831" t="s">
        <v>54</v>
      </c>
      <c r="AX4831" t="str">
        <f t="shared" si="407"/>
        <v>FOR</v>
      </c>
      <c r="AY4831" t="s">
        <v>55</v>
      </c>
    </row>
    <row r="4832" spans="1:51" hidden="1">
      <c r="A4832">
        <v>101802</v>
      </c>
      <c r="B4832" t="s">
        <v>902</v>
      </c>
      <c r="C4832" t="str">
        <f t="shared" si="408"/>
        <v>01433030705</v>
      </c>
      <c r="D4832" t="str">
        <f t="shared" si="408"/>
        <v>01433030705</v>
      </c>
      <c r="E4832" t="s">
        <v>52</v>
      </c>
      <c r="F4832">
        <v>2014</v>
      </c>
      <c r="G4832">
        <v>4238</v>
      </c>
      <c r="H4832" s="1">
        <v>41942</v>
      </c>
      <c r="I4832" s="1">
        <v>41947</v>
      </c>
      <c r="J4832" s="1">
        <v>41947</v>
      </c>
      <c r="K4832" s="1">
        <v>42007</v>
      </c>
      <c r="N4832" s="5"/>
      <c r="O4832">
        <v>683.2</v>
      </c>
      <c r="P4832">
        <v>11</v>
      </c>
      <c r="Q4832" s="2">
        <v>7515.2</v>
      </c>
      <c r="R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 s="1">
        <v>42382</v>
      </c>
      <c r="AC4832" t="s">
        <v>53</v>
      </c>
      <c r="AD4832" t="s">
        <v>53</v>
      </c>
      <c r="AK4832">
        <v>0</v>
      </c>
      <c r="AU4832" s="6">
        <v>42018</v>
      </c>
      <c r="AV4832" s="6">
        <v>42018</v>
      </c>
      <c r="AW4832" t="s">
        <v>54</v>
      </c>
      <c r="AX4832" t="str">
        <f t="shared" si="407"/>
        <v>FOR</v>
      </c>
      <c r="AY4832" t="s">
        <v>55</v>
      </c>
    </row>
    <row r="4833" spans="1:51" hidden="1">
      <c r="A4833">
        <v>101802</v>
      </c>
      <c r="B4833" t="s">
        <v>902</v>
      </c>
      <c r="C4833" t="str">
        <f t="shared" si="408"/>
        <v>01433030705</v>
      </c>
      <c r="D4833" t="str">
        <f t="shared" si="408"/>
        <v>01433030705</v>
      </c>
      <c r="E4833" t="s">
        <v>52</v>
      </c>
      <c r="F4833">
        <v>2014</v>
      </c>
      <c r="G4833">
        <v>4642</v>
      </c>
      <c r="H4833" s="1">
        <v>41974</v>
      </c>
      <c r="I4833" s="1">
        <v>41976</v>
      </c>
      <c r="J4833" s="1">
        <v>41976</v>
      </c>
      <c r="K4833" s="1">
        <v>42036</v>
      </c>
      <c r="N4833" s="5"/>
      <c r="O4833">
        <v>396.5</v>
      </c>
      <c r="P4833">
        <v>239</v>
      </c>
      <c r="Q4833" s="2">
        <v>94763.5</v>
      </c>
      <c r="R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 s="1">
        <v>42382</v>
      </c>
      <c r="AC4833" t="s">
        <v>53</v>
      </c>
      <c r="AD4833" t="s">
        <v>53</v>
      </c>
      <c r="AK4833">
        <v>0</v>
      </c>
      <c r="AU4833" s="6">
        <v>42275</v>
      </c>
      <c r="AV4833" s="6">
        <v>42275</v>
      </c>
      <c r="AW4833" t="s">
        <v>54</v>
      </c>
      <c r="AX4833" t="str">
        <f t="shared" si="407"/>
        <v>FOR</v>
      </c>
      <c r="AY4833" t="s">
        <v>55</v>
      </c>
    </row>
    <row r="4834" spans="1:51" hidden="1">
      <c r="A4834">
        <v>101802</v>
      </c>
      <c r="B4834" t="s">
        <v>902</v>
      </c>
      <c r="C4834" t="str">
        <f t="shared" si="408"/>
        <v>01433030705</v>
      </c>
      <c r="D4834" t="str">
        <f t="shared" si="408"/>
        <v>01433030705</v>
      </c>
      <c r="E4834" t="s">
        <v>52</v>
      </c>
      <c r="F4834">
        <v>2014</v>
      </c>
      <c r="G4834">
        <v>4941</v>
      </c>
      <c r="H4834" s="1">
        <v>42002</v>
      </c>
      <c r="I4834" s="1">
        <v>42004</v>
      </c>
      <c r="J4834" s="1">
        <v>42004</v>
      </c>
      <c r="K4834" s="1">
        <v>42064</v>
      </c>
      <c r="N4834" s="5"/>
      <c r="O4834">
        <v>134.19999999999999</v>
      </c>
      <c r="P4834">
        <v>211</v>
      </c>
      <c r="Q4834" s="2">
        <v>28316.2</v>
      </c>
      <c r="R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 s="1">
        <v>42382</v>
      </c>
      <c r="AC4834" t="s">
        <v>53</v>
      </c>
      <c r="AD4834" t="s">
        <v>53</v>
      </c>
      <c r="AK4834">
        <v>0</v>
      </c>
      <c r="AU4834" s="6">
        <v>42275</v>
      </c>
      <c r="AV4834" s="6">
        <v>42275</v>
      </c>
      <c r="AW4834" t="s">
        <v>54</v>
      </c>
      <c r="AX4834" t="str">
        <f t="shared" si="407"/>
        <v>FOR</v>
      </c>
      <c r="AY4834" t="s">
        <v>55</v>
      </c>
    </row>
    <row r="4835" spans="1:51" hidden="1">
      <c r="A4835">
        <v>101802</v>
      </c>
      <c r="B4835" t="s">
        <v>902</v>
      </c>
      <c r="C4835" t="str">
        <f t="shared" si="408"/>
        <v>01433030705</v>
      </c>
      <c r="D4835" t="str">
        <f t="shared" si="408"/>
        <v>01433030705</v>
      </c>
      <c r="E4835" t="s">
        <v>52</v>
      </c>
      <c r="F4835">
        <v>2014</v>
      </c>
      <c r="G4835">
        <v>4942</v>
      </c>
      <c r="H4835" s="1">
        <v>42002</v>
      </c>
      <c r="I4835" s="1">
        <v>42004</v>
      </c>
      <c r="J4835" s="1">
        <v>42004</v>
      </c>
      <c r="K4835" s="1">
        <v>42064</v>
      </c>
      <c r="N4835" s="5"/>
      <c r="O4835">
        <v>762.5</v>
      </c>
      <c r="P4835">
        <v>211</v>
      </c>
      <c r="Q4835" s="2">
        <v>160887.5</v>
      </c>
      <c r="R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 s="1">
        <v>42382</v>
      </c>
      <c r="AC4835" t="s">
        <v>53</v>
      </c>
      <c r="AD4835" t="s">
        <v>53</v>
      </c>
      <c r="AK4835">
        <v>0</v>
      </c>
      <c r="AU4835" s="6">
        <v>42275</v>
      </c>
      <c r="AV4835" s="6">
        <v>42275</v>
      </c>
      <c r="AW4835" t="s">
        <v>54</v>
      </c>
      <c r="AX4835" t="str">
        <f t="shared" si="407"/>
        <v>FOR</v>
      </c>
      <c r="AY4835" t="s">
        <v>55</v>
      </c>
    </row>
    <row r="4836" spans="1:51" hidden="1">
      <c r="A4836">
        <v>101802</v>
      </c>
      <c r="B4836" t="s">
        <v>902</v>
      </c>
      <c r="C4836" t="str">
        <f t="shared" si="408"/>
        <v>01433030705</v>
      </c>
      <c r="D4836" t="str">
        <f t="shared" si="408"/>
        <v>01433030705</v>
      </c>
      <c r="E4836" t="s">
        <v>52</v>
      </c>
      <c r="F4836">
        <v>2015</v>
      </c>
      <c r="G4836">
        <v>1105</v>
      </c>
      <c r="H4836" s="1">
        <v>42089</v>
      </c>
      <c r="I4836" s="1">
        <v>42095</v>
      </c>
      <c r="J4836" s="1">
        <v>42095</v>
      </c>
      <c r="K4836" s="1">
        <v>42155</v>
      </c>
      <c r="N4836" s="5"/>
      <c r="O4836">
        <v>625</v>
      </c>
      <c r="P4836">
        <v>120</v>
      </c>
      <c r="Q4836" s="2">
        <v>75000</v>
      </c>
      <c r="R4836">
        <v>0</v>
      </c>
      <c r="V4836">
        <v>0</v>
      </c>
      <c r="W4836">
        <v>0</v>
      </c>
      <c r="X4836">
        <v>0</v>
      </c>
      <c r="Y4836">
        <v>762.5</v>
      </c>
      <c r="Z4836">
        <v>762.5</v>
      </c>
      <c r="AA4836">
        <v>762.5</v>
      </c>
      <c r="AB4836" s="1">
        <v>42382</v>
      </c>
      <c r="AC4836" t="s">
        <v>53</v>
      </c>
      <c r="AD4836" t="s">
        <v>53</v>
      </c>
      <c r="AK4836">
        <v>0</v>
      </c>
      <c r="AU4836" s="6">
        <v>42275</v>
      </c>
      <c r="AV4836" s="6">
        <v>42275</v>
      </c>
      <c r="AW4836" t="s">
        <v>54</v>
      </c>
      <c r="AX4836" t="str">
        <f t="shared" si="407"/>
        <v>FOR</v>
      </c>
      <c r="AY4836" t="s">
        <v>55</v>
      </c>
    </row>
    <row r="4837" spans="1:51" hidden="1">
      <c r="A4837">
        <v>101802</v>
      </c>
      <c r="B4837" t="s">
        <v>902</v>
      </c>
      <c r="C4837" t="str">
        <f t="shared" si="408"/>
        <v>01433030705</v>
      </c>
      <c r="D4837" t="str">
        <f t="shared" si="408"/>
        <v>01433030705</v>
      </c>
      <c r="E4837" t="s">
        <v>52</v>
      </c>
      <c r="F4837">
        <v>2015</v>
      </c>
      <c r="G4837" t="s">
        <v>903</v>
      </c>
      <c r="H4837" s="1">
        <v>42139</v>
      </c>
      <c r="I4837" s="1">
        <v>42165</v>
      </c>
      <c r="J4837" s="1">
        <v>42142</v>
      </c>
      <c r="K4837" s="1">
        <v>42202</v>
      </c>
      <c r="N4837" s="5"/>
      <c r="O4837">
        <v>450</v>
      </c>
      <c r="P4837">
        <v>73</v>
      </c>
      <c r="Q4837" s="2">
        <v>32850</v>
      </c>
      <c r="R4837">
        <v>0</v>
      </c>
      <c r="V4837">
        <v>0</v>
      </c>
      <c r="W4837">
        <v>0</v>
      </c>
      <c r="X4837">
        <v>0</v>
      </c>
      <c r="Y4837">
        <v>549</v>
      </c>
      <c r="Z4837">
        <v>549</v>
      </c>
      <c r="AA4837">
        <v>549</v>
      </c>
      <c r="AB4837" s="1">
        <v>42382</v>
      </c>
      <c r="AC4837" t="s">
        <v>53</v>
      </c>
      <c r="AD4837" t="s">
        <v>53</v>
      </c>
      <c r="AK4837">
        <v>0</v>
      </c>
      <c r="AU4837" s="6">
        <v>42275</v>
      </c>
      <c r="AV4837" s="6">
        <v>42275</v>
      </c>
      <c r="AW4837" t="s">
        <v>54</v>
      </c>
      <c r="AX4837" t="str">
        <f t="shared" si="407"/>
        <v>FOR</v>
      </c>
      <c r="AY4837" t="s">
        <v>55</v>
      </c>
    </row>
    <row r="4838" spans="1:51" hidden="1">
      <c r="A4838">
        <v>101802</v>
      </c>
      <c r="B4838" t="s">
        <v>902</v>
      </c>
      <c r="C4838" t="str">
        <f t="shared" si="408"/>
        <v>01433030705</v>
      </c>
      <c r="D4838" t="str">
        <f t="shared" si="408"/>
        <v>01433030705</v>
      </c>
      <c r="E4838" t="s">
        <v>52</v>
      </c>
      <c r="F4838">
        <v>2015</v>
      </c>
      <c r="G4838" t="s">
        <v>904</v>
      </c>
      <c r="H4838" s="1">
        <v>42185</v>
      </c>
      <c r="I4838" s="1">
        <v>42191</v>
      </c>
      <c r="J4838" s="1">
        <v>42188</v>
      </c>
      <c r="K4838" s="1">
        <v>42248</v>
      </c>
      <c r="N4838" s="5"/>
      <c r="O4838">
        <v>795</v>
      </c>
      <c r="P4838">
        <v>27</v>
      </c>
      <c r="Q4838" s="2">
        <v>21465</v>
      </c>
      <c r="R4838">
        <v>0</v>
      </c>
      <c r="V4838">
        <v>0</v>
      </c>
      <c r="W4838">
        <v>0</v>
      </c>
      <c r="X4838">
        <v>0</v>
      </c>
      <c r="Y4838">
        <v>969.9</v>
      </c>
      <c r="Z4838">
        <v>969.9</v>
      </c>
      <c r="AA4838">
        <v>969.9</v>
      </c>
      <c r="AB4838" s="1">
        <v>42382</v>
      </c>
      <c r="AC4838" t="s">
        <v>53</v>
      </c>
      <c r="AD4838" t="s">
        <v>53</v>
      </c>
      <c r="AK4838">
        <v>0</v>
      </c>
      <c r="AU4838" s="6">
        <v>42275</v>
      </c>
      <c r="AV4838" s="6">
        <v>42275</v>
      </c>
      <c r="AW4838" t="s">
        <v>54</v>
      </c>
      <c r="AX4838" t="str">
        <f t="shared" si="407"/>
        <v>FOR</v>
      </c>
      <c r="AY4838" t="s">
        <v>55</v>
      </c>
    </row>
    <row r="4839" spans="1:51" hidden="1">
      <c r="A4839">
        <v>101805</v>
      </c>
      <c r="B4839" t="s">
        <v>905</v>
      </c>
      <c r="C4839" t="str">
        <f>"03057400362"</f>
        <v>03057400362</v>
      </c>
      <c r="D4839" t="str">
        <f>"03057400362"</f>
        <v>03057400362</v>
      </c>
      <c r="E4839" t="s">
        <v>52</v>
      </c>
      <c r="F4839">
        <v>2014</v>
      </c>
      <c r="G4839">
        <v>53</v>
      </c>
      <c r="H4839" s="1">
        <v>41690</v>
      </c>
      <c r="I4839" s="1">
        <v>41711</v>
      </c>
      <c r="J4839" s="1">
        <v>41711</v>
      </c>
      <c r="K4839" s="1">
        <v>41801</v>
      </c>
      <c r="N4839" s="5"/>
      <c r="O4839" s="2">
        <v>8125.2</v>
      </c>
      <c r="P4839">
        <v>357</v>
      </c>
      <c r="Q4839" s="2">
        <v>2900696.4</v>
      </c>
      <c r="R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 s="1">
        <v>42382</v>
      </c>
      <c r="AC4839" t="s">
        <v>53</v>
      </c>
      <c r="AD4839" t="s">
        <v>53</v>
      </c>
      <c r="AK4839">
        <v>0</v>
      </c>
      <c r="AU4839" s="6">
        <v>42158</v>
      </c>
      <c r="AV4839" s="6">
        <v>42158</v>
      </c>
      <c r="AW4839" t="s">
        <v>54</v>
      </c>
      <c r="AX4839" t="str">
        <f t="shared" si="407"/>
        <v>FOR</v>
      </c>
      <c r="AY4839" t="s">
        <v>55</v>
      </c>
    </row>
    <row r="4840" spans="1:51" hidden="1">
      <c r="A4840">
        <v>101805</v>
      </c>
      <c r="B4840" t="s">
        <v>905</v>
      </c>
      <c r="C4840" t="str">
        <f>"03057400362"</f>
        <v>03057400362</v>
      </c>
      <c r="D4840" t="str">
        <f>"03057400362"</f>
        <v>03057400362</v>
      </c>
      <c r="E4840" t="s">
        <v>52</v>
      </c>
      <c r="F4840">
        <v>2014</v>
      </c>
      <c r="G4840">
        <v>98</v>
      </c>
      <c r="H4840" s="1">
        <v>41724</v>
      </c>
      <c r="I4840" s="1">
        <v>41764</v>
      </c>
      <c r="J4840" s="1">
        <v>41764</v>
      </c>
      <c r="K4840" s="1">
        <v>41854</v>
      </c>
      <c r="N4840" s="5"/>
      <c r="O4840" s="2">
        <v>1830</v>
      </c>
      <c r="P4840">
        <v>304</v>
      </c>
      <c r="Q4840" s="2">
        <v>556320</v>
      </c>
      <c r="R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 s="1">
        <v>42382</v>
      </c>
      <c r="AC4840" t="s">
        <v>53</v>
      </c>
      <c r="AD4840" t="s">
        <v>53</v>
      </c>
      <c r="AK4840">
        <v>0</v>
      </c>
      <c r="AU4840" s="6">
        <v>42158</v>
      </c>
      <c r="AV4840" s="6">
        <v>42158</v>
      </c>
      <c r="AW4840" t="s">
        <v>54</v>
      </c>
      <c r="AX4840" t="str">
        <f t="shared" si="407"/>
        <v>FOR</v>
      </c>
      <c r="AY4840" t="s">
        <v>55</v>
      </c>
    </row>
    <row r="4841" spans="1:51" hidden="1">
      <c r="A4841">
        <v>101808</v>
      </c>
      <c r="B4841" t="s">
        <v>906</v>
      </c>
      <c r="C4841" t="str">
        <f t="shared" ref="C4841:C4868" si="409">"02405380102"</f>
        <v>02405380102</v>
      </c>
      <c r="D4841" t="str">
        <f t="shared" ref="D4841:D4868" si="410">"00248660599"</f>
        <v>00248660599</v>
      </c>
      <c r="E4841" t="s">
        <v>52</v>
      </c>
      <c r="F4841">
        <v>2013</v>
      </c>
      <c r="G4841">
        <v>203293</v>
      </c>
      <c r="H4841" s="1">
        <v>41387</v>
      </c>
      <c r="I4841" s="1">
        <v>41403</v>
      </c>
      <c r="J4841" s="1">
        <v>41403</v>
      </c>
      <c r="K4841" s="1">
        <v>41493</v>
      </c>
      <c r="N4841" s="5"/>
      <c r="O4841" s="2">
        <v>2725.83</v>
      </c>
      <c r="P4841">
        <v>672</v>
      </c>
      <c r="Q4841" s="2">
        <v>1831757.76</v>
      </c>
      <c r="R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 s="1">
        <v>42382</v>
      </c>
      <c r="AC4841" t="s">
        <v>53</v>
      </c>
      <c r="AD4841" t="s">
        <v>53</v>
      </c>
      <c r="AK4841">
        <v>0</v>
      </c>
      <c r="AU4841" s="6">
        <v>42165</v>
      </c>
      <c r="AV4841" s="6">
        <v>42165</v>
      </c>
      <c r="AW4841" t="s">
        <v>54</v>
      </c>
      <c r="AX4841" t="str">
        <f t="shared" si="407"/>
        <v>FOR</v>
      </c>
      <c r="AY4841" t="s">
        <v>55</v>
      </c>
    </row>
    <row r="4842" spans="1:51" hidden="1">
      <c r="A4842">
        <v>101808</v>
      </c>
      <c r="B4842" t="s">
        <v>906</v>
      </c>
      <c r="C4842" t="str">
        <f t="shared" si="409"/>
        <v>02405380102</v>
      </c>
      <c r="D4842" t="str">
        <f t="shared" si="410"/>
        <v>00248660599</v>
      </c>
      <c r="E4842" t="s">
        <v>52</v>
      </c>
      <c r="F4842">
        <v>2013</v>
      </c>
      <c r="G4842">
        <v>209715</v>
      </c>
      <c r="H4842" s="1">
        <v>41625</v>
      </c>
      <c r="I4842" s="1">
        <v>41639</v>
      </c>
      <c r="J4842" s="1">
        <v>41639</v>
      </c>
      <c r="K4842" s="1">
        <v>41729</v>
      </c>
      <c r="N4842" s="5"/>
      <c r="O4842" s="2">
        <v>1830</v>
      </c>
      <c r="P4842">
        <v>436</v>
      </c>
      <c r="Q4842" s="2">
        <v>797880</v>
      </c>
      <c r="R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 s="1">
        <v>42382</v>
      </c>
      <c r="AC4842" t="s">
        <v>53</v>
      </c>
      <c r="AD4842" t="s">
        <v>53</v>
      </c>
      <c r="AK4842">
        <v>0</v>
      </c>
      <c r="AU4842" s="6">
        <v>42165</v>
      </c>
      <c r="AV4842" s="6">
        <v>42165</v>
      </c>
      <c r="AW4842" t="s">
        <v>54</v>
      </c>
      <c r="AX4842" t="str">
        <f t="shared" si="407"/>
        <v>FOR</v>
      </c>
      <c r="AY4842" t="s">
        <v>55</v>
      </c>
    </row>
    <row r="4843" spans="1:51" hidden="1">
      <c r="A4843">
        <v>101808</v>
      </c>
      <c r="B4843" t="s">
        <v>906</v>
      </c>
      <c r="C4843" t="str">
        <f t="shared" si="409"/>
        <v>02405380102</v>
      </c>
      <c r="D4843" t="str">
        <f t="shared" si="410"/>
        <v>00248660599</v>
      </c>
      <c r="E4843" t="s">
        <v>52</v>
      </c>
      <c r="F4843">
        <v>2013</v>
      </c>
      <c r="G4843">
        <v>209716</v>
      </c>
      <c r="H4843" s="1">
        <v>41625</v>
      </c>
      <c r="I4843" s="1">
        <v>41639</v>
      </c>
      <c r="J4843" s="1">
        <v>41639</v>
      </c>
      <c r="K4843" s="1">
        <v>41729</v>
      </c>
      <c r="N4843" s="5"/>
      <c r="O4843">
        <v>457.5</v>
      </c>
      <c r="P4843">
        <v>436</v>
      </c>
      <c r="Q4843" s="2">
        <v>199470</v>
      </c>
      <c r="R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 s="1">
        <v>42382</v>
      </c>
      <c r="AC4843" t="s">
        <v>53</v>
      </c>
      <c r="AD4843" t="s">
        <v>53</v>
      </c>
      <c r="AK4843">
        <v>0</v>
      </c>
      <c r="AU4843" s="6">
        <v>42165</v>
      </c>
      <c r="AV4843" s="6">
        <v>42165</v>
      </c>
      <c r="AW4843" t="s">
        <v>54</v>
      </c>
      <c r="AX4843" t="str">
        <f t="shared" si="407"/>
        <v>FOR</v>
      </c>
      <c r="AY4843" t="s">
        <v>55</v>
      </c>
    </row>
    <row r="4844" spans="1:51" hidden="1">
      <c r="A4844">
        <v>101808</v>
      </c>
      <c r="B4844" t="s">
        <v>906</v>
      </c>
      <c r="C4844" t="str">
        <f t="shared" si="409"/>
        <v>02405380102</v>
      </c>
      <c r="D4844" t="str">
        <f t="shared" si="410"/>
        <v>00248660599</v>
      </c>
      <c r="E4844" t="s">
        <v>52</v>
      </c>
      <c r="F4844">
        <v>2014</v>
      </c>
      <c r="G4844">
        <v>200295</v>
      </c>
      <c r="H4844" s="1">
        <v>41656</v>
      </c>
      <c r="I4844" s="1">
        <v>41667</v>
      </c>
      <c r="J4844" s="1">
        <v>41667</v>
      </c>
      <c r="K4844" s="1">
        <v>41757</v>
      </c>
      <c r="N4844" s="5"/>
      <c r="O4844" s="2">
        <v>11394.07</v>
      </c>
      <c r="P4844">
        <v>319</v>
      </c>
      <c r="Q4844" s="2">
        <v>3634708.33</v>
      </c>
      <c r="R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 s="1">
        <v>42382</v>
      </c>
      <c r="AC4844" t="s">
        <v>53</v>
      </c>
      <c r="AD4844" t="s">
        <v>53</v>
      </c>
      <c r="AK4844">
        <v>0</v>
      </c>
      <c r="AU4844" s="6">
        <v>42076</v>
      </c>
      <c r="AV4844" s="6">
        <v>42076</v>
      </c>
      <c r="AW4844" t="s">
        <v>54</v>
      </c>
      <c r="AX4844" t="str">
        <f t="shared" si="407"/>
        <v>FOR</v>
      </c>
      <c r="AY4844" t="s">
        <v>55</v>
      </c>
    </row>
    <row r="4845" spans="1:51" hidden="1">
      <c r="A4845">
        <v>101808</v>
      </c>
      <c r="B4845" t="s">
        <v>906</v>
      </c>
      <c r="C4845" t="str">
        <f t="shared" si="409"/>
        <v>02405380102</v>
      </c>
      <c r="D4845" t="str">
        <f t="shared" si="410"/>
        <v>00248660599</v>
      </c>
      <c r="E4845" t="s">
        <v>52</v>
      </c>
      <c r="F4845">
        <v>2014</v>
      </c>
      <c r="G4845">
        <v>200319</v>
      </c>
      <c r="H4845" s="1">
        <v>41656</v>
      </c>
      <c r="I4845" s="1">
        <v>41667</v>
      </c>
      <c r="J4845" s="1">
        <v>41667</v>
      </c>
      <c r="K4845" s="1">
        <v>41757</v>
      </c>
      <c r="N4845" s="5"/>
      <c r="O4845" s="2">
        <v>6028.58</v>
      </c>
      <c r="P4845">
        <v>319</v>
      </c>
      <c r="Q4845" s="2">
        <v>1923117.02</v>
      </c>
      <c r="R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 s="1">
        <v>42382</v>
      </c>
      <c r="AC4845" t="s">
        <v>53</v>
      </c>
      <c r="AD4845" t="s">
        <v>53</v>
      </c>
      <c r="AK4845">
        <v>0</v>
      </c>
      <c r="AU4845" s="6">
        <v>42076</v>
      </c>
      <c r="AV4845" s="6">
        <v>42076</v>
      </c>
      <c r="AW4845" t="s">
        <v>54</v>
      </c>
      <c r="AX4845" t="str">
        <f t="shared" si="407"/>
        <v>FOR</v>
      </c>
      <c r="AY4845" t="s">
        <v>55</v>
      </c>
    </row>
    <row r="4846" spans="1:51" hidden="1">
      <c r="A4846">
        <v>101808</v>
      </c>
      <c r="B4846" t="s">
        <v>906</v>
      </c>
      <c r="C4846" t="str">
        <f t="shared" si="409"/>
        <v>02405380102</v>
      </c>
      <c r="D4846" t="str">
        <f t="shared" si="410"/>
        <v>00248660599</v>
      </c>
      <c r="E4846" t="s">
        <v>52</v>
      </c>
      <c r="F4846">
        <v>2014</v>
      </c>
      <c r="G4846">
        <v>200363</v>
      </c>
      <c r="H4846" s="1">
        <v>41659</v>
      </c>
      <c r="I4846" s="1">
        <v>41675</v>
      </c>
      <c r="J4846" s="1">
        <v>41675</v>
      </c>
      <c r="K4846" s="1">
        <v>41765</v>
      </c>
      <c r="N4846" s="5"/>
      <c r="O4846" s="2">
        <v>1861.78</v>
      </c>
      <c r="P4846">
        <v>311</v>
      </c>
      <c r="Q4846" s="2">
        <v>579013.57999999996</v>
      </c>
      <c r="R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 s="1">
        <v>42382</v>
      </c>
      <c r="AC4846" t="s">
        <v>53</v>
      </c>
      <c r="AD4846" t="s">
        <v>53</v>
      </c>
      <c r="AK4846">
        <v>0</v>
      </c>
      <c r="AU4846" s="6">
        <v>42076</v>
      </c>
      <c r="AV4846" s="6">
        <v>42076</v>
      </c>
      <c r="AW4846" t="s">
        <v>54</v>
      </c>
      <c r="AX4846" t="str">
        <f t="shared" si="407"/>
        <v>FOR</v>
      </c>
      <c r="AY4846" t="s">
        <v>55</v>
      </c>
    </row>
    <row r="4847" spans="1:51" hidden="1">
      <c r="A4847">
        <v>101808</v>
      </c>
      <c r="B4847" t="s">
        <v>906</v>
      </c>
      <c r="C4847" t="str">
        <f t="shared" si="409"/>
        <v>02405380102</v>
      </c>
      <c r="D4847" t="str">
        <f t="shared" si="410"/>
        <v>00248660599</v>
      </c>
      <c r="E4847" t="s">
        <v>52</v>
      </c>
      <c r="F4847">
        <v>2014</v>
      </c>
      <c r="G4847">
        <v>201586</v>
      </c>
      <c r="H4847" s="1">
        <v>41705</v>
      </c>
      <c r="I4847" s="1">
        <v>41716</v>
      </c>
      <c r="J4847" s="1">
        <v>41716</v>
      </c>
      <c r="K4847" s="1">
        <v>41806</v>
      </c>
      <c r="N4847" s="5"/>
      <c r="O4847" s="2">
        <v>9424.81</v>
      </c>
      <c r="P4847">
        <v>270</v>
      </c>
      <c r="Q4847" s="2">
        <v>2544698.7000000002</v>
      </c>
      <c r="R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 s="1">
        <v>42382</v>
      </c>
      <c r="AC4847" t="s">
        <v>53</v>
      </c>
      <c r="AD4847" t="s">
        <v>53</v>
      </c>
      <c r="AK4847">
        <v>0</v>
      </c>
      <c r="AU4847" s="6">
        <v>42076</v>
      </c>
      <c r="AV4847" s="6">
        <v>42076</v>
      </c>
      <c r="AW4847" t="s">
        <v>54</v>
      </c>
      <c r="AX4847" t="str">
        <f t="shared" si="407"/>
        <v>FOR</v>
      </c>
      <c r="AY4847" t="s">
        <v>55</v>
      </c>
    </row>
    <row r="4848" spans="1:51" hidden="1">
      <c r="A4848">
        <v>101808</v>
      </c>
      <c r="B4848" t="s">
        <v>906</v>
      </c>
      <c r="C4848" t="str">
        <f t="shared" si="409"/>
        <v>02405380102</v>
      </c>
      <c r="D4848" t="str">
        <f t="shared" si="410"/>
        <v>00248660599</v>
      </c>
      <c r="E4848" t="s">
        <v>52</v>
      </c>
      <c r="F4848">
        <v>2014</v>
      </c>
      <c r="G4848">
        <v>201587</v>
      </c>
      <c r="H4848" s="1">
        <v>41705</v>
      </c>
      <c r="I4848" s="1">
        <v>41716</v>
      </c>
      <c r="J4848" s="1">
        <v>41716</v>
      </c>
      <c r="K4848" s="1">
        <v>41806</v>
      </c>
      <c r="N4848" s="5"/>
      <c r="O4848" s="2">
        <v>5498.81</v>
      </c>
      <c r="P4848">
        <v>270</v>
      </c>
      <c r="Q4848" s="2">
        <v>1484678.7</v>
      </c>
      <c r="R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 s="1">
        <v>42382</v>
      </c>
      <c r="AC4848" t="s">
        <v>53</v>
      </c>
      <c r="AD4848" t="s">
        <v>53</v>
      </c>
      <c r="AK4848">
        <v>0</v>
      </c>
      <c r="AU4848" s="6">
        <v>42076</v>
      </c>
      <c r="AV4848" s="6">
        <v>42076</v>
      </c>
      <c r="AW4848" t="s">
        <v>54</v>
      </c>
      <c r="AX4848" t="str">
        <f t="shared" si="407"/>
        <v>FOR</v>
      </c>
      <c r="AY4848" t="s">
        <v>55</v>
      </c>
    </row>
    <row r="4849" spans="1:51" hidden="1">
      <c r="A4849">
        <v>101808</v>
      </c>
      <c r="B4849" t="s">
        <v>906</v>
      </c>
      <c r="C4849" t="str">
        <f t="shared" si="409"/>
        <v>02405380102</v>
      </c>
      <c r="D4849" t="str">
        <f t="shared" si="410"/>
        <v>00248660599</v>
      </c>
      <c r="E4849" t="s">
        <v>52</v>
      </c>
      <c r="F4849">
        <v>2014</v>
      </c>
      <c r="G4849">
        <v>201718</v>
      </c>
      <c r="H4849" s="1">
        <v>41711</v>
      </c>
      <c r="I4849" s="1">
        <v>41725</v>
      </c>
      <c r="J4849" s="1">
        <v>41725</v>
      </c>
      <c r="K4849" s="1">
        <v>41815</v>
      </c>
      <c r="N4849" s="5"/>
      <c r="O4849">
        <v>902.5</v>
      </c>
      <c r="P4849">
        <v>261</v>
      </c>
      <c r="Q4849" s="2">
        <v>235552.5</v>
      </c>
      <c r="R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 s="1">
        <v>42382</v>
      </c>
      <c r="AC4849" t="s">
        <v>53</v>
      </c>
      <c r="AD4849" t="s">
        <v>53</v>
      </c>
      <c r="AK4849">
        <v>0</v>
      </c>
      <c r="AU4849" s="6">
        <v>42076</v>
      </c>
      <c r="AV4849" s="6">
        <v>42076</v>
      </c>
      <c r="AW4849" t="s">
        <v>54</v>
      </c>
      <c r="AX4849" t="str">
        <f t="shared" si="407"/>
        <v>FOR</v>
      </c>
      <c r="AY4849" t="s">
        <v>55</v>
      </c>
    </row>
    <row r="4850" spans="1:51" hidden="1">
      <c r="A4850">
        <v>101808</v>
      </c>
      <c r="B4850" t="s">
        <v>906</v>
      </c>
      <c r="C4850" t="str">
        <f t="shared" si="409"/>
        <v>02405380102</v>
      </c>
      <c r="D4850" t="str">
        <f t="shared" si="410"/>
        <v>00248660599</v>
      </c>
      <c r="E4850" t="s">
        <v>52</v>
      </c>
      <c r="F4850">
        <v>2014</v>
      </c>
      <c r="G4850">
        <v>201831</v>
      </c>
      <c r="H4850" s="1">
        <v>41717</v>
      </c>
      <c r="I4850" s="1">
        <v>41736</v>
      </c>
      <c r="J4850" s="1">
        <v>41736</v>
      </c>
      <c r="K4850" s="1">
        <v>41826</v>
      </c>
      <c r="N4850" s="5"/>
      <c r="O4850">
        <v>88.66</v>
      </c>
      <c r="P4850">
        <v>250</v>
      </c>
      <c r="Q4850" s="2">
        <v>22165</v>
      </c>
      <c r="R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 s="1">
        <v>42382</v>
      </c>
      <c r="AC4850" t="s">
        <v>53</v>
      </c>
      <c r="AD4850" t="s">
        <v>53</v>
      </c>
      <c r="AK4850">
        <v>0</v>
      </c>
      <c r="AU4850" s="6">
        <v>42076</v>
      </c>
      <c r="AV4850" s="6">
        <v>42076</v>
      </c>
      <c r="AW4850" t="s">
        <v>54</v>
      </c>
      <c r="AX4850" t="str">
        <f t="shared" si="407"/>
        <v>FOR</v>
      </c>
      <c r="AY4850" t="s">
        <v>55</v>
      </c>
    </row>
    <row r="4851" spans="1:51" hidden="1">
      <c r="A4851">
        <v>101808</v>
      </c>
      <c r="B4851" t="s">
        <v>906</v>
      </c>
      <c r="C4851" t="str">
        <f t="shared" si="409"/>
        <v>02405380102</v>
      </c>
      <c r="D4851" t="str">
        <f t="shared" si="410"/>
        <v>00248660599</v>
      </c>
      <c r="E4851" t="s">
        <v>52</v>
      </c>
      <c r="F4851">
        <v>2014</v>
      </c>
      <c r="G4851">
        <v>203087</v>
      </c>
      <c r="H4851" s="1">
        <v>41766</v>
      </c>
      <c r="I4851" s="1">
        <v>41782</v>
      </c>
      <c r="J4851" s="1">
        <v>41782</v>
      </c>
      <c r="K4851" s="1">
        <v>41872</v>
      </c>
      <c r="N4851" s="5"/>
      <c r="O4851">
        <v>457.5</v>
      </c>
      <c r="P4851">
        <v>224</v>
      </c>
      <c r="Q4851" s="2">
        <v>102480</v>
      </c>
      <c r="R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 s="1">
        <v>42382</v>
      </c>
      <c r="AC4851" t="s">
        <v>53</v>
      </c>
      <c r="AD4851" t="s">
        <v>53</v>
      </c>
      <c r="AK4851">
        <v>0</v>
      </c>
      <c r="AU4851" s="6">
        <v>42096</v>
      </c>
      <c r="AV4851" s="6">
        <v>42096</v>
      </c>
      <c r="AW4851" t="s">
        <v>54</v>
      </c>
      <c r="AX4851" t="str">
        <f t="shared" si="407"/>
        <v>FOR</v>
      </c>
      <c r="AY4851" t="s">
        <v>55</v>
      </c>
    </row>
    <row r="4852" spans="1:51" hidden="1">
      <c r="A4852">
        <v>101808</v>
      </c>
      <c r="B4852" t="s">
        <v>906</v>
      </c>
      <c r="C4852" t="str">
        <f t="shared" si="409"/>
        <v>02405380102</v>
      </c>
      <c r="D4852" t="str">
        <f t="shared" si="410"/>
        <v>00248660599</v>
      </c>
      <c r="E4852" t="s">
        <v>52</v>
      </c>
      <c r="F4852">
        <v>2014</v>
      </c>
      <c r="G4852">
        <v>204040</v>
      </c>
      <c r="H4852" s="1">
        <v>41807</v>
      </c>
      <c r="I4852" s="1">
        <v>41829</v>
      </c>
      <c r="J4852" s="1">
        <v>41829</v>
      </c>
      <c r="K4852" s="1">
        <v>41919</v>
      </c>
      <c r="N4852" s="5"/>
      <c r="O4852" s="2">
        <v>1830</v>
      </c>
      <c r="P4852">
        <v>212</v>
      </c>
      <c r="Q4852" s="2">
        <v>387960</v>
      </c>
      <c r="R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 s="1">
        <v>42382</v>
      </c>
      <c r="AC4852" t="s">
        <v>53</v>
      </c>
      <c r="AD4852" t="s">
        <v>53</v>
      </c>
      <c r="AK4852">
        <v>0</v>
      </c>
      <c r="AU4852" s="6">
        <v>42131</v>
      </c>
      <c r="AV4852" s="6">
        <v>42131</v>
      </c>
      <c r="AW4852" t="s">
        <v>54</v>
      </c>
      <c r="AX4852" t="str">
        <f t="shared" si="407"/>
        <v>FOR</v>
      </c>
      <c r="AY4852" t="s">
        <v>55</v>
      </c>
    </row>
    <row r="4853" spans="1:51" hidden="1">
      <c r="A4853">
        <v>101808</v>
      </c>
      <c r="B4853" t="s">
        <v>906</v>
      </c>
      <c r="C4853" t="str">
        <f t="shared" si="409"/>
        <v>02405380102</v>
      </c>
      <c r="D4853" t="str">
        <f t="shared" si="410"/>
        <v>00248660599</v>
      </c>
      <c r="E4853" t="s">
        <v>52</v>
      </c>
      <c r="F4853">
        <v>2014</v>
      </c>
      <c r="G4853">
        <v>204041</v>
      </c>
      <c r="H4853" s="1">
        <v>41807</v>
      </c>
      <c r="I4853" s="1">
        <v>41829</v>
      </c>
      <c r="J4853" s="1">
        <v>41829</v>
      </c>
      <c r="K4853" s="1">
        <v>41919</v>
      </c>
      <c r="N4853" s="5"/>
      <c r="O4853">
        <v>457.5</v>
      </c>
      <c r="P4853">
        <v>212</v>
      </c>
      <c r="Q4853" s="2">
        <v>96990</v>
      </c>
      <c r="R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 s="1">
        <v>42382</v>
      </c>
      <c r="AC4853" t="s">
        <v>53</v>
      </c>
      <c r="AD4853" t="s">
        <v>53</v>
      </c>
      <c r="AK4853">
        <v>0</v>
      </c>
      <c r="AU4853" s="6">
        <v>42131</v>
      </c>
      <c r="AV4853" s="6">
        <v>42131</v>
      </c>
      <c r="AW4853" t="s">
        <v>54</v>
      </c>
      <c r="AX4853" t="str">
        <f t="shared" si="407"/>
        <v>FOR</v>
      </c>
      <c r="AY4853" t="s">
        <v>55</v>
      </c>
    </row>
    <row r="4854" spans="1:51" hidden="1">
      <c r="A4854">
        <v>101808</v>
      </c>
      <c r="B4854" t="s">
        <v>906</v>
      </c>
      <c r="C4854" t="str">
        <f t="shared" si="409"/>
        <v>02405380102</v>
      </c>
      <c r="D4854" t="str">
        <f t="shared" si="410"/>
        <v>00248660599</v>
      </c>
      <c r="E4854" t="s">
        <v>52</v>
      </c>
      <c r="F4854">
        <v>2014</v>
      </c>
      <c r="G4854">
        <v>204774</v>
      </c>
      <c r="H4854" s="1">
        <v>41827</v>
      </c>
      <c r="I4854" s="1">
        <v>41841</v>
      </c>
      <c r="J4854" s="1">
        <v>41841</v>
      </c>
      <c r="K4854" s="1">
        <v>41931</v>
      </c>
      <c r="N4854" s="5"/>
      <c r="O4854" s="2">
        <v>13816.98</v>
      </c>
      <c r="P4854">
        <v>257</v>
      </c>
      <c r="Q4854" s="2">
        <v>3550963.86</v>
      </c>
      <c r="R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 s="1">
        <v>42382</v>
      </c>
      <c r="AC4854" t="s">
        <v>53</v>
      </c>
      <c r="AD4854" t="s">
        <v>53</v>
      </c>
      <c r="AK4854">
        <v>0</v>
      </c>
      <c r="AU4854" s="6">
        <v>42188</v>
      </c>
      <c r="AV4854" s="6">
        <v>42188</v>
      </c>
      <c r="AW4854" t="s">
        <v>54</v>
      </c>
      <c r="AX4854" t="str">
        <f t="shared" si="407"/>
        <v>FOR</v>
      </c>
      <c r="AY4854" t="s">
        <v>55</v>
      </c>
    </row>
    <row r="4855" spans="1:51" hidden="1">
      <c r="A4855">
        <v>101808</v>
      </c>
      <c r="B4855" t="s">
        <v>906</v>
      </c>
      <c r="C4855" t="str">
        <f t="shared" si="409"/>
        <v>02405380102</v>
      </c>
      <c r="D4855" t="str">
        <f t="shared" si="410"/>
        <v>00248660599</v>
      </c>
      <c r="E4855" t="s">
        <v>52</v>
      </c>
      <c r="F4855">
        <v>2014</v>
      </c>
      <c r="G4855">
        <v>204775</v>
      </c>
      <c r="H4855" s="1">
        <v>41827</v>
      </c>
      <c r="I4855" s="1">
        <v>41841</v>
      </c>
      <c r="J4855" s="1">
        <v>41841</v>
      </c>
      <c r="K4855" s="1">
        <v>41931</v>
      </c>
      <c r="N4855" s="5"/>
      <c r="O4855" s="2">
        <v>9542.5</v>
      </c>
      <c r="P4855">
        <v>257</v>
      </c>
      <c r="Q4855" s="2">
        <v>2452422.5</v>
      </c>
      <c r="R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 s="1">
        <v>42382</v>
      </c>
      <c r="AC4855" t="s">
        <v>53</v>
      </c>
      <c r="AD4855" t="s">
        <v>53</v>
      </c>
      <c r="AK4855">
        <v>0</v>
      </c>
      <c r="AU4855" s="6">
        <v>42188</v>
      </c>
      <c r="AV4855" s="6">
        <v>42188</v>
      </c>
      <c r="AW4855" t="s">
        <v>54</v>
      </c>
      <c r="AX4855" t="str">
        <f t="shared" si="407"/>
        <v>FOR</v>
      </c>
      <c r="AY4855" t="s">
        <v>55</v>
      </c>
    </row>
    <row r="4856" spans="1:51" hidden="1">
      <c r="A4856">
        <v>101808</v>
      </c>
      <c r="B4856" t="s">
        <v>906</v>
      </c>
      <c r="C4856" t="str">
        <f t="shared" si="409"/>
        <v>02405380102</v>
      </c>
      <c r="D4856" t="str">
        <f t="shared" si="410"/>
        <v>00248660599</v>
      </c>
      <c r="E4856" t="s">
        <v>52</v>
      </c>
      <c r="F4856">
        <v>2014</v>
      </c>
      <c r="G4856">
        <v>205037</v>
      </c>
      <c r="H4856" s="1">
        <v>41837</v>
      </c>
      <c r="I4856" s="1">
        <v>41852</v>
      </c>
      <c r="J4856" s="1">
        <v>41852</v>
      </c>
      <c r="K4856" s="1">
        <v>41942</v>
      </c>
      <c r="N4856" s="5"/>
      <c r="O4856" s="2">
        <v>11877.01</v>
      </c>
      <c r="P4856">
        <v>246</v>
      </c>
      <c r="Q4856" s="2">
        <v>2921744.46</v>
      </c>
      <c r="R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 s="1">
        <v>42382</v>
      </c>
      <c r="AC4856" t="s">
        <v>53</v>
      </c>
      <c r="AD4856" t="s">
        <v>53</v>
      </c>
      <c r="AK4856">
        <v>0</v>
      </c>
      <c r="AU4856" s="6">
        <v>42188</v>
      </c>
      <c r="AV4856" s="6">
        <v>42188</v>
      </c>
      <c r="AW4856" t="s">
        <v>54</v>
      </c>
      <c r="AX4856" t="str">
        <f t="shared" si="407"/>
        <v>FOR</v>
      </c>
      <c r="AY4856" t="s">
        <v>55</v>
      </c>
    </row>
    <row r="4857" spans="1:51" hidden="1">
      <c r="A4857">
        <v>101808</v>
      </c>
      <c r="B4857" t="s">
        <v>906</v>
      </c>
      <c r="C4857" t="str">
        <f t="shared" si="409"/>
        <v>02405380102</v>
      </c>
      <c r="D4857" t="str">
        <f t="shared" si="410"/>
        <v>00248660599</v>
      </c>
      <c r="E4857" t="s">
        <v>52</v>
      </c>
      <c r="F4857">
        <v>2014</v>
      </c>
      <c r="G4857">
        <v>205090</v>
      </c>
      <c r="H4857" s="1">
        <v>41841</v>
      </c>
      <c r="I4857" s="1">
        <v>41873</v>
      </c>
      <c r="J4857" s="1">
        <v>41873</v>
      </c>
      <c r="K4857" s="1">
        <v>41963</v>
      </c>
      <c r="N4857" s="5"/>
      <c r="O4857">
        <v>88.66</v>
      </c>
      <c r="P4857">
        <v>225</v>
      </c>
      <c r="Q4857" s="2">
        <v>19948.5</v>
      </c>
      <c r="R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 s="1">
        <v>42382</v>
      </c>
      <c r="AC4857" t="s">
        <v>53</v>
      </c>
      <c r="AD4857" t="s">
        <v>53</v>
      </c>
      <c r="AK4857">
        <v>0</v>
      </c>
      <c r="AU4857" s="6">
        <v>42188</v>
      </c>
      <c r="AV4857" s="6">
        <v>42188</v>
      </c>
      <c r="AW4857" t="s">
        <v>54</v>
      </c>
      <c r="AX4857" t="str">
        <f t="shared" si="407"/>
        <v>FOR</v>
      </c>
      <c r="AY4857" t="s">
        <v>55</v>
      </c>
    </row>
    <row r="4858" spans="1:51" hidden="1">
      <c r="A4858">
        <v>101808</v>
      </c>
      <c r="B4858" t="s">
        <v>906</v>
      </c>
      <c r="C4858" t="str">
        <f t="shared" si="409"/>
        <v>02405380102</v>
      </c>
      <c r="D4858" t="str">
        <f t="shared" si="410"/>
        <v>00248660599</v>
      </c>
      <c r="E4858" t="s">
        <v>52</v>
      </c>
      <c r="F4858">
        <v>2014</v>
      </c>
      <c r="G4858">
        <v>205091</v>
      </c>
      <c r="H4858" s="1">
        <v>41841</v>
      </c>
      <c r="I4858" s="1">
        <v>41873</v>
      </c>
      <c r="J4858" s="1">
        <v>41873</v>
      </c>
      <c r="K4858" s="1">
        <v>41963</v>
      </c>
      <c r="N4858" s="5"/>
      <c r="O4858" s="2">
        <v>1588.44</v>
      </c>
      <c r="P4858">
        <v>225</v>
      </c>
      <c r="Q4858" s="2">
        <v>357399</v>
      </c>
      <c r="R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 s="1">
        <v>42382</v>
      </c>
      <c r="AC4858" t="s">
        <v>53</v>
      </c>
      <c r="AD4858" t="s">
        <v>53</v>
      </c>
      <c r="AK4858">
        <v>0</v>
      </c>
      <c r="AU4858" s="6">
        <v>42188</v>
      </c>
      <c r="AV4858" s="6">
        <v>42188</v>
      </c>
      <c r="AW4858" t="s">
        <v>54</v>
      </c>
      <c r="AX4858" t="str">
        <f t="shared" si="407"/>
        <v>FOR</v>
      </c>
      <c r="AY4858" t="s">
        <v>55</v>
      </c>
    </row>
    <row r="4859" spans="1:51" hidden="1">
      <c r="A4859">
        <v>101808</v>
      </c>
      <c r="B4859" t="s">
        <v>906</v>
      </c>
      <c r="C4859" t="str">
        <f t="shared" si="409"/>
        <v>02405380102</v>
      </c>
      <c r="D4859" t="str">
        <f t="shared" si="410"/>
        <v>00248660599</v>
      </c>
      <c r="E4859" t="s">
        <v>52</v>
      </c>
      <c r="F4859">
        <v>2014</v>
      </c>
      <c r="G4859">
        <v>205415</v>
      </c>
      <c r="H4859" s="1">
        <v>41855</v>
      </c>
      <c r="I4859" s="1">
        <v>41891</v>
      </c>
      <c r="J4859" s="1">
        <v>41891</v>
      </c>
      <c r="K4859" s="1">
        <v>41981</v>
      </c>
      <c r="N4859" s="5"/>
      <c r="O4859">
        <v>902.5</v>
      </c>
      <c r="P4859">
        <v>207</v>
      </c>
      <c r="Q4859" s="2">
        <v>186817.5</v>
      </c>
      <c r="R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 s="1">
        <v>42382</v>
      </c>
      <c r="AC4859" t="s">
        <v>53</v>
      </c>
      <c r="AD4859" t="s">
        <v>53</v>
      </c>
      <c r="AK4859">
        <v>0</v>
      </c>
      <c r="AU4859" s="6">
        <v>42188</v>
      </c>
      <c r="AV4859" s="6">
        <v>42188</v>
      </c>
      <c r="AW4859" t="s">
        <v>54</v>
      </c>
      <c r="AX4859" t="str">
        <f t="shared" si="407"/>
        <v>FOR</v>
      </c>
      <c r="AY4859" t="s">
        <v>55</v>
      </c>
    </row>
    <row r="4860" spans="1:51" hidden="1">
      <c r="A4860">
        <v>101808</v>
      </c>
      <c r="B4860" t="s">
        <v>906</v>
      </c>
      <c r="C4860" t="str">
        <f t="shared" si="409"/>
        <v>02405380102</v>
      </c>
      <c r="D4860" t="str">
        <f t="shared" si="410"/>
        <v>00248660599</v>
      </c>
      <c r="E4860" t="s">
        <v>52</v>
      </c>
      <c r="F4860">
        <v>2014</v>
      </c>
      <c r="G4860">
        <v>206206</v>
      </c>
      <c r="H4860" s="1">
        <v>41905</v>
      </c>
      <c r="I4860" s="1">
        <v>41932</v>
      </c>
      <c r="J4860" s="1">
        <v>41932</v>
      </c>
      <c r="K4860" s="1">
        <v>41992</v>
      </c>
      <c r="N4860" s="5"/>
      <c r="O4860">
        <v>457.5</v>
      </c>
      <c r="P4860">
        <v>257</v>
      </c>
      <c r="Q4860" s="2">
        <v>117577.5</v>
      </c>
      <c r="R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 s="1">
        <v>42382</v>
      </c>
      <c r="AC4860" t="s">
        <v>53</v>
      </c>
      <c r="AD4860" t="s">
        <v>53</v>
      </c>
      <c r="AK4860">
        <v>0</v>
      </c>
      <c r="AU4860" s="6">
        <v>42249</v>
      </c>
      <c r="AV4860" s="6">
        <v>42249</v>
      </c>
      <c r="AW4860" t="s">
        <v>54</v>
      </c>
      <c r="AX4860" t="str">
        <f t="shared" si="407"/>
        <v>FOR</v>
      </c>
      <c r="AY4860" t="s">
        <v>55</v>
      </c>
    </row>
    <row r="4861" spans="1:51">
      <c r="A4861">
        <v>101808</v>
      </c>
      <c r="B4861" t="s">
        <v>906</v>
      </c>
      <c r="C4861" t="str">
        <f t="shared" si="409"/>
        <v>02405380102</v>
      </c>
      <c r="D4861" t="str">
        <f t="shared" si="410"/>
        <v>00248660599</v>
      </c>
      <c r="E4861" t="s">
        <v>52</v>
      </c>
      <c r="F4861">
        <v>2014</v>
      </c>
      <c r="G4861">
        <v>207568</v>
      </c>
      <c r="H4861" s="1">
        <v>41955</v>
      </c>
      <c r="I4861" s="1">
        <v>41974</v>
      </c>
      <c r="J4861" s="1">
        <v>41974</v>
      </c>
      <c r="K4861" s="1">
        <v>42034</v>
      </c>
      <c r="L4861" s="7">
        <v>1921.5</v>
      </c>
      <c r="M4861" s="5">
        <v>270</v>
      </c>
      <c r="N4861" s="7">
        <v>518805</v>
      </c>
      <c r="O4861" s="2">
        <v>1921.5</v>
      </c>
      <c r="P4861">
        <v>270</v>
      </c>
      <c r="Q4861" s="2">
        <v>518805</v>
      </c>
      <c r="R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 s="1">
        <v>42382</v>
      </c>
      <c r="AC4861" t="s">
        <v>53</v>
      </c>
      <c r="AD4861" t="s">
        <v>53</v>
      </c>
      <c r="AK4861">
        <v>0</v>
      </c>
      <c r="AU4861" s="6">
        <v>42304</v>
      </c>
      <c r="AV4861" s="6">
        <v>42304</v>
      </c>
      <c r="AW4861" t="s">
        <v>54</v>
      </c>
      <c r="AX4861" t="str">
        <f t="shared" si="407"/>
        <v>FOR</v>
      </c>
      <c r="AY4861" t="s">
        <v>55</v>
      </c>
    </row>
    <row r="4862" spans="1:51">
      <c r="A4862">
        <v>101808</v>
      </c>
      <c r="B4862" t="s">
        <v>906</v>
      </c>
      <c r="C4862" t="str">
        <f t="shared" si="409"/>
        <v>02405380102</v>
      </c>
      <c r="D4862" t="str">
        <f t="shared" si="410"/>
        <v>00248660599</v>
      </c>
      <c r="E4862" t="s">
        <v>52</v>
      </c>
      <c r="F4862">
        <v>2014</v>
      </c>
      <c r="G4862">
        <v>207569</v>
      </c>
      <c r="H4862" s="1">
        <v>41955</v>
      </c>
      <c r="I4862" s="1">
        <v>41974</v>
      </c>
      <c r="J4862" s="1">
        <v>41974</v>
      </c>
      <c r="K4862" s="1">
        <v>42034</v>
      </c>
      <c r="L4862" s="7">
        <v>11777.88</v>
      </c>
      <c r="M4862" s="5">
        <v>270</v>
      </c>
      <c r="N4862" s="7">
        <v>3180027.6</v>
      </c>
      <c r="O4862" s="2">
        <v>11777.88</v>
      </c>
      <c r="P4862">
        <v>270</v>
      </c>
      <c r="Q4862" s="2">
        <v>3180027.6</v>
      </c>
      <c r="R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 s="1">
        <v>42382</v>
      </c>
      <c r="AC4862" t="s">
        <v>53</v>
      </c>
      <c r="AD4862" t="s">
        <v>53</v>
      </c>
      <c r="AK4862">
        <v>0</v>
      </c>
      <c r="AU4862" s="6">
        <v>42304</v>
      </c>
      <c r="AV4862" s="6">
        <v>42304</v>
      </c>
      <c r="AW4862" t="s">
        <v>54</v>
      </c>
      <c r="AX4862" t="str">
        <f t="shared" si="407"/>
        <v>FOR</v>
      </c>
      <c r="AY4862" t="s">
        <v>55</v>
      </c>
    </row>
    <row r="4863" spans="1:51">
      <c r="A4863">
        <v>101808</v>
      </c>
      <c r="B4863" t="s">
        <v>906</v>
      </c>
      <c r="C4863" t="str">
        <f t="shared" si="409"/>
        <v>02405380102</v>
      </c>
      <c r="D4863" t="str">
        <f t="shared" si="410"/>
        <v>00248660599</v>
      </c>
      <c r="E4863" t="s">
        <v>52</v>
      </c>
      <c r="F4863">
        <v>2014</v>
      </c>
      <c r="G4863">
        <v>207570</v>
      </c>
      <c r="H4863" s="1">
        <v>41955</v>
      </c>
      <c r="I4863" s="1">
        <v>41974</v>
      </c>
      <c r="J4863" s="1">
        <v>41974</v>
      </c>
      <c r="K4863" s="1">
        <v>42034</v>
      </c>
      <c r="L4863" s="7">
        <v>1774.23</v>
      </c>
      <c r="M4863" s="5">
        <v>270</v>
      </c>
      <c r="N4863" s="7">
        <v>479042.1</v>
      </c>
      <c r="O4863" s="2">
        <v>1774.23</v>
      </c>
      <c r="P4863">
        <v>270</v>
      </c>
      <c r="Q4863" s="2">
        <v>479042.1</v>
      </c>
      <c r="R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 s="1">
        <v>42382</v>
      </c>
      <c r="AC4863" t="s">
        <v>53</v>
      </c>
      <c r="AD4863" t="s">
        <v>53</v>
      </c>
      <c r="AK4863">
        <v>0</v>
      </c>
      <c r="AU4863" s="6">
        <v>42304</v>
      </c>
      <c r="AV4863" s="6">
        <v>42304</v>
      </c>
      <c r="AW4863" t="s">
        <v>54</v>
      </c>
      <c r="AX4863" t="str">
        <f t="shared" si="407"/>
        <v>FOR</v>
      </c>
      <c r="AY4863" t="s">
        <v>55</v>
      </c>
    </row>
    <row r="4864" spans="1:51">
      <c r="A4864">
        <v>101808</v>
      </c>
      <c r="B4864" t="s">
        <v>906</v>
      </c>
      <c r="C4864" t="str">
        <f t="shared" si="409"/>
        <v>02405380102</v>
      </c>
      <c r="D4864" t="str">
        <f t="shared" si="410"/>
        <v>00248660599</v>
      </c>
      <c r="E4864" t="s">
        <v>52</v>
      </c>
      <c r="F4864">
        <v>2014</v>
      </c>
      <c r="G4864">
        <v>208462</v>
      </c>
      <c r="H4864" s="1">
        <v>41991</v>
      </c>
      <c r="I4864" s="1">
        <v>42030</v>
      </c>
      <c r="J4864" s="1">
        <v>42030</v>
      </c>
      <c r="K4864" s="1">
        <v>42090</v>
      </c>
      <c r="L4864" s="7">
        <v>1830</v>
      </c>
      <c r="M4864" s="5">
        <v>214</v>
      </c>
      <c r="N4864" s="7">
        <v>391620</v>
      </c>
      <c r="O4864" s="2">
        <v>1830</v>
      </c>
      <c r="P4864">
        <v>214</v>
      </c>
      <c r="Q4864" s="2">
        <v>391620</v>
      </c>
      <c r="R4864">
        <v>0</v>
      </c>
      <c r="V4864">
        <v>0</v>
      </c>
      <c r="W4864">
        <v>0</v>
      </c>
      <c r="X4864">
        <v>0</v>
      </c>
      <c r="Y4864">
        <v>0</v>
      </c>
      <c r="Z4864" s="2">
        <v>1830</v>
      </c>
      <c r="AA4864">
        <v>0</v>
      </c>
      <c r="AB4864" s="1">
        <v>42382</v>
      </c>
      <c r="AC4864" t="s">
        <v>53</v>
      </c>
      <c r="AD4864" t="s">
        <v>53</v>
      </c>
      <c r="AK4864">
        <v>0</v>
      </c>
      <c r="AU4864" s="6">
        <v>42304</v>
      </c>
      <c r="AV4864" s="6">
        <v>42304</v>
      </c>
      <c r="AW4864" t="s">
        <v>54</v>
      </c>
      <c r="AX4864" t="str">
        <f t="shared" si="407"/>
        <v>FOR</v>
      </c>
      <c r="AY4864" t="s">
        <v>55</v>
      </c>
    </row>
    <row r="4865" spans="1:51">
      <c r="A4865">
        <v>101808</v>
      </c>
      <c r="B4865" t="s">
        <v>906</v>
      </c>
      <c r="C4865" t="str">
        <f t="shared" si="409"/>
        <v>02405380102</v>
      </c>
      <c r="D4865" t="str">
        <f t="shared" si="410"/>
        <v>00248660599</v>
      </c>
      <c r="E4865" t="s">
        <v>52</v>
      </c>
      <c r="F4865">
        <v>2014</v>
      </c>
      <c r="G4865">
        <v>208463</v>
      </c>
      <c r="H4865" s="1">
        <v>41991</v>
      </c>
      <c r="I4865" s="1">
        <v>42030</v>
      </c>
      <c r="J4865" s="1">
        <v>42030</v>
      </c>
      <c r="K4865" s="1">
        <v>42090</v>
      </c>
      <c r="L4865" s="7">
        <v>457.5</v>
      </c>
      <c r="M4865" s="5">
        <v>214</v>
      </c>
      <c r="N4865" s="7">
        <v>97905</v>
      </c>
      <c r="O4865">
        <v>457.5</v>
      </c>
      <c r="P4865">
        <v>214</v>
      </c>
      <c r="Q4865" s="2">
        <v>97905</v>
      </c>
      <c r="R4865">
        <v>0</v>
      </c>
      <c r="V4865">
        <v>0</v>
      </c>
      <c r="W4865">
        <v>0</v>
      </c>
      <c r="X4865">
        <v>0</v>
      </c>
      <c r="Y4865">
        <v>0</v>
      </c>
      <c r="Z4865">
        <v>457.5</v>
      </c>
      <c r="AA4865">
        <v>0</v>
      </c>
      <c r="AB4865" s="1">
        <v>42382</v>
      </c>
      <c r="AC4865" t="s">
        <v>53</v>
      </c>
      <c r="AD4865" t="s">
        <v>53</v>
      </c>
      <c r="AK4865">
        <v>0</v>
      </c>
      <c r="AU4865" s="6">
        <v>42304</v>
      </c>
      <c r="AV4865" s="6">
        <v>42304</v>
      </c>
      <c r="AW4865" t="s">
        <v>54</v>
      </c>
      <c r="AX4865" t="str">
        <f t="shared" si="407"/>
        <v>FOR</v>
      </c>
      <c r="AY4865" t="s">
        <v>55</v>
      </c>
    </row>
    <row r="4866" spans="1:51">
      <c r="A4866">
        <v>101808</v>
      </c>
      <c r="B4866" t="s">
        <v>906</v>
      </c>
      <c r="C4866" t="str">
        <f t="shared" si="409"/>
        <v>02405380102</v>
      </c>
      <c r="D4866" t="str">
        <f t="shared" si="410"/>
        <v>00248660599</v>
      </c>
      <c r="E4866" t="s">
        <v>52</v>
      </c>
      <c r="F4866">
        <v>2015</v>
      </c>
      <c r="G4866">
        <v>200472</v>
      </c>
      <c r="H4866" s="1">
        <v>42030</v>
      </c>
      <c r="I4866" s="1">
        <v>42069</v>
      </c>
      <c r="J4866" s="1">
        <v>42069</v>
      </c>
      <c r="K4866" s="1">
        <v>42129</v>
      </c>
      <c r="L4866" s="7">
        <v>12427</v>
      </c>
      <c r="M4866" s="5">
        <v>230</v>
      </c>
      <c r="N4866" s="7">
        <v>2858210</v>
      </c>
      <c r="O4866" s="2">
        <v>12427</v>
      </c>
      <c r="P4866">
        <v>230</v>
      </c>
      <c r="Q4866" s="2">
        <v>2858210</v>
      </c>
      <c r="R4866" s="2">
        <v>2733.94</v>
      </c>
      <c r="V4866">
        <v>0</v>
      </c>
      <c r="W4866">
        <v>0</v>
      </c>
      <c r="X4866">
        <v>0</v>
      </c>
      <c r="Y4866" s="2">
        <v>15160.94</v>
      </c>
      <c r="Z4866" s="2">
        <v>15160.94</v>
      </c>
      <c r="AA4866" s="2">
        <v>15160.94</v>
      </c>
      <c r="AB4866" s="1">
        <v>42382</v>
      </c>
      <c r="AC4866" t="s">
        <v>53</v>
      </c>
      <c r="AD4866" t="s">
        <v>53</v>
      </c>
      <c r="AK4866" s="2">
        <v>2733.94</v>
      </c>
      <c r="AU4866" s="6">
        <v>42359</v>
      </c>
      <c r="AV4866" s="6">
        <v>42359</v>
      </c>
      <c r="AW4866" t="s">
        <v>54</v>
      </c>
      <c r="AX4866" t="str">
        <f t="shared" si="407"/>
        <v>FOR</v>
      </c>
      <c r="AY4866" t="s">
        <v>55</v>
      </c>
    </row>
    <row r="4867" spans="1:51">
      <c r="A4867">
        <v>101808</v>
      </c>
      <c r="B4867" t="s">
        <v>906</v>
      </c>
      <c r="C4867" t="str">
        <f t="shared" si="409"/>
        <v>02405380102</v>
      </c>
      <c r="D4867" t="str">
        <f t="shared" si="410"/>
        <v>00248660599</v>
      </c>
      <c r="E4867" t="s">
        <v>52</v>
      </c>
      <c r="F4867">
        <v>2015</v>
      </c>
      <c r="G4867">
        <v>200473</v>
      </c>
      <c r="H4867" s="1">
        <v>42030</v>
      </c>
      <c r="I4867" s="1">
        <v>42069</v>
      </c>
      <c r="J4867" s="1">
        <v>42069</v>
      </c>
      <c r="K4867" s="1">
        <v>42129</v>
      </c>
      <c r="L4867" s="7">
        <v>19810.64</v>
      </c>
      <c r="M4867" s="5">
        <v>230</v>
      </c>
      <c r="N4867" s="7">
        <v>4556447.2</v>
      </c>
      <c r="O4867" s="2">
        <v>19810.64</v>
      </c>
      <c r="P4867">
        <v>230</v>
      </c>
      <c r="Q4867" s="2">
        <v>4556447.2</v>
      </c>
      <c r="R4867" s="2">
        <v>4358.34</v>
      </c>
      <c r="V4867">
        <v>0</v>
      </c>
      <c r="W4867">
        <v>0</v>
      </c>
      <c r="X4867">
        <v>0</v>
      </c>
      <c r="Y4867" s="2">
        <v>24168.98</v>
      </c>
      <c r="Z4867" s="2">
        <v>24168.98</v>
      </c>
      <c r="AA4867" s="2">
        <v>24168.98</v>
      </c>
      <c r="AB4867" s="1">
        <v>42382</v>
      </c>
      <c r="AC4867" t="s">
        <v>53</v>
      </c>
      <c r="AD4867" t="s">
        <v>53</v>
      </c>
      <c r="AK4867" s="2">
        <v>4358.34</v>
      </c>
      <c r="AU4867" s="6">
        <v>42359</v>
      </c>
      <c r="AV4867" s="6">
        <v>42359</v>
      </c>
      <c r="AW4867" t="s">
        <v>54</v>
      </c>
      <c r="AX4867" t="str">
        <f t="shared" ref="AX4867:AX4930" si="411">"FOR"</f>
        <v>FOR</v>
      </c>
      <c r="AY4867" t="s">
        <v>55</v>
      </c>
    </row>
    <row r="4868" spans="1:51">
      <c r="A4868">
        <v>101808</v>
      </c>
      <c r="B4868" t="s">
        <v>906</v>
      </c>
      <c r="C4868" t="str">
        <f t="shared" si="409"/>
        <v>02405380102</v>
      </c>
      <c r="D4868" t="str">
        <f t="shared" si="410"/>
        <v>00248660599</v>
      </c>
      <c r="E4868" t="s">
        <v>52</v>
      </c>
      <c r="F4868">
        <v>2015</v>
      </c>
      <c r="G4868">
        <v>200797</v>
      </c>
      <c r="H4868" s="1">
        <v>42045</v>
      </c>
      <c r="I4868" s="1">
        <v>42069</v>
      </c>
      <c r="J4868" s="1">
        <v>42069</v>
      </c>
      <c r="K4868" s="1">
        <v>42129</v>
      </c>
      <c r="L4868" s="7">
        <v>797.5</v>
      </c>
      <c r="M4868" s="5">
        <v>230</v>
      </c>
      <c r="N4868" s="7">
        <v>183425</v>
      </c>
      <c r="O4868">
        <v>797.5</v>
      </c>
      <c r="P4868">
        <v>230</v>
      </c>
      <c r="Q4868" s="2">
        <v>183425</v>
      </c>
      <c r="R4868">
        <v>175.45</v>
      </c>
      <c r="V4868">
        <v>0</v>
      </c>
      <c r="W4868">
        <v>0</v>
      </c>
      <c r="X4868">
        <v>0</v>
      </c>
      <c r="Y4868">
        <v>972.95</v>
      </c>
      <c r="Z4868">
        <v>972.95</v>
      </c>
      <c r="AA4868">
        <v>972.95</v>
      </c>
      <c r="AB4868" s="1">
        <v>42382</v>
      </c>
      <c r="AC4868" t="s">
        <v>53</v>
      </c>
      <c r="AD4868" t="s">
        <v>53</v>
      </c>
      <c r="AK4868">
        <v>175.45</v>
      </c>
      <c r="AU4868" s="6">
        <v>42359</v>
      </c>
      <c r="AV4868" s="6">
        <v>42359</v>
      </c>
      <c r="AW4868" t="s">
        <v>54</v>
      </c>
      <c r="AX4868" t="str">
        <f t="shared" si="411"/>
        <v>FOR</v>
      </c>
      <c r="AY4868" t="s">
        <v>55</v>
      </c>
    </row>
    <row r="4869" spans="1:51" hidden="1">
      <c r="A4869">
        <v>101809</v>
      </c>
      <c r="B4869" t="s">
        <v>907</v>
      </c>
      <c r="C4869" t="str">
        <f t="shared" ref="C4869:D4885" si="412">"05724831002"</f>
        <v>05724831002</v>
      </c>
      <c r="D4869" t="str">
        <f t="shared" si="412"/>
        <v>05724831002</v>
      </c>
      <c r="E4869" t="s">
        <v>52</v>
      </c>
      <c r="F4869">
        <v>2014</v>
      </c>
      <c r="G4869">
        <v>14002533</v>
      </c>
      <c r="H4869" s="1">
        <v>41698</v>
      </c>
      <c r="I4869" s="1">
        <v>41715</v>
      </c>
      <c r="J4869" s="1">
        <v>41715</v>
      </c>
      <c r="K4869" s="1">
        <v>41805</v>
      </c>
      <c r="N4869" s="5"/>
      <c r="O4869" s="2">
        <v>6503.26</v>
      </c>
      <c r="P4869">
        <v>219</v>
      </c>
      <c r="Q4869" s="2">
        <v>1424213.94</v>
      </c>
      <c r="R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 s="1">
        <v>42382</v>
      </c>
      <c r="AC4869" t="s">
        <v>53</v>
      </c>
      <c r="AD4869" t="s">
        <v>53</v>
      </c>
      <c r="AK4869">
        <v>0</v>
      </c>
      <c r="AU4869" s="6">
        <v>42024</v>
      </c>
      <c r="AV4869" s="6">
        <v>42024</v>
      </c>
      <c r="AW4869" t="s">
        <v>54</v>
      </c>
      <c r="AX4869" t="str">
        <f t="shared" si="411"/>
        <v>FOR</v>
      </c>
      <c r="AY4869" t="s">
        <v>55</v>
      </c>
    </row>
    <row r="4870" spans="1:51" hidden="1">
      <c r="A4870">
        <v>101809</v>
      </c>
      <c r="B4870" t="s">
        <v>907</v>
      </c>
      <c r="C4870" t="str">
        <f t="shared" si="412"/>
        <v>05724831002</v>
      </c>
      <c r="D4870" t="str">
        <f t="shared" si="412"/>
        <v>05724831002</v>
      </c>
      <c r="E4870" t="s">
        <v>52</v>
      </c>
      <c r="F4870">
        <v>2014</v>
      </c>
      <c r="G4870">
        <v>14005402</v>
      </c>
      <c r="H4870" s="1">
        <v>41729</v>
      </c>
      <c r="I4870" s="1">
        <v>41743</v>
      </c>
      <c r="J4870" s="1">
        <v>41743</v>
      </c>
      <c r="K4870" s="1">
        <v>41833</v>
      </c>
      <c r="N4870" s="5"/>
      <c r="O4870" s="2">
        <v>6503.26</v>
      </c>
      <c r="P4870">
        <v>204</v>
      </c>
      <c r="Q4870" s="2">
        <v>1326665.04</v>
      </c>
      <c r="R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 s="1">
        <v>42382</v>
      </c>
      <c r="AC4870" t="s">
        <v>53</v>
      </c>
      <c r="AD4870" t="s">
        <v>53</v>
      </c>
      <c r="AK4870">
        <v>0</v>
      </c>
      <c r="AU4870" s="6">
        <v>42037</v>
      </c>
      <c r="AV4870" s="6">
        <v>42037</v>
      </c>
      <c r="AW4870" t="s">
        <v>54</v>
      </c>
      <c r="AX4870" t="str">
        <f t="shared" si="411"/>
        <v>FOR</v>
      </c>
      <c r="AY4870" t="s">
        <v>55</v>
      </c>
    </row>
    <row r="4871" spans="1:51" hidden="1">
      <c r="A4871">
        <v>101809</v>
      </c>
      <c r="B4871" t="s">
        <v>907</v>
      </c>
      <c r="C4871" t="str">
        <f t="shared" si="412"/>
        <v>05724831002</v>
      </c>
      <c r="D4871" t="str">
        <f t="shared" si="412"/>
        <v>05724831002</v>
      </c>
      <c r="E4871" t="s">
        <v>52</v>
      </c>
      <c r="F4871">
        <v>2014</v>
      </c>
      <c r="G4871">
        <v>14007519</v>
      </c>
      <c r="H4871" s="1">
        <v>41759</v>
      </c>
      <c r="I4871" s="1">
        <v>41773</v>
      </c>
      <c r="J4871" s="1">
        <v>41773</v>
      </c>
      <c r="K4871" s="1">
        <v>41863</v>
      </c>
      <c r="N4871" s="5"/>
      <c r="O4871" s="2">
        <v>6503.26</v>
      </c>
      <c r="P4871">
        <v>211</v>
      </c>
      <c r="Q4871" s="2">
        <v>1372187.86</v>
      </c>
      <c r="R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 s="1">
        <v>42382</v>
      </c>
      <c r="AC4871" t="s">
        <v>53</v>
      </c>
      <c r="AD4871" t="s">
        <v>53</v>
      </c>
      <c r="AK4871">
        <v>0</v>
      </c>
      <c r="AU4871" s="6">
        <v>42074</v>
      </c>
      <c r="AV4871" s="6">
        <v>42074</v>
      </c>
      <c r="AW4871" t="s">
        <v>54</v>
      </c>
      <c r="AX4871" t="str">
        <f t="shared" si="411"/>
        <v>FOR</v>
      </c>
      <c r="AY4871" t="s">
        <v>55</v>
      </c>
    </row>
    <row r="4872" spans="1:51" hidden="1">
      <c r="A4872">
        <v>101809</v>
      </c>
      <c r="B4872" t="s">
        <v>907</v>
      </c>
      <c r="C4872" t="str">
        <f t="shared" si="412"/>
        <v>05724831002</v>
      </c>
      <c r="D4872" t="str">
        <f t="shared" si="412"/>
        <v>05724831002</v>
      </c>
      <c r="E4872" t="s">
        <v>52</v>
      </c>
      <c r="F4872">
        <v>2014</v>
      </c>
      <c r="G4872">
        <v>14008987</v>
      </c>
      <c r="H4872" s="1">
        <v>41790</v>
      </c>
      <c r="I4872" s="1">
        <v>41806</v>
      </c>
      <c r="J4872" s="1">
        <v>41806</v>
      </c>
      <c r="K4872" s="1">
        <v>41896</v>
      </c>
      <c r="N4872" s="5"/>
      <c r="O4872" s="2">
        <v>6503.26</v>
      </c>
      <c r="P4872">
        <v>198</v>
      </c>
      <c r="Q4872" s="2">
        <v>1287645.48</v>
      </c>
      <c r="R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 s="1">
        <v>42382</v>
      </c>
      <c r="AC4872" t="s">
        <v>53</v>
      </c>
      <c r="AD4872" t="s">
        <v>53</v>
      </c>
      <c r="AK4872">
        <v>0</v>
      </c>
      <c r="AU4872" s="6">
        <v>42094</v>
      </c>
      <c r="AV4872" s="6">
        <v>42094</v>
      </c>
      <c r="AW4872" t="s">
        <v>54</v>
      </c>
      <c r="AX4872" t="str">
        <f t="shared" si="411"/>
        <v>FOR</v>
      </c>
      <c r="AY4872" t="s">
        <v>55</v>
      </c>
    </row>
    <row r="4873" spans="1:51" hidden="1">
      <c r="A4873">
        <v>101809</v>
      </c>
      <c r="B4873" t="s">
        <v>907</v>
      </c>
      <c r="C4873" t="str">
        <f t="shared" si="412"/>
        <v>05724831002</v>
      </c>
      <c r="D4873" t="str">
        <f t="shared" si="412"/>
        <v>05724831002</v>
      </c>
      <c r="E4873" t="s">
        <v>52</v>
      </c>
      <c r="F4873">
        <v>2014</v>
      </c>
      <c r="G4873">
        <v>14011079</v>
      </c>
      <c r="H4873" s="1">
        <v>41820</v>
      </c>
      <c r="I4873" s="1">
        <v>41852</v>
      </c>
      <c r="J4873" s="1">
        <v>41852</v>
      </c>
      <c r="K4873" s="1">
        <v>41942</v>
      </c>
      <c r="N4873" s="5"/>
      <c r="O4873" s="2">
        <v>6503.26</v>
      </c>
      <c r="P4873">
        <v>160</v>
      </c>
      <c r="Q4873" s="2">
        <v>1040521.6</v>
      </c>
      <c r="R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 s="1">
        <v>42382</v>
      </c>
      <c r="AC4873" t="s">
        <v>53</v>
      </c>
      <c r="AD4873" t="s">
        <v>53</v>
      </c>
      <c r="AK4873">
        <v>0</v>
      </c>
      <c r="AU4873" s="6">
        <v>42102</v>
      </c>
      <c r="AV4873" s="6">
        <v>42102</v>
      </c>
      <c r="AW4873" t="s">
        <v>54</v>
      </c>
      <c r="AX4873" t="str">
        <f t="shared" si="411"/>
        <v>FOR</v>
      </c>
      <c r="AY4873" t="s">
        <v>55</v>
      </c>
    </row>
    <row r="4874" spans="1:51" hidden="1">
      <c r="A4874">
        <v>101809</v>
      </c>
      <c r="B4874" t="s">
        <v>907</v>
      </c>
      <c r="C4874" t="str">
        <f t="shared" si="412"/>
        <v>05724831002</v>
      </c>
      <c r="D4874" t="str">
        <f t="shared" si="412"/>
        <v>05724831002</v>
      </c>
      <c r="E4874" t="s">
        <v>52</v>
      </c>
      <c r="F4874">
        <v>2014</v>
      </c>
      <c r="G4874">
        <v>14012991</v>
      </c>
      <c r="H4874" s="1">
        <v>41851</v>
      </c>
      <c r="I4874" s="1">
        <v>41873</v>
      </c>
      <c r="J4874" s="1">
        <v>41873</v>
      </c>
      <c r="K4874" s="1">
        <v>41963</v>
      </c>
      <c r="N4874" s="5"/>
      <c r="O4874" s="2">
        <v>6503.26</v>
      </c>
      <c r="P4874">
        <v>139</v>
      </c>
      <c r="Q4874" s="2">
        <v>903953.14</v>
      </c>
      <c r="R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 s="1">
        <v>42382</v>
      </c>
      <c r="AC4874" t="s">
        <v>53</v>
      </c>
      <c r="AD4874" t="s">
        <v>53</v>
      </c>
      <c r="AK4874">
        <v>0</v>
      </c>
      <c r="AU4874" s="6">
        <v>42102</v>
      </c>
      <c r="AV4874" s="6">
        <v>42102</v>
      </c>
      <c r="AW4874" t="s">
        <v>54</v>
      </c>
      <c r="AX4874" t="str">
        <f t="shared" si="411"/>
        <v>FOR</v>
      </c>
      <c r="AY4874" t="s">
        <v>55</v>
      </c>
    </row>
    <row r="4875" spans="1:51" hidden="1">
      <c r="A4875">
        <v>101809</v>
      </c>
      <c r="B4875" t="s">
        <v>907</v>
      </c>
      <c r="C4875" t="str">
        <f t="shared" si="412"/>
        <v>05724831002</v>
      </c>
      <c r="D4875" t="str">
        <f t="shared" si="412"/>
        <v>05724831002</v>
      </c>
      <c r="E4875" t="s">
        <v>52</v>
      </c>
      <c r="F4875">
        <v>2014</v>
      </c>
      <c r="G4875">
        <v>14013567</v>
      </c>
      <c r="H4875" s="1">
        <v>41882</v>
      </c>
      <c r="I4875" s="1">
        <v>41890</v>
      </c>
      <c r="J4875" s="1">
        <v>41890</v>
      </c>
      <c r="K4875" s="1">
        <v>41980</v>
      </c>
      <c r="N4875" s="5"/>
      <c r="O4875" s="2">
        <v>6503.26</v>
      </c>
      <c r="P4875">
        <v>122</v>
      </c>
      <c r="Q4875" s="2">
        <v>793397.72</v>
      </c>
      <c r="R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 s="1">
        <v>42382</v>
      </c>
      <c r="AC4875" t="s">
        <v>53</v>
      </c>
      <c r="AD4875" t="s">
        <v>53</v>
      </c>
      <c r="AK4875">
        <v>0</v>
      </c>
      <c r="AU4875" s="6">
        <v>42102</v>
      </c>
      <c r="AV4875" s="6">
        <v>42102</v>
      </c>
      <c r="AW4875" t="s">
        <v>54</v>
      </c>
      <c r="AX4875" t="str">
        <f t="shared" si="411"/>
        <v>FOR</v>
      </c>
      <c r="AY4875" t="s">
        <v>55</v>
      </c>
    </row>
    <row r="4876" spans="1:51" hidden="1">
      <c r="A4876">
        <v>101809</v>
      </c>
      <c r="B4876" t="s">
        <v>907</v>
      </c>
      <c r="C4876" t="str">
        <f t="shared" si="412"/>
        <v>05724831002</v>
      </c>
      <c r="D4876" t="str">
        <f t="shared" si="412"/>
        <v>05724831002</v>
      </c>
      <c r="E4876" t="s">
        <v>52</v>
      </c>
      <c r="F4876">
        <v>2014</v>
      </c>
      <c r="G4876">
        <v>14016582</v>
      </c>
      <c r="H4876" s="1">
        <v>41912</v>
      </c>
      <c r="I4876" s="1">
        <v>41929</v>
      </c>
      <c r="J4876" s="1">
        <v>41929</v>
      </c>
      <c r="K4876" s="1">
        <v>41989</v>
      </c>
      <c r="N4876" s="5"/>
      <c r="O4876" s="2">
        <v>6503.26</v>
      </c>
      <c r="P4876">
        <v>113</v>
      </c>
      <c r="Q4876" s="2">
        <v>734868.38</v>
      </c>
      <c r="R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 s="1">
        <v>42382</v>
      </c>
      <c r="AC4876" t="s">
        <v>53</v>
      </c>
      <c r="AD4876" t="s">
        <v>53</v>
      </c>
      <c r="AK4876">
        <v>0</v>
      </c>
      <c r="AU4876" s="6">
        <v>42102</v>
      </c>
      <c r="AV4876" s="6">
        <v>42102</v>
      </c>
      <c r="AW4876" t="s">
        <v>54</v>
      </c>
      <c r="AX4876" t="str">
        <f t="shared" si="411"/>
        <v>FOR</v>
      </c>
      <c r="AY4876" t="s">
        <v>55</v>
      </c>
    </row>
    <row r="4877" spans="1:51" hidden="1">
      <c r="A4877">
        <v>101809</v>
      </c>
      <c r="B4877" t="s">
        <v>907</v>
      </c>
      <c r="C4877" t="str">
        <f t="shared" si="412"/>
        <v>05724831002</v>
      </c>
      <c r="D4877" t="str">
        <f t="shared" si="412"/>
        <v>05724831002</v>
      </c>
      <c r="E4877" t="s">
        <v>52</v>
      </c>
      <c r="F4877">
        <v>2014</v>
      </c>
      <c r="G4877">
        <v>14019149</v>
      </c>
      <c r="H4877" s="1">
        <v>41943</v>
      </c>
      <c r="I4877" s="1">
        <v>41956</v>
      </c>
      <c r="J4877" s="1">
        <v>41956</v>
      </c>
      <c r="K4877" s="1">
        <v>42016</v>
      </c>
      <c r="N4877" s="5"/>
      <c r="O4877" s="2">
        <v>6503.26</v>
      </c>
      <c r="P4877">
        <v>86</v>
      </c>
      <c r="Q4877" s="2">
        <v>559280.36</v>
      </c>
      <c r="R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 s="1">
        <v>42382</v>
      </c>
      <c r="AC4877" t="s">
        <v>53</v>
      </c>
      <c r="AD4877" t="s">
        <v>53</v>
      </c>
      <c r="AK4877">
        <v>0</v>
      </c>
      <c r="AU4877" s="6">
        <v>42102</v>
      </c>
      <c r="AV4877" s="6">
        <v>42102</v>
      </c>
      <c r="AW4877" t="s">
        <v>54</v>
      </c>
      <c r="AX4877" t="str">
        <f t="shared" si="411"/>
        <v>FOR</v>
      </c>
      <c r="AY4877" t="s">
        <v>55</v>
      </c>
    </row>
    <row r="4878" spans="1:51" hidden="1">
      <c r="A4878">
        <v>101809</v>
      </c>
      <c r="B4878" t="s">
        <v>907</v>
      </c>
      <c r="C4878" t="str">
        <f t="shared" si="412"/>
        <v>05724831002</v>
      </c>
      <c r="D4878" t="str">
        <f t="shared" si="412"/>
        <v>05724831002</v>
      </c>
      <c r="E4878" t="s">
        <v>52</v>
      </c>
      <c r="F4878">
        <v>2014</v>
      </c>
      <c r="G4878">
        <v>14021375</v>
      </c>
      <c r="H4878" s="1">
        <v>41973</v>
      </c>
      <c r="I4878" s="1">
        <v>41985</v>
      </c>
      <c r="J4878" s="1">
        <v>41985</v>
      </c>
      <c r="K4878" s="1">
        <v>42045</v>
      </c>
      <c r="N4878" s="5"/>
      <c r="O4878" s="2">
        <v>6503.26</v>
      </c>
      <c r="P4878">
        <v>57</v>
      </c>
      <c r="Q4878" s="2">
        <v>370685.82</v>
      </c>
      <c r="R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 s="1">
        <v>42382</v>
      </c>
      <c r="AC4878" t="s">
        <v>53</v>
      </c>
      <c r="AD4878" t="s">
        <v>53</v>
      </c>
      <c r="AK4878">
        <v>0</v>
      </c>
      <c r="AU4878" s="6">
        <v>42102</v>
      </c>
      <c r="AV4878" s="6">
        <v>42102</v>
      </c>
      <c r="AW4878" t="s">
        <v>54</v>
      </c>
      <c r="AX4878" t="str">
        <f t="shared" si="411"/>
        <v>FOR</v>
      </c>
      <c r="AY4878" t="s">
        <v>55</v>
      </c>
    </row>
    <row r="4879" spans="1:51" hidden="1">
      <c r="A4879">
        <v>101809</v>
      </c>
      <c r="B4879" t="s">
        <v>907</v>
      </c>
      <c r="C4879" t="str">
        <f t="shared" si="412"/>
        <v>05724831002</v>
      </c>
      <c r="D4879" t="str">
        <f t="shared" si="412"/>
        <v>05724831002</v>
      </c>
      <c r="E4879" t="s">
        <v>52</v>
      </c>
      <c r="F4879">
        <v>2014</v>
      </c>
      <c r="G4879">
        <v>14023925</v>
      </c>
      <c r="H4879" s="1">
        <v>42004</v>
      </c>
      <c r="I4879" s="1">
        <v>42019</v>
      </c>
      <c r="J4879" s="1">
        <v>42019</v>
      </c>
      <c r="K4879" s="1">
        <v>42079</v>
      </c>
      <c r="N4879" s="5"/>
      <c r="O4879" s="2">
        <v>6503.26</v>
      </c>
      <c r="P4879">
        <v>52</v>
      </c>
      <c r="Q4879" s="2">
        <v>338169.52</v>
      </c>
      <c r="R4879">
        <v>0</v>
      </c>
      <c r="V4879">
        <v>0</v>
      </c>
      <c r="W4879">
        <v>0</v>
      </c>
      <c r="X4879">
        <v>0</v>
      </c>
      <c r="Y4879">
        <v>0</v>
      </c>
      <c r="Z4879" s="2">
        <v>6503.26</v>
      </c>
      <c r="AA4879">
        <v>0</v>
      </c>
      <c r="AB4879" s="1">
        <v>42382</v>
      </c>
      <c r="AC4879" t="s">
        <v>53</v>
      </c>
      <c r="AD4879" t="s">
        <v>53</v>
      </c>
      <c r="AK4879">
        <v>0</v>
      </c>
      <c r="AU4879" s="6">
        <v>42131</v>
      </c>
      <c r="AV4879" s="6">
        <v>42131</v>
      </c>
      <c r="AW4879" t="s">
        <v>54</v>
      </c>
      <c r="AX4879" t="str">
        <f t="shared" si="411"/>
        <v>FOR</v>
      </c>
      <c r="AY4879" t="s">
        <v>55</v>
      </c>
    </row>
    <row r="4880" spans="1:51" hidden="1">
      <c r="A4880">
        <v>101809</v>
      </c>
      <c r="B4880" t="s">
        <v>907</v>
      </c>
      <c r="C4880" t="str">
        <f t="shared" si="412"/>
        <v>05724831002</v>
      </c>
      <c r="D4880" t="str">
        <f t="shared" si="412"/>
        <v>05724831002</v>
      </c>
      <c r="E4880" t="s">
        <v>52</v>
      </c>
      <c r="F4880">
        <v>2015</v>
      </c>
      <c r="G4880">
        <v>2015001023</v>
      </c>
      <c r="H4880" s="1">
        <v>42035</v>
      </c>
      <c r="I4880" s="1">
        <v>42052</v>
      </c>
      <c r="J4880" s="1">
        <v>42052</v>
      </c>
      <c r="K4880" s="1">
        <v>42112</v>
      </c>
      <c r="N4880" s="5"/>
      <c r="O4880" s="2">
        <v>5330.54</v>
      </c>
      <c r="P4880">
        <v>79</v>
      </c>
      <c r="Q4880" s="2">
        <v>421112.66</v>
      </c>
      <c r="R4880">
        <v>0</v>
      </c>
      <c r="V4880">
        <v>0</v>
      </c>
      <c r="W4880">
        <v>0</v>
      </c>
      <c r="X4880">
        <v>0</v>
      </c>
      <c r="Y4880">
        <v>0</v>
      </c>
      <c r="Z4880" s="2">
        <v>6503.26</v>
      </c>
      <c r="AA4880" s="2">
        <v>6503.26</v>
      </c>
      <c r="AB4880" s="1">
        <v>42382</v>
      </c>
      <c r="AC4880" t="s">
        <v>53</v>
      </c>
      <c r="AD4880" t="s">
        <v>53</v>
      </c>
      <c r="AK4880">
        <v>0</v>
      </c>
      <c r="AU4880" s="6">
        <v>42191</v>
      </c>
      <c r="AV4880" s="6">
        <v>42191</v>
      </c>
      <c r="AW4880" t="s">
        <v>54</v>
      </c>
      <c r="AX4880" t="str">
        <f t="shared" si="411"/>
        <v>FOR</v>
      </c>
      <c r="AY4880" t="s">
        <v>55</v>
      </c>
    </row>
    <row r="4881" spans="1:51" hidden="1">
      <c r="A4881">
        <v>101809</v>
      </c>
      <c r="B4881" t="s">
        <v>907</v>
      </c>
      <c r="C4881" t="str">
        <f t="shared" si="412"/>
        <v>05724831002</v>
      </c>
      <c r="D4881" t="str">
        <f t="shared" si="412"/>
        <v>05724831002</v>
      </c>
      <c r="E4881" t="s">
        <v>52</v>
      </c>
      <c r="F4881">
        <v>2015</v>
      </c>
      <c r="G4881">
        <v>2015003418</v>
      </c>
      <c r="H4881" s="1">
        <v>42063</v>
      </c>
      <c r="I4881" s="1">
        <v>42080</v>
      </c>
      <c r="J4881" s="1">
        <v>42080</v>
      </c>
      <c r="K4881" s="1">
        <v>42140</v>
      </c>
      <c r="N4881" s="5"/>
      <c r="O4881" s="2">
        <v>5330.54</v>
      </c>
      <c r="P4881">
        <v>115</v>
      </c>
      <c r="Q4881" s="2">
        <v>613012.1</v>
      </c>
      <c r="R4881">
        <v>0</v>
      </c>
      <c r="V4881">
        <v>0</v>
      </c>
      <c r="W4881">
        <v>0</v>
      </c>
      <c r="X4881">
        <v>0</v>
      </c>
      <c r="Y4881" s="2">
        <v>6503.26</v>
      </c>
      <c r="Z4881" s="2">
        <v>6503.26</v>
      </c>
      <c r="AA4881" s="2">
        <v>6503.26</v>
      </c>
      <c r="AB4881" s="1">
        <v>42382</v>
      </c>
      <c r="AC4881" t="s">
        <v>53</v>
      </c>
      <c r="AD4881" t="s">
        <v>53</v>
      </c>
      <c r="AK4881">
        <v>0</v>
      </c>
      <c r="AU4881" s="6">
        <v>42255</v>
      </c>
      <c r="AV4881" s="6">
        <v>42255</v>
      </c>
      <c r="AW4881" t="s">
        <v>54</v>
      </c>
      <c r="AX4881" t="str">
        <f t="shared" si="411"/>
        <v>FOR</v>
      </c>
      <c r="AY4881" t="s">
        <v>55</v>
      </c>
    </row>
    <row r="4882" spans="1:51" hidden="1">
      <c r="A4882">
        <v>101809</v>
      </c>
      <c r="B4882" t="s">
        <v>907</v>
      </c>
      <c r="C4882" t="str">
        <f t="shared" si="412"/>
        <v>05724831002</v>
      </c>
      <c r="D4882" t="str">
        <f t="shared" si="412"/>
        <v>05724831002</v>
      </c>
      <c r="E4882" t="s">
        <v>52</v>
      </c>
      <c r="F4882">
        <v>2015</v>
      </c>
      <c r="G4882">
        <v>2015004219</v>
      </c>
      <c r="H4882" s="1">
        <v>42089</v>
      </c>
      <c r="I4882" s="1">
        <v>42095</v>
      </c>
      <c r="J4882" s="1">
        <v>42095</v>
      </c>
      <c r="K4882" s="1">
        <v>42155</v>
      </c>
      <c r="N4882" s="5"/>
      <c r="O4882" s="2">
        <v>5330.54</v>
      </c>
      <c r="P4882">
        <v>122</v>
      </c>
      <c r="Q4882" s="2">
        <v>650325.88</v>
      </c>
      <c r="R4882">
        <v>0</v>
      </c>
      <c r="V4882">
        <v>0</v>
      </c>
      <c r="W4882">
        <v>0</v>
      </c>
      <c r="X4882">
        <v>0</v>
      </c>
      <c r="Y4882" s="2">
        <v>6503.26</v>
      </c>
      <c r="Z4882" s="2">
        <v>6503.26</v>
      </c>
      <c r="AA4882" s="2">
        <v>6503.26</v>
      </c>
      <c r="AB4882" s="1">
        <v>42382</v>
      </c>
      <c r="AC4882" t="s">
        <v>53</v>
      </c>
      <c r="AD4882" t="s">
        <v>53</v>
      </c>
      <c r="AK4882">
        <v>0</v>
      </c>
      <c r="AU4882" s="6">
        <v>42277</v>
      </c>
      <c r="AV4882" s="6">
        <v>42277</v>
      </c>
      <c r="AW4882" t="s">
        <v>54</v>
      </c>
      <c r="AX4882" t="str">
        <f t="shared" si="411"/>
        <v>FOR</v>
      </c>
      <c r="AY4882" t="s">
        <v>55</v>
      </c>
    </row>
    <row r="4883" spans="1:51">
      <c r="A4883">
        <v>101809</v>
      </c>
      <c r="B4883" t="s">
        <v>907</v>
      </c>
      <c r="C4883" t="str">
        <f t="shared" si="412"/>
        <v>05724831002</v>
      </c>
      <c r="D4883" t="str">
        <f t="shared" si="412"/>
        <v>05724831002</v>
      </c>
      <c r="E4883" t="s">
        <v>52</v>
      </c>
      <c r="F4883">
        <v>2015</v>
      </c>
      <c r="G4883">
        <v>2015900571</v>
      </c>
      <c r="H4883" s="1">
        <v>42124</v>
      </c>
      <c r="I4883" s="1">
        <v>42142</v>
      </c>
      <c r="J4883" s="1">
        <v>42138</v>
      </c>
      <c r="K4883" s="1">
        <v>42198</v>
      </c>
      <c r="L4883" s="7">
        <v>5330.54</v>
      </c>
      <c r="M4883" s="5">
        <v>101</v>
      </c>
      <c r="N4883" s="7">
        <v>538384.54</v>
      </c>
      <c r="O4883" s="2">
        <v>5330.54</v>
      </c>
      <c r="P4883">
        <v>101</v>
      </c>
      <c r="Q4883" s="2">
        <v>538384.54</v>
      </c>
      <c r="R4883">
        <v>0</v>
      </c>
      <c r="V4883">
        <v>0</v>
      </c>
      <c r="W4883">
        <v>0</v>
      </c>
      <c r="X4883">
        <v>0</v>
      </c>
      <c r="Y4883" s="2">
        <v>6503.26</v>
      </c>
      <c r="Z4883" s="2">
        <v>6503.26</v>
      </c>
      <c r="AA4883" s="2">
        <v>6503.26</v>
      </c>
      <c r="AB4883" s="1">
        <v>42382</v>
      </c>
      <c r="AC4883" t="s">
        <v>53</v>
      </c>
      <c r="AD4883" t="s">
        <v>53</v>
      </c>
      <c r="AK4883">
        <v>0</v>
      </c>
      <c r="AU4883" s="6">
        <v>42299</v>
      </c>
      <c r="AV4883" s="6">
        <v>42299</v>
      </c>
      <c r="AW4883" t="s">
        <v>54</v>
      </c>
      <c r="AX4883" t="str">
        <f t="shared" si="411"/>
        <v>FOR</v>
      </c>
      <c r="AY4883" t="s">
        <v>55</v>
      </c>
    </row>
    <row r="4884" spans="1:51">
      <c r="A4884">
        <v>101809</v>
      </c>
      <c r="B4884" t="s">
        <v>907</v>
      </c>
      <c r="C4884" t="str">
        <f t="shared" si="412"/>
        <v>05724831002</v>
      </c>
      <c r="D4884" t="str">
        <f t="shared" si="412"/>
        <v>05724831002</v>
      </c>
      <c r="E4884" t="s">
        <v>52</v>
      </c>
      <c r="F4884">
        <v>2015</v>
      </c>
      <c r="G4884">
        <v>2015900892</v>
      </c>
      <c r="H4884" s="1">
        <v>42155</v>
      </c>
      <c r="I4884" s="1">
        <v>42171</v>
      </c>
      <c r="J4884" s="1">
        <v>42168</v>
      </c>
      <c r="K4884" s="1">
        <v>42228</v>
      </c>
      <c r="L4884" s="7">
        <v>5330.54</v>
      </c>
      <c r="M4884" s="5">
        <v>111</v>
      </c>
      <c r="N4884" s="7">
        <v>591689.93999999994</v>
      </c>
      <c r="O4884" s="2">
        <v>5330.54</v>
      </c>
      <c r="P4884">
        <v>111</v>
      </c>
      <c r="Q4884" s="2">
        <v>591689.93999999994</v>
      </c>
      <c r="R4884" s="2">
        <v>1172.72</v>
      </c>
      <c r="V4884">
        <v>0</v>
      </c>
      <c r="W4884">
        <v>0</v>
      </c>
      <c r="X4884">
        <v>0</v>
      </c>
      <c r="Y4884" s="2">
        <v>6503.26</v>
      </c>
      <c r="Z4884" s="2">
        <v>6503.26</v>
      </c>
      <c r="AA4884" s="2">
        <v>6503.26</v>
      </c>
      <c r="AB4884" s="1">
        <v>42382</v>
      </c>
      <c r="AC4884" t="s">
        <v>53</v>
      </c>
      <c r="AD4884" t="s">
        <v>53</v>
      </c>
      <c r="AI4884" s="2">
        <v>1172.72</v>
      </c>
      <c r="AK4884">
        <v>0</v>
      </c>
      <c r="AU4884" s="6">
        <v>42339</v>
      </c>
      <c r="AV4884" s="6">
        <v>42339</v>
      </c>
      <c r="AW4884" t="s">
        <v>54</v>
      </c>
      <c r="AX4884" t="str">
        <f t="shared" si="411"/>
        <v>FOR</v>
      </c>
      <c r="AY4884" t="s">
        <v>55</v>
      </c>
    </row>
    <row r="4885" spans="1:51">
      <c r="A4885">
        <v>101809</v>
      </c>
      <c r="B4885" t="s">
        <v>907</v>
      </c>
      <c r="C4885" t="str">
        <f t="shared" si="412"/>
        <v>05724831002</v>
      </c>
      <c r="D4885" t="str">
        <f t="shared" si="412"/>
        <v>05724831002</v>
      </c>
      <c r="E4885" t="s">
        <v>52</v>
      </c>
      <c r="F4885">
        <v>2015</v>
      </c>
      <c r="G4885">
        <v>2015901238</v>
      </c>
      <c r="H4885" s="1">
        <v>42185</v>
      </c>
      <c r="I4885" s="1">
        <v>42198</v>
      </c>
      <c r="J4885" s="1">
        <v>42196</v>
      </c>
      <c r="K4885" s="1">
        <v>42256</v>
      </c>
      <c r="L4885" s="7">
        <v>5330.54</v>
      </c>
      <c r="M4885" s="5">
        <v>100</v>
      </c>
      <c r="N4885" s="7">
        <v>533054</v>
      </c>
      <c r="O4885" s="2">
        <v>5330.54</v>
      </c>
      <c r="P4885">
        <v>100</v>
      </c>
      <c r="Q4885" s="2">
        <v>533054</v>
      </c>
      <c r="R4885" s="2">
        <v>1172.72</v>
      </c>
      <c r="V4885">
        <v>0</v>
      </c>
      <c r="W4885">
        <v>0</v>
      </c>
      <c r="X4885">
        <v>0</v>
      </c>
      <c r="Y4885" s="2">
        <v>6503.26</v>
      </c>
      <c r="Z4885" s="2">
        <v>6503.26</v>
      </c>
      <c r="AA4885" s="2">
        <v>6503.26</v>
      </c>
      <c r="AB4885" s="1">
        <v>42382</v>
      </c>
      <c r="AC4885" t="s">
        <v>53</v>
      </c>
      <c r="AD4885" t="s">
        <v>53</v>
      </c>
      <c r="AH4885" s="2">
        <v>1172.72</v>
      </c>
      <c r="AK4885">
        <v>0</v>
      </c>
      <c r="AU4885" s="6">
        <v>42356</v>
      </c>
      <c r="AV4885" s="6">
        <v>42356</v>
      </c>
      <c r="AW4885" t="s">
        <v>54</v>
      </c>
      <c r="AX4885" t="str">
        <f t="shared" si="411"/>
        <v>FOR</v>
      </c>
      <c r="AY4885" t="s">
        <v>55</v>
      </c>
    </row>
    <row r="4886" spans="1:51">
      <c r="A4886">
        <v>101810</v>
      </c>
      <c r="B4886" t="s">
        <v>908</v>
      </c>
      <c r="C4886" t="str">
        <f>"02722690647"</f>
        <v>02722690647</v>
      </c>
      <c r="D4886" t="str">
        <f>"02722690647"</f>
        <v>02722690647</v>
      </c>
      <c r="E4886" t="s">
        <v>52</v>
      </c>
      <c r="F4886">
        <v>2015</v>
      </c>
      <c r="G4886">
        <v>10</v>
      </c>
      <c r="H4886" s="1">
        <v>42053</v>
      </c>
      <c r="I4886" s="1">
        <v>42055</v>
      </c>
      <c r="J4886" s="1">
        <v>42055</v>
      </c>
      <c r="K4886" s="1">
        <v>42115</v>
      </c>
      <c r="L4886" s="7">
        <v>2900</v>
      </c>
      <c r="M4886" s="5">
        <v>224</v>
      </c>
      <c r="N4886" s="7">
        <v>649600</v>
      </c>
      <c r="O4886" s="2">
        <v>2900</v>
      </c>
      <c r="P4886">
        <v>224</v>
      </c>
      <c r="Q4886" s="2">
        <v>649600</v>
      </c>
      <c r="R4886">
        <v>638</v>
      </c>
      <c r="V4886">
        <v>0</v>
      </c>
      <c r="W4886">
        <v>0</v>
      </c>
      <c r="X4886">
        <v>0</v>
      </c>
      <c r="Y4886">
        <v>0</v>
      </c>
      <c r="Z4886" s="2">
        <v>3538</v>
      </c>
      <c r="AA4886" s="2">
        <v>3538</v>
      </c>
      <c r="AB4886" s="1">
        <v>42382</v>
      </c>
      <c r="AC4886" t="s">
        <v>53</v>
      </c>
      <c r="AD4886" t="s">
        <v>53</v>
      </c>
      <c r="AK4886">
        <v>638</v>
      </c>
      <c r="AU4886" s="6">
        <v>42339</v>
      </c>
      <c r="AV4886" s="6">
        <v>42339</v>
      </c>
      <c r="AW4886" t="s">
        <v>54</v>
      </c>
      <c r="AX4886" t="str">
        <f t="shared" si="411"/>
        <v>FOR</v>
      </c>
      <c r="AY4886" t="s">
        <v>55</v>
      </c>
    </row>
    <row r="4887" spans="1:51">
      <c r="A4887">
        <v>101810</v>
      </c>
      <c r="B4887" t="s">
        <v>908</v>
      </c>
      <c r="C4887" t="str">
        <f>"02722690647"</f>
        <v>02722690647</v>
      </c>
      <c r="D4887" t="str">
        <f>"02722690647"</f>
        <v>02722690647</v>
      </c>
      <c r="E4887" t="s">
        <v>52</v>
      </c>
      <c r="F4887">
        <v>2015</v>
      </c>
      <c r="G4887">
        <v>11</v>
      </c>
      <c r="H4887" s="1">
        <v>42053</v>
      </c>
      <c r="I4887" s="1">
        <v>42055</v>
      </c>
      <c r="J4887" s="1">
        <v>42055</v>
      </c>
      <c r="K4887" s="1">
        <v>42115</v>
      </c>
      <c r="L4887" s="7">
        <v>4800</v>
      </c>
      <c r="M4887" s="5">
        <v>224</v>
      </c>
      <c r="N4887" s="7">
        <v>1075200</v>
      </c>
      <c r="O4887" s="2">
        <v>4800</v>
      </c>
      <c r="P4887">
        <v>224</v>
      </c>
      <c r="Q4887" s="2">
        <v>1075200</v>
      </c>
      <c r="R4887" s="2">
        <v>1056</v>
      </c>
      <c r="V4887">
        <v>0</v>
      </c>
      <c r="W4887">
        <v>0</v>
      </c>
      <c r="X4887">
        <v>0</v>
      </c>
      <c r="Y4887">
        <v>0</v>
      </c>
      <c r="Z4887" s="2">
        <v>5856</v>
      </c>
      <c r="AA4887" s="2">
        <v>5856</v>
      </c>
      <c r="AB4887" s="1">
        <v>42382</v>
      </c>
      <c r="AC4887" t="s">
        <v>53</v>
      </c>
      <c r="AD4887" t="s">
        <v>53</v>
      </c>
      <c r="AK4887" s="2">
        <v>1056</v>
      </c>
      <c r="AU4887" s="6">
        <v>42339</v>
      </c>
      <c r="AV4887" s="6">
        <v>42339</v>
      </c>
      <c r="AW4887" t="s">
        <v>54</v>
      </c>
      <c r="AX4887" t="str">
        <f t="shared" si="411"/>
        <v>FOR</v>
      </c>
      <c r="AY4887" t="s">
        <v>55</v>
      </c>
    </row>
    <row r="4888" spans="1:51" hidden="1">
      <c r="A4888">
        <v>101811</v>
      </c>
      <c r="B4888" t="s">
        <v>909</v>
      </c>
      <c r="C4888" t="str">
        <f>"07909700960"</f>
        <v>07909700960</v>
      </c>
      <c r="D4888" t="str">
        <f>"07909700960"</f>
        <v>07909700960</v>
      </c>
      <c r="E4888" t="s">
        <v>52</v>
      </c>
      <c r="F4888">
        <v>2014</v>
      </c>
      <c r="G4888">
        <v>1400012</v>
      </c>
      <c r="H4888" s="1">
        <v>41661</v>
      </c>
      <c r="I4888" s="1">
        <v>41670</v>
      </c>
      <c r="J4888" s="1">
        <v>41670</v>
      </c>
      <c r="K4888" s="1">
        <v>41760</v>
      </c>
      <c r="N4888" s="5"/>
      <c r="O4888">
        <v>390.4</v>
      </c>
      <c r="P4888">
        <v>264</v>
      </c>
      <c r="Q4888" s="2">
        <v>103065.60000000001</v>
      </c>
      <c r="R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 s="1">
        <v>42382</v>
      </c>
      <c r="AC4888" t="s">
        <v>53</v>
      </c>
      <c r="AD4888" t="s">
        <v>53</v>
      </c>
      <c r="AK4888">
        <v>0</v>
      </c>
      <c r="AU4888" s="6">
        <v>42024</v>
      </c>
      <c r="AV4888" s="6">
        <v>42024</v>
      </c>
      <c r="AW4888" t="s">
        <v>54</v>
      </c>
      <c r="AX4888" t="str">
        <f t="shared" si="411"/>
        <v>FOR</v>
      </c>
      <c r="AY4888" t="s">
        <v>55</v>
      </c>
    </row>
    <row r="4889" spans="1:51" hidden="1">
      <c r="A4889">
        <v>101812</v>
      </c>
      <c r="B4889" t="s">
        <v>910</v>
      </c>
      <c r="C4889" t="str">
        <f t="shared" ref="C4889:D4907" si="413">"02764431215"</f>
        <v>02764431215</v>
      </c>
      <c r="D4889" t="str">
        <f t="shared" si="413"/>
        <v>02764431215</v>
      </c>
      <c r="E4889" t="s">
        <v>52</v>
      </c>
      <c r="F4889">
        <v>2014</v>
      </c>
      <c r="G4889">
        <v>73</v>
      </c>
      <c r="H4889" s="1">
        <v>41848</v>
      </c>
      <c r="I4889" s="1">
        <v>41851</v>
      </c>
      <c r="J4889" s="1">
        <v>41851</v>
      </c>
      <c r="K4889" s="1">
        <v>41941</v>
      </c>
      <c r="N4889" s="5"/>
      <c r="O4889" s="2">
        <v>8372.15</v>
      </c>
      <c r="P4889">
        <v>135</v>
      </c>
      <c r="Q4889" s="2">
        <v>1130240.25</v>
      </c>
      <c r="R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 s="1">
        <v>42382</v>
      </c>
      <c r="AC4889" t="s">
        <v>53</v>
      </c>
      <c r="AD4889" t="s">
        <v>53</v>
      </c>
      <c r="AK4889">
        <v>0</v>
      </c>
      <c r="AU4889" s="6">
        <v>42076</v>
      </c>
      <c r="AV4889" s="6">
        <v>42076</v>
      </c>
      <c r="AW4889" t="s">
        <v>54</v>
      </c>
      <c r="AX4889" t="str">
        <f t="shared" si="411"/>
        <v>FOR</v>
      </c>
      <c r="AY4889" t="s">
        <v>55</v>
      </c>
    </row>
    <row r="4890" spans="1:51" hidden="1">
      <c r="A4890">
        <v>101812</v>
      </c>
      <c r="B4890" t="s">
        <v>910</v>
      </c>
      <c r="C4890" t="str">
        <f t="shared" si="413"/>
        <v>02764431215</v>
      </c>
      <c r="D4890" t="str">
        <f t="shared" si="413"/>
        <v>02764431215</v>
      </c>
      <c r="E4890" t="s">
        <v>52</v>
      </c>
      <c r="F4890">
        <v>2014</v>
      </c>
      <c r="G4890">
        <v>74</v>
      </c>
      <c r="H4890" s="1">
        <v>41849</v>
      </c>
      <c r="I4890" s="1">
        <v>41851</v>
      </c>
      <c r="J4890" s="1">
        <v>41851</v>
      </c>
      <c r="K4890" s="1">
        <v>41941</v>
      </c>
      <c r="N4890" s="5"/>
      <c r="O4890" s="2">
        <v>2986.56</v>
      </c>
      <c r="P4890">
        <v>135</v>
      </c>
      <c r="Q4890" s="2">
        <v>403185.6</v>
      </c>
      <c r="R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 s="1">
        <v>42382</v>
      </c>
      <c r="AC4890" t="s">
        <v>53</v>
      </c>
      <c r="AD4890" t="s">
        <v>53</v>
      </c>
      <c r="AK4890">
        <v>0</v>
      </c>
      <c r="AU4890" s="6">
        <v>42076</v>
      </c>
      <c r="AV4890" s="6">
        <v>42076</v>
      </c>
      <c r="AW4890" t="s">
        <v>54</v>
      </c>
      <c r="AX4890" t="str">
        <f t="shared" si="411"/>
        <v>FOR</v>
      </c>
      <c r="AY4890" t="s">
        <v>55</v>
      </c>
    </row>
    <row r="4891" spans="1:51" hidden="1">
      <c r="A4891">
        <v>101812</v>
      </c>
      <c r="B4891" t="s">
        <v>910</v>
      </c>
      <c r="C4891" t="str">
        <f t="shared" si="413"/>
        <v>02764431215</v>
      </c>
      <c r="D4891" t="str">
        <f t="shared" si="413"/>
        <v>02764431215</v>
      </c>
      <c r="E4891" t="s">
        <v>52</v>
      </c>
      <c r="F4891">
        <v>2014</v>
      </c>
      <c r="G4891">
        <v>75</v>
      </c>
      <c r="H4891" s="1">
        <v>41849</v>
      </c>
      <c r="I4891" s="1">
        <v>41851</v>
      </c>
      <c r="J4891" s="1">
        <v>41851</v>
      </c>
      <c r="K4891" s="1">
        <v>41941</v>
      </c>
      <c r="N4891" s="5"/>
      <c r="O4891" s="2">
        <v>26687.41</v>
      </c>
      <c r="P4891">
        <v>135</v>
      </c>
      <c r="Q4891" s="2">
        <v>3602800.35</v>
      </c>
      <c r="R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 s="1">
        <v>42382</v>
      </c>
      <c r="AC4891" t="s">
        <v>53</v>
      </c>
      <c r="AD4891" t="s">
        <v>53</v>
      </c>
      <c r="AK4891">
        <v>0</v>
      </c>
      <c r="AU4891" s="6">
        <v>42076</v>
      </c>
      <c r="AV4891" s="6">
        <v>42076</v>
      </c>
      <c r="AW4891" t="s">
        <v>54</v>
      </c>
      <c r="AX4891" t="str">
        <f t="shared" si="411"/>
        <v>FOR</v>
      </c>
      <c r="AY4891" t="s">
        <v>55</v>
      </c>
    </row>
    <row r="4892" spans="1:51" hidden="1">
      <c r="A4892">
        <v>101812</v>
      </c>
      <c r="B4892" t="s">
        <v>910</v>
      </c>
      <c r="C4892" t="str">
        <f t="shared" si="413"/>
        <v>02764431215</v>
      </c>
      <c r="D4892" t="str">
        <f t="shared" si="413"/>
        <v>02764431215</v>
      </c>
      <c r="E4892" t="s">
        <v>52</v>
      </c>
      <c r="F4892">
        <v>2014</v>
      </c>
      <c r="G4892">
        <v>76</v>
      </c>
      <c r="H4892" s="1">
        <v>41849</v>
      </c>
      <c r="I4892" s="1">
        <v>41851</v>
      </c>
      <c r="J4892" s="1">
        <v>41851</v>
      </c>
      <c r="K4892" s="1">
        <v>41941</v>
      </c>
      <c r="N4892" s="5"/>
      <c r="O4892" s="2">
        <v>2919</v>
      </c>
      <c r="P4892">
        <v>135</v>
      </c>
      <c r="Q4892" s="2">
        <v>394065</v>
      </c>
      <c r="R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 s="1">
        <v>42382</v>
      </c>
      <c r="AC4892" t="s">
        <v>53</v>
      </c>
      <c r="AD4892" t="s">
        <v>53</v>
      </c>
      <c r="AK4892">
        <v>0</v>
      </c>
      <c r="AU4892" s="6">
        <v>42076</v>
      </c>
      <c r="AV4892" s="6">
        <v>42076</v>
      </c>
      <c r="AW4892" t="s">
        <v>54</v>
      </c>
      <c r="AX4892" t="str">
        <f t="shared" si="411"/>
        <v>FOR</v>
      </c>
      <c r="AY4892" t="s">
        <v>55</v>
      </c>
    </row>
    <row r="4893" spans="1:51" hidden="1">
      <c r="A4893">
        <v>101812</v>
      </c>
      <c r="B4893" t="s">
        <v>910</v>
      </c>
      <c r="C4893" t="str">
        <f t="shared" si="413"/>
        <v>02764431215</v>
      </c>
      <c r="D4893" t="str">
        <f t="shared" si="413"/>
        <v>02764431215</v>
      </c>
      <c r="E4893" t="s">
        <v>52</v>
      </c>
      <c r="F4893">
        <v>2014</v>
      </c>
      <c r="G4893">
        <v>84</v>
      </c>
      <c r="H4893" s="1">
        <v>41879</v>
      </c>
      <c r="I4893" s="1">
        <v>41886</v>
      </c>
      <c r="J4893" s="1">
        <v>41886</v>
      </c>
      <c r="K4893" s="1">
        <v>41976</v>
      </c>
      <c r="N4893" s="5"/>
      <c r="O4893" s="2">
        <v>15320.76</v>
      </c>
      <c r="P4893">
        <v>205</v>
      </c>
      <c r="Q4893" s="2">
        <v>3140755.8</v>
      </c>
      <c r="R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 s="1">
        <v>42382</v>
      </c>
      <c r="AC4893" t="s">
        <v>53</v>
      </c>
      <c r="AD4893" t="s">
        <v>53</v>
      </c>
      <c r="AK4893">
        <v>0</v>
      </c>
      <c r="AU4893" s="6">
        <v>42181</v>
      </c>
      <c r="AV4893" s="6">
        <v>42181</v>
      </c>
      <c r="AW4893" t="s">
        <v>54</v>
      </c>
      <c r="AX4893" t="str">
        <f t="shared" si="411"/>
        <v>FOR</v>
      </c>
      <c r="AY4893" t="s">
        <v>55</v>
      </c>
    </row>
    <row r="4894" spans="1:51" hidden="1">
      <c r="A4894">
        <v>101812</v>
      </c>
      <c r="B4894" t="s">
        <v>910</v>
      </c>
      <c r="C4894" t="str">
        <f t="shared" si="413"/>
        <v>02764431215</v>
      </c>
      <c r="D4894" t="str">
        <f t="shared" si="413"/>
        <v>02764431215</v>
      </c>
      <c r="E4894" t="s">
        <v>52</v>
      </c>
      <c r="F4894">
        <v>2014</v>
      </c>
      <c r="G4894">
        <v>85</v>
      </c>
      <c r="H4894" s="1">
        <v>41881</v>
      </c>
      <c r="I4894" s="1">
        <v>41886</v>
      </c>
      <c r="J4894" s="1">
        <v>41886</v>
      </c>
      <c r="K4894" s="1">
        <v>41976</v>
      </c>
      <c r="N4894" s="5"/>
      <c r="O4894" s="2">
        <v>53493.38</v>
      </c>
      <c r="P4894">
        <v>126</v>
      </c>
      <c r="Q4894" s="2">
        <v>6740165.8799999999</v>
      </c>
      <c r="R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 s="1">
        <v>42382</v>
      </c>
      <c r="AC4894" t="s">
        <v>53</v>
      </c>
      <c r="AD4894" t="s">
        <v>53</v>
      </c>
      <c r="AK4894">
        <v>0</v>
      </c>
      <c r="AU4894" s="6">
        <v>42102</v>
      </c>
      <c r="AV4894" s="6">
        <v>42102</v>
      </c>
      <c r="AW4894" t="s">
        <v>54</v>
      </c>
      <c r="AX4894" t="str">
        <f t="shared" si="411"/>
        <v>FOR</v>
      </c>
      <c r="AY4894" t="s">
        <v>55</v>
      </c>
    </row>
    <row r="4895" spans="1:51" hidden="1">
      <c r="A4895">
        <v>101812</v>
      </c>
      <c r="B4895" t="s">
        <v>910</v>
      </c>
      <c r="C4895" t="str">
        <f t="shared" si="413"/>
        <v>02764431215</v>
      </c>
      <c r="D4895" t="str">
        <f t="shared" si="413"/>
        <v>02764431215</v>
      </c>
      <c r="E4895" t="s">
        <v>52</v>
      </c>
      <c r="F4895">
        <v>2014</v>
      </c>
      <c r="G4895">
        <v>86</v>
      </c>
      <c r="H4895" s="1">
        <v>41881</v>
      </c>
      <c r="I4895" s="1">
        <v>41886</v>
      </c>
      <c r="J4895" s="1">
        <v>41886</v>
      </c>
      <c r="K4895" s="1">
        <v>41976</v>
      </c>
      <c r="N4895" s="5"/>
      <c r="O4895" s="2">
        <v>13763.7</v>
      </c>
      <c r="P4895">
        <v>205</v>
      </c>
      <c r="Q4895" s="2">
        <v>2821558.5</v>
      </c>
      <c r="R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 s="1">
        <v>42382</v>
      </c>
      <c r="AC4895" t="s">
        <v>53</v>
      </c>
      <c r="AD4895" t="s">
        <v>53</v>
      </c>
      <c r="AK4895">
        <v>0</v>
      </c>
      <c r="AU4895" s="6">
        <v>42181</v>
      </c>
      <c r="AV4895" s="6">
        <v>42181</v>
      </c>
      <c r="AW4895" t="s">
        <v>54</v>
      </c>
      <c r="AX4895" t="str">
        <f t="shared" si="411"/>
        <v>FOR</v>
      </c>
      <c r="AY4895" t="s">
        <v>55</v>
      </c>
    </row>
    <row r="4896" spans="1:51" hidden="1">
      <c r="A4896">
        <v>101812</v>
      </c>
      <c r="B4896" t="s">
        <v>910</v>
      </c>
      <c r="C4896" t="str">
        <f t="shared" si="413"/>
        <v>02764431215</v>
      </c>
      <c r="D4896" t="str">
        <f t="shared" si="413"/>
        <v>02764431215</v>
      </c>
      <c r="E4896" t="s">
        <v>52</v>
      </c>
      <c r="F4896">
        <v>2014</v>
      </c>
      <c r="G4896">
        <v>95</v>
      </c>
      <c r="H4896" s="1">
        <v>41912</v>
      </c>
      <c r="I4896" s="1">
        <v>41913</v>
      </c>
      <c r="J4896" s="1">
        <v>41913</v>
      </c>
      <c r="K4896" s="1">
        <v>42003</v>
      </c>
      <c r="N4896" s="5"/>
      <c r="O4896" s="2">
        <v>14171.61</v>
      </c>
      <c r="P4896">
        <v>247</v>
      </c>
      <c r="Q4896" s="2">
        <v>3500387.67</v>
      </c>
      <c r="R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 s="1">
        <v>42382</v>
      </c>
      <c r="AC4896" t="s">
        <v>53</v>
      </c>
      <c r="AD4896" t="s">
        <v>53</v>
      </c>
      <c r="AK4896">
        <v>0</v>
      </c>
      <c r="AU4896" s="6">
        <v>42250</v>
      </c>
      <c r="AV4896" s="6">
        <v>42250</v>
      </c>
      <c r="AW4896" t="s">
        <v>54</v>
      </c>
      <c r="AX4896" t="str">
        <f t="shared" si="411"/>
        <v>FOR</v>
      </c>
      <c r="AY4896" t="s">
        <v>55</v>
      </c>
    </row>
    <row r="4897" spans="1:51">
      <c r="A4897">
        <v>101812</v>
      </c>
      <c r="B4897" t="s">
        <v>910</v>
      </c>
      <c r="C4897" t="str">
        <f t="shared" si="413"/>
        <v>02764431215</v>
      </c>
      <c r="D4897" t="str">
        <f t="shared" si="413"/>
        <v>02764431215</v>
      </c>
      <c r="E4897" t="s">
        <v>52</v>
      </c>
      <c r="F4897">
        <v>2014</v>
      </c>
      <c r="G4897">
        <v>102</v>
      </c>
      <c r="H4897" s="1">
        <v>41927</v>
      </c>
      <c r="I4897" s="1">
        <v>41935</v>
      </c>
      <c r="J4897" s="1">
        <v>41935</v>
      </c>
      <c r="K4897" s="1">
        <v>41995</v>
      </c>
      <c r="L4897" s="7">
        <v>13119.6</v>
      </c>
      <c r="M4897" s="5">
        <v>283</v>
      </c>
      <c r="N4897" s="7">
        <v>3712846.8</v>
      </c>
      <c r="O4897" s="2">
        <v>13119.6</v>
      </c>
      <c r="P4897">
        <v>283</v>
      </c>
      <c r="Q4897" s="2">
        <v>3712846.8</v>
      </c>
      <c r="R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 s="1">
        <v>42382</v>
      </c>
      <c r="AC4897" t="s">
        <v>53</v>
      </c>
      <c r="AD4897" t="s">
        <v>53</v>
      </c>
      <c r="AK4897">
        <v>0</v>
      </c>
      <c r="AU4897" s="6">
        <v>42278</v>
      </c>
      <c r="AV4897" s="6">
        <v>42278</v>
      </c>
      <c r="AW4897" t="s">
        <v>54</v>
      </c>
      <c r="AX4897" t="str">
        <f t="shared" si="411"/>
        <v>FOR</v>
      </c>
      <c r="AY4897" t="s">
        <v>55</v>
      </c>
    </row>
    <row r="4898" spans="1:51">
      <c r="A4898">
        <v>101812</v>
      </c>
      <c r="B4898" t="s">
        <v>910</v>
      </c>
      <c r="C4898" t="str">
        <f t="shared" si="413"/>
        <v>02764431215</v>
      </c>
      <c r="D4898" t="str">
        <f t="shared" si="413"/>
        <v>02764431215</v>
      </c>
      <c r="E4898" t="s">
        <v>52</v>
      </c>
      <c r="F4898">
        <v>2014</v>
      </c>
      <c r="G4898">
        <v>111</v>
      </c>
      <c r="H4898" s="1">
        <v>41955</v>
      </c>
      <c r="I4898" s="1">
        <v>41960</v>
      </c>
      <c r="J4898" s="1">
        <v>41960</v>
      </c>
      <c r="K4898" s="1">
        <v>42020</v>
      </c>
      <c r="L4898" s="7">
        <v>8506.36</v>
      </c>
      <c r="M4898" s="5">
        <v>258</v>
      </c>
      <c r="N4898" s="7">
        <v>2194640.88</v>
      </c>
      <c r="O4898" s="2">
        <v>8506.36</v>
      </c>
      <c r="P4898">
        <v>258</v>
      </c>
      <c r="Q4898" s="2">
        <v>2194640.88</v>
      </c>
      <c r="R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 s="1">
        <v>42382</v>
      </c>
      <c r="AC4898" t="s">
        <v>53</v>
      </c>
      <c r="AD4898" t="s">
        <v>53</v>
      </c>
      <c r="AK4898">
        <v>0</v>
      </c>
      <c r="AU4898" s="6">
        <v>42278</v>
      </c>
      <c r="AV4898" s="6">
        <v>42278</v>
      </c>
      <c r="AW4898" t="s">
        <v>54</v>
      </c>
      <c r="AX4898" t="str">
        <f t="shared" si="411"/>
        <v>FOR</v>
      </c>
      <c r="AY4898" t="s">
        <v>55</v>
      </c>
    </row>
    <row r="4899" spans="1:51">
      <c r="A4899">
        <v>101812</v>
      </c>
      <c r="B4899" t="s">
        <v>910</v>
      </c>
      <c r="C4899" t="str">
        <f t="shared" si="413"/>
        <v>02764431215</v>
      </c>
      <c r="D4899" t="str">
        <f t="shared" si="413"/>
        <v>02764431215</v>
      </c>
      <c r="E4899" t="s">
        <v>52</v>
      </c>
      <c r="F4899">
        <v>2014</v>
      </c>
      <c r="G4899">
        <v>123</v>
      </c>
      <c r="H4899" s="1">
        <v>42003</v>
      </c>
      <c r="I4899" s="1">
        <v>42024</v>
      </c>
      <c r="J4899" s="1">
        <v>42024</v>
      </c>
      <c r="K4899" s="1">
        <v>42084</v>
      </c>
      <c r="L4899" s="7">
        <v>53493.38</v>
      </c>
      <c r="M4899" s="5">
        <v>216</v>
      </c>
      <c r="N4899" s="7">
        <v>11554570.08</v>
      </c>
      <c r="O4899" s="2">
        <v>53493.38</v>
      </c>
      <c r="P4899">
        <v>216</v>
      </c>
      <c r="Q4899" s="2">
        <v>11554570.08</v>
      </c>
      <c r="R4899">
        <v>0</v>
      </c>
      <c r="V4899">
        <v>0</v>
      </c>
      <c r="W4899">
        <v>0</v>
      </c>
      <c r="X4899">
        <v>0</v>
      </c>
      <c r="Y4899">
        <v>0</v>
      </c>
      <c r="Z4899" s="2">
        <v>53493.38</v>
      </c>
      <c r="AA4899">
        <v>0</v>
      </c>
      <c r="AB4899" s="1">
        <v>42382</v>
      </c>
      <c r="AC4899" t="s">
        <v>53</v>
      </c>
      <c r="AD4899" t="s">
        <v>53</v>
      </c>
      <c r="AK4899">
        <v>0</v>
      </c>
      <c r="AU4899" s="6">
        <v>42300</v>
      </c>
      <c r="AV4899" s="6">
        <v>42300</v>
      </c>
      <c r="AW4899" t="s">
        <v>54</v>
      </c>
      <c r="AX4899" t="str">
        <f t="shared" si="411"/>
        <v>FOR</v>
      </c>
      <c r="AY4899" t="s">
        <v>55</v>
      </c>
    </row>
    <row r="4900" spans="1:51">
      <c r="A4900">
        <v>101812</v>
      </c>
      <c r="B4900" t="s">
        <v>910</v>
      </c>
      <c r="C4900" t="str">
        <f t="shared" si="413"/>
        <v>02764431215</v>
      </c>
      <c r="D4900" t="str">
        <f t="shared" si="413"/>
        <v>02764431215</v>
      </c>
      <c r="E4900" t="s">
        <v>52</v>
      </c>
      <c r="F4900">
        <v>2014</v>
      </c>
      <c r="G4900">
        <v>124</v>
      </c>
      <c r="H4900" s="1">
        <v>42003</v>
      </c>
      <c r="I4900" s="1">
        <v>42024</v>
      </c>
      <c r="J4900" s="1">
        <v>42024</v>
      </c>
      <c r="K4900" s="1">
        <v>42084</v>
      </c>
      <c r="L4900" s="7">
        <v>10466.18</v>
      </c>
      <c r="M4900" s="5">
        <v>216</v>
      </c>
      <c r="N4900" s="7">
        <v>2260694.88</v>
      </c>
      <c r="O4900" s="2">
        <v>10466.18</v>
      </c>
      <c r="P4900">
        <v>216</v>
      </c>
      <c r="Q4900" s="2">
        <v>2260694.88</v>
      </c>
      <c r="R4900">
        <v>0</v>
      </c>
      <c r="V4900">
        <v>0</v>
      </c>
      <c r="W4900">
        <v>0</v>
      </c>
      <c r="X4900">
        <v>0</v>
      </c>
      <c r="Y4900">
        <v>0</v>
      </c>
      <c r="Z4900" s="2">
        <v>10466.18</v>
      </c>
      <c r="AA4900">
        <v>0</v>
      </c>
      <c r="AB4900" s="1">
        <v>42382</v>
      </c>
      <c r="AC4900" t="s">
        <v>53</v>
      </c>
      <c r="AD4900" t="s">
        <v>53</v>
      </c>
      <c r="AK4900">
        <v>0</v>
      </c>
      <c r="AU4900" s="6">
        <v>42300</v>
      </c>
      <c r="AV4900" s="6">
        <v>42300</v>
      </c>
      <c r="AW4900" t="s">
        <v>54</v>
      </c>
      <c r="AX4900" t="str">
        <f t="shared" si="411"/>
        <v>FOR</v>
      </c>
      <c r="AY4900" t="s">
        <v>55</v>
      </c>
    </row>
    <row r="4901" spans="1:51">
      <c r="A4901">
        <v>101812</v>
      </c>
      <c r="B4901" t="s">
        <v>910</v>
      </c>
      <c r="C4901" t="str">
        <f t="shared" si="413"/>
        <v>02764431215</v>
      </c>
      <c r="D4901" t="str">
        <f t="shared" si="413"/>
        <v>02764431215</v>
      </c>
      <c r="E4901" t="s">
        <v>52</v>
      </c>
      <c r="F4901">
        <v>2015</v>
      </c>
      <c r="G4901">
        <v>9</v>
      </c>
      <c r="H4901" s="1">
        <v>42024</v>
      </c>
      <c r="I4901" s="1">
        <v>42025</v>
      </c>
      <c r="J4901" s="1">
        <v>42025</v>
      </c>
      <c r="K4901" s="1">
        <v>42085</v>
      </c>
      <c r="L4901" s="7">
        <v>43847.03</v>
      </c>
      <c r="M4901" s="5">
        <v>255</v>
      </c>
      <c r="N4901" s="7">
        <v>11180992.65</v>
      </c>
      <c r="O4901" s="2">
        <v>43847.03</v>
      </c>
      <c r="P4901">
        <v>255</v>
      </c>
      <c r="Q4901" s="2">
        <v>11180992.65</v>
      </c>
      <c r="R4901" s="2">
        <v>9646.35</v>
      </c>
      <c r="V4901">
        <v>0</v>
      </c>
      <c r="W4901">
        <v>0</v>
      </c>
      <c r="X4901">
        <v>0</v>
      </c>
      <c r="Y4901">
        <v>0</v>
      </c>
      <c r="Z4901" s="2">
        <v>53493.38</v>
      </c>
      <c r="AA4901" s="2">
        <v>53493.38</v>
      </c>
      <c r="AB4901" s="1">
        <v>42382</v>
      </c>
      <c r="AC4901" t="s">
        <v>53</v>
      </c>
      <c r="AD4901" t="s">
        <v>53</v>
      </c>
      <c r="AK4901" s="2">
        <v>9646.35</v>
      </c>
      <c r="AU4901" s="6">
        <v>42340</v>
      </c>
      <c r="AV4901" s="6">
        <v>42340</v>
      </c>
      <c r="AW4901" t="s">
        <v>54</v>
      </c>
      <c r="AX4901" t="str">
        <f t="shared" si="411"/>
        <v>FOR</v>
      </c>
      <c r="AY4901" t="s">
        <v>55</v>
      </c>
    </row>
    <row r="4902" spans="1:51">
      <c r="A4902">
        <v>101812</v>
      </c>
      <c r="B4902" t="s">
        <v>910</v>
      </c>
      <c r="C4902" t="str">
        <f t="shared" si="413"/>
        <v>02764431215</v>
      </c>
      <c r="D4902" t="str">
        <f t="shared" si="413"/>
        <v>02764431215</v>
      </c>
      <c r="E4902" t="s">
        <v>52</v>
      </c>
      <c r="F4902">
        <v>2015</v>
      </c>
      <c r="G4902">
        <v>23</v>
      </c>
      <c r="H4902" s="1">
        <v>42048</v>
      </c>
      <c r="I4902" s="1">
        <v>42053</v>
      </c>
      <c r="J4902" s="1">
        <v>42053</v>
      </c>
      <c r="K4902" s="1">
        <v>42113</v>
      </c>
      <c r="L4902" s="7">
        <v>3152.87</v>
      </c>
      <c r="M4902" s="5">
        <v>240</v>
      </c>
      <c r="N4902" s="7">
        <v>756688.8</v>
      </c>
      <c r="O4902" s="2">
        <v>3152.87</v>
      </c>
      <c r="P4902">
        <v>240</v>
      </c>
      <c r="Q4902" s="2">
        <v>756688.8</v>
      </c>
      <c r="R4902">
        <v>693.63</v>
      </c>
      <c r="V4902">
        <v>0</v>
      </c>
      <c r="W4902">
        <v>0</v>
      </c>
      <c r="X4902">
        <v>0</v>
      </c>
      <c r="Y4902" s="2">
        <v>3846.5</v>
      </c>
      <c r="Z4902" s="2">
        <v>3846.5</v>
      </c>
      <c r="AA4902" s="2">
        <v>3846.5</v>
      </c>
      <c r="AB4902" s="1">
        <v>42382</v>
      </c>
      <c r="AC4902" t="s">
        <v>53</v>
      </c>
      <c r="AD4902" t="s">
        <v>53</v>
      </c>
      <c r="AK4902">
        <v>693.63</v>
      </c>
      <c r="AU4902" s="6">
        <v>42353</v>
      </c>
      <c r="AV4902" s="6">
        <v>42353</v>
      </c>
      <c r="AW4902" t="s">
        <v>54</v>
      </c>
      <c r="AX4902" t="str">
        <f t="shared" si="411"/>
        <v>FOR</v>
      </c>
      <c r="AY4902" t="s">
        <v>55</v>
      </c>
    </row>
    <row r="4903" spans="1:51">
      <c r="A4903">
        <v>101812</v>
      </c>
      <c r="B4903" t="s">
        <v>910</v>
      </c>
      <c r="C4903" t="str">
        <f t="shared" si="413"/>
        <v>02764431215</v>
      </c>
      <c r="D4903" t="str">
        <f t="shared" si="413"/>
        <v>02764431215</v>
      </c>
      <c r="E4903" t="s">
        <v>52</v>
      </c>
      <c r="F4903">
        <v>2015</v>
      </c>
      <c r="G4903">
        <v>24</v>
      </c>
      <c r="H4903" s="1">
        <v>42048</v>
      </c>
      <c r="I4903" s="1">
        <v>42053</v>
      </c>
      <c r="J4903" s="1">
        <v>42053</v>
      </c>
      <c r="K4903" s="1">
        <v>42113</v>
      </c>
      <c r="L4903" s="7">
        <v>5622.42</v>
      </c>
      <c r="M4903" s="5">
        <v>243</v>
      </c>
      <c r="N4903" s="7">
        <v>1366248.06</v>
      </c>
      <c r="O4903" s="2">
        <v>5622.42</v>
      </c>
      <c r="P4903">
        <v>243</v>
      </c>
      <c r="Q4903" s="2">
        <v>1366248.06</v>
      </c>
      <c r="R4903" s="2">
        <v>1236.93</v>
      </c>
      <c r="V4903">
        <v>0</v>
      </c>
      <c r="W4903">
        <v>0</v>
      </c>
      <c r="X4903">
        <v>0</v>
      </c>
      <c r="Y4903" s="2">
        <v>6859.35</v>
      </c>
      <c r="Z4903" s="2">
        <v>6859.35</v>
      </c>
      <c r="AA4903" s="2">
        <v>6859.35</v>
      </c>
      <c r="AB4903" s="1">
        <v>42382</v>
      </c>
      <c r="AC4903" t="s">
        <v>53</v>
      </c>
      <c r="AD4903" t="s">
        <v>53</v>
      </c>
      <c r="AK4903" s="2">
        <v>1236.93</v>
      </c>
      <c r="AU4903" s="6">
        <v>42356</v>
      </c>
      <c r="AV4903" s="6">
        <v>42356</v>
      </c>
      <c r="AW4903" t="s">
        <v>54</v>
      </c>
      <c r="AX4903" t="str">
        <f t="shared" si="411"/>
        <v>FOR</v>
      </c>
      <c r="AY4903" t="s">
        <v>55</v>
      </c>
    </row>
    <row r="4904" spans="1:51">
      <c r="A4904">
        <v>101812</v>
      </c>
      <c r="B4904" t="s">
        <v>910</v>
      </c>
      <c r="C4904" t="str">
        <f t="shared" si="413"/>
        <v>02764431215</v>
      </c>
      <c r="D4904" t="str">
        <f t="shared" si="413"/>
        <v>02764431215</v>
      </c>
      <c r="E4904" t="s">
        <v>52</v>
      </c>
      <c r="F4904">
        <v>2015</v>
      </c>
      <c r="G4904">
        <v>25</v>
      </c>
      <c r="H4904" s="1">
        <v>42051</v>
      </c>
      <c r="I4904" s="1">
        <v>42053</v>
      </c>
      <c r="J4904" s="1">
        <v>42053</v>
      </c>
      <c r="K4904" s="1">
        <v>42113</v>
      </c>
      <c r="L4904" s="7">
        <v>4140</v>
      </c>
      <c r="M4904" s="5">
        <v>243</v>
      </c>
      <c r="N4904" s="7">
        <v>1006020</v>
      </c>
      <c r="O4904" s="2">
        <v>4140</v>
      </c>
      <c r="P4904">
        <v>243</v>
      </c>
      <c r="Q4904" s="2">
        <v>1006020</v>
      </c>
      <c r="R4904">
        <v>910.8</v>
      </c>
      <c r="V4904">
        <v>0</v>
      </c>
      <c r="W4904">
        <v>0</v>
      </c>
      <c r="X4904">
        <v>0</v>
      </c>
      <c r="Y4904" s="2">
        <v>5050.8</v>
      </c>
      <c r="Z4904" s="2">
        <v>5050.8</v>
      </c>
      <c r="AA4904" s="2">
        <v>5050.8</v>
      </c>
      <c r="AB4904" s="1">
        <v>42382</v>
      </c>
      <c r="AC4904" t="s">
        <v>53</v>
      </c>
      <c r="AD4904" t="s">
        <v>53</v>
      </c>
      <c r="AK4904">
        <v>910.8</v>
      </c>
      <c r="AU4904" s="6">
        <v>42356</v>
      </c>
      <c r="AV4904" s="6">
        <v>42356</v>
      </c>
      <c r="AW4904" t="s">
        <v>54</v>
      </c>
      <c r="AX4904" t="str">
        <f t="shared" si="411"/>
        <v>FOR</v>
      </c>
      <c r="AY4904" t="s">
        <v>55</v>
      </c>
    </row>
    <row r="4905" spans="1:51">
      <c r="A4905">
        <v>101812</v>
      </c>
      <c r="B4905" t="s">
        <v>910</v>
      </c>
      <c r="C4905" t="str">
        <f t="shared" si="413"/>
        <v>02764431215</v>
      </c>
      <c r="D4905" t="str">
        <f t="shared" si="413"/>
        <v>02764431215</v>
      </c>
      <c r="E4905" t="s">
        <v>52</v>
      </c>
      <c r="F4905">
        <v>2015</v>
      </c>
      <c r="G4905">
        <v>26</v>
      </c>
      <c r="H4905" s="1">
        <v>42051</v>
      </c>
      <c r="I4905" s="1">
        <v>42053</v>
      </c>
      <c r="J4905" s="1">
        <v>42053</v>
      </c>
      <c r="K4905" s="1">
        <v>42113</v>
      </c>
      <c r="L4905" s="7">
        <v>1324.5</v>
      </c>
      <c r="M4905" s="5">
        <v>243</v>
      </c>
      <c r="N4905" s="7">
        <v>321853.5</v>
      </c>
      <c r="O4905" s="2">
        <v>1324.5</v>
      </c>
      <c r="P4905">
        <v>243</v>
      </c>
      <c r="Q4905" s="2">
        <v>321853.5</v>
      </c>
      <c r="R4905">
        <v>291.39</v>
      </c>
      <c r="V4905">
        <v>0</v>
      </c>
      <c r="W4905">
        <v>0</v>
      </c>
      <c r="X4905">
        <v>0</v>
      </c>
      <c r="Y4905" s="2">
        <v>1615.89</v>
      </c>
      <c r="Z4905" s="2">
        <v>1615.89</v>
      </c>
      <c r="AA4905" s="2">
        <v>1615.89</v>
      </c>
      <c r="AB4905" s="1">
        <v>42382</v>
      </c>
      <c r="AC4905" t="s">
        <v>53</v>
      </c>
      <c r="AD4905" t="s">
        <v>53</v>
      </c>
      <c r="AK4905">
        <v>291.39</v>
      </c>
      <c r="AU4905" s="6">
        <v>42356</v>
      </c>
      <c r="AV4905" s="6">
        <v>42356</v>
      </c>
      <c r="AW4905" t="s">
        <v>54</v>
      </c>
      <c r="AX4905" t="str">
        <f t="shared" si="411"/>
        <v>FOR</v>
      </c>
      <c r="AY4905" t="s">
        <v>55</v>
      </c>
    </row>
    <row r="4906" spans="1:51">
      <c r="A4906">
        <v>101812</v>
      </c>
      <c r="B4906" t="s">
        <v>910</v>
      </c>
      <c r="C4906" t="str">
        <f t="shared" si="413"/>
        <v>02764431215</v>
      </c>
      <c r="D4906" t="str">
        <f t="shared" si="413"/>
        <v>02764431215</v>
      </c>
      <c r="E4906" t="s">
        <v>52</v>
      </c>
      <c r="F4906">
        <v>2015</v>
      </c>
      <c r="G4906">
        <v>31</v>
      </c>
      <c r="H4906" s="1">
        <v>42058</v>
      </c>
      <c r="I4906" s="1">
        <v>42074</v>
      </c>
      <c r="J4906" s="1">
        <v>42074</v>
      </c>
      <c r="K4906" s="1">
        <v>42134</v>
      </c>
      <c r="L4906" s="7">
        <v>17957.45</v>
      </c>
      <c r="M4906" s="5">
        <v>219</v>
      </c>
      <c r="N4906" s="7">
        <v>3932681.55</v>
      </c>
      <c r="O4906" s="2">
        <v>17957.45</v>
      </c>
      <c r="P4906">
        <v>219</v>
      </c>
      <c r="Q4906" s="2">
        <v>3932681.55</v>
      </c>
      <c r="R4906" s="2">
        <v>3950.64</v>
      </c>
      <c r="V4906">
        <v>0</v>
      </c>
      <c r="W4906">
        <v>0</v>
      </c>
      <c r="X4906">
        <v>0</v>
      </c>
      <c r="Y4906">
        <v>0</v>
      </c>
      <c r="Z4906" s="2">
        <v>21908.09</v>
      </c>
      <c r="AA4906" s="2">
        <v>21908.09</v>
      </c>
      <c r="AB4906" s="1">
        <v>42382</v>
      </c>
      <c r="AC4906" t="s">
        <v>53</v>
      </c>
      <c r="AD4906" t="s">
        <v>53</v>
      </c>
      <c r="AK4906" s="2">
        <v>3950.64</v>
      </c>
      <c r="AU4906" s="6">
        <v>42353</v>
      </c>
      <c r="AV4906" s="6">
        <v>42353</v>
      </c>
      <c r="AW4906" t="s">
        <v>54</v>
      </c>
      <c r="AX4906" t="str">
        <f t="shared" si="411"/>
        <v>FOR</v>
      </c>
      <c r="AY4906" t="s">
        <v>55</v>
      </c>
    </row>
    <row r="4907" spans="1:51">
      <c r="A4907">
        <v>101812</v>
      </c>
      <c r="B4907" t="s">
        <v>910</v>
      </c>
      <c r="C4907" t="str">
        <f t="shared" si="413"/>
        <v>02764431215</v>
      </c>
      <c r="D4907" t="str">
        <f t="shared" si="413"/>
        <v>02764431215</v>
      </c>
      <c r="E4907" t="s">
        <v>52</v>
      </c>
      <c r="F4907">
        <v>2015</v>
      </c>
      <c r="G4907">
        <v>36</v>
      </c>
      <c r="H4907" s="1">
        <v>42063</v>
      </c>
      <c r="I4907" s="1">
        <v>42073</v>
      </c>
      <c r="J4907" s="1">
        <v>42073</v>
      </c>
      <c r="K4907" s="1">
        <v>42133</v>
      </c>
      <c r="L4907" s="7">
        <v>43847.03</v>
      </c>
      <c r="M4907" s="5">
        <v>220</v>
      </c>
      <c r="N4907" s="7">
        <v>9646346.5999999996</v>
      </c>
      <c r="O4907" s="2">
        <v>43847.03</v>
      </c>
      <c r="P4907">
        <v>220</v>
      </c>
      <c r="Q4907" s="2">
        <v>9646346.5999999996</v>
      </c>
      <c r="R4907" s="2">
        <v>9646.35</v>
      </c>
      <c r="V4907">
        <v>0</v>
      </c>
      <c r="W4907">
        <v>0</v>
      </c>
      <c r="X4907">
        <v>0</v>
      </c>
      <c r="Y4907" s="2">
        <v>53493.38</v>
      </c>
      <c r="Z4907" s="2">
        <v>53493.38</v>
      </c>
      <c r="AA4907" s="2">
        <v>53493.38</v>
      </c>
      <c r="AB4907" s="1">
        <v>42382</v>
      </c>
      <c r="AC4907" t="s">
        <v>53</v>
      </c>
      <c r="AD4907" t="s">
        <v>53</v>
      </c>
      <c r="AK4907" s="2">
        <v>9646.35</v>
      </c>
      <c r="AU4907" s="6">
        <v>42353</v>
      </c>
      <c r="AV4907" s="6">
        <v>42353</v>
      </c>
      <c r="AW4907" t="s">
        <v>54</v>
      </c>
      <c r="AX4907" t="str">
        <f t="shared" si="411"/>
        <v>FOR</v>
      </c>
      <c r="AY4907" t="s">
        <v>55</v>
      </c>
    </row>
    <row r="4908" spans="1:51" hidden="1">
      <c r="A4908">
        <v>101813</v>
      </c>
      <c r="B4908" t="s">
        <v>911</v>
      </c>
      <c r="C4908" t="str">
        <f t="shared" ref="C4908:D4925" si="414">"07754770639"</f>
        <v>07754770639</v>
      </c>
      <c r="D4908" t="str">
        <f t="shared" si="414"/>
        <v>07754770639</v>
      </c>
      <c r="E4908" t="s">
        <v>52</v>
      </c>
      <c r="F4908">
        <v>2014</v>
      </c>
      <c r="G4908">
        <v>18</v>
      </c>
      <c r="H4908" s="1">
        <v>41820</v>
      </c>
      <c r="I4908" s="1">
        <v>41827</v>
      </c>
      <c r="J4908" s="1">
        <v>41827</v>
      </c>
      <c r="K4908" s="1">
        <v>41917</v>
      </c>
      <c r="N4908" s="5"/>
      <c r="O4908" s="2">
        <v>2723.43</v>
      </c>
      <c r="P4908">
        <v>124</v>
      </c>
      <c r="Q4908" s="2">
        <v>337705.32</v>
      </c>
      <c r="R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 s="1">
        <v>42382</v>
      </c>
      <c r="AC4908" t="s">
        <v>53</v>
      </c>
      <c r="AD4908" t="s">
        <v>53</v>
      </c>
      <c r="AK4908">
        <v>0</v>
      </c>
      <c r="AU4908" s="6">
        <v>42041</v>
      </c>
      <c r="AV4908" s="6">
        <v>42041</v>
      </c>
      <c r="AW4908" t="s">
        <v>54</v>
      </c>
      <c r="AX4908" t="str">
        <f t="shared" si="411"/>
        <v>FOR</v>
      </c>
      <c r="AY4908" t="s">
        <v>55</v>
      </c>
    </row>
    <row r="4909" spans="1:51" hidden="1">
      <c r="A4909">
        <v>101813</v>
      </c>
      <c r="B4909" t="s">
        <v>911</v>
      </c>
      <c r="C4909" t="str">
        <f t="shared" si="414"/>
        <v>07754770639</v>
      </c>
      <c r="D4909" t="str">
        <f t="shared" si="414"/>
        <v>07754770639</v>
      </c>
      <c r="E4909" t="s">
        <v>52</v>
      </c>
      <c r="F4909">
        <v>2014</v>
      </c>
      <c r="G4909">
        <v>19</v>
      </c>
      <c r="H4909" s="1">
        <v>41820</v>
      </c>
      <c r="I4909" s="1">
        <v>41827</v>
      </c>
      <c r="J4909" s="1">
        <v>41827</v>
      </c>
      <c r="K4909" s="1">
        <v>41917</v>
      </c>
      <c r="N4909" s="5"/>
      <c r="O4909" s="2">
        <v>1371.87</v>
      </c>
      <c r="P4909">
        <v>124</v>
      </c>
      <c r="Q4909" s="2">
        <v>170111.88</v>
      </c>
      <c r="R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 s="1">
        <v>42382</v>
      </c>
      <c r="AC4909" t="s">
        <v>53</v>
      </c>
      <c r="AD4909" t="s">
        <v>53</v>
      </c>
      <c r="AK4909">
        <v>0</v>
      </c>
      <c r="AU4909" s="6">
        <v>42041</v>
      </c>
      <c r="AV4909" s="6">
        <v>42041</v>
      </c>
      <c r="AW4909" t="s">
        <v>54</v>
      </c>
      <c r="AX4909" t="str">
        <f t="shared" si="411"/>
        <v>FOR</v>
      </c>
      <c r="AY4909" t="s">
        <v>55</v>
      </c>
    </row>
    <row r="4910" spans="1:51" hidden="1">
      <c r="A4910">
        <v>101813</v>
      </c>
      <c r="B4910" t="s">
        <v>911</v>
      </c>
      <c r="C4910" t="str">
        <f t="shared" si="414"/>
        <v>07754770639</v>
      </c>
      <c r="D4910" t="str">
        <f t="shared" si="414"/>
        <v>07754770639</v>
      </c>
      <c r="E4910" t="s">
        <v>52</v>
      </c>
      <c r="F4910">
        <v>2014</v>
      </c>
      <c r="G4910">
        <v>21</v>
      </c>
      <c r="H4910" s="1">
        <v>41828</v>
      </c>
      <c r="I4910" s="1">
        <v>41830</v>
      </c>
      <c r="J4910" s="1">
        <v>41830</v>
      </c>
      <c r="K4910" s="1">
        <v>41920</v>
      </c>
      <c r="N4910" s="5"/>
      <c r="O4910" s="2">
        <v>3124.13</v>
      </c>
      <c r="P4910">
        <v>121</v>
      </c>
      <c r="Q4910" s="2">
        <v>378019.73</v>
      </c>
      <c r="R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 s="1">
        <v>42382</v>
      </c>
      <c r="AC4910" t="s">
        <v>53</v>
      </c>
      <c r="AD4910" t="s">
        <v>53</v>
      </c>
      <c r="AK4910">
        <v>0</v>
      </c>
      <c r="AU4910" s="6">
        <v>42041</v>
      </c>
      <c r="AV4910" s="6">
        <v>42041</v>
      </c>
      <c r="AW4910" t="s">
        <v>54</v>
      </c>
      <c r="AX4910" t="str">
        <f t="shared" si="411"/>
        <v>FOR</v>
      </c>
      <c r="AY4910" t="s">
        <v>55</v>
      </c>
    </row>
    <row r="4911" spans="1:51" hidden="1">
      <c r="A4911">
        <v>101813</v>
      </c>
      <c r="B4911" t="s">
        <v>911</v>
      </c>
      <c r="C4911" t="str">
        <f t="shared" si="414"/>
        <v>07754770639</v>
      </c>
      <c r="D4911" t="str">
        <f t="shared" si="414"/>
        <v>07754770639</v>
      </c>
      <c r="E4911" t="s">
        <v>52</v>
      </c>
      <c r="F4911">
        <v>2014</v>
      </c>
      <c r="G4911">
        <v>23</v>
      </c>
      <c r="H4911" s="1">
        <v>41849</v>
      </c>
      <c r="I4911" s="1">
        <v>41851</v>
      </c>
      <c r="J4911" s="1">
        <v>41851</v>
      </c>
      <c r="K4911" s="1">
        <v>41941</v>
      </c>
      <c r="N4911" s="5"/>
      <c r="O4911" s="2">
        <v>2208.1799999999998</v>
      </c>
      <c r="P4911">
        <v>100</v>
      </c>
      <c r="Q4911" s="2">
        <v>220818</v>
      </c>
      <c r="R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 s="1">
        <v>42382</v>
      </c>
      <c r="AC4911" t="s">
        <v>53</v>
      </c>
      <c r="AD4911" t="s">
        <v>53</v>
      </c>
      <c r="AK4911">
        <v>0</v>
      </c>
      <c r="AU4911" s="6">
        <v>42041</v>
      </c>
      <c r="AV4911" s="6">
        <v>42041</v>
      </c>
      <c r="AW4911" t="s">
        <v>54</v>
      </c>
      <c r="AX4911" t="str">
        <f t="shared" si="411"/>
        <v>FOR</v>
      </c>
      <c r="AY4911" t="s">
        <v>55</v>
      </c>
    </row>
    <row r="4912" spans="1:51" hidden="1">
      <c r="A4912">
        <v>101813</v>
      </c>
      <c r="B4912" t="s">
        <v>911</v>
      </c>
      <c r="C4912" t="str">
        <f t="shared" si="414"/>
        <v>07754770639</v>
      </c>
      <c r="D4912" t="str">
        <f t="shared" si="414"/>
        <v>07754770639</v>
      </c>
      <c r="E4912" t="s">
        <v>52</v>
      </c>
      <c r="F4912">
        <v>2014</v>
      </c>
      <c r="G4912">
        <v>24</v>
      </c>
      <c r="H4912" s="1">
        <v>41849</v>
      </c>
      <c r="I4912" s="1">
        <v>41851</v>
      </c>
      <c r="J4912" s="1">
        <v>41851</v>
      </c>
      <c r="K4912" s="1">
        <v>41941</v>
      </c>
      <c r="N4912" s="5"/>
      <c r="O4912" s="2">
        <v>6671.85</v>
      </c>
      <c r="P4912">
        <v>100</v>
      </c>
      <c r="Q4912" s="2">
        <v>667185</v>
      </c>
      <c r="R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 s="1">
        <v>42382</v>
      </c>
      <c r="AC4912" t="s">
        <v>53</v>
      </c>
      <c r="AD4912" t="s">
        <v>53</v>
      </c>
      <c r="AK4912">
        <v>0</v>
      </c>
      <c r="AU4912" s="6">
        <v>42041</v>
      </c>
      <c r="AV4912" s="6">
        <v>42041</v>
      </c>
      <c r="AW4912" t="s">
        <v>54</v>
      </c>
      <c r="AX4912" t="str">
        <f t="shared" si="411"/>
        <v>FOR</v>
      </c>
      <c r="AY4912" t="s">
        <v>55</v>
      </c>
    </row>
    <row r="4913" spans="1:51" hidden="1">
      <c r="A4913">
        <v>101813</v>
      </c>
      <c r="B4913" t="s">
        <v>911</v>
      </c>
      <c r="C4913" t="str">
        <f t="shared" si="414"/>
        <v>07754770639</v>
      </c>
      <c r="D4913" t="str">
        <f t="shared" si="414"/>
        <v>07754770639</v>
      </c>
      <c r="E4913" t="s">
        <v>52</v>
      </c>
      <c r="F4913">
        <v>2014</v>
      </c>
      <c r="G4913">
        <v>25</v>
      </c>
      <c r="H4913" s="1">
        <v>41849</v>
      </c>
      <c r="I4913" s="1">
        <v>41851</v>
      </c>
      <c r="J4913" s="1">
        <v>41851</v>
      </c>
      <c r="K4913" s="1">
        <v>41941</v>
      </c>
      <c r="N4913" s="5"/>
      <c r="O4913" s="2">
        <v>2093.0300000000002</v>
      </c>
      <c r="P4913">
        <v>100</v>
      </c>
      <c r="Q4913" s="2">
        <v>209303</v>
      </c>
      <c r="R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 s="1">
        <v>42382</v>
      </c>
      <c r="AC4913" t="s">
        <v>53</v>
      </c>
      <c r="AD4913" t="s">
        <v>53</v>
      </c>
      <c r="AK4913">
        <v>0</v>
      </c>
      <c r="AU4913" s="6">
        <v>42041</v>
      </c>
      <c r="AV4913" s="6">
        <v>42041</v>
      </c>
      <c r="AW4913" t="s">
        <v>54</v>
      </c>
      <c r="AX4913" t="str">
        <f t="shared" si="411"/>
        <v>FOR</v>
      </c>
      <c r="AY4913" t="s">
        <v>55</v>
      </c>
    </row>
    <row r="4914" spans="1:51" hidden="1">
      <c r="A4914">
        <v>101813</v>
      </c>
      <c r="B4914" t="s">
        <v>911</v>
      </c>
      <c r="C4914" t="str">
        <f t="shared" si="414"/>
        <v>07754770639</v>
      </c>
      <c r="D4914" t="str">
        <f t="shared" si="414"/>
        <v>07754770639</v>
      </c>
      <c r="E4914" t="s">
        <v>52</v>
      </c>
      <c r="F4914">
        <v>2014</v>
      </c>
      <c r="G4914">
        <v>26</v>
      </c>
      <c r="H4914" s="1">
        <v>41849</v>
      </c>
      <c r="I4914" s="1">
        <v>41851</v>
      </c>
      <c r="J4914" s="1">
        <v>41851</v>
      </c>
      <c r="K4914" s="1">
        <v>41941</v>
      </c>
      <c r="N4914" s="5"/>
      <c r="O4914">
        <v>746.64</v>
      </c>
      <c r="P4914">
        <v>100</v>
      </c>
      <c r="Q4914" s="2">
        <v>74664</v>
      </c>
      <c r="R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 s="1">
        <v>42382</v>
      </c>
      <c r="AC4914" t="s">
        <v>53</v>
      </c>
      <c r="AD4914" t="s">
        <v>53</v>
      </c>
      <c r="AK4914">
        <v>0</v>
      </c>
      <c r="AU4914" s="6">
        <v>42041</v>
      </c>
      <c r="AV4914" s="6">
        <v>42041</v>
      </c>
      <c r="AW4914" t="s">
        <v>54</v>
      </c>
      <c r="AX4914" t="str">
        <f t="shared" si="411"/>
        <v>FOR</v>
      </c>
      <c r="AY4914" t="s">
        <v>55</v>
      </c>
    </row>
    <row r="4915" spans="1:51" hidden="1">
      <c r="A4915">
        <v>101813</v>
      </c>
      <c r="B4915" t="s">
        <v>911</v>
      </c>
      <c r="C4915" t="str">
        <f t="shared" si="414"/>
        <v>07754770639</v>
      </c>
      <c r="D4915" t="str">
        <f t="shared" si="414"/>
        <v>07754770639</v>
      </c>
      <c r="E4915" t="s">
        <v>52</v>
      </c>
      <c r="F4915">
        <v>2014</v>
      </c>
      <c r="G4915">
        <v>27</v>
      </c>
      <c r="H4915" s="1">
        <v>41849</v>
      </c>
      <c r="I4915" s="1">
        <v>41851</v>
      </c>
      <c r="J4915" s="1">
        <v>41851</v>
      </c>
      <c r="K4915" s="1">
        <v>41941</v>
      </c>
      <c r="N4915" s="5"/>
      <c r="O4915">
        <v>729.74</v>
      </c>
      <c r="P4915">
        <v>100</v>
      </c>
      <c r="Q4915" s="2">
        <v>72974</v>
      </c>
      <c r="R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 s="1">
        <v>42382</v>
      </c>
      <c r="AC4915" t="s">
        <v>53</v>
      </c>
      <c r="AD4915" t="s">
        <v>53</v>
      </c>
      <c r="AK4915">
        <v>0</v>
      </c>
      <c r="AU4915" s="6">
        <v>42041</v>
      </c>
      <c r="AV4915" s="6">
        <v>42041</v>
      </c>
      <c r="AW4915" t="s">
        <v>54</v>
      </c>
      <c r="AX4915" t="str">
        <f t="shared" si="411"/>
        <v>FOR</v>
      </c>
      <c r="AY4915" t="s">
        <v>55</v>
      </c>
    </row>
    <row r="4916" spans="1:51" hidden="1">
      <c r="A4916">
        <v>101813</v>
      </c>
      <c r="B4916" t="s">
        <v>911</v>
      </c>
      <c r="C4916" t="str">
        <f t="shared" si="414"/>
        <v>07754770639</v>
      </c>
      <c r="D4916" t="str">
        <f t="shared" si="414"/>
        <v>07754770639</v>
      </c>
      <c r="E4916" t="s">
        <v>52</v>
      </c>
      <c r="F4916">
        <v>2014</v>
      </c>
      <c r="G4916">
        <v>33</v>
      </c>
      <c r="H4916" s="1">
        <v>41881</v>
      </c>
      <c r="I4916" s="1">
        <v>41898</v>
      </c>
      <c r="J4916" s="1">
        <v>41898</v>
      </c>
      <c r="K4916" s="1">
        <v>41988</v>
      </c>
      <c r="N4916" s="5"/>
      <c r="O4916" s="2">
        <v>13373.35</v>
      </c>
      <c r="P4916">
        <v>53</v>
      </c>
      <c r="Q4916" s="2">
        <v>708787.55</v>
      </c>
      <c r="R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 s="1">
        <v>42382</v>
      </c>
      <c r="AC4916" t="s">
        <v>53</v>
      </c>
      <c r="AD4916" t="s">
        <v>53</v>
      </c>
      <c r="AK4916">
        <v>0</v>
      </c>
      <c r="AU4916" s="6">
        <v>42041</v>
      </c>
      <c r="AV4916" s="6">
        <v>42041</v>
      </c>
      <c r="AW4916" t="s">
        <v>54</v>
      </c>
      <c r="AX4916" t="str">
        <f t="shared" si="411"/>
        <v>FOR</v>
      </c>
      <c r="AY4916" t="s">
        <v>55</v>
      </c>
    </row>
    <row r="4917" spans="1:51" hidden="1">
      <c r="A4917">
        <v>101813</v>
      </c>
      <c r="B4917" t="s">
        <v>911</v>
      </c>
      <c r="C4917" t="str">
        <f t="shared" si="414"/>
        <v>07754770639</v>
      </c>
      <c r="D4917" t="str">
        <f t="shared" si="414"/>
        <v>07754770639</v>
      </c>
      <c r="E4917" t="s">
        <v>52</v>
      </c>
      <c r="F4917">
        <v>2014</v>
      </c>
      <c r="G4917">
        <v>34</v>
      </c>
      <c r="H4917" s="1">
        <v>41883</v>
      </c>
      <c r="I4917" s="1">
        <v>41900</v>
      </c>
      <c r="J4917" s="1">
        <v>41900</v>
      </c>
      <c r="K4917" s="1">
        <v>41990</v>
      </c>
      <c r="N4917" s="5"/>
      <c r="O4917" s="2">
        <v>3440.91</v>
      </c>
      <c r="P4917">
        <v>51</v>
      </c>
      <c r="Q4917" s="2">
        <v>175486.41</v>
      </c>
      <c r="R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 s="1">
        <v>42382</v>
      </c>
      <c r="AC4917" t="s">
        <v>53</v>
      </c>
      <c r="AD4917" t="s">
        <v>53</v>
      </c>
      <c r="AK4917">
        <v>0</v>
      </c>
      <c r="AU4917" s="6">
        <v>42041</v>
      </c>
      <c r="AV4917" s="6">
        <v>42041</v>
      </c>
      <c r="AW4917" t="s">
        <v>54</v>
      </c>
      <c r="AX4917" t="str">
        <f t="shared" si="411"/>
        <v>FOR</v>
      </c>
      <c r="AY4917" t="s">
        <v>55</v>
      </c>
    </row>
    <row r="4918" spans="1:51" hidden="1">
      <c r="A4918">
        <v>101813</v>
      </c>
      <c r="B4918" t="s">
        <v>911</v>
      </c>
      <c r="C4918" t="str">
        <f t="shared" si="414"/>
        <v>07754770639</v>
      </c>
      <c r="D4918" t="str">
        <f t="shared" si="414"/>
        <v>07754770639</v>
      </c>
      <c r="E4918" t="s">
        <v>52</v>
      </c>
      <c r="F4918">
        <v>2014</v>
      </c>
      <c r="G4918">
        <v>35</v>
      </c>
      <c r="H4918" s="1">
        <v>41883</v>
      </c>
      <c r="I4918" s="1">
        <v>41900</v>
      </c>
      <c r="J4918" s="1">
        <v>41900</v>
      </c>
      <c r="K4918" s="1">
        <v>41990</v>
      </c>
      <c r="N4918" s="5"/>
      <c r="O4918" s="2">
        <v>3830.19</v>
      </c>
      <c r="P4918">
        <v>51</v>
      </c>
      <c r="Q4918" s="2">
        <v>195339.69</v>
      </c>
      <c r="R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 s="1">
        <v>42382</v>
      </c>
      <c r="AC4918" t="s">
        <v>53</v>
      </c>
      <c r="AD4918" t="s">
        <v>53</v>
      </c>
      <c r="AK4918">
        <v>0</v>
      </c>
      <c r="AU4918" s="6">
        <v>42041</v>
      </c>
      <c r="AV4918" s="6">
        <v>42041</v>
      </c>
      <c r="AW4918" t="s">
        <v>54</v>
      </c>
      <c r="AX4918" t="str">
        <f t="shared" si="411"/>
        <v>FOR</v>
      </c>
      <c r="AY4918" t="s">
        <v>55</v>
      </c>
    </row>
    <row r="4919" spans="1:51" hidden="1">
      <c r="A4919">
        <v>101813</v>
      </c>
      <c r="B4919" t="s">
        <v>911</v>
      </c>
      <c r="C4919" t="str">
        <f t="shared" si="414"/>
        <v>07754770639</v>
      </c>
      <c r="D4919" t="str">
        <f t="shared" si="414"/>
        <v>07754770639</v>
      </c>
      <c r="E4919" t="s">
        <v>52</v>
      </c>
      <c r="F4919">
        <v>2014</v>
      </c>
      <c r="G4919">
        <v>39</v>
      </c>
      <c r="H4919" s="1">
        <v>41912</v>
      </c>
      <c r="I4919" s="1">
        <v>41913</v>
      </c>
      <c r="J4919" s="1">
        <v>41913</v>
      </c>
      <c r="K4919" s="1">
        <v>42003</v>
      </c>
      <c r="N4919" s="5"/>
      <c r="O4919" s="2">
        <v>3542.9</v>
      </c>
      <c r="P4919">
        <v>38</v>
      </c>
      <c r="Q4919" s="2">
        <v>134630.20000000001</v>
      </c>
      <c r="R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 s="1">
        <v>42382</v>
      </c>
      <c r="AC4919" t="s">
        <v>53</v>
      </c>
      <c r="AD4919" t="s">
        <v>53</v>
      </c>
      <c r="AK4919">
        <v>0</v>
      </c>
      <c r="AU4919" s="6">
        <v>42041</v>
      </c>
      <c r="AV4919" s="6">
        <v>42041</v>
      </c>
      <c r="AW4919" t="s">
        <v>54</v>
      </c>
      <c r="AX4919" t="str">
        <f t="shared" si="411"/>
        <v>FOR</v>
      </c>
      <c r="AY4919" t="s">
        <v>55</v>
      </c>
    </row>
    <row r="4920" spans="1:51" hidden="1">
      <c r="A4920">
        <v>101813</v>
      </c>
      <c r="B4920" t="s">
        <v>911</v>
      </c>
      <c r="C4920" t="str">
        <f t="shared" si="414"/>
        <v>07754770639</v>
      </c>
      <c r="D4920" t="str">
        <f t="shared" si="414"/>
        <v>07754770639</v>
      </c>
      <c r="E4920" t="s">
        <v>52</v>
      </c>
      <c r="F4920">
        <v>2014</v>
      </c>
      <c r="G4920">
        <v>41</v>
      </c>
      <c r="H4920" s="1">
        <v>41925</v>
      </c>
      <c r="I4920" s="1">
        <v>41935</v>
      </c>
      <c r="J4920" s="1">
        <v>41935</v>
      </c>
      <c r="K4920" s="1">
        <v>41995</v>
      </c>
      <c r="N4920" s="5"/>
      <c r="O4920" s="2">
        <v>3279.9</v>
      </c>
      <c r="P4920">
        <v>46</v>
      </c>
      <c r="Q4920" s="2">
        <v>150875.4</v>
      </c>
      <c r="R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 s="1">
        <v>42382</v>
      </c>
      <c r="AC4920" t="s">
        <v>53</v>
      </c>
      <c r="AD4920" t="s">
        <v>53</v>
      </c>
      <c r="AK4920">
        <v>0</v>
      </c>
      <c r="AU4920" s="6">
        <v>42041</v>
      </c>
      <c r="AV4920" s="6">
        <v>42041</v>
      </c>
      <c r="AW4920" t="s">
        <v>54</v>
      </c>
      <c r="AX4920" t="str">
        <f t="shared" si="411"/>
        <v>FOR</v>
      </c>
      <c r="AY4920" t="s">
        <v>55</v>
      </c>
    </row>
    <row r="4921" spans="1:51" hidden="1">
      <c r="A4921">
        <v>101813</v>
      </c>
      <c r="B4921" t="s">
        <v>911</v>
      </c>
      <c r="C4921" t="str">
        <f t="shared" si="414"/>
        <v>07754770639</v>
      </c>
      <c r="D4921" t="str">
        <f t="shared" si="414"/>
        <v>07754770639</v>
      </c>
      <c r="E4921" t="s">
        <v>52</v>
      </c>
      <c r="F4921">
        <v>2014</v>
      </c>
      <c r="G4921">
        <v>45</v>
      </c>
      <c r="H4921" s="1">
        <v>41955</v>
      </c>
      <c r="I4921" s="1">
        <v>41960</v>
      </c>
      <c r="J4921" s="1">
        <v>41960</v>
      </c>
      <c r="K4921" s="1">
        <v>42020</v>
      </c>
      <c r="N4921" s="5"/>
      <c r="O4921" s="2">
        <v>2126.59</v>
      </c>
      <c r="P4921">
        <v>21</v>
      </c>
      <c r="Q4921" s="2">
        <v>44658.39</v>
      </c>
      <c r="R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 s="1">
        <v>42382</v>
      </c>
      <c r="AC4921" t="s">
        <v>53</v>
      </c>
      <c r="AD4921" t="s">
        <v>53</v>
      </c>
      <c r="AK4921">
        <v>0</v>
      </c>
      <c r="AU4921" s="6">
        <v>42041</v>
      </c>
      <c r="AV4921" s="6">
        <v>42041</v>
      </c>
      <c r="AW4921" t="s">
        <v>54</v>
      </c>
      <c r="AX4921" t="str">
        <f t="shared" si="411"/>
        <v>FOR</v>
      </c>
      <c r="AY4921" t="s">
        <v>55</v>
      </c>
    </row>
    <row r="4922" spans="1:51" hidden="1">
      <c r="A4922">
        <v>101813</v>
      </c>
      <c r="B4922" t="s">
        <v>911</v>
      </c>
      <c r="C4922" t="str">
        <f t="shared" si="414"/>
        <v>07754770639</v>
      </c>
      <c r="D4922" t="str">
        <f t="shared" si="414"/>
        <v>07754770639</v>
      </c>
      <c r="E4922" t="s">
        <v>52</v>
      </c>
      <c r="F4922">
        <v>2014</v>
      </c>
      <c r="G4922">
        <v>52</v>
      </c>
      <c r="H4922" s="1">
        <v>42004</v>
      </c>
      <c r="I4922" s="1">
        <v>42004</v>
      </c>
      <c r="J4922" s="1">
        <v>42004</v>
      </c>
      <c r="K4922" s="1">
        <v>42064</v>
      </c>
      <c r="N4922" s="5"/>
      <c r="O4922" s="2">
        <v>13373.35</v>
      </c>
      <c r="P4922">
        <v>-16</v>
      </c>
      <c r="Q4922" s="2">
        <v>-213973.6</v>
      </c>
      <c r="R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 s="1">
        <v>42382</v>
      </c>
      <c r="AC4922" t="s">
        <v>53</v>
      </c>
      <c r="AD4922" t="s">
        <v>53</v>
      </c>
      <c r="AK4922">
        <v>0</v>
      </c>
      <c r="AU4922" s="6">
        <v>42048</v>
      </c>
      <c r="AV4922" s="6">
        <v>42048</v>
      </c>
      <c r="AW4922" t="s">
        <v>54</v>
      </c>
      <c r="AX4922" t="str">
        <f t="shared" si="411"/>
        <v>FOR</v>
      </c>
      <c r="AY4922" t="s">
        <v>55</v>
      </c>
    </row>
    <row r="4923" spans="1:51" hidden="1">
      <c r="A4923">
        <v>101813</v>
      </c>
      <c r="B4923" t="s">
        <v>911</v>
      </c>
      <c r="C4923" t="str">
        <f t="shared" si="414"/>
        <v>07754770639</v>
      </c>
      <c r="D4923" t="str">
        <f t="shared" si="414"/>
        <v>07754770639</v>
      </c>
      <c r="E4923" t="s">
        <v>52</v>
      </c>
      <c r="F4923">
        <v>2014</v>
      </c>
      <c r="G4923">
        <v>53</v>
      </c>
      <c r="H4923" s="1">
        <v>42004</v>
      </c>
      <c r="I4923" s="1">
        <v>42004</v>
      </c>
      <c r="J4923" s="1">
        <v>42004</v>
      </c>
      <c r="K4923" s="1">
        <v>42064</v>
      </c>
      <c r="N4923" s="5"/>
      <c r="O4923" s="2">
        <v>13373.35</v>
      </c>
      <c r="P4923">
        <v>-16</v>
      </c>
      <c r="Q4923" s="2">
        <v>-213973.6</v>
      </c>
      <c r="R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 s="1">
        <v>42382</v>
      </c>
      <c r="AC4923" t="s">
        <v>53</v>
      </c>
      <c r="AD4923" t="s">
        <v>53</v>
      </c>
      <c r="AK4923">
        <v>0</v>
      </c>
      <c r="AU4923" s="6">
        <v>42048</v>
      </c>
      <c r="AV4923" s="6">
        <v>42048</v>
      </c>
      <c r="AW4923" t="s">
        <v>54</v>
      </c>
      <c r="AX4923" t="str">
        <f t="shared" si="411"/>
        <v>FOR</v>
      </c>
      <c r="AY4923" t="s">
        <v>55</v>
      </c>
    </row>
    <row r="4924" spans="1:51">
      <c r="A4924">
        <v>101813</v>
      </c>
      <c r="B4924" t="s">
        <v>911</v>
      </c>
      <c r="C4924" t="str">
        <f t="shared" si="414"/>
        <v>07754770639</v>
      </c>
      <c r="D4924" t="str">
        <f t="shared" si="414"/>
        <v>07754770639</v>
      </c>
      <c r="E4924" t="s">
        <v>52</v>
      </c>
      <c r="F4924">
        <v>2015</v>
      </c>
      <c r="G4924">
        <v>6</v>
      </c>
      <c r="H4924" s="1">
        <v>42063</v>
      </c>
      <c r="I4924" s="1">
        <v>42088</v>
      </c>
      <c r="J4924" s="1">
        <v>42088</v>
      </c>
      <c r="K4924" s="1">
        <v>42148</v>
      </c>
      <c r="L4924" s="7">
        <v>10961.76</v>
      </c>
      <c r="M4924" s="5">
        <v>157</v>
      </c>
      <c r="N4924" s="7">
        <v>1720996.32</v>
      </c>
      <c r="O4924" s="2">
        <v>10961.76</v>
      </c>
      <c r="P4924">
        <v>157</v>
      </c>
      <c r="Q4924" s="2">
        <v>1720996.32</v>
      </c>
      <c r="R4924">
        <v>0</v>
      </c>
      <c r="V4924">
        <v>0</v>
      </c>
      <c r="W4924">
        <v>0</v>
      </c>
      <c r="X4924">
        <v>0</v>
      </c>
      <c r="Y4924" s="2">
        <v>13373.35</v>
      </c>
      <c r="Z4924" s="2">
        <v>13373.35</v>
      </c>
      <c r="AA4924" s="2">
        <v>13373.35</v>
      </c>
      <c r="AB4924" s="1">
        <v>42382</v>
      </c>
      <c r="AC4924" t="s">
        <v>53</v>
      </c>
      <c r="AD4924" t="s">
        <v>53</v>
      </c>
      <c r="AK4924">
        <v>0</v>
      </c>
      <c r="AU4924" s="6">
        <v>42305</v>
      </c>
      <c r="AV4924" s="6">
        <v>42305</v>
      </c>
      <c r="AW4924" t="s">
        <v>54</v>
      </c>
      <c r="AX4924" t="str">
        <f t="shared" si="411"/>
        <v>FOR</v>
      </c>
      <c r="AY4924" t="s">
        <v>55</v>
      </c>
    </row>
    <row r="4925" spans="1:51">
      <c r="A4925">
        <v>101813</v>
      </c>
      <c r="B4925" t="s">
        <v>911</v>
      </c>
      <c r="C4925" t="str">
        <f t="shared" si="414"/>
        <v>07754770639</v>
      </c>
      <c r="D4925" t="str">
        <f t="shared" si="414"/>
        <v>07754770639</v>
      </c>
      <c r="E4925" t="s">
        <v>52</v>
      </c>
      <c r="F4925">
        <v>2015</v>
      </c>
      <c r="G4925" t="s">
        <v>912</v>
      </c>
      <c r="H4925" s="1">
        <v>42154</v>
      </c>
      <c r="I4925" s="1">
        <v>42166</v>
      </c>
      <c r="J4925" s="1">
        <v>42164</v>
      </c>
      <c r="K4925" s="1">
        <v>42224</v>
      </c>
      <c r="L4925" s="7">
        <v>10961.76</v>
      </c>
      <c r="M4925" s="5">
        <v>115</v>
      </c>
      <c r="N4925" s="7">
        <v>1260602.3999999999</v>
      </c>
      <c r="O4925" s="2">
        <v>10961.76</v>
      </c>
      <c r="P4925">
        <v>115</v>
      </c>
      <c r="Q4925" s="2">
        <v>1260602.3999999999</v>
      </c>
      <c r="R4925" s="2">
        <v>2411.59</v>
      </c>
      <c r="V4925">
        <v>0</v>
      </c>
      <c r="W4925">
        <v>0</v>
      </c>
      <c r="X4925">
        <v>0</v>
      </c>
      <c r="Y4925" s="2">
        <v>13373.35</v>
      </c>
      <c r="Z4925" s="2">
        <v>13373.35</v>
      </c>
      <c r="AA4925" s="2">
        <v>13373.35</v>
      </c>
      <c r="AB4925" s="1">
        <v>42382</v>
      </c>
      <c r="AC4925" t="s">
        <v>53</v>
      </c>
      <c r="AD4925" t="s">
        <v>53</v>
      </c>
      <c r="AI4925" s="2">
        <v>2411.59</v>
      </c>
      <c r="AK4925">
        <v>0</v>
      </c>
      <c r="AU4925" s="6">
        <v>42339</v>
      </c>
      <c r="AV4925" s="6">
        <v>42339</v>
      </c>
      <c r="AW4925" t="s">
        <v>54</v>
      </c>
      <c r="AX4925" t="str">
        <f t="shared" si="411"/>
        <v>FOR</v>
      </c>
      <c r="AY4925" t="s">
        <v>55</v>
      </c>
    </row>
    <row r="4926" spans="1:51" hidden="1">
      <c r="A4926">
        <v>101814</v>
      </c>
      <c r="B4926" t="s">
        <v>913</v>
      </c>
      <c r="C4926" t="str">
        <f t="shared" ref="C4926:D4930" si="415">"06060070015"</f>
        <v>06060070015</v>
      </c>
      <c r="D4926" t="str">
        <f t="shared" si="415"/>
        <v>06060070015</v>
      </c>
      <c r="E4926" t="s">
        <v>52</v>
      </c>
      <c r="F4926">
        <v>2013</v>
      </c>
      <c r="G4926">
        <v>131423</v>
      </c>
      <c r="H4926" s="1">
        <v>41639</v>
      </c>
      <c r="I4926" s="1">
        <v>41639</v>
      </c>
      <c r="J4926" s="1">
        <v>41639</v>
      </c>
      <c r="K4926" s="1">
        <v>41729</v>
      </c>
      <c r="N4926" s="5"/>
      <c r="O4926" s="2">
        <v>28670</v>
      </c>
      <c r="P4926">
        <v>308</v>
      </c>
      <c r="Q4926" s="2">
        <v>8830360</v>
      </c>
      <c r="R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 s="1">
        <v>42382</v>
      </c>
      <c r="AC4926" t="s">
        <v>53</v>
      </c>
      <c r="AD4926" t="s">
        <v>53</v>
      </c>
      <c r="AK4926">
        <v>0</v>
      </c>
      <c r="AU4926" s="6">
        <v>42037</v>
      </c>
      <c r="AV4926" s="6">
        <v>42037</v>
      </c>
      <c r="AW4926" t="s">
        <v>54</v>
      </c>
      <c r="AX4926" t="str">
        <f t="shared" si="411"/>
        <v>FOR</v>
      </c>
      <c r="AY4926" t="s">
        <v>55</v>
      </c>
    </row>
    <row r="4927" spans="1:51" hidden="1">
      <c r="A4927">
        <v>101814</v>
      </c>
      <c r="B4927" t="s">
        <v>913</v>
      </c>
      <c r="C4927" t="str">
        <f t="shared" si="415"/>
        <v>06060070015</v>
      </c>
      <c r="D4927" t="str">
        <f t="shared" si="415"/>
        <v>06060070015</v>
      </c>
      <c r="E4927" t="s">
        <v>52</v>
      </c>
      <c r="F4927">
        <v>2013</v>
      </c>
      <c r="G4927">
        <v>131424</v>
      </c>
      <c r="H4927" s="1">
        <v>41639</v>
      </c>
      <c r="I4927" s="1">
        <v>41639</v>
      </c>
      <c r="J4927" s="1">
        <v>41639</v>
      </c>
      <c r="K4927" s="1">
        <v>41729</v>
      </c>
      <c r="N4927" s="5"/>
      <c r="O4927" s="2">
        <v>4270</v>
      </c>
      <c r="P4927">
        <v>308</v>
      </c>
      <c r="Q4927" s="2">
        <v>1315160</v>
      </c>
      <c r="R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 s="1">
        <v>42382</v>
      </c>
      <c r="AC4927" t="s">
        <v>53</v>
      </c>
      <c r="AD4927" t="s">
        <v>53</v>
      </c>
      <c r="AK4927">
        <v>0</v>
      </c>
      <c r="AU4927" s="6">
        <v>42037</v>
      </c>
      <c r="AV4927" s="6">
        <v>42037</v>
      </c>
      <c r="AW4927" t="s">
        <v>54</v>
      </c>
      <c r="AX4927" t="str">
        <f t="shared" si="411"/>
        <v>FOR</v>
      </c>
      <c r="AY4927" t="s">
        <v>55</v>
      </c>
    </row>
    <row r="4928" spans="1:51" hidden="1">
      <c r="A4928">
        <v>101814</v>
      </c>
      <c r="B4928" t="s">
        <v>913</v>
      </c>
      <c r="C4928" t="str">
        <f t="shared" si="415"/>
        <v>06060070015</v>
      </c>
      <c r="D4928" t="str">
        <f t="shared" si="415"/>
        <v>06060070015</v>
      </c>
      <c r="E4928" t="s">
        <v>52</v>
      </c>
      <c r="F4928">
        <v>2014</v>
      </c>
      <c r="G4928">
        <v>801</v>
      </c>
      <c r="H4928" s="1">
        <v>41835</v>
      </c>
      <c r="I4928" s="1">
        <v>41878</v>
      </c>
      <c r="J4928" s="1">
        <v>41878</v>
      </c>
      <c r="K4928" s="1">
        <v>41968</v>
      </c>
      <c r="N4928" s="5"/>
      <c r="O4928" s="2">
        <v>2135</v>
      </c>
      <c r="P4928">
        <v>281</v>
      </c>
      <c r="Q4928" s="2">
        <v>599935</v>
      </c>
      <c r="R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 s="1">
        <v>42382</v>
      </c>
      <c r="AC4928" t="s">
        <v>53</v>
      </c>
      <c r="AD4928" t="s">
        <v>53</v>
      </c>
      <c r="AK4928">
        <v>0</v>
      </c>
      <c r="AU4928" s="6">
        <v>42249</v>
      </c>
      <c r="AV4928" s="6">
        <v>42249</v>
      </c>
      <c r="AW4928" t="s">
        <v>54</v>
      </c>
      <c r="AX4928" t="str">
        <f t="shared" si="411"/>
        <v>FOR</v>
      </c>
      <c r="AY4928" t="s">
        <v>55</v>
      </c>
    </row>
    <row r="4929" spans="1:51">
      <c r="A4929">
        <v>101814</v>
      </c>
      <c r="B4929" t="s">
        <v>913</v>
      </c>
      <c r="C4929" t="str">
        <f t="shared" si="415"/>
        <v>06060070015</v>
      </c>
      <c r="D4929" t="str">
        <f t="shared" si="415"/>
        <v>06060070015</v>
      </c>
      <c r="E4929" t="s">
        <v>52</v>
      </c>
      <c r="F4929">
        <v>2014</v>
      </c>
      <c r="G4929">
        <v>1129</v>
      </c>
      <c r="H4929" s="1">
        <v>41912</v>
      </c>
      <c r="I4929" s="1">
        <v>41935</v>
      </c>
      <c r="J4929" s="1">
        <v>41935</v>
      </c>
      <c r="K4929" s="1">
        <v>41995</v>
      </c>
      <c r="L4929" s="7">
        <v>2135</v>
      </c>
      <c r="M4929" s="5">
        <v>288</v>
      </c>
      <c r="N4929" s="7">
        <v>614880</v>
      </c>
      <c r="O4929" s="2">
        <v>2135</v>
      </c>
      <c r="P4929">
        <v>288</v>
      </c>
      <c r="Q4929" s="2">
        <v>614880</v>
      </c>
      <c r="R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 s="1">
        <v>42382</v>
      </c>
      <c r="AC4929" t="s">
        <v>53</v>
      </c>
      <c r="AD4929" t="s">
        <v>53</v>
      </c>
      <c r="AK4929">
        <v>0</v>
      </c>
      <c r="AU4929" s="6">
        <v>42283</v>
      </c>
      <c r="AV4929" s="6">
        <v>42283</v>
      </c>
      <c r="AW4929" t="s">
        <v>54</v>
      </c>
      <c r="AX4929" t="str">
        <f t="shared" si="411"/>
        <v>FOR</v>
      </c>
      <c r="AY4929" t="s">
        <v>55</v>
      </c>
    </row>
    <row r="4930" spans="1:51">
      <c r="A4930">
        <v>101814</v>
      </c>
      <c r="B4930" t="s">
        <v>913</v>
      </c>
      <c r="C4930" t="str">
        <f t="shared" si="415"/>
        <v>06060070015</v>
      </c>
      <c r="D4930" t="str">
        <f t="shared" si="415"/>
        <v>06060070015</v>
      </c>
      <c r="E4930" t="s">
        <v>52</v>
      </c>
      <c r="F4930">
        <v>2015</v>
      </c>
      <c r="G4930">
        <v>92</v>
      </c>
      <c r="H4930" s="1">
        <v>42034</v>
      </c>
      <c r="I4930" s="1">
        <v>42060</v>
      </c>
      <c r="J4930" s="1">
        <v>42060</v>
      </c>
      <c r="K4930" s="1">
        <v>42120</v>
      </c>
      <c r="L4930" s="7">
        <v>3500</v>
      </c>
      <c r="M4930" s="5">
        <v>235</v>
      </c>
      <c r="N4930" s="7">
        <v>822500</v>
      </c>
      <c r="O4930" s="2">
        <v>3500</v>
      </c>
      <c r="P4930">
        <v>235</v>
      </c>
      <c r="Q4930" s="2">
        <v>822500</v>
      </c>
      <c r="R4930">
        <v>770</v>
      </c>
      <c r="V4930">
        <v>0</v>
      </c>
      <c r="W4930">
        <v>0</v>
      </c>
      <c r="X4930">
        <v>0</v>
      </c>
      <c r="Y4930" s="2">
        <v>4270</v>
      </c>
      <c r="Z4930" s="2">
        <v>4270</v>
      </c>
      <c r="AA4930" s="2">
        <v>4270</v>
      </c>
      <c r="AB4930" s="1">
        <v>42382</v>
      </c>
      <c r="AC4930" t="s">
        <v>53</v>
      </c>
      <c r="AD4930" t="s">
        <v>53</v>
      </c>
      <c r="AK4930">
        <v>770</v>
      </c>
      <c r="AU4930" s="6">
        <v>42355</v>
      </c>
      <c r="AV4930" s="6">
        <v>42355</v>
      </c>
      <c r="AW4930" t="s">
        <v>54</v>
      </c>
      <c r="AX4930" t="str">
        <f t="shared" si="411"/>
        <v>FOR</v>
      </c>
      <c r="AY4930" t="s">
        <v>55</v>
      </c>
    </row>
    <row r="4931" spans="1:51" hidden="1">
      <c r="A4931">
        <v>101815</v>
      </c>
      <c r="B4931" t="s">
        <v>914</v>
      </c>
      <c r="C4931" t="str">
        <f t="shared" ref="C4931:D4933" si="416">"04124411218"</f>
        <v>04124411218</v>
      </c>
      <c r="D4931" t="str">
        <f t="shared" si="416"/>
        <v>04124411218</v>
      </c>
      <c r="E4931" t="s">
        <v>52</v>
      </c>
      <c r="F4931">
        <v>2013</v>
      </c>
      <c r="G4931">
        <v>1855</v>
      </c>
      <c r="H4931" s="1">
        <v>41628</v>
      </c>
      <c r="I4931" s="1">
        <v>41639</v>
      </c>
      <c r="J4931" s="1">
        <v>41639</v>
      </c>
      <c r="K4931" s="1">
        <v>41729</v>
      </c>
      <c r="N4931" s="5"/>
      <c r="O4931" s="2">
        <v>3535.56</v>
      </c>
      <c r="P4931">
        <v>310</v>
      </c>
      <c r="Q4931" s="2">
        <v>1096023.6000000001</v>
      </c>
      <c r="R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 s="1">
        <v>42382</v>
      </c>
      <c r="AC4931" t="s">
        <v>53</v>
      </c>
      <c r="AD4931" t="s">
        <v>53</v>
      </c>
      <c r="AK4931">
        <v>0</v>
      </c>
      <c r="AU4931" s="6">
        <v>42039</v>
      </c>
      <c r="AV4931" s="6">
        <v>42039</v>
      </c>
      <c r="AW4931" t="s">
        <v>54</v>
      </c>
      <c r="AX4931" t="str">
        <f t="shared" ref="AX4931:AX4994" si="417">"FOR"</f>
        <v>FOR</v>
      </c>
      <c r="AY4931" t="s">
        <v>55</v>
      </c>
    </row>
    <row r="4932" spans="1:51" hidden="1">
      <c r="A4932">
        <v>101815</v>
      </c>
      <c r="B4932" t="s">
        <v>914</v>
      </c>
      <c r="C4932" t="str">
        <f t="shared" si="416"/>
        <v>04124411218</v>
      </c>
      <c r="D4932" t="str">
        <f t="shared" si="416"/>
        <v>04124411218</v>
      </c>
      <c r="E4932" t="s">
        <v>52</v>
      </c>
      <c r="F4932">
        <v>2014</v>
      </c>
      <c r="G4932">
        <v>793</v>
      </c>
      <c r="H4932" s="1">
        <v>41775</v>
      </c>
      <c r="I4932" s="1">
        <v>41782</v>
      </c>
      <c r="J4932" s="1">
        <v>41782</v>
      </c>
      <c r="K4932" s="1">
        <v>41872</v>
      </c>
      <c r="N4932" s="5"/>
      <c r="O4932">
        <v>512.4</v>
      </c>
      <c r="P4932">
        <v>258</v>
      </c>
      <c r="Q4932" s="2">
        <v>132199.20000000001</v>
      </c>
      <c r="R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 s="1">
        <v>42382</v>
      </c>
      <c r="AC4932" t="s">
        <v>53</v>
      </c>
      <c r="AD4932" t="s">
        <v>53</v>
      </c>
      <c r="AK4932">
        <v>0</v>
      </c>
      <c r="AU4932" s="6">
        <v>42130</v>
      </c>
      <c r="AV4932" s="6">
        <v>42130</v>
      </c>
      <c r="AW4932" t="s">
        <v>54</v>
      </c>
      <c r="AX4932" t="str">
        <f t="shared" si="417"/>
        <v>FOR</v>
      </c>
      <c r="AY4932" t="s">
        <v>55</v>
      </c>
    </row>
    <row r="4933" spans="1:51" hidden="1">
      <c r="A4933">
        <v>101815</v>
      </c>
      <c r="B4933" t="s">
        <v>914</v>
      </c>
      <c r="C4933" t="str">
        <f t="shared" si="416"/>
        <v>04124411218</v>
      </c>
      <c r="D4933" t="str">
        <f t="shared" si="416"/>
        <v>04124411218</v>
      </c>
      <c r="E4933" t="s">
        <v>52</v>
      </c>
      <c r="F4933">
        <v>2014</v>
      </c>
      <c r="G4933">
        <v>1215</v>
      </c>
      <c r="H4933" s="1">
        <v>41848</v>
      </c>
      <c r="I4933" s="1">
        <v>41893</v>
      </c>
      <c r="J4933" s="1">
        <v>41893</v>
      </c>
      <c r="K4933" s="1">
        <v>41983</v>
      </c>
      <c r="N4933" s="5"/>
      <c r="O4933" s="2">
        <v>3535.56</v>
      </c>
      <c r="P4933">
        <v>176</v>
      </c>
      <c r="Q4933" s="2">
        <v>622258.56000000006</v>
      </c>
      <c r="R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 s="1">
        <v>42382</v>
      </c>
      <c r="AC4933" t="s">
        <v>53</v>
      </c>
      <c r="AD4933" t="s">
        <v>53</v>
      </c>
      <c r="AK4933">
        <v>0</v>
      </c>
      <c r="AU4933" s="6">
        <v>42159</v>
      </c>
      <c r="AV4933" s="6">
        <v>42159</v>
      </c>
      <c r="AW4933" t="s">
        <v>54</v>
      </c>
      <c r="AX4933" t="str">
        <f t="shared" si="417"/>
        <v>FOR</v>
      </c>
      <c r="AY4933" t="s">
        <v>55</v>
      </c>
    </row>
    <row r="4934" spans="1:51" hidden="1">
      <c r="A4934">
        <v>101816</v>
      </c>
      <c r="B4934" t="s">
        <v>915</v>
      </c>
      <c r="C4934" t="str">
        <f>"06733911215"</f>
        <v>06733911215</v>
      </c>
      <c r="D4934" t="str">
        <f>"06733911215"</f>
        <v>06733911215</v>
      </c>
      <c r="E4934" t="s">
        <v>52</v>
      </c>
      <c r="F4934">
        <v>2013</v>
      </c>
      <c r="G4934">
        <v>750</v>
      </c>
      <c r="H4934" s="1">
        <v>41616</v>
      </c>
      <c r="I4934" s="1">
        <v>41712</v>
      </c>
      <c r="J4934" s="1">
        <v>41712</v>
      </c>
      <c r="K4934" s="1">
        <v>41802</v>
      </c>
      <c r="N4934" s="5"/>
      <c r="O4934" s="2">
        <v>1502</v>
      </c>
      <c r="P4934">
        <v>334</v>
      </c>
      <c r="Q4934" s="2">
        <v>501668</v>
      </c>
      <c r="R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 s="1">
        <v>42382</v>
      </c>
      <c r="AC4934" t="s">
        <v>53</v>
      </c>
      <c r="AD4934" t="s">
        <v>53</v>
      </c>
      <c r="AK4934">
        <v>0</v>
      </c>
      <c r="AU4934" s="6">
        <v>42136</v>
      </c>
      <c r="AV4934" s="6">
        <v>42136</v>
      </c>
      <c r="AW4934" t="s">
        <v>54</v>
      </c>
      <c r="AX4934" t="str">
        <f t="shared" si="417"/>
        <v>FOR</v>
      </c>
      <c r="AY4934" t="s">
        <v>55</v>
      </c>
    </row>
    <row r="4935" spans="1:51">
      <c r="A4935">
        <v>101816</v>
      </c>
      <c r="B4935" t="s">
        <v>915</v>
      </c>
      <c r="C4935" t="str">
        <f>"06733911215"</f>
        <v>06733911215</v>
      </c>
      <c r="D4935" t="str">
        <f>"06733911215"</f>
        <v>06733911215</v>
      </c>
      <c r="E4935" t="s">
        <v>52</v>
      </c>
      <c r="F4935">
        <v>2015</v>
      </c>
      <c r="G4935" t="s">
        <v>916</v>
      </c>
      <c r="H4935" s="1">
        <v>42172</v>
      </c>
      <c r="I4935" s="1">
        <v>42268</v>
      </c>
      <c r="J4935" s="1">
        <v>42268</v>
      </c>
      <c r="K4935" s="1">
        <v>42328</v>
      </c>
      <c r="L4935" s="7">
        <v>1502</v>
      </c>
      <c r="M4935" s="5">
        <v>-24</v>
      </c>
      <c r="N4935" s="7">
        <v>-36048</v>
      </c>
      <c r="O4935" s="2">
        <v>1502</v>
      </c>
      <c r="P4935">
        <v>-24</v>
      </c>
      <c r="Q4935" s="2">
        <v>-36048</v>
      </c>
      <c r="R4935">
        <v>0</v>
      </c>
      <c r="V4935">
        <v>0</v>
      </c>
      <c r="W4935">
        <v>0</v>
      </c>
      <c r="X4935">
        <v>0</v>
      </c>
      <c r="Y4935" s="2">
        <v>1502</v>
      </c>
      <c r="Z4935" s="2">
        <v>1502</v>
      </c>
      <c r="AA4935" s="2">
        <v>1502</v>
      </c>
      <c r="AB4935" s="1">
        <v>42382</v>
      </c>
      <c r="AC4935" t="s">
        <v>53</v>
      </c>
      <c r="AD4935" t="s">
        <v>53</v>
      </c>
      <c r="AK4935">
        <v>0</v>
      </c>
      <c r="AU4935" s="6">
        <v>42304</v>
      </c>
      <c r="AV4935" s="6">
        <v>42304</v>
      </c>
      <c r="AW4935" t="s">
        <v>54</v>
      </c>
      <c r="AX4935" t="str">
        <f t="shared" si="417"/>
        <v>FOR</v>
      </c>
      <c r="AY4935" t="s">
        <v>55</v>
      </c>
    </row>
    <row r="4936" spans="1:51" hidden="1">
      <c r="A4936">
        <v>101818</v>
      </c>
      <c r="B4936" t="s">
        <v>917</v>
      </c>
      <c r="C4936" t="str">
        <f>"07952760010"</f>
        <v>07952760010</v>
      </c>
      <c r="D4936" t="str">
        <f>"07952760010"</f>
        <v>07952760010</v>
      </c>
      <c r="E4936" t="s">
        <v>52</v>
      </c>
      <c r="F4936">
        <v>2014</v>
      </c>
      <c r="G4936">
        <v>900</v>
      </c>
      <c r="H4936" s="1">
        <v>41757</v>
      </c>
      <c r="I4936" s="1">
        <v>41773</v>
      </c>
      <c r="J4936" s="1">
        <v>41773</v>
      </c>
      <c r="K4936" s="1">
        <v>41863</v>
      </c>
      <c r="N4936" s="5"/>
      <c r="O4936" s="2">
        <v>7488.36</v>
      </c>
      <c r="P4936">
        <v>296</v>
      </c>
      <c r="Q4936" s="2">
        <v>2216554.56</v>
      </c>
      <c r="R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 s="1">
        <v>42382</v>
      </c>
      <c r="AC4936" t="s">
        <v>53</v>
      </c>
      <c r="AD4936" t="s">
        <v>53</v>
      </c>
      <c r="AK4936">
        <v>0</v>
      </c>
      <c r="AU4936" s="6">
        <v>42159</v>
      </c>
      <c r="AV4936" s="6">
        <v>42159</v>
      </c>
      <c r="AW4936" t="s">
        <v>54</v>
      </c>
      <c r="AX4936" t="str">
        <f t="shared" si="417"/>
        <v>FOR</v>
      </c>
      <c r="AY4936" t="s">
        <v>55</v>
      </c>
    </row>
    <row r="4937" spans="1:51" hidden="1">
      <c r="A4937">
        <v>101819</v>
      </c>
      <c r="B4937" t="s">
        <v>918</v>
      </c>
      <c r="C4937" t="str">
        <f>"07586891215"</f>
        <v>07586891215</v>
      </c>
      <c r="D4937" t="str">
        <f>"07586891215"</f>
        <v>07586891215</v>
      </c>
      <c r="E4937" t="s">
        <v>52</v>
      </c>
      <c r="F4937">
        <v>2014</v>
      </c>
      <c r="G4937">
        <v>4</v>
      </c>
      <c r="H4937" s="1">
        <v>41856</v>
      </c>
      <c r="I4937" s="1">
        <v>41872</v>
      </c>
      <c r="J4937" s="1">
        <v>41872</v>
      </c>
      <c r="K4937" s="1">
        <v>41962</v>
      </c>
      <c r="N4937" s="5"/>
      <c r="O4937" s="2">
        <v>24156</v>
      </c>
      <c r="P4937">
        <v>79</v>
      </c>
      <c r="Q4937" s="2">
        <v>1908324</v>
      </c>
      <c r="R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 s="1">
        <v>42382</v>
      </c>
      <c r="AC4937" t="s">
        <v>53</v>
      </c>
      <c r="AD4937" t="s">
        <v>53</v>
      </c>
      <c r="AK4937">
        <v>0</v>
      </c>
      <c r="AU4937" s="6">
        <v>42041</v>
      </c>
      <c r="AV4937" s="6">
        <v>42041</v>
      </c>
      <c r="AW4937" t="s">
        <v>54</v>
      </c>
      <c r="AX4937" t="str">
        <f t="shared" si="417"/>
        <v>FOR</v>
      </c>
      <c r="AY4937" t="s">
        <v>55</v>
      </c>
    </row>
    <row r="4938" spans="1:51" hidden="1">
      <c r="A4938">
        <v>101820</v>
      </c>
      <c r="B4938" t="s">
        <v>919</v>
      </c>
      <c r="C4938" t="str">
        <f t="shared" ref="C4938:C4945" si="418">"01550070617"</f>
        <v>01550070617</v>
      </c>
      <c r="D4938" t="str">
        <f t="shared" ref="D4938:D4945" si="419">"04411460639"</f>
        <v>04411460639</v>
      </c>
      <c r="E4938" t="s">
        <v>52</v>
      </c>
      <c r="F4938">
        <v>2014</v>
      </c>
      <c r="G4938">
        <v>424279</v>
      </c>
      <c r="H4938" s="1">
        <v>41820</v>
      </c>
      <c r="I4938" s="1">
        <v>41834</v>
      </c>
      <c r="J4938" s="1">
        <v>41834</v>
      </c>
      <c r="K4938" s="1">
        <v>41924</v>
      </c>
      <c r="N4938" s="5"/>
      <c r="O4938" s="2">
        <v>3640</v>
      </c>
      <c r="P4938">
        <v>94</v>
      </c>
      <c r="Q4938" s="2">
        <v>342160</v>
      </c>
      <c r="R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 s="1">
        <v>42382</v>
      </c>
      <c r="AC4938" t="s">
        <v>53</v>
      </c>
      <c r="AD4938" t="s">
        <v>53</v>
      </c>
      <c r="AK4938">
        <v>0</v>
      </c>
      <c r="AU4938" s="6">
        <v>42018</v>
      </c>
      <c r="AV4938" s="6">
        <v>42018</v>
      </c>
      <c r="AW4938" t="s">
        <v>54</v>
      </c>
      <c r="AX4938" t="str">
        <f t="shared" si="417"/>
        <v>FOR</v>
      </c>
      <c r="AY4938" t="s">
        <v>55</v>
      </c>
    </row>
    <row r="4939" spans="1:51" hidden="1">
      <c r="A4939">
        <v>101820</v>
      </c>
      <c r="B4939" t="s">
        <v>919</v>
      </c>
      <c r="C4939" t="str">
        <f t="shared" si="418"/>
        <v>01550070617</v>
      </c>
      <c r="D4939" t="str">
        <f t="shared" si="419"/>
        <v>04411460639</v>
      </c>
      <c r="E4939" t="s">
        <v>52</v>
      </c>
      <c r="F4939">
        <v>2014</v>
      </c>
      <c r="G4939">
        <v>424280</v>
      </c>
      <c r="H4939" s="1">
        <v>41820</v>
      </c>
      <c r="I4939" s="1">
        <v>41834</v>
      </c>
      <c r="J4939" s="1">
        <v>41834</v>
      </c>
      <c r="K4939" s="1">
        <v>41924</v>
      </c>
      <c r="N4939" s="5"/>
      <c r="O4939" s="2">
        <v>1223.04</v>
      </c>
      <c r="P4939">
        <v>94</v>
      </c>
      <c r="Q4939" s="2">
        <v>114965.75999999999</v>
      </c>
      <c r="R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 s="1">
        <v>42382</v>
      </c>
      <c r="AC4939" t="s">
        <v>53</v>
      </c>
      <c r="AD4939" t="s">
        <v>53</v>
      </c>
      <c r="AK4939">
        <v>0</v>
      </c>
      <c r="AU4939" s="6">
        <v>42018</v>
      </c>
      <c r="AV4939" s="6">
        <v>42018</v>
      </c>
      <c r="AW4939" t="s">
        <v>54</v>
      </c>
      <c r="AX4939" t="str">
        <f t="shared" si="417"/>
        <v>FOR</v>
      </c>
      <c r="AY4939" t="s">
        <v>55</v>
      </c>
    </row>
    <row r="4940" spans="1:51" hidden="1">
      <c r="A4940">
        <v>101820</v>
      </c>
      <c r="B4940" t="s">
        <v>919</v>
      </c>
      <c r="C4940" t="str">
        <f t="shared" si="418"/>
        <v>01550070617</v>
      </c>
      <c r="D4940" t="str">
        <f t="shared" si="419"/>
        <v>04411460639</v>
      </c>
      <c r="E4940" t="s">
        <v>52</v>
      </c>
      <c r="F4940">
        <v>2014</v>
      </c>
      <c r="G4940">
        <v>424281</v>
      </c>
      <c r="H4940" s="1">
        <v>41820</v>
      </c>
      <c r="I4940" s="1">
        <v>41834</v>
      </c>
      <c r="J4940" s="1">
        <v>41834</v>
      </c>
      <c r="K4940" s="1">
        <v>41924</v>
      </c>
      <c r="N4940" s="5"/>
      <c r="O4940">
        <v>407.68</v>
      </c>
      <c r="P4940">
        <v>94</v>
      </c>
      <c r="Q4940" s="2">
        <v>38321.919999999998</v>
      </c>
      <c r="R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 s="1">
        <v>42382</v>
      </c>
      <c r="AC4940" t="s">
        <v>53</v>
      </c>
      <c r="AD4940" t="s">
        <v>53</v>
      </c>
      <c r="AK4940">
        <v>0</v>
      </c>
      <c r="AU4940" s="6">
        <v>42018</v>
      </c>
      <c r="AV4940" s="6">
        <v>42018</v>
      </c>
      <c r="AW4940" t="s">
        <v>54</v>
      </c>
      <c r="AX4940" t="str">
        <f t="shared" si="417"/>
        <v>FOR</v>
      </c>
      <c r="AY4940" t="s">
        <v>55</v>
      </c>
    </row>
    <row r="4941" spans="1:51" hidden="1">
      <c r="A4941">
        <v>101820</v>
      </c>
      <c r="B4941" t="s">
        <v>919</v>
      </c>
      <c r="C4941" t="str">
        <f t="shared" si="418"/>
        <v>01550070617</v>
      </c>
      <c r="D4941" t="str">
        <f t="shared" si="419"/>
        <v>04411460639</v>
      </c>
      <c r="E4941" t="s">
        <v>52</v>
      </c>
      <c r="F4941">
        <v>2014</v>
      </c>
      <c r="G4941">
        <v>424282</v>
      </c>
      <c r="H4941" s="1">
        <v>41820</v>
      </c>
      <c r="I4941" s="1">
        <v>41834</v>
      </c>
      <c r="J4941" s="1">
        <v>41834</v>
      </c>
      <c r="K4941" s="1">
        <v>41924</v>
      </c>
      <c r="N4941" s="5"/>
      <c r="O4941" s="2">
        <v>5299.84</v>
      </c>
      <c r="P4941">
        <v>94</v>
      </c>
      <c r="Q4941" s="2">
        <v>498184.96000000002</v>
      </c>
      <c r="R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 s="1">
        <v>42382</v>
      </c>
      <c r="AC4941" t="s">
        <v>53</v>
      </c>
      <c r="AD4941" t="s">
        <v>53</v>
      </c>
      <c r="AK4941">
        <v>0</v>
      </c>
      <c r="AU4941" s="6">
        <v>42018</v>
      </c>
      <c r="AV4941" s="6">
        <v>42018</v>
      </c>
      <c r="AW4941" t="s">
        <v>54</v>
      </c>
      <c r="AX4941" t="str">
        <f t="shared" si="417"/>
        <v>FOR</v>
      </c>
      <c r="AY4941" t="s">
        <v>55</v>
      </c>
    </row>
    <row r="4942" spans="1:51" hidden="1">
      <c r="A4942">
        <v>101820</v>
      </c>
      <c r="B4942" t="s">
        <v>919</v>
      </c>
      <c r="C4942" t="str">
        <f t="shared" si="418"/>
        <v>01550070617</v>
      </c>
      <c r="D4942" t="str">
        <f t="shared" si="419"/>
        <v>04411460639</v>
      </c>
      <c r="E4942" t="s">
        <v>52</v>
      </c>
      <c r="F4942">
        <v>2014</v>
      </c>
      <c r="G4942">
        <v>447076</v>
      </c>
      <c r="H4942" s="1">
        <v>42004</v>
      </c>
      <c r="I4942" s="1">
        <v>42019</v>
      </c>
      <c r="J4942" s="1">
        <v>42019</v>
      </c>
      <c r="K4942" s="1">
        <v>42079</v>
      </c>
      <c r="N4942" s="5"/>
      <c r="O4942" s="2">
        <v>3640</v>
      </c>
      <c r="P4942">
        <v>196</v>
      </c>
      <c r="Q4942" s="2">
        <v>713440</v>
      </c>
      <c r="R4942">
        <v>0</v>
      </c>
      <c r="V4942">
        <v>0</v>
      </c>
      <c r="W4942">
        <v>0</v>
      </c>
      <c r="X4942">
        <v>0</v>
      </c>
      <c r="Y4942">
        <v>0</v>
      </c>
      <c r="Z4942" s="2">
        <v>3640</v>
      </c>
      <c r="AA4942">
        <v>0</v>
      </c>
      <c r="AB4942" s="1">
        <v>42382</v>
      </c>
      <c r="AC4942" t="s">
        <v>53</v>
      </c>
      <c r="AD4942" t="s">
        <v>53</v>
      </c>
      <c r="AK4942">
        <v>0</v>
      </c>
      <c r="AU4942" s="6">
        <v>42275</v>
      </c>
      <c r="AV4942" s="6">
        <v>42275</v>
      </c>
      <c r="AW4942" t="s">
        <v>54</v>
      </c>
      <c r="AX4942" t="str">
        <f t="shared" si="417"/>
        <v>FOR</v>
      </c>
      <c r="AY4942" t="s">
        <v>55</v>
      </c>
    </row>
    <row r="4943" spans="1:51" hidden="1">
      <c r="A4943">
        <v>101820</v>
      </c>
      <c r="B4943" t="s">
        <v>919</v>
      </c>
      <c r="C4943" t="str">
        <f t="shared" si="418"/>
        <v>01550070617</v>
      </c>
      <c r="D4943" t="str">
        <f t="shared" si="419"/>
        <v>04411460639</v>
      </c>
      <c r="E4943" t="s">
        <v>52</v>
      </c>
      <c r="F4943">
        <v>2015</v>
      </c>
      <c r="G4943">
        <v>405780</v>
      </c>
      <c r="H4943" s="1">
        <v>42063</v>
      </c>
      <c r="I4943" s="1">
        <v>42080</v>
      </c>
      <c r="J4943" s="1">
        <v>42080</v>
      </c>
      <c r="K4943" s="1">
        <v>42140</v>
      </c>
      <c r="N4943" s="5"/>
      <c r="O4943" s="2">
        <v>7869.4</v>
      </c>
      <c r="P4943">
        <v>110</v>
      </c>
      <c r="Q4943" s="2">
        <v>865634</v>
      </c>
      <c r="R4943">
        <v>0</v>
      </c>
      <c r="V4943">
        <v>0</v>
      </c>
      <c r="W4943">
        <v>0</v>
      </c>
      <c r="X4943">
        <v>0</v>
      </c>
      <c r="Y4943" s="2">
        <v>8184.18</v>
      </c>
      <c r="Z4943" s="2">
        <v>8184.18</v>
      </c>
      <c r="AA4943" s="2">
        <v>8184.18</v>
      </c>
      <c r="AB4943" s="1">
        <v>42382</v>
      </c>
      <c r="AC4943" t="s">
        <v>53</v>
      </c>
      <c r="AD4943" t="s">
        <v>53</v>
      </c>
      <c r="AK4943">
        <v>0</v>
      </c>
      <c r="AU4943" s="6">
        <v>42250</v>
      </c>
      <c r="AV4943" s="6">
        <v>42250</v>
      </c>
      <c r="AW4943" t="s">
        <v>54</v>
      </c>
      <c r="AX4943" t="str">
        <f t="shared" si="417"/>
        <v>FOR</v>
      </c>
      <c r="AY4943" t="s">
        <v>55</v>
      </c>
    </row>
    <row r="4944" spans="1:51" hidden="1">
      <c r="A4944">
        <v>101820</v>
      </c>
      <c r="B4944" t="s">
        <v>919</v>
      </c>
      <c r="C4944" t="str">
        <f t="shared" si="418"/>
        <v>01550070617</v>
      </c>
      <c r="D4944" t="str">
        <f t="shared" si="419"/>
        <v>04411460639</v>
      </c>
      <c r="E4944" t="s">
        <v>52</v>
      </c>
      <c r="F4944">
        <v>2015</v>
      </c>
      <c r="G4944">
        <v>405781</v>
      </c>
      <c r="H4944" s="1">
        <v>42063</v>
      </c>
      <c r="I4944" s="1">
        <v>42080</v>
      </c>
      <c r="J4944" s="1">
        <v>42080</v>
      </c>
      <c r="K4944" s="1">
        <v>42140</v>
      </c>
      <c r="N4944" s="5"/>
      <c r="O4944" s="2">
        <v>3067.4</v>
      </c>
      <c r="P4944">
        <v>110</v>
      </c>
      <c r="Q4944" s="2">
        <v>337414</v>
      </c>
      <c r="R4944">
        <v>0</v>
      </c>
      <c r="V4944">
        <v>0</v>
      </c>
      <c r="W4944">
        <v>0</v>
      </c>
      <c r="X4944">
        <v>0</v>
      </c>
      <c r="Y4944" s="2">
        <v>3190.1</v>
      </c>
      <c r="Z4944" s="2">
        <v>3190.1</v>
      </c>
      <c r="AA4944" s="2">
        <v>3190.1</v>
      </c>
      <c r="AB4944" s="1">
        <v>42382</v>
      </c>
      <c r="AC4944" t="s">
        <v>53</v>
      </c>
      <c r="AD4944" t="s">
        <v>53</v>
      </c>
      <c r="AK4944">
        <v>0</v>
      </c>
      <c r="AU4944" s="6">
        <v>42250</v>
      </c>
      <c r="AV4944" s="6">
        <v>42250</v>
      </c>
      <c r="AW4944" t="s">
        <v>54</v>
      </c>
      <c r="AX4944" t="str">
        <f t="shared" si="417"/>
        <v>FOR</v>
      </c>
      <c r="AY4944" t="s">
        <v>55</v>
      </c>
    </row>
    <row r="4945" spans="1:51" hidden="1">
      <c r="A4945">
        <v>101820</v>
      </c>
      <c r="B4945" t="s">
        <v>919</v>
      </c>
      <c r="C4945" t="str">
        <f t="shared" si="418"/>
        <v>01550070617</v>
      </c>
      <c r="D4945" t="str">
        <f t="shared" si="419"/>
        <v>04411460639</v>
      </c>
      <c r="E4945" t="s">
        <v>52</v>
      </c>
      <c r="F4945">
        <v>2015</v>
      </c>
      <c r="G4945">
        <v>405782</v>
      </c>
      <c r="H4945" s="1">
        <v>42063</v>
      </c>
      <c r="I4945" s="1">
        <v>42080</v>
      </c>
      <c r="J4945" s="1">
        <v>42080</v>
      </c>
      <c r="K4945" s="1">
        <v>42140</v>
      </c>
      <c r="N4945" s="5"/>
      <c r="O4945" s="2">
        <v>1862</v>
      </c>
      <c r="P4945">
        <v>110</v>
      </c>
      <c r="Q4945" s="2">
        <v>204820</v>
      </c>
      <c r="R4945">
        <v>0</v>
      </c>
      <c r="V4945">
        <v>0</v>
      </c>
      <c r="W4945">
        <v>0</v>
      </c>
      <c r="X4945">
        <v>0</v>
      </c>
      <c r="Y4945" s="2">
        <v>1936.48</v>
      </c>
      <c r="Z4945" s="2">
        <v>1936.48</v>
      </c>
      <c r="AA4945" s="2">
        <v>1936.48</v>
      </c>
      <c r="AB4945" s="1">
        <v>42382</v>
      </c>
      <c r="AC4945" t="s">
        <v>53</v>
      </c>
      <c r="AD4945" t="s">
        <v>53</v>
      </c>
      <c r="AK4945">
        <v>0</v>
      </c>
      <c r="AU4945" s="6">
        <v>42250</v>
      </c>
      <c r="AV4945" s="6">
        <v>42250</v>
      </c>
      <c r="AW4945" t="s">
        <v>54</v>
      </c>
      <c r="AX4945" t="str">
        <f t="shared" si="417"/>
        <v>FOR</v>
      </c>
      <c r="AY4945" t="s">
        <v>55</v>
      </c>
    </row>
    <row r="4946" spans="1:51" hidden="1">
      <c r="A4946">
        <v>101821</v>
      </c>
      <c r="B4946" t="s">
        <v>920</v>
      </c>
      <c r="C4946" t="str">
        <f t="shared" ref="C4946:D4953" si="420">"05006121007"</f>
        <v>05006121007</v>
      </c>
      <c r="D4946" t="str">
        <f t="shared" si="420"/>
        <v>05006121007</v>
      </c>
      <c r="E4946" t="s">
        <v>52</v>
      </c>
      <c r="F4946">
        <v>2014</v>
      </c>
      <c r="G4946">
        <v>75</v>
      </c>
      <c r="H4946" s="1">
        <v>41729</v>
      </c>
      <c r="I4946" s="1">
        <v>41737</v>
      </c>
      <c r="J4946" s="1">
        <v>41737</v>
      </c>
      <c r="K4946" s="1">
        <v>41827</v>
      </c>
      <c r="N4946" s="5"/>
      <c r="O4946" s="2">
        <v>18200</v>
      </c>
      <c r="P4946">
        <v>329</v>
      </c>
      <c r="Q4946" s="2">
        <v>5987800</v>
      </c>
      <c r="R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 s="1">
        <v>42382</v>
      </c>
      <c r="AC4946" t="s">
        <v>53</v>
      </c>
      <c r="AD4946" t="s">
        <v>53</v>
      </c>
      <c r="AK4946">
        <v>0</v>
      </c>
      <c r="AU4946" s="6">
        <v>42156</v>
      </c>
      <c r="AV4946" s="6">
        <v>42156</v>
      </c>
      <c r="AW4946" t="s">
        <v>54</v>
      </c>
      <c r="AX4946" t="str">
        <f t="shared" si="417"/>
        <v>FOR</v>
      </c>
      <c r="AY4946" t="s">
        <v>55</v>
      </c>
    </row>
    <row r="4947" spans="1:51" hidden="1">
      <c r="A4947">
        <v>101821</v>
      </c>
      <c r="B4947" t="s">
        <v>920</v>
      </c>
      <c r="C4947" t="str">
        <f t="shared" si="420"/>
        <v>05006121007</v>
      </c>
      <c r="D4947" t="str">
        <f t="shared" si="420"/>
        <v>05006121007</v>
      </c>
      <c r="E4947" t="s">
        <v>52</v>
      </c>
      <c r="F4947">
        <v>2014</v>
      </c>
      <c r="G4947">
        <v>87</v>
      </c>
      <c r="H4947" s="1">
        <v>41739</v>
      </c>
      <c r="I4947" s="1">
        <v>41753</v>
      </c>
      <c r="J4947" s="1">
        <v>41753</v>
      </c>
      <c r="K4947" s="1">
        <v>41843</v>
      </c>
      <c r="N4947" s="5"/>
      <c r="O4947" s="2">
        <v>2318</v>
      </c>
      <c r="P4947">
        <v>313</v>
      </c>
      <c r="Q4947" s="2">
        <v>725534</v>
      </c>
      <c r="R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 s="1">
        <v>42382</v>
      </c>
      <c r="AC4947" t="s">
        <v>53</v>
      </c>
      <c r="AD4947" t="s">
        <v>53</v>
      </c>
      <c r="AK4947">
        <v>0</v>
      </c>
      <c r="AU4947" s="6">
        <v>42156</v>
      </c>
      <c r="AV4947" s="6">
        <v>42156</v>
      </c>
      <c r="AW4947" t="s">
        <v>54</v>
      </c>
      <c r="AX4947" t="str">
        <f t="shared" si="417"/>
        <v>FOR</v>
      </c>
      <c r="AY4947" t="s">
        <v>55</v>
      </c>
    </row>
    <row r="4948" spans="1:51" hidden="1">
      <c r="A4948">
        <v>101821</v>
      </c>
      <c r="B4948" t="s">
        <v>920</v>
      </c>
      <c r="C4948" t="str">
        <f t="shared" si="420"/>
        <v>05006121007</v>
      </c>
      <c r="D4948" t="str">
        <f t="shared" si="420"/>
        <v>05006121007</v>
      </c>
      <c r="E4948" t="s">
        <v>52</v>
      </c>
      <c r="F4948">
        <v>2014</v>
      </c>
      <c r="G4948">
        <v>116</v>
      </c>
      <c r="H4948" s="1">
        <v>41796</v>
      </c>
      <c r="I4948" s="1">
        <v>41808</v>
      </c>
      <c r="J4948" s="1">
        <v>41808</v>
      </c>
      <c r="K4948" s="1">
        <v>41898</v>
      </c>
      <c r="N4948" s="5"/>
      <c r="O4948" s="2">
        <v>1098</v>
      </c>
      <c r="P4948">
        <v>258</v>
      </c>
      <c r="Q4948" s="2">
        <v>283284</v>
      </c>
      <c r="R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 s="1">
        <v>42382</v>
      </c>
      <c r="AC4948" t="s">
        <v>53</v>
      </c>
      <c r="AD4948" t="s">
        <v>53</v>
      </c>
      <c r="AK4948">
        <v>0</v>
      </c>
      <c r="AU4948" s="6">
        <v>42156</v>
      </c>
      <c r="AV4948" s="6">
        <v>42156</v>
      </c>
      <c r="AW4948" t="s">
        <v>54</v>
      </c>
      <c r="AX4948" t="str">
        <f t="shared" si="417"/>
        <v>FOR</v>
      </c>
      <c r="AY4948" t="s">
        <v>55</v>
      </c>
    </row>
    <row r="4949" spans="1:51" hidden="1">
      <c r="A4949">
        <v>101821</v>
      </c>
      <c r="B4949" t="s">
        <v>920</v>
      </c>
      <c r="C4949" t="str">
        <f t="shared" si="420"/>
        <v>05006121007</v>
      </c>
      <c r="D4949" t="str">
        <f t="shared" si="420"/>
        <v>05006121007</v>
      </c>
      <c r="E4949" t="s">
        <v>52</v>
      </c>
      <c r="F4949">
        <v>2014</v>
      </c>
      <c r="G4949">
        <v>117</v>
      </c>
      <c r="H4949" s="1">
        <v>41796</v>
      </c>
      <c r="I4949" s="1">
        <v>41808</v>
      </c>
      <c r="J4949" s="1">
        <v>41808</v>
      </c>
      <c r="K4949" s="1">
        <v>41898</v>
      </c>
      <c r="N4949" s="5"/>
      <c r="O4949" s="2">
        <v>11440</v>
      </c>
      <c r="P4949">
        <v>258</v>
      </c>
      <c r="Q4949" s="2">
        <v>2951520</v>
      </c>
      <c r="R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 s="1">
        <v>42382</v>
      </c>
      <c r="AC4949" t="s">
        <v>53</v>
      </c>
      <c r="AD4949" t="s">
        <v>53</v>
      </c>
      <c r="AK4949">
        <v>0</v>
      </c>
      <c r="AU4949" s="6">
        <v>42156</v>
      </c>
      <c r="AV4949" s="6">
        <v>42156</v>
      </c>
      <c r="AW4949" t="s">
        <v>54</v>
      </c>
      <c r="AX4949" t="str">
        <f t="shared" si="417"/>
        <v>FOR</v>
      </c>
      <c r="AY4949" t="s">
        <v>55</v>
      </c>
    </row>
    <row r="4950" spans="1:51" hidden="1">
      <c r="A4950">
        <v>101821</v>
      </c>
      <c r="B4950" t="s">
        <v>920</v>
      </c>
      <c r="C4950" t="str">
        <f t="shared" si="420"/>
        <v>05006121007</v>
      </c>
      <c r="D4950" t="str">
        <f t="shared" si="420"/>
        <v>05006121007</v>
      </c>
      <c r="E4950" t="s">
        <v>52</v>
      </c>
      <c r="F4950">
        <v>2014</v>
      </c>
      <c r="G4950">
        <v>161</v>
      </c>
      <c r="H4950" s="1">
        <v>41912</v>
      </c>
      <c r="I4950" s="1">
        <v>41920</v>
      </c>
      <c r="J4950" s="1">
        <v>41920</v>
      </c>
      <c r="K4950" s="1">
        <v>42010</v>
      </c>
      <c r="N4950" s="5"/>
      <c r="O4950" s="2">
        <v>1464</v>
      </c>
      <c r="P4950">
        <v>240</v>
      </c>
      <c r="Q4950" s="2">
        <v>351360</v>
      </c>
      <c r="R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 s="1">
        <v>42382</v>
      </c>
      <c r="AC4950" t="s">
        <v>53</v>
      </c>
      <c r="AD4950" t="s">
        <v>53</v>
      </c>
      <c r="AK4950">
        <v>0</v>
      </c>
      <c r="AU4950" s="6">
        <v>42250</v>
      </c>
      <c r="AV4950" s="6">
        <v>42250</v>
      </c>
      <c r="AW4950" t="s">
        <v>54</v>
      </c>
      <c r="AX4950" t="str">
        <f t="shared" si="417"/>
        <v>FOR</v>
      </c>
      <c r="AY4950" t="s">
        <v>55</v>
      </c>
    </row>
    <row r="4951" spans="1:51" hidden="1">
      <c r="A4951">
        <v>101821</v>
      </c>
      <c r="B4951" t="s">
        <v>920</v>
      </c>
      <c r="C4951" t="str">
        <f t="shared" si="420"/>
        <v>05006121007</v>
      </c>
      <c r="D4951" t="str">
        <f t="shared" si="420"/>
        <v>05006121007</v>
      </c>
      <c r="E4951" t="s">
        <v>52</v>
      </c>
      <c r="F4951">
        <v>2014</v>
      </c>
      <c r="G4951">
        <v>162</v>
      </c>
      <c r="H4951" s="1">
        <v>41912</v>
      </c>
      <c r="I4951" s="1">
        <v>41920</v>
      </c>
      <c r="J4951" s="1">
        <v>41920</v>
      </c>
      <c r="K4951" s="1">
        <v>42010</v>
      </c>
      <c r="N4951" s="5"/>
      <c r="O4951" s="2">
        <v>11440</v>
      </c>
      <c r="P4951">
        <v>240</v>
      </c>
      <c r="Q4951" s="2">
        <v>2745600</v>
      </c>
      <c r="R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 s="1">
        <v>42382</v>
      </c>
      <c r="AC4951" t="s">
        <v>53</v>
      </c>
      <c r="AD4951" t="s">
        <v>53</v>
      </c>
      <c r="AK4951">
        <v>0</v>
      </c>
      <c r="AU4951" s="6">
        <v>42250</v>
      </c>
      <c r="AV4951" s="6">
        <v>42250</v>
      </c>
      <c r="AW4951" t="s">
        <v>54</v>
      </c>
      <c r="AX4951" t="str">
        <f t="shared" si="417"/>
        <v>FOR</v>
      </c>
      <c r="AY4951" t="s">
        <v>55</v>
      </c>
    </row>
    <row r="4952" spans="1:51">
      <c r="A4952">
        <v>101821</v>
      </c>
      <c r="B4952" t="s">
        <v>920</v>
      </c>
      <c r="C4952" t="str">
        <f t="shared" si="420"/>
        <v>05006121007</v>
      </c>
      <c r="D4952" t="str">
        <f t="shared" si="420"/>
        <v>05006121007</v>
      </c>
      <c r="E4952" t="s">
        <v>52</v>
      </c>
      <c r="F4952">
        <v>2014</v>
      </c>
      <c r="G4952">
        <v>188</v>
      </c>
      <c r="H4952" s="1">
        <v>41964</v>
      </c>
      <c r="I4952" s="1">
        <v>41985</v>
      </c>
      <c r="J4952" s="1">
        <v>41985</v>
      </c>
      <c r="K4952" s="1">
        <v>42045</v>
      </c>
      <c r="L4952" s="7">
        <v>11440</v>
      </c>
      <c r="M4952" s="5">
        <v>233</v>
      </c>
      <c r="N4952" s="7">
        <v>2665520</v>
      </c>
      <c r="O4952" s="2">
        <v>11440</v>
      </c>
      <c r="P4952">
        <v>233</v>
      </c>
      <c r="Q4952" s="2">
        <v>2665520</v>
      </c>
      <c r="R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 s="1">
        <v>42382</v>
      </c>
      <c r="AC4952" t="s">
        <v>53</v>
      </c>
      <c r="AD4952" t="s">
        <v>53</v>
      </c>
      <c r="AK4952">
        <v>0</v>
      </c>
      <c r="AU4952" s="6">
        <v>42278</v>
      </c>
      <c r="AV4952" s="6">
        <v>42278</v>
      </c>
      <c r="AW4952" t="s">
        <v>54</v>
      </c>
      <c r="AX4952" t="str">
        <f t="shared" si="417"/>
        <v>FOR</v>
      </c>
      <c r="AY4952" t="s">
        <v>55</v>
      </c>
    </row>
    <row r="4953" spans="1:51">
      <c r="A4953">
        <v>101821</v>
      </c>
      <c r="B4953" t="s">
        <v>920</v>
      </c>
      <c r="C4953" t="str">
        <f t="shared" si="420"/>
        <v>05006121007</v>
      </c>
      <c r="D4953" t="str">
        <f t="shared" si="420"/>
        <v>05006121007</v>
      </c>
      <c r="E4953" t="s">
        <v>52</v>
      </c>
      <c r="F4953">
        <v>2014</v>
      </c>
      <c r="G4953">
        <v>189</v>
      </c>
      <c r="H4953" s="1">
        <v>41964</v>
      </c>
      <c r="I4953" s="1">
        <v>41985</v>
      </c>
      <c r="J4953" s="1">
        <v>41985</v>
      </c>
      <c r="K4953" s="1">
        <v>42045</v>
      </c>
      <c r="L4953" s="7">
        <v>976</v>
      </c>
      <c r="M4953" s="5">
        <v>233</v>
      </c>
      <c r="N4953" s="7">
        <v>227408</v>
      </c>
      <c r="O4953">
        <v>976</v>
      </c>
      <c r="P4953">
        <v>233</v>
      </c>
      <c r="Q4953" s="2">
        <v>227408</v>
      </c>
      <c r="R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 s="1">
        <v>42382</v>
      </c>
      <c r="AC4953" t="s">
        <v>53</v>
      </c>
      <c r="AD4953" t="s">
        <v>53</v>
      </c>
      <c r="AK4953">
        <v>0</v>
      </c>
      <c r="AU4953" s="6">
        <v>42278</v>
      </c>
      <c r="AV4953" s="6">
        <v>42278</v>
      </c>
      <c r="AW4953" t="s">
        <v>54</v>
      </c>
      <c r="AX4953" t="str">
        <f t="shared" si="417"/>
        <v>FOR</v>
      </c>
      <c r="AY4953" t="s">
        <v>55</v>
      </c>
    </row>
    <row r="4954" spans="1:51" hidden="1">
      <c r="A4954">
        <v>101825</v>
      </c>
      <c r="B4954" t="s">
        <v>921</v>
      </c>
      <c r="C4954" t="str">
        <f>"03936000714"</f>
        <v>03936000714</v>
      </c>
      <c r="D4954" t="str">
        <f>"03936000714"</f>
        <v>03936000714</v>
      </c>
      <c r="E4954" t="s">
        <v>52</v>
      </c>
      <c r="F4954">
        <v>2014</v>
      </c>
      <c r="G4954">
        <v>6</v>
      </c>
      <c r="H4954" s="1">
        <v>41842</v>
      </c>
      <c r="I4954" s="1">
        <v>41845</v>
      </c>
      <c r="J4954" s="1">
        <v>41845</v>
      </c>
      <c r="K4954" s="1">
        <v>41935</v>
      </c>
      <c r="N4954" s="5"/>
      <c r="O4954" s="2">
        <v>2342.4</v>
      </c>
      <c r="P4954">
        <v>139</v>
      </c>
      <c r="Q4954" s="2">
        <v>325593.59999999998</v>
      </c>
      <c r="R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 s="1">
        <v>42382</v>
      </c>
      <c r="AC4954" t="s">
        <v>53</v>
      </c>
      <c r="AD4954" t="s">
        <v>53</v>
      </c>
      <c r="AK4954">
        <v>0</v>
      </c>
      <c r="AU4954" s="6">
        <v>42074</v>
      </c>
      <c r="AV4954" s="6">
        <v>42074</v>
      </c>
      <c r="AW4954" t="s">
        <v>54</v>
      </c>
      <c r="AX4954" t="str">
        <f t="shared" si="417"/>
        <v>FOR</v>
      </c>
      <c r="AY4954" t="s">
        <v>55</v>
      </c>
    </row>
    <row r="4955" spans="1:51" hidden="1">
      <c r="A4955">
        <v>101828</v>
      </c>
      <c r="B4955" t="s">
        <v>922</v>
      </c>
      <c r="C4955" t="str">
        <f>"03686920962"</f>
        <v>03686920962</v>
      </c>
      <c r="D4955" t="str">
        <f>"03686920962"</f>
        <v>03686920962</v>
      </c>
      <c r="E4955" t="s">
        <v>52</v>
      </c>
      <c r="F4955">
        <v>2014</v>
      </c>
      <c r="G4955">
        <v>228</v>
      </c>
      <c r="H4955" s="1">
        <v>41831</v>
      </c>
      <c r="I4955" s="1">
        <v>41942</v>
      </c>
      <c r="J4955" s="1">
        <v>41942</v>
      </c>
      <c r="K4955" s="1">
        <v>42002</v>
      </c>
      <c r="N4955" s="5"/>
      <c r="O4955" s="2">
        <v>1050.01</v>
      </c>
      <c r="P4955">
        <v>247</v>
      </c>
      <c r="Q4955" s="2">
        <v>259352.47</v>
      </c>
      <c r="R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 s="1">
        <v>42382</v>
      </c>
      <c r="AC4955" t="s">
        <v>53</v>
      </c>
      <c r="AD4955" t="s">
        <v>53</v>
      </c>
      <c r="AK4955">
        <v>0</v>
      </c>
      <c r="AU4955" s="6">
        <v>42249</v>
      </c>
      <c r="AV4955" s="6">
        <v>42249</v>
      </c>
      <c r="AW4955" t="s">
        <v>54</v>
      </c>
      <c r="AX4955" t="str">
        <f t="shared" si="417"/>
        <v>FOR</v>
      </c>
      <c r="AY4955" t="s">
        <v>55</v>
      </c>
    </row>
    <row r="4956" spans="1:51" hidden="1">
      <c r="A4956">
        <v>101828</v>
      </c>
      <c r="B4956" t="s">
        <v>922</v>
      </c>
      <c r="C4956" t="str">
        <f>"03686920962"</f>
        <v>03686920962</v>
      </c>
      <c r="D4956" t="str">
        <f>"03686920962"</f>
        <v>03686920962</v>
      </c>
      <c r="E4956" t="s">
        <v>52</v>
      </c>
      <c r="F4956">
        <v>2014</v>
      </c>
      <c r="G4956" t="s">
        <v>923</v>
      </c>
      <c r="H4956" s="1">
        <v>42004</v>
      </c>
      <c r="I4956" s="1">
        <v>42048</v>
      </c>
      <c r="J4956" s="1">
        <v>42048</v>
      </c>
      <c r="K4956" s="1">
        <v>42108</v>
      </c>
      <c r="N4956" s="5"/>
      <c r="O4956">
        <v>451.4</v>
      </c>
      <c r="P4956">
        <v>15</v>
      </c>
      <c r="Q4956" s="2">
        <v>6771</v>
      </c>
      <c r="R4956">
        <v>0</v>
      </c>
      <c r="V4956">
        <v>0</v>
      </c>
      <c r="W4956">
        <v>0</v>
      </c>
      <c r="X4956">
        <v>0</v>
      </c>
      <c r="Y4956">
        <v>0</v>
      </c>
      <c r="Z4956">
        <v>451.4</v>
      </c>
      <c r="AA4956">
        <v>0</v>
      </c>
      <c r="AB4956" s="1">
        <v>42382</v>
      </c>
      <c r="AC4956" t="s">
        <v>53</v>
      </c>
      <c r="AD4956" t="s">
        <v>53</v>
      </c>
      <c r="AK4956">
        <v>0</v>
      </c>
      <c r="AU4956" s="6">
        <v>42123</v>
      </c>
      <c r="AV4956" s="6">
        <v>42123</v>
      </c>
      <c r="AW4956" t="s">
        <v>54</v>
      </c>
      <c r="AX4956" t="str">
        <f t="shared" si="417"/>
        <v>FOR</v>
      </c>
      <c r="AY4956" t="s">
        <v>55</v>
      </c>
    </row>
    <row r="4957" spans="1:51" hidden="1">
      <c r="A4957">
        <v>101829</v>
      </c>
      <c r="B4957" t="s">
        <v>924</v>
      </c>
      <c r="C4957" t="str">
        <f>"01744230028"</f>
        <v>01744230028</v>
      </c>
      <c r="D4957" t="str">
        <f>"04732870011"</f>
        <v>04732870011</v>
      </c>
      <c r="E4957" t="s">
        <v>52</v>
      </c>
      <c r="F4957">
        <v>2014</v>
      </c>
      <c r="G4957">
        <v>287</v>
      </c>
      <c r="H4957" s="1">
        <v>41810</v>
      </c>
      <c r="I4957" s="1">
        <v>41820</v>
      </c>
      <c r="J4957" s="1">
        <v>41820</v>
      </c>
      <c r="K4957" s="1">
        <v>41910</v>
      </c>
      <c r="N4957" s="5"/>
      <c r="O4957" s="2">
        <v>12749</v>
      </c>
      <c r="P4957">
        <v>184</v>
      </c>
      <c r="Q4957" s="2">
        <v>2345816</v>
      </c>
      <c r="R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 s="1">
        <v>42382</v>
      </c>
      <c r="AC4957" t="s">
        <v>53</v>
      </c>
      <c r="AD4957" t="s">
        <v>53</v>
      </c>
      <c r="AK4957">
        <v>0</v>
      </c>
      <c r="AU4957" s="6">
        <v>42094</v>
      </c>
      <c r="AV4957" s="6">
        <v>42094</v>
      </c>
      <c r="AW4957" t="s">
        <v>54</v>
      </c>
      <c r="AX4957" t="str">
        <f t="shared" si="417"/>
        <v>FOR</v>
      </c>
      <c r="AY4957" t="s">
        <v>55</v>
      </c>
    </row>
    <row r="4958" spans="1:51" hidden="1">
      <c r="A4958">
        <v>101829</v>
      </c>
      <c r="B4958" t="s">
        <v>924</v>
      </c>
      <c r="C4958" t="str">
        <f>"01744230028"</f>
        <v>01744230028</v>
      </c>
      <c r="D4958" t="str">
        <f>"04732870011"</f>
        <v>04732870011</v>
      </c>
      <c r="E4958" t="s">
        <v>52</v>
      </c>
      <c r="F4958">
        <v>2014</v>
      </c>
      <c r="G4958">
        <v>288</v>
      </c>
      <c r="H4958" s="1">
        <v>41810</v>
      </c>
      <c r="I4958" s="1">
        <v>41820</v>
      </c>
      <c r="J4958" s="1">
        <v>41820</v>
      </c>
      <c r="K4958" s="1">
        <v>41910</v>
      </c>
      <c r="N4958" s="5"/>
      <c r="O4958" s="2">
        <v>1518.14</v>
      </c>
      <c r="P4958">
        <v>184</v>
      </c>
      <c r="Q4958" s="2">
        <v>279337.76</v>
      </c>
      <c r="R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 s="1">
        <v>42382</v>
      </c>
      <c r="AC4958" t="s">
        <v>53</v>
      </c>
      <c r="AD4958" t="s">
        <v>53</v>
      </c>
      <c r="AK4958">
        <v>0</v>
      </c>
      <c r="AU4958" s="6">
        <v>42094</v>
      </c>
      <c r="AV4958" s="6">
        <v>42094</v>
      </c>
      <c r="AW4958" t="s">
        <v>54</v>
      </c>
      <c r="AX4958" t="str">
        <f t="shared" si="417"/>
        <v>FOR</v>
      </c>
      <c r="AY4958" t="s">
        <v>55</v>
      </c>
    </row>
    <row r="4959" spans="1:51" hidden="1">
      <c r="A4959">
        <v>101830</v>
      </c>
      <c r="B4959" t="s">
        <v>925</v>
      </c>
      <c r="C4959" t="str">
        <f t="shared" ref="C4959:D4961" si="421">"02972330365"</f>
        <v>02972330365</v>
      </c>
      <c r="D4959" t="str">
        <f t="shared" si="421"/>
        <v>02972330365</v>
      </c>
      <c r="E4959" t="s">
        <v>52</v>
      </c>
      <c r="F4959">
        <v>2014</v>
      </c>
      <c r="G4959">
        <v>113</v>
      </c>
      <c r="H4959" s="1">
        <v>41919</v>
      </c>
      <c r="I4959" s="1">
        <v>41947</v>
      </c>
      <c r="J4959" s="1">
        <v>41947</v>
      </c>
      <c r="K4959" s="1">
        <v>42007</v>
      </c>
      <c r="N4959" s="5"/>
      <c r="O4959" s="2">
        <v>2440</v>
      </c>
      <c r="P4959">
        <v>125</v>
      </c>
      <c r="Q4959" s="2">
        <v>305000</v>
      </c>
      <c r="R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 s="1">
        <v>42382</v>
      </c>
      <c r="AC4959" t="s">
        <v>53</v>
      </c>
      <c r="AD4959" t="s">
        <v>53</v>
      </c>
      <c r="AK4959">
        <v>0</v>
      </c>
      <c r="AU4959" s="6">
        <v>42132</v>
      </c>
      <c r="AV4959" s="6">
        <v>42132</v>
      </c>
      <c r="AW4959" t="s">
        <v>54</v>
      </c>
      <c r="AX4959" t="str">
        <f t="shared" si="417"/>
        <v>FOR</v>
      </c>
      <c r="AY4959" t="s">
        <v>55</v>
      </c>
    </row>
    <row r="4960" spans="1:51">
      <c r="A4960">
        <v>101830</v>
      </c>
      <c r="B4960" t="s">
        <v>925</v>
      </c>
      <c r="C4960" t="str">
        <f t="shared" si="421"/>
        <v>02972330365</v>
      </c>
      <c r="D4960" t="str">
        <f t="shared" si="421"/>
        <v>02972330365</v>
      </c>
      <c r="E4960" t="s">
        <v>52</v>
      </c>
      <c r="F4960">
        <v>2015</v>
      </c>
      <c r="G4960" t="s">
        <v>280</v>
      </c>
      <c r="H4960" s="1">
        <v>42153</v>
      </c>
      <c r="I4960" s="1">
        <v>42171</v>
      </c>
      <c r="J4960" s="1">
        <v>42170</v>
      </c>
      <c r="K4960" s="1">
        <v>42230</v>
      </c>
      <c r="L4960" s="7">
        <v>1666.67</v>
      </c>
      <c r="M4960" s="5">
        <v>109</v>
      </c>
      <c r="N4960" s="7">
        <v>181667.03</v>
      </c>
      <c r="O4960" s="2">
        <v>1666.67</v>
      </c>
      <c r="P4960">
        <v>109</v>
      </c>
      <c r="Q4960" s="2">
        <v>181667.03</v>
      </c>
      <c r="R4960">
        <v>366.67</v>
      </c>
      <c r="V4960">
        <v>0</v>
      </c>
      <c r="W4960">
        <v>0</v>
      </c>
      <c r="X4960">
        <v>0</v>
      </c>
      <c r="Y4960" s="2">
        <v>2033.34</v>
      </c>
      <c r="Z4960" s="2">
        <v>2033.34</v>
      </c>
      <c r="AA4960" s="2">
        <v>2033.34</v>
      </c>
      <c r="AB4960" s="1">
        <v>42382</v>
      </c>
      <c r="AC4960" t="s">
        <v>53</v>
      </c>
      <c r="AD4960" t="s">
        <v>53</v>
      </c>
      <c r="AI4960">
        <v>366.67</v>
      </c>
      <c r="AK4960">
        <v>0</v>
      </c>
      <c r="AU4960" s="6">
        <v>42339</v>
      </c>
      <c r="AV4960" s="6">
        <v>42339</v>
      </c>
      <c r="AW4960" t="s">
        <v>54</v>
      </c>
      <c r="AX4960" t="str">
        <f t="shared" si="417"/>
        <v>FOR</v>
      </c>
      <c r="AY4960" t="s">
        <v>55</v>
      </c>
    </row>
    <row r="4961" spans="1:51">
      <c r="A4961">
        <v>101830</v>
      </c>
      <c r="B4961" t="s">
        <v>925</v>
      </c>
      <c r="C4961" t="str">
        <f t="shared" si="421"/>
        <v>02972330365</v>
      </c>
      <c r="D4961" t="str">
        <f t="shared" si="421"/>
        <v>02972330365</v>
      </c>
      <c r="E4961" t="s">
        <v>52</v>
      </c>
      <c r="F4961">
        <v>2015</v>
      </c>
      <c r="G4961" t="s">
        <v>926</v>
      </c>
      <c r="H4961" s="1">
        <v>42185</v>
      </c>
      <c r="I4961" s="1">
        <v>42198</v>
      </c>
      <c r="J4961" s="1">
        <v>42198</v>
      </c>
      <c r="K4961" s="1">
        <v>42258</v>
      </c>
      <c r="L4961" s="7">
        <v>1000</v>
      </c>
      <c r="M4961" s="5">
        <v>81</v>
      </c>
      <c r="N4961" s="7">
        <v>81000</v>
      </c>
      <c r="O4961" s="2">
        <v>1000</v>
      </c>
      <c r="P4961">
        <v>81</v>
      </c>
      <c r="Q4961" s="2">
        <v>81000</v>
      </c>
      <c r="R4961">
        <v>220</v>
      </c>
      <c r="V4961">
        <v>0</v>
      </c>
      <c r="W4961">
        <v>0</v>
      </c>
      <c r="X4961">
        <v>0</v>
      </c>
      <c r="Y4961" s="2">
        <v>1220</v>
      </c>
      <c r="Z4961" s="2">
        <v>1220</v>
      </c>
      <c r="AA4961" s="2">
        <v>1220</v>
      </c>
      <c r="AB4961" s="1">
        <v>42382</v>
      </c>
      <c r="AC4961" t="s">
        <v>53</v>
      </c>
      <c r="AD4961" t="s">
        <v>53</v>
      </c>
      <c r="AH4961">
        <v>220</v>
      </c>
      <c r="AK4961">
        <v>0</v>
      </c>
      <c r="AU4961" s="6">
        <v>42339</v>
      </c>
      <c r="AV4961" s="6">
        <v>42339</v>
      </c>
      <c r="AW4961" t="s">
        <v>54</v>
      </c>
      <c r="AX4961" t="str">
        <f t="shared" si="417"/>
        <v>FOR</v>
      </c>
      <c r="AY4961" t="s">
        <v>55</v>
      </c>
    </row>
    <row r="4962" spans="1:51" hidden="1">
      <c r="A4962">
        <v>101831</v>
      </c>
      <c r="B4962" t="s">
        <v>927</v>
      </c>
      <c r="C4962" t="str">
        <f t="shared" ref="C4962:D4965" si="422">"02948410838"</f>
        <v>02948410838</v>
      </c>
      <c r="D4962" t="str">
        <f t="shared" si="422"/>
        <v>02948410838</v>
      </c>
      <c r="E4962" t="s">
        <v>52</v>
      </c>
      <c r="F4962">
        <v>2014</v>
      </c>
      <c r="G4962">
        <v>342</v>
      </c>
      <c r="H4962" s="1">
        <v>41838</v>
      </c>
      <c r="I4962" s="1">
        <v>41936</v>
      </c>
      <c r="J4962" s="1">
        <v>41936</v>
      </c>
      <c r="K4962" s="1">
        <v>41996</v>
      </c>
      <c r="N4962" s="5"/>
      <c r="O4962">
        <v>623.22</v>
      </c>
      <c r="P4962">
        <v>97</v>
      </c>
      <c r="Q4962" s="2">
        <v>60452.34</v>
      </c>
      <c r="R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 s="1">
        <v>42382</v>
      </c>
      <c r="AC4962" t="s">
        <v>53</v>
      </c>
      <c r="AD4962" t="s">
        <v>53</v>
      </c>
      <c r="AK4962">
        <v>0</v>
      </c>
      <c r="AU4962" s="6">
        <v>42093</v>
      </c>
      <c r="AV4962" s="6">
        <v>42093</v>
      </c>
      <c r="AW4962" t="s">
        <v>54</v>
      </c>
      <c r="AX4962" t="str">
        <f t="shared" si="417"/>
        <v>FOR</v>
      </c>
      <c r="AY4962" t="s">
        <v>55</v>
      </c>
    </row>
    <row r="4963" spans="1:51" hidden="1">
      <c r="A4963">
        <v>101831</v>
      </c>
      <c r="B4963" t="s">
        <v>927</v>
      </c>
      <c r="C4963" t="str">
        <f t="shared" si="422"/>
        <v>02948410838</v>
      </c>
      <c r="D4963" t="str">
        <f t="shared" si="422"/>
        <v>02948410838</v>
      </c>
      <c r="E4963" t="s">
        <v>52</v>
      </c>
      <c r="F4963">
        <v>2014</v>
      </c>
      <c r="G4963">
        <v>542</v>
      </c>
      <c r="H4963" s="1">
        <v>41971</v>
      </c>
      <c r="I4963" s="1">
        <v>41978</v>
      </c>
      <c r="J4963" s="1">
        <v>41978</v>
      </c>
      <c r="K4963" s="1">
        <v>42038</v>
      </c>
      <c r="N4963" s="5"/>
      <c r="O4963">
        <v>283.27999999999997</v>
      </c>
      <c r="P4963">
        <v>55</v>
      </c>
      <c r="Q4963" s="2">
        <v>15580.4</v>
      </c>
      <c r="R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 s="1">
        <v>42382</v>
      </c>
      <c r="AC4963" t="s">
        <v>53</v>
      </c>
      <c r="AD4963" t="s">
        <v>53</v>
      </c>
      <c r="AK4963">
        <v>0</v>
      </c>
      <c r="AU4963" s="6">
        <v>42093</v>
      </c>
      <c r="AV4963" s="6">
        <v>42093</v>
      </c>
      <c r="AW4963" t="s">
        <v>54</v>
      </c>
      <c r="AX4963" t="str">
        <f t="shared" si="417"/>
        <v>FOR</v>
      </c>
      <c r="AY4963" t="s">
        <v>55</v>
      </c>
    </row>
    <row r="4964" spans="1:51">
      <c r="A4964">
        <v>101831</v>
      </c>
      <c r="B4964" t="s">
        <v>927</v>
      </c>
      <c r="C4964" t="str">
        <f t="shared" si="422"/>
        <v>02948410838</v>
      </c>
      <c r="D4964" t="str">
        <f t="shared" si="422"/>
        <v>02948410838</v>
      </c>
      <c r="E4964" t="s">
        <v>52</v>
      </c>
      <c r="F4964">
        <v>2015</v>
      </c>
      <c r="G4964">
        <v>30</v>
      </c>
      <c r="H4964" s="1">
        <v>42095</v>
      </c>
      <c r="I4964" s="1">
        <v>42185</v>
      </c>
      <c r="J4964" s="1">
        <v>42113</v>
      </c>
      <c r="K4964" s="1">
        <v>42173</v>
      </c>
      <c r="L4964" s="7">
        <v>464.4</v>
      </c>
      <c r="M4964" s="5">
        <v>166</v>
      </c>
      <c r="N4964" s="7">
        <v>77090.399999999994</v>
      </c>
      <c r="O4964">
        <v>464.4</v>
      </c>
      <c r="P4964">
        <v>166</v>
      </c>
      <c r="Q4964" s="2">
        <v>77090.399999999994</v>
      </c>
      <c r="R4964">
        <v>102.17</v>
      </c>
      <c r="V4964">
        <v>0</v>
      </c>
      <c r="W4964">
        <v>0</v>
      </c>
      <c r="X4964">
        <v>0</v>
      </c>
      <c r="Y4964">
        <v>566.57000000000005</v>
      </c>
      <c r="Z4964">
        <v>566.57000000000005</v>
      </c>
      <c r="AA4964">
        <v>566.57000000000005</v>
      </c>
      <c r="AB4964" s="1">
        <v>42382</v>
      </c>
      <c r="AC4964" t="s">
        <v>53</v>
      </c>
      <c r="AD4964" t="s">
        <v>53</v>
      </c>
      <c r="AK4964">
        <v>102.17</v>
      </c>
      <c r="AU4964" s="6">
        <v>42339</v>
      </c>
      <c r="AV4964" s="6">
        <v>42339</v>
      </c>
      <c r="AW4964" t="s">
        <v>54</v>
      </c>
      <c r="AX4964" t="str">
        <f t="shared" si="417"/>
        <v>FOR</v>
      </c>
      <c r="AY4964" t="s">
        <v>55</v>
      </c>
    </row>
    <row r="4965" spans="1:51">
      <c r="A4965">
        <v>101831</v>
      </c>
      <c r="B4965" t="s">
        <v>927</v>
      </c>
      <c r="C4965" t="str">
        <f t="shared" si="422"/>
        <v>02948410838</v>
      </c>
      <c r="D4965" t="str">
        <f t="shared" si="422"/>
        <v>02948410838</v>
      </c>
      <c r="E4965" t="s">
        <v>52</v>
      </c>
      <c r="F4965">
        <v>2015</v>
      </c>
      <c r="G4965">
        <v>318</v>
      </c>
      <c r="H4965" s="1">
        <v>42291</v>
      </c>
      <c r="I4965" s="1">
        <v>42299</v>
      </c>
      <c r="J4965" s="1">
        <v>42297</v>
      </c>
      <c r="K4965" s="1">
        <v>42357</v>
      </c>
      <c r="L4965" s="7">
        <v>464.4</v>
      </c>
      <c r="M4965" s="5">
        <v>-18</v>
      </c>
      <c r="N4965" s="7">
        <v>-8359.2000000000007</v>
      </c>
      <c r="O4965">
        <v>464.4</v>
      </c>
      <c r="P4965">
        <v>-18</v>
      </c>
      <c r="Q4965" s="2">
        <v>-8359.2000000000007</v>
      </c>
      <c r="R4965">
        <v>102.17</v>
      </c>
      <c r="V4965">
        <v>566.57000000000005</v>
      </c>
      <c r="W4965">
        <v>566.57000000000005</v>
      </c>
      <c r="X4965">
        <v>566.57000000000005</v>
      </c>
      <c r="Y4965">
        <v>566.57000000000005</v>
      </c>
      <c r="Z4965">
        <v>566.57000000000005</v>
      </c>
      <c r="AA4965">
        <v>566.57000000000005</v>
      </c>
      <c r="AB4965" s="1">
        <v>42382</v>
      </c>
      <c r="AC4965" t="s">
        <v>53</v>
      </c>
      <c r="AD4965" t="s">
        <v>53</v>
      </c>
      <c r="AE4965">
        <v>102.17</v>
      </c>
      <c r="AK4965">
        <v>0</v>
      </c>
      <c r="AU4965" s="6">
        <v>42339</v>
      </c>
      <c r="AV4965" s="6">
        <v>42339</v>
      </c>
      <c r="AW4965" t="s">
        <v>54</v>
      </c>
      <c r="AX4965" t="str">
        <f t="shared" si="417"/>
        <v>FOR</v>
      </c>
      <c r="AY4965" t="s">
        <v>55</v>
      </c>
    </row>
    <row r="4966" spans="1:51" hidden="1">
      <c r="A4966">
        <v>101832</v>
      </c>
      <c r="B4966" t="s">
        <v>928</v>
      </c>
      <c r="C4966" t="str">
        <f>"00987750502"</f>
        <v>00987750502</v>
      </c>
      <c r="D4966" t="str">
        <f>"00987750502"</f>
        <v>00987750502</v>
      </c>
      <c r="E4966" t="s">
        <v>52</v>
      </c>
      <c r="F4966">
        <v>2014</v>
      </c>
      <c r="G4966">
        <v>3359</v>
      </c>
      <c r="H4966" s="1">
        <v>41880</v>
      </c>
      <c r="I4966" s="1">
        <v>41890</v>
      </c>
      <c r="J4966" s="1">
        <v>41890</v>
      </c>
      <c r="K4966" s="1">
        <v>41980</v>
      </c>
      <c r="N4966" s="5"/>
      <c r="O4966">
        <v>121.55</v>
      </c>
      <c r="P4966">
        <v>269</v>
      </c>
      <c r="Q4966" s="2">
        <v>32696.95</v>
      </c>
      <c r="R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 s="1">
        <v>42382</v>
      </c>
      <c r="AC4966" t="s">
        <v>53</v>
      </c>
      <c r="AD4966" t="s">
        <v>53</v>
      </c>
      <c r="AK4966">
        <v>0</v>
      </c>
      <c r="AU4966" s="6">
        <v>42249</v>
      </c>
      <c r="AV4966" s="6">
        <v>42249</v>
      </c>
      <c r="AW4966" t="s">
        <v>54</v>
      </c>
      <c r="AX4966" t="str">
        <f t="shared" si="417"/>
        <v>FOR</v>
      </c>
      <c r="AY4966" t="s">
        <v>55</v>
      </c>
    </row>
    <row r="4967" spans="1:51" hidden="1">
      <c r="A4967">
        <v>101833</v>
      </c>
      <c r="B4967" t="s">
        <v>929</v>
      </c>
      <c r="C4967" t="str">
        <f>"00924690621"</f>
        <v>00924690621</v>
      </c>
      <c r="D4967" t="str">
        <f>"00924690621"</f>
        <v>00924690621</v>
      </c>
      <c r="E4967" t="s">
        <v>52</v>
      </c>
      <c r="F4967">
        <v>2014</v>
      </c>
      <c r="G4967">
        <v>900</v>
      </c>
      <c r="H4967" s="1">
        <v>41880</v>
      </c>
      <c r="I4967" s="1">
        <v>41891</v>
      </c>
      <c r="J4967" s="1">
        <v>41891</v>
      </c>
      <c r="K4967" s="1">
        <v>41981</v>
      </c>
      <c r="N4967" s="5"/>
      <c r="O4967" s="2">
        <v>1960.98</v>
      </c>
      <c r="P4967">
        <v>67</v>
      </c>
      <c r="Q4967" s="2">
        <v>131385.66</v>
      </c>
      <c r="R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 s="1">
        <v>42382</v>
      </c>
      <c r="AC4967" t="s">
        <v>53</v>
      </c>
      <c r="AD4967" t="s">
        <v>53</v>
      </c>
      <c r="AK4967">
        <v>0</v>
      </c>
      <c r="AU4967" s="6">
        <v>42048</v>
      </c>
      <c r="AV4967" s="6">
        <v>42048</v>
      </c>
      <c r="AW4967" t="s">
        <v>54</v>
      </c>
      <c r="AX4967" t="str">
        <f t="shared" si="417"/>
        <v>FOR</v>
      </c>
      <c r="AY4967" t="s">
        <v>55</v>
      </c>
    </row>
    <row r="4968" spans="1:51" hidden="1">
      <c r="A4968">
        <v>101834</v>
      </c>
      <c r="B4968" t="s">
        <v>930</v>
      </c>
      <c r="C4968" t="str">
        <f>"01591160625"</f>
        <v>01591160625</v>
      </c>
      <c r="D4968" t="str">
        <f>"CFLBGI74D15A783I"</f>
        <v>CFLBGI74D15A783I</v>
      </c>
      <c r="E4968" t="s">
        <v>52</v>
      </c>
      <c r="F4968">
        <v>2014</v>
      </c>
      <c r="G4968" t="s">
        <v>931</v>
      </c>
      <c r="H4968" s="1">
        <v>41921</v>
      </c>
      <c r="I4968" s="1">
        <v>41925</v>
      </c>
      <c r="J4968" s="1">
        <v>41925</v>
      </c>
      <c r="K4968" s="1">
        <v>42015</v>
      </c>
      <c r="N4968" s="5"/>
      <c r="O4968">
        <v>11</v>
      </c>
      <c r="P4968">
        <v>25</v>
      </c>
      <c r="Q4968">
        <v>275</v>
      </c>
      <c r="R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 s="1">
        <v>42382</v>
      </c>
      <c r="AC4968" t="s">
        <v>53</v>
      </c>
      <c r="AD4968" t="s">
        <v>53</v>
      </c>
      <c r="AK4968">
        <v>0</v>
      </c>
      <c r="AU4968" s="6">
        <v>42040</v>
      </c>
      <c r="AV4968" s="6">
        <v>42040</v>
      </c>
      <c r="AW4968" t="s">
        <v>54</v>
      </c>
      <c r="AX4968" t="str">
        <f t="shared" si="417"/>
        <v>FOR</v>
      </c>
      <c r="AY4968" t="s">
        <v>55</v>
      </c>
    </row>
    <row r="4969" spans="1:51" hidden="1">
      <c r="A4969">
        <v>101850</v>
      </c>
      <c r="B4969" t="s">
        <v>932</v>
      </c>
      <c r="C4969" t="str">
        <f>"03390661209"</f>
        <v>03390661209</v>
      </c>
      <c r="D4969" t="str">
        <f>"03390661209"</f>
        <v>03390661209</v>
      </c>
      <c r="E4969" t="s">
        <v>52</v>
      </c>
      <c r="F4969">
        <v>2014</v>
      </c>
      <c r="G4969">
        <v>173</v>
      </c>
      <c r="H4969" s="1">
        <v>41943</v>
      </c>
      <c r="I4969" s="1">
        <v>41953</v>
      </c>
      <c r="J4969" s="1">
        <v>41953</v>
      </c>
      <c r="K4969" s="1">
        <v>42013</v>
      </c>
      <c r="N4969" s="5"/>
      <c r="O4969" s="2">
        <v>4294.3999999999996</v>
      </c>
      <c r="P4969">
        <v>262</v>
      </c>
      <c r="Q4969" s="2">
        <v>1125132.8</v>
      </c>
      <c r="R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 s="1">
        <v>42382</v>
      </c>
      <c r="AC4969" t="s">
        <v>53</v>
      </c>
      <c r="AD4969" t="s">
        <v>53</v>
      </c>
      <c r="AK4969">
        <v>0</v>
      </c>
      <c r="AU4969" s="6">
        <v>42275</v>
      </c>
      <c r="AV4969" s="6">
        <v>42275</v>
      </c>
      <c r="AW4969" t="s">
        <v>54</v>
      </c>
      <c r="AX4969" t="str">
        <f t="shared" si="417"/>
        <v>FOR</v>
      </c>
      <c r="AY4969" t="s">
        <v>55</v>
      </c>
    </row>
    <row r="4970" spans="1:51">
      <c r="A4970">
        <v>101850</v>
      </c>
      <c r="B4970" t="s">
        <v>932</v>
      </c>
      <c r="C4970" t="str">
        <f>"03390661209"</f>
        <v>03390661209</v>
      </c>
      <c r="D4970" t="str">
        <f>"03390661209"</f>
        <v>03390661209</v>
      </c>
      <c r="E4970" t="s">
        <v>52</v>
      </c>
      <c r="F4970">
        <v>2015</v>
      </c>
      <c r="G4970" t="s">
        <v>933</v>
      </c>
      <c r="H4970" s="1">
        <v>42247</v>
      </c>
      <c r="I4970" s="1">
        <v>42257</v>
      </c>
      <c r="J4970" s="1">
        <v>42255</v>
      </c>
      <c r="K4970" s="1">
        <v>42315</v>
      </c>
      <c r="L4970" s="7">
        <v>100</v>
      </c>
      <c r="M4970" s="5">
        <v>24</v>
      </c>
      <c r="N4970" s="7">
        <v>2400</v>
      </c>
      <c r="O4970">
        <v>100</v>
      </c>
      <c r="P4970">
        <v>24</v>
      </c>
      <c r="Q4970" s="2">
        <v>2400</v>
      </c>
      <c r="R4970">
        <v>22</v>
      </c>
      <c r="V4970">
        <v>0</v>
      </c>
      <c r="W4970">
        <v>0</v>
      </c>
      <c r="X4970">
        <v>0</v>
      </c>
      <c r="Y4970">
        <v>122</v>
      </c>
      <c r="Z4970">
        <v>122</v>
      </c>
      <c r="AA4970">
        <v>122</v>
      </c>
      <c r="AB4970" s="1">
        <v>42382</v>
      </c>
      <c r="AC4970" t="s">
        <v>53</v>
      </c>
      <c r="AD4970" t="s">
        <v>53</v>
      </c>
      <c r="AF4970">
        <v>22</v>
      </c>
      <c r="AK4970">
        <v>0</v>
      </c>
      <c r="AU4970" s="6">
        <v>42339</v>
      </c>
      <c r="AV4970" s="6">
        <v>42339</v>
      </c>
      <c r="AW4970" t="s">
        <v>54</v>
      </c>
      <c r="AX4970" t="str">
        <f t="shared" si="417"/>
        <v>FOR</v>
      </c>
      <c r="AY4970" t="s">
        <v>55</v>
      </c>
    </row>
    <row r="4971" spans="1:51" hidden="1">
      <c r="A4971">
        <v>101851</v>
      </c>
      <c r="B4971" t="s">
        <v>934</v>
      </c>
      <c r="C4971" t="str">
        <f t="shared" ref="C4971:D4992" si="423">"11667890153"</f>
        <v>11667890153</v>
      </c>
      <c r="D4971" t="str">
        <f t="shared" si="423"/>
        <v>11667890153</v>
      </c>
      <c r="E4971" t="s">
        <v>52</v>
      </c>
      <c r="F4971">
        <v>2014</v>
      </c>
      <c r="G4971">
        <v>14001007</v>
      </c>
      <c r="H4971" s="1">
        <v>41659</v>
      </c>
      <c r="I4971" s="1">
        <v>41667</v>
      </c>
      <c r="J4971" s="1">
        <v>41667</v>
      </c>
      <c r="K4971" s="1">
        <v>41757</v>
      </c>
      <c r="N4971" s="5"/>
      <c r="O4971" s="2">
        <v>2389.1999999999998</v>
      </c>
      <c r="P4971">
        <v>267</v>
      </c>
      <c r="Q4971" s="2">
        <v>637916.4</v>
      </c>
      <c r="R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 s="1">
        <v>42382</v>
      </c>
      <c r="AC4971" t="s">
        <v>53</v>
      </c>
      <c r="AD4971" t="s">
        <v>53</v>
      </c>
      <c r="AK4971">
        <v>0</v>
      </c>
      <c r="AU4971" s="6">
        <v>42024</v>
      </c>
      <c r="AV4971" s="6">
        <v>42024</v>
      </c>
      <c r="AW4971" t="s">
        <v>54</v>
      </c>
      <c r="AX4971" t="str">
        <f t="shared" si="417"/>
        <v>FOR</v>
      </c>
      <c r="AY4971" t="s">
        <v>55</v>
      </c>
    </row>
    <row r="4972" spans="1:51" hidden="1">
      <c r="A4972">
        <v>101851</v>
      </c>
      <c r="B4972" t="s">
        <v>934</v>
      </c>
      <c r="C4972" t="str">
        <f t="shared" si="423"/>
        <v>11667890153</v>
      </c>
      <c r="D4972" t="str">
        <f t="shared" si="423"/>
        <v>11667890153</v>
      </c>
      <c r="E4972" t="s">
        <v>52</v>
      </c>
      <c r="F4972">
        <v>2014</v>
      </c>
      <c r="G4972">
        <v>14001931</v>
      </c>
      <c r="H4972" s="1">
        <v>41668</v>
      </c>
      <c r="I4972" s="1">
        <v>41680</v>
      </c>
      <c r="J4972" s="1">
        <v>41680</v>
      </c>
      <c r="K4972" s="1">
        <v>41770</v>
      </c>
      <c r="N4972" s="5"/>
      <c r="O4972">
        <v>396</v>
      </c>
      <c r="P4972">
        <v>254</v>
      </c>
      <c r="Q4972" s="2">
        <v>100584</v>
      </c>
      <c r="R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 s="1">
        <v>42382</v>
      </c>
      <c r="AC4972" t="s">
        <v>53</v>
      </c>
      <c r="AD4972" t="s">
        <v>53</v>
      </c>
      <c r="AK4972">
        <v>0</v>
      </c>
      <c r="AU4972" s="6">
        <v>42024</v>
      </c>
      <c r="AV4972" s="6">
        <v>42024</v>
      </c>
      <c r="AW4972" t="s">
        <v>54</v>
      </c>
      <c r="AX4972" t="str">
        <f t="shared" si="417"/>
        <v>FOR</v>
      </c>
      <c r="AY4972" t="s">
        <v>55</v>
      </c>
    </row>
    <row r="4973" spans="1:51" hidden="1">
      <c r="A4973">
        <v>101851</v>
      </c>
      <c r="B4973" t="s">
        <v>934</v>
      </c>
      <c r="C4973" t="str">
        <f t="shared" si="423"/>
        <v>11667890153</v>
      </c>
      <c r="D4973" t="str">
        <f t="shared" si="423"/>
        <v>11667890153</v>
      </c>
      <c r="E4973" t="s">
        <v>52</v>
      </c>
      <c r="F4973">
        <v>2014</v>
      </c>
      <c r="G4973">
        <v>14002681</v>
      </c>
      <c r="H4973" s="1">
        <v>41675</v>
      </c>
      <c r="I4973" s="1">
        <v>41687</v>
      </c>
      <c r="J4973" s="1">
        <v>41687</v>
      </c>
      <c r="K4973" s="1">
        <v>41777</v>
      </c>
      <c r="N4973" s="5"/>
      <c r="O4973" s="2">
        <v>1584</v>
      </c>
      <c r="P4973">
        <v>260</v>
      </c>
      <c r="Q4973" s="2">
        <v>411840</v>
      </c>
      <c r="R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 s="1">
        <v>42382</v>
      </c>
      <c r="AC4973" t="s">
        <v>53</v>
      </c>
      <c r="AD4973" t="s">
        <v>53</v>
      </c>
      <c r="AK4973">
        <v>0</v>
      </c>
      <c r="AU4973" s="6">
        <v>42037</v>
      </c>
      <c r="AV4973" s="6">
        <v>42037</v>
      </c>
      <c r="AW4973" t="s">
        <v>54</v>
      </c>
      <c r="AX4973" t="str">
        <f t="shared" si="417"/>
        <v>FOR</v>
      </c>
      <c r="AY4973" t="s">
        <v>55</v>
      </c>
    </row>
    <row r="4974" spans="1:51" hidden="1">
      <c r="A4974">
        <v>101851</v>
      </c>
      <c r="B4974" t="s">
        <v>934</v>
      </c>
      <c r="C4974" t="str">
        <f t="shared" si="423"/>
        <v>11667890153</v>
      </c>
      <c r="D4974" t="str">
        <f t="shared" si="423"/>
        <v>11667890153</v>
      </c>
      <c r="E4974" t="s">
        <v>52</v>
      </c>
      <c r="F4974">
        <v>2014</v>
      </c>
      <c r="G4974">
        <v>14002958</v>
      </c>
      <c r="H4974" s="1">
        <v>41677</v>
      </c>
      <c r="I4974" s="1">
        <v>41730</v>
      </c>
      <c r="J4974" s="1">
        <v>41730</v>
      </c>
      <c r="K4974" s="1">
        <v>41820</v>
      </c>
      <c r="N4974" s="5"/>
      <c r="O4974" s="2">
        <v>1409.1</v>
      </c>
      <c r="P4974">
        <v>217</v>
      </c>
      <c r="Q4974" s="2">
        <v>305774.7</v>
      </c>
      <c r="R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 s="1">
        <v>42382</v>
      </c>
      <c r="AC4974" t="s">
        <v>53</v>
      </c>
      <c r="AD4974" t="s">
        <v>53</v>
      </c>
      <c r="AK4974">
        <v>0</v>
      </c>
      <c r="AU4974" s="6">
        <v>42037</v>
      </c>
      <c r="AV4974" s="6">
        <v>42037</v>
      </c>
      <c r="AW4974" t="s">
        <v>54</v>
      </c>
      <c r="AX4974" t="str">
        <f t="shared" si="417"/>
        <v>FOR</v>
      </c>
      <c r="AY4974" t="s">
        <v>55</v>
      </c>
    </row>
    <row r="4975" spans="1:51" hidden="1">
      <c r="A4975">
        <v>101851</v>
      </c>
      <c r="B4975" t="s">
        <v>934</v>
      </c>
      <c r="C4975" t="str">
        <f t="shared" si="423"/>
        <v>11667890153</v>
      </c>
      <c r="D4975" t="str">
        <f t="shared" si="423"/>
        <v>11667890153</v>
      </c>
      <c r="E4975" t="s">
        <v>52</v>
      </c>
      <c r="F4975">
        <v>2014</v>
      </c>
      <c r="G4975">
        <v>14004263</v>
      </c>
      <c r="H4975" s="1">
        <v>41691</v>
      </c>
      <c r="I4975" s="1">
        <v>41703</v>
      </c>
      <c r="J4975" s="1">
        <v>41703</v>
      </c>
      <c r="K4975" s="1">
        <v>41793</v>
      </c>
      <c r="N4975" s="5"/>
      <c r="O4975" s="2">
        <v>1795.2</v>
      </c>
      <c r="P4975">
        <v>244</v>
      </c>
      <c r="Q4975" s="2">
        <v>438028.79999999999</v>
      </c>
      <c r="R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 s="1">
        <v>42382</v>
      </c>
      <c r="AC4975" t="s">
        <v>53</v>
      </c>
      <c r="AD4975" t="s">
        <v>53</v>
      </c>
      <c r="AK4975">
        <v>0</v>
      </c>
      <c r="AU4975" s="6">
        <v>42037</v>
      </c>
      <c r="AV4975" s="6">
        <v>42037</v>
      </c>
      <c r="AW4975" t="s">
        <v>54</v>
      </c>
      <c r="AX4975" t="str">
        <f t="shared" si="417"/>
        <v>FOR</v>
      </c>
      <c r="AY4975" t="s">
        <v>55</v>
      </c>
    </row>
    <row r="4976" spans="1:51" hidden="1">
      <c r="A4976">
        <v>101851</v>
      </c>
      <c r="B4976" t="s">
        <v>934</v>
      </c>
      <c r="C4976" t="str">
        <f t="shared" si="423"/>
        <v>11667890153</v>
      </c>
      <c r="D4976" t="str">
        <f t="shared" si="423"/>
        <v>11667890153</v>
      </c>
      <c r="E4976" t="s">
        <v>52</v>
      </c>
      <c r="F4976">
        <v>2014</v>
      </c>
      <c r="G4976">
        <v>14005574</v>
      </c>
      <c r="H4976" s="1">
        <v>41709</v>
      </c>
      <c r="I4976" s="1">
        <v>41719</v>
      </c>
      <c r="J4976" s="1">
        <v>41719</v>
      </c>
      <c r="K4976" s="1">
        <v>41809</v>
      </c>
      <c r="N4976" s="5"/>
      <c r="O4976" s="2">
        <v>1188</v>
      </c>
      <c r="P4976">
        <v>293</v>
      </c>
      <c r="Q4976" s="2">
        <v>348084</v>
      </c>
      <c r="R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 s="1">
        <v>42382</v>
      </c>
      <c r="AC4976" t="s">
        <v>53</v>
      </c>
      <c r="AD4976" t="s">
        <v>53</v>
      </c>
      <c r="AK4976">
        <v>0</v>
      </c>
      <c r="AU4976" s="6">
        <v>42102</v>
      </c>
      <c r="AV4976" s="6">
        <v>42102</v>
      </c>
      <c r="AW4976" t="s">
        <v>54</v>
      </c>
      <c r="AX4976" t="str">
        <f t="shared" si="417"/>
        <v>FOR</v>
      </c>
      <c r="AY4976" t="s">
        <v>55</v>
      </c>
    </row>
    <row r="4977" spans="1:51" hidden="1">
      <c r="A4977">
        <v>101851</v>
      </c>
      <c r="B4977" t="s">
        <v>934</v>
      </c>
      <c r="C4977" t="str">
        <f t="shared" si="423"/>
        <v>11667890153</v>
      </c>
      <c r="D4977" t="str">
        <f t="shared" si="423"/>
        <v>11667890153</v>
      </c>
      <c r="E4977" t="s">
        <v>52</v>
      </c>
      <c r="F4977">
        <v>2014</v>
      </c>
      <c r="G4977">
        <v>14006309</v>
      </c>
      <c r="H4977" s="1">
        <v>41717</v>
      </c>
      <c r="I4977" s="1">
        <v>41730</v>
      </c>
      <c r="J4977" s="1">
        <v>41730</v>
      </c>
      <c r="K4977" s="1">
        <v>41820</v>
      </c>
      <c r="N4977" s="5"/>
      <c r="O4977" s="2">
        <v>1188</v>
      </c>
      <c r="P4977">
        <v>282</v>
      </c>
      <c r="Q4977" s="2">
        <v>335016</v>
      </c>
      <c r="R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 s="1">
        <v>42382</v>
      </c>
      <c r="AC4977" t="s">
        <v>53</v>
      </c>
      <c r="AD4977" t="s">
        <v>53</v>
      </c>
      <c r="AK4977">
        <v>0</v>
      </c>
      <c r="AU4977" s="6">
        <v>42102</v>
      </c>
      <c r="AV4977" s="6">
        <v>42102</v>
      </c>
      <c r="AW4977" t="s">
        <v>54</v>
      </c>
      <c r="AX4977" t="str">
        <f t="shared" si="417"/>
        <v>FOR</v>
      </c>
      <c r="AY4977" t="s">
        <v>55</v>
      </c>
    </row>
    <row r="4978" spans="1:51" hidden="1">
      <c r="A4978">
        <v>101851</v>
      </c>
      <c r="B4978" t="s">
        <v>934</v>
      </c>
      <c r="C4978" t="str">
        <f t="shared" si="423"/>
        <v>11667890153</v>
      </c>
      <c r="D4978" t="str">
        <f t="shared" si="423"/>
        <v>11667890153</v>
      </c>
      <c r="E4978" t="s">
        <v>52</v>
      </c>
      <c r="F4978">
        <v>2014</v>
      </c>
      <c r="G4978">
        <v>14006321</v>
      </c>
      <c r="H4978" s="1">
        <v>41717</v>
      </c>
      <c r="I4978" s="1">
        <v>41730</v>
      </c>
      <c r="J4978" s="1">
        <v>41730</v>
      </c>
      <c r="K4978" s="1">
        <v>41820</v>
      </c>
      <c r="N4978" s="5"/>
      <c r="O4978" s="2">
        <v>1878.8</v>
      </c>
      <c r="P4978">
        <v>282</v>
      </c>
      <c r="Q4978" s="2">
        <v>529821.6</v>
      </c>
      <c r="R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 s="1">
        <v>42382</v>
      </c>
      <c r="AC4978" t="s">
        <v>53</v>
      </c>
      <c r="AD4978" t="s">
        <v>53</v>
      </c>
      <c r="AK4978">
        <v>0</v>
      </c>
      <c r="AU4978" s="6">
        <v>42102</v>
      </c>
      <c r="AV4978" s="6">
        <v>42102</v>
      </c>
      <c r="AW4978" t="s">
        <v>54</v>
      </c>
      <c r="AX4978" t="str">
        <f t="shared" si="417"/>
        <v>FOR</v>
      </c>
      <c r="AY4978" t="s">
        <v>55</v>
      </c>
    </row>
    <row r="4979" spans="1:51" hidden="1">
      <c r="A4979">
        <v>101851</v>
      </c>
      <c r="B4979" t="s">
        <v>934</v>
      </c>
      <c r="C4979" t="str">
        <f t="shared" si="423"/>
        <v>11667890153</v>
      </c>
      <c r="D4979" t="str">
        <f t="shared" si="423"/>
        <v>11667890153</v>
      </c>
      <c r="E4979" t="s">
        <v>52</v>
      </c>
      <c r="F4979">
        <v>2014</v>
      </c>
      <c r="G4979">
        <v>14007543</v>
      </c>
      <c r="H4979" s="1">
        <v>41731</v>
      </c>
      <c r="I4979" s="1">
        <v>41743</v>
      </c>
      <c r="J4979" s="1">
        <v>41743</v>
      </c>
      <c r="K4979" s="1">
        <v>41833</v>
      </c>
      <c r="N4979" s="5"/>
      <c r="O4979">
        <v>93.94</v>
      </c>
      <c r="P4979">
        <v>269</v>
      </c>
      <c r="Q4979" s="2">
        <v>25269.86</v>
      </c>
      <c r="R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 s="1">
        <v>42382</v>
      </c>
      <c r="AC4979" t="s">
        <v>53</v>
      </c>
      <c r="AD4979" t="s">
        <v>53</v>
      </c>
      <c r="AK4979">
        <v>0</v>
      </c>
      <c r="AU4979" s="6">
        <v>42102</v>
      </c>
      <c r="AV4979" s="6">
        <v>42102</v>
      </c>
      <c r="AW4979" t="s">
        <v>54</v>
      </c>
      <c r="AX4979" t="str">
        <f t="shared" si="417"/>
        <v>FOR</v>
      </c>
      <c r="AY4979" t="s">
        <v>55</v>
      </c>
    </row>
    <row r="4980" spans="1:51" hidden="1">
      <c r="A4980">
        <v>101851</v>
      </c>
      <c r="B4980" t="s">
        <v>934</v>
      </c>
      <c r="C4980" t="str">
        <f t="shared" si="423"/>
        <v>11667890153</v>
      </c>
      <c r="D4980" t="str">
        <f t="shared" si="423"/>
        <v>11667890153</v>
      </c>
      <c r="E4980" t="s">
        <v>52</v>
      </c>
      <c r="F4980">
        <v>2014</v>
      </c>
      <c r="G4980">
        <v>14007616</v>
      </c>
      <c r="H4980" s="1">
        <v>41732</v>
      </c>
      <c r="I4980" s="1">
        <v>41743</v>
      </c>
      <c r="J4980" s="1">
        <v>41743</v>
      </c>
      <c r="K4980" s="1">
        <v>41833</v>
      </c>
      <c r="N4980" s="5"/>
      <c r="O4980">
        <v>93.94</v>
      </c>
      <c r="P4980">
        <v>269</v>
      </c>
      <c r="Q4980" s="2">
        <v>25269.86</v>
      </c>
      <c r="R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 s="1">
        <v>42382</v>
      </c>
      <c r="AC4980" t="s">
        <v>53</v>
      </c>
      <c r="AD4980" t="s">
        <v>53</v>
      </c>
      <c r="AK4980">
        <v>0</v>
      </c>
      <c r="AU4980" s="6">
        <v>42102</v>
      </c>
      <c r="AV4980" s="6">
        <v>42102</v>
      </c>
      <c r="AW4980" t="s">
        <v>54</v>
      </c>
      <c r="AX4980" t="str">
        <f t="shared" si="417"/>
        <v>FOR</v>
      </c>
      <c r="AY4980" t="s">
        <v>55</v>
      </c>
    </row>
    <row r="4981" spans="1:51" hidden="1">
      <c r="A4981">
        <v>101851</v>
      </c>
      <c r="B4981" t="s">
        <v>934</v>
      </c>
      <c r="C4981" t="str">
        <f t="shared" si="423"/>
        <v>11667890153</v>
      </c>
      <c r="D4981" t="str">
        <f t="shared" si="423"/>
        <v>11667890153</v>
      </c>
      <c r="E4981" t="s">
        <v>52</v>
      </c>
      <c r="F4981">
        <v>2014</v>
      </c>
      <c r="G4981">
        <v>14008330</v>
      </c>
      <c r="H4981" s="1">
        <v>41740</v>
      </c>
      <c r="I4981" s="1">
        <v>41752</v>
      </c>
      <c r="J4981" s="1">
        <v>41752</v>
      </c>
      <c r="K4981" s="1">
        <v>41842</v>
      </c>
      <c r="N4981" s="5"/>
      <c r="O4981" s="2">
        <v>1795.2</v>
      </c>
      <c r="P4981">
        <v>260</v>
      </c>
      <c r="Q4981" s="2">
        <v>466752</v>
      </c>
      <c r="R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 s="1">
        <v>42382</v>
      </c>
      <c r="AC4981" t="s">
        <v>53</v>
      </c>
      <c r="AD4981" t="s">
        <v>53</v>
      </c>
      <c r="AK4981">
        <v>0</v>
      </c>
      <c r="AU4981" s="6">
        <v>42102</v>
      </c>
      <c r="AV4981" s="6">
        <v>42102</v>
      </c>
      <c r="AW4981" t="s">
        <v>54</v>
      </c>
      <c r="AX4981" t="str">
        <f t="shared" si="417"/>
        <v>FOR</v>
      </c>
      <c r="AY4981" t="s">
        <v>55</v>
      </c>
    </row>
    <row r="4982" spans="1:51" hidden="1">
      <c r="A4982">
        <v>101851</v>
      </c>
      <c r="B4982" t="s">
        <v>934</v>
      </c>
      <c r="C4982" t="str">
        <f t="shared" si="423"/>
        <v>11667890153</v>
      </c>
      <c r="D4982" t="str">
        <f t="shared" si="423"/>
        <v>11667890153</v>
      </c>
      <c r="E4982" t="s">
        <v>52</v>
      </c>
      <c r="F4982">
        <v>2014</v>
      </c>
      <c r="G4982">
        <v>14009037</v>
      </c>
      <c r="H4982" s="1">
        <v>41747</v>
      </c>
      <c r="I4982" s="1">
        <v>41764</v>
      </c>
      <c r="J4982" s="1">
        <v>41764</v>
      </c>
      <c r="K4982" s="1">
        <v>41854</v>
      </c>
      <c r="N4982" s="5"/>
      <c r="O4982">
        <v>792</v>
      </c>
      <c r="P4982">
        <v>248</v>
      </c>
      <c r="Q4982" s="2">
        <v>196416</v>
      </c>
      <c r="R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 s="1">
        <v>42382</v>
      </c>
      <c r="AC4982" t="s">
        <v>53</v>
      </c>
      <c r="AD4982" t="s">
        <v>53</v>
      </c>
      <c r="AK4982">
        <v>0</v>
      </c>
      <c r="AU4982" s="6">
        <v>42102</v>
      </c>
      <c r="AV4982" s="6">
        <v>42102</v>
      </c>
      <c r="AW4982" t="s">
        <v>54</v>
      </c>
      <c r="AX4982" t="str">
        <f t="shared" si="417"/>
        <v>FOR</v>
      </c>
      <c r="AY4982" t="s">
        <v>55</v>
      </c>
    </row>
    <row r="4983" spans="1:51" hidden="1">
      <c r="A4983">
        <v>101851</v>
      </c>
      <c r="B4983" t="s">
        <v>934</v>
      </c>
      <c r="C4983" t="str">
        <f t="shared" si="423"/>
        <v>11667890153</v>
      </c>
      <c r="D4983" t="str">
        <f t="shared" si="423"/>
        <v>11667890153</v>
      </c>
      <c r="E4983" t="s">
        <v>52</v>
      </c>
      <c r="F4983">
        <v>2014</v>
      </c>
      <c r="G4983">
        <v>14010147</v>
      </c>
      <c r="H4983" s="1">
        <v>41765</v>
      </c>
      <c r="I4983" s="1">
        <v>41779</v>
      </c>
      <c r="J4983" s="1">
        <v>41779</v>
      </c>
      <c r="K4983" s="1">
        <v>41869</v>
      </c>
      <c r="N4983" s="5"/>
      <c r="O4983" s="2">
        <v>1188</v>
      </c>
      <c r="P4983">
        <v>263</v>
      </c>
      <c r="Q4983" s="2">
        <v>312444</v>
      </c>
      <c r="R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 s="1">
        <v>42382</v>
      </c>
      <c r="AC4983" t="s">
        <v>53</v>
      </c>
      <c r="AD4983" t="s">
        <v>53</v>
      </c>
      <c r="AK4983">
        <v>0</v>
      </c>
      <c r="AU4983" s="6">
        <v>42132</v>
      </c>
      <c r="AV4983" s="6">
        <v>42132</v>
      </c>
      <c r="AW4983" t="s">
        <v>54</v>
      </c>
      <c r="AX4983" t="str">
        <f t="shared" si="417"/>
        <v>FOR</v>
      </c>
      <c r="AY4983" t="s">
        <v>55</v>
      </c>
    </row>
    <row r="4984" spans="1:51" hidden="1">
      <c r="A4984">
        <v>101851</v>
      </c>
      <c r="B4984" t="s">
        <v>934</v>
      </c>
      <c r="C4984" t="str">
        <f t="shared" si="423"/>
        <v>11667890153</v>
      </c>
      <c r="D4984" t="str">
        <f t="shared" si="423"/>
        <v>11667890153</v>
      </c>
      <c r="E4984" t="s">
        <v>52</v>
      </c>
      <c r="F4984">
        <v>2014</v>
      </c>
      <c r="G4984">
        <v>14011451</v>
      </c>
      <c r="H4984" s="1">
        <v>41779</v>
      </c>
      <c r="I4984" s="1">
        <v>41789</v>
      </c>
      <c r="J4984" s="1">
        <v>41789</v>
      </c>
      <c r="K4984" s="1">
        <v>41879</v>
      </c>
      <c r="N4984" s="5"/>
      <c r="O4984">
        <v>396</v>
      </c>
      <c r="P4984">
        <v>253</v>
      </c>
      <c r="Q4984" s="2">
        <v>100188</v>
      </c>
      <c r="R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 s="1">
        <v>42382</v>
      </c>
      <c r="AC4984" t="s">
        <v>53</v>
      </c>
      <c r="AD4984" t="s">
        <v>53</v>
      </c>
      <c r="AK4984">
        <v>0</v>
      </c>
      <c r="AU4984" s="6">
        <v>42132</v>
      </c>
      <c r="AV4984" s="6">
        <v>42132</v>
      </c>
      <c r="AW4984" t="s">
        <v>54</v>
      </c>
      <c r="AX4984" t="str">
        <f t="shared" si="417"/>
        <v>FOR</v>
      </c>
      <c r="AY4984" t="s">
        <v>55</v>
      </c>
    </row>
    <row r="4985" spans="1:51" hidden="1">
      <c r="A4985">
        <v>101851</v>
      </c>
      <c r="B4985" t="s">
        <v>934</v>
      </c>
      <c r="C4985" t="str">
        <f t="shared" si="423"/>
        <v>11667890153</v>
      </c>
      <c r="D4985" t="str">
        <f t="shared" si="423"/>
        <v>11667890153</v>
      </c>
      <c r="E4985" t="s">
        <v>52</v>
      </c>
      <c r="F4985">
        <v>2014</v>
      </c>
      <c r="G4985">
        <v>14011509</v>
      </c>
      <c r="H4985" s="1">
        <v>41780</v>
      </c>
      <c r="I4985" s="1">
        <v>41789</v>
      </c>
      <c r="J4985" s="1">
        <v>41789</v>
      </c>
      <c r="K4985" s="1">
        <v>41879</v>
      </c>
      <c r="N4985" s="5"/>
      <c r="O4985" s="2">
        <v>1782</v>
      </c>
      <c r="P4985">
        <v>253</v>
      </c>
      <c r="Q4985" s="2">
        <v>450846</v>
      </c>
      <c r="R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 s="1">
        <v>42382</v>
      </c>
      <c r="AC4985" t="s">
        <v>53</v>
      </c>
      <c r="AD4985" t="s">
        <v>53</v>
      </c>
      <c r="AK4985">
        <v>0</v>
      </c>
      <c r="AU4985" s="6">
        <v>42132</v>
      </c>
      <c r="AV4985" s="6">
        <v>42132</v>
      </c>
      <c r="AW4985" t="s">
        <v>54</v>
      </c>
      <c r="AX4985" t="str">
        <f t="shared" si="417"/>
        <v>FOR</v>
      </c>
      <c r="AY4985" t="s">
        <v>55</v>
      </c>
    </row>
    <row r="4986" spans="1:51" hidden="1">
      <c r="A4986">
        <v>101851</v>
      </c>
      <c r="B4986" t="s">
        <v>934</v>
      </c>
      <c r="C4986" t="str">
        <f t="shared" si="423"/>
        <v>11667890153</v>
      </c>
      <c r="D4986" t="str">
        <f t="shared" si="423"/>
        <v>11667890153</v>
      </c>
      <c r="E4986" t="s">
        <v>52</v>
      </c>
      <c r="F4986">
        <v>2014</v>
      </c>
      <c r="G4986">
        <v>14011784</v>
      </c>
      <c r="H4986" s="1">
        <v>41782</v>
      </c>
      <c r="I4986" s="1">
        <v>41789</v>
      </c>
      <c r="J4986" s="1">
        <v>41789</v>
      </c>
      <c r="K4986" s="1">
        <v>41879</v>
      </c>
      <c r="N4986" s="5"/>
      <c r="O4986">
        <v>506</v>
      </c>
      <c r="P4986">
        <v>253</v>
      </c>
      <c r="Q4986" s="2">
        <v>128018</v>
      </c>
      <c r="R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 s="1">
        <v>42382</v>
      </c>
      <c r="AC4986" t="s">
        <v>53</v>
      </c>
      <c r="AD4986" t="s">
        <v>53</v>
      </c>
      <c r="AK4986">
        <v>0</v>
      </c>
      <c r="AU4986" s="6">
        <v>42132</v>
      </c>
      <c r="AV4986" s="6">
        <v>42132</v>
      </c>
      <c r="AW4986" t="s">
        <v>54</v>
      </c>
      <c r="AX4986" t="str">
        <f t="shared" si="417"/>
        <v>FOR</v>
      </c>
      <c r="AY4986" t="s">
        <v>55</v>
      </c>
    </row>
    <row r="4987" spans="1:51" hidden="1">
      <c r="A4987">
        <v>101851</v>
      </c>
      <c r="B4987" t="s">
        <v>934</v>
      </c>
      <c r="C4987" t="str">
        <f t="shared" si="423"/>
        <v>11667890153</v>
      </c>
      <c r="D4987" t="str">
        <f t="shared" si="423"/>
        <v>11667890153</v>
      </c>
      <c r="E4987" t="s">
        <v>52</v>
      </c>
      <c r="F4987">
        <v>2014</v>
      </c>
      <c r="G4987">
        <v>14012858</v>
      </c>
      <c r="H4987" s="1">
        <v>41796</v>
      </c>
      <c r="I4987" s="1">
        <v>41807</v>
      </c>
      <c r="J4987" s="1">
        <v>41807</v>
      </c>
      <c r="K4987" s="1">
        <v>41897</v>
      </c>
      <c r="N4987" s="5"/>
      <c r="O4987">
        <v>792</v>
      </c>
      <c r="P4987">
        <v>262</v>
      </c>
      <c r="Q4987" s="2">
        <v>207504</v>
      </c>
      <c r="R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 s="1">
        <v>42382</v>
      </c>
      <c r="AC4987" t="s">
        <v>53</v>
      </c>
      <c r="AD4987" t="s">
        <v>53</v>
      </c>
      <c r="AK4987">
        <v>0</v>
      </c>
      <c r="AU4987" s="6">
        <v>42159</v>
      </c>
      <c r="AV4987" s="6">
        <v>42159</v>
      </c>
      <c r="AW4987" t="s">
        <v>54</v>
      </c>
      <c r="AX4987" t="str">
        <f t="shared" si="417"/>
        <v>FOR</v>
      </c>
      <c r="AY4987" t="s">
        <v>55</v>
      </c>
    </row>
    <row r="4988" spans="1:51" hidden="1">
      <c r="A4988">
        <v>101851</v>
      </c>
      <c r="B4988" t="s">
        <v>934</v>
      </c>
      <c r="C4988" t="str">
        <f t="shared" si="423"/>
        <v>11667890153</v>
      </c>
      <c r="D4988" t="str">
        <f t="shared" si="423"/>
        <v>11667890153</v>
      </c>
      <c r="E4988" t="s">
        <v>52</v>
      </c>
      <c r="F4988">
        <v>2014</v>
      </c>
      <c r="G4988">
        <v>14014262</v>
      </c>
      <c r="H4988" s="1">
        <v>41813</v>
      </c>
      <c r="I4988" s="1">
        <v>41932</v>
      </c>
      <c r="J4988" s="1">
        <v>41932</v>
      </c>
      <c r="K4988" s="1">
        <v>41992</v>
      </c>
      <c r="N4988" s="5"/>
      <c r="O4988" s="2">
        <v>2732.4</v>
      </c>
      <c r="P4988">
        <v>167</v>
      </c>
      <c r="Q4988" s="2">
        <v>456310.8</v>
      </c>
      <c r="R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 s="1">
        <v>42382</v>
      </c>
      <c r="AC4988" t="s">
        <v>53</v>
      </c>
      <c r="AD4988" t="s">
        <v>53</v>
      </c>
      <c r="AK4988">
        <v>0</v>
      </c>
      <c r="AU4988" s="6">
        <v>42159</v>
      </c>
      <c r="AV4988" s="6">
        <v>42159</v>
      </c>
      <c r="AW4988" t="s">
        <v>54</v>
      </c>
      <c r="AX4988" t="str">
        <f t="shared" si="417"/>
        <v>FOR</v>
      </c>
      <c r="AY4988" t="s">
        <v>55</v>
      </c>
    </row>
    <row r="4989" spans="1:51" hidden="1">
      <c r="A4989">
        <v>101851</v>
      </c>
      <c r="B4989" t="s">
        <v>934</v>
      </c>
      <c r="C4989" t="str">
        <f t="shared" si="423"/>
        <v>11667890153</v>
      </c>
      <c r="D4989" t="str">
        <f t="shared" si="423"/>
        <v>11667890153</v>
      </c>
      <c r="E4989" t="s">
        <v>52</v>
      </c>
      <c r="F4989">
        <v>2014</v>
      </c>
      <c r="G4989">
        <v>14014832</v>
      </c>
      <c r="H4989" s="1">
        <v>41820</v>
      </c>
      <c r="I4989" s="1">
        <v>41834</v>
      </c>
      <c r="J4989" s="1">
        <v>41834</v>
      </c>
      <c r="K4989" s="1">
        <v>41924</v>
      </c>
      <c r="N4989" s="5"/>
      <c r="O4989">
        <v>968</v>
      </c>
      <c r="P4989">
        <v>235</v>
      </c>
      <c r="Q4989" s="2">
        <v>227480</v>
      </c>
      <c r="R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 s="1">
        <v>42382</v>
      </c>
      <c r="AC4989" t="s">
        <v>53</v>
      </c>
      <c r="AD4989" t="s">
        <v>53</v>
      </c>
      <c r="AK4989">
        <v>0</v>
      </c>
      <c r="AU4989" s="6">
        <v>42159</v>
      </c>
      <c r="AV4989" s="6">
        <v>42159</v>
      </c>
      <c r="AW4989" t="s">
        <v>54</v>
      </c>
      <c r="AX4989" t="str">
        <f t="shared" si="417"/>
        <v>FOR</v>
      </c>
      <c r="AY4989" t="s">
        <v>55</v>
      </c>
    </row>
    <row r="4990" spans="1:51">
      <c r="A4990">
        <v>101851</v>
      </c>
      <c r="B4990" t="s">
        <v>934</v>
      </c>
      <c r="C4990" t="str">
        <f t="shared" si="423"/>
        <v>11667890153</v>
      </c>
      <c r="D4990" t="str">
        <f t="shared" si="423"/>
        <v>11667890153</v>
      </c>
      <c r="E4990" t="s">
        <v>52</v>
      </c>
      <c r="F4990">
        <v>2014</v>
      </c>
      <c r="G4990">
        <v>14028682</v>
      </c>
      <c r="H4990" s="1">
        <v>41985</v>
      </c>
      <c r="I4990" s="1">
        <v>42004</v>
      </c>
      <c r="J4990" s="1">
        <v>42004</v>
      </c>
      <c r="K4990" s="1">
        <v>42064</v>
      </c>
      <c r="L4990" s="7">
        <v>110.88</v>
      </c>
      <c r="M4990" s="5">
        <v>218</v>
      </c>
      <c r="N4990" s="7">
        <v>24171.84</v>
      </c>
      <c r="O4990">
        <v>110.88</v>
      </c>
      <c r="P4990">
        <v>218</v>
      </c>
      <c r="Q4990" s="2">
        <v>24171.84</v>
      </c>
      <c r="R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 s="1">
        <v>42382</v>
      </c>
      <c r="AC4990" t="s">
        <v>53</v>
      </c>
      <c r="AD4990" t="s">
        <v>53</v>
      </c>
      <c r="AK4990">
        <v>0</v>
      </c>
      <c r="AU4990" s="6">
        <v>42282</v>
      </c>
      <c r="AV4990" s="6">
        <v>42282</v>
      </c>
      <c r="AW4990" t="s">
        <v>54</v>
      </c>
      <c r="AX4990" t="str">
        <f t="shared" si="417"/>
        <v>FOR</v>
      </c>
      <c r="AY4990" t="s">
        <v>55</v>
      </c>
    </row>
    <row r="4991" spans="1:51">
      <c r="A4991">
        <v>101851</v>
      </c>
      <c r="B4991" t="s">
        <v>934</v>
      </c>
      <c r="C4991" t="str">
        <f t="shared" si="423"/>
        <v>11667890153</v>
      </c>
      <c r="D4991" t="str">
        <f t="shared" si="423"/>
        <v>11667890153</v>
      </c>
      <c r="E4991" t="s">
        <v>52</v>
      </c>
      <c r="F4991">
        <v>2014</v>
      </c>
      <c r="G4991">
        <v>14029543</v>
      </c>
      <c r="H4991" s="1">
        <v>41996</v>
      </c>
      <c r="I4991" s="1">
        <v>42030</v>
      </c>
      <c r="J4991" s="1">
        <v>42030</v>
      </c>
      <c r="K4991" s="1">
        <v>42090</v>
      </c>
      <c r="L4991" s="7">
        <v>2587.1999999999998</v>
      </c>
      <c r="M4991" s="5">
        <v>250</v>
      </c>
      <c r="N4991" s="7">
        <v>646800</v>
      </c>
      <c r="O4991" s="2">
        <v>2587.1999999999998</v>
      </c>
      <c r="P4991">
        <v>250</v>
      </c>
      <c r="Q4991" s="2">
        <v>646800</v>
      </c>
      <c r="R4991">
        <v>0</v>
      </c>
      <c r="V4991">
        <v>0</v>
      </c>
      <c r="W4991">
        <v>0</v>
      </c>
      <c r="X4991">
        <v>0</v>
      </c>
      <c r="Y4991">
        <v>0</v>
      </c>
      <c r="Z4991" s="2">
        <v>2587.1999999999998</v>
      </c>
      <c r="AA4991">
        <v>0</v>
      </c>
      <c r="AB4991" s="1">
        <v>42382</v>
      </c>
      <c r="AC4991" t="s">
        <v>53</v>
      </c>
      <c r="AD4991" t="s">
        <v>53</v>
      </c>
      <c r="AK4991">
        <v>0</v>
      </c>
      <c r="AU4991" s="6">
        <v>42340</v>
      </c>
      <c r="AV4991" s="6">
        <v>42340</v>
      </c>
      <c r="AW4991" t="s">
        <v>54</v>
      </c>
      <c r="AX4991" t="str">
        <f t="shared" si="417"/>
        <v>FOR</v>
      </c>
      <c r="AY4991" t="s">
        <v>55</v>
      </c>
    </row>
    <row r="4992" spans="1:51">
      <c r="A4992">
        <v>101851</v>
      </c>
      <c r="B4992" t="s">
        <v>934</v>
      </c>
      <c r="C4992" t="str">
        <f t="shared" si="423"/>
        <v>11667890153</v>
      </c>
      <c r="D4992" t="str">
        <f t="shared" si="423"/>
        <v>11667890153</v>
      </c>
      <c r="E4992" t="s">
        <v>52</v>
      </c>
      <c r="F4992">
        <v>2015</v>
      </c>
      <c r="G4992">
        <v>15001437</v>
      </c>
      <c r="H4992" s="1">
        <v>42031</v>
      </c>
      <c r="I4992" s="1">
        <v>42055</v>
      </c>
      <c r="J4992" s="1">
        <v>42055</v>
      </c>
      <c r="K4992" s="1">
        <v>42115</v>
      </c>
      <c r="L4992" s="7">
        <v>1632</v>
      </c>
      <c r="M4992" s="5">
        <v>240</v>
      </c>
      <c r="N4992" s="7">
        <v>391680</v>
      </c>
      <c r="O4992" s="2">
        <v>1632</v>
      </c>
      <c r="P4992">
        <v>240</v>
      </c>
      <c r="Q4992" s="2">
        <v>391680</v>
      </c>
      <c r="R4992">
        <v>163.19999999999999</v>
      </c>
      <c r="V4992">
        <v>0</v>
      </c>
      <c r="W4992">
        <v>0</v>
      </c>
      <c r="X4992">
        <v>0</v>
      </c>
      <c r="Y4992" s="2">
        <v>1795.2</v>
      </c>
      <c r="Z4992" s="2">
        <v>1795.2</v>
      </c>
      <c r="AA4992" s="2">
        <v>1795.2</v>
      </c>
      <c r="AB4992" s="1">
        <v>42382</v>
      </c>
      <c r="AC4992" t="s">
        <v>53</v>
      </c>
      <c r="AD4992" t="s">
        <v>53</v>
      </c>
      <c r="AK4992">
        <v>163.19999999999999</v>
      </c>
      <c r="AU4992" s="6">
        <v>42355</v>
      </c>
      <c r="AV4992" s="6">
        <v>42355</v>
      </c>
      <c r="AW4992" t="s">
        <v>54</v>
      </c>
      <c r="AX4992" t="str">
        <f t="shared" si="417"/>
        <v>FOR</v>
      </c>
      <c r="AY4992" t="s">
        <v>55</v>
      </c>
    </row>
    <row r="4993" spans="1:51" hidden="1">
      <c r="A4993">
        <v>101907</v>
      </c>
      <c r="B4993" t="s">
        <v>935</v>
      </c>
      <c r="C4993" t="str">
        <f t="shared" ref="C4993:C5004" si="424">"04310690377"</f>
        <v>04310690377</v>
      </c>
      <c r="D4993" t="str">
        <f t="shared" ref="D4993:D5004" si="425">"01347430397"</f>
        <v>01347430397</v>
      </c>
      <c r="E4993" t="s">
        <v>52</v>
      </c>
      <c r="F4993">
        <v>2014</v>
      </c>
      <c r="G4993">
        <v>31</v>
      </c>
      <c r="H4993" s="1">
        <v>41695</v>
      </c>
      <c r="I4993" s="1">
        <v>41793</v>
      </c>
      <c r="J4993" s="1">
        <v>41793</v>
      </c>
      <c r="K4993" s="1">
        <v>41883</v>
      </c>
      <c r="N4993" s="5"/>
      <c r="O4993" s="2">
        <v>3660</v>
      </c>
      <c r="P4993">
        <v>136</v>
      </c>
      <c r="Q4993" s="2">
        <v>497760</v>
      </c>
      <c r="R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 s="1">
        <v>42382</v>
      </c>
      <c r="AC4993" t="s">
        <v>53</v>
      </c>
      <c r="AD4993" t="s">
        <v>53</v>
      </c>
      <c r="AK4993">
        <v>0</v>
      </c>
      <c r="AU4993" s="6">
        <v>42019</v>
      </c>
      <c r="AV4993" s="6">
        <v>42019</v>
      </c>
      <c r="AW4993" t="s">
        <v>54</v>
      </c>
      <c r="AX4993" t="str">
        <f t="shared" si="417"/>
        <v>FOR</v>
      </c>
      <c r="AY4993" t="s">
        <v>55</v>
      </c>
    </row>
    <row r="4994" spans="1:51" hidden="1">
      <c r="A4994">
        <v>101907</v>
      </c>
      <c r="B4994" t="s">
        <v>935</v>
      </c>
      <c r="C4994" t="str">
        <f t="shared" si="424"/>
        <v>04310690377</v>
      </c>
      <c r="D4994" t="str">
        <f t="shared" si="425"/>
        <v>01347430397</v>
      </c>
      <c r="E4994" t="s">
        <v>52</v>
      </c>
      <c r="F4994">
        <v>2014</v>
      </c>
      <c r="G4994">
        <v>81</v>
      </c>
      <c r="H4994" s="1">
        <v>41698</v>
      </c>
      <c r="I4994" s="1">
        <v>41731</v>
      </c>
      <c r="J4994" s="1">
        <v>41731</v>
      </c>
      <c r="K4994" s="1">
        <v>41821</v>
      </c>
      <c r="N4994" s="5"/>
      <c r="O4994" s="2">
        <v>48781.7</v>
      </c>
      <c r="P4994">
        <v>198</v>
      </c>
      <c r="Q4994" s="2">
        <v>9658776.5999999996</v>
      </c>
      <c r="R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 s="1">
        <v>42382</v>
      </c>
      <c r="AC4994" t="s">
        <v>53</v>
      </c>
      <c r="AD4994" t="s">
        <v>53</v>
      </c>
      <c r="AK4994">
        <v>0</v>
      </c>
      <c r="AU4994" s="6">
        <v>42019</v>
      </c>
      <c r="AV4994" s="6">
        <v>42019</v>
      </c>
      <c r="AW4994" t="s">
        <v>54</v>
      </c>
      <c r="AX4994" t="str">
        <f t="shared" si="417"/>
        <v>FOR</v>
      </c>
      <c r="AY4994" t="s">
        <v>55</v>
      </c>
    </row>
    <row r="4995" spans="1:51" hidden="1">
      <c r="A4995">
        <v>101907</v>
      </c>
      <c r="B4995" t="s">
        <v>935</v>
      </c>
      <c r="C4995" t="str">
        <f t="shared" si="424"/>
        <v>04310690377</v>
      </c>
      <c r="D4995" t="str">
        <f t="shared" si="425"/>
        <v>01347430397</v>
      </c>
      <c r="E4995" t="s">
        <v>52</v>
      </c>
      <c r="F4995">
        <v>2014</v>
      </c>
      <c r="G4995">
        <v>102</v>
      </c>
      <c r="H4995" s="1">
        <v>41698</v>
      </c>
      <c r="I4995" s="1">
        <v>41731</v>
      </c>
      <c r="J4995" s="1">
        <v>41731</v>
      </c>
      <c r="K4995" s="1">
        <v>41821</v>
      </c>
      <c r="N4995" s="5"/>
      <c r="O4995" s="2">
        <v>4270</v>
      </c>
      <c r="P4995">
        <v>198</v>
      </c>
      <c r="Q4995" s="2">
        <v>845460</v>
      </c>
      <c r="R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 s="1">
        <v>42382</v>
      </c>
      <c r="AC4995" t="s">
        <v>53</v>
      </c>
      <c r="AD4995" t="s">
        <v>53</v>
      </c>
      <c r="AK4995">
        <v>0</v>
      </c>
      <c r="AU4995" s="6">
        <v>42019</v>
      </c>
      <c r="AV4995" s="6">
        <v>42019</v>
      </c>
      <c r="AW4995" t="s">
        <v>54</v>
      </c>
      <c r="AX4995" t="str">
        <f t="shared" ref="AX4995:AX5058" si="426">"FOR"</f>
        <v>FOR</v>
      </c>
      <c r="AY4995" t="s">
        <v>55</v>
      </c>
    </row>
    <row r="4996" spans="1:51" hidden="1">
      <c r="A4996">
        <v>101907</v>
      </c>
      <c r="B4996" t="s">
        <v>935</v>
      </c>
      <c r="C4996" t="str">
        <f t="shared" si="424"/>
        <v>04310690377</v>
      </c>
      <c r="D4996" t="str">
        <f t="shared" si="425"/>
        <v>01347430397</v>
      </c>
      <c r="E4996" t="s">
        <v>52</v>
      </c>
      <c r="F4996">
        <v>2014</v>
      </c>
      <c r="G4996">
        <v>112</v>
      </c>
      <c r="H4996" s="1">
        <v>41729</v>
      </c>
      <c r="I4996" s="1">
        <v>41793</v>
      </c>
      <c r="J4996" s="1">
        <v>41793</v>
      </c>
      <c r="K4996" s="1">
        <v>41883</v>
      </c>
      <c r="N4996" s="5"/>
      <c r="O4996" s="2">
        <v>3660</v>
      </c>
      <c r="P4996">
        <v>156</v>
      </c>
      <c r="Q4996" s="2">
        <v>570960</v>
      </c>
      <c r="R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 s="1">
        <v>42382</v>
      </c>
      <c r="AC4996" t="s">
        <v>53</v>
      </c>
      <c r="AD4996" t="s">
        <v>53</v>
      </c>
      <c r="AK4996">
        <v>0</v>
      </c>
      <c r="AU4996" s="6">
        <v>42039</v>
      </c>
      <c r="AV4996" s="6">
        <v>42039</v>
      </c>
      <c r="AW4996" t="s">
        <v>54</v>
      </c>
      <c r="AX4996" t="str">
        <f t="shared" si="426"/>
        <v>FOR</v>
      </c>
      <c r="AY4996" t="s">
        <v>55</v>
      </c>
    </row>
    <row r="4997" spans="1:51" hidden="1">
      <c r="A4997">
        <v>101907</v>
      </c>
      <c r="B4997" t="s">
        <v>935</v>
      </c>
      <c r="C4997" t="str">
        <f t="shared" si="424"/>
        <v>04310690377</v>
      </c>
      <c r="D4997" t="str">
        <f t="shared" si="425"/>
        <v>01347430397</v>
      </c>
      <c r="E4997" t="s">
        <v>52</v>
      </c>
      <c r="F4997">
        <v>2014</v>
      </c>
      <c r="G4997">
        <v>115</v>
      </c>
      <c r="H4997" s="1">
        <v>41729</v>
      </c>
      <c r="I4997" s="1">
        <v>41793</v>
      </c>
      <c r="J4997" s="1">
        <v>41793</v>
      </c>
      <c r="K4997" s="1">
        <v>41883</v>
      </c>
      <c r="N4997" s="5"/>
      <c r="O4997" s="2">
        <v>5978</v>
      </c>
      <c r="P4997">
        <v>156</v>
      </c>
      <c r="Q4997" s="2">
        <v>932568</v>
      </c>
      <c r="R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 s="1">
        <v>42382</v>
      </c>
      <c r="AC4997" t="s">
        <v>53</v>
      </c>
      <c r="AD4997" t="s">
        <v>53</v>
      </c>
      <c r="AK4997">
        <v>0</v>
      </c>
      <c r="AU4997" s="6">
        <v>42039</v>
      </c>
      <c r="AV4997" s="6">
        <v>42039</v>
      </c>
      <c r="AW4997" t="s">
        <v>54</v>
      </c>
      <c r="AX4997" t="str">
        <f t="shared" si="426"/>
        <v>FOR</v>
      </c>
      <c r="AY4997" t="s">
        <v>55</v>
      </c>
    </row>
    <row r="4998" spans="1:51" hidden="1">
      <c r="A4998">
        <v>101907</v>
      </c>
      <c r="B4998" t="s">
        <v>935</v>
      </c>
      <c r="C4998" t="str">
        <f t="shared" si="424"/>
        <v>04310690377</v>
      </c>
      <c r="D4998" t="str">
        <f t="shared" si="425"/>
        <v>01347430397</v>
      </c>
      <c r="E4998" t="s">
        <v>52</v>
      </c>
      <c r="F4998">
        <v>2014</v>
      </c>
      <c r="G4998">
        <v>124</v>
      </c>
      <c r="H4998" s="1">
        <v>41723</v>
      </c>
      <c r="I4998" s="1">
        <v>41733</v>
      </c>
      <c r="J4998" s="1">
        <v>41733</v>
      </c>
      <c r="K4998" s="1">
        <v>41823</v>
      </c>
      <c r="N4998" s="5"/>
      <c r="O4998" s="2">
        <v>4270</v>
      </c>
      <c r="P4998">
        <v>216</v>
      </c>
      <c r="Q4998" s="2">
        <v>922320</v>
      </c>
      <c r="R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 s="1">
        <v>42382</v>
      </c>
      <c r="AC4998" t="s">
        <v>53</v>
      </c>
      <c r="AD4998" t="s">
        <v>53</v>
      </c>
      <c r="AK4998">
        <v>0</v>
      </c>
      <c r="AU4998" s="6">
        <v>42039</v>
      </c>
      <c r="AV4998" s="6">
        <v>42039</v>
      </c>
      <c r="AW4998" t="s">
        <v>54</v>
      </c>
      <c r="AX4998" t="str">
        <f t="shared" si="426"/>
        <v>FOR</v>
      </c>
      <c r="AY4998" t="s">
        <v>55</v>
      </c>
    </row>
    <row r="4999" spans="1:51" hidden="1">
      <c r="A4999">
        <v>101907</v>
      </c>
      <c r="B4999" t="s">
        <v>935</v>
      </c>
      <c r="C4999" t="str">
        <f t="shared" si="424"/>
        <v>04310690377</v>
      </c>
      <c r="D4999" t="str">
        <f t="shared" si="425"/>
        <v>01347430397</v>
      </c>
      <c r="E4999" t="s">
        <v>52</v>
      </c>
      <c r="F4999">
        <v>2014</v>
      </c>
      <c r="G4999">
        <v>162</v>
      </c>
      <c r="H4999" s="1">
        <v>41780</v>
      </c>
      <c r="I4999" s="1">
        <v>41789</v>
      </c>
      <c r="J4999" s="1">
        <v>41789</v>
      </c>
      <c r="K4999" s="1">
        <v>41879</v>
      </c>
      <c r="N4999" s="5"/>
      <c r="O4999" s="2">
        <v>22923.8</v>
      </c>
      <c r="P4999">
        <v>215</v>
      </c>
      <c r="Q4999" s="2">
        <v>4928617</v>
      </c>
      <c r="R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 s="1">
        <v>42382</v>
      </c>
      <c r="AC4999" t="s">
        <v>53</v>
      </c>
      <c r="AD4999" t="s">
        <v>53</v>
      </c>
      <c r="AK4999">
        <v>0</v>
      </c>
      <c r="AU4999" s="6">
        <v>42094</v>
      </c>
      <c r="AV4999" s="6">
        <v>42094</v>
      </c>
      <c r="AW4999" t="s">
        <v>54</v>
      </c>
      <c r="AX4999" t="str">
        <f t="shared" si="426"/>
        <v>FOR</v>
      </c>
      <c r="AY4999" t="s">
        <v>55</v>
      </c>
    </row>
    <row r="5000" spans="1:51" hidden="1">
      <c r="A5000">
        <v>101907</v>
      </c>
      <c r="B5000" t="s">
        <v>935</v>
      </c>
      <c r="C5000" t="str">
        <f t="shared" si="424"/>
        <v>04310690377</v>
      </c>
      <c r="D5000" t="str">
        <f t="shared" si="425"/>
        <v>01347430397</v>
      </c>
      <c r="E5000" t="s">
        <v>52</v>
      </c>
      <c r="F5000">
        <v>2014</v>
      </c>
      <c r="G5000">
        <v>205</v>
      </c>
      <c r="H5000" s="1">
        <v>41820</v>
      </c>
      <c r="I5000" s="1">
        <v>41851</v>
      </c>
      <c r="J5000" s="1">
        <v>41851</v>
      </c>
      <c r="K5000" s="1">
        <v>41941</v>
      </c>
      <c r="N5000" s="5"/>
      <c r="O5000" s="2">
        <v>6710</v>
      </c>
      <c r="P5000">
        <v>189</v>
      </c>
      <c r="Q5000" s="2">
        <v>1268190</v>
      </c>
      <c r="R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 s="1">
        <v>42382</v>
      </c>
      <c r="AC5000" t="s">
        <v>53</v>
      </c>
      <c r="AD5000" t="s">
        <v>53</v>
      </c>
      <c r="AK5000">
        <v>0</v>
      </c>
      <c r="AU5000" s="6">
        <v>42130</v>
      </c>
      <c r="AV5000" s="6">
        <v>42130</v>
      </c>
      <c r="AW5000" t="s">
        <v>54</v>
      </c>
      <c r="AX5000" t="str">
        <f t="shared" si="426"/>
        <v>FOR</v>
      </c>
      <c r="AY5000" t="s">
        <v>55</v>
      </c>
    </row>
    <row r="5001" spans="1:51" hidden="1">
      <c r="A5001">
        <v>101907</v>
      </c>
      <c r="B5001" t="s">
        <v>935</v>
      </c>
      <c r="C5001" t="str">
        <f t="shared" si="424"/>
        <v>04310690377</v>
      </c>
      <c r="D5001" t="str">
        <f t="shared" si="425"/>
        <v>01347430397</v>
      </c>
      <c r="E5001" t="s">
        <v>52</v>
      </c>
      <c r="F5001">
        <v>2014</v>
      </c>
      <c r="G5001">
        <v>207</v>
      </c>
      <c r="H5001" s="1">
        <v>41820</v>
      </c>
      <c r="I5001" s="1">
        <v>41877</v>
      </c>
      <c r="J5001" s="1">
        <v>41877</v>
      </c>
      <c r="K5001" s="1">
        <v>41966</v>
      </c>
      <c r="N5001" s="5"/>
      <c r="O5001" s="2">
        <v>3660</v>
      </c>
      <c r="P5001">
        <v>164</v>
      </c>
      <c r="Q5001" s="2">
        <v>600240</v>
      </c>
      <c r="R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 s="1">
        <v>42382</v>
      </c>
      <c r="AC5001" t="s">
        <v>53</v>
      </c>
      <c r="AD5001" t="s">
        <v>53</v>
      </c>
      <c r="AK5001">
        <v>0</v>
      </c>
      <c r="AU5001" s="6">
        <v>42130</v>
      </c>
      <c r="AV5001" s="6">
        <v>42130</v>
      </c>
      <c r="AW5001" t="s">
        <v>54</v>
      </c>
      <c r="AX5001" t="str">
        <f t="shared" si="426"/>
        <v>FOR</v>
      </c>
      <c r="AY5001" t="s">
        <v>55</v>
      </c>
    </row>
    <row r="5002" spans="1:51" hidden="1">
      <c r="A5002">
        <v>101907</v>
      </c>
      <c r="B5002" t="s">
        <v>935</v>
      </c>
      <c r="C5002" t="str">
        <f t="shared" si="424"/>
        <v>04310690377</v>
      </c>
      <c r="D5002" t="str">
        <f t="shared" si="425"/>
        <v>01347430397</v>
      </c>
      <c r="E5002" t="s">
        <v>52</v>
      </c>
      <c r="F5002">
        <v>2014</v>
      </c>
      <c r="G5002">
        <v>210</v>
      </c>
      <c r="H5002" s="1">
        <v>41820</v>
      </c>
      <c r="I5002" s="1">
        <v>41877</v>
      </c>
      <c r="J5002" s="1">
        <v>41877</v>
      </c>
      <c r="K5002" s="1">
        <v>41966</v>
      </c>
      <c r="N5002" s="5"/>
      <c r="O5002" s="2">
        <v>4270</v>
      </c>
      <c r="P5002">
        <v>164</v>
      </c>
      <c r="Q5002" s="2">
        <v>700280</v>
      </c>
      <c r="R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 s="1">
        <v>42382</v>
      </c>
      <c r="AC5002" t="s">
        <v>53</v>
      </c>
      <c r="AD5002" t="s">
        <v>53</v>
      </c>
      <c r="AK5002">
        <v>0</v>
      </c>
      <c r="AU5002" s="6">
        <v>42130</v>
      </c>
      <c r="AV5002" s="6">
        <v>42130</v>
      </c>
      <c r="AW5002" t="s">
        <v>54</v>
      </c>
      <c r="AX5002" t="str">
        <f t="shared" si="426"/>
        <v>FOR</v>
      </c>
      <c r="AY5002" t="s">
        <v>55</v>
      </c>
    </row>
    <row r="5003" spans="1:51" hidden="1">
      <c r="A5003">
        <v>101907</v>
      </c>
      <c r="B5003" t="s">
        <v>935</v>
      </c>
      <c r="C5003" t="str">
        <f t="shared" si="424"/>
        <v>04310690377</v>
      </c>
      <c r="D5003" t="str">
        <f t="shared" si="425"/>
        <v>01347430397</v>
      </c>
      <c r="E5003" t="s">
        <v>52</v>
      </c>
      <c r="F5003">
        <v>2014</v>
      </c>
      <c r="G5003">
        <v>212</v>
      </c>
      <c r="H5003" s="1">
        <v>41820</v>
      </c>
      <c r="I5003" s="1">
        <v>41852</v>
      </c>
      <c r="J5003" s="1">
        <v>41852</v>
      </c>
      <c r="K5003" s="1">
        <v>41942</v>
      </c>
      <c r="N5003" s="5"/>
      <c r="O5003" s="2">
        <v>24783.08</v>
      </c>
      <c r="P5003">
        <v>188</v>
      </c>
      <c r="Q5003" s="2">
        <v>4659219.04</v>
      </c>
      <c r="R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 s="1">
        <v>42382</v>
      </c>
      <c r="AC5003" t="s">
        <v>53</v>
      </c>
      <c r="AD5003" t="s">
        <v>53</v>
      </c>
      <c r="AK5003">
        <v>0</v>
      </c>
      <c r="AU5003" s="6">
        <v>42130</v>
      </c>
      <c r="AV5003" s="6">
        <v>42130</v>
      </c>
      <c r="AW5003" t="s">
        <v>54</v>
      </c>
      <c r="AX5003" t="str">
        <f t="shared" si="426"/>
        <v>FOR</v>
      </c>
      <c r="AY5003" t="s">
        <v>55</v>
      </c>
    </row>
    <row r="5004" spans="1:51">
      <c r="A5004">
        <v>101907</v>
      </c>
      <c r="B5004" t="s">
        <v>935</v>
      </c>
      <c r="C5004" t="str">
        <f t="shared" si="424"/>
        <v>04310690377</v>
      </c>
      <c r="D5004" t="str">
        <f t="shared" si="425"/>
        <v>01347430397</v>
      </c>
      <c r="E5004" t="s">
        <v>52</v>
      </c>
      <c r="F5004">
        <v>2015</v>
      </c>
      <c r="G5004">
        <v>6</v>
      </c>
      <c r="H5004" s="1">
        <v>42027</v>
      </c>
      <c r="I5004" s="1">
        <v>42088</v>
      </c>
      <c r="J5004" s="1">
        <v>42088</v>
      </c>
      <c r="K5004" s="1">
        <v>42148</v>
      </c>
      <c r="L5004" s="7">
        <v>1950</v>
      </c>
      <c r="M5004" s="5">
        <v>192</v>
      </c>
      <c r="N5004" s="7">
        <v>374400</v>
      </c>
      <c r="O5004" s="2">
        <v>1950</v>
      </c>
      <c r="P5004">
        <v>192</v>
      </c>
      <c r="Q5004" s="2">
        <v>374400</v>
      </c>
      <c r="R5004">
        <v>429</v>
      </c>
      <c r="V5004">
        <v>0</v>
      </c>
      <c r="W5004">
        <v>0</v>
      </c>
      <c r="X5004">
        <v>0</v>
      </c>
      <c r="Y5004" s="2">
        <v>2379</v>
      </c>
      <c r="Z5004" s="2">
        <v>2379</v>
      </c>
      <c r="AA5004" s="2">
        <v>2379</v>
      </c>
      <c r="AB5004" s="1">
        <v>42382</v>
      </c>
      <c r="AC5004" t="s">
        <v>53</v>
      </c>
      <c r="AD5004" t="s">
        <v>53</v>
      </c>
      <c r="AK5004">
        <v>429</v>
      </c>
      <c r="AU5004" s="6">
        <v>42340</v>
      </c>
      <c r="AV5004" s="6">
        <v>42340</v>
      </c>
      <c r="AW5004" t="s">
        <v>54</v>
      </c>
      <c r="AX5004" t="str">
        <f t="shared" si="426"/>
        <v>FOR</v>
      </c>
      <c r="AY5004" t="s">
        <v>55</v>
      </c>
    </row>
    <row r="5005" spans="1:51" hidden="1">
      <c r="A5005">
        <v>101923</v>
      </c>
      <c r="B5005" t="s">
        <v>936</v>
      </c>
      <c r="C5005" t="str">
        <f>"00197370281"</f>
        <v>00197370281</v>
      </c>
      <c r="D5005" t="str">
        <f>"00197370281"</f>
        <v>00197370281</v>
      </c>
      <c r="E5005" t="s">
        <v>52</v>
      </c>
      <c r="F5005">
        <v>2013</v>
      </c>
      <c r="G5005">
        <v>131759</v>
      </c>
      <c r="H5005" s="1">
        <v>41639</v>
      </c>
      <c r="I5005" s="1">
        <v>41639</v>
      </c>
      <c r="J5005" s="1">
        <v>41639</v>
      </c>
      <c r="K5005" s="1">
        <v>41729</v>
      </c>
      <c r="N5005" s="5"/>
      <c r="O5005" s="2">
        <v>33498.660000000003</v>
      </c>
      <c r="P5005">
        <v>305</v>
      </c>
      <c r="Q5005" s="2">
        <v>10217091.300000001</v>
      </c>
      <c r="R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 s="1">
        <v>42382</v>
      </c>
      <c r="AC5005" t="s">
        <v>53</v>
      </c>
      <c r="AD5005" t="s">
        <v>53</v>
      </c>
      <c r="AK5005">
        <v>0</v>
      </c>
      <c r="AU5005" s="6">
        <v>42034</v>
      </c>
      <c r="AV5005" s="6">
        <v>42034</v>
      </c>
      <c r="AW5005" t="s">
        <v>54</v>
      </c>
      <c r="AX5005" t="str">
        <f t="shared" si="426"/>
        <v>FOR</v>
      </c>
      <c r="AY5005" t="s">
        <v>55</v>
      </c>
    </row>
    <row r="5006" spans="1:51" hidden="1">
      <c r="A5006">
        <v>101934</v>
      </c>
      <c r="B5006" t="s">
        <v>937</v>
      </c>
      <c r="C5006" t="str">
        <f t="shared" ref="C5006:D5025" si="427">"06175550638"</f>
        <v>06175550638</v>
      </c>
      <c r="D5006" t="str">
        <f t="shared" si="427"/>
        <v>06175550638</v>
      </c>
      <c r="E5006" t="s">
        <v>52</v>
      </c>
      <c r="F5006">
        <v>2014</v>
      </c>
      <c r="G5006">
        <v>161</v>
      </c>
      <c r="H5006" s="1">
        <v>41670</v>
      </c>
      <c r="I5006" s="1">
        <v>41691</v>
      </c>
      <c r="J5006" s="1">
        <v>41691</v>
      </c>
      <c r="K5006" s="1">
        <v>41781</v>
      </c>
      <c r="N5006" s="5"/>
      <c r="O5006">
        <v>150.80000000000001</v>
      </c>
      <c r="P5006">
        <v>243</v>
      </c>
      <c r="Q5006" s="2">
        <v>36644.400000000001</v>
      </c>
      <c r="R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 s="1">
        <v>42382</v>
      </c>
      <c r="AC5006" t="s">
        <v>53</v>
      </c>
      <c r="AD5006" t="s">
        <v>53</v>
      </c>
      <c r="AK5006">
        <v>0</v>
      </c>
      <c r="AU5006" s="6">
        <v>42024</v>
      </c>
      <c r="AV5006" s="6">
        <v>42024</v>
      </c>
      <c r="AW5006" t="s">
        <v>54</v>
      </c>
      <c r="AX5006" t="str">
        <f t="shared" si="426"/>
        <v>FOR</v>
      </c>
      <c r="AY5006" t="s">
        <v>55</v>
      </c>
    </row>
    <row r="5007" spans="1:51" hidden="1">
      <c r="A5007">
        <v>101934</v>
      </c>
      <c r="B5007" t="s">
        <v>937</v>
      </c>
      <c r="C5007" t="str">
        <f t="shared" si="427"/>
        <v>06175550638</v>
      </c>
      <c r="D5007" t="str">
        <f t="shared" si="427"/>
        <v>06175550638</v>
      </c>
      <c r="E5007" t="s">
        <v>52</v>
      </c>
      <c r="F5007">
        <v>2014</v>
      </c>
      <c r="G5007">
        <v>162</v>
      </c>
      <c r="H5007" s="1">
        <v>41670</v>
      </c>
      <c r="I5007" s="1">
        <v>41694</v>
      </c>
      <c r="J5007" s="1">
        <v>41694</v>
      </c>
      <c r="K5007" s="1">
        <v>41784</v>
      </c>
      <c r="N5007" s="5"/>
      <c r="O5007">
        <v>150.80000000000001</v>
      </c>
      <c r="P5007">
        <v>240</v>
      </c>
      <c r="Q5007" s="2">
        <v>36192</v>
      </c>
      <c r="R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 s="1">
        <v>42382</v>
      </c>
      <c r="AC5007" t="s">
        <v>53</v>
      </c>
      <c r="AD5007" t="s">
        <v>53</v>
      </c>
      <c r="AK5007">
        <v>0</v>
      </c>
      <c r="AU5007" s="6">
        <v>42024</v>
      </c>
      <c r="AV5007" s="6">
        <v>42024</v>
      </c>
      <c r="AW5007" t="s">
        <v>54</v>
      </c>
      <c r="AX5007" t="str">
        <f t="shared" si="426"/>
        <v>FOR</v>
      </c>
      <c r="AY5007" t="s">
        <v>55</v>
      </c>
    </row>
    <row r="5008" spans="1:51" hidden="1">
      <c r="A5008">
        <v>101934</v>
      </c>
      <c r="B5008" t="s">
        <v>937</v>
      </c>
      <c r="C5008" t="str">
        <f t="shared" si="427"/>
        <v>06175550638</v>
      </c>
      <c r="D5008" t="str">
        <f t="shared" si="427"/>
        <v>06175550638</v>
      </c>
      <c r="E5008" t="s">
        <v>52</v>
      </c>
      <c r="F5008">
        <v>2014</v>
      </c>
      <c r="G5008">
        <v>368</v>
      </c>
      <c r="H5008" s="1">
        <v>41698</v>
      </c>
      <c r="I5008" s="1">
        <v>41722</v>
      </c>
      <c r="J5008" s="1">
        <v>41722</v>
      </c>
      <c r="K5008" s="1">
        <v>41812</v>
      </c>
      <c r="N5008" s="5"/>
      <c r="O5008">
        <v>18.61</v>
      </c>
      <c r="P5008">
        <v>225</v>
      </c>
      <c r="Q5008" s="2">
        <v>4187.25</v>
      </c>
      <c r="R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 s="1">
        <v>42382</v>
      </c>
      <c r="AC5008" t="s">
        <v>53</v>
      </c>
      <c r="AD5008" t="s">
        <v>53</v>
      </c>
      <c r="AK5008">
        <v>0</v>
      </c>
      <c r="AU5008" s="6">
        <v>42037</v>
      </c>
      <c r="AV5008" s="6">
        <v>42037</v>
      </c>
      <c r="AW5008" t="s">
        <v>54</v>
      </c>
      <c r="AX5008" t="str">
        <f t="shared" si="426"/>
        <v>FOR</v>
      </c>
      <c r="AY5008" t="s">
        <v>55</v>
      </c>
    </row>
    <row r="5009" spans="1:51" hidden="1">
      <c r="A5009">
        <v>101934</v>
      </c>
      <c r="B5009" t="s">
        <v>937</v>
      </c>
      <c r="C5009" t="str">
        <f t="shared" si="427"/>
        <v>06175550638</v>
      </c>
      <c r="D5009" t="str">
        <f t="shared" si="427"/>
        <v>06175550638</v>
      </c>
      <c r="E5009" t="s">
        <v>52</v>
      </c>
      <c r="F5009">
        <v>2014</v>
      </c>
      <c r="G5009">
        <v>445</v>
      </c>
      <c r="H5009" s="1">
        <v>41698</v>
      </c>
      <c r="I5009" s="1">
        <v>41722</v>
      </c>
      <c r="J5009" s="1">
        <v>41722</v>
      </c>
      <c r="K5009" s="1">
        <v>41812</v>
      </c>
      <c r="N5009" s="5"/>
      <c r="O5009">
        <v>150.80000000000001</v>
      </c>
      <c r="P5009">
        <v>225</v>
      </c>
      <c r="Q5009" s="2">
        <v>33930</v>
      </c>
      <c r="R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 s="1">
        <v>42382</v>
      </c>
      <c r="AC5009" t="s">
        <v>53</v>
      </c>
      <c r="AD5009" t="s">
        <v>53</v>
      </c>
      <c r="AK5009">
        <v>0</v>
      </c>
      <c r="AU5009" s="6">
        <v>42037</v>
      </c>
      <c r="AV5009" s="6">
        <v>42037</v>
      </c>
      <c r="AW5009" t="s">
        <v>54</v>
      </c>
      <c r="AX5009" t="str">
        <f t="shared" si="426"/>
        <v>FOR</v>
      </c>
      <c r="AY5009" t="s">
        <v>55</v>
      </c>
    </row>
    <row r="5010" spans="1:51" hidden="1">
      <c r="A5010">
        <v>101934</v>
      </c>
      <c r="B5010" t="s">
        <v>937</v>
      </c>
      <c r="C5010" t="str">
        <f t="shared" si="427"/>
        <v>06175550638</v>
      </c>
      <c r="D5010" t="str">
        <f t="shared" si="427"/>
        <v>06175550638</v>
      </c>
      <c r="E5010" t="s">
        <v>52</v>
      </c>
      <c r="F5010">
        <v>2014</v>
      </c>
      <c r="G5010">
        <v>446</v>
      </c>
      <c r="H5010" s="1">
        <v>41698</v>
      </c>
      <c r="I5010" s="1">
        <v>41722</v>
      </c>
      <c r="J5010" s="1">
        <v>41722</v>
      </c>
      <c r="K5010" s="1">
        <v>41812</v>
      </c>
      <c r="N5010" s="5"/>
      <c r="O5010">
        <v>150.80000000000001</v>
      </c>
      <c r="P5010">
        <v>225</v>
      </c>
      <c r="Q5010" s="2">
        <v>33930</v>
      </c>
      <c r="R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 s="1">
        <v>42382</v>
      </c>
      <c r="AC5010" t="s">
        <v>53</v>
      </c>
      <c r="AD5010" t="s">
        <v>53</v>
      </c>
      <c r="AK5010">
        <v>0</v>
      </c>
      <c r="AU5010" s="6">
        <v>42037</v>
      </c>
      <c r="AV5010" s="6">
        <v>42037</v>
      </c>
      <c r="AW5010" t="s">
        <v>54</v>
      </c>
      <c r="AX5010" t="str">
        <f t="shared" si="426"/>
        <v>FOR</v>
      </c>
      <c r="AY5010" t="s">
        <v>55</v>
      </c>
    </row>
    <row r="5011" spans="1:51" hidden="1">
      <c r="A5011">
        <v>101934</v>
      </c>
      <c r="B5011" t="s">
        <v>937</v>
      </c>
      <c r="C5011" t="str">
        <f t="shared" si="427"/>
        <v>06175550638</v>
      </c>
      <c r="D5011" t="str">
        <f t="shared" si="427"/>
        <v>06175550638</v>
      </c>
      <c r="E5011" t="s">
        <v>52</v>
      </c>
      <c r="F5011">
        <v>2014</v>
      </c>
      <c r="G5011">
        <v>900</v>
      </c>
      <c r="H5011" s="1">
        <v>41759</v>
      </c>
      <c r="I5011" s="1">
        <v>41778</v>
      </c>
      <c r="J5011" s="1">
        <v>41778</v>
      </c>
      <c r="K5011" s="1">
        <v>41868</v>
      </c>
      <c r="N5011" s="5"/>
      <c r="O5011">
        <v>150.80000000000001</v>
      </c>
      <c r="P5011">
        <v>234</v>
      </c>
      <c r="Q5011" s="2">
        <v>35287.199999999997</v>
      </c>
      <c r="R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 s="1">
        <v>42382</v>
      </c>
      <c r="AC5011" t="s">
        <v>53</v>
      </c>
      <c r="AD5011" t="s">
        <v>53</v>
      </c>
      <c r="AK5011">
        <v>0</v>
      </c>
      <c r="AU5011" s="6">
        <v>42102</v>
      </c>
      <c r="AV5011" s="6">
        <v>42102</v>
      </c>
      <c r="AW5011" t="s">
        <v>54</v>
      </c>
      <c r="AX5011" t="str">
        <f t="shared" si="426"/>
        <v>FOR</v>
      </c>
      <c r="AY5011" t="s">
        <v>55</v>
      </c>
    </row>
    <row r="5012" spans="1:51" hidden="1">
      <c r="A5012">
        <v>101934</v>
      </c>
      <c r="B5012" t="s">
        <v>937</v>
      </c>
      <c r="C5012" t="str">
        <f t="shared" si="427"/>
        <v>06175550638</v>
      </c>
      <c r="D5012" t="str">
        <f t="shared" si="427"/>
        <v>06175550638</v>
      </c>
      <c r="E5012" t="s">
        <v>52</v>
      </c>
      <c r="F5012">
        <v>2014</v>
      </c>
      <c r="G5012">
        <v>901</v>
      </c>
      <c r="H5012" s="1">
        <v>41759</v>
      </c>
      <c r="I5012" s="1">
        <v>41778</v>
      </c>
      <c r="J5012" s="1">
        <v>41778</v>
      </c>
      <c r="K5012" s="1">
        <v>41868</v>
      </c>
      <c r="N5012" s="5"/>
      <c r="O5012">
        <v>150.80000000000001</v>
      </c>
      <c r="P5012">
        <v>234</v>
      </c>
      <c r="Q5012" s="2">
        <v>35287.199999999997</v>
      </c>
      <c r="R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 s="1">
        <v>42382</v>
      </c>
      <c r="AC5012" t="s">
        <v>53</v>
      </c>
      <c r="AD5012" t="s">
        <v>53</v>
      </c>
      <c r="AK5012">
        <v>0</v>
      </c>
      <c r="AU5012" s="6">
        <v>42102</v>
      </c>
      <c r="AV5012" s="6">
        <v>42102</v>
      </c>
      <c r="AW5012" t="s">
        <v>54</v>
      </c>
      <c r="AX5012" t="str">
        <f t="shared" si="426"/>
        <v>FOR</v>
      </c>
      <c r="AY5012" t="s">
        <v>55</v>
      </c>
    </row>
    <row r="5013" spans="1:51" hidden="1">
      <c r="A5013">
        <v>101934</v>
      </c>
      <c r="B5013" t="s">
        <v>937</v>
      </c>
      <c r="C5013" t="str">
        <f t="shared" si="427"/>
        <v>06175550638</v>
      </c>
      <c r="D5013" t="str">
        <f t="shared" si="427"/>
        <v>06175550638</v>
      </c>
      <c r="E5013" t="s">
        <v>52</v>
      </c>
      <c r="F5013">
        <v>2014</v>
      </c>
      <c r="G5013">
        <v>902</v>
      </c>
      <c r="H5013" s="1">
        <v>41759</v>
      </c>
      <c r="I5013" s="1">
        <v>41778</v>
      </c>
      <c r="J5013" s="1">
        <v>41778</v>
      </c>
      <c r="K5013" s="1">
        <v>41868</v>
      </c>
      <c r="N5013" s="5"/>
      <c r="O5013">
        <v>150.80000000000001</v>
      </c>
      <c r="P5013">
        <v>234</v>
      </c>
      <c r="Q5013" s="2">
        <v>35287.199999999997</v>
      </c>
      <c r="R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 s="1">
        <v>42382</v>
      </c>
      <c r="AC5013" t="s">
        <v>53</v>
      </c>
      <c r="AD5013" t="s">
        <v>53</v>
      </c>
      <c r="AK5013">
        <v>0</v>
      </c>
      <c r="AU5013" s="6">
        <v>42102</v>
      </c>
      <c r="AV5013" s="6">
        <v>42102</v>
      </c>
      <c r="AW5013" t="s">
        <v>54</v>
      </c>
      <c r="AX5013" t="str">
        <f t="shared" si="426"/>
        <v>FOR</v>
      </c>
      <c r="AY5013" t="s">
        <v>55</v>
      </c>
    </row>
    <row r="5014" spans="1:51" hidden="1">
      <c r="A5014">
        <v>101934</v>
      </c>
      <c r="B5014" t="s">
        <v>937</v>
      </c>
      <c r="C5014" t="str">
        <f t="shared" si="427"/>
        <v>06175550638</v>
      </c>
      <c r="D5014" t="str">
        <f t="shared" si="427"/>
        <v>06175550638</v>
      </c>
      <c r="E5014" t="s">
        <v>52</v>
      </c>
      <c r="F5014">
        <v>2014</v>
      </c>
      <c r="G5014">
        <v>903</v>
      </c>
      <c r="H5014" s="1">
        <v>41759</v>
      </c>
      <c r="I5014" s="1">
        <v>41778</v>
      </c>
      <c r="J5014" s="1">
        <v>41778</v>
      </c>
      <c r="K5014" s="1">
        <v>41868</v>
      </c>
      <c r="N5014" s="5"/>
      <c r="O5014">
        <v>150.80000000000001</v>
      </c>
      <c r="P5014">
        <v>234</v>
      </c>
      <c r="Q5014" s="2">
        <v>35287.199999999997</v>
      </c>
      <c r="R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 s="1">
        <v>42382</v>
      </c>
      <c r="AC5014" t="s">
        <v>53</v>
      </c>
      <c r="AD5014" t="s">
        <v>53</v>
      </c>
      <c r="AK5014">
        <v>0</v>
      </c>
      <c r="AU5014" s="6">
        <v>42102</v>
      </c>
      <c r="AV5014" s="6">
        <v>42102</v>
      </c>
      <c r="AW5014" t="s">
        <v>54</v>
      </c>
      <c r="AX5014" t="str">
        <f t="shared" si="426"/>
        <v>FOR</v>
      </c>
      <c r="AY5014" t="s">
        <v>55</v>
      </c>
    </row>
    <row r="5015" spans="1:51" hidden="1">
      <c r="A5015">
        <v>101934</v>
      </c>
      <c r="B5015" t="s">
        <v>937</v>
      </c>
      <c r="C5015" t="str">
        <f t="shared" si="427"/>
        <v>06175550638</v>
      </c>
      <c r="D5015" t="str">
        <f t="shared" si="427"/>
        <v>06175550638</v>
      </c>
      <c r="E5015" t="s">
        <v>52</v>
      </c>
      <c r="F5015">
        <v>2014</v>
      </c>
      <c r="G5015">
        <v>904</v>
      </c>
      <c r="H5015" s="1">
        <v>41759</v>
      </c>
      <c r="I5015" s="1">
        <v>41778</v>
      </c>
      <c r="J5015" s="1">
        <v>41778</v>
      </c>
      <c r="K5015" s="1">
        <v>41868</v>
      </c>
      <c r="N5015" s="5"/>
      <c r="O5015">
        <v>150.80000000000001</v>
      </c>
      <c r="P5015">
        <v>234</v>
      </c>
      <c r="Q5015" s="2">
        <v>35287.199999999997</v>
      </c>
      <c r="R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 s="1">
        <v>42382</v>
      </c>
      <c r="AC5015" t="s">
        <v>53</v>
      </c>
      <c r="AD5015" t="s">
        <v>53</v>
      </c>
      <c r="AK5015">
        <v>0</v>
      </c>
      <c r="AU5015" s="6">
        <v>42102</v>
      </c>
      <c r="AV5015" s="6">
        <v>42102</v>
      </c>
      <c r="AW5015" t="s">
        <v>54</v>
      </c>
      <c r="AX5015" t="str">
        <f t="shared" si="426"/>
        <v>FOR</v>
      </c>
      <c r="AY5015" t="s">
        <v>55</v>
      </c>
    </row>
    <row r="5016" spans="1:51" hidden="1">
      <c r="A5016">
        <v>101934</v>
      </c>
      <c r="B5016" t="s">
        <v>937</v>
      </c>
      <c r="C5016" t="str">
        <f t="shared" si="427"/>
        <v>06175550638</v>
      </c>
      <c r="D5016" t="str">
        <f t="shared" si="427"/>
        <v>06175550638</v>
      </c>
      <c r="E5016" t="s">
        <v>52</v>
      </c>
      <c r="F5016">
        <v>2014</v>
      </c>
      <c r="G5016">
        <v>935</v>
      </c>
      <c r="H5016" s="1">
        <v>41759</v>
      </c>
      <c r="I5016" s="1">
        <v>41778</v>
      </c>
      <c r="J5016" s="1">
        <v>41778</v>
      </c>
      <c r="K5016" s="1">
        <v>41868</v>
      </c>
      <c r="N5016" s="5"/>
      <c r="O5016">
        <v>150.80000000000001</v>
      </c>
      <c r="P5016">
        <v>234</v>
      </c>
      <c r="Q5016" s="2">
        <v>35287.199999999997</v>
      </c>
      <c r="R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 s="1">
        <v>42382</v>
      </c>
      <c r="AC5016" t="s">
        <v>53</v>
      </c>
      <c r="AD5016" t="s">
        <v>53</v>
      </c>
      <c r="AK5016">
        <v>0</v>
      </c>
      <c r="AU5016" s="6">
        <v>42102</v>
      </c>
      <c r="AV5016" s="6">
        <v>42102</v>
      </c>
      <c r="AW5016" t="s">
        <v>54</v>
      </c>
      <c r="AX5016" t="str">
        <f t="shared" si="426"/>
        <v>FOR</v>
      </c>
      <c r="AY5016" t="s">
        <v>55</v>
      </c>
    </row>
    <row r="5017" spans="1:51" hidden="1">
      <c r="A5017">
        <v>101934</v>
      </c>
      <c r="B5017" t="s">
        <v>937</v>
      </c>
      <c r="C5017" t="str">
        <f t="shared" si="427"/>
        <v>06175550638</v>
      </c>
      <c r="D5017" t="str">
        <f t="shared" si="427"/>
        <v>06175550638</v>
      </c>
      <c r="E5017" t="s">
        <v>52</v>
      </c>
      <c r="F5017">
        <v>2014</v>
      </c>
      <c r="G5017">
        <v>936</v>
      </c>
      <c r="H5017" s="1">
        <v>41759</v>
      </c>
      <c r="I5017" s="1">
        <v>41778</v>
      </c>
      <c r="J5017" s="1">
        <v>41778</v>
      </c>
      <c r="K5017" s="1">
        <v>41868</v>
      </c>
      <c r="N5017" s="5"/>
      <c r="O5017">
        <v>150.80000000000001</v>
      </c>
      <c r="P5017">
        <v>234</v>
      </c>
      <c r="Q5017" s="2">
        <v>35287.199999999997</v>
      </c>
      <c r="R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 s="1">
        <v>42382</v>
      </c>
      <c r="AC5017" t="s">
        <v>53</v>
      </c>
      <c r="AD5017" t="s">
        <v>53</v>
      </c>
      <c r="AK5017">
        <v>0</v>
      </c>
      <c r="AU5017" s="6">
        <v>42102</v>
      </c>
      <c r="AV5017" s="6">
        <v>42102</v>
      </c>
      <c r="AW5017" t="s">
        <v>54</v>
      </c>
      <c r="AX5017" t="str">
        <f t="shared" si="426"/>
        <v>FOR</v>
      </c>
      <c r="AY5017" t="s">
        <v>55</v>
      </c>
    </row>
    <row r="5018" spans="1:51" hidden="1">
      <c r="A5018">
        <v>101934</v>
      </c>
      <c r="B5018" t="s">
        <v>937</v>
      </c>
      <c r="C5018" t="str">
        <f t="shared" si="427"/>
        <v>06175550638</v>
      </c>
      <c r="D5018" t="str">
        <f t="shared" si="427"/>
        <v>06175550638</v>
      </c>
      <c r="E5018" t="s">
        <v>52</v>
      </c>
      <c r="F5018">
        <v>2014</v>
      </c>
      <c r="G5018">
        <v>973</v>
      </c>
      <c r="H5018" s="1">
        <v>41759</v>
      </c>
      <c r="I5018" s="1">
        <v>41778</v>
      </c>
      <c r="J5018" s="1">
        <v>41778</v>
      </c>
      <c r="K5018" s="1">
        <v>41868</v>
      </c>
      <c r="N5018" s="5"/>
      <c r="O5018">
        <v>175.68</v>
      </c>
      <c r="P5018">
        <v>234</v>
      </c>
      <c r="Q5018" s="2">
        <v>41109.120000000003</v>
      </c>
      <c r="R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 s="1">
        <v>42382</v>
      </c>
      <c r="AC5018" t="s">
        <v>53</v>
      </c>
      <c r="AD5018" t="s">
        <v>53</v>
      </c>
      <c r="AK5018">
        <v>0</v>
      </c>
      <c r="AU5018" s="6">
        <v>42102</v>
      </c>
      <c r="AV5018" s="6">
        <v>42102</v>
      </c>
      <c r="AW5018" t="s">
        <v>54</v>
      </c>
      <c r="AX5018" t="str">
        <f t="shared" si="426"/>
        <v>FOR</v>
      </c>
      <c r="AY5018" t="s">
        <v>55</v>
      </c>
    </row>
    <row r="5019" spans="1:51" hidden="1">
      <c r="A5019">
        <v>101934</v>
      </c>
      <c r="B5019" t="s">
        <v>937</v>
      </c>
      <c r="C5019" t="str">
        <f t="shared" si="427"/>
        <v>06175550638</v>
      </c>
      <c r="D5019" t="str">
        <f t="shared" si="427"/>
        <v>06175550638</v>
      </c>
      <c r="E5019" t="s">
        <v>52</v>
      </c>
      <c r="F5019">
        <v>2014</v>
      </c>
      <c r="G5019">
        <v>985</v>
      </c>
      <c r="H5019" s="1">
        <v>41759</v>
      </c>
      <c r="I5019" s="1">
        <v>41778</v>
      </c>
      <c r="J5019" s="1">
        <v>41778</v>
      </c>
      <c r="K5019" s="1">
        <v>41868</v>
      </c>
      <c r="N5019" s="5"/>
      <c r="O5019">
        <v>150.80000000000001</v>
      </c>
      <c r="P5019">
        <v>234</v>
      </c>
      <c r="Q5019" s="2">
        <v>35287.199999999997</v>
      </c>
      <c r="R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 s="1">
        <v>42382</v>
      </c>
      <c r="AC5019" t="s">
        <v>53</v>
      </c>
      <c r="AD5019" t="s">
        <v>53</v>
      </c>
      <c r="AK5019">
        <v>0</v>
      </c>
      <c r="AU5019" s="6">
        <v>42102</v>
      </c>
      <c r="AV5019" s="6">
        <v>42102</v>
      </c>
      <c r="AW5019" t="s">
        <v>54</v>
      </c>
      <c r="AX5019" t="str">
        <f t="shared" si="426"/>
        <v>FOR</v>
      </c>
      <c r="AY5019" t="s">
        <v>55</v>
      </c>
    </row>
    <row r="5020" spans="1:51" hidden="1">
      <c r="A5020">
        <v>101934</v>
      </c>
      <c r="B5020" t="s">
        <v>937</v>
      </c>
      <c r="C5020" t="str">
        <f t="shared" si="427"/>
        <v>06175550638</v>
      </c>
      <c r="D5020" t="str">
        <f t="shared" si="427"/>
        <v>06175550638</v>
      </c>
      <c r="E5020" t="s">
        <v>52</v>
      </c>
      <c r="F5020">
        <v>2014</v>
      </c>
      <c r="G5020">
        <v>986</v>
      </c>
      <c r="H5020" s="1">
        <v>41759</v>
      </c>
      <c r="I5020" s="1">
        <v>41778</v>
      </c>
      <c r="J5020" s="1">
        <v>41778</v>
      </c>
      <c r="K5020" s="1">
        <v>41868</v>
      </c>
      <c r="N5020" s="5"/>
      <c r="O5020">
        <v>150.80000000000001</v>
      </c>
      <c r="P5020">
        <v>234</v>
      </c>
      <c r="Q5020" s="2">
        <v>35287.199999999997</v>
      </c>
      <c r="R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 s="1">
        <v>42382</v>
      </c>
      <c r="AC5020" t="s">
        <v>53</v>
      </c>
      <c r="AD5020" t="s">
        <v>53</v>
      </c>
      <c r="AK5020">
        <v>0</v>
      </c>
      <c r="AU5020" s="6">
        <v>42102</v>
      </c>
      <c r="AV5020" s="6">
        <v>42102</v>
      </c>
      <c r="AW5020" t="s">
        <v>54</v>
      </c>
      <c r="AX5020" t="str">
        <f t="shared" si="426"/>
        <v>FOR</v>
      </c>
      <c r="AY5020" t="s">
        <v>55</v>
      </c>
    </row>
    <row r="5021" spans="1:51" hidden="1">
      <c r="A5021">
        <v>101934</v>
      </c>
      <c r="B5021" t="s">
        <v>937</v>
      </c>
      <c r="C5021" t="str">
        <f t="shared" si="427"/>
        <v>06175550638</v>
      </c>
      <c r="D5021" t="str">
        <f t="shared" si="427"/>
        <v>06175550638</v>
      </c>
      <c r="E5021" t="s">
        <v>52</v>
      </c>
      <c r="F5021">
        <v>2014</v>
      </c>
      <c r="G5021">
        <v>1156</v>
      </c>
      <c r="H5021" s="1">
        <v>41789</v>
      </c>
      <c r="I5021" s="1">
        <v>41817</v>
      </c>
      <c r="J5021" s="1">
        <v>41817</v>
      </c>
      <c r="K5021" s="1">
        <v>41907</v>
      </c>
      <c r="N5021" s="5"/>
      <c r="O5021">
        <v>150.80000000000001</v>
      </c>
      <c r="P5021">
        <v>225</v>
      </c>
      <c r="Q5021" s="2">
        <v>33930</v>
      </c>
      <c r="R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 s="1">
        <v>42382</v>
      </c>
      <c r="AC5021" t="s">
        <v>53</v>
      </c>
      <c r="AD5021" t="s">
        <v>53</v>
      </c>
      <c r="AK5021">
        <v>0</v>
      </c>
      <c r="AU5021" s="6">
        <v>42132</v>
      </c>
      <c r="AV5021" s="6">
        <v>42132</v>
      </c>
      <c r="AW5021" t="s">
        <v>54</v>
      </c>
      <c r="AX5021" t="str">
        <f t="shared" si="426"/>
        <v>FOR</v>
      </c>
      <c r="AY5021" t="s">
        <v>55</v>
      </c>
    </row>
    <row r="5022" spans="1:51" hidden="1">
      <c r="A5022">
        <v>101934</v>
      </c>
      <c r="B5022" t="s">
        <v>937</v>
      </c>
      <c r="C5022" t="str">
        <f t="shared" si="427"/>
        <v>06175550638</v>
      </c>
      <c r="D5022" t="str">
        <f t="shared" si="427"/>
        <v>06175550638</v>
      </c>
      <c r="E5022" t="s">
        <v>52</v>
      </c>
      <c r="F5022">
        <v>2014</v>
      </c>
      <c r="G5022">
        <v>1157</v>
      </c>
      <c r="H5022" s="1">
        <v>41789</v>
      </c>
      <c r="I5022" s="1">
        <v>41817</v>
      </c>
      <c r="J5022" s="1">
        <v>41817</v>
      </c>
      <c r="K5022" s="1">
        <v>41907</v>
      </c>
      <c r="N5022" s="5"/>
      <c r="O5022">
        <v>150.80000000000001</v>
      </c>
      <c r="P5022">
        <v>225</v>
      </c>
      <c r="Q5022" s="2">
        <v>33930</v>
      </c>
      <c r="R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 s="1">
        <v>42382</v>
      </c>
      <c r="AC5022" t="s">
        <v>53</v>
      </c>
      <c r="AD5022" t="s">
        <v>53</v>
      </c>
      <c r="AK5022">
        <v>0</v>
      </c>
      <c r="AU5022" s="6">
        <v>42132</v>
      </c>
      <c r="AV5022" s="6">
        <v>42132</v>
      </c>
      <c r="AW5022" t="s">
        <v>54</v>
      </c>
      <c r="AX5022" t="str">
        <f t="shared" si="426"/>
        <v>FOR</v>
      </c>
      <c r="AY5022" t="s">
        <v>55</v>
      </c>
    </row>
    <row r="5023" spans="1:51" hidden="1">
      <c r="A5023">
        <v>101934</v>
      </c>
      <c r="B5023" t="s">
        <v>937</v>
      </c>
      <c r="C5023" t="str">
        <f t="shared" si="427"/>
        <v>06175550638</v>
      </c>
      <c r="D5023" t="str">
        <f t="shared" si="427"/>
        <v>06175550638</v>
      </c>
      <c r="E5023" t="s">
        <v>52</v>
      </c>
      <c r="F5023">
        <v>2014</v>
      </c>
      <c r="G5023">
        <v>1158</v>
      </c>
      <c r="H5023" s="1">
        <v>41789</v>
      </c>
      <c r="I5023" s="1">
        <v>41817</v>
      </c>
      <c r="J5023" s="1">
        <v>41817</v>
      </c>
      <c r="K5023" s="1">
        <v>41907</v>
      </c>
      <c r="N5023" s="5"/>
      <c r="O5023">
        <v>150.80000000000001</v>
      </c>
      <c r="P5023">
        <v>225</v>
      </c>
      <c r="Q5023" s="2">
        <v>33930</v>
      </c>
      <c r="R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 s="1">
        <v>42382</v>
      </c>
      <c r="AC5023" t="s">
        <v>53</v>
      </c>
      <c r="AD5023" t="s">
        <v>53</v>
      </c>
      <c r="AK5023">
        <v>0</v>
      </c>
      <c r="AU5023" s="6">
        <v>42132</v>
      </c>
      <c r="AV5023" s="6">
        <v>42132</v>
      </c>
      <c r="AW5023" t="s">
        <v>54</v>
      </c>
      <c r="AX5023" t="str">
        <f t="shared" si="426"/>
        <v>FOR</v>
      </c>
      <c r="AY5023" t="s">
        <v>55</v>
      </c>
    </row>
    <row r="5024" spans="1:51" hidden="1">
      <c r="A5024">
        <v>101934</v>
      </c>
      <c r="B5024" t="s">
        <v>937</v>
      </c>
      <c r="C5024" t="str">
        <f t="shared" si="427"/>
        <v>06175550638</v>
      </c>
      <c r="D5024" t="str">
        <f t="shared" si="427"/>
        <v>06175550638</v>
      </c>
      <c r="E5024" t="s">
        <v>52</v>
      </c>
      <c r="F5024">
        <v>2014</v>
      </c>
      <c r="G5024">
        <v>1159</v>
      </c>
      <c r="H5024" s="1">
        <v>41789</v>
      </c>
      <c r="I5024" s="1">
        <v>41817</v>
      </c>
      <c r="J5024" s="1">
        <v>41817</v>
      </c>
      <c r="K5024" s="1">
        <v>41907</v>
      </c>
      <c r="N5024" s="5"/>
      <c r="O5024">
        <v>150.80000000000001</v>
      </c>
      <c r="P5024">
        <v>225</v>
      </c>
      <c r="Q5024" s="2">
        <v>33930</v>
      </c>
      <c r="R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 s="1">
        <v>42382</v>
      </c>
      <c r="AC5024" t="s">
        <v>53</v>
      </c>
      <c r="AD5024" t="s">
        <v>53</v>
      </c>
      <c r="AK5024">
        <v>0</v>
      </c>
      <c r="AU5024" s="6">
        <v>42132</v>
      </c>
      <c r="AV5024" s="6">
        <v>42132</v>
      </c>
      <c r="AW5024" t="s">
        <v>54</v>
      </c>
      <c r="AX5024" t="str">
        <f t="shared" si="426"/>
        <v>FOR</v>
      </c>
      <c r="AY5024" t="s">
        <v>55</v>
      </c>
    </row>
    <row r="5025" spans="1:51" hidden="1">
      <c r="A5025">
        <v>101934</v>
      </c>
      <c r="B5025" t="s">
        <v>937</v>
      </c>
      <c r="C5025" t="str">
        <f t="shared" si="427"/>
        <v>06175550638</v>
      </c>
      <c r="D5025" t="str">
        <f t="shared" si="427"/>
        <v>06175550638</v>
      </c>
      <c r="E5025" t="s">
        <v>52</v>
      </c>
      <c r="F5025">
        <v>2014</v>
      </c>
      <c r="G5025">
        <v>1160</v>
      </c>
      <c r="H5025" s="1">
        <v>41789</v>
      </c>
      <c r="I5025" s="1">
        <v>41817</v>
      </c>
      <c r="J5025" s="1">
        <v>41817</v>
      </c>
      <c r="K5025" s="1">
        <v>41907</v>
      </c>
      <c r="N5025" s="5"/>
      <c r="O5025">
        <v>150.80000000000001</v>
      </c>
      <c r="P5025">
        <v>225</v>
      </c>
      <c r="Q5025" s="2">
        <v>33930</v>
      </c>
      <c r="R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 s="1">
        <v>42382</v>
      </c>
      <c r="AC5025" t="s">
        <v>53</v>
      </c>
      <c r="AD5025" t="s">
        <v>53</v>
      </c>
      <c r="AK5025">
        <v>0</v>
      </c>
      <c r="AU5025" s="6">
        <v>42132</v>
      </c>
      <c r="AV5025" s="6">
        <v>42132</v>
      </c>
      <c r="AW5025" t="s">
        <v>54</v>
      </c>
      <c r="AX5025" t="str">
        <f t="shared" si="426"/>
        <v>FOR</v>
      </c>
      <c r="AY5025" t="s">
        <v>55</v>
      </c>
    </row>
    <row r="5026" spans="1:51" hidden="1">
      <c r="A5026">
        <v>101934</v>
      </c>
      <c r="B5026" t="s">
        <v>937</v>
      </c>
      <c r="C5026" t="str">
        <f t="shared" ref="C5026:D5045" si="428">"06175550638"</f>
        <v>06175550638</v>
      </c>
      <c r="D5026" t="str">
        <f t="shared" si="428"/>
        <v>06175550638</v>
      </c>
      <c r="E5026" t="s">
        <v>52</v>
      </c>
      <c r="F5026">
        <v>2014</v>
      </c>
      <c r="G5026">
        <v>1161</v>
      </c>
      <c r="H5026" s="1">
        <v>41789</v>
      </c>
      <c r="I5026" s="1">
        <v>41817</v>
      </c>
      <c r="J5026" s="1">
        <v>41817</v>
      </c>
      <c r="K5026" s="1">
        <v>41907</v>
      </c>
      <c r="N5026" s="5"/>
      <c r="O5026">
        <v>150.80000000000001</v>
      </c>
      <c r="P5026">
        <v>225</v>
      </c>
      <c r="Q5026" s="2">
        <v>33930</v>
      </c>
      <c r="R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 s="1">
        <v>42382</v>
      </c>
      <c r="AC5026" t="s">
        <v>53</v>
      </c>
      <c r="AD5026" t="s">
        <v>53</v>
      </c>
      <c r="AK5026">
        <v>0</v>
      </c>
      <c r="AU5026" s="6">
        <v>42132</v>
      </c>
      <c r="AV5026" s="6">
        <v>42132</v>
      </c>
      <c r="AW5026" t="s">
        <v>54</v>
      </c>
      <c r="AX5026" t="str">
        <f t="shared" si="426"/>
        <v>FOR</v>
      </c>
      <c r="AY5026" t="s">
        <v>55</v>
      </c>
    </row>
    <row r="5027" spans="1:51" hidden="1">
      <c r="A5027">
        <v>101934</v>
      </c>
      <c r="B5027" t="s">
        <v>937</v>
      </c>
      <c r="C5027" t="str">
        <f t="shared" si="428"/>
        <v>06175550638</v>
      </c>
      <c r="D5027" t="str">
        <f t="shared" si="428"/>
        <v>06175550638</v>
      </c>
      <c r="E5027" t="s">
        <v>52</v>
      </c>
      <c r="F5027">
        <v>2014</v>
      </c>
      <c r="G5027">
        <v>1162</v>
      </c>
      <c r="H5027" s="1">
        <v>41789</v>
      </c>
      <c r="I5027" s="1">
        <v>41817</v>
      </c>
      <c r="J5027" s="1">
        <v>41817</v>
      </c>
      <c r="K5027" s="1">
        <v>41907</v>
      </c>
      <c r="N5027" s="5"/>
      <c r="O5027">
        <v>150.80000000000001</v>
      </c>
      <c r="P5027">
        <v>225</v>
      </c>
      <c r="Q5027" s="2">
        <v>33930</v>
      </c>
      <c r="R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 s="1">
        <v>42382</v>
      </c>
      <c r="AC5027" t="s">
        <v>53</v>
      </c>
      <c r="AD5027" t="s">
        <v>53</v>
      </c>
      <c r="AK5027">
        <v>0</v>
      </c>
      <c r="AU5027" s="6">
        <v>42132</v>
      </c>
      <c r="AV5027" s="6">
        <v>42132</v>
      </c>
      <c r="AW5027" t="s">
        <v>54</v>
      </c>
      <c r="AX5027" t="str">
        <f t="shared" si="426"/>
        <v>FOR</v>
      </c>
      <c r="AY5027" t="s">
        <v>55</v>
      </c>
    </row>
    <row r="5028" spans="1:51" hidden="1">
      <c r="A5028">
        <v>101934</v>
      </c>
      <c r="B5028" t="s">
        <v>937</v>
      </c>
      <c r="C5028" t="str">
        <f t="shared" si="428"/>
        <v>06175550638</v>
      </c>
      <c r="D5028" t="str">
        <f t="shared" si="428"/>
        <v>06175550638</v>
      </c>
      <c r="E5028" t="s">
        <v>52</v>
      </c>
      <c r="F5028">
        <v>2014</v>
      </c>
      <c r="G5028">
        <v>1163</v>
      </c>
      <c r="H5028" s="1">
        <v>41789</v>
      </c>
      <c r="I5028" s="1">
        <v>41817</v>
      </c>
      <c r="J5028" s="1">
        <v>41817</v>
      </c>
      <c r="K5028" s="1">
        <v>41907</v>
      </c>
      <c r="N5028" s="5"/>
      <c r="O5028">
        <v>150.80000000000001</v>
      </c>
      <c r="P5028">
        <v>225</v>
      </c>
      <c r="Q5028" s="2">
        <v>33930</v>
      </c>
      <c r="R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 s="1">
        <v>42382</v>
      </c>
      <c r="AC5028" t="s">
        <v>53</v>
      </c>
      <c r="AD5028" t="s">
        <v>53</v>
      </c>
      <c r="AK5028">
        <v>0</v>
      </c>
      <c r="AU5028" s="6">
        <v>42132</v>
      </c>
      <c r="AV5028" s="6">
        <v>42132</v>
      </c>
      <c r="AW5028" t="s">
        <v>54</v>
      </c>
      <c r="AX5028" t="str">
        <f t="shared" si="426"/>
        <v>FOR</v>
      </c>
      <c r="AY5028" t="s">
        <v>55</v>
      </c>
    </row>
    <row r="5029" spans="1:51">
      <c r="A5029">
        <v>101934</v>
      </c>
      <c r="B5029" t="s">
        <v>937</v>
      </c>
      <c r="C5029" t="str">
        <f t="shared" si="428"/>
        <v>06175550638</v>
      </c>
      <c r="D5029" t="str">
        <f t="shared" si="428"/>
        <v>06175550638</v>
      </c>
      <c r="E5029" t="s">
        <v>52</v>
      </c>
      <c r="F5029">
        <v>2014</v>
      </c>
      <c r="G5029">
        <v>1383</v>
      </c>
      <c r="H5029" s="1">
        <v>41820</v>
      </c>
      <c r="I5029" s="1">
        <v>42293</v>
      </c>
      <c r="J5029" s="1">
        <v>42293</v>
      </c>
      <c r="K5029" s="1">
        <v>42353</v>
      </c>
      <c r="L5029" s="7">
        <v>150.80000000000001</v>
      </c>
      <c r="M5029" s="5">
        <v>-13</v>
      </c>
      <c r="N5029" s="7">
        <v>-1960.4</v>
      </c>
      <c r="O5029">
        <v>150.80000000000001</v>
      </c>
      <c r="P5029">
        <v>-13</v>
      </c>
      <c r="Q5029" s="2">
        <v>-1960.4</v>
      </c>
      <c r="R5029">
        <v>0</v>
      </c>
      <c r="V5029">
        <v>0</v>
      </c>
      <c r="W5029">
        <v>150.80000000000001</v>
      </c>
      <c r="X5029">
        <v>0</v>
      </c>
      <c r="Y5029">
        <v>0</v>
      </c>
      <c r="Z5029">
        <v>150.80000000000001</v>
      </c>
      <c r="AA5029">
        <v>0</v>
      </c>
      <c r="AB5029" s="1">
        <v>42382</v>
      </c>
      <c r="AC5029" t="s">
        <v>53</v>
      </c>
      <c r="AD5029" t="s">
        <v>53</v>
      </c>
      <c r="AK5029">
        <v>0</v>
      </c>
      <c r="AU5029" s="6">
        <v>42340</v>
      </c>
      <c r="AV5029" s="6">
        <v>42340</v>
      </c>
      <c r="AW5029" t="s">
        <v>54</v>
      </c>
      <c r="AX5029" t="str">
        <f t="shared" si="426"/>
        <v>FOR</v>
      </c>
      <c r="AY5029" t="s">
        <v>55</v>
      </c>
    </row>
    <row r="5030" spans="1:51">
      <c r="A5030">
        <v>101934</v>
      </c>
      <c r="B5030" t="s">
        <v>937</v>
      </c>
      <c r="C5030" t="str">
        <f t="shared" si="428"/>
        <v>06175550638</v>
      </c>
      <c r="D5030" t="str">
        <f t="shared" si="428"/>
        <v>06175550638</v>
      </c>
      <c r="E5030" t="s">
        <v>52</v>
      </c>
      <c r="F5030">
        <v>2014</v>
      </c>
      <c r="G5030">
        <v>1384</v>
      </c>
      <c r="H5030" s="1">
        <v>41820</v>
      </c>
      <c r="I5030" s="1">
        <v>42293</v>
      </c>
      <c r="J5030" s="1">
        <v>42293</v>
      </c>
      <c r="K5030" s="1">
        <v>42353</v>
      </c>
      <c r="L5030" s="7">
        <v>150.80000000000001</v>
      </c>
      <c r="M5030" s="5">
        <v>-12</v>
      </c>
      <c r="N5030" s="7">
        <v>-1809.6</v>
      </c>
      <c r="O5030">
        <v>150.80000000000001</v>
      </c>
      <c r="P5030">
        <v>-12</v>
      </c>
      <c r="Q5030" s="2">
        <v>-1809.6</v>
      </c>
      <c r="R5030">
        <v>0</v>
      </c>
      <c r="V5030">
        <v>0</v>
      </c>
      <c r="W5030">
        <v>150.80000000000001</v>
      </c>
      <c r="X5030">
        <v>0</v>
      </c>
      <c r="Y5030">
        <v>0</v>
      </c>
      <c r="Z5030">
        <v>150.80000000000001</v>
      </c>
      <c r="AA5030">
        <v>0</v>
      </c>
      <c r="AB5030" s="1">
        <v>42382</v>
      </c>
      <c r="AC5030" t="s">
        <v>53</v>
      </c>
      <c r="AD5030" t="s">
        <v>53</v>
      </c>
      <c r="AK5030">
        <v>0</v>
      </c>
      <c r="AU5030" s="6">
        <v>42341</v>
      </c>
      <c r="AV5030" s="6">
        <v>42341</v>
      </c>
      <c r="AW5030" t="s">
        <v>54</v>
      </c>
      <c r="AX5030" t="str">
        <f t="shared" si="426"/>
        <v>FOR</v>
      </c>
      <c r="AY5030" t="s">
        <v>55</v>
      </c>
    </row>
    <row r="5031" spans="1:51">
      <c r="A5031">
        <v>101934</v>
      </c>
      <c r="B5031" t="s">
        <v>937</v>
      </c>
      <c r="C5031" t="str">
        <f t="shared" si="428"/>
        <v>06175550638</v>
      </c>
      <c r="D5031" t="str">
        <f t="shared" si="428"/>
        <v>06175550638</v>
      </c>
      <c r="E5031" t="s">
        <v>52</v>
      </c>
      <c r="F5031">
        <v>2014</v>
      </c>
      <c r="G5031">
        <v>1385</v>
      </c>
      <c r="H5031" s="1">
        <v>41820</v>
      </c>
      <c r="I5031" s="1">
        <v>42293</v>
      </c>
      <c r="J5031" s="1">
        <v>42293</v>
      </c>
      <c r="K5031" s="1">
        <v>42353</v>
      </c>
      <c r="L5031" s="7">
        <v>150.80000000000001</v>
      </c>
      <c r="M5031" s="5">
        <v>-13</v>
      </c>
      <c r="N5031" s="7">
        <v>-1960.4</v>
      </c>
      <c r="O5031">
        <v>150.80000000000001</v>
      </c>
      <c r="P5031">
        <v>-13</v>
      </c>
      <c r="Q5031" s="2">
        <v>-1960.4</v>
      </c>
      <c r="R5031">
        <v>0</v>
      </c>
      <c r="V5031">
        <v>0</v>
      </c>
      <c r="W5031">
        <v>150.80000000000001</v>
      </c>
      <c r="X5031">
        <v>0</v>
      </c>
      <c r="Y5031">
        <v>0</v>
      </c>
      <c r="Z5031">
        <v>150.80000000000001</v>
      </c>
      <c r="AA5031">
        <v>0</v>
      </c>
      <c r="AB5031" s="1">
        <v>42382</v>
      </c>
      <c r="AC5031" t="s">
        <v>53</v>
      </c>
      <c r="AD5031" t="s">
        <v>53</v>
      </c>
      <c r="AK5031">
        <v>0</v>
      </c>
      <c r="AU5031" s="6">
        <v>42340</v>
      </c>
      <c r="AV5031" s="6">
        <v>42340</v>
      </c>
      <c r="AW5031" t="s">
        <v>54</v>
      </c>
      <c r="AX5031" t="str">
        <f t="shared" si="426"/>
        <v>FOR</v>
      </c>
      <c r="AY5031" t="s">
        <v>55</v>
      </c>
    </row>
    <row r="5032" spans="1:51">
      <c r="A5032">
        <v>101934</v>
      </c>
      <c r="B5032" t="s">
        <v>937</v>
      </c>
      <c r="C5032" t="str">
        <f t="shared" si="428"/>
        <v>06175550638</v>
      </c>
      <c r="D5032" t="str">
        <f t="shared" si="428"/>
        <v>06175550638</v>
      </c>
      <c r="E5032" t="s">
        <v>52</v>
      </c>
      <c r="F5032">
        <v>2014</v>
      </c>
      <c r="G5032">
        <v>1386</v>
      </c>
      <c r="H5032" s="1">
        <v>41820</v>
      </c>
      <c r="I5032" s="1">
        <v>42293</v>
      </c>
      <c r="J5032" s="1">
        <v>42293</v>
      </c>
      <c r="K5032" s="1">
        <v>42353</v>
      </c>
      <c r="L5032" s="7">
        <v>150.80000000000001</v>
      </c>
      <c r="M5032" s="5">
        <v>-13</v>
      </c>
      <c r="N5032" s="7">
        <v>-1960.4</v>
      </c>
      <c r="O5032">
        <v>150.80000000000001</v>
      </c>
      <c r="P5032">
        <v>-13</v>
      </c>
      <c r="Q5032" s="2">
        <v>-1960.4</v>
      </c>
      <c r="R5032">
        <v>0</v>
      </c>
      <c r="V5032">
        <v>0</v>
      </c>
      <c r="W5032">
        <v>150.80000000000001</v>
      </c>
      <c r="X5032">
        <v>0</v>
      </c>
      <c r="Y5032">
        <v>0</v>
      </c>
      <c r="Z5032">
        <v>150.80000000000001</v>
      </c>
      <c r="AA5032">
        <v>0</v>
      </c>
      <c r="AB5032" s="1">
        <v>42382</v>
      </c>
      <c r="AC5032" t="s">
        <v>53</v>
      </c>
      <c r="AD5032" t="s">
        <v>53</v>
      </c>
      <c r="AK5032">
        <v>0</v>
      </c>
      <c r="AU5032" s="6">
        <v>42340</v>
      </c>
      <c r="AV5032" s="6">
        <v>42340</v>
      </c>
      <c r="AW5032" t="s">
        <v>54</v>
      </c>
      <c r="AX5032" t="str">
        <f t="shared" si="426"/>
        <v>FOR</v>
      </c>
      <c r="AY5032" t="s">
        <v>55</v>
      </c>
    </row>
    <row r="5033" spans="1:51">
      <c r="A5033">
        <v>101934</v>
      </c>
      <c r="B5033" t="s">
        <v>937</v>
      </c>
      <c r="C5033" t="str">
        <f t="shared" si="428"/>
        <v>06175550638</v>
      </c>
      <c r="D5033" t="str">
        <f t="shared" si="428"/>
        <v>06175550638</v>
      </c>
      <c r="E5033" t="s">
        <v>52</v>
      </c>
      <c r="F5033">
        <v>2014</v>
      </c>
      <c r="G5033">
        <v>1387</v>
      </c>
      <c r="H5033" s="1">
        <v>41820</v>
      </c>
      <c r="I5033" s="1">
        <v>42293</v>
      </c>
      <c r="J5033" s="1">
        <v>42293</v>
      </c>
      <c r="K5033" s="1">
        <v>42353</v>
      </c>
      <c r="L5033" s="7">
        <v>150.80000000000001</v>
      </c>
      <c r="M5033" s="5">
        <v>-13</v>
      </c>
      <c r="N5033" s="7">
        <v>-1960.4</v>
      </c>
      <c r="O5033">
        <v>150.80000000000001</v>
      </c>
      <c r="P5033">
        <v>-13</v>
      </c>
      <c r="Q5033" s="2">
        <v>-1960.4</v>
      </c>
      <c r="R5033">
        <v>0</v>
      </c>
      <c r="V5033">
        <v>0</v>
      </c>
      <c r="W5033">
        <v>150.80000000000001</v>
      </c>
      <c r="X5033">
        <v>0</v>
      </c>
      <c r="Y5033">
        <v>0</v>
      </c>
      <c r="Z5033">
        <v>150.80000000000001</v>
      </c>
      <c r="AA5033">
        <v>0</v>
      </c>
      <c r="AB5033" s="1">
        <v>42382</v>
      </c>
      <c r="AC5033" t="s">
        <v>53</v>
      </c>
      <c r="AD5033" t="s">
        <v>53</v>
      </c>
      <c r="AK5033">
        <v>0</v>
      </c>
      <c r="AU5033" s="6">
        <v>42340</v>
      </c>
      <c r="AV5033" s="6">
        <v>42340</v>
      </c>
      <c r="AW5033" t="s">
        <v>54</v>
      </c>
      <c r="AX5033" t="str">
        <f t="shared" si="426"/>
        <v>FOR</v>
      </c>
      <c r="AY5033" t="s">
        <v>55</v>
      </c>
    </row>
    <row r="5034" spans="1:51">
      <c r="A5034">
        <v>101934</v>
      </c>
      <c r="B5034" t="s">
        <v>937</v>
      </c>
      <c r="C5034" t="str">
        <f t="shared" si="428"/>
        <v>06175550638</v>
      </c>
      <c r="D5034" t="str">
        <f t="shared" si="428"/>
        <v>06175550638</v>
      </c>
      <c r="E5034" t="s">
        <v>52</v>
      </c>
      <c r="F5034">
        <v>2014</v>
      </c>
      <c r="G5034">
        <v>1388</v>
      </c>
      <c r="H5034" s="1">
        <v>41820</v>
      </c>
      <c r="I5034" s="1">
        <v>42293</v>
      </c>
      <c r="J5034" s="1">
        <v>42293</v>
      </c>
      <c r="K5034" s="1">
        <v>42353</v>
      </c>
      <c r="L5034" s="7">
        <v>150.80000000000001</v>
      </c>
      <c r="M5034" s="5">
        <v>-13</v>
      </c>
      <c r="N5034" s="7">
        <v>-1960.4</v>
      </c>
      <c r="O5034">
        <v>150.80000000000001</v>
      </c>
      <c r="P5034">
        <v>-13</v>
      </c>
      <c r="Q5034" s="2">
        <v>-1960.4</v>
      </c>
      <c r="R5034">
        <v>0</v>
      </c>
      <c r="V5034">
        <v>0</v>
      </c>
      <c r="W5034">
        <v>150.80000000000001</v>
      </c>
      <c r="X5034">
        <v>0</v>
      </c>
      <c r="Y5034">
        <v>0</v>
      </c>
      <c r="Z5034">
        <v>150.80000000000001</v>
      </c>
      <c r="AA5034">
        <v>0</v>
      </c>
      <c r="AB5034" s="1">
        <v>42382</v>
      </c>
      <c r="AC5034" t="s">
        <v>53</v>
      </c>
      <c r="AD5034" t="s">
        <v>53</v>
      </c>
      <c r="AK5034">
        <v>0</v>
      </c>
      <c r="AU5034" s="6">
        <v>42340</v>
      </c>
      <c r="AV5034" s="6">
        <v>42340</v>
      </c>
      <c r="AW5034" t="s">
        <v>54</v>
      </c>
      <c r="AX5034" t="str">
        <f t="shared" si="426"/>
        <v>FOR</v>
      </c>
      <c r="AY5034" t="s">
        <v>55</v>
      </c>
    </row>
    <row r="5035" spans="1:51">
      <c r="A5035">
        <v>101934</v>
      </c>
      <c r="B5035" t="s">
        <v>937</v>
      </c>
      <c r="C5035" t="str">
        <f t="shared" si="428"/>
        <v>06175550638</v>
      </c>
      <c r="D5035" t="str">
        <f t="shared" si="428"/>
        <v>06175550638</v>
      </c>
      <c r="E5035" t="s">
        <v>52</v>
      </c>
      <c r="F5035">
        <v>2014</v>
      </c>
      <c r="G5035">
        <v>1389</v>
      </c>
      <c r="H5035" s="1">
        <v>41820</v>
      </c>
      <c r="I5035" s="1">
        <v>42293</v>
      </c>
      <c r="J5035" s="1">
        <v>42293</v>
      </c>
      <c r="K5035" s="1">
        <v>42353</v>
      </c>
      <c r="L5035" s="7">
        <v>150.80000000000001</v>
      </c>
      <c r="M5035" s="5">
        <v>-13</v>
      </c>
      <c r="N5035" s="7">
        <v>-1960.4</v>
      </c>
      <c r="O5035">
        <v>150.80000000000001</v>
      </c>
      <c r="P5035">
        <v>-13</v>
      </c>
      <c r="Q5035" s="2">
        <v>-1960.4</v>
      </c>
      <c r="R5035">
        <v>0</v>
      </c>
      <c r="V5035">
        <v>0</v>
      </c>
      <c r="W5035">
        <v>150.80000000000001</v>
      </c>
      <c r="X5035">
        <v>0</v>
      </c>
      <c r="Y5035">
        <v>0</v>
      </c>
      <c r="Z5035">
        <v>150.80000000000001</v>
      </c>
      <c r="AA5035">
        <v>0</v>
      </c>
      <c r="AB5035" s="1">
        <v>42382</v>
      </c>
      <c r="AC5035" t="s">
        <v>53</v>
      </c>
      <c r="AD5035" t="s">
        <v>53</v>
      </c>
      <c r="AK5035">
        <v>0</v>
      </c>
      <c r="AU5035" s="6">
        <v>42340</v>
      </c>
      <c r="AV5035" s="6">
        <v>42340</v>
      </c>
      <c r="AW5035" t="s">
        <v>54</v>
      </c>
      <c r="AX5035" t="str">
        <f t="shared" si="426"/>
        <v>FOR</v>
      </c>
      <c r="AY5035" t="s">
        <v>55</v>
      </c>
    </row>
    <row r="5036" spans="1:51">
      <c r="A5036">
        <v>101934</v>
      </c>
      <c r="B5036" t="s">
        <v>937</v>
      </c>
      <c r="C5036" t="str">
        <f t="shared" si="428"/>
        <v>06175550638</v>
      </c>
      <c r="D5036" t="str">
        <f t="shared" si="428"/>
        <v>06175550638</v>
      </c>
      <c r="E5036" t="s">
        <v>52</v>
      </c>
      <c r="F5036">
        <v>2014</v>
      </c>
      <c r="G5036">
        <v>1390</v>
      </c>
      <c r="H5036" s="1">
        <v>41820</v>
      </c>
      <c r="I5036" s="1">
        <v>42293</v>
      </c>
      <c r="J5036" s="1">
        <v>42293</v>
      </c>
      <c r="K5036" s="1">
        <v>42353</v>
      </c>
      <c r="L5036" s="7">
        <v>150.80000000000001</v>
      </c>
      <c r="M5036" s="5">
        <v>-13</v>
      </c>
      <c r="N5036" s="7">
        <v>-1960.4</v>
      </c>
      <c r="O5036">
        <v>150.80000000000001</v>
      </c>
      <c r="P5036">
        <v>-13</v>
      </c>
      <c r="Q5036" s="2">
        <v>-1960.4</v>
      </c>
      <c r="R5036">
        <v>0</v>
      </c>
      <c r="V5036">
        <v>0</v>
      </c>
      <c r="W5036">
        <v>150.80000000000001</v>
      </c>
      <c r="X5036">
        <v>0</v>
      </c>
      <c r="Y5036">
        <v>0</v>
      </c>
      <c r="Z5036">
        <v>150.80000000000001</v>
      </c>
      <c r="AA5036">
        <v>0</v>
      </c>
      <c r="AB5036" s="1">
        <v>42382</v>
      </c>
      <c r="AC5036" t="s">
        <v>53</v>
      </c>
      <c r="AD5036" t="s">
        <v>53</v>
      </c>
      <c r="AK5036">
        <v>0</v>
      </c>
      <c r="AU5036" s="6">
        <v>42340</v>
      </c>
      <c r="AV5036" s="6">
        <v>42340</v>
      </c>
      <c r="AW5036" t="s">
        <v>54</v>
      </c>
      <c r="AX5036" t="str">
        <f t="shared" si="426"/>
        <v>FOR</v>
      </c>
      <c r="AY5036" t="s">
        <v>55</v>
      </c>
    </row>
    <row r="5037" spans="1:51">
      <c r="A5037">
        <v>101934</v>
      </c>
      <c r="B5037" t="s">
        <v>937</v>
      </c>
      <c r="C5037" t="str">
        <f t="shared" si="428"/>
        <v>06175550638</v>
      </c>
      <c r="D5037" t="str">
        <f t="shared" si="428"/>
        <v>06175550638</v>
      </c>
      <c r="E5037" t="s">
        <v>52</v>
      </c>
      <c r="F5037">
        <v>2014</v>
      </c>
      <c r="G5037">
        <v>1391</v>
      </c>
      <c r="H5037" s="1">
        <v>41820</v>
      </c>
      <c r="I5037" s="1">
        <v>42293</v>
      </c>
      <c r="J5037" s="1">
        <v>42293</v>
      </c>
      <c r="K5037" s="1">
        <v>42353</v>
      </c>
      <c r="L5037" s="7">
        <v>150.80000000000001</v>
      </c>
      <c r="M5037" s="5">
        <v>-13</v>
      </c>
      <c r="N5037" s="7">
        <v>-1960.4</v>
      </c>
      <c r="O5037">
        <v>150.80000000000001</v>
      </c>
      <c r="P5037">
        <v>-13</v>
      </c>
      <c r="Q5037" s="2">
        <v>-1960.4</v>
      </c>
      <c r="R5037">
        <v>0</v>
      </c>
      <c r="V5037">
        <v>0</v>
      </c>
      <c r="W5037">
        <v>150.80000000000001</v>
      </c>
      <c r="X5037">
        <v>0</v>
      </c>
      <c r="Y5037">
        <v>0</v>
      </c>
      <c r="Z5037">
        <v>150.80000000000001</v>
      </c>
      <c r="AA5037">
        <v>0</v>
      </c>
      <c r="AB5037" s="1">
        <v>42382</v>
      </c>
      <c r="AC5037" t="s">
        <v>53</v>
      </c>
      <c r="AD5037" t="s">
        <v>53</v>
      </c>
      <c r="AK5037">
        <v>0</v>
      </c>
      <c r="AU5037" s="6">
        <v>42340</v>
      </c>
      <c r="AV5037" s="6">
        <v>42340</v>
      </c>
      <c r="AW5037" t="s">
        <v>54</v>
      </c>
      <c r="AX5037" t="str">
        <f t="shared" si="426"/>
        <v>FOR</v>
      </c>
      <c r="AY5037" t="s">
        <v>55</v>
      </c>
    </row>
    <row r="5038" spans="1:51">
      <c r="A5038">
        <v>101934</v>
      </c>
      <c r="B5038" t="s">
        <v>937</v>
      </c>
      <c r="C5038" t="str">
        <f t="shared" si="428"/>
        <v>06175550638</v>
      </c>
      <c r="D5038" t="str">
        <f t="shared" si="428"/>
        <v>06175550638</v>
      </c>
      <c r="E5038" t="s">
        <v>52</v>
      </c>
      <c r="F5038">
        <v>2014</v>
      </c>
      <c r="G5038">
        <v>1392</v>
      </c>
      <c r="H5038" s="1">
        <v>41820</v>
      </c>
      <c r="I5038" s="1">
        <v>42293</v>
      </c>
      <c r="J5038" s="1">
        <v>42293</v>
      </c>
      <c r="K5038" s="1">
        <v>42353</v>
      </c>
      <c r="L5038" s="7">
        <v>150.80000000000001</v>
      </c>
      <c r="M5038" s="5">
        <v>-13</v>
      </c>
      <c r="N5038" s="7">
        <v>-1960.4</v>
      </c>
      <c r="O5038">
        <v>150.80000000000001</v>
      </c>
      <c r="P5038">
        <v>-13</v>
      </c>
      <c r="Q5038" s="2">
        <v>-1960.4</v>
      </c>
      <c r="R5038">
        <v>0</v>
      </c>
      <c r="V5038">
        <v>0</v>
      </c>
      <c r="W5038">
        <v>150.80000000000001</v>
      </c>
      <c r="X5038">
        <v>0</v>
      </c>
      <c r="Y5038">
        <v>0</v>
      </c>
      <c r="Z5038">
        <v>150.80000000000001</v>
      </c>
      <c r="AA5038">
        <v>0</v>
      </c>
      <c r="AB5038" s="1">
        <v>42382</v>
      </c>
      <c r="AC5038" t="s">
        <v>53</v>
      </c>
      <c r="AD5038" t="s">
        <v>53</v>
      </c>
      <c r="AK5038">
        <v>0</v>
      </c>
      <c r="AU5038" s="6">
        <v>42340</v>
      </c>
      <c r="AV5038" s="6">
        <v>42340</v>
      </c>
      <c r="AW5038" t="s">
        <v>54</v>
      </c>
      <c r="AX5038" t="str">
        <f t="shared" si="426"/>
        <v>FOR</v>
      </c>
      <c r="AY5038" t="s">
        <v>55</v>
      </c>
    </row>
    <row r="5039" spans="1:51">
      <c r="A5039">
        <v>101934</v>
      </c>
      <c r="B5039" t="s">
        <v>937</v>
      </c>
      <c r="C5039" t="str">
        <f t="shared" si="428"/>
        <v>06175550638</v>
      </c>
      <c r="D5039" t="str">
        <f t="shared" si="428"/>
        <v>06175550638</v>
      </c>
      <c r="E5039" t="s">
        <v>52</v>
      </c>
      <c r="F5039">
        <v>2014</v>
      </c>
      <c r="G5039">
        <v>1408</v>
      </c>
      <c r="H5039" s="1">
        <v>41820</v>
      </c>
      <c r="I5039" s="1">
        <v>42293</v>
      </c>
      <c r="J5039" s="1">
        <v>42293</v>
      </c>
      <c r="K5039" s="1">
        <v>42353</v>
      </c>
      <c r="L5039" s="7">
        <v>150.80000000000001</v>
      </c>
      <c r="M5039" s="5">
        <v>-13</v>
      </c>
      <c r="N5039" s="7">
        <v>-1960.4</v>
      </c>
      <c r="O5039">
        <v>150.80000000000001</v>
      </c>
      <c r="P5039">
        <v>-13</v>
      </c>
      <c r="Q5039" s="2">
        <v>-1960.4</v>
      </c>
      <c r="R5039">
        <v>0</v>
      </c>
      <c r="V5039">
        <v>0</v>
      </c>
      <c r="W5039">
        <v>150.80000000000001</v>
      </c>
      <c r="X5039">
        <v>0</v>
      </c>
      <c r="Y5039">
        <v>0</v>
      </c>
      <c r="Z5039">
        <v>150.80000000000001</v>
      </c>
      <c r="AA5039">
        <v>0</v>
      </c>
      <c r="AB5039" s="1">
        <v>42382</v>
      </c>
      <c r="AC5039" t="s">
        <v>53</v>
      </c>
      <c r="AD5039" t="s">
        <v>53</v>
      </c>
      <c r="AK5039">
        <v>0</v>
      </c>
      <c r="AU5039" s="6">
        <v>42340</v>
      </c>
      <c r="AV5039" s="6">
        <v>42340</v>
      </c>
      <c r="AW5039" t="s">
        <v>54</v>
      </c>
      <c r="AX5039" t="str">
        <f t="shared" si="426"/>
        <v>FOR</v>
      </c>
      <c r="AY5039" t="s">
        <v>55</v>
      </c>
    </row>
    <row r="5040" spans="1:51">
      <c r="A5040">
        <v>101934</v>
      </c>
      <c r="B5040" t="s">
        <v>937</v>
      </c>
      <c r="C5040" t="str">
        <f t="shared" si="428"/>
        <v>06175550638</v>
      </c>
      <c r="D5040" t="str">
        <f t="shared" si="428"/>
        <v>06175550638</v>
      </c>
      <c r="E5040" t="s">
        <v>52</v>
      </c>
      <c r="F5040">
        <v>2014</v>
      </c>
      <c r="G5040">
        <v>1413</v>
      </c>
      <c r="H5040" s="1">
        <v>41820</v>
      </c>
      <c r="I5040" s="1">
        <v>42293</v>
      </c>
      <c r="J5040" s="1">
        <v>42293</v>
      </c>
      <c r="K5040" s="1">
        <v>42353</v>
      </c>
      <c r="L5040" s="7">
        <v>150.80000000000001</v>
      </c>
      <c r="M5040" s="5">
        <v>-13</v>
      </c>
      <c r="N5040" s="7">
        <v>-1960.4</v>
      </c>
      <c r="O5040">
        <v>150.80000000000001</v>
      </c>
      <c r="P5040">
        <v>-13</v>
      </c>
      <c r="Q5040" s="2">
        <v>-1960.4</v>
      </c>
      <c r="R5040">
        <v>0</v>
      </c>
      <c r="V5040">
        <v>0</v>
      </c>
      <c r="W5040">
        <v>150.80000000000001</v>
      </c>
      <c r="X5040">
        <v>0</v>
      </c>
      <c r="Y5040">
        <v>0</v>
      </c>
      <c r="Z5040">
        <v>150.80000000000001</v>
      </c>
      <c r="AA5040">
        <v>0</v>
      </c>
      <c r="AB5040" s="1">
        <v>42382</v>
      </c>
      <c r="AC5040" t="s">
        <v>53</v>
      </c>
      <c r="AD5040" t="s">
        <v>53</v>
      </c>
      <c r="AK5040">
        <v>0</v>
      </c>
      <c r="AU5040" s="6">
        <v>42340</v>
      </c>
      <c r="AV5040" s="6">
        <v>42340</v>
      </c>
      <c r="AW5040" t="s">
        <v>54</v>
      </c>
      <c r="AX5040" t="str">
        <f t="shared" si="426"/>
        <v>FOR</v>
      </c>
      <c r="AY5040" t="s">
        <v>55</v>
      </c>
    </row>
    <row r="5041" spans="1:51" hidden="1">
      <c r="A5041">
        <v>101934</v>
      </c>
      <c r="B5041" t="s">
        <v>937</v>
      </c>
      <c r="C5041" t="str">
        <f t="shared" si="428"/>
        <v>06175550638</v>
      </c>
      <c r="D5041" t="str">
        <f t="shared" si="428"/>
        <v>06175550638</v>
      </c>
      <c r="E5041" t="s">
        <v>52</v>
      </c>
      <c r="F5041">
        <v>2014</v>
      </c>
      <c r="G5041">
        <v>1601</v>
      </c>
      <c r="H5041" s="1">
        <v>41845</v>
      </c>
      <c r="I5041" s="1">
        <v>41876</v>
      </c>
      <c r="J5041" s="1">
        <v>41876</v>
      </c>
      <c r="K5041" s="1">
        <v>41966</v>
      </c>
      <c r="N5041" s="5"/>
      <c r="O5041">
        <v>292.8</v>
      </c>
      <c r="P5041">
        <v>218</v>
      </c>
      <c r="Q5041" s="2">
        <v>63830.400000000001</v>
      </c>
      <c r="R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 s="1">
        <v>42382</v>
      </c>
      <c r="AC5041" t="s">
        <v>53</v>
      </c>
      <c r="AD5041" t="s">
        <v>53</v>
      </c>
      <c r="AK5041">
        <v>0</v>
      </c>
      <c r="AU5041" s="6">
        <v>42184</v>
      </c>
      <c r="AV5041" s="6">
        <v>42184</v>
      </c>
      <c r="AW5041" t="s">
        <v>54</v>
      </c>
      <c r="AX5041" t="str">
        <f t="shared" si="426"/>
        <v>FOR</v>
      </c>
      <c r="AY5041" t="s">
        <v>55</v>
      </c>
    </row>
    <row r="5042" spans="1:51" hidden="1">
      <c r="A5042">
        <v>101934</v>
      </c>
      <c r="B5042" t="s">
        <v>937</v>
      </c>
      <c r="C5042" t="str">
        <f t="shared" si="428"/>
        <v>06175550638</v>
      </c>
      <c r="D5042" t="str">
        <f t="shared" si="428"/>
        <v>06175550638</v>
      </c>
      <c r="E5042" t="s">
        <v>52</v>
      </c>
      <c r="F5042">
        <v>2014</v>
      </c>
      <c r="G5042">
        <v>1651</v>
      </c>
      <c r="H5042" s="1">
        <v>41849</v>
      </c>
      <c r="I5042" s="1">
        <v>41876</v>
      </c>
      <c r="J5042" s="1">
        <v>41876</v>
      </c>
      <c r="K5042" s="1">
        <v>41966</v>
      </c>
      <c r="N5042" s="5"/>
      <c r="O5042">
        <v>150.80000000000001</v>
      </c>
      <c r="P5042">
        <v>218</v>
      </c>
      <c r="Q5042" s="2">
        <v>32874.400000000001</v>
      </c>
      <c r="R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 s="1">
        <v>42382</v>
      </c>
      <c r="AC5042" t="s">
        <v>53</v>
      </c>
      <c r="AD5042" t="s">
        <v>53</v>
      </c>
      <c r="AK5042">
        <v>0</v>
      </c>
      <c r="AU5042" s="6">
        <v>42184</v>
      </c>
      <c r="AV5042" s="6">
        <v>42184</v>
      </c>
      <c r="AW5042" t="s">
        <v>54</v>
      </c>
      <c r="AX5042" t="str">
        <f t="shared" si="426"/>
        <v>FOR</v>
      </c>
      <c r="AY5042" t="s">
        <v>55</v>
      </c>
    </row>
    <row r="5043" spans="1:51" hidden="1">
      <c r="A5043">
        <v>101934</v>
      </c>
      <c r="B5043" t="s">
        <v>937</v>
      </c>
      <c r="C5043" t="str">
        <f t="shared" si="428"/>
        <v>06175550638</v>
      </c>
      <c r="D5043" t="str">
        <f t="shared" si="428"/>
        <v>06175550638</v>
      </c>
      <c r="E5043" t="s">
        <v>52</v>
      </c>
      <c r="F5043">
        <v>2014</v>
      </c>
      <c r="G5043">
        <v>1652</v>
      </c>
      <c r="H5043" s="1">
        <v>41849</v>
      </c>
      <c r="I5043" s="1">
        <v>41876</v>
      </c>
      <c r="J5043" s="1">
        <v>41876</v>
      </c>
      <c r="K5043" s="1">
        <v>41966</v>
      </c>
      <c r="N5043" s="5"/>
      <c r="O5043">
        <v>150.80000000000001</v>
      </c>
      <c r="P5043">
        <v>218</v>
      </c>
      <c r="Q5043" s="2">
        <v>32874.400000000001</v>
      </c>
      <c r="R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 s="1">
        <v>42382</v>
      </c>
      <c r="AC5043" t="s">
        <v>53</v>
      </c>
      <c r="AD5043" t="s">
        <v>53</v>
      </c>
      <c r="AK5043">
        <v>0</v>
      </c>
      <c r="AU5043" s="6">
        <v>42184</v>
      </c>
      <c r="AV5043" s="6">
        <v>42184</v>
      </c>
      <c r="AW5043" t="s">
        <v>54</v>
      </c>
      <c r="AX5043" t="str">
        <f t="shared" si="426"/>
        <v>FOR</v>
      </c>
      <c r="AY5043" t="s">
        <v>55</v>
      </c>
    </row>
    <row r="5044" spans="1:51" hidden="1">
      <c r="A5044">
        <v>101934</v>
      </c>
      <c r="B5044" t="s">
        <v>937</v>
      </c>
      <c r="C5044" t="str">
        <f t="shared" si="428"/>
        <v>06175550638</v>
      </c>
      <c r="D5044" t="str">
        <f t="shared" si="428"/>
        <v>06175550638</v>
      </c>
      <c r="E5044" t="s">
        <v>52</v>
      </c>
      <c r="F5044">
        <v>2014</v>
      </c>
      <c r="G5044">
        <v>1653</v>
      </c>
      <c r="H5044" s="1">
        <v>41849</v>
      </c>
      <c r="I5044" s="1">
        <v>41876</v>
      </c>
      <c r="J5044" s="1">
        <v>41876</v>
      </c>
      <c r="K5044" s="1">
        <v>41966</v>
      </c>
      <c r="N5044" s="5"/>
      <c r="O5044">
        <v>150.80000000000001</v>
      </c>
      <c r="P5044">
        <v>218</v>
      </c>
      <c r="Q5044" s="2">
        <v>32874.400000000001</v>
      </c>
      <c r="R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 s="1">
        <v>42382</v>
      </c>
      <c r="AC5044" t="s">
        <v>53</v>
      </c>
      <c r="AD5044" t="s">
        <v>53</v>
      </c>
      <c r="AK5044">
        <v>0</v>
      </c>
      <c r="AU5044" s="6">
        <v>42184</v>
      </c>
      <c r="AV5044" s="6">
        <v>42184</v>
      </c>
      <c r="AW5044" t="s">
        <v>54</v>
      </c>
      <c r="AX5044" t="str">
        <f t="shared" si="426"/>
        <v>FOR</v>
      </c>
      <c r="AY5044" t="s">
        <v>55</v>
      </c>
    </row>
    <row r="5045" spans="1:51" hidden="1">
      <c r="A5045">
        <v>101934</v>
      </c>
      <c r="B5045" t="s">
        <v>937</v>
      </c>
      <c r="C5045" t="str">
        <f t="shared" si="428"/>
        <v>06175550638</v>
      </c>
      <c r="D5045" t="str">
        <f t="shared" si="428"/>
        <v>06175550638</v>
      </c>
      <c r="E5045" t="s">
        <v>52</v>
      </c>
      <c r="F5045">
        <v>2014</v>
      </c>
      <c r="G5045">
        <v>1654</v>
      </c>
      <c r="H5045" s="1">
        <v>41849</v>
      </c>
      <c r="I5045" s="1">
        <v>41876</v>
      </c>
      <c r="J5045" s="1">
        <v>41876</v>
      </c>
      <c r="K5045" s="1">
        <v>41966</v>
      </c>
      <c r="N5045" s="5"/>
      <c r="O5045">
        <v>150.80000000000001</v>
      </c>
      <c r="P5045">
        <v>218</v>
      </c>
      <c r="Q5045" s="2">
        <v>32874.400000000001</v>
      </c>
      <c r="R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 s="1">
        <v>42382</v>
      </c>
      <c r="AC5045" t="s">
        <v>53</v>
      </c>
      <c r="AD5045" t="s">
        <v>53</v>
      </c>
      <c r="AK5045">
        <v>0</v>
      </c>
      <c r="AU5045" s="6">
        <v>42184</v>
      </c>
      <c r="AV5045" s="6">
        <v>42184</v>
      </c>
      <c r="AW5045" t="s">
        <v>54</v>
      </c>
      <c r="AX5045" t="str">
        <f t="shared" si="426"/>
        <v>FOR</v>
      </c>
      <c r="AY5045" t="s">
        <v>55</v>
      </c>
    </row>
    <row r="5046" spans="1:51" hidden="1">
      <c r="A5046">
        <v>101934</v>
      </c>
      <c r="B5046" t="s">
        <v>937</v>
      </c>
      <c r="C5046" t="str">
        <f t="shared" ref="C5046:D5065" si="429">"06175550638"</f>
        <v>06175550638</v>
      </c>
      <c r="D5046" t="str">
        <f t="shared" si="429"/>
        <v>06175550638</v>
      </c>
      <c r="E5046" t="s">
        <v>52</v>
      </c>
      <c r="F5046">
        <v>2014</v>
      </c>
      <c r="G5046">
        <v>1655</v>
      </c>
      <c r="H5046" s="1">
        <v>41849</v>
      </c>
      <c r="I5046" s="1">
        <v>41876</v>
      </c>
      <c r="J5046" s="1">
        <v>41876</v>
      </c>
      <c r="K5046" s="1">
        <v>41966</v>
      </c>
      <c r="N5046" s="5"/>
      <c r="O5046">
        <v>150.80000000000001</v>
      </c>
      <c r="P5046">
        <v>218</v>
      </c>
      <c r="Q5046" s="2">
        <v>32874.400000000001</v>
      </c>
      <c r="R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 s="1">
        <v>42382</v>
      </c>
      <c r="AC5046" t="s">
        <v>53</v>
      </c>
      <c r="AD5046" t="s">
        <v>53</v>
      </c>
      <c r="AK5046">
        <v>0</v>
      </c>
      <c r="AU5046" s="6">
        <v>42184</v>
      </c>
      <c r="AV5046" s="6">
        <v>42184</v>
      </c>
      <c r="AW5046" t="s">
        <v>54</v>
      </c>
      <c r="AX5046" t="str">
        <f t="shared" si="426"/>
        <v>FOR</v>
      </c>
      <c r="AY5046" t="s">
        <v>55</v>
      </c>
    </row>
    <row r="5047" spans="1:51" hidden="1">
      <c r="A5047">
        <v>101934</v>
      </c>
      <c r="B5047" t="s">
        <v>937</v>
      </c>
      <c r="C5047" t="str">
        <f t="shared" si="429"/>
        <v>06175550638</v>
      </c>
      <c r="D5047" t="str">
        <f t="shared" si="429"/>
        <v>06175550638</v>
      </c>
      <c r="E5047" t="s">
        <v>52</v>
      </c>
      <c r="F5047">
        <v>2014</v>
      </c>
      <c r="G5047">
        <v>1656</v>
      </c>
      <c r="H5047" s="1">
        <v>41849</v>
      </c>
      <c r="I5047" s="1">
        <v>41876</v>
      </c>
      <c r="J5047" s="1">
        <v>41876</v>
      </c>
      <c r="K5047" s="1">
        <v>41966</v>
      </c>
      <c r="N5047" s="5"/>
      <c r="O5047">
        <v>150.80000000000001</v>
      </c>
      <c r="P5047">
        <v>218</v>
      </c>
      <c r="Q5047" s="2">
        <v>32874.400000000001</v>
      </c>
      <c r="R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 s="1">
        <v>42382</v>
      </c>
      <c r="AC5047" t="s">
        <v>53</v>
      </c>
      <c r="AD5047" t="s">
        <v>53</v>
      </c>
      <c r="AK5047">
        <v>0</v>
      </c>
      <c r="AU5047" s="6">
        <v>42184</v>
      </c>
      <c r="AV5047" s="6">
        <v>42184</v>
      </c>
      <c r="AW5047" t="s">
        <v>54</v>
      </c>
      <c r="AX5047" t="str">
        <f t="shared" si="426"/>
        <v>FOR</v>
      </c>
      <c r="AY5047" t="s">
        <v>55</v>
      </c>
    </row>
    <row r="5048" spans="1:51" hidden="1">
      <c r="A5048">
        <v>101934</v>
      </c>
      <c r="B5048" t="s">
        <v>937</v>
      </c>
      <c r="C5048" t="str">
        <f t="shared" si="429"/>
        <v>06175550638</v>
      </c>
      <c r="D5048" t="str">
        <f t="shared" si="429"/>
        <v>06175550638</v>
      </c>
      <c r="E5048" t="s">
        <v>52</v>
      </c>
      <c r="F5048">
        <v>2014</v>
      </c>
      <c r="G5048">
        <v>1657</v>
      </c>
      <c r="H5048" s="1">
        <v>41849</v>
      </c>
      <c r="I5048" s="1">
        <v>41876</v>
      </c>
      <c r="J5048" s="1">
        <v>41876</v>
      </c>
      <c r="K5048" s="1">
        <v>41966</v>
      </c>
      <c r="N5048" s="5"/>
      <c r="O5048">
        <v>150.80000000000001</v>
      </c>
      <c r="P5048">
        <v>218</v>
      </c>
      <c r="Q5048" s="2">
        <v>32874.400000000001</v>
      </c>
      <c r="R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 s="1">
        <v>42382</v>
      </c>
      <c r="AC5048" t="s">
        <v>53</v>
      </c>
      <c r="AD5048" t="s">
        <v>53</v>
      </c>
      <c r="AK5048">
        <v>0</v>
      </c>
      <c r="AU5048" s="6">
        <v>42184</v>
      </c>
      <c r="AV5048" s="6">
        <v>42184</v>
      </c>
      <c r="AW5048" t="s">
        <v>54</v>
      </c>
      <c r="AX5048" t="str">
        <f t="shared" si="426"/>
        <v>FOR</v>
      </c>
      <c r="AY5048" t="s">
        <v>55</v>
      </c>
    </row>
    <row r="5049" spans="1:51" hidden="1">
      <c r="A5049">
        <v>101934</v>
      </c>
      <c r="B5049" t="s">
        <v>937</v>
      </c>
      <c r="C5049" t="str">
        <f t="shared" si="429"/>
        <v>06175550638</v>
      </c>
      <c r="D5049" t="str">
        <f t="shared" si="429"/>
        <v>06175550638</v>
      </c>
      <c r="E5049" t="s">
        <v>52</v>
      </c>
      <c r="F5049">
        <v>2014</v>
      </c>
      <c r="G5049">
        <v>1658</v>
      </c>
      <c r="H5049" s="1">
        <v>41849</v>
      </c>
      <c r="I5049" s="1">
        <v>41876</v>
      </c>
      <c r="J5049" s="1">
        <v>41876</v>
      </c>
      <c r="K5049" s="1">
        <v>41966</v>
      </c>
      <c r="N5049" s="5"/>
      <c r="O5049">
        <v>150.80000000000001</v>
      </c>
      <c r="P5049">
        <v>218</v>
      </c>
      <c r="Q5049" s="2">
        <v>32874.400000000001</v>
      </c>
      <c r="R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 s="1">
        <v>42382</v>
      </c>
      <c r="AC5049" t="s">
        <v>53</v>
      </c>
      <c r="AD5049" t="s">
        <v>53</v>
      </c>
      <c r="AK5049">
        <v>0</v>
      </c>
      <c r="AU5049" s="6">
        <v>42184</v>
      </c>
      <c r="AV5049" s="6">
        <v>42184</v>
      </c>
      <c r="AW5049" t="s">
        <v>54</v>
      </c>
      <c r="AX5049" t="str">
        <f t="shared" si="426"/>
        <v>FOR</v>
      </c>
      <c r="AY5049" t="s">
        <v>55</v>
      </c>
    </row>
    <row r="5050" spans="1:51" hidden="1">
      <c r="A5050">
        <v>101934</v>
      </c>
      <c r="B5050" t="s">
        <v>937</v>
      </c>
      <c r="C5050" t="str">
        <f t="shared" si="429"/>
        <v>06175550638</v>
      </c>
      <c r="D5050" t="str">
        <f t="shared" si="429"/>
        <v>06175550638</v>
      </c>
      <c r="E5050" t="s">
        <v>52</v>
      </c>
      <c r="F5050">
        <v>2014</v>
      </c>
      <c r="G5050">
        <v>1659</v>
      </c>
      <c r="H5050" s="1">
        <v>41849</v>
      </c>
      <c r="I5050" s="1">
        <v>41876</v>
      </c>
      <c r="J5050" s="1">
        <v>41876</v>
      </c>
      <c r="K5050" s="1">
        <v>41966</v>
      </c>
      <c r="N5050" s="5"/>
      <c r="O5050">
        <v>150.80000000000001</v>
      </c>
      <c r="P5050">
        <v>218</v>
      </c>
      <c r="Q5050" s="2">
        <v>32874.400000000001</v>
      </c>
      <c r="R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 s="1">
        <v>42382</v>
      </c>
      <c r="AC5050" t="s">
        <v>53</v>
      </c>
      <c r="AD5050" t="s">
        <v>53</v>
      </c>
      <c r="AK5050">
        <v>0</v>
      </c>
      <c r="AU5050" s="6">
        <v>42184</v>
      </c>
      <c r="AV5050" s="6">
        <v>42184</v>
      </c>
      <c r="AW5050" t="s">
        <v>54</v>
      </c>
      <c r="AX5050" t="str">
        <f t="shared" si="426"/>
        <v>FOR</v>
      </c>
      <c r="AY5050" t="s">
        <v>55</v>
      </c>
    </row>
    <row r="5051" spans="1:51" hidden="1">
      <c r="A5051">
        <v>101934</v>
      </c>
      <c r="B5051" t="s">
        <v>937</v>
      </c>
      <c r="C5051" t="str">
        <f t="shared" si="429"/>
        <v>06175550638</v>
      </c>
      <c r="D5051" t="str">
        <f t="shared" si="429"/>
        <v>06175550638</v>
      </c>
      <c r="E5051" t="s">
        <v>52</v>
      </c>
      <c r="F5051">
        <v>2014</v>
      </c>
      <c r="G5051">
        <v>1710</v>
      </c>
      <c r="H5051" s="1">
        <v>41851</v>
      </c>
      <c r="I5051" s="1">
        <v>41876</v>
      </c>
      <c r="J5051" s="1">
        <v>41876</v>
      </c>
      <c r="K5051" s="1">
        <v>41966</v>
      </c>
      <c r="N5051" s="5"/>
      <c r="O5051">
        <v>183.61</v>
      </c>
      <c r="P5051">
        <v>218</v>
      </c>
      <c r="Q5051" s="2">
        <v>40026.980000000003</v>
      </c>
      <c r="R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 s="1">
        <v>42382</v>
      </c>
      <c r="AC5051" t="s">
        <v>53</v>
      </c>
      <c r="AD5051" t="s">
        <v>53</v>
      </c>
      <c r="AK5051">
        <v>0</v>
      </c>
      <c r="AU5051" s="6">
        <v>42184</v>
      </c>
      <c r="AV5051" s="6">
        <v>42184</v>
      </c>
      <c r="AW5051" t="s">
        <v>54</v>
      </c>
      <c r="AX5051" t="str">
        <f t="shared" si="426"/>
        <v>FOR</v>
      </c>
      <c r="AY5051" t="s">
        <v>55</v>
      </c>
    </row>
    <row r="5052" spans="1:51" hidden="1">
      <c r="A5052">
        <v>101934</v>
      </c>
      <c r="B5052" t="s">
        <v>937</v>
      </c>
      <c r="C5052" t="str">
        <f t="shared" si="429"/>
        <v>06175550638</v>
      </c>
      <c r="D5052" t="str">
        <f t="shared" si="429"/>
        <v>06175550638</v>
      </c>
      <c r="E5052" t="s">
        <v>52</v>
      </c>
      <c r="F5052">
        <v>2014</v>
      </c>
      <c r="G5052">
        <v>1723</v>
      </c>
      <c r="H5052" s="1">
        <v>41851</v>
      </c>
      <c r="I5052" s="1">
        <v>41876</v>
      </c>
      <c r="J5052" s="1">
        <v>41876</v>
      </c>
      <c r="K5052" s="1">
        <v>41966</v>
      </c>
      <c r="N5052" s="5"/>
      <c r="O5052">
        <v>150.80000000000001</v>
      </c>
      <c r="P5052">
        <v>218</v>
      </c>
      <c r="Q5052" s="2">
        <v>32874.400000000001</v>
      </c>
      <c r="R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 s="1">
        <v>42382</v>
      </c>
      <c r="AC5052" t="s">
        <v>53</v>
      </c>
      <c r="AD5052" t="s">
        <v>53</v>
      </c>
      <c r="AK5052">
        <v>0</v>
      </c>
      <c r="AU5052" s="6">
        <v>42184</v>
      </c>
      <c r="AV5052" s="6">
        <v>42184</v>
      </c>
      <c r="AW5052" t="s">
        <v>54</v>
      </c>
      <c r="AX5052" t="str">
        <f t="shared" si="426"/>
        <v>FOR</v>
      </c>
      <c r="AY5052" t="s">
        <v>55</v>
      </c>
    </row>
    <row r="5053" spans="1:51" hidden="1">
      <c r="A5053">
        <v>101934</v>
      </c>
      <c r="B5053" t="s">
        <v>937</v>
      </c>
      <c r="C5053" t="str">
        <f t="shared" si="429"/>
        <v>06175550638</v>
      </c>
      <c r="D5053" t="str">
        <f t="shared" si="429"/>
        <v>06175550638</v>
      </c>
      <c r="E5053" t="s">
        <v>52</v>
      </c>
      <c r="F5053">
        <v>2014</v>
      </c>
      <c r="G5053">
        <v>1833</v>
      </c>
      <c r="H5053" s="1">
        <v>41907</v>
      </c>
      <c r="I5053" s="1">
        <v>41929</v>
      </c>
      <c r="J5053" s="1">
        <v>41929</v>
      </c>
      <c r="K5053" s="1">
        <v>41989</v>
      </c>
      <c r="N5053" s="5"/>
      <c r="O5053">
        <v>93.6</v>
      </c>
      <c r="P5053">
        <v>260</v>
      </c>
      <c r="Q5053" s="2">
        <v>24336</v>
      </c>
      <c r="R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 s="1">
        <v>42382</v>
      </c>
      <c r="AC5053" t="s">
        <v>53</v>
      </c>
      <c r="AD5053" t="s">
        <v>53</v>
      </c>
      <c r="AK5053">
        <v>0</v>
      </c>
      <c r="AU5053" s="6">
        <v>42249</v>
      </c>
      <c r="AV5053" s="6">
        <v>42249</v>
      </c>
      <c r="AW5053" t="s">
        <v>54</v>
      </c>
      <c r="AX5053" t="str">
        <f t="shared" si="426"/>
        <v>FOR</v>
      </c>
      <c r="AY5053" t="s">
        <v>55</v>
      </c>
    </row>
    <row r="5054" spans="1:51" hidden="1">
      <c r="A5054">
        <v>101934</v>
      </c>
      <c r="B5054" t="s">
        <v>937</v>
      </c>
      <c r="C5054" t="str">
        <f t="shared" si="429"/>
        <v>06175550638</v>
      </c>
      <c r="D5054" t="str">
        <f t="shared" si="429"/>
        <v>06175550638</v>
      </c>
      <c r="E5054" t="s">
        <v>52</v>
      </c>
      <c r="F5054">
        <v>2014</v>
      </c>
      <c r="G5054">
        <v>1961</v>
      </c>
      <c r="H5054" s="1">
        <v>41912</v>
      </c>
      <c r="I5054" s="1">
        <v>41929</v>
      </c>
      <c r="J5054" s="1">
        <v>41929</v>
      </c>
      <c r="K5054" s="1">
        <v>41989</v>
      </c>
      <c r="N5054" s="5"/>
      <c r="O5054">
        <v>150.80000000000001</v>
      </c>
      <c r="P5054">
        <v>260</v>
      </c>
      <c r="Q5054" s="2">
        <v>39208</v>
      </c>
      <c r="R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 s="1">
        <v>42382</v>
      </c>
      <c r="AC5054" t="s">
        <v>53</v>
      </c>
      <c r="AD5054" t="s">
        <v>53</v>
      </c>
      <c r="AK5054">
        <v>0</v>
      </c>
      <c r="AU5054" s="6">
        <v>42249</v>
      </c>
      <c r="AV5054" s="6">
        <v>42249</v>
      </c>
      <c r="AW5054" t="s">
        <v>54</v>
      </c>
      <c r="AX5054" t="str">
        <f t="shared" si="426"/>
        <v>FOR</v>
      </c>
      <c r="AY5054" t="s">
        <v>55</v>
      </c>
    </row>
    <row r="5055" spans="1:51" hidden="1">
      <c r="A5055">
        <v>101934</v>
      </c>
      <c r="B5055" t="s">
        <v>937</v>
      </c>
      <c r="C5055" t="str">
        <f t="shared" si="429"/>
        <v>06175550638</v>
      </c>
      <c r="D5055" t="str">
        <f t="shared" si="429"/>
        <v>06175550638</v>
      </c>
      <c r="E5055" t="s">
        <v>52</v>
      </c>
      <c r="F5055">
        <v>2014</v>
      </c>
      <c r="G5055">
        <v>1962</v>
      </c>
      <c r="H5055" s="1">
        <v>41912</v>
      </c>
      <c r="I5055" s="1">
        <v>41929</v>
      </c>
      <c r="J5055" s="1">
        <v>41929</v>
      </c>
      <c r="K5055" s="1">
        <v>41989</v>
      </c>
      <c r="N5055" s="5"/>
      <c r="O5055">
        <v>150.80000000000001</v>
      </c>
      <c r="P5055">
        <v>260</v>
      </c>
      <c r="Q5055" s="2">
        <v>39208</v>
      </c>
      <c r="R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 s="1">
        <v>42382</v>
      </c>
      <c r="AC5055" t="s">
        <v>53</v>
      </c>
      <c r="AD5055" t="s">
        <v>53</v>
      </c>
      <c r="AK5055">
        <v>0</v>
      </c>
      <c r="AU5055" s="6">
        <v>42249</v>
      </c>
      <c r="AV5055" s="6">
        <v>42249</v>
      </c>
      <c r="AW5055" t="s">
        <v>54</v>
      </c>
      <c r="AX5055" t="str">
        <f t="shared" si="426"/>
        <v>FOR</v>
      </c>
      <c r="AY5055" t="s">
        <v>55</v>
      </c>
    </row>
    <row r="5056" spans="1:51" hidden="1">
      <c r="A5056">
        <v>101934</v>
      </c>
      <c r="B5056" t="s">
        <v>937</v>
      </c>
      <c r="C5056" t="str">
        <f t="shared" si="429"/>
        <v>06175550638</v>
      </c>
      <c r="D5056" t="str">
        <f t="shared" si="429"/>
        <v>06175550638</v>
      </c>
      <c r="E5056" t="s">
        <v>52</v>
      </c>
      <c r="F5056">
        <v>2014</v>
      </c>
      <c r="G5056">
        <v>1963</v>
      </c>
      <c r="H5056" s="1">
        <v>41912</v>
      </c>
      <c r="I5056" s="1">
        <v>41929</v>
      </c>
      <c r="J5056" s="1">
        <v>41929</v>
      </c>
      <c r="K5056" s="1">
        <v>41989</v>
      </c>
      <c r="N5056" s="5"/>
      <c r="O5056">
        <v>150.80000000000001</v>
      </c>
      <c r="P5056">
        <v>260</v>
      </c>
      <c r="Q5056" s="2">
        <v>39208</v>
      </c>
      <c r="R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 s="1">
        <v>42382</v>
      </c>
      <c r="AC5056" t="s">
        <v>53</v>
      </c>
      <c r="AD5056" t="s">
        <v>53</v>
      </c>
      <c r="AK5056">
        <v>0</v>
      </c>
      <c r="AU5056" s="6">
        <v>42249</v>
      </c>
      <c r="AV5056" s="6">
        <v>42249</v>
      </c>
      <c r="AW5056" t="s">
        <v>54</v>
      </c>
      <c r="AX5056" t="str">
        <f t="shared" si="426"/>
        <v>FOR</v>
      </c>
      <c r="AY5056" t="s">
        <v>55</v>
      </c>
    </row>
    <row r="5057" spans="1:51" hidden="1">
      <c r="A5057">
        <v>101934</v>
      </c>
      <c r="B5057" t="s">
        <v>937</v>
      </c>
      <c r="C5057" t="str">
        <f t="shared" si="429"/>
        <v>06175550638</v>
      </c>
      <c r="D5057" t="str">
        <f t="shared" si="429"/>
        <v>06175550638</v>
      </c>
      <c r="E5057" t="s">
        <v>52</v>
      </c>
      <c r="F5057">
        <v>2014</v>
      </c>
      <c r="G5057">
        <v>1964</v>
      </c>
      <c r="H5057" s="1">
        <v>41912</v>
      </c>
      <c r="I5057" s="1">
        <v>41929</v>
      </c>
      <c r="J5057" s="1">
        <v>41929</v>
      </c>
      <c r="K5057" s="1">
        <v>41989</v>
      </c>
      <c r="N5057" s="5"/>
      <c r="O5057">
        <v>150.80000000000001</v>
      </c>
      <c r="P5057">
        <v>260</v>
      </c>
      <c r="Q5057" s="2">
        <v>39208</v>
      </c>
      <c r="R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 s="1">
        <v>42382</v>
      </c>
      <c r="AC5057" t="s">
        <v>53</v>
      </c>
      <c r="AD5057" t="s">
        <v>53</v>
      </c>
      <c r="AK5057">
        <v>0</v>
      </c>
      <c r="AU5057" s="6">
        <v>42249</v>
      </c>
      <c r="AV5057" s="6">
        <v>42249</v>
      </c>
      <c r="AW5057" t="s">
        <v>54</v>
      </c>
      <c r="AX5057" t="str">
        <f t="shared" si="426"/>
        <v>FOR</v>
      </c>
      <c r="AY5057" t="s">
        <v>55</v>
      </c>
    </row>
    <row r="5058" spans="1:51" hidden="1">
      <c r="A5058">
        <v>101934</v>
      </c>
      <c r="B5058" t="s">
        <v>937</v>
      </c>
      <c r="C5058" t="str">
        <f t="shared" si="429"/>
        <v>06175550638</v>
      </c>
      <c r="D5058" t="str">
        <f t="shared" si="429"/>
        <v>06175550638</v>
      </c>
      <c r="E5058" t="s">
        <v>52</v>
      </c>
      <c r="F5058">
        <v>2014</v>
      </c>
      <c r="G5058">
        <v>1965</v>
      </c>
      <c r="H5058" s="1">
        <v>41912</v>
      </c>
      <c r="I5058" s="1">
        <v>41929</v>
      </c>
      <c r="J5058" s="1">
        <v>41929</v>
      </c>
      <c r="K5058" s="1">
        <v>41989</v>
      </c>
      <c r="N5058" s="5"/>
      <c r="O5058">
        <v>150.80000000000001</v>
      </c>
      <c r="P5058">
        <v>260</v>
      </c>
      <c r="Q5058" s="2">
        <v>39208</v>
      </c>
      <c r="R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 s="1">
        <v>42382</v>
      </c>
      <c r="AC5058" t="s">
        <v>53</v>
      </c>
      <c r="AD5058" t="s">
        <v>53</v>
      </c>
      <c r="AK5058">
        <v>0</v>
      </c>
      <c r="AU5058" s="6">
        <v>42249</v>
      </c>
      <c r="AV5058" s="6">
        <v>42249</v>
      </c>
      <c r="AW5058" t="s">
        <v>54</v>
      </c>
      <c r="AX5058" t="str">
        <f t="shared" si="426"/>
        <v>FOR</v>
      </c>
      <c r="AY5058" t="s">
        <v>55</v>
      </c>
    </row>
    <row r="5059" spans="1:51" hidden="1">
      <c r="A5059">
        <v>101934</v>
      </c>
      <c r="B5059" t="s">
        <v>937</v>
      </c>
      <c r="C5059" t="str">
        <f t="shared" si="429"/>
        <v>06175550638</v>
      </c>
      <c r="D5059" t="str">
        <f t="shared" si="429"/>
        <v>06175550638</v>
      </c>
      <c r="E5059" t="s">
        <v>52</v>
      </c>
      <c r="F5059">
        <v>2014</v>
      </c>
      <c r="G5059">
        <v>1966</v>
      </c>
      <c r="H5059" s="1">
        <v>41912</v>
      </c>
      <c r="I5059" s="1">
        <v>41929</v>
      </c>
      <c r="J5059" s="1">
        <v>41929</v>
      </c>
      <c r="K5059" s="1">
        <v>41989</v>
      </c>
      <c r="N5059" s="5"/>
      <c r="O5059">
        <v>150.80000000000001</v>
      </c>
      <c r="P5059">
        <v>260</v>
      </c>
      <c r="Q5059" s="2">
        <v>39208</v>
      </c>
      <c r="R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 s="1">
        <v>42382</v>
      </c>
      <c r="AC5059" t="s">
        <v>53</v>
      </c>
      <c r="AD5059" t="s">
        <v>53</v>
      </c>
      <c r="AK5059">
        <v>0</v>
      </c>
      <c r="AU5059" s="6">
        <v>42249</v>
      </c>
      <c r="AV5059" s="6">
        <v>42249</v>
      </c>
      <c r="AW5059" t="s">
        <v>54</v>
      </c>
      <c r="AX5059" t="str">
        <f t="shared" ref="AX5059:AX5122" si="430">"FOR"</f>
        <v>FOR</v>
      </c>
      <c r="AY5059" t="s">
        <v>55</v>
      </c>
    </row>
    <row r="5060" spans="1:51" hidden="1">
      <c r="A5060">
        <v>101934</v>
      </c>
      <c r="B5060" t="s">
        <v>937</v>
      </c>
      <c r="C5060" t="str">
        <f t="shared" si="429"/>
        <v>06175550638</v>
      </c>
      <c r="D5060" t="str">
        <f t="shared" si="429"/>
        <v>06175550638</v>
      </c>
      <c r="E5060" t="s">
        <v>52</v>
      </c>
      <c r="F5060">
        <v>2014</v>
      </c>
      <c r="G5060">
        <v>1967</v>
      </c>
      <c r="H5060" s="1">
        <v>41912</v>
      </c>
      <c r="I5060" s="1">
        <v>41929</v>
      </c>
      <c r="J5060" s="1">
        <v>41929</v>
      </c>
      <c r="K5060" s="1">
        <v>41989</v>
      </c>
      <c r="N5060" s="5"/>
      <c r="O5060">
        <v>150.80000000000001</v>
      </c>
      <c r="P5060">
        <v>260</v>
      </c>
      <c r="Q5060" s="2">
        <v>39208</v>
      </c>
      <c r="R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 s="1">
        <v>42382</v>
      </c>
      <c r="AC5060" t="s">
        <v>53</v>
      </c>
      <c r="AD5060" t="s">
        <v>53</v>
      </c>
      <c r="AK5060">
        <v>0</v>
      </c>
      <c r="AU5060" s="6">
        <v>42249</v>
      </c>
      <c r="AV5060" s="6">
        <v>42249</v>
      </c>
      <c r="AW5060" t="s">
        <v>54</v>
      </c>
      <c r="AX5060" t="str">
        <f t="shared" si="430"/>
        <v>FOR</v>
      </c>
      <c r="AY5060" t="s">
        <v>55</v>
      </c>
    </row>
    <row r="5061" spans="1:51" hidden="1">
      <c r="A5061">
        <v>101934</v>
      </c>
      <c r="B5061" t="s">
        <v>937</v>
      </c>
      <c r="C5061" t="str">
        <f t="shared" si="429"/>
        <v>06175550638</v>
      </c>
      <c r="D5061" t="str">
        <f t="shared" si="429"/>
        <v>06175550638</v>
      </c>
      <c r="E5061" t="s">
        <v>52</v>
      </c>
      <c r="F5061">
        <v>2014</v>
      </c>
      <c r="G5061">
        <v>1968</v>
      </c>
      <c r="H5061" s="1">
        <v>41912</v>
      </c>
      <c r="I5061" s="1">
        <v>41929</v>
      </c>
      <c r="J5061" s="1">
        <v>41929</v>
      </c>
      <c r="K5061" s="1">
        <v>41989</v>
      </c>
      <c r="N5061" s="5"/>
      <c r="O5061">
        <v>150.80000000000001</v>
      </c>
      <c r="P5061">
        <v>260</v>
      </c>
      <c r="Q5061" s="2">
        <v>39208</v>
      </c>
      <c r="R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 s="1">
        <v>42382</v>
      </c>
      <c r="AC5061" t="s">
        <v>53</v>
      </c>
      <c r="AD5061" t="s">
        <v>53</v>
      </c>
      <c r="AK5061">
        <v>0</v>
      </c>
      <c r="AU5061" s="6">
        <v>42249</v>
      </c>
      <c r="AV5061" s="6">
        <v>42249</v>
      </c>
      <c r="AW5061" t="s">
        <v>54</v>
      </c>
      <c r="AX5061" t="str">
        <f t="shared" si="430"/>
        <v>FOR</v>
      </c>
      <c r="AY5061" t="s">
        <v>55</v>
      </c>
    </row>
    <row r="5062" spans="1:51">
      <c r="A5062">
        <v>101934</v>
      </c>
      <c r="B5062" t="s">
        <v>937</v>
      </c>
      <c r="C5062" t="str">
        <f t="shared" si="429"/>
        <v>06175550638</v>
      </c>
      <c r="D5062" t="str">
        <f t="shared" si="429"/>
        <v>06175550638</v>
      </c>
      <c r="E5062" t="s">
        <v>52</v>
      </c>
      <c r="F5062">
        <v>2014</v>
      </c>
      <c r="G5062">
        <v>2192</v>
      </c>
      <c r="H5062" s="1">
        <v>41941</v>
      </c>
      <c r="I5062" s="1">
        <v>41967</v>
      </c>
      <c r="J5062" s="1">
        <v>41967</v>
      </c>
      <c r="K5062" s="1">
        <v>42027</v>
      </c>
      <c r="L5062" s="7">
        <v>18.61</v>
      </c>
      <c r="M5062" s="5">
        <v>256</v>
      </c>
      <c r="N5062" s="7">
        <v>4764.16</v>
      </c>
      <c r="O5062">
        <v>18.61</v>
      </c>
      <c r="P5062">
        <v>256</v>
      </c>
      <c r="Q5062" s="2">
        <v>4764.16</v>
      </c>
      <c r="R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 s="1">
        <v>42382</v>
      </c>
      <c r="AC5062" t="s">
        <v>53</v>
      </c>
      <c r="AD5062" t="s">
        <v>53</v>
      </c>
      <c r="AK5062">
        <v>0</v>
      </c>
      <c r="AU5062" s="6">
        <v>42283</v>
      </c>
      <c r="AV5062" s="6">
        <v>42283</v>
      </c>
      <c r="AW5062" t="s">
        <v>54</v>
      </c>
      <c r="AX5062" t="str">
        <f t="shared" si="430"/>
        <v>FOR</v>
      </c>
      <c r="AY5062" t="s">
        <v>55</v>
      </c>
    </row>
    <row r="5063" spans="1:51">
      <c r="A5063">
        <v>101934</v>
      </c>
      <c r="B5063" t="s">
        <v>937</v>
      </c>
      <c r="C5063" t="str">
        <f t="shared" si="429"/>
        <v>06175550638</v>
      </c>
      <c r="D5063" t="str">
        <f t="shared" si="429"/>
        <v>06175550638</v>
      </c>
      <c r="E5063" t="s">
        <v>52</v>
      </c>
      <c r="F5063">
        <v>2014</v>
      </c>
      <c r="G5063">
        <v>2237</v>
      </c>
      <c r="H5063" s="1">
        <v>41943</v>
      </c>
      <c r="I5063" s="1">
        <v>41967</v>
      </c>
      <c r="J5063" s="1">
        <v>41967</v>
      </c>
      <c r="K5063" s="1">
        <v>42027</v>
      </c>
      <c r="L5063" s="7">
        <v>150.80000000000001</v>
      </c>
      <c r="M5063" s="5">
        <v>256</v>
      </c>
      <c r="N5063" s="7">
        <v>38604.800000000003</v>
      </c>
      <c r="O5063">
        <v>150.80000000000001</v>
      </c>
      <c r="P5063">
        <v>256</v>
      </c>
      <c r="Q5063" s="2">
        <v>38604.800000000003</v>
      </c>
      <c r="R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 s="1">
        <v>42382</v>
      </c>
      <c r="AC5063" t="s">
        <v>53</v>
      </c>
      <c r="AD5063" t="s">
        <v>53</v>
      </c>
      <c r="AK5063">
        <v>0</v>
      </c>
      <c r="AU5063" s="6">
        <v>42283</v>
      </c>
      <c r="AV5063" s="6">
        <v>42283</v>
      </c>
      <c r="AW5063" t="s">
        <v>54</v>
      </c>
      <c r="AX5063" t="str">
        <f t="shared" si="430"/>
        <v>FOR</v>
      </c>
      <c r="AY5063" t="s">
        <v>55</v>
      </c>
    </row>
    <row r="5064" spans="1:51">
      <c r="A5064">
        <v>101934</v>
      </c>
      <c r="B5064" t="s">
        <v>937</v>
      </c>
      <c r="C5064" t="str">
        <f t="shared" si="429"/>
        <v>06175550638</v>
      </c>
      <c r="D5064" t="str">
        <f t="shared" si="429"/>
        <v>06175550638</v>
      </c>
      <c r="E5064" t="s">
        <v>52</v>
      </c>
      <c r="F5064">
        <v>2014</v>
      </c>
      <c r="G5064">
        <v>2238</v>
      </c>
      <c r="H5064" s="1">
        <v>41943</v>
      </c>
      <c r="I5064" s="1">
        <v>41967</v>
      </c>
      <c r="J5064" s="1">
        <v>41967</v>
      </c>
      <c r="K5064" s="1">
        <v>42027</v>
      </c>
      <c r="L5064" s="7">
        <v>150.80000000000001</v>
      </c>
      <c r="M5064" s="5">
        <v>256</v>
      </c>
      <c r="N5064" s="7">
        <v>38604.800000000003</v>
      </c>
      <c r="O5064">
        <v>150.80000000000001</v>
      </c>
      <c r="P5064">
        <v>256</v>
      </c>
      <c r="Q5064" s="2">
        <v>38604.800000000003</v>
      </c>
      <c r="R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 s="1">
        <v>42382</v>
      </c>
      <c r="AC5064" t="s">
        <v>53</v>
      </c>
      <c r="AD5064" t="s">
        <v>53</v>
      </c>
      <c r="AK5064">
        <v>0</v>
      </c>
      <c r="AU5064" s="6">
        <v>42283</v>
      </c>
      <c r="AV5064" s="6">
        <v>42283</v>
      </c>
      <c r="AW5064" t="s">
        <v>54</v>
      </c>
      <c r="AX5064" t="str">
        <f t="shared" si="430"/>
        <v>FOR</v>
      </c>
      <c r="AY5064" t="s">
        <v>55</v>
      </c>
    </row>
    <row r="5065" spans="1:51">
      <c r="A5065">
        <v>101934</v>
      </c>
      <c r="B5065" t="s">
        <v>937</v>
      </c>
      <c r="C5065" t="str">
        <f t="shared" si="429"/>
        <v>06175550638</v>
      </c>
      <c r="D5065" t="str">
        <f t="shared" si="429"/>
        <v>06175550638</v>
      </c>
      <c r="E5065" t="s">
        <v>52</v>
      </c>
      <c r="F5065">
        <v>2014</v>
      </c>
      <c r="G5065">
        <v>2239</v>
      </c>
      <c r="H5065" s="1">
        <v>41943</v>
      </c>
      <c r="I5065" s="1">
        <v>41967</v>
      </c>
      <c r="J5065" s="1">
        <v>41967</v>
      </c>
      <c r="K5065" s="1">
        <v>42027</v>
      </c>
      <c r="L5065" s="7">
        <v>150.80000000000001</v>
      </c>
      <c r="M5065" s="5">
        <v>256</v>
      </c>
      <c r="N5065" s="7">
        <v>38604.800000000003</v>
      </c>
      <c r="O5065">
        <v>150.80000000000001</v>
      </c>
      <c r="P5065">
        <v>256</v>
      </c>
      <c r="Q5065" s="2">
        <v>38604.800000000003</v>
      </c>
      <c r="R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 s="1">
        <v>42382</v>
      </c>
      <c r="AC5065" t="s">
        <v>53</v>
      </c>
      <c r="AD5065" t="s">
        <v>53</v>
      </c>
      <c r="AK5065">
        <v>0</v>
      </c>
      <c r="AU5065" s="6">
        <v>42283</v>
      </c>
      <c r="AV5065" s="6">
        <v>42283</v>
      </c>
      <c r="AW5065" t="s">
        <v>54</v>
      </c>
      <c r="AX5065" t="str">
        <f t="shared" si="430"/>
        <v>FOR</v>
      </c>
      <c r="AY5065" t="s">
        <v>55</v>
      </c>
    </row>
    <row r="5066" spans="1:51">
      <c r="A5066">
        <v>101934</v>
      </c>
      <c r="B5066" t="s">
        <v>937</v>
      </c>
      <c r="C5066" t="str">
        <f t="shared" ref="C5066:D5085" si="431">"06175550638"</f>
        <v>06175550638</v>
      </c>
      <c r="D5066" t="str">
        <f t="shared" si="431"/>
        <v>06175550638</v>
      </c>
      <c r="E5066" t="s">
        <v>52</v>
      </c>
      <c r="F5066">
        <v>2014</v>
      </c>
      <c r="G5066">
        <v>2240</v>
      </c>
      <c r="H5066" s="1">
        <v>41943</v>
      </c>
      <c r="I5066" s="1">
        <v>41967</v>
      </c>
      <c r="J5066" s="1">
        <v>41967</v>
      </c>
      <c r="K5066" s="1">
        <v>42027</v>
      </c>
      <c r="L5066" s="7">
        <v>150.80000000000001</v>
      </c>
      <c r="M5066" s="5">
        <v>256</v>
      </c>
      <c r="N5066" s="7">
        <v>38604.800000000003</v>
      </c>
      <c r="O5066">
        <v>150.80000000000001</v>
      </c>
      <c r="P5066">
        <v>256</v>
      </c>
      <c r="Q5066" s="2">
        <v>38604.800000000003</v>
      </c>
      <c r="R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 s="1">
        <v>42382</v>
      </c>
      <c r="AC5066" t="s">
        <v>53</v>
      </c>
      <c r="AD5066" t="s">
        <v>53</v>
      </c>
      <c r="AK5066">
        <v>0</v>
      </c>
      <c r="AU5066" s="6">
        <v>42283</v>
      </c>
      <c r="AV5066" s="6">
        <v>42283</v>
      </c>
      <c r="AW5066" t="s">
        <v>54</v>
      </c>
      <c r="AX5066" t="str">
        <f t="shared" si="430"/>
        <v>FOR</v>
      </c>
      <c r="AY5066" t="s">
        <v>55</v>
      </c>
    </row>
    <row r="5067" spans="1:51">
      <c r="A5067">
        <v>101934</v>
      </c>
      <c r="B5067" t="s">
        <v>937</v>
      </c>
      <c r="C5067" t="str">
        <f t="shared" si="431"/>
        <v>06175550638</v>
      </c>
      <c r="D5067" t="str">
        <f t="shared" si="431"/>
        <v>06175550638</v>
      </c>
      <c r="E5067" t="s">
        <v>52</v>
      </c>
      <c r="F5067">
        <v>2014</v>
      </c>
      <c r="G5067">
        <v>2241</v>
      </c>
      <c r="H5067" s="1">
        <v>41943</v>
      </c>
      <c r="I5067" s="1">
        <v>41967</v>
      </c>
      <c r="J5067" s="1">
        <v>41967</v>
      </c>
      <c r="K5067" s="1">
        <v>42027</v>
      </c>
      <c r="L5067" s="7">
        <v>150.80000000000001</v>
      </c>
      <c r="M5067" s="5">
        <v>256</v>
      </c>
      <c r="N5067" s="7">
        <v>38604.800000000003</v>
      </c>
      <c r="O5067">
        <v>150.80000000000001</v>
      </c>
      <c r="P5067">
        <v>256</v>
      </c>
      <c r="Q5067" s="2">
        <v>38604.800000000003</v>
      </c>
      <c r="R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 s="1">
        <v>42382</v>
      </c>
      <c r="AC5067" t="s">
        <v>53</v>
      </c>
      <c r="AD5067" t="s">
        <v>53</v>
      </c>
      <c r="AK5067">
        <v>0</v>
      </c>
      <c r="AU5067" s="6">
        <v>42283</v>
      </c>
      <c r="AV5067" s="6">
        <v>42283</v>
      </c>
      <c r="AW5067" t="s">
        <v>54</v>
      </c>
      <c r="AX5067" t="str">
        <f t="shared" si="430"/>
        <v>FOR</v>
      </c>
      <c r="AY5067" t="s">
        <v>55</v>
      </c>
    </row>
    <row r="5068" spans="1:51">
      <c r="A5068">
        <v>101934</v>
      </c>
      <c r="B5068" t="s">
        <v>937</v>
      </c>
      <c r="C5068" t="str">
        <f t="shared" si="431"/>
        <v>06175550638</v>
      </c>
      <c r="D5068" t="str">
        <f t="shared" si="431"/>
        <v>06175550638</v>
      </c>
      <c r="E5068" t="s">
        <v>52</v>
      </c>
      <c r="F5068">
        <v>2014</v>
      </c>
      <c r="G5068">
        <v>2242</v>
      </c>
      <c r="H5068" s="1">
        <v>41943</v>
      </c>
      <c r="I5068" s="1">
        <v>41967</v>
      </c>
      <c r="J5068" s="1">
        <v>41967</v>
      </c>
      <c r="K5068" s="1">
        <v>42027</v>
      </c>
      <c r="L5068" s="7">
        <v>150.80000000000001</v>
      </c>
      <c r="M5068" s="5">
        <v>256</v>
      </c>
      <c r="N5068" s="7">
        <v>38604.800000000003</v>
      </c>
      <c r="O5068">
        <v>150.80000000000001</v>
      </c>
      <c r="P5068">
        <v>256</v>
      </c>
      <c r="Q5068" s="2">
        <v>38604.800000000003</v>
      </c>
      <c r="R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 s="1">
        <v>42382</v>
      </c>
      <c r="AC5068" t="s">
        <v>53</v>
      </c>
      <c r="AD5068" t="s">
        <v>53</v>
      </c>
      <c r="AK5068">
        <v>0</v>
      </c>
      <c r="AU5068" s="6">
        <v>42283</v>
      </c>
      <c r="AV5068" s="6">
        <v>42283</v>
      </c>
      <c r="AW5068" t="s">
        <v>54</v>
      </c>
      <c r="AX5068" t="str">
        <f t="shared" si="430"/>
        <v>FOR</v>
      </c>
      <c r="AY5068" t="s">
        <v>55</v>
      </c>
    </row>
    <row r="5069" spans="1:51">
      <c r="A5069">
        <v>101934</v>
      </c>
      <c r="B5069" t="s">
        <v>937</v>
      </c>
      <c r="C5069" t="str">
        <f t="shared" si="431"/>
        <v>06175550638</v>
      </c>
      <c r="D5069" t="str">
        <f t="shared" si="431"/>
        <v>06175550638</v>
      </c>
      <c r="E5069" t="s">
        <v>52</v>
      </c>
      <c r="F5069">
        <v>2014</v>
      </c>
      <c r="G5069">
        <v>2243</v>
      </c>
      <c r="H5069" s="1">
        <v>41943</v>
      </c>
      <c r="I5069" s="1">
        <v>41967</v>
      </c>
      <c r="J5069" s="1">
        <v>41967</v>
      </c>
      <c r="K5069" s="1">
        <v>42027</v>
      </c>
      <c r="L5069" s="7">
        <v>150.80000000000001</v>
      </c>
      <c r="M5069" s="5">
        <v>256</v>
      </c>
      <c r="N5069" s="7">
        <v>38604.800000000003</v>
      </c>
      <c r="O5069">
        <v>150.80000000000001</v>
      </c>
      <c r="P5069">
        <v>256</v>
      </c>
      <c r="Q5069" s="2">
        <v>38604.800000000003</v>
      </c>
      <c r="R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 s="1">
        <v>42382</v>
      </c>
      <c r="AC5069" t="s">
        <v>53</v>
      </c>
      <c r="AD5069" t="s">
        <v>53</v>
      </c>
      <c r="AK5069">
        <v>0</v>
      </c>
      <c r="AU5069" s="6">
        <v>42283</v>
      </c>
      <c r="AV5069" s="6">
        <v>42283</v>
      </c>
      <c r="AW5069" t="s">
        <v>54</v>
      </c>
      <c r="AX5069" t="str">
        <f t="shared" si="430"/>
        <v>FOR</v>
      </c>
      <c r="AY5069" t="s">
        <v>55</v>
      </c>
    </row>
    <row r="5070" spans="1:51">
      <c r="A5070">
        <v>101934</v>
      </c>
      <c r="B5070" t="s">
        <v>937</v>
      </c>
      <c r="C5070" t="str">
        <f t="shared" si="431"/>
        <v>06175550638</v>
      </c>
      <c r="D5070" t="str">
        <f t="shared" si="431"/>
        <v>06175550638</v>
      </c>
      <c r="E5070" t="s">
        <v>52</v>
      </c>
      <c r="F5070">
        <v>2014</v>
      </c>
      <c r="G5070">
        <v>2244</v>
      </c>
      <c r="H5070" s="1">
        <v>41943</v>
      </c>
      <c r="I5070" s="1">
        <v>41967</v>
      </c>
      <c r="J5070" s="1">
        <v>41967</v>
      </c>
      <c r="K5070" s="1">
        <v>42027</v>
      </c>
      <c r="L5070" s="7">
        <v>150.80000000000001</v>
      </c>
      <c r="M5070" s="5">
        <v>256</v>
      </c>
      <c r="N5070" s="7">
        <v>38604.800000000003</v>
      </c>
      <c r="O5070">
        <v>150.80000000000001</v>
      </c>
      <c r="P5070">
        <v>256</v>
      </c>
      <c r="Q5070" s="2">
        <v>38604.800000000003</v>
      </c>
      <c r="R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 s="1">
        <v>42382</v>
      </c>
      <c r="AC5070" t="s">
        <v>53</v>
      </c>
      <c r="AD5070" t="s">
        <v>53</v>
      </c>
      <c r="AK5070">
        <v>0</v>
      </c>
      <c r="AU5070" s="6">
        <v>42283</v>
      </c>
      <c r="AV5070" s="6">
        <v>42283</v>
      </c>
      <c r="AW5070" t="s">
        <v>54</v>
      </c>
      <c r="AX5070" t="str">
        <f t="shared" si="430"/>
        <v>FOR</v>
      </c>
      <c r="AY5070" t="s">
        <v>55</v>
      </c>
    </row>
    <row r="5071" spans="1:51">
      <c r="A5071">
        <v>101934</v>
      </c>
      <c r="B5071" t="s">
        <v>937</v>
      </c>
      <c r="C5071" t="str">
        <f t="shared" si="431"/>
        <v>06175550638</v>
      </c>
      <c r="D5071" t="str">
        <f t="shared" si="431"/>
        <v>06175550638</v>
      </c>
      <c r="E5071" t="s">
        <v>52</v>
      </c>
      <c r="F5071">
        <v>2014</v>
      </c>
      <c r="G5071">
        <v>2245</v>
      </c>
      <c r="H5071" s="1">
        <v>41943</v>
      </c>
      <c r="I5071" s="1">
        <v>41967</v>
      </c>
      <c r="J5071" s="1">
        <v>41967</v>
      </c>
      <c r="K5071" s="1">
        <v>42027</v>
      </c>
      <c r="L5071" s="7">
        <v>150.80000000000001</v>
      </c>
      <c r="M5071" s="5">
        <v>256</v>
      </c>
      <c r="N5071" s="7">
        <v>38604.800000000003</v>
      </c>
      <c r="O5071">
        <v>150.80000000000001</v>
      </c>
      <c r="P5071">
        <v>256</v>
      </c>
      <c r="Q5071" s="2">
        <v>38604.800000000003</v>
      </c>
      <c r="R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 s="1">
        <v>42382</v>
      </c>
      <c r="AC5071" t="s">
        <v>53</v>
      </c>
      <c r="AD5071" t="s">
        <v>53</v>
      </c>
      <c r="AK5071">
        <v>0</v>
      </c>
      <c r="AU5071" s="6">
        <v>42283</v>
      </c>
      <c r="AV5071" s="6">
        <v>42283</v>
      </c>
      <c r="AW5071" t="s">
        <v>54</v>
      </c>
      <c r="AX5071" t="str">
        <f t="shared" si="430"/>
        <v>FOR</v>
      </c>
      <c r="AY5071" t="s">
        <v>55</v>
      </c>
    </row>
    <row r="5072" spans="1:51">
      <c r="A5072">
        <v>101934</v>
      </c>
      <c r="B5072" t="s">
        <v>937</v>
      </c>
      <c r="C5072" t="str">
        <f t="shared" si="431"/>
        <v>06175550638</v>
      </c>
      <c r="D5072" t="str">
        <f t="shared" si="431"/>
        <v>06175550638</v>
      </c>
      <c r="E5072" t="s">
        <v>52</v>
      </c>
      <c r="F5072">
        <v>2014</v>
      </c>
      <c r="G5072">
        <v>2246</v>
      </c>
      <c r="H5072" s="1">
        <v>41943</v>
      </c>
      <c r="I5072" s="1">
        <v>41967</v>
      </c>
      <c r="J5072" s="1">
        <v>41967</v>
      </c>
      <c r="K5072" s="1">
        <v>42027</v>
      </c>
      <c r="L5072" s="7">
        <v>150.80000000000001</v>
      </c>
      <c r="M5072" s="5">
        <v>256</v>
      </c>
      <c r="N5072" s="7">
        <v>38604.800000000003</v>
      </c>
      <c r="O5072">
        <v>150.80000000000001</v>
      </c>
      <c r="P5072">
        <v>256</v>
      </c>
      <c r="Q5072" s="2">
        <v>38604.800000000003</v>
      </c>
      <c r="R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 s="1">
        <v>42382</v>
      </c>
      <c r="AC5072" t="s">
        <v>53</v>
      </c>
      <c r="AD5072" t="s">
        <v>53</v>
      </c>
      <c r="AK5072">
        <v>0</v>
      </c>
      <c r="AU5072" s="6">
        <v>42283</v>
      </c>
      <c r="AV5072" s="6">
        <v>42283</v>
      </c>
      <c r="AW5072" t="s">
        <v>54</v>
      </c>
      <c r="AX5072" t="str">
        <f t="shared" si="430"/>
        <v>FOR</v>
      </c>
      <c r="AY5072" t="s">
        <v>55</v>
      </c>
    </row>
    <row r="5073" spans="1:51">
      <c r="A5073">
        <v>101934</v>
      </c>
      <c r="B5073" t="s">
        <v>937</v>
      </c>
      <c r="C5073" t="str">
        <f t="shared" si="431"/>
        <v>06175550638</v>
      </c>
      <c r="D5073" t="str">
        <f t="shared" si="431"/>
        <v>06175550638</v>
      </c>
      <c r="E5073" t="s">
        <v>52</v>
      </c>
      <c r="F5073">
        <v>2014</v>
      </c>
      <c r="G5073">
        <v>2263</v>
      </c>
      <c r="H5073" s="1">
        <v>41943</v>
      </c>
      <c r="I5073" s="1">
        <v>41967</v>
      </c>
      <c r="J5073" s="1">
        <v>41967</v>
      </c>
      <c r="K5073" s="1">
        <v>42027</v>
      </c>
      <c r="L5073" s="7">
        <v>150.80000000000001</v>
      </c>
      <c r="M5073" s="5">
        <v>256</v>
      </c>
      <c r="N5073" s="7">
        <v>38604.800000000003</v>
      </c>
      <c r="O5073">
        <v>150.80000000000001</v>
      </c>
      <c r="P5073">
        <v>256</v>
      </c>
      <c r="Q5073" s="2">
        <v>38604.800000000003</v>
      </c>
      <c r="R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 s="1">
        <v>42382</v>
      </c>
      <c r="AC5073" t="s">
        <v>53</v>
      </c>
      <c r="AD5073" t="s">
        <v>53</v>
      </c>
      <c r="AK5073">
        <v>0</v>
      </c>
      <c r="AU5073" s="6">
        <v>42283</v>
      </c>
      <c r="AV5073" s="6">
        <v>42283</v>
      </c>
      <c r="AW5073" t="s">
        <v>54</v>
      </c>
      <c r="AX5073" t="str">
        <f t="shared" si="430"/>
        <v>FOR</v>
      </c>
      <c r="AY5073" t="s">
        <v>55</v>
      </c>
    </row>
    <row r="5074" spans="1:51">
      <c r="A5074">
        <v>101934</v>
      </c>
      <c r="B5074" t="s">
        <v>937</v>
      </c>
      <c r="C5074" t="str">
        <f t="shared" si="431"/>
        <v>06175550638</v>
      </c>
      <c r="D5074" t="str">
        <f t="shared" si="431"/>
        <v>06175550638</v>
      </c>
      <c r="E5074" t="s">
        <v>52</v>
      </c>
      <c r="F5074">
        <v>2014</v>
      </c>
      <c r="G5074">
        <v>2269</v>
      </c>
      <c r="H5074" s="1">
        <v>41943</v>
      </c>
      <c r="I5074" s="1">
        <v>41967</v>
      </c>
      <c r="J5074" s="1">
        <v>41967</v>
      </c>
      <c r="K5074" s="1">
        <v>42027</v>
      </c>
      <c r="L5074" s="7">
        <v>150.80000000000001</v>
      </c>
      <c r="M5074" s="5">
        <v>256</v>
      </c>
      <c r="N5074" s="7">
        <v>38604.800000000003</v>
      </c>
      <c r="O5074">
        <v>150.80000000000001</v>
      </c>
      <c r="P5074">
        <v>256</v>
      </c>
      <c r="Q5074" s="2">
        <v>38604.800000000003</v>
      </c>
      <c r="R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 s="1">
        <v>42382</v>
      </c>
      <c r="AC5074" t="s">
        <v>53</v>
      </c>
      <c r="AD5074" t="s">
        <v>53</v>
      </c>
      <c r="AK5074">
        <v>0</v>
      </c>
      <c r="AU5074" s="6">
        <v>42283</v>
      </c>
      <c r="AV5074" s="6">
        <v>42283</v>
      </c>
      <c r="AW5074" t="s">
        <v>54</v>
      </c>
      <c r="AX5074" t="str">
        <f t="shared" si="430"/>
        <v>FOR</v>
      </c>
      <c r="AY5074" t="s">
        <v>55</v>
      </c>
    </row>
    <row r="5075" spans="1:51">
      <c r="A5075">
        <v>101934</v>
      </c>
      <c r="B5075" t="s">
        <v>937</v>
      </c>
      <c r="C5075" t="str">
        <f t="shared" si="431"/>
        <v>06175550638</v>
      </c>
      <c r="D5075" t="str">
        <f t="shared" si="431"/>
        <v>06175550638</v>
      </c>
      <c r="E5075" t="s">
        <v>52</v>
      </c>
      <c r="F5075">
        <v>2014</v>
      </c>
      <c r="G5075">
        <v>2270</v>
      </c>
      <c r="H5075" s="1">
        <v>41943</v>
      </c>
      <c r="I5075" s="1">
        <v>41967</v>
      </c>
      <c r="J5075" s="1">
        <v>41967</v>
      </c>
      <c r="K5075" s="1">
        <v>42027</v>
      </c>
      <c r="L5075" s="7">
        <v>150.80000000000001</v>
      </c>
      <c r="M5075" s="5">
        <v>256</v>
      </c>
      <c r="N5075" s="7">
        <v>38604.800000000003</v>
      </c>
      <c r="O5075">
        <v>150.80000000000001</v>
      </c>
      <c r="P5075">
        <v>256</v>
      </c>
      <c r="Q5075" s="2">
        <v>38604.800000000003</v>
      </c>
      <c r="R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 s="1">
        <v>42382</v>
      </c>
      <c r="AC5075" t="s">
        <v>53</v>
      </c>
      <c r="AD5075" t="s">
        <v>53</v>
      </c>
      <c r="AK5075">
        <v>0</v>
      </c>
      <c r="AU5075" s="6">
        <v>42283</v>
      </c>
      <c r="AV5075" s="6">
        <v>42283</v>
      </c>
      <c r="AW5075" t="s">
        <v>54</v>
      </c>
      <c r="AX5075" t="str">
        <f t="shared" si="430"/>
        <v>FOR</v>
      </c>
      <c r="AY5075" t="s">
        <v>55</v>
      </c>
    </row>
    <row r="5076" spans="1:51">
      <c r="A5076">
        <v>101934</v>
      </c>
      <c r="B5076" t="s">
        <v>937</v>
      </c>
      <c r="C5076" t="str">
        <f t="shared" si="431"/>
        <v>06175550638</v>
      </c>
      <c r="D5076" t="str">
        <f t="shared" si="431"/>
        <v>06175550638</v>
      </c>
      <c r="E5076" t="s">
        <v>52</v>
      </c>
      <c r="F5076">
        <v>2014</v>
      </c>
      <c r="G5076">
        <v>2271</v>
      </c>
      <c r="H5076" s="1">
        <v>41943</v>
      </c>
      <c r="I5076" s="1">
        <v>41967</v>
      </c>
      <c r="J5076" s="1">
        <v>41967</v>
      </c>
      <c r="K5076" s="1">
        <v>42027</v>
      </c>
      <c r="L5076" s="7">
        <v>150.80000000000001</v>
      </c>
      <c r="M5076" s="5">
        <v>256</v>
      </c>
      <c r="N5076" s="7">
        <v>38604.800000000003</v>
      </c>
      <c r="O5076">
        <v>150.80000000000001</v>
      </c>
      <c r="P5076">
        <v>256</v>
      </c>
      <c r="Q5076" s="2">
        <v>38604.800000000003</v>
      </c>
      <c r="R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 s="1">
        <v>42382</v>
      </c>
      <c r="AC5076" t="s">
        <v>53</v>
      </c>
      <c r="AD5076" t="s">
        <v>53</v>
      </c>
      <c r="AK5076">
        <v>0</v>
      </c>
      <c r="AU5076" s="6">
        <v>42283</v>
      </c>
      <c r="AV5076" s="6">
        <v>42283</v>
      </c>
      <c r="AW5076" t="s">
        <v>54</v>
      </c>
      <c r="AX5076" t="str">
        <f t="shared" si="430"/>
        <v>FOR</v>
      </c>
      <c r="AY5076" t="s">
        <v>55</v>
      </c>
    </row>
    <row r="5077" spans="1:51">
      <c r="A5077">
        <v>101934</v>
      </c>
      <c r="B5077" t="s">
        <v>937</v>
      </c>
      <c r="C5077" t="str">
        <f t="shared" si="431"/>
        <v>06175550638</v>
      </c>
      <c r="D5077" t="str">
        <f t="shared" si="431"/>
        <v>06175550638</v>
      </c>
      <c r="E5077" t="s">
        <v>52</v>
      </c>
      <c r="F5077">
        <v>2014</v>
      </c>
      <c r="G5077">
        <v>2272</v>
      </c>
      <c r="H5077" s="1">
        <v>41943</v>
      </c>
      <c r="I5077" s="1">
        <v>41967</v>
      </c>
      <c r="J5077" s="1">
        <v>41967</v>
      </c>
      <c r="K5077" s="1">
        <v>42027</v>
      </c>
      <c r="L5077" s="7">
        <v>150.80000000000001</v>
      </c>
      <c r="M5077" s="5">
        <v>256</v>
      </c>
      <c r="N5077" s="7">
        <v>38604.800000000003</v>
      </c>
      <c r="O5077">
        <v>150.80000000000001</v>
      </c>
      <c r="P5077">
        <v>256</v>
      </c>
      <c r="Q5077" s="2">
        <v>38604.800000000003</v>
      </c>
      <c r="R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 s="1">
        <v>42382</v>
      </c>
      <c r="AC5077" t="s">
        <v>53</v>
      </c>
      <c r="AD5077" t="s">
        <v>53</v>
      </c>
      <c r="AK5077">
        <v>0</v>
      </c>
      <c r="AU5077" s="6">
        <v>42283</v>
      </c>
      <c r="AV5077" s="6">
        <v>42283</v>
      </c>
      <c r="AW5077" t="s">
        <v>54</v>
      </c>
      <c r="AX5077" t="str">
        <f t="shared" si="430"/>
        <v>FOR</v>
      </c>
      <c r="AY5077" t="s">
        <v>55</v>
      </c>
    </row>
    <row r="5078" spans="1:51">
      <c r="A5078">
        <v>101934</v>
      </c>
      <c r="B5078" t="s">
        <v>937</v>
      </c>
      <c r="C5078" t="str">
        <f t="shared" si="431"/>
        <v>06175550638</v>
      </c>
      <c r="D5078" t="str">
        <f t="shared" si="431"/>
        <v>06175550638</v>
      </c>
      <c r="E5078" t="s">
        <v>52</v>
      </c>
      <c r="F5078">
        <v>2014</v>
      </c>
      <c r="G5078">
        <v>2273</v>
      </c>
      <c r="H5078" s="1">
        <v>41943</v>
      </c>
      <c r="I5078" s="1">
        <v>41967</v>
      </c>
      <c r="J5078" s="1">
        <v>41967</v>
      </c>
      <c r="K5078" s="1">
        <v>42027</v>
      </c>
      <c r="L5078" s="7">
        <v>150.80000000000001</v>
      </c>
      <c r="M5078" s="5">
        <v>256</v>
      </c>
      <c r="N5078" s="7">
        <v>38604.800000000003</v>
      </c>
      <c r="O5078">
        <v>150.80000000000001</v>
      </c>
      <c r="P5078">
        <v>256</v>
      </c>
      <c r="Q5078" s="2">
        <v>38604.800000000003</v>
      </c>
      <c r="R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 s="1">
        <v>42382</v>
      </c>
      <c r="AC5078" t="s">
        <v>53</v>
      </c>
      <c r="AD5078" t="s">
        <v>53</v>
      </c>
      <c r="AK5078">
        <v>0</v>
      </c>
      <c r="AU5078" s="6">
        <v>42283</v>
      </c>
      <c r="AV5078" s="6">
        <v>42283</v>
      </c>
      <c r="AW5078" t="s">
        <v>54</v>
      </c>
      <c r="AX5078" t="str">
        <f t="shared" si="430"/>
        <v>FOR</v>
      </c>
      <c r="AY5078" t="s">
        <v>55</v>
      </c>
    </row>
    <row r="5079" spans="1:51">
      <c r="A5079">
        <v>101934</v>
      </c>
      <c r="B5079" t="s">
        <v>937</v>
      </c>
      <c r="C5079" t="str">
        <f t="shared" si="431"/>
        <v>06175550638</v>
      </c>
      <c r="D5079" t="str">
        <f t="shared" si="431"/>
        <v>06175550638</v>
      </c>
      <c r="E5079" t="s">
        <v>52</v>
      </c>
      <c r="F5079">
        <v>2014</v>
      </c>
      <c r="G5079">
        <v>2274</v>
      </c>
      <c r="H5079" s="1">
        <v>41943</v>
      </c>
      <c r="I5079" s="1">
        <v>41967</v>
      </c>
      <c r="J5079" s="1">
        <v>41967</v>
      </c>
      <c r="K5079" s="1">
        <v>42027</v>
      </c>
      <c r="L5079" s="7">
        <v>150.80000000000001</v>
      </c>
      <c r="M5079" s="5">
        <v>256</v>
      </c>
      <c r="N5079" s="7">
        <v>38604.800000000003</v>
      </c>
      <c r="O5079">
        <v>150.80000000000001</v>
      </c>
      <c r="P5079">
        <v>256</v>
      </c>
      <c r="Q5079" s="2">
        <v>38604.800000000003</v>
      </c>
      <c r="R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 s="1">
        <v>42382</v>
      </c>
      <c r="AC5079" t="s">
        <v>53</v>
      </c>
      <c r="AD5079" t="s">
        <v>53</v>
      </c>
      <c r="AK5079">
        <v>0</v>
      </c>
      <c r="AU5079" s="6">
        <v>42283</v>
      </c>
      <c r="AV5079" s="6">
        <v>42283</v>
      </c>
      <c r="AW5079" t="s">
        <v>54</v>
      </c>
      <c r="AX5079" t="str">
        <f t="shared" si="430"/>
        <v>FOR</v>
      </c>
      <c r="AY5079" t="s">
        <v>55</v>
      </c>
    </row>
    <row r="5080" spans="1:51">
      <c r="A5080">
        <v>101934</v>
      </c>
      <c r="B5080" t="s">
        <v>937</v>
      </c>
      <c r="C5080" t="str">
        <f t="shared" si="431"/>
        <v>06175550638</v>
      </c>
      <c r="D5080" t="str">
        <f t="shared" si="431"/>
        <v>06175550638</v>
      </c>
      <c r="E5080" t="s">
        <v>52</v>
      </c>
      <c r="F5080">
        <v>2014</v>
      </c>
      <c r="G5080">
        <v>2275</v>
      </c>
      <c r="H5080" s="1">
        <v>41943</v>
      </c>
      <c r="I5080" s="1">
        <v>41967</v>
      </c>
      <c r="J5080" s="1">
        <v>41967</v>
      </c>
      <c r="K5080" s="1">
        <v>42027</v>
      </c>
      <c r="L5080" s="7">
        <v>150.80000000000001</v>
      </c>
      <c r="M5080" s="5">
        <v>256</v>
      </c>
      <c r="N5080" s="7">
        <v>38604.800000000003</v>
      </c>
      <c r="O5080">
        <v>150.80000000000001</v>
      </c>
      <c r="P5080">
        <v>256</v>
      </c>
      <c r="Q5080" s="2">
        <v>38604.800000000003</v>
      </c>
      <c r="R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 s="1">
        <v>42382</v>
      </c>
      <c r="AC5080" t="s">
        <v>53</v>
      </c>
      <c r="AD5080" t="s">
        <v>53</v>
      </c>
      <c r="AK5080">
        <v>0</v>
      </c>
      <c r="AU5080" s="6">
        <v>42283</v>
      </c>
      <c r="AV5080" s="6">
        <v>42283</v>
      </c>
      <c r="AW5080" t="s">
        <v>54</v>
      </c>
      <c r="AX5080" t="str">
        <f t="shared" si="430"/>
        <v>FOR</v>
      </c>
      <c r="AY5080" t="s">
        <v>55</v>
      </c>
    </row>
    <row r="5081" spans="1:51">
      <c r="A5081">
        <v>101934</v>
      </c>
      <c r="B5081" t="s">
        <v>937</v>
      </c>
      <c r="C5081" t="str">
        <f t="shared" si="431"/>
        <v>06175550638</v>
      </c>
      <c r="D5081" t="str">
        <f t="shared" si="431"/>
        <v>06175550638</v>
      </c>
      <c r="E5081" t="s">
        <v>52</v>
      </c>
      <c r="F5081">
        <v>2014</v>
      </c>
      <c r="G5081">
        <v>2318</v>
      </c>
      <c r="H5081" s="1">
        <v>41943</v>
      </c>
      <c r="I5081" s="1">
        <v>41967</v>
      </c>
      <c r="J5081" s="1">
        <v>41967</v>
      </c>
      <c r="K5081" s="1">
        <v>42027</v>
      </c>
      <c r="L5081" s="7">
        <v>150.80000000000001</v>
      </c>
      <c r="M5081" s="5">
        <v>256</v>
      </c>
      <c r="N5081" s="7">
        <v>38604.800000000003</v>
      </c>
      <c r="O5081">
        <v>150.80000000000001</v>
      </c>
      <c r="P5081">
        <v>256</v>
      </c>
      <c r="Q5081" s="2">
        <v>38604.800000000003</v>
      </c>
      <c r="R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 s="1">
        <v>42382</v>
      </c>
      <c r="AC5081" t="s">
        <v>53</v>
      </c>
      <c r="AD5081" t="s">
        <v>53</v>
      </c>
      <c r="AK5081">
        <v>0</v>
      </c>
      <c r="AU5081" s="6">
        <v>42283</v>
      </c>
      <c r="AV5081" s="6">
        <v>42283</v>
      </c>
      <c r="AW5081" t="s">
        <v>54</v>
      </c>
      <c r="AX5081" t="str">
        <f t="shared" si="430"/>
        <v>FOR</v>
      </c>
      <c r="AY5081" t="s">
        <v>55</v>
      </c>
    </row>
    <row r="5082" spans="1:51">
      <c r="A5082">
        <v>101934</v>
      </c>
      <c r="B5082" t="s">
        <v>937</v>
      </c>
      <c r="C5082" t="str">
        <f t="shared" si="431"/>
        <v>06175550638</v>
      </c>
      <c r="D5082" t="str">
        <f t="shared" si="431"/>
        <v>06175550638</v>
      </c>
      <c r="E5082" t="s">
        <v>52</v>
      </c>
      <c r="F5082">
        <v>2014</v>
      </c>
      <c r="G5082">
        <v>2390</v>
      </c>
      <c r="H5082" s="1">
        <v>41967</v>
      </c>
      <c r="I5082" s="1">
        <v>41995</v>
      </c>
      <c r="J5082" s="1">
        <v>41995</v>
      </c>
      <c r="K5082" s="1">
        <v>42055</v>
      </c>
      <c r="L5082" s="7">
        <v>292.8</v>
      </c>
      <c r="M5082" s="5">
        <v>250</v>
      </c>
      <c r="N5082" s="7">
        <v>73200</v>
      </c>
      <c r="O5082">
        <v>292.8</v>
      </c>
      <c r="P5082">
        <v>250</v>
      </c>
      <c r="Q5082" s="2">
        <v>73200</v>
      </c>
      <c r="R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 s="1">
        <v>42382</v>
      </c>
      <c r="AC5082" t="s">
        <v>53</v>
      </c>
      <c r="AD5082" t="s">
        <v>53</v>
      </c>
      <c r="AK5082">
        <v>0</v>
      </c>
      <c r="AU5082" s="6">
        <v>42305</v>
      </c>
      <c r="AV5082" s="6">
        <v>42305</v>
      </c>
      <c r="AW5082" t="s">
        <v>54</v>
      </c>
      <c r="AX5082" t="str">
        <f t="shared" si="430"/>
        <v>FOR</v>
      </c>
      <c r="AY5082" t="s">
        <v>55</v>
      </c>
    </row>
    <row r="5083" spans="1:51">
      <c r="A5083">
        <v>101934</v>
      </c>
      <c r="B5083" t="s">
        <v>937</v>
      </c>
      <c r="C5083" t="str">
        <f t="shared" si="431"/>
        <v>06175550638</v>
      </c>
      <c r="D5083" t="str">
        <f t="shared" si="431"/>
        <v>06175550638</v>
      </c>
      <c r="E5083" t="s">
        <v>52</v>
      </c>
      <c r="F5083">
        <v>2014</v>
      </c>
      <c r="G5083">
        <v>2429</v>
      </c>
      <c r="H5083" s="1">
        <v>41971</v>
      </c>
      <c r="I5083" s="1">
        <v>41995</v>
      </c>
      <c r="J5083" s="1">
        <v>41995</v>
      </c>
      <c r="K5083" s="1">
        <v>42055</v>
      </c>
      <c r="L5083" s="7">
        <v>263.52</v>
      </c>
      <c r="M5083" s="5">
        <v>250</v>
      </c>
      <c r="N5083" s="7">
        <v>65880</v>
      </c>
      <c r="O5083">
        <v>263.52</v>
      </c>
      <c r="P5083">
        <v>250</v>
      </c>
      <c r="Q5083" s="2">
        <v>65880</v>
      </c>
      <c r="R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 s="1">
        <v>42382</v>
      </c>
      <c r="AC5083" t="s">
        <v>53</v>
      </c>
      <c r="AD5083" t="s">
        <v>53</v>
      </c>
      <c r="AK5083">
        <v>0</v>
      </c>
      <c r="AU5083" s="6">
        <v>42305</v>
      </c>
      <c r="AV5083" s="6">
        <v>42305</v>
      </c>
      <c r="AW5083" t="s">
        <v>54</v>
      </c>
      <c r="AX5083" t="str">
        <f t="shared" si="430"/>
        <v>FOR</v>
      </c>
      <c r="AY5083" t="s">
        <v>55</v>
      </c>
    </row>
    <row r="5084" spans="1:51">
      <c r="A5084">
        <v>101934</v>
      </c>
      <c r="B5084" t="s">
        <v>937</v>
      </c>
      <c r="C5084" t="str">
        <f t="shared" si="431"/>
        <v>06175550638</v>
      </c>
      <c r="D5084" t="str">
        <f t="shared" si="431"/>
        <v>06175550638</v>
      </c>
      <c r="E5084" t="s">
        <v>52</v>
      </c>
      <c r="F5084">
        <v>2014</v>
      </c>
      <c r="G5084">
        <v>2514</v>
      </c>
      <c r="H5084" s="1">
        <v>41971</v>
      </c>
      <c r="I5084" s="1">
        <v>41995</v>
      </c>
      <c r="J5084" s="1">
        <v>41995</v>
      </c>
      <c r="K5084" s="1">
        <v>42055</v>
      </c>
      <c r="L5084" s="7">
        <v>29.28</v>
      </c>
      <c r="M5084" s="5">
        <v>250</v>
      </c>
      <c r="N5084" s="7">
        <v>7320</v>
      </c>
      <c r="O5084">
        <v>29.28</v>
      </c>
      <c r="P5084">
        <v>250</v>
      </c>
      <c r="Q5084" s="2">
        <v>7320</v>
      </c>
      <c r="R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 s="1">
        <v>42382</v>
      </c>
      <c r="AC5084" t="s">
        <v>53</v>
      </c>
      <c r="AD5084" t="s">
        <v>53</v>
      </c>
      <c r="AK5084">
        <v>0</v>
      </c>
      <c r="AU5084" s="6">
        <v>42305</v>
      </c>
      <c r="AV5084" s="6">
        <v>42305</v>
      </c>
      <c r="AW5084" t="s">
        <v>54</v>
      </c>
      <c r="AX5084" t="str">
        <f t="shared" si="430"/>
        <v>FOR</v>
      </c>
      <c r="AY5084" t="s">
        <v>55</v>
      </c>
    </row>
    <row r="5085" spans="1:51">
      <c r="A5085">
        <v>101934</v>
      </c>
      <c r="B5085" t="s">
        <v>937</v>
      </c>
      <c r="C5085" t="str">
        <f t="shared" si="431"/>
        <v>06175550638</v>
      </c>
      <c r="D5085" t="str">
        <f t="shared" si="431"/>
        <v>06175550638</v>
      </c>
      <c r="E5085" t="s">
        <v>52</v>
      </c>
      <c r="F5085">
        <v>2014</v>
      </c>
      <c r="G5085">
        <v>2590</v>
      </c>
      <c r="H5085" s="1">
        <v>41971</v>
      </c>
      <c r="I5085" s="1">
        <v>41995</v>
      </c>
      <c r="J5085" s="1">
        <v>41995</v>
      </c>
      <c r="K5085" s="1">
        <v>42055</v>
      </c>
      <c r="L5085" s="7">
        <v>150.80000000000001</v>
      </c>
      <c r="M5085" s="5">
        <v>250</v>
      </c>
      <c r="N5085" s="7">
        <v>37700</v>
      </c>
      <c r="O5085">
        <v>150.80000000000001</v>
      </c>
      <c r="P5085">
        <v>250</v>
      </c>
      <c r="Q5085" s="2">
        <v>37700</v>
      </c>
      <c r="R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 s="1">
        <v>42382</v>
      </c>
      <c r="AC5085" t="s">
        <v>53</v>
      </c>
      <c r="AD5085" t="s">
        <v>53</v>
      </c>
      <c r="AK5085">
        <v>0</v>
      </c>
      <c r="AU5085" s="6">
        <v>42305</v>
      </c>
      <c r="AV5085" s="6">
        <v>42305</v>
      </c>
      <c r="AW5085" t="s">
        <v>54</v>
      </c>
      <c r="AX5085" t="str">
        <f t="shared" si="430"/>
        <v>FOR</v>
      </c>
      <c r="AY5085" t="s">
        <v>55</v>
      </c>
    </row>
    <row r="5086" spans="1:51">
      <c r="A5086">
        <v>101934</v>
      </c>
      <c r="B5086" t="s">
        <v>937</v>
      </c>
      <c r="C5086" t="str">
        <f t="shared" ref="C5086:D5105" si="432">"06175550638"</f>
        <v>06175550638</v>
      </c>
      <c r="D5086" t="str">
        <f t="shared" si="432"/>
        <v>06175550638</v>
      </c>
      <c r="E5086" t="s">
        <v>52</v>
      </c>
      <c r="F5086">
        <v>2014</v>
      </c>
      <c r="G5086">
        <v>2591</v>
      </c>
      <c r="H5086" s="1">
        <v>41971</v>
      </c>
      <c r="I5086" s="1">
        <v>41995</v>
      </c>
      <c r="J5086" s="1">
        <v>41995</v>
      </c>
      <c r="K5086" s="1">
        <v>42055</v>
      </c>
      <c r="L5086" s="7">
        <v>150.80000000000001</v>
      </c>
      <c r="M5086" s="5">
        <v>250</v>
      </c>
      <c r="N5086" s="7">
        <v>37700</v>
      </c>
      <c r="O5086">
        <v>150.80000000000001</v>
      </c>
      <c r="P5086">
        <v>250</v>
      </c>
      <c r="Q5086" s="2">
        <v>37700</v>
      </c>
      <c r="R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 s="1">
        <v>42382</v>
      </c>
      <c r="AC5086" t="s">
        <v>53</v>
      </c>
      <c r="AD5086" t="s">
        <v>53</v>
      </c>
      <c r="AK5086">
        <v>0</v>
      </c>
      <c r="AU5086" s="6">
        <v>42305</v>
      </c>
      <c r="AV5086" s="6">
        <v>42305</v>
      </c>
      <c r="AW5086" t="s">
        <v>54</v>
      </c>
      <c r="AX5086" t="str">
        <f t="shared" si="430"/>
        <v>FOR</v>
      </c>
      <c r="AY5086" t="s">
        <v>55</v>
      </c>
    </row>
    <row r="5087" spans="1:51">
      <c r="A5087">
        <v>101934</v>
      </c>
      <c r="B5087" t="s">
        <v>937</v>
      </c>
      <c r="C5087" t="str">
        <f t="shared" si="432"/>
        <v>06175550638</v>
      </c>
      <c r="D5087" t="str">
        <f t="shared" si="432"/>
        <v>06175550638</v>
      </c>
      <c r="E5087" t="s">
        <v>52</v>
      </c>
      <c r="F5087">
        <v>2014</v>
      </c>
      <c r="G5087">
        <v>2592</v>
      </c>
      <c r="H5087" s="1">
        <v>41971</v>
      </c>
      <c r="I5087" s="1">
        <v>41995</v>
      </c>
      <c r="J5087" s="1">
        <v>41995</v>
      </c>
      <c r="K5087" s="1">
        <v>42055</v>
      </c>
      <c r="L5087" s="7">
        <v>150.80000000000001</v>
      </c>
      <c r="M5087" s="5">
        <v>250</v>
      </c>
      <c r="N5087" s="7">
        <v>37700</v>
      </c>
      <c r="O5087">
        <v>150.80000000000001</v>
      </c>
      <c r="P5087">
        <v>250</v>
      </c>
      <c r="Q5087" s="2">
        <v>37700</v>
      </c>
      <c r="R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 s="1">
        <v>42382</v>
      </c>
      <c r="AC5087" t="s">
        <v>53</v>
      </c>
      <c r="AD5087" t="s">
        <v>53</v>
      </c>
      <c r="AK5087">
        <v>0</v>
      </c>
      <c r="AU5087" s="6">
        <v>42305</v>
      </c>
      <c r="AV5087" s="6">
        <v>42305</v>
      </c>
      <c r="AW5087" t="s">
        <v>54</v>
      </c>
      <c r="AX5087" t="str">
        <f t="shared" si="430"/>
        <v>FOR</v>
      </c>
      <c r="AY5087" t="s">
        <v>55</v>
      </c>
    </row>
    <row r="5088" spans="1:51">
      <c r="A5088">
        <v>101934</v>
      </c>
      <c r="B5088" t="s">
        <v>937</v>
      </c>
      <c r="C5088" t="str">
        <f t="shared" si="432"/>
        <v>06175550638</v>
      </c>
      <c r="D5088" t="str">
        <f t="shared" si="432"/>
        <v>06175550638</v>
      </c>
      <c r="E5088" t="s">
        <v>52</v>
      </c>
      <c r="F5088">
        <v>2014</v>
      </c>
      <c r="G5088">
        <v>2593</v>
      </c>
      <c r="H5088" s="1">
        <v>41971</v>
      </c>
      <c r="I5088" s="1">
        <v>41995</v>
      </c>
      <c r="J5088" s="1">
        <v>41995</v>
      </c>
      <c r="K5088" s="1">
        <v>42055</v>
      </c>
      <c r="L5088" s="7">
        <v>150.80000000000001</v>
      </c>
      <c r="M5088" s="5">
        <v>250</v>
      </c>
      <c r="N5088" s="7">
        <v>37700</v>
      </c>
      <c r="O5088">
        <v>150.80000000000001</v>
      </c>
      <c r="P5088">
        <v>250</v>
      </c>
      <c r="Q5088" s="2">
        <v>37700</v>
      </c>
      <c r="R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 s="1">
        <v>42382</v>
      </c>
      <c r="AC5088" t="s">
        <v>53</v>
      </c>
      <c r="AD5088" t="s">
        <v>53</v>
      </c>
      <c r="AK5088">
        <v>0</v>
      </c>
      <c r="AU5088" s="6">
        <v>42305</v>
      </c>
      <c r="AV5088" s="6">
        <v>42305</v>
      </c>
      <c r="AW5088" t="s">
        <v>54</v>
      </c>
      <c r="AX5088" t="str">
        <f t="shared" si="430"/>
        <v>FOR</v>
      </c>
      <c r="AY5088" t="s">
        <v>55</v>
      </c>
    </row>
    <row r="5089" spans="1:51">
      <c r="A5089">
        <v>101934</v>
      </c>
      <c r="B5089" t="s">
        <v>937</v>
      </c>
      <c r="C5089" t="str">
        <f t="shared" si="432"/>
        <v>06175550638</v>
      </c>
      <c r="D5089" t="str">
        <f t="shared" si="432"/>
        <v>06175550638</v>
      </c>
      <c r="E5089" t="s">
        <v>52</v>
      </c>
      <c r="F5089">
        <v>2014</v>
      </c>
      <c r="G5089">
        <v>2594</v>
      </c>
      <c r="H5089" s="1">
        <v>41971</v>
      </c>
      <c r="I5089" s="1">
        <v>41995</v>
      </c>
      <c r="J5089" s="1">
        <v>41995</v>
      </c>
      <c r="K5089" s="1">
        <v>42055</v>
      </c>
      <c r="L5089" s="7">
        <v>150.80000000000001</v>
      </c>
      <c r="M5089" s="5">
        <v>250</v>
      </c>
      <c r="N5089" s="7">
        <v>37700</v>
      </c>
      <c r="O5089">
        <v>150.80000000000001</v>
      </c>
      <c r="P5089">
        <v>250</v>
      </c>
      <c r="Q5089" s="2">
        <v>37700</v>
      </c>
      <c r="R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 s="1">
        <v>42382</v>
      </c>
      <c r="AC5089" t="s">
        <v>53</v>
      </c>
      <c r="AD5089" t="s">
        <v>53</v>
      </c>
      <c r="AK5089">
        <v>0</v>
      </c>
      <c r="AU5089" s="6">
        <v>42305</v>
      </c>
      <c r="AV5089" s="6">
        <v>42305</v>
      </c>
      <c r="AW5089" t="s">
        <v>54</v>
      </c>
      <c r="AX5089" t="str">
        <f t="shared" si="430"/>
        <v>FOR</v>
      </c>
      <c r="AY5089" t="s">
        <v>55</v>
      </c>
    </row>
    <row r="5090" spans="1:51">
      <c r="A5090">
        <v>101934</v>
      </c>
      <c r="B5090" t="s">
        <v>937</v>
      </c>
      <c r="C5090" t="str">
        <f t="shared" si="432"/>
        <v>06175550638</v>
      </c>
      <c r="D5090" t="str">
        <f t="shared" si="432"/>
        <v>06175550638</v>
      </c>
      <c r="E5090" t="s">
        <v>52</v>
      </c>
      <c r="F5090">
        <v>2014</v>
      </c>
      <c r="G5090">
        <v>2595</v>
      </c>
      <c r="H5090" s="1">
        <v>41971</v>
      </c>
      <c r="I5090" s="1">
        <v>41995</v>
      </c>
      <c r="J5090" s="1">
        <v>41995</v>
      </c>
      <c r="K5090" s="1">
        <v>42055</v>
      </c>
      <c r="L5090" s="7">
        <v>150.80000000000001</v>
      </c>
      <c r="M5090" s="5">
        <v>250</v>
      </c>
      <c r="N5090" s="7">
        <v>37700</v>
      </c>
      <c r="O5090">
        <v>150.80000000000001</v>
      </c>
      <c r="P5090">
        <v>250</v>
      </c>
      <c r="Q5090" s="2">
        <v>37700</v>
      </c>
      <c r="R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 s="1">
        <v>42382</v>
      </c>
      <c r="AC5090" t="s">
        <v>53</v>
      </c>
      <c r="AD5090" t="s">
        <v>53</v>
      </c>
      <c r="AK5090">
        <v>0</v>
      </c>
      <c r="AU5090" s="6">
        <v>42305</v>
      </c>
      <c r="AV5090" s="6">
        <v>42305</v>
      </c>
      <c r="AW5090" t="s">
        <v>54</v>
      </c>
      <c r="AX5090" t="str">
        <f t="shared" si="430"/>
        <v>FOR</v>
      </c>
      <c r="AY5090" t="s">
        <v>55</v>
      </c>
    </row>
    <row r="5091" spans="1:51">
      <c r="A5091">
        <v>101934</v>
      </c>
      <c r="B5091" t="s">
        <v>937</v>
      </c>
      <c r="C5091" t="str">
        <f t="shared" si="432"/>
        <v>06175550638</v>
      </c>
      <c r="D5091" t="str">
        <f t="shared" si="432"/>
        <v>06175550638</v>
      </c>
      <c r="E5091" t="s">
        <v>52</v>
      </c>
      <c r="F5091">
        <v>2014</v>
      </c>
      <c r="G5091">
        <v>2596</v>
      </c>
      <c r="H5091" s="1">
        <v>41971</v>
      </c>
      <c r="I5091" s="1">
        <v>41995</v>
      </c>
      <c r="J5091" s="1">
        <v>41995</v>
      </c>
      <c r="K5091" s="1">
        <v>42055</v>
      </c>
      <c r="L5091" s="7">
        <v>150.80000000000001</v>
      </c>
      <c r="M5091" s="5">
        <v>250</v>
      </c>
      <c r="N5091" s="7">
        <v>37700</v>
      </c>
      <c r="O5091">
        <v>150.80000000000001</v>
      </c>
      <c r="P5091">
        <v>250</v>
      </c>
      <c r="Q5091" s="2">
        <v>37700</v>
      </c>
      <c r="R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 s="1">
        <v>42382</v>
      </c>
      <c r="AC5091" t="s">
        <v>53</v>
      </c>
      <c r="AD5091" t="s">
        <v>53</v>
      </c>
      <c r="AK5091">
        <v>0</v>
      </c>
      <c r="AU5091" s="6">
        <v>42305</v>
      </c>
      <c r="AV5091" s="6">
        <v>42305</v>
      </c>
      <c r="AW5091" t="s">
        <v>54</v>
      </c>
      <c r="AX5091" t="str">
        <f t="shared" si="430"/>
        <v>FOR</v>
      </c>
      <c r="AY5091" t="s">
        <v>55</v>
      </c>
    </row>
    <row r="5092" spans="1:51">
      <c r="A5092">
        <v>101934</v>
      </c>
      <c r="B5092" t="s">
        <v>937</v>
      </c>
      <c r="C5092" t="str">
        <f t="shared" si="432"/>
        <v>06175550638</v>
      </c>
      <c r="D5092" t="str">
        <f t="shared" si="432"/>
        <v>06175550638</v>
      </c>
      <c r="E5092" t="s">
        <v>52</v>
      </c>
      <c r="F5092">
        <v>2014</v>
      </c>
      <c r="G5092">
        <v>2597</v>
      </c>
      <c r="H5092" s="1">
        <v>41971</v>
      </c>
      <c r="I5092" s="1">
        <v>41995</v>
      </c>
      <c r="J5092" s="1">
        <v>41995</v>
      </c>
      <c r="K5092" s="1">
        <v>42055</v>
      </c>
      <c r="L5092" s="7">
        <v>150.80000000000001</v>
      </c>
      <c r="M5092" s="5">
        <v>250</v>
      </c>
      <c r="N5092" s="7">
        <v>37700</v>
      </c>
      <c r="O5092">
        <v>150.80000000000001</v>
      </c>
      <c r="P5092">
        <v>250</v>
      </c>
      <c r="Q5092" s="2">
        <v>37700</v>
      </c>
      <c r="R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 s="1">
        <v>42382</v>
      </c>
      <c r="AC5092" t="s">
        <v>53</v>
      </c>
      <c r="AD5092" t="s">
        <v>53</v>
      </c>
      <c r="AK5092">
        <v>0</v>
      </c>
      <c r="AU5092" s="6">
        <v>42305</v>
      </c>
      <c r="AV5092" s="6">
        <v>42305</v>
      </c>
      <c r="AW5092" t="s">
        <v>54</v>
      </c>
      <c r="AX5092" t="str">
        <f t="shared" si="430"/>
        <v>FOR</v>
      </c>
      <c r="AY5092" t="s">
        <v>55</v>
      </c>
    </row>
    <row r="5093" spans="1:51">
      <c r="A5093">
        <v>101934</v>
      </c>
      <c r="B5093" t="s">
        <v>937</v>
      </c>
      <c r="C5093" t="str">
        <f t="shared" si="432"/>
        <v>06175550638</v>
      </c>
      <c r="D5093" t="str">
        <f t="shared" si="432"/>
        <v>06175550638</v>
      </c>
      <c r="E5093" t="s">
        <v>52</v>
      </c>
      <c r="F5093">
        <v>2014</v>
      </c>
      <c r="G5093">
        <v>2598</v>
      </c>
      <c r="H5093" s="1">
        <v>41971</v>
      </c>
      <c r="I5093" s="1">
        <v>41995</v>
      </c>
      <c r="J5093" s="1">
        <v>41995</v>
      </c>
      <c r="K5093" s="1">
        <v>42055</v>
      </c>
      <c r="L5093" s="7">
        <v>150.80000000000001</v>
      </c>
      <c r="M5093" s="5">
        <v>250</v>
      </c>
      <c r="N5093" s="7">
        <v>37700</v>
      </c>
      <c r="O5093">
        <v>150.80000000000001</v>
      </c>
      <c r="P5093">
        <v>250</v>
      </c>
      <c r="Q5093" s="2">
        <v>37700</v>
      </c>
      <c r="R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 s="1">
        <v>42382</v>
      </c>
      <c r="AC5093" t="s">
        <v>53</v>
      </c>
      <c r="AD5093" t="s">
        <v>53</v>
      </c>
      <c r="AK5093">
        <v>0</v>
      </c>
      <c r="AU5093" s="6">
        <v>42305</v>
      </c>
      <c r="AV5093" s="6">
        <v>42305</v>
      </c>
      <c r="AW5093" t="s">
        <v>54</v>
      </c>
      <c r="AX5093" t="str">
        <f t="shared" si="430"/>
        <v>FOR</v>
      </c>
      <c r="AY5093" t="s">
        <v>55</v>
      </c>
    </row>
    <row r="5094" spans="1:51">
      <c r="A5094">
        <v>101934</v>
      </c>
      <c r="B5094" t="s">
        <v>937</v>
      </c>
      <c r="C5094" t="str">
        <f t="shared" si="432"/>
        <v>06175550638</v>
      </c>
      <c r="D5094" t="str">
        <f t="shared" si="432"/>
        <v>06175550638</v>
      </c>
      <c r="E5094" t="s">
        <v>52</v>
      </c>
      <c r="F5094">
        <v>2014</v>
      </c>
      <c r="G5094">
        <v>2599</v>
      </c>
      <c r="H5094" s="1">
        <v>41971</v>
      </c>
      <c r="I5094" s="1">
        <v>41995</v>
      </c>
      <c r="J5094" s="1">
        <v>41995</v>
      </c>
      <c r="K5094" s="1">
        <v>42055</v>
      </c>
      <c r="L5094" s="7">
        <v>150.80000000000001</v>
      </c>
      <c r="M5094" s="5">
        <v>250</v>
      </c>
      <c r="N5094" s="7">
        <v>37700</v>
      </c>
      <c r="O5094">
        <v>150.80000000000001</v>
      </c>
      <c r="P5094">
        <v>250</v>
      </c>
      <c r="Q5094" s="2">
        <v>37700</v>
      </c>
      <c r="R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 s="1">
        <v>42382</v>
      </c>
      <c r="AC5094" t="s">
        <v>53</v>
      </c>
      <c r="AD5094" t="s">
        <v>53</v>
      </c>
      <c r="AK5094">
        <v>0</v>
      </c>
      <c r="AU5094" s="6">
        <v>42305</v>
      </c>
      <c r="AV5094" s="6">
        <v>42305</v>
      </c>
      <c r="AW5094" t="s">
        <v>54</v>
      </c>
      <c r="AX5094" t="str">
        <f t="shared" si="430"/>
        <v>FOR</v>
      </c>
      <c r="AY5094" t="s">
        <v>55</v>
      </c>
    </row>
    <row r="5095" spans="1:51">
      <c r="A5095">
        <v>101934</v>
      </c>
      <c r="B5095" t="s">
        <v>937</v>
      </c>
      <c r="C5095" t="str">
        <f t="shared" si="432"/>
        <v>06175550638</v>
      </c>
      <c r="D5095" t="str">
        <f t="shared" si="432"/>
        <v>06175550638</v>
      </c>
      <c r="E5095" t="s">
        <v>52</v>
      </c>
      <c r="F5095">
        <v>2014</v>
      </c>
      <c r="G5095">
        <v>2600</v>
      </c>
      <c r="H5095" s="1">
        <v>41971</v>
      </c>
      <c r="I5095" s="1">
        <v>41995</v>
      </c>
      <c r="J5095" s="1">
        <v>41995</v>
      </c>
      <c r="K5095" s="1">
        <v>42055</v>
      </c>
      <c r="L5095" s="7">
        <v>150.80000000000001</v>
      </c>
      <c r="M5095" s="5">
        <v>250</v>
      </c>
      <c r="N5095" s="7">
        <v>37700</v>
      </c>
      <c r="O5095">
        <v>150.80000000000001</v>
      </c>
      <c r="P5095">
        <v>250</v>
      </c>
      <c r="Q5095" s="2">
        <v>37700</v>
      </c>
      <c r="R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 s="1">
        <v>42382</v>
      </c>
      <c r="AC5095" t="s">
        <v>53</v>
      </c>
      <c r="AD5095" t="s">
        <v>53</v>
      </c>
      <c r="AK5095">
        <v>0</v>
      </c>
      <c r="AU5095" s="6">
        <v>42305</v>
      </c>
      <c r="AV5095" s="6">
        <v>42305</v>
      </c>
      <c r="AW5095" t="s">
        <v>54</v>
      </c>
      <c r="AX5095" t="str">
        <f t="shared" si="430"/>
        <v>FOR</v>
      </c>
      <c r="AY5095" t="s">
        <v>55</v>
      </c>
    </row>
    <row r="5096" spans="1:51">
      <c r="A5096">
        <v>101934</v>
      </c>
      <c r="B5096" t="s">
        <v>937</v>
      </c>
      <c r="C5096" t="str">
        <f t="shared" si="432"/>
        <v>06175550638</v>
      </c>
      <c r="D5096" t="str">
        <f t="shared" si="432"/>
        <v>06175550638</v>
      </c>
      <c r="E5096" t="s">
        <v>52</v>
      </c>
      <c r="F5096">
        <v>2014</v>
      </c>
      <c r="G5096">
        <v>2601</v>
      </c>
      <c r="H5096" s="1">
        <v>41971</v>
      </c>
      <c r="I5096" s="1">
        <v>41995</v>
      </c>
      <c r="J5096" s="1">
        <v>41995</v>
      </c>
      <c r="K5096" s="1">
        <v>42055</v>
      </c>
      <c r="L5096" s="7">
        <v>150.80000000000001</v>
      </c>
      <c r="M5096" s="5">
        <v>250</v>
      </c>
      <c r="N5096" s="7">
        <v>37700</v>
      </c>
      <c r="O5096">
        <v>150.80000000000001</v>
      </c>
      <c r="P5096">
        <v>250</v>
      </c>
      <c r="Q5096" s="2">
        <v>37700</v>
      </c>
      <c r="R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 s="1">
        <v>42382</v>
      </c>
      <c r="AC5096" t="s">
        <v>53</v>
      </c>
      <c r="AD5096" t="s">
        <v>53</v>
      </c>
      <c r="AK5096">
        <v>0</v>
      </c>
      <c r="AU5096" s="6">
        <v>42305</v>
      </c>
      <c r="AV5096" s="6">
        <v>42305</v>
      </c>
      <c r="AW5096" t="s">
        <v>54</v>
      </c>
      <c r="AX5096" t="str">
        <f t="shared" si="430"/>
        <v>FOR</v>
      </c>
      <c r="AY5096" t="s">
        <v>55</v>
      </c>
    </row>
    <row r="5097" spans="1:51">
      <c r="A5097">
        <v>101934</v>
      </c>
      <c r="B5097" t="s">
        <v>937</v>
      </c>
      <c r="C5097" t="str">
        <f t="shared" si="432"/>
        <v>06175550638</v>
      </c>
      <c r="D5097" t="str">
        <f t="shared" si="432"/>
        <v>06175550638</v>
      </c>
      <c r="E5097" t="s">
        <v>52</v>
      </c>
      <c r="F5097">
        <v>2014</v>
      </c>
      <c r="G5097">
        <v>2602</v>
      </c>
      <c r="H5097" s="1">
        <v>41971</v>
      </c>
      <c r="I5097" s="1">
        <v>41995</v>
      </c>
      <c r="J5097" s="1">
        <v>41995</v>
      </c>
      <c r="K5097" s="1">
        <v>42055</v>
      </c>
      <c r="L5097" s="7">
        <v>150.80000000000001</v>
      </c>
      <c r="M5097" s="5">
        <v>250</v>
      </c>
      <c r="N5097" s="7">
        <v>37700</v>
      </c>
      <c r="O5097">
        <v>150.80000000000001</v>
      </c>
      <c r="P5097">
        <v>250</v>
      </c>
      <c r="Q5097" s="2">
        <v>37700</v>
      </c>
      <c r="R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 s="1">
        <v>42382</v>
      </c>
      <c r="AC5097" t="s">
        <v>53</v>
      </c>
      <c r="AD5097" t="s">
        <v>53</v>
      </c>
      <c r="AK5097">
        <v>0</v>
      </c>
      <c r="AU5097" s="6">
        <v>42305</v>
      </c>
      <c r="AV5097" s="6">
        <v>42305</v>
      </c>
      <c r="AW5097" t="s">
        <v>54</v>
      </c>
      <c r="AX5097" t="str">
        <f t="shared" si="430"/>
        <v>FOR</v>
      </c>
      <c r="AY5097" t="s">
        <v>55</v>
      </c>
    </row>
    <row r="5098" spans="1:51">
      <c r="A5098">
        <v>101934</v>
      </c>
      <c r="B5098" t="s">
        <v>937</v>
      </c>
      <c r="C5098" t="str">
        <f t="shared" si="432"/>
        <v>06175550638</v>
      </c>
      <c r="D5098" t="str">
        <f t="shared" si="432"/>
        <v>06175550638</v>
      </c>
      <c r="E5098" t="s">
        <v>52</v>
      </c>
      <c r="F5098">
        <v>2014</v>
      </c>
      <c r="G5098">
        <v>2603</v>
      </c>
      <c r="H5098" s="1">
        <v>41971</v>
      </c>
      <c r="I5098" s="1">
        <v>41995</v>
      </c>
      <c r="J5098" s="1">
        <v>41995</v>
      </c>
      <c r="K5098" s="1">
        <v>42055</v>
      </c>
      <c r="L5098" s="7">
        <v>150.80000000000001</v>
      </c>
      <c r="M5098" s="5">
        <v>250</v>
      </c>
      <c r="N5098" s="7">
        <v>37700</v>
      </c>
      <c r="O5098">
        <v>150.80000000000001</v>
      </c>
      <c r="P5098">
        <v>250</v>
      </c>
      <c r="Q5098" s="2">
        <v>37700</v>
      </c>
      <c r="R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 s="1">
        <v>42382</v>
      </c>
      <c r="AC5098" t="s">
        <v>53</v>
      </c>
      <c r="AD5098" t="s">
        <v>53</v>
      </c>
      <c r="AK5098">
        <v>0</v>
      </c>
      <c r="AU5098" s="6">
        <v>42305</v>
      </c>
      <c r="AV5098" s="6">
        <v>42305</v>
      </c>
      <c r="AW5098" t="s">
        <v>54</v>
      </c>
      <c r="AX5098" t="str">
        <f t="shared" si="430"/>
        <v>FOR</v>
      </c>
      <c r="AY5098" t="s">
        <v>55</v>
      </c>
    </row>
    <row r="5099" spans="1:51">
      <c r="A5099">
        <v>101934</v>
      </c>
      <c r="B5099" t="s">
        <v>937</v>
      </c>
      <c r="C5099" t="str">
        <f t="shared" si="432"/>
        <v>06175550638</v>
      </c>
      <c r="D5099" t="str">
        <f t="shared" si="432"/>
        <v>06175550638</v>
      </c>
      <c r="E5099" t="s">
        <v>52</v>
      </c>
      <c r="F5099">
        <v>2014</v>
      </c>
      <c r="G5099">
        <v>2786</v>
      </c>
      <c r="H5099" s="1">
        <v>42004</v>
      </c>
      <c r="I5099" s="1">
        <v>42031</v>
      </c>
      <c r="J5099" s="1">
        <v>42031</v>
      </c>
      <c r="K5099" s="1">
        <v>42091</v>
      </c>
      <c r="L5099" s="7">
        <v>150.80000000000001</v>
      </c>
      <c r="M5099" s="5">
        <v>249</v>
      </c>
      <c r="N5099" s="7">
        <v>37549.199999999997</v>
      </c>
      <c r="O5099">
        <v>150.80000000000001</v>
      </c>
      <c r="P5099">
        <v>249</v>
      </c>
      <c r="Q5099" s="2">
        <v>37549.199999999997</v>
      </c>
      <c r="R5099">
        <v>0</v>
      </c>
      <c r="V5099">
        <v>0</v>
      </c>
      <c r="W5099">
        <v>0</v>
      </c>
      <c r="X5099">
        <v>0</v>
      </c>
      <c r="Y5099">
        <v>0</v>
      </c>
      <c r="Z5099">
        <v>150.80000000000001</v>
      </c>
      <c r="AA5099">
        <v>0</v>
      </c>
      <c r="AB5099" s="1">
        <v>42382</v>
      </c>
      <c r="AC5099" t="s">
        <v>53</v>
      </c>
      <c r="AD5099" t="s">
        <v>53</v>
      </c>
      <c r="AK5099">
        <v>0</v>
      </c>
      <c r="AU5099" s="6">
        <v>42340</v>
      </c>
      <c r="AV5099" s="6">
        <v>42340</v>
      </c>
      <c r="AW5099" t="s">
        <v>54</v>
      </c>
      <c r="AX5099" t="str">
        <f t="shared" si="430"/>
        <v>FOR</v>
      </c>
      <c r="AY5099" t="s">
        <v>55</v>
      </c>
    </row>
    <row r="5100" spans="1:51">
      <c r="A5100">
        <v>101934</v>
      </c>
      <c r="B5100" t="s">
        <v>937</v>
      </c>
      <c r="C5100" t="str">
        <f t="shared" si="432"/>
        <v>06175550638</v>
      </c>
      <c r="D5100" t="str">
        <f t="shared" si="432"/>
        <v>06175550638</v>
      </c>
      <c r="E5100" t="s">
        <v>52</v>
      </c>
      <c r="F5100">
        <v>2014</v>
      </c>
      <c r="G5100">
        <v>2787</v>
      </c>
      <c r="H5100" s="1">
        <v>42004</v>
      </c>
      <c r="I5100" s="1">
        <v>42031</v>
      </c>
      <c r="J5100" s="1">
        <v>42031</v>
      </c>
      <c r="K5100" s="1">
        <v>42091</v>
      </c>
      <c r="L5100" s="7">
        <v>150.80000000000001</v>
      </c>
      <c r="M5100" s="5">
        <v>249</v>
      </c>
      <c r="N5100" s="7">
        <v>37549.199999999997</v>
      </c>
      <c r="O5100">
        <v>150.80000000000001</v>
      </c>
      <c r="P5100">
        <v>249</v>
      </c>
      <c r="Q5100" s="2">
        <v>37549.199999999997</v>
      </c>
      <c r="R5100">
        <v>0</v>
      </c>
      <c r="V5100">
        <v>0</v>
      </c>
      <c r="W5100">
        <v>0</v>
      </c>
      <c r="X5100">
        <v>0</v>
      </c>
      <c r="Y5100">
        <v>0</v>
      </c>
      <c r="Z5100">
        <v>150.80000000000001</v>
      </c>
      <c r="AA5100">
        <v>0</v>
      </c>
      <c r="AB5100" s="1">
        <v>42382</v>
      </c>
      <c r="AC5100" t="s">
        <v>53</v>
      </c>
      <c r="AD5100" t="s">
        <v>53</v>
      </c>
      <c r="AK5100">
        <v>0</v>
      </c>
      <c r="AU5100" s="6">
        <v>42340</v>
      </c>
      <c r="AV5100" s="6">
        <v>42340</v>
      </c>
      <c r="AW5100" t="s">
        <v>54</v>
      </c>
      <c r="AX5100" t="str">
        <f t="shared" si="430"/>
        <v>FOR</v>
      </c>
      <c r="AY5100" t="s">
        <v>55</v>
      </c>
    </row>
    <row r="5101" spans="1:51">
      <c r="A5101">
        <v>101934</v>
      </c>
      <c r="B5101" t="s">
        <v>937</v>
      </c>
      <c r="C5101" t="str">
        <f t="shared" si="432"/>
        <v>06175550638</v>
      </c>
      <c r="D5101" t="str">
        <f t="shared" si="432"/>
        <v>06175550638</v>
      </c>
      <c r="E5101" t="s">
        <v>52</v>
      </c>
      <c r="F5101">
        <v>2014</v>
      </c>
      <c r="G5101">
        <v>2788</v>
      </c>
      <c r="H5101" s="1">
        <v>42004</v>
      </c>
      <c r="I5101" s="1">
        <v>42031</v>
      </c>
      <c r="J5101" s="1">
        <v>42031</v>
      </c>
      <c r="K5101" s="1">
        <v>42091</v>
      </c>
      <c r="L5101" s="7">
        <v>150.80000000000001</v>
      </c>
      <c r="M5101" s="5">
        <v>249</v>
      </c>
      <c r="N5101" s="7">
        <v>37549.199999999997</v>
      </c>
      <c r="O5101">
        <v>150.80000000000001</v>
      </c>
      <c r="P5101">
        <v>249</v>
      </c>
      <c r="Q5101" s="2">
        <v>37549.199999999997</v>
      </c>
      <c r="R5101">
        <v>0</v>
      </c>
      <c r="V5101">
        <v>0</v>
      </c>
      <c r="W5101">
        <v>0</v>
      </c>
      <c r="X5101">
        <v>0</v>
      </c>
      <c r="Y5101">
        <v>0</v>
      </c>
      <c r="Z5101">
        <v>150.80000000000001</v>
      </c>
      <c r="AA5101">
        <v>0</v>
      </c>
      <c r="AB5101" s="1">
        <v>42382</v>
      </c>
      <c r="AC5101" t="s">
        <v>53</v>
      </c>
      <c r="AD5101" t="s">
        <v>53</v>
      </c>
      <c r="AK5101">
        <v>0</v>
      </c>
      <c r="AU5101" s="6">
        <v>42340</v>
      </c>
      <c r="AV5101" s="6">
        <v>42340</v>
      </c>
      <c r="AW5101" t="s">
        <v>54</v>
      </c>
      <c r="AX5101" t="str">
        <f t="shared" si="430"/>
        <v>FOR</v>
      </c>
      <c r="AY5101" t="s">
        <v>55</v>
      </c>
    </row>
    <row r="5102" spans="1:51">
      <c r="A5102">
        <v>101934</v>
      </c>
      <c r="B5102" t="s">
        <v>937</v>
      </c>
      <c r="C5102" t="str">
        <f t="shared" si="432"/>
        <v>06175550638</v>
      </c>
      <c r="D5102" t="str">
        <f t="shared" si="432"/>
        <v>06175550638</v>
      </c>
      <c r="E5102" t="s">
        <v>52</v>
      </c>
      <c r="F5102">
        <v>2014</v>
      </c>
      <c r="G5102">
        <v>2789</v>
      </c>
      <c r="H5102" s="1">
        <v>42004</v>
      </c>
      <c r="I5102" s="1">
        <v>42031</v>
      </c>
      <c r="J5102" s="1">
        <v>42031</v>
      </c>
      <c r="K5102" s="1">
        <v>42091</v>
      </c>
      <c r="L5102" s="7">
        <v>150.80000000000001</v>
      </c>
      <c r="M5102" s="5">
        <v>249</v>
      </c>
      <c r="N5102" s="7">
        <v>37549.199999999997</v>
      </c>
      <c r="O5102">
        <v>150.80000000000001</v>
      </c>
      <c r="P5102">
        <v>249</v>
      </c>
      <c r="Q5102" s="2">
        <v>37549.199999999997</v>
      </c>
      <c r="R5102">
        <v>0</v>
      </c>
      <c r="V5102">
        <v>0</v>
      </c>
      <c r="W5102">
        <v>0</v>
      </c>
      <c r="X5102">
        <v>0</v>
      </c>
      <c r="Y5102">
        <v>0</v>
      </c>
      <c r="Z5102">
        <v>150.80000000000001</v>
      </c>
      <c r="AA5102">
        <v>0</v>
      </c>
      <c r="AB5102" s="1">
        <v>42382</v>
      </c>
      <c r="AC5102" t="s">
        <v>53</v>
      </c>
      <c r="AD5102" t="s">
        <v>53</v>
      </c>
      <c r="AK5102">
        <v>0</v>
      </c>
      <c r="AU5102" s="6">
        <v>42340</v>
      </c>
      <c r="AV5102" s="6">
        <v>42340</v>
      </c>
      <c r="AW5102" t="s">
        <v>54</v>
      </c>
      <c r="AX5102" t="str">
        <f t="shared" si="430"/>
        <v>FOR</v>
      </c>
      <c r="AY5102" t="s">
        <v>55</v>
      </c>
    </row>
    <row r="5103" spans="1:51">
      <c r="A5103">
        <v>101934</v>
      </c>
      <c r="B5103" t="s">
        <v>937</v>
      </c>
      <c r="C5103" t="str">
        <f t="shared" si="432"/>
        <v>06175550638</v>
      </c>
      <c r="D5103" t="str">
        <f t="shared" si="432"/>
        <v>06175550638</v>
      </c>
      <c r="E5103" t="s">
        <v>52</v>
      </c>
      <c r="F5103">
        <v>2014</v>
      </c>
      <c r="G5103">
        <v>2790</v>
      </c>
      <c r="H5103" s="1">
        <v>42004</v>
      </c>
      <c r="I5103" s="1">
        <v>42031</v>
      </c>
      <c r="J5103" s="1">
        <v>42031</v>
      </c>
      <c r="K5103" s="1">
        <v>42091</v>
      </c>
      <c r="L5103" s="7">
        <v>150.80000000000001</v>
      </c>
      <c r="M5103" s="5">
        <v>249</v>
      </c>
      <c r="N5103" s="7">
        <v>37549.199999999997</v>
      </c>
      <c r="O5103">
        <v>150.80000000000001</v>
      </c>
      <c r="P5103">
        <v>249</v>
      </c>
      <c r="Q5103" s="2">
        <v>37549.199999999997</v>
      </c>
      <c r="R5103">
        <v>0</v>
      </c>
      <c r="V5103">
        <v>0</v>
      </c>
      <c r="W5103">
        <v>0</v>
      </c>
      <c r="X5103">
        <v>0</v>
      </c>
      <c r="Y5103">
        <v>0</v>
      </c>
      <c r="Z5103">
        <v>150.80000000000001</v>
      </c>
      <c r="AA5103">
        <v>0</v>
      </c>
      <c r="AB5103" s="1">
        <v>42382</v>
      </c>
      <c r="AC5103" t="s">
        <v>53</v>
      </c>
      <c r="AD5103" t="s">
        <v>53</v>
      </c>
      <c r="AK5103">
        <v>0</v>
      </c>
      <c r="AU5103" s="6">
        <v>42340</v>
      </c>
      <c r="AV5103" s="6">
        <v>42340</v>
      </c>
      <c r="AW5103" t="s">
        <v>54</v>
      </c>
      <c r="AX5103" t="str">
        <f t="shared" si="430"/>
        <v>FOR</v>
      </c>
      <c r="AY5103" t="s">
        <v>55</v>
      </c>
    </row>
    <row r="5104" spans="1:51">
      <c r="A5104">
        <v>101934</v>
      </c>
      <c r="B5104" t="s">
        <v>937</v>
      </c>
      <c r="C5104" t="str">
        <f t="shared" si="432"/>
        <v>06175550638</v>
      </c>
      <c r="D5104" t="str">
        <f t="shared" si="432"/>
        <v>06175550638</v>
      </c>
      <c r="E5104" t="s">
        <v>52</v>
      </c>
      <c r="F5104">
        <v>2014</v>
      </c>
      <c r="G5104">
        <v>2791</v>
      </c>
      <c r="H5104" s="1">
        <v>42004</v>
      </c>
      <c r="I5104" s="1">
        <v>42031</v>
      </c>
      <c r="J5104" s="1">
        <v>42031</v>
      </c>
      <c r="K5104" s="1">
        <v>42091</v>
      </c>
      <c r="L5104" s="7">
        <v>150.80000000000001</v>
      </c>
      <c r="M5104" s="5">
        <v>249</v>
      </c>
      <c r="N5104" s="7">
        <v>37549.199999999997</v>
      </c>
      <c r="O5104">
        <v>150.80000000000001</v>
      </c>
      <c r="P5104">
        <v>249</v>
      </c>
      <c r="Q5104" s="2">
        <v>37549.199999999997</v>
      </c>
      <c r="R5104">
        <v>0</v>
      </c>
      <c r="V5104">
        <v>0</v>
      </c>
      <c r="W5104">
        <v>0</v>
      </c>
      <c r="X5104">
        <v>0</v>
      </c>
      <c r="Y5104">
        <v>0</v>
      </c>
      <c r="Z5104">
        <v>150.80000000000001</v>
      </c>
      <c r="AA5104">
        <v>0</v>
      </c>
      <c r="AB5104" s="1">
        <v>42382</v>
      </c>
      <c r="AC5104" t="s">
        <v>53</v>
      </c>
      <c r="AD5104" t="s">
        <v>53</v>
      </c>
      <c r="AK5104">
        <v>0</v>
      </c>
      <c r="AU5104" s="6">
        <v>42340</v>
      </c>
      <c r="AV5104" s="6">
        <v>42340</v>
      </c>
      <c r="AW5104" t="s">
        <v>54</v>
      </c>
      <c r="AX5104" t="str">
        <f t="shared" si="430"/>
        <v>FOR</v>
      </c>
      <c r="AY5104" t="s">
        <v>55</v>
      </c>
    </row>
    <row r="5105" spans="1:51">
      <c r="A5105">
        <v>101934</v>
      </c>
      <c r="B5105" t="s">
        <v>937</v>
      </c>
      <c r="C5105" t="str">
        <f t="shared" si="432"/>
        <v>06175550638</v>
      </c>
      <c r="D5105" t="str">
        <f t="shared" si="432"/>
        <v>06175550638</v>
      </c>
      <c r="E5105" t="s">
        <v>52</v>
      </c>
      <c r="F5105">
        <v>2014</v>
      </c>
      <c r="G5105">
        <v>2792</v>
      </c>
      <c r="H5105" s="1">
        <v>42004</v>
      </c>
      <c r="I5105" s="1">
        <v>42031</v>
      </c>
      <c r="J5105" s="1">
        <v>42031</v>
      </c>
      <c r="K5105" s="1">
        <v>42091</v>
      </c>
      <c r="L5105" s="7">
        <v>150.80000000000001</v>
      </c>
      <c r="M5105" s="5">
        <v>249</v>
      </c>
      <c r="N5105" s="7">
        <v>37549.199999999997</v>
      </c>
      <c r="O5105">
        <v>150.80000000000001</v>
      </c>
      <c r="P5105">
        <v>249</v>
      </c>
      <c r="Q5105" s="2">
        <v>37549.199999999997</v>
      </c>
      <c r="R5105">
        <v>0</v>
      </c>
      <c r="V5105">
        <v>0</v>
      </c>
      <c r="W5105">
        <v>0</v>
      </c>
      <c r="X5105">
        <v>0</v>
      </c>
      <c r="Y5105">
        <v>0</v>
      </c>
      <c r="Z5105">
        <v>150.80000000000001</v>
      </c>
      <c r="AA5105">
        <v>0</v>
      </c>
      <c r="AB5105" s="1">
        <v>42382</v>
      </c>
      <c r="AC5105" t="s">
        <v>53</v>
      </c>
      <c r="AD5105" t="s">
        <v>53</v>
      </c>
      <c r="AK5105">
        <v>0</v>
      </c>
      <c r="AU5105" s="6">
        <v>42340</v>
      </c>
      <c r="AV5105" s="6">
        <v>42340</v>
      </c>
      <c r="AW5105" t="s">
        <v>54</v>
      </c>
      <c r="AX5105" t="str">
        <f t="shared" si="430"/>
        <v>FOR</v>
      </c>
      <c r="AY5105" t="s">
        <v>55</v>
      </c>
    </row>
    <row r="5106" spans="1:51">
      <c r="A5106">
        <v>101934</v>
      </c>
      <c r="B5106" t="s">
        <v>937</v>
      </c>
      <c r="C5106" t="str">
        <f t="shared" ref="C5106:D5124" si="433">"06175550638"</f>
        <v>06175550638</v>
      </c>
      <c r="D5106" t="str">
        <f t="shared" si="433"/>
        <v>06175550638</v>
      </c>
      <c r="E5106" t="s">
        <v>52</v>
      </c>
      <c r="F5106">
        <v>2014</v>
      </c>
      <c r="G5106">
        <v>2793</v>
      </c>
      <c r="H5106" s="1">
        <v>42004</v>
      </c>
      <c r="I5106" s="1">
        <v>42031</v>
      </c>
      <c r="J5106" s="1">
        <v>42031</v>
      </c>
      <c r="K5106" s="1">
        <v>42091</v>
      </c>
      <c r="L5106" s="7">
        <v>150.80000000000001</v>
      </c>
      <c r="M5106" s="5">
        <v>249</v>
      </c>
      <c r="N5106" s="7">
        <v>37549.199999999997</v>
      </c>
      <c r="O5106">
        <v>150.80000000000001</v>
      </c>
      <c r="P5106">
        <v>249</v>
      </c>
      <c r="Q5106" s="2">
        <v>37549.199999999997</v>
      </c>
      <c r="R5106">
        <v>0</v>
      </c>
      <c r="V5106">
        <v>0</v>
      </c>
      <c r="W5106">
        <v>0</v>
      </c>
      <c r="X5106">
        <v>0</v>
      </c>
      <c r="Y5106">
        <v>0</v>
      </c>
      <c r="Z5106">
        <v>150.80000000000001</v>
      </c>
      <c r="AA5106">
        <v>0</v>
      </c>
      <c r="AB5106" s="1">
        <v>42382</v>
      </c>
      <c r="AC5106" t="s">
        <v>53</v>
      </c>
      <c r="AD5106" t="s">
        <v>53</v>
      </c>
      <c r="AK5106">
        <v>0</v>
      </c>
      <c r="AU5106" s="6">
        <v>42340</v>
      </c>
      <c r="AV5106" s="6">
        <v>42340</v>
      </c>
      <c r="AW5106" t="s">
        <v>54</v>
      </c>
      <c r="AX5106" t="str">
        <f t="shared" si="430"/>
        <v>FOR</v>
      </c>
      <c r="AY5106" t="s">
        <v>55</v>
      </c>
    </row>
    <row r="5107" spans="1:51">
      <c r="A5107">
        <v>101934</v>
      </c>
      <c r="B5107" t="s">
        <v>937</v>
      </c>
      <c r="C5107" t="str">
        <f t="shared" si="433"/>
        <v>06175550638</v>
      </c>
      <c r="D5107" t="str">
        <f t="shared" si="433"/>
        <v>06175550638</v>
      </c>
      <c r="E5107" t="s">
        <v>52</v>
      </c>
      <c r="F5107">
        <v>2014</v>
      </c>
      <c r="G5107">
        <v>2794</v>
      </c>
      <c r="H5107" s="1">
        <v>42004</v>
      </c>
      <c r="I5107" s="1">
        <v>42031</v>
      </c>
      <c r="J5107" s="1">
        <v>42031</v>
      </c>
      <c r="K5107" s="1">
        <v>42091</v>
      </c>
      <c r="L5107" s="7">
        <v>150.80000000000001</v>
      </c>
      <c r="M5107" s="5">
        <v>249</v>
      </c>
      <c r="N5107" s="7">
        <v>37549.199999999997</v>
      </c>
      <c r="O5107">
        <v>150.80000000000001</v>
      </c>
      <c r="P5107">
        <v>249</v>
      </c>
      <c r="Q5107" s="2">
        <v>37549.199999999997</v>
      </c>
      <c r="R5107">
        <v>0</v>
      </c>
      <c r="V5107">
        <v>0</v>
      </c>
      <c r="W5107">
        <v>0</v>
      </c>
      <c r="X5107">
        <v>0</v>
      </c>
      <c r="Y5107">
        <v>0</v>
      </c>
      <c r="Z5107">
        <v>150.80000000000001</v>
      </c>
      <c r="AA5107">
        <v>0</v>
      </c>
      <c r="AB5107" s="1">
        <v>42382</v>
      </c>
      <c r="AC5107" t="s">
        <v>53</v>
      </c>
      <c r="AD5107" t="s">
        <v>53</v>
      </c>
      <c r="AK5107">
        <v>0</v>
      </c>
      <c r="AU5107" s="6">
        <v>42340</v>
      </c>
      <c r="AV5107" s="6">
        <v>42340</v>
      </c>
      <c r="AW5107" t="s">
        <v>54</v>
      </c>
      <c r="AX5107" t="str">
        <f t="shared" si="430"/>
        <v>FOR</v>
      </c>
      <c r="AY5107" t="s">
        <v>55</v>
      </c>
    </row>
    <row r="5108" spans="1:51">
      <c r="A5108">
        <v>101934</v>
      </c>
      <c r="B5108" t="s">
        <v>937</v>
      </c>
      <c r="C5108" t="str">
        <f t="shared" si="433"/>
        <v>06175550638</v>
      </c>
      <c r="D5108" t="str">
        <f t="shared" si="433"/>
        <v>06175550638</v>
      </c>
      <c r="E5108" t="s">
        <v>52</v>
      </c>
      <c r="F5108">
        <v>2014</v>
      </c>
      <c r="G5108">
        <v>2795</v>
      </c>
      <c r="H5108" s="1">
        <v>42004</v>
      </c>
      <c r="I5108" s="1">
        <v>42031</v>
      </c>
      <c r="J5108" s="1">
        <v>42031</v>
      </c>
      <c r="K5108" s="1">
        <v>42091</v>
      </c>
      <c r="L5108" s="7">
        <v>150.80000000000001</v>
      </c>
      <c r="M5108" s="5">
        <v>249</v>
      </c>
      <c r="N5108" s="7">
        <v>37549.199999999997</v>
      </c>
      <c r="O5108">
        <v>150.80000000000001</v>
      </c>
      <c r="P5108">
        <v>249</v>
      </c>
      <c r="Q5108" s="2">
        <v>37549.199999999997</v>
      </c>
      <c r="R5108">
        <v>0</v>
      </c>
      <c r="V5108">
        <v>0</v>
      </c>
      <c r="W5108">
        <v>0</v>
      </c>
      <c r="X5108">
        <v>0</v>
      </c>
      <c r="Y5108">
        <v>0</v>
      </c>
      <c r="Z5108">
        <v>150.80000000000001</v>
      </c>
      <c r="AA5108">
        <v>0</v>
      </c>
      <c r="AB5108" s="1">
        <v>42382</v>
      </c>
      <c r="AC5108" t="s">
        <v>53</v>
      </c>
      <c r="AD5108" t="s">
        <v>53</v>
      </c>
      <c r="AK5108">
        <v>0</v>
      </c>
      <c r="AU5108" s="6">
        <v>42340</v>
      </c>
      <c r="AV5108" s="6">
        <v>42340</v>
      </c>
      <c r="AW5108" t="s">
        <v>54</v>
      </c>
      <c r="AX5108" t="str">
        <f t="shared" si="430"/>
        <v>FOR</v>
      </c>
      <c r="AY5108" t="s">
        <v>55</v>
      </c>
    </row>
    <row r="5109" spans="1:51">
      <c r="A5109">
        <v>101934</v>
      </c>
      <c r="B5109" t="s">
        <v>937</v>
      </c>
      <c r="C5109" t="str">
        <f t="shared" si="433"/>
        <v>06175550638</v>
      </c>
      <c r="D5109" t="str">
        <f t="shared" si="433"/>
        <v>06175550638</v>
      </c>
      <c r="E5109" t="s">
        <v>52</v>
      </c>
      <c r="F5109">
        <v>2014</v>
      </c>
      <c r="G5109">
        <v>2796</v>
      </c>
      <c r="H5109" s="1">
        <v>42004</v>
      </c>
      <c r="I5109" s="1">
        <v>42031</v>
      </c>
      <c r="J5109" s="1">
        <v>42031</v>
      </c>
      <c r="K5109" s="1">
        <v>42091</v>
      </c>
      <c r="L5109" s="7">
        <v>150.80000000000001</v>
      </c>
      <c r="M5109" s="5">
        <v>249</v>
      </c>
      <c r="N5109" s="7">
        <v>37549.199999999997</v>
      </c>
      <c r="O5109">
        <v>150.80000000000001</v>
      </c>
      <c r="P5109">
        <v>249</v>
      </c>
      <c r="Q5109" s="2">
        <v>37549.199999999997</v>
      </c>
      <c r="R5109">
        <v>0</v>
      </c>
      <c r="V5109">
        <v>0</v>
      </c>
      <c r="W5109">
        <v>0</v>
      </c>
      <c r="X5109">
        <v>0</v>
      </c>
      <c r="Y5109">
        <v>0</v>
      </c>
      <c r="Z5109">
        <v>150.80000000000001</v>
      </c>
      <c r="AA5109">
        <v>0</v>
      </c>
      <c r="AB5109" s="1">
        <v>42382</v>
      </c>
      <c r="AC5109" t="s">
        <v>53</v>
      </c>
      <c r="AD5109" t="s">
        <v>53</v>
      </c>
      <c r="AK5109">
        <v>0</v>
      </c>
      <c r="AU5109" s="6">
        <v>42340</v>
      </c>
      <c r="AV5109" s="6">
        <v>42340</v>
      </c>
      <c r="AW5109" t="s">
        <v>54</v>
      </c>
      <c r="AX5109" t="str">
        <f t="shared" si="430"/>
        <v>FOR</v>
      </c>
      <c r="AY5109" t="s">
        <v>55</v>
      </c>
    </row>
    <row r="5110" spans="1:51">
      <c r="A5110">
        <v>101934</v>
      </c>
      <c r="B5110" t="s">
        <v>937</v>
      </c>
      <c r="C5110" t="str">
        <f t="shared" si="433"/>
        <v>06175550638</v>
      </c>
      <c r="D5110" t="str">
        <f t="shared" si="433"/>
        <v>06175550638</v>
      </c>
      <c r="E5110" t="s">
        <v>52</v>
      </c>
      <c r="F5110">
        <v>2014</v>
      </c>
      <c r="G5110">
        <v>2797</v>
      </c>
      <c r="H5110" s="1">
        <v>42004</v>
      </c>
      <c r="I5110" s="1">
        <v>42031</v>
      </c>
      <c r="J5110" s="1">
        <v>42031</v>
      </c>
      <c r="K5110" s="1">
        <v>42091</v>
      </c>
      <c r="L5110" s="7">
        <v>150.80000000000001</v>
      </c>
      <c r="M5110" s="5">
        <v>249</v>
      </c>
      <c r="N5110" s="7">
        <v>37549.199999999997</v>
      </c>
      <c r="O5110">
        <v>150.80000000000001</v>
      </c>
      <c r="P5110">
        <v>249</v>
      </c>
      <c r="Q5110" s="2">
        <v>37549.199999999997</v>
      </c>
      <c r="R5110">
        <v>0</v>
      </c>
      <c r="V5110">
        <v>0</v>
      </c>
      <c r="W5110">
        <v>0</v>
      </c>
      <c r="X5110">
        <v>0</v>
      </c>
      <c r="Y5110">
        <v>0</v>
      </c>
      <c r="Z5110">
        <v>150.80000000000001</v>
      </c>
      <c r="AA5110">
        <v>0</v>
      </c>
      <c r="AB5110" s="1">
        <v>42382</v>
      </c>
      <c r="AC5110" t="s">
        <v>53</v>
      </c>
      <c r="AD5110" t="s">
        <v>53</v>
      </c>
      <c r="AK5110">
        <v>0</v>
      </c>
      <c r="AU5110" s="6">
        <v>42340</v>
      </c>
      <c r="AV5110" s="6">
        <v>42340</v>
      </c>
      <c r="AW5110" t="s">
        <v>54</v>
      </c>
      <c r="AX5110" t="str">
        <f t="shared" si="430"/>
        <v>FOR</v>
      </c>
      <c r="AY5110" t="s">
        <v>55</v>
      </c>
    </row>
    <row r="5111" spans="1:51">
      <c r="A5111">
        <v>101934</v>
      </c>
      <c r="B5111" t="s">
        <v>937</v>
      </c>
      <c r="C5111" t="str">
        <f t="shared" si="433"/>
        <v>06175550638</v>
      </c>
      <c r="D5111" t="str">
        <f t="shared" si="433"/>
        <v>06175550638</v>
      </c>
      <c r="E5111" t="s">
        <v>52</v>
      </c>
      <c r="F5111">
        <v>2014</v>
      </c>
      <c r="G5111">
        <v>2798</v>
      </c>
      <c r="H5111" s="1">
        <v>42004</v>
      </c>
      <c r="I5111" s="1">
        <v>42031</v>
      </c>
      <c r="J5111" s="1">
        <v>42031</v>
      </c>
      <c r="K5111" s="1">
        <v>42091</v>
      </c>
      <c r="L5111" s="7">
        <v>150.80000000000001</v>
      </c>
      <c r="M5111" s="5">
        <v>249</v>
      </c>
      <c r="N5111" s="7">
        <v>37549.199999999997</v>
      </c>
      <c r="O5111">
        <v>150.80000000000001</v>
      </c>
      <c r="P5111">
        <v>249</v>
      </c>
      <c r="Q5111" s="2">
        <v>37549.199999999997</v>
      </c>
      <c r="R5111">
        <v>0</v>
      </c>
      <c r="V5111">
        <v>0</v>
      </c>
      <c r="W5111">
        <v>0</v>
      </c>
      <c r="X5111">
        <v>0</v>
      </c>
      <c r="Y5111">
        <v>0</v>
      </c>
      <c r="Z5111">
        <v>150.80000000000001</v>
      </c>
      <c r="AA5111">
        <v>0</v>
      </c>
      <c r="AB5111" s="1">
        <v>42382</v>
      </c>
      <c r="AC5111" t="s">
        <v>53</v>
      </c>
      <c r="AD5111" t="s">
        <v>53</v>
      </c>
      <c r="AK5111">
        <v>0</v>
      </c>
      <c r="AU5111" s="6">
        <v>42340</v>
      </c>
      <c r="AV5111" s="6">
        <v>42340</v>
      </c>
      <c r="AW5111" t="s">
        <v>54</v>
      </c>
      <c r="AX5111" t="str">
        <f t="shared" si="430"/>
        <v>FOR</v>
      </c>
      <c r="AY5111" t="s">
        <v>55</v>
      </c>
    </row>
    <row r="5112" spans="1:51">
      <c r="A5112">
        <v>101934</v>
      </c>
      <c r="B5112" t="s">
        <v>937</v>
      </c>
      <c r="C5112" t="str">
        <f t="shared" si="433"/>
        <v>06175550638</v>
      </c>
      <c r="D5112" t="str">
        <f t="shared" si="433"/>
        <v>06175550638</v>
      </c>
      <c r="E5112" t="s">
        <v>52</v>
      </c>
      <c r="F5112">
        <v>2014</v>
      </c>
      <c r="G5112">
        <v>2799</v>
      </c>
      <c r="H5112" s="1">
        <v>42004</v>
      </c>
      <c r="I5112" s="1">
        <v>42031</v>
      </c>
      <c r="J5112" s="1">
        <v>42031</v>
      </c>
      <c r="K5112" s="1">
        <v>42091</v>
      </c>
      <c r="L5112" s="7">
        <v>150.80000000000001</v>
      </c>
      <c r="M5112" s="5">
        <v>249</v>
      </c>
      <c r="N5112" s="7">
        <v>37549.199999999997</v>
      </c>
      <c r="O5112">
        <v>150.80000000000001</v>
      </c>
      <c r="P5112">
        <v>249</v>
      </c>
      <c r="Q5112" s="2">
        <v>37549.199999999997</v>
      </c>
      <c r="R5112">
        <v>0</v>
      </c>
      <c r="V5112">
        <v>0</v>
      </c>
      <c r="W5112">
        <v>0</v>
      </c>
      <c r="X5112">
        <v>0</v>
      </c>
      <c r="Y5112">
        <v>0</v>
      </c>
      <c r="Z5112">
        <v>150.80000000000001</v>
      </c>
      <c r="AA5112">
        <v>0</v>
      </c>
      <c r="AB5112" s="1">
        <v>42382</v>
      </c>
      <c r="AC5112" t="s">
        <v>53</v>
      </c>
      <c r="AD5112" t="s">
        <v>53</v>
      </c>
      <c r="AK5112">
        <v>0</v>
      </c>
      <c r="AU5112" s="6">
        <v>42340</v>
      </c>
      <c r="AV5112" s="6">
        <v>42340</v>
      </c>
      <c r="AW5112" t="s">
        <v>54</v>
      </c>
      <c r="AX5112" t="str">
        <f t="shared" si="430"/>
        <v>FOR</v>
      </c>
      <c r="AY5112" t="s">
        <v>55</v>
      </c>
    </row>
    <row r="5113" spans="1:51">
      <c r="A5113">
        <v>101934</v>
      </c>
      <c r="B5113" t="s">
        <v>937</v>
      </c>
      <c r="C5113" t="str">
        <f t="shared" si="433"/>
        <v>06175550638</v>
      </c>
      <c r="D5113" t="str">
        <f t="shared" si="433"/>
        <v>06175550638</v>
      </c>
      <c r="E5113" t="s">
        <v>52</v>
      </c>
      <c r="F5113">
        <v>2014</v>
      </c>
      <c r="G5113">
        <v>2800</v>
      </c>
      <c r="H5113" s="1">
        <v>42004</v>
      </c>
      <c r="I5113" s="1">
        <v>42031</v>
      </c>
      <c r="J5113" s="1">
        <v>42031</v>
      </c>
      <c r="K5113" s="1">
        <v>42091</v>
      </c>
      <c r="L5113" s="7">
        <v>150.80000000000001</v>
      </c>
      <c r="M5113" s="5">
        <v>249</v>
      </c>
      <c r="N5113" s="7">
        <v>37549.199999999997</v>
      </c>
      <c r="O5113">
        <v>150.80000000000001</v>
      </c>
      <c r="P5113">
        <v>249</v>
      </c>
      <c r="Q5113" s="2">
        <v>37549.199999999997</v>
      </c>
      <c r="R5113">
        <v>0</v>
      </c>
      <c r="V5113">
        <v>0</v>
      </c>
      <c r="W5113">
        <v>0</v>
      </c>
      <c r="X5113">
        <v>0</v>
      </c>
      <c r="Y5113">
        <v>0</v>
      </c>
      <c r="Z5113">
        <v>150.80000000000001</v>
      </c>
      <c r="AA5113">
        <v>0</v>
      </c>
      <c r="AB5113" s="1">
        <v>42382</v>
      </c>
      <c r="AC5113" t="s">
        <v>53</v>
      </c>
      <c r="AD5113" t="s">
        <v>53</v>
      </c>
      <c r="AK5113">
        <v>0</v>
      </c>
      <c r="AU5113" s="6">
        <v>42340</v>
      </c>
      <c r="AV5113" s="6">
        <v>42340</v>
      </c>
      <c r="AW5113" t="s">
        <v>54</v>
      </c>
      <c r="AX5113" t="str">
        <f t="shared" si="430"/>
        <v>FOR</v>
      </c>
      <c r="AY5113" t="s">
        <v>55</v>
      </c>
    </row>
    <row r="5114" spans="1:51">
      <c r="A5114">
        <v>101934</v>
      </c>
      <c r="B5114" t="s">
        <v>937</v>
      </c>
      <c r="C5114" t="str">
        <f t="shared" si="433"/>
        <v>06175550638</v>
      </c>
      <c r="D5114" t="str">
        <f t="shared" si="433"/>
        <v>06175550638</v>
      </c>
      <c r="E5114" t="s">
        <v>52</v>
      </c>
      <c r="F5114">
        <v>2014</v>
      </c>
      <c r="G5114">
        <v>2801</v>
      </c>
      <c r="H5114" s="1">
        <v>42004</v>
      </c>
      <c r="I5114" s="1">
        <v>42031</v>
      </c>
      <c r="J5114" s="1">
        <v>42031</v>
      </c>
      <c r="K5114" s="1">
        <v>42091</v>
      </c>
      <c r="L5114" s="7">
        <v>150.80000000000001</v>
      </c>
      <c r="M5114" s="5">
        <v>249</v>
      </c>
      <c r="N5114" s="7">
        <v>37549.199999999997</v>
      </c>
      <c r="O5114">
        <v>150.80000000000001</v>
      </c>
      <c r="P5114">
        <v>249</v>
      </c>
      <c r="Q5114" s="2">
        <v>37549.199999999997</v>
      </c>
      <c r="R5114">
        <v>0</v>
      </c>
      <c r="V5114">
        <v>0</v>
      </c>
      <c r="W5114">
        <v>0</v>
      </c>
      <c r="X5114">
        <v>0</v>
      </c>
      <c r="Y5114">
        <v>0</v>
      </c>
      <c r="Z5114">
        <v>150.80000000000001</v>
      </c>
      <c r="AA5114">
        <v>0</v>
      </c>
      <c r="AB5114" s="1">
        <v>42382</v>
      </c>
      <c r="AC5114" t="s">
        <v>53</v>
      </c>
      <c r="AD5114" t="s">
        <v>53</v>
      </c>
      <c r="AK5114">
        <v>0</v>
      </c>
      <c r="AU5114" s="6">
        <v>42340</v>
      </c>
      <c r="AV5114" s="6">
        <v>42340</v>
      </c>
      <c r="AW5114" t="s">
        <v>54</v>
      </c>
      <c r="AX5114" t="str">
        <f t="shared" si="430"/>
        <v>FOR</v>
      </c>
      <c r="AY5114" t="s">
        <v>55</v>
      </c>
    </row>
    <row r="5115" spans="1:51">
      <c r="A5115">
        <v>101934</v>
      </c>
      <c r="B5115" t="s">
        <v>937</v>
      </c>
      <c r="C5115" t="str">
        <f t="shared" si="433"/>
        <v>06175550638</v>
      </c>
      <c r="D5115" t="str">
        <f t="shared" si="433"/>
        <v>06175550638</v>
      </c>
      <c r="E5115" t="s">
        <v>52</v>
      </c>
      <c r="F5115">
        <v>2014</v>
      </c>
      <c r="G5115">
        <v>2802</v>
      </c>
      <c r="H5115" s="1">
        <v>42004</v>
      </c>
      <c r="I5115" s="1">
        <v>42031</v>
      </c>
      <c r="J5115" s="1">
        <v>42031</v>
      </c>
      <c r="K5115" s="1">
        <v>42091</v>
      </c>
      <c r="L5115" s="7">
        <v>150.80000000000001</v>
      </c>
      <c r="M5115" s="5">
        <v>249</v>
      </c>
      <c r="N5115" s="7">
        <v>37549.199999999997</v>
      </c>
      <c r="O5115">
        <v>150.80000000000001</v>
      </c>
      <c r="P5115">
        <v>249</v>
      </c>
      <c r="Q5115" s="2">
        <v>37549.199999999997</v>
      </c>
      <c r="R5115">
        <v>0</v>
      </c>
      <c r="V5115">
        <v>0</v>
      </c>
      <c r="W5115">
        <v>0</v>
      </c>
      <c r="X5115">
        <v>0</v>
      </c>
      <c r="Y5115">
        <v>0</v>
      </c>
      <c r="Z5115">
        <v>150.80000000000001</v>
      </c>
      <c r="AA5115">
        <v>0</v>
      </c>
      <c r="AB5115" s="1">
        <v>42382</v>
      </c>
      <c r="AC5115" t="s">
        <v>53</v>
      </c>
      <c r="AD5115" t="s">
        <v>53</v>
      </c>
      <c r="AK5115">
        <v>0</v>
      </c>
      <c r="AU5115" s="6">
        <v>42340</v>
      </c>
      <c r="AV5115" s="6">
        <v>42340</v>
      </c>
      <c r="AW5115" t="s">
        <v>54</v>
      </c>
      <c r="AX5115" t="str">
        <f t="shared" si="430"/>
        <v>FOR</v>
      </c>
      <c r="AY5115" t="s">
        <v>55</v>
      </c>
    </row>
    <row r="5116" spans="1:51">
      <c r="A5116">
        <v>101934</v>
      </c>
      <c r="B5116" t="s">
        <v>937</v>
      </c>
      <c r="C5116" t="str">
        <f t="shared" si="433"/>
        <v>06175550638</v>
      </c>
      <c r="D5116" t="str">
        <f t="shared" si="433"/>
        <v>06175550638</v>
      </c>
      <c r="E5116" t="s">
        <v>52</v>
      </c>
      <c r="F5116">
        <v>2015</v>
      </c>
      <c r="G5116">
        <v>90</v>
      </c>
      <c r="H5116" s="1">
        <v>42032</v>
      </c>
      <c r="I5116" s="1">
        <v>42052</v>
      </c>
      <c r="J5116" s="1">
        <v>42052</v>
      </c>
      <c r="K5116" s="1">
        <v>42112</v>
      </c>
      <c r="L5116" s="7">
        <v>120</v>
      </c>
      <c r="M5116" s="5">
        <v>243</v>
      </c>
      <c r="N5116" s="7">
        <v>29160</v>
      </c>
      <c r="O5116">
        <v>120</v>
      </c>
      <c r="P5116">
        <v>243</v>
      </c>
      <c r="Q5116" s="2">
        <v>29160</v>
      </c>
      <c r="R5116">
        <v>26.4</v>
      </c>
      <c r="V5116">
        <v>0</v>
      </c>
      <c r="W5116">
        <v>0</v>
      </c>
      <c r="X5116">
        <v>0</v>
      </c>
      <c r="Y5116">
        <v>146.4</v>
      </c>
      <c r="Z5116">
        <v>146.4</v>
      </c>
      <c r="AA5116">
        <v>146.4</v>
      </c>
      <c r="AB5116" s="1">
        <v>42382</v>
      </c>
      <c r="AC5116" t="s">
        <v>53</v>
      </c>
      <c r="AD5116" t="s">
        <v>53</v>
      </c>
      <c r="AK5116">
        <v>26.4</v>
      </c>
      <c r="AU5116" s="6">
        <v>42355</v>
      </c>
      <c r="AV5116" s="6">
        <v>42355</v>
      </c>
      <c r="AW5116" t="s">
        <v>54</v>
      </c>
      <c r="AX5116" t="str">
        <f t="shared" si="430"/>
        <v>FOR</v>
      </c>
      <c r="AY5116" t="s">
        <v>55</v>
      </c>
    </row>
    <row r="5117" spans="1:51">
      <c r="A5117">
        <v>101934</v>
      </c>
      <c r="B5117" t="s">
        <v>937</v>
      </c>
      <c r="C5117" t="str">
        <f t="shared" si="433"/>
        <v>06175550638</v>
      </c>
      <c r="D5117" t="str">
        <f t="shared" si="433"/>
        <v>06175550638</v>
      </c>
      <c r="E5117" t="s">
        <v>52</v>
      </c>
      <c r="F5117">
        <v>2015</v>
      </c>
      <c r="G5117">
        <v>92</v>
      </c>
      <c r="H5117" s="1">
        <v>42032</v>
      </c>
      <c r="I5117" s="1">
        <v>42052</v>
      </c>
      <c r="J5117" s="1">
        <v>42052</v>
      </c>
      <c r="K5117" s="1">
        <v>42112</v>
      </c>
      <c r="L5117" s="7">
        <v>95.4</v>
      </c>
      <c r="M5117" s="5">
        <v>243</v>
      </c>
      <c r="N5117" s="7">
        <v>23182.2</v>
      </c>
      <c r="O5117">
        <v>95.4</v>
      </c>
      <c r="P5117">
        <v>243</v>
      </c>
      <c r="Q5117" s="2">
        <v>23182.2</v>
      </c>
      <c r="R5117">
        <v>20.99</v>
      </c>
      <c r="V5117">
        <v>0</v>
      </c>
      <c r="W5117">
        <v>0</v>
      </c>
      <c r="X5117">
        <v>0</v>
      </c>
      <c r="Y5117">
        <v>116.39</v>
      </c>
      <c r="Z5117">
        <v>116.39</v>
      </c>
      <c r="AA5117">
        <v>116.39</v>
      </c>
      <c r="AB5117" s="1">
        <v>42382</v>
      </c>
      <c r="AC5117" t="s">
        <v>53</v>
      </c>
      <c r="AD5117" t="s">
        <v>53</v>
      </c>
      <c r="AK5117">
        <v>20.99</v>
      </c>
      <c r="AU5117" s="6">
        <v>42355</v>
      </c>
      <c r="AV5117" s="6">
        <v>42355</v>
      </c>
      <c r="AW5117" t="s">
        <v>54</v>
      </c>
      <c r="AX5117" t="str">
        <f t="shared" si="430"/>
        <v>FOR</v>
      </c>
      <c r="AY5117" t="s">
        <v>55</v>
      </c>
    </row>
    <row r="5118" spans="1:51">
      <c r="A5118">
        <v>101934</v>
      </c>
      <c r="B5118" t="s">
        <v>937</v>
      </c>
      <c r="C5118" t="str">
        <f t="shared" si="433"/>
        <v>06175550638</v>
      </c>
      <c r="D5118" t="str">
        <f t="shared" si="433"/>
        <v>06175550638</v>
      </c>
      <c r="E5118" t="s">
        <v>52</v>
      </c>
      <c r="F5118">
        <v>2015</v>
      </c>
      <c r="G5118">
        <v>103</v>
      </c>
      <c r="H5118" s="1">
        <v>42032</v>
      </c>
      <c r="I5118" s="1">
        <v>42052</v>
      </c>
      <c r="J5118" s="1">
        <v>42052</v>
      </c>
      <c r="K5118" s="1">
        <v>42112</v>
      </c>
      <c r="L5118" s="7">
        <v>145</v>
      </c>
      <c r="M5118" s="5">
        <v>243</v>
      </c>
      <c r="N5118" s="7">
        <v>35235</v>
      </c>
      <c r="O5118">
        <v>145</v>
      </c>
      <c r="P5118">
        <v>243</v>
      </c>
      <c r="Q5118" s="2">
        <v>35235</v>
      </c>
      <c r="R5118">
        <v>5.8</v>
      </c>
      <c r="V5118">
        <v>0</v>
      </c>
      <c r="W5118">
        <v>0</v>
      </c>
      <c r="X5118">
        <v>0</v>
      </c>
      <c r="Y5118">
        <v>150.80000000000001</v>
      </c>
      <c r="Z5118">
        <v>150.80000000000001</v>
      </c>
      <c r="AA5118">
        <v>150.80000000000001</v>
      </c>
      <c r="AB5118" s="1">
        <v>42382</v>
      </c>
      <c r="AC5118" t="s">
        <v>53</v>
      </c>
      <c r="AD5118" t="s">
        <v>53</v>
      </c>
      <c r="AK5118">
        <v>5.8</v>
      </c>
      <c r="AU5118" s="6">
        <v>42355</v>
      </c>
      <c r="AV5118" s="6">
        <v>42355</v>
      </c>
      <c r="AW5118" t="s">
        <v>54</v>
      </c>
      <c r="AX5118" t="str">
        <f t="shared" si="430"/>
        <v>FOR</v>
      </c>
      <c r="AY5118" t="s">
        <v>55</v>
      </c>
    </row>
    <row r="5119" spans="1:51">
      <c r="A5119">
        <v>101934</v>
      </c>
      <c r="B5119" t="s">
        <v>937</v>
      </c>
      <c r="C5119" t="str">
        <f t="shared" si="433"/>
        <v>06175550638</v>
      </c>
      <c r="D5119" t="str">
        <f t="shared" si="433"/>
        <v>06175550638</v>
      </c>
      <c r="E5119" t="s">
        <v>52</v>
      </c>
      <c r="F5119">
        <v>2015</v>
      </c>
      <c r="G5119">
        <v>104</v>
      </c>
      <c r="H5119" s="1">
        <v>42032</v>
      </c>
      <c r="I5119" s="1">
        <v>42052</v>
      </c>
      <c r="J5119" s="1">
        <v>42052</v>
      </c>
      <c r="K5119" s="1">
        <v>42112</v>
      </c>
      <c r="L5119" s="7">
        <v>145</v>
      </c>
      <c r="M5119" s="5">
        <v>243</v>
      </c>
      <c r="N5119" s="7">
        <v>35235</v>
      </c>
      <c r="O5119">
        <v>145</v>
      </c>
      <c r="P5119">
        <v>243</v>
      </c>
      <c r="Q5119" s="2">
        <v>35235</v>
      </c>
      <c r="R5119">
        <v>5.8</v>
      </c>
      <c r="V5119">
        <v>0</v>
      </c>
      <c r="W5119">
        <v>0</v>
      </c>
      <c r="X5119">
        <v>0</v>
      </c>
      <c r="Y5119">
        <v>150.80000000000001</v>
      </c>
      <c r="Z5119">
        <v>150.80000000000001</v>
      </c>
      <c r="AA5119">
        <v>150.80000000000001</v>
      </c>
      <c r="AB5119" s="1">
        <v>42382</v>
      </c>
      <c r="AC5119" t="s">
        <v>53</v>
      </c>
      <c r="AD5119" t="s">
        <v>53</v>
      </c>
      <c r="AK5119">
        <v>5.8</v>
      </c>
      <c r="AU5119" s="6">
        <v>42355</v>
      </c>
      <c r="AV5119" s="6">
        <v>42355</v>
      </c>
      <c r="AW5119" t="s">
        <v>54</v>
      </c>
      <c r="AX5119" t="str">
        <f t="shared" si="430"/>
        <v>FOR</v>
      </c>
      <c r="AY5119" t="s">
        <v>55</v>
      </c>
    </row>
    <row r="5120" spans="1:51">
      <c r="A5120">
        <v>101934</v>
      </c>
      <c r="B5120" t="s">
        <v>937</v>
      </c>
      <c r="C5120" t="str">
        <f t="shared" si="433"/>
        <v>06175550638</v>
      </c>
      <c r="D5120" t="str">
        <f t="shared" si="433"/>
        <v>06175550638</v>
      </c>
      <c r="E5120" t="s">
        <v>52</v>
      </c>
      <c r="F5120">
        <v>2015</v>
      </c>
      <c r="G5120">
        <v>105</v>
      </c>
      <c r="H5120" s="1">
        <v>42032</v>
      </c>
      <c r="I5120" s="1">
        <v>42052</v>
      </c>
      <c r="J5120" s="1">
        <v>42052</v>
      </c>
      <c r="K5120" s="1">
        <v>42112</v>
      </c>
      <c r="L5120" s="7">
        <v>145</v>
      </c>
      <c r="M5120" s="5">
        <v>243</v>
      </c>
      <c r="N5120" s="7">
        <v>35235</v>
      </c>
      <c r="O5120">
        <v>145</v>
      </c>
      <c r="P5120">
        <v>243</v>
      </c>
      <c r="Q5120" s="2">
        <v>35235</v>
      </c>
      <c r="R5120">
        <v>5.8</v>
      </c>
      <c r="V5120">
        <v>0</v>
      </c>
      <c r="W5120">
        <v>0</v>
      </c>
      <c r="X5120">
        <v>0</v>
      </c>
      <c r="Y5120">
        <v>150.80000000000001</v>
      </c>
      <c r="Z5120">
        <v>150.80000000000001</v>
      </c>
      <c r="AA5120">
        <v>150.80000000000001</v>
      </c>
      <c r="AB5120" s="1">
        <v>42382</v>
      </c>
      <c r="AC5120" t="s">
        <v>53</v>
      </c>
      <c r="AD5120" t="s">
        <v>53</v>
      </c>
      <c r="AK5120">
        <v>5.8</v>
      </c>
      <c r="AU5120" s="6">
        <v>42355</v>
      </c>
      <c r="AV5120" s="6">
        <v>42355</v>
      </c>
      <c r="AW5120" t="s">
        <v>54</v>
      </c>
      <c r="AX5120" t="str">
        <f t="shared" si="430"/>
        <v>FOR</v>
      </c>
      <c r="AY5120" t="s">
        <v>55</v>
      </c>
    </row>
    <row r="5121" spans="1:51">
      <c r="A5121">
        <v>101934</v>
      </c>
      <c r="B5121" t="s">
        <v>937</v>
      </c>
      <c r="C5121" t="str">
        <f t="shared" si="433"/>
        <v>06175550638</v>
      </c>
      <c r="D5121" t="str">
        <f t="shared" si="433"/>
        <v>06175550638</v>
      </c>
      <c r="E5121" t="s">
        <v>52</v>
      </c>
      <c r="F5121">
        <v>2015</v>
      </c>
      <c r="G5121">
        <v>143</v>
      </c>
      <c r="H5121" s="1">
        <v>42034</v>
      </c>
      <c r="I5121" s="1">
        <v>42052</v>
      </c>
      <c r="J5121" s="1">
        <v>42052</v>
      </c>
      <c r="K5121" s="1">
        <v>42112</v>
      </c>
      <c r="L5121" s="7">
        <v>145</v>
      </c>
      <c r="M5121" s="5">
        <v>243</v>
      </c>
      <c r="N5121" s="7">
        <v>35235</v>
      </c>
      <c r="O5121">
        <v>145</v>
      </c>
      <c r="P5121">
        <v>243</v>
      </c>
      <c r="Q5121" s="2">
        <v>35235</v>
      </c>
      <c r="R5121">
        <v>5.8</v>
      </c>
      <c r="V5121">
        <v>0</v>
      </c>
      <c r="W5121">
        <v>0</v>
      </c>
      <c r="X5121">
        <v>0</v>
      </c>
      <c r="Y5121">
        <v>150.80000000000001</v>
      </c>
      <c r="Z5121">
        <v>150.80000000000001</v>
      </c>
      <c r="AA5121">
        <v>150.80000000000001</v>
      </c>
      <c r="AB5121" s="1">
        <v>42382</v>
      </c>
      <c r="AC5121" t="s">
        <v>53</v>
      </c>
      <c r="AD5121" t="s">
        <v>53</v>
      </c>
      <c r="AK5121">
        <v>5.8</v>
      </c>
      <c r="AU5121" s="6">
        <v>42355</v>
      </c>
      <c r="AV5121" s="6">
        <v>42355</v>
      </c>
      <c r="AW5121" t="s">
        <v>54</v>
      </c>
      <c r="AX5121" t="str">
        <f t="shared" si="430"/>
        <v>FOR</v>
      </c>
      <c r="AY5121" t="s">
        <v>55</v>
      </c>
    </row>
    <row r="5122" spans="1:51">
      <c r="A5122">
        <v>101934</v>
      </c>
      <c r="B5122" t="s">
        <v>937</v>
      </c>
      <c r="C5122" t="str">
        <f t="shared" si="433"/>
        <v>06175550638</v>
      </c>
      <c r="D5122" t="str">
        <f t="shared" si="433"/>
        <v>06175550638</v>
      </c>
      <c r="E5122" t="s">
        <v>52</v>
      </c>
      <c r="F5122">
        <v>2015</v>
      </c>
      <c r="G5122">
        <v>144</v>
      </c>
      <c r="H5122" s="1">
        <v>42034</v>
      </c>
      <c r="I5122" s="1">
        <v>42052</v>
      </c>
      <c r="J5122" s="1">
        <v>42052</v>
      </c>
      <c r="K5122" s="1">
        <v>42112</v>
      </c>
      <c r="L5122" s="7">
        <v>145</v>
      </c>
      <c r="M5122" s="5">
        <v>243</v>
      </c>
      <c r="N5122" s="7">
        <v>35235</v>
      </c>
      <c r="O5122">
        <v>145</v>
      </c>
      <c r="P5122">
        <v>243</v>
      </c>
      <c r="Q5122" s="2">
        <v>35235</v>
      </c>
      <c r="R5122">
        <v>5.8</v>
      </c>
      <c r="V5122">
        <v>0</v>
      </c>
      <c r="W5122">
        <v>0</v>
      </c>
      <c r="X5122">
        <v>0</v>
      </c>
      <c r="Y5122">
        <v>150.80000000000001</v>
      </c>
      <c r="Z5122">
        <v>150.80000000000001</v>
      </c>
      <c r="AA5122">
        <v>150.80000000000001</v>
      </c>
      <c r="AB5122" s="1">
        <v>42382</v>
      </c>
      <c r="AC5122" t="s">
        <v>53</v>
      </c>
      <c r="AD5122" t="s">
        <v>53</v>
      </c>
      <c r="AK5122">
        <v>5.8</v>
      </c>
      <c r="AU5122" s="6">
        <v>42355</v>
      </c>
      <c r="AV5122" s="6">
        <v>42355</v>
      </c>
      <c r="AW5122" t="s">
        <v>54</v>
      </c>
      <c r="AX5122" t="str">
        <f t="shared" si="430"/>
        <v>FOR</v>
      </c>
      <c r="AY5122" t="s">
        <v>55</v>
      </c>
    </row>
    <row r="5123" spans="1:51">
      <c r="A5123">
        <v>101934</v>
      </c>
      <c r="B5123" t="s">
        <v>937</v>
      </c>
      <c r="C5123" t="str">
        <f t="shared" si="433"/>
        <v>06175550638</v>
      </c>
      <c r="D5123" t="str">
        <f t="shared" si="433"/>
        <v>06175550638</v>
      </c>
      <c r="E5123" t="s">
        <v>52</v>
      </c>
      <c r="F5123">
        <v>2015</v>
      </c>
      <c r="G5123">
        <v>145</v>
      </c>
      <c r="H5123" s="1">
        <v>42034</v>
      </c>
      <c r="I5123" s="1">
        <v>42052</v>
      </c>
      <c r="J5123" s="1">
        <v>42052</v>
      </c>
      <c r="K5123" s="1">
        <v>42112</v>
      </c>
      <c r="L5123" s="7">
        <v>145</v>
      </c>
      <c r="M5123" s="5">
        <v>243</v>
      </c>
      <c r="N5123" s="7">
        <v>35235</v>
      </c>
      <c r="O5123">
        <v>145</v>
      </c>
      <c r="P5123">
        <v>243</v>
      </c>
      <c r="Q5123" s="2">
        <v>35235</v>
      </c>
      <c r="R5123">
        <v>5.8</v>
      </c>
      <c r="V5123">
        <v>0</v>
      </c>
      <c r="W5123">
        <v>0</v>
      </c>
      <c r="X5123">
        <v>0</v>
      </c>
      <c r="Y5123">
        <v>150.80000000000001</v>
      </c>
      <c r="Z5123">
        <v>150.80000000000001</v>
      </c>
      <c r="AA5123">
        <v>150.80000000000001</v>
      </c>
      <c r="AB5123" s="1">
        <v>42382</v>
      </c>
      <c r="AC5123" t="s">
        <v>53</v>
      </c>
      <c r="AD5123" t="s">
        <v>53</v>
      </c>
      <c r="AK5123">
        <v>5.8</v>
      </c>
      <c r="AU5123" s="6">
        <v>42355</v>
      </c>
      <c r="AV5123" s="6">
        <v>42355</v>
      </c>
      <c r="AW5123" t="s">
        <v>54</v>
      </c>
      <c r="AX5123" t="str">
        <f t="shared" ref="AX5123:AX5186" si="434">"FOR"</f>
        <v>FOR</v>
      </c>
      <c r="AY5123" t="s">
        <v>55</v>
      </c>
    </row>
    <row r="5124" spans="1:51">
      <c r="A5124">
        <v>101934</v>
      </c>
      <c r="B5124" t="s">
        <v>937</v>
      </c>
      <c r="C5124" t="str">
        <f t="shared" si="433"/>
        <v>06175550638</v>
      </c>
      <c r="D5124" t="str">
        <f t="shared" si="433"/>
        <v>06175550638</v>
      </c>
      <c r="E5124" t="s">
        <v>52</v>
      </c>
      <c r="F5124">
        <v>2015</v>
      </c>
      <c r="G5124">
        <v>146</v>
      </c>
      <c r="H5124" s="1">
        <v>42034</v>
      </c>
      <c r="I5124" s="1">
        <v>42052</v>
      </c>
      <c r="J5124" s="1">
        <v>42052</v>
      </c>
      <c r="K5124" s="1">
        <v>42112</v>
      </c>
      <c r="L5124" s="7">
        <v>145</v>
      </c>
      <c r="M5124" s="5">
        <v>243</v>
      </c>
      <c r="N5124" s="7">
        <v>35235</v>
      </c>
      <c r="O5124">
        <v>145</v>
      </c>
      <c r="P5124">
        <v>243</v>
      </c>
      <c r="Q5124" s="2">
        <v>35235</v>
      </c>
      <c r="R5124">
        <v>5.8</v>
      </c>
      <c r="V5124">
        <v>0</v>
      </c>
      <c r="W5124">
        <v>0</v>
      </c>
      <c r="X5124">
        <v>0</v>
      </c>
      <c r="Y5124">
        <v>150.80000000000001</v>
      </c>
      <c r="Z5124">
        <v>150.80000000000001</v>
      </c>
      <c r="AA5124">
        <v>150.80000000000001</v>
      </c>
      <c r="AB5124" s="1">
        <v>42382</v>
      </c>
      <c r="AC5124" t="s">
        <v>53</v>
      </c>
      <c r="AD5124" t="s">
        <v>53</v>
      </c>
      <c r="AK5124">
        <v>5.8</v>
      </c>
      <c r="AU5124" s="6">
        <v>42355</v>
      </c>
      <c r="AV5124" s="6">
        <v>42355</v>
      </c>
      <c r="AW5124" t="s">
        <v>54</v>
      </c>
      <c r="AX5124" t="str">
        <f t="shared" si="434"/>
        <v>FOR</v>
      </c>
      <c r="AY5124" t="s">
        <v>55</v>
      </c>
    </row>
    <row r="5125" spans="1:51" hidden="1">
      <c r="A5125">
        <v>101935</v>
      </c>
      <c r="B5125" t="s">
        <v>938</v>
      </c>
      <c r="C5125" t="str">
        <f t="shared" ref="C5125:D5133" si="435">"07516911000"</f>
        <v>07516911000</v>
      </c>
      <c r="D5125" t="str">
        <f t="shared" si="435"/>
        <v>07516911000</v>
      </c>
      <c r="E5125" t="s">
        <v>52</v>
      </c>
      <c r="F5125">
        <v>2014</v>
      </c>
      <c r="G5125">
        <v>25343590</v>
      </c>
      <c r="H5125" s="1">
        <v>41996</v>
      </c>
      <c r="I5125" s="1">
        <v>41996</v>
      </c>
      <c r="J5125" s="1">
        <v>41996</v>
      </c>
      <c r="K5125" s="1">
        <v>42056</v>
      </c>
      <c r="N5125" s="5"/>
      <c r="O5125">
        <v>56.1</v>
      </c>
      <c r="P5125">
        <v>-11</v>
      </c>
      <c r="Q5125">
        <v>-617.1</v>
      </c>
      <c r="R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 s="1">
        <v>42382</v>
      </c>
      <c r="AC5125" t="s">
        <v>53</v>
      </c>
      <c r="AD5125" t="s">
        <v>53</v>
      </c>
      <c r="AK5125">
        <v>0</v>
      </c>
      <c r="AU5125" s="6">
        <v>42045</v>
      </c>
      <c r="AV5125" s="6">
        <v>42045</v>
      </c>
      <c r="AW5125" t="s">
        <v>54</v>
      </c>
      <c r="AX5125" t="str">
        <f t="shared" si="434"/>
        <v>FOR</v>
      </c>
      <c r="AY5125" t="s">
        <v>55</v>
      </c>
    </row>
    <row r="5126" spans="1:51" hidden="1">
      <c r="A5126">
        <v>101935</v>
      </c>
      <c r="B5126" t="s">
        <v>938</v>
      </c>
      <c r="C5126" t="str">
        <f t="shared" si="435"/>
        <v>07516911000</v>
      </c>
      <c r="D5126" t="str">
        <f t="shared" si="435"/>
        <v>07516911000</v>
      </c>
      <c r="E5126" t="s">
        <v>52</v>
      </c>
      <c r="F5126">
        <v>2015</v>
      </c>
      <c r="G5126">
        <v>45395</v>
      </c>
      <c r="H5126" s="1">
        <v>42027</v>
      </c>
      <c r="I5126" s="1">
        <v>42027</v>
      </c>
      <c r="J5126" s="1">
        <v>42027</v>
      </c>
      <c r="K5126" s="1">
        <v>42087</v>
      </c>
      <c r="N5126" s="5"/>
      <c r="O5126">
        <v>48.32</v>
      </c>
      <c r="P5126">
        <v>55</v>
      </c>
      <c r="Q5126" s="2">
        <v>2657.6</v>
      </c>
      <c r="R5126">
        <v>0</v>
      </c>
      <c r="V5126">
        <v>0</v>
      </c>
      <c r="W5126">
        <v>0</v>
      </c>
      <c r="X5126">
        <v>0</v>
      </c>
      <c r="Y5126">
        <v>58.95</v>
      </c>
      <c r="Z5126">
        <v>58.95</v>
      </c>
      <c r="AA5126">
        <v>58.95</v>
      </c>
      <c r="AB5126" s="1">
        <v>42382</v>
      </c>
      <c r="AC5126" t="s">
        <v>53</v>
      </c>
      <c r="AD5126" t="s">
        <v>53</v>
      </c>
      <c r="AK5126">
        <v>0</v>
      </c>
      <c r="AU5126" s="6">
        <v>42142</v>
      </c>
      <c r="AV5126" s="6">
        <v>42142</v>
      </c>
      <c r="AW5126" t="s">
        <v>54</v>
      </c>
      <c r="AX5126" t="str">
        <f t="shared" si="434"/>
        <v>FOR</v>
      </c>
      <c r="AY5126" t="s">
        <v>55</v>
      </c>
    </row>
    <row r="5127" spans="1:51">
      <c r="A5127">
        <v>101935</v>
      </c>
      <c r="B5127" t="s">
        <v>938</v>
      </c>
      <c r="C5127" t="str">
        <f t="shared" si="435"/>
        <v>07516911000</v>
      </c>
      <c r="D5127" t="str">
        <f t="shared" si="435"/>
        <v>07516911000</v>
      </c>
      <c r="E5127" t="s">
        <v>52</v>
      </c>
      <c r="F5127">
        <v>2015</v>
      </c>
      <c r="G5127" t="s">
        <v>939</v>
      </c>
      <c r="H5127" s="1">
        <v>42147</v>
      </c>
      <c r="I5127" s="1">
        <v>42171</v>
      </c>
      <c r="J5127" s="1">
        <v>42164</v>
      </c>
      <c r="K5127" s="1">
        <v>42224</v>
      </c>
      <c r="L5127" s="7">
        <v>96.39</v>
      </c>
      <c r="M5127" s="5">
        <v>59</v>
      </c>
      <c r="N5127" s="7">
        <v>5687.01</v>
      </c>
      <c r="O5127">
        <v>96.39</v>
      </c>
      <c r="P5127">
        <v>59</v>
      </c>
      <c r="Q5127" s="2">
        <v>5687.01</v>
      </c>
      <c r="R5127">
        <v>0</v>
      </c>
      <c r="V5127">
        <v>0</v>
      </c>
      <c r="W5127">
        <v>0</v>
      </c>
      <c r="X5127">
        <v>0</v>
      </c>
      <c r="Y5127">
        <v>117.6</v>
      </c>
      <c r="Z5127">
        <v>117.6</v>
      </c>
      <c r="AA5127">
        <v>117.6</v>
      </c>
      <c r="AB5127" s="1">
        <v>42382</v>
      </c>
      <c r="AC5127" t="s">
        <v>53</v>
      </c>
      <c r="AD5127" t="s">
        <v>53</v>
      </c>
      <c r="AK5127">
        <v>0</v>
      </c>
      <c r="AU5127" s="6">
        <v>42283</v>
      </c>
      <c r="AV5127" s="6">
        <v>42283</v>
      </c>
      <c r="AW5127" t="s">
        <v>54</v>
      </c>
      <c r="AX5127" t="str">
        <f t="shared" si="434"/>
        <v>FOR</v>
      </c>
      <c r="AY5127" t="s">
        <v>55</v>
      </c>
    </row>
    <row r="5128" spans="1:51">
      <c r="A5128">
        <v>101935</v>
      </c>
      <c r="B5128" t="s">
        <v>938</v>
      </c>
      <c r="C5128" t="str">
        <f t="shared" si="435"/>
        <v>07516911000</v>
      </c>
      <c r="D5128" t="str">
        <f t="shared" si="435"/>
        <v>07516911000</v>
      </c>
      <c r="E5128" t="s">
        <v>52</v>
      </c>
      <c r="F5128">
        <v>2015</v>
      </c>
      <c r="G5128" t="s">
        <v>940</v>
      </c>
      <c r="H5128" s="1">
        <v>42178</v>
      </c>
      <c r="I5128" s="1">
        <v>42192</v>
      </c>
      <c r="J5128" s="1">
        <v>42181</v>
      </c>
      <c r="K5128" s="1">
        <v>42241</v>
      </c>
      <c r="L5128" s="7">
        <v>43.61</v>
      </c>
      <c r="M5128" s="5">
        <v>44</v>
      </c>
      <c r="N5128" s="7">
        <v>1918.84</v>
      </c>
      <c r="O5128">
        <v>43.61</v>
      </c>
      <c r="P5128">
        <v>44</v>
      </c>
      <c r="Q5128" s="2">
        <v>1918.84</v>
      </c>
      <c r="R5128">
        <v>0</v>
      </c>
      <c r="V5128">
        <v>0</v>
      </c>
      <c r="W5128">
        <v>0</v>
      </c>
      <c r="X5128">
        <v>0</v>
      </c>
      <c r="Y5128">
        <v>53.2</v>
      </c>
      <c r="Z5128">
        <v>53.2</v>
      </c>
      <c r="AA5128">
        <v>53.2</v>
      </c>
      <c r="AB5128" s="1">
        <v>42382</v>
      </c>
      <c r="AC5128" t="s">
        <v>53</v>
      </c>
      <c r="AD5128" t="s">
        <v>53</v>
      </c>
      <c r="AK5128">
        <v>0</v>
      </c>
      <c r="AU5128" s="6">
        <v>42285</v>
      </c>
      <c r="AV5128" s="6">
        <v>42285</v>
      </c>
      <c r="AW5128" t="s">
        <v>54</v>
      </c>
      <c r="AX5128" t="str">
        <f t="shared" si="434"/>
        <v>FOR</v>
      </c>
      <c r="AY5128" t="s">
        <v>55</v>
      </c>
    </row>
    <row r="5129" spans="1:51">
      <c r="A5129">
        <v>101935</v>
      </c>
      <c r="B5129" t="s">
        <v>938</v>
      </c>
      <c r="C5129" t="str">
        <f t="shared" si="435"/>
        <v>07516911000</v>
      </c>
      <c r="D5129" t="str">
        <f t="shared" si="435"/>
        <v>07516911000</v>
      </c>
      <c r="E5129" t="s">
        <v>52</v>
      </c>
      <c r="F5129">
        <v>2015</v>
      </c>
      <c r="G5129" t="s">
        <v>941</v>
      </c>
      <c r="H5129" s="1">
        <v>42208</v>
      </c>
      <c r="I5129" s="1">
        <v>42234</v>
      </c>
      <c r="J5129" s="1">
        <v>42210</v>
      </c>
      <c r="K5129" s="1">
        <v>42270</v>
      </c>
      <c r="L5129" s="7">
        <v>56.97</v>
      </c>
      <c r="M5129" s="5">
        <v>15</v>
      </c>
      <c r="N5129" s="7">
        <v>854.55</v>
      </c>
      <c r="O5129">
        <v>56.97</v>
      </c>
      <c r="P5129">
        <v>15</v>
      </c>
      <c r="Q5129">
        <v>854.55</v>
      </c>
      <c r="R5129">
        <v>0</v>
      </c>
      <c r="V5129">
        <v>0</v>
      </c>
      <c r="W5129">
        <v>0</v>
      </c>
      <c r="X5129">
        <v>0</v>
      </c>
      <c r="Y5129">
        <v>69.5</v>
      </c>
      <c r="Z5129">
        <v>69.5</v>
      </c>
      <c r="AA5129">
        <v>69.5</v>
      </c>
      <c r="AB5129" s="1">
        <v>42382</v>
      </c>
      <c r="AC5129" t="s">
        <v>53</v>
      </c>
      <c r="AD5129" t="s">
        <v>53</v>
      </c>
      <c r="AK5129">
        <v>0</v>
      </c>
      <c r="AU5129" s="6">
        <v>42285</v>
      </c>
      <c r="AV5129" s="6">
        <v>42285</v>
      </c>
      <c r="AW5129" t="s">
        <v>54</v>
      </c>
      <c r="AX5129" t="str">
        <f t="shared" si="434"/>
        <v>FOR</v>
      </c>
      <c r="AY5129" t="s">
        <v>55</v>
      </c>
    </row>
    <row r="5130" spans="1:51">
      <c r="A5130">
        <v>101935</v>
      </c>
      <c r="B5130" t="s">
        <v>938</v>
      </c>
      <c r="C5130" t="str">
        <f t="shared" si="435"/>
        <v>07516911000</v>
      </c>
      <c r="D5130" t="str">
        <f t="shared" si="435"/>
        <v>07516911000</v>
      </c>
      <c r="E5130" t="s">
        <v>52</v>
      </c>
      <c r="F5130">
        <v>2015</v>
      </c>
      <c r="G5130" t="s">
        <v>942</v>
      </c>
      <c r="H5130" s="1">
        <v>42239</v>
      </c>
      <c r="I5130" s="1">
        <v>42242</v>
      </c>
      <c r="J5130" s="1">
        <v>42242</v>
      </c>
      <c r="K5130" s="1">
        <v>42302</v>
      </c>
      <c r="L5130" s="7">
        <v>61.56</v>
      </c>
      <c r="M5130" s="5">
        <v>-17</v>
      </c>
      <c r="N5130" s="7">
        <v>-1046.52</v>
      </c>
      <c r="O5130">
        <v>61.56</v>
      </c>
      <c r="P5130">
        <v>-17</v>
      </c>
      <c r="Q5130" s="2">
        <v>-1046.52</v>
      </c>
      <c r="R5130">
        <v>0</v>
      </c>
      <c r="V5130">
        <v>0</v>
      </c>
      <c r="W5130">
        <v>0</v>
      </c>
      <c r="X5130">
        <v>0</v>
      </c>
      <c r="Y5130">
        <v>75.099999999999994</v>
      </c>
      <c r="Z5130">
        <v>75.099999999999994</v>
      </c>
      <c r="AA5130">
        <v>75.099999999999994</v>
      </c>
      <c r="AB5130" s="1">
        <v>42382</v>
      </c>
      <c r="AC5130" t="s">
        <v>53</v>
      </c>
      <c r="AD5130" t="s">
        <v>53</v>
      </c>
      <c r="AK5130">
        <v>0</v>
      </c>
      <c r="AU5130" s="6">
        <v>42285</v>
      </c>
      <c r="AV5130" s="6">
        <v>42285</v>
      </c>
      <c r="AW5130" t="s">
        <v>54</v>
      </c>
      <c r="AX5130" t="str">
        <f t="shared" si="434"/>
        <v>FOR</v>
      </c>
      <c r="AY5130" t="s">
        <v>55</v>
      </c>
    </row>
    <row r="5131" spans="1:51">
      <c r="A5131">
        <v>101935</v>
      </c>
      <c r="B5131" t="s">
        <v>938</v>
      </c>
      <c r="C5131" t="str">
        <f t="shared" si="435"/>
        <v>07516911000</v>
      </c>
      <c r="D5131" t="str">
        <f t="shared" si="435"/>
        <v>07516911000</v>
      </c>
      <c r="E5131" t="s">
        <v>52</v>
      </c>
      <c r="F5131">
        <v>2015</v>
      </c>
      <c r="G5131" t="s">
        <v>943</v>
      </c>
      <c r="H5131" s="1">
        <v>42270</v>
      </c>
      <c r="I5131" s="1">
        <v>42272</v>
      </c>
      <c r="J5131" s="1">
        <v>42270</v>
      </c>
      <c r="K5131" s="1">
        <v>42330</v>
      </c>
      <c r="L5131" s="7">
        <v>22.01</v>
      </c>
      <c r="M5131" s="5">
        <v>-45</v>
      </c>
      <c r="N5131" s="7">
        <v>-990.45</v>
      </c>
      <c r="O5131">
        <v>22.01</v>
      </c>
      <c r="P5131">
        <v>-45</v>
      </c>
      <c r="Q5131">
        <v>-990.45</v>
      </c>
      <c r="R5131">
        <v>0</v>
      </c>
      <c r="V5131">
        <v>0</v>
      </c>
      <c r="W5131">
        <v>0</v>
      </c>
      <c r="X5131">
        <v>0</v>
      </c>
      <c r="Y5131">
        <v>26.85</v>
      </c>
      <c r="Z5131">
        <v>26.85</v>
      </c>
      <c r="AA5131">
        <v>26.85</v>
      </c>
      <c r="AB5131" s="1">
        <v>42382</v>
      </c>
      <c r="AC5131" t="s">
        <v>53</v>
      </c>
      <c r="AD5131" t="s">
        <v>53</v>
      </c>
      <c r="AK5131">
        <v>0</v>
      </c>
      <c r="AU5131" s="6">
        <v>42285</v>
      </c>
      <c r="AV5131" s="6">
        <v>42285</v>
      </c>
      <c r="AW5131" t="s">
        <v>54</v>
      </c>
      <c r="AX5131" t="str">
        <f t="shared" si="434"/>
        <v>FOR</v>
      </c>
      <c r="AY5131" t="s">
        <v>55</v>
      </c>
    </row>
    <row r="5132" spans="1:51">
      <c r="A5132">
        <v>101935</v>
      </c>
      <c r="B5132" t="s">
        <v>938</v>
      </c>
      <c r="C5132" t="str">
        <f t="shared" si="435"/>
        <v>07516911000</v>
      </c>
      <c r="D5132" t="str">
        <f t="shared" si="435"/>
        <v>07516911000</v>
      </c>
      <c r="E5132" t="s">
        <v>52</v>
      </c>
      <c r="F5132">
        <v>2015</v>
      </c>
      <c r="G5132" t="s">
        <v>944</v>
      </c>
      <c r="H5132" s="1">
        <v>42300</v>
      </c>
      <c r="I5132" s="1">
        <v>42300</v>
      </c>
      <c r="J5132" s="1">
        <v>42300</v>
      </c>
      <c r="K5132" s="1">
        <v>42360</v>
      </c>
      <c r="L5132" s="7">
        <v>96.8</v>
      </c>
      <c r="M5132" s="5">
        <v>-56</v>
      </c>
      <c r="N5132" s="7">
        <v>-5420.8</v>
      </c>
      <c r="O5132">
        <v>96.8</v>
      </c>
      <c r="P5132">
        <v>-56</v>
      </c>
      <c r="Q5132" s="2">
        <v>-5420.8</v>
      </c>
      <c r="R5132">
        <v>0</v>
      </c>
      <c r="V5132">
        <v>118.1</v>
      </c>
      <c r="W5132">
        <v>118.1</v>
      </c>
      <c r="X5132">
        <v>118.1</v>
      </c>
      <c r="Y5132">
        <v>118.1</v>
      </c>
      <c r="Z5132">
        <v>118.1</v>
      </c>
      <c r="AA5132">
        <v>118.1</v>
      </c>
      <c r="AB5132" s="1">
        <v>42382</v>
      </c>
      <c r="AC5132" t="s">
        <v>53</v>
      </c>
      <c r="AD5132" t="s">
        <v>53</v>
      </c>
      <c r="AK5132">
        <v>0</v>
      </c>
      <c r="AU5132" s="6">
        <v>42304</v>
      </c>
      <c r="AV5132" s="6">
        <v>42304</v>
      </c>
      <c r="AW5132" t="s">
        <v>54</v>
      </c>
      <c r="AX5132" t="str">
        <f t="shared" si="434"/>
        <v>FOR</v>
      </c>
      <c r="AY5132" t="s">
        <v>55</v>
      </c>
    </row>
    <row r="5133" spans="1:51">
      <c r="A5133">
        <v>101935</v>
      </c>
      <c r="B5133" t="s">
        <v>938</v>
      </c>
      <c r="C5133" t="str">
        <f t="shared" si="435"/>
        <v>07516911000</v>
      </c>
      <c r="D5133" t="str">
        <f t="shared" si="435"/>
        <v>07516911000</v>
      </c>
      <c r="E5133" t="s">
        <v>52</v>
      </c>
      <c r="F5133">
        <v>2015</v>
      </c>
      <c r="G5133" t="s">
        <v>945</v>
      </c>
      <c r="H5133" s="1">
        <v>42331</v>
      </c>
      <c r="I5133" s="1">
        <v>42356</v>
      </c>
      <c r="J5133" s="1">
        <v>42333</v>
      </c>
      <c r="K5133" s="1">
        <v>42393</v>
      </c>
      <c r="L5133" s="7">
        <v>71.150000000000006</v>
      </c>
      <c r="M5133" s="5">
        <v>-34</v>
      </c>
      <c r="N5133" s="7">
        <v>-2419.1</v>
      </c>
      <c r="O5133">
        <v>71.150000000000006</v>
      </c>
      <c r="P5133">
        <v>-34</v>
      </c>
      <c r="Q5133" s="2">
        <v>-2419.1</v>
      </c>
      <c r="R5133">
        <v>15.65</v>
      </c>
      <c r="V5133">
        <v>86.8</v>
      </c>
      <c r="W5133">
        <v>86.8</v>
      </c>
      <c r="X5133">
        <v>86.8</v>
      </c>
      <c r="Y5133">
        <v>86.8</v>
      </c>
      <c r="Z5133">
        <v>86.8</v>
      </c>
      <c r="AA5133">
        <v>86.8</v>
      </c>
      <c r="AB5133" s="1">
        <v>42382</v>
      </c>
      <c r="AC5133" t="s">
        <v>53</v>
      </c>
      <c r="AD5133" t="s">
        <v>53</v>
      </c>
      <c r="AK5133">
        <v>0</v>
      </c>
      <c r="AM5133">
        <v>15.65</v>
      </c>
      <c r="AU5133" s="6">
        <v>42359</v>
      </c>
      <c r="AV5133" s="6">
        <v>42359</v>
      </c>
      <c r="AW5133" t="s">
        <v>54</v>
      </c>
      <c r="AX5133" t="str">
        <f t="shared" si="434"/>
        <v>FOR</v>
      </c>
      <c r="AY5133" t="s">
        <v>55</v>
      </c>
    </row>
    <row r="5134" spans="1:51" hidden="1">
      <c r="A5134">
        <v>102056</v>
      </c>
      <c r="B5134" t="s">
        <v>946</v>
      </c>
      <c r="C5134" t="str">
        <f t="shared" ref="C5134:D5137" si="436">"01035300100"</f>
        <v>01035300100</v>
      </c>
      <c r="D5134" t="str">
        <f t="shared" si="436"/>
        <v>01035300100</v>
      </c>
      <c r="E5134" t="s">
        <v>52</v>
      </c>
      <c r="F5134">
        <v>2014</v>
      </c>
      <c r="G5134">
        <v>20169</v>
      </c>
      <c r="H5134" s="1">
        <v>41695</v>
      </c>
      <c r="I5134" s="1">
        <v>41702</v>
      </c>
      <c r="J5134" s="1">
        <v>41702</v>
      </c>
      <c r="K5134" s="1">
        <v>41792</v>
      </c>
      <c r="N5134" s="5"/>
      <c r="O5134" s="2">
        <v>5455.23</v>
      </c>
      <c r="P5134">
        <v>245</v>
      </c>
      <c r="Q5134" s="2">
        <v>1336531.3500000001</v>
      </c>
      <c r="R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 s="1">
        <v>42382</v>
      </c>
      <c r="AC5134" t="s">
        <v>53</v>
      </c>
      <c r="AD5134" t="s">
        <v>53</v>
      </c>
      <c r="AK5134">
        <v>0</v>
      </c>
      <c r="AU5134" s="6">
        <v>42037</v>
      </c>
      <c r="AV5134" s="6">
        <v>42037</v>
      </c>
      <c r="AW5134" t="s">
        <v>54</v>
      </c>
      <c r="AX5134" t="str">
        <f t="shared" si="434"/>
        <v>FOR</v>
      </c>
      <c r="AY5134" t="s">
        <v>55</v>
      </c>
    </row>
    <row r="5135" spans="1:51" hidden="1">
      <c r="A5135">
        <v>102056</v>
      </c>
      <c r="B5135" t="s">
        <v>946</v>
      </c>
      <c r="C5135" t="str">
        <f t="shared" si="436"/>
        <v>01035300100</v>
      </c>
      <c r="D5135" t="str">
        <f t="shared" si="436"/>
        <v>01035300100</v>
      </c>
      <c r="E5135" t="s">
        <v>52</v>
      </c>
      <c r="F5135">
        <v>2014</v>
      </c>
      <c r="G5135">
        <v>20258</v>
      </c>
      <c r="H5135" s="1">
        <v>41722</v>
      </c>
      <c r="I5135" s="1">
        <v>41736</v>
      </c>
      <c r="J5135" s="1">
        <v>41736</v>
      </c>
      <c r="K5135" s="1">
        <v>41826</v>
      </c>
      <c r="N5135" s="5"/>
      <c r="O5135" s="2">
        <v>1417.34</v>
      </c>
      <c r="P5135">
        <v>248</v>
      </c>
      <c r="Q5135" s="2">
        <v>351500.32</v>
      </c>
      <c r="R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 s="1">
        <v>42382</v>
      </c>
      <c r="AC5135" t="s">
        <v>53</v>
      </c>
      <c r="AD5135" t="s">
        <v>53</v>
      </c>
      <c r="AK5135">
        <v>0</v>
      </c>
      <c r="AU5135" s="6">
        <v>42074</v>
      </c>
      <c r="AV5135" s="6">
        <v>42074</v>
      </c>
      <c r="AW5135" t="s">
        <v>54</v>
      </c>
      <c r="AX5135" t="str">
        <f t="shared" si="434"/>
        <v>FOR</v>
      </c>
      <c r="AY5135" t="s">
        <v>55</v>
      </c>
    </row>
    <row r="5136" spans="1:51" hidden="1">
      <c r="A5136">
        <v>102056</v>
      </c>
      <c r="B5136" t="s">
        <v>946</v>
      </c>
      <c r="C5136" t="str">
        <f t="shared" si="436"/>
        <v>01035300100</v>
      </c>
      <c r="D5136" t="str">
        <f t="shared" si="436"/>
        <v>01035300100</v>
      </c>
      <c r="E5136" t="s">
        <v>52</v>
      </c>
      <c r="F5136">
        <v>2014</v>
      </c>
      <c r="G5136">
        <v>20388</v>
      </c>
      <c r="H5136" s="1">
        <v>41780</v>
      </c>
      <c r="I5136" s="1">
        <v>41788</v>
      </c>
      <c r="J5136" s="1">
        <v>41788</v>
      </c>
      <c r="K5136" s="1">
        <v>41878</v>
      </c>
      <c r="N5136" s="5"/>
      <c r="O5136">
        <v>413.76</v>
      </c>
      <c r="P5136">
        <v>196</v>
      </c>
      <c r="Q5136" s="2">
        <v>81096.960000000006</v>
      </c>
      <c r="R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 s="1">
        <v>42382</v>
      </c>
      <c r="AC5136" t="s">
        <v>53</v>
      </c>
      <c r="AD5136" t="s">
        <v>53</v>
      </c>
      <c r="AK5136">
        <v>0</v>
      </c>
      <c r="AU5136" s="6">
        <v>42074</v>
      </c>
      <c r="AV5136" s="6">
        <v>42074</v>
      </c>
      <c r="AW5136" t="s">
        <v>54</v>
      </c>
      <c r="AX5136" t="str">
        <f t="shared" si="434"/>
        <v>FOR</v>
      </c>
      <c r="AY5136" t="s">
        <v>55</v>
      </c>
    </row>
    <row r="5137" spans="1:51" hidden="1">
      <c r="A5137">
        <v>102056</v>
      </c>
      <c r="B5137" t="s">
        <v>946</v>
      </c>
      <c r="C5137" t="str">
        <f t="shared" si="436"/>
        <v>01035300100</v>
      </c>
      <c r="D5137" t="str">
        <f t="shared" si="436"/>
        <v>01035300100</v>
      </c>
      <c r="E5137" t="s">
        <v>52</v>
      </c>
      <c r="F5137">
        <v>2014</v>
      </c>
      <c r="G5137">
        <v>20470</v>
      </c>
      <c r="H5137" s="1">
        <v>41810</v>
      </c>
      <c r="I5137" s="1">
        <v>41816</v>
      </c>
      <c r="J5137" s="1">
        <v>41816</v>
      </c>
      <c r="K5137" s="1">
        <v>41906</v>
      </c>
      <c r="N5137" s="5"/>
      <c r="O5137">
        <v>291.58</v>
      </c>
      <c r="P5137">
        <v>168</v>
      </c>
      <c r="Q5137" s="2">
        <v>48985.440000000002</v>
      </c>
      <c r="R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 s="1">
        <v>42382</v>
      </c>
      <c r="AC5137" t="s">
        <v>53</v>
      </c>
      <c r="AD5137" t="s">
        <v>53</v>
      </c>
      <c r="AK5137">
        <v>0</v>
      </c>
      <c r="AU5137" s="6">
        <v>42074</v>
      </c>
      <c r="AV5137" s="6">
        <v>42074</v>
      </c>
      <c r="AW5137" t="s">
        <v>54</v>
      </c>
      <c r="AX5137" t="str">
        <f t="shared" si="434"/>
        <v>FOR</v>
      </c>
      <c r="AY5137" t="s">
        <v>55</v>
      </c>
    </row>
    <row r="5138" spans="1:51" hidden="1">
      <c r="A5138">
        <v>102094</v>
      </c>
      <c r="B5138" t="s">
        <v>947</v>
      </c>
      <c r="C5138" t="str">
        <f t="shared" ref="C5138:D5156" si="437">"00784230872"</f>
        <v>00784230872</v>
      </c>
      <c r="D5138" t="str">
        <f t="shared" si="437"/>
        <v>00784230872</v>
      </c>
      <c r="E5138" t="s">
        <v>52</v>
      </c>
      <c r="F5138">
        <v>2014</v>
      </c>
      <c r="G5138">
        <v>419</v>
      </c>
      <c r="H5138" s="1">
        <v>41670</v>
      </c>
      <c r="I5138" s="1">
        <v>41684</v>
      </c>
      <c r="J5138" s="1">
        <v>41684</v>
      </c>
      <c r="K5138" s="1">
        <v>41774</v>
      </c>
      <c r="N5138" s="5"/>
      <c r="O5138">
        <v>634.4</v>
      </c>
      <c r="P5138">
        <v>250</v>
      </c>
      <c r="Q5138" s="2">
        <v>158600</v>
      </c>
      <c r="R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 s="1">
        <v>42382</v>
      </c>
      <c r="AC5138" t="s">
        <v>53</v>
      </c>
      <c r="AD5138" t="s">
        <v>53</v>
      </c>
      <c r="AK5138">
        <v>0</v>
      </c>
      <c r="AU5138" s="6">
        <v>42024</v>
      </c>
      <c r="AV5138" s="6">
        <v>42024</v>
      </c>
      <c r="AW5138" t="s">
        <v>54</v>
      </c>
      <c r="AX5138" t="str">
        <f t="shared" si="434"/>
        <v>FOR</v>
      </c>
      <c r="AY5138" t="s">
        <v>55</v>
      </c>
    </row>
    <row r="5139" spans="1:51" hidden="1">
      <c r="A5139">
        <v>102094</v>
      </c>
      <c r="B5139" t="s">
        <v>947</v>
      </c>
      <c r="C5139" t="str">
        <f t="shared" si="437"/>
        <v>00784230872</v>
      </c>
      <c r="D5139" t="str">
        <f t="shared" si="437"/>
        <v>00784230872</v>
      </c>
      <c r="E5139" t="s">
        <v>52</v>
      </c>
      <c r="F5139">
        <v>2014</v>
      </c>
      <c r="G5139">
        <v>1044</v>
      </c>
      <c r="H5139" s="1">
        <v>41690</v>
      </c>
      <c r="I5139" s="1">
        <v>41701</v>
      </c>
      <c r="J5139" s="1">
        <v>41701</v>
      </c>
      <c r="K5139" s="1">
        <v>41791</v>
      </c>
      <c r="N5139" s="5"/>
      <c r="O5139">
        <v>346.48</v>
      </c>
      <c r="P5139">
        <v>246</v>
      </c>
      <c r="Q5139" s="2">
        <v>85234.08</v>
      </c>
      <c r="R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 s="1">
        <v>42382</v>
      </c>
      <c r="AC5139" t="s">
        <v>53</v>
      </c>
      <c r="AD5139" t="s">
        <v>53</v>
      </c>
      <c r="AK5139">
        <v>0</v>
      </c>
      <c r="AU5139" s="6">
        <v>42037</v>
      </c>
      <c r="AV5139" s="6">
        <v>42037</v>
      </c>
      <c r="AW5139" t="s">
        <v>54</v>
      </c>
      <c r="AX5139" t="str">
        <f t="shared" si="434"/>
        <v>FOR</v>
      </c>
      <c r="AY5139" t="s">
        <v>55</v>
      </c>
    </row>
    <row r="5140" spans="1:51" hidden="1">
      <c r="A5140">
        <v>102094</v>
      </c>
      <c r="B5140" t="s">
        <v>947</v>
      </c>
      <c r="C5140" t="str">
        <f t="shared" si="437"/>
        <v>00784230872</v>
      </c>
      <c r="D5140" t="str">
        <f t="shared" si="437"/>
        <v>00784230872</v>
      </c>
      <c r="E5140" t="s">
        <v>52</v>
      </c>
      <c r="F5140">
        <v>2014</v>
      </c>
      <c r="G5140">
        <v>1377</v>
      </c>
      <c r="H5140" s="1">
        <v>41698</v>
      </c>
      <c r="I5140" s="1">
        <v>41711</v>
      </c>
      <c r="J5140" s="1">
        <v>41711</v>
      </c>
      <c r="K5140" s="1">
        <v>41801</v>
      </c>
      <c r="N5140" s="5"/>
      <c r="O5140">
        <v>907.68</v>
      </c>
      <c r="P5140">
        <v>236</v>
      </c>
      <c r="Q5140" s="2">
        <v>214212.48000000001</v>
      </c>
      <c r="R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 s="1">
        <v>42382</v>
      </c>
      <c r="AC5140" t="s">
        <v>53</v>
      </c>
      <c r="AD5140" t="s">
        <v>53</v>
      </c>
      <c r="AK5140">
        <v>0</v>
      </c>
      <c r="AU5140" s="6">
        <v>42037</v>
      </c>
      <c r="AV5140" s="6">
        <v>42037</v>
      </c>
      <c r="AW5140" t="s">
        <v>54</v>
      </c>
      <c r="AX5140" t="str">
        <f t="shared" si="434"/>
        <v>FOR</v>
      </c>
      <c r="AY5140" t="s">
        <v>55</v>
      </c>
    </row>
    <row r="5141" spans="1:51" hidden="1">
      <c r="A5141">
        <v>102094</v>
      </c>
      <c r="B5141" t="s">
        <v>947</v>
      </c>
      <c r="C5141" t="str">
        <f t="shared" si="437"/>
        <v>00784230872</v>
      </c>
      <c r="D5141" t="str">
        <f t="shared" si="437"/>
        <v>00784230872</v>
      </c>
      <c r="E5141" t="s">
        <v>52</v>
      </c>
      <c r="F5141">
        <v>2014</v>
      </c>
      <c r="G5141">
        <v>1922</v>
      </c>
      <c r="H5141" s="1">
        <v>41718</v>
      </c>
      <c r="I5141" s="1">
        <v>41731</v>
      </c>
      <c r="J5141" s="1">
        <v>41731</v>
      </c>
      <c r="K5141" s="1">
        <v>41821</v>
      </c>
      <c r="N5141" s="5"/>
      <c r="O5141" s="2">
        <v>1525</v>
      </c>
      <c r="P5141">
        <v>241</v>
      </c>
      <c r="Q5141" s="2">
        <v>367525</v>
      </c>
      <c r="R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 s="1">
        <v>42382</v>
      </c>
      <c r="AC5141" t="s">
        <v>53</v>
      </c>
      <c r="AD5141" t="s">
        <v>53</v>
      </c>
      <c r="AK5141">
        <v>0</v>
      </c>
      <c r="AU5141" s="6">
        <v>42062</v>
      </c>
      <c r="AV5141" s="6">
        <v>42062</v>
      </c>
      <c r="AW5141" t="s">
        <v>54</v>
      </c>
      <c r="AX5141" t="str">
        <f t="shared" si="434"/>
        <v>FOR</v>
      </c>
      <c r="AY5141" t="s">
        <v>55</v>
      </c>
    </row>
    <row r="5142" spans="1:51" hidden="1">
      <c r="A5142">
        <v>102094</v>
      </c>
      <c r="B5142" t="s">
        <v>947</v>
      </c>
      <c r="C5142" t="str">
        <f t="shared" si="437"/>
        <v>00784230872</v>
      </c>
      <c r="D5142" t="str">
        <f t="shared" si="437"/>
        <v>00784230872</v>
      </c>
      <c r="E5142" t="s">
        <v>52</v>
      </c>
      <c r="F5142">
        <v>2014</v>
      </c>
      <c r="G5142">
        <v>1923</v>
      </c>
      <c r="H5142" s="1">
        <v>41718</v>
      </c>
      <c r="I5142" s="1">
        <v>41731</v>
      </c>
      <c r="J5142" s="1">
        <v>41731</v>
      </c>
      <c r="K5142" s="1">
        <v>41821</v>
      </c>
      <c r="N5142" s="5"/>
      <c r="O5142">
        <v>907.68</v>
      </c>
      <c r="P5142">
        <v>241</v>
      </c>
      <c r="Q5142" s="2">
        <v>218750.88</v>
      </c>
      <c r="R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 s="1">
        <v>42382</v>
      </c>
      <c r="AC5142" t="s">
        <v>53</v>
      </c>
      <c r="AD5142" t="s">
        <v>53</v>
      </c>
      <c r="AK5142">
        <v>0</v>
      </c>
      <c r="AU5142" s="6">
        <v>42062</v>
      </c>
      <c r="AV5142" s="6">
        <v>42062</v>
      </c>
      <c r="AW5142" t="s">
        <v>54</v>
      </c>
      <c r="AX5142" t="str">
        <f t="shared" si="434"/>
        <v>FOR</v>
      </c>
      <c r="AY5142" t="s">
        <v>55</v>
      </c>
    </row>
    <row r="5143" spans="1:51" hidden="1">
      <c r="A5143">
        <v>102094</v>
      </c>
      <c r="B5143" t="s">
        <v>947</v>
      </c>
      <c r="C5143" t="str">
        <f t="shared" si="437"/>
        <v>00784230872</v>
      </c>
      <c r="D5143" t="str">
        <f t="shared" si="437"/>
        <v>00784230872</v>
      </c>
      <c r="E5143" t="s">
        <v>52</v>
      </c>
      <c r="F5143">
        <v>2014</v>
      </c>
      <c r="G5143">
        <v>3617</v>
      </c>
      <c r="H5143" s="1">
        <v>41779</v>
      </c>
      <c r="I5143" s="1">
        <v>41788</v>
      </c>
      <c r="J5143" s="1">
        <v>41788</v>
      </c>
      <c r="K5143" s="1">
        <v>41878</v>
      </c>
      <c r="N5143" s="5"/>
      <c r="O5143">
        <v>907.68</v>
      </c>
      <c r="P5143">
        <v>184</v>
      </c>
      <c r="Q5143" s="2">
        <v>167013.12</v>
      </c>
      <c r="R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 s="1">
        <v>42382</v>
      </c>
      <c r="AC5143" t="s">
        <v>53</v>
      </c>
      <c r="AD5143" t="s">
        <v>53</v>
      </c>
      <c r="AK5143">
        <v>0</v>
      </c>
      <c r="AU5143" s="6">
        <v>42062</v>
      </c>
      <c r="AV5143" s="6">
        <v>42062</v>
      </c>
      <c r="AW5143" t="s">
        <v>54</v>
      </c>
      <c r="AX5143" t="str">
        <f t="shared" si="434"/>
        <v>FOR</v>
      </c>
      <c r="AY5143" t="s">
        <v>55</v>
      </c>
    </row>
    <row r="5144" spans="1:51" hidden="1">
      <c r="A5144">
        <v>102094</v>
      </c>
      <c r="B5144" t="s">
        <v>947</v>
      </c>
      <c r="C5144" t="str">
        <f t="shared" si="437"/>
        <v>00784230872</v>
      </c>
      <c r="D5144" t="str">
        <f t="shared" si="437"/>
        <v>00784230872</v>
      </c>
      <c r="E5144" t="s">
        <v>52</v>
      </c>
      <c r="F5144">
        <v>2014</v>
      </c>
      <c r="G5144">
        <v>3884</v>
      </c>
      <c r="H5144" s="1">
        <v>41789</v>
      </c>
      <c r="I5144" s="1">
        <v>41800</v>
      </c>
      <c r="J5144" s="1">
        <v>41800</v>
      </c>
      <c r="K5144" s="1">
        <v>41890</v>
      </c>
      <c r="N5144" s="5"/>
      <c r="O5144" s="2">
        <v>1615.28</v>
      </c>
      <c r="P5144">
        <v>172</v>
      </c>
      <c r="Q5144" s="2">
        <v>277828.15999999997</v>
      </c>
      <c r="R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 s="1">
        <v>42382</v>
      </c>
      <c r="AC5144" t="s">
        <v>53</v>
      </c>
      <c r="AD5144" t="s">
        <v>53</v>
      </c>
      <c r="AK5144">
        <v>0</v>
      </c>
      <c r="AU5144" s="6">
        <v>42062</v>
      </c>
      <c r="AV5144" s="6">
        <v>42062</v>
      </c>
      <c r="AW5144" t="s">
        <v>54</v>
      </c>
      <c r="AX5144" t="str">
        <f t="shared" si="434"/>
        <v>FOR</v>
      </c>
      <c r="AY5144" t="s">
        <v>55</v>
      </c>
    </row>
    <row r="5145" spans="1:51" hidden="1">
      <c r="A5145">
        <v>102094</v>
      </c>
      <c r="B5145" t="s">
        <v>947</v>
      </c>
      <c r="C5145" t="str">
        <f t="shared" si="437"/>
        <v>00784230872</v>
      </c>
      <c r="D5145" t="str">
        <f t="shared" si="437"/>
        <v>00784230872</v>
      </c>
      <c r="E5145" t="s">
        <v>52</v>
      </c>
      <c r="F5145">
        <v>2014</v>
      </c>
      <c r="G5145">
        <v>4227</v>
      </c>
      <c r="H5145" s="1">
        <v>41800</v>
      </c>
      <c r="I5145" s="1">
        <v>41810</v>
      </c>
      <c r="J5145" s="1">
        <v>41810</v>
      </c>
      <c r="K5145" s="1">
        <v>41900</v>
      </c>
      <c r="N5145" s="5"/>
      <c r="O5145">
        <v>907.68</v>
      </c>
      <c r="P5145">
        <v>259</v>
      </c>
      <c r="Q5145" s="2">
        <v>235089.12</v>
      </c>
      <c r="R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 s="1">
        <v>42382</v>
      </c>
      <c r="AC5145" t="s">
        <v>53</v>
      </c>
      <c r="AD5145" t="s">
        <v>53</v>
      </c>
      <c r="AK5145">
        <v>0</v>
      </c>
      <c r="AU5145" s="6">
        <v>42159</v>
      </c>
      <c r="AV5145" s="6">
        <v>42159</v>
      </c>
      <c r="AW5145" t="s">
        <v>54</v>
      </c>
      <c r="AX5145" t="str">
        <f t="shared" si="434"/>
        <v>FOR</v>
      </c>
      <c r="AY5145" t="s">
        <v>55</v>
      </c>
    </row>
    <row r="5146" spans="1:51" hidden="1">
      <c r="A5146">
        <v>102094</v>
      </c>
      <c r="B5146" t="s">
        <v>947</v>
      </c>
      <c r="C5146" t="str">
        <f t="shared" si="437"/>
        <v>00784230872</v>
      </c>
      <c r="D5146" t="str">
        <f t="shared" si="437"/>
        <v>00784230872</v>
      </c>
      <c r="E5146" t="s">
        <v>52</v>
      </c>
      <c r="F5146">
        <v>2014</v>
      </c>
      <c r="G5146">
        <v>5080</v>
      </c>
      <c r="H5146" s="1">
        <v>41830</v>
      </c>
      <c r="I5146" s="1">
        <v>41915</v>
      </c>
      <c r="J5146" s="1">
        <v>41915</v>
      </c>
      <c r="K5146" s="1">
        <v>42005</v>
      </c>
      <c r="N5146" s="5"/>
      <c r="O5146">
        <v>890.6</v>
      </c>
      <c r="P5146">
        <v>179</v>
      </c>
      <c r="Q5146" s="2">
        <v>159417.4</v>
      </c>
      <c r="R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 s="1">
        <v>42382</v>
      </c>
      <c r="AC5146" t="s">
        <v>53</v>
      </c>
      <c r="AD5146" t="s">
        <v>53</v>
      </c>
      <c r="AK5146">
        <v>0</v>
      </c>
      <c r="AU5146" s="6">
        <v>42184</v>
      </c>
      <c r="AV5146" s="6">
        <v>42184</v>
      </c>
      <c r="AW5146" t="s">
        <v>54</v>
      </c>
      <c r="AX5146" t="str">
        <f t="shared" si="434"/>
        <v>FOR</v>
      </c>
      <c r="AY5146" t="s">
        <v>55</v>
      </c>
    </row>
    <row r="5147" spans="1:51" hidden="1">
      <c r="A5147">
        <v>102094</v>
      </c>
      <c r="B5147" t="s">
        <v>947</v>
      </c>
      <c r="C5147" t="str">
        <f t="shared" si="437"/>
        <v>00784230872</v>
      </c>
      <c r="D5147" t="str">
        <f t="shared" si="437"/>
        <v>00784230872</v>
      </c>
      <c r="E5147" t="s">
        <v>52</v>
      </c>
      <c r="F5147">
        <v>2014</v>
      </c>
      <c r="G5147">
        <v>5081</v>
      </c>
      <c r="H5147" s="1">
        <v>41830</v>
      </c>
      <c r="I5147" s="1">
        <v>41915</v>
      </c>
      <c r="J5147" s="1">
        <v>41915</v>
      </c>
      <c r="K5147" s="1">
        <v>42005</v>
      </c>
      <c r="N5147" s="5"/>
      <c r="O5147">
        <v>726.14</v>
      </c>
      <c r="P5147">
        <v>179</v>
      </c>
      <c r="Q5147" s="2">
        <v>129979.06</v>
      </c>
      <c r="R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 s="1">
        <v>42382</v>
      </c>
      <c r="AC5147" t="s">
        <v>53</v>
      </c>
      <c r="AD5147" t="s">
        <v>53</v>
      </c>
      <c r="AK5147">
        <v>0</v>
      </c>
      <c r="AU5147" s="6">
        <v>42184</v>
      </c>
      <c r="AV5147" s="6">
        <v>42184</v>
      </c>
      <c r="AW5147" t="s">
        <v>54</v>
      </c>
      <c r="AX5147" t="str">
        <f t="shared" si="434"/>
        <v>FOR</v>
      </c>
      <c r="AY5147" t="s">
        <v>55</v>
      </c>
    </row>
    <row r="5148" spans="1:51" hidden="1">
      <c r="A5148">
        <v>102094</v>
      </c>
      <c r="B5148" t="s">
        <v>947</v>
      </c>
      <c r="C5148" t="str">
        <f t="shared" si="437"/>
        <v>00784230872</v>
      </c>
      <c r="D5148" t="str">
        <f t="shared" si="437"/>
        <v>00784230872</v>
      </c>
      <c r="E5148" t="s">
        <v>52</v>
      </c>
      <c r="F5148">
        <v>2014</v>
      </c>
      <c r="G5148">
        <v>5647</v>
      </c>
      <c r="H5148" s="1">
        <v>41851</v>
      </c>
      <c r="I5148" s="1">
        <v>41873</v>
      </c>
      <c r="J5148" s="1">
        <v>41873</v>
      </c>
      <c r="K5148" s="1">
        <v>41963</v>
      </c>
      <c r="N5148" s="5"/>
      <c r="O5148">
        <v>907.68</v>
      </c>
      <c r="P5148">
        <v>221</v>
      </c>
      <c r="Q5148" s="2">
        <v>200597.28</v>
      </c>
      <c r="R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 s="1">
        <v>42382</v>
      </c>
      <c r="AC5148" t="s">
        <v>53</v>
      </c>
      <c r="AD5148" t="s">
        <v>53</v>
      </c>
      <c r="AK5148">
        <v>0</v>
      </c>
      <c r="AU5148" s="6">
        <v>42184</v>
      </c>
      <c r="AV5148" s="6">
        <v>42184</v>
      </c>
      <c r="AW5148" t="s">
        <v>54</v>
      </c>
      <c r="AX5148" t="str">
        <f t="shared" si="434"/>
        <v>FOR</v>
      </c>
      <c r="AY5148" t="s">
        <v>55</v>
      </c>
    </row>
    <row r="5149" spans="1:51" hidden="1">
      <c r="A5149">
        <v>102094</v>
      </c>
      <c r="B5149" t="s">
        <v>947</v>
      </c>
      <c r="C5149" t="str">
        <f t="shared" si="437"/>
        <v>00784230872</v>
      </c>
      <c r="D5149" t="str">
        <f t="shared" si="437"/>
        <v>00784230872</v>
      </c>
      <c r="E5149" t="s">
        <v>52</v>
      </c>
      <c r="F5149">
        <v>2014</v>
      </c>
      <c r="G5149">
        <v>6479</v>
      </c>
      <c r="H5149" s="1">
        <v>41892</v>
      </c>
      <c r="I5149" s="1">
        <v>41899</v>
      </c>
      <c r="J5149" s="1">
        <v>41899</v>
      </c>
      <c r="K5149" s="1">
        <v>41989</v>
      </c>
      <c r="N5149" s="5"/>
      <c r="O5149" s="2">
        <v>1268.8</v>
      </c>
      <c r="P5149">
        <v>260</v>
      </c>
      <c r="Q5149" s="2">
        <v>329888</v>
      </c>
      <c r="R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 s="1">
        <v>42382</v>
      </c>
      <c r="AC5149" t="s">
        <v>53</v>
      </c>
      <c r="AD5149" t="s">
        <v>53</v>
      </c>
      <c r="AK5149">
        <v>0</v>
      </c>
      <c r="AU5149" s="6">
        <v>42249</v>
      </c>
      <c r="AV5149" s="6">
        <v>42249</v>
      </c>
      <c r="AW5149" t="s">
        <v>54</v>
      </c>
      <c r="AX5149" t="str">
        <f t="shared" si="434"/>
        <v>FOR</v>
      </c>
      <c r="AY5149" t="s">
        <v>55</v>
      </c>
    </row>
    <row r="5150" spans="1:51" hidden="1">
      <c r="A5150">
        <v>102094</v>
      </c>
      <c r="B5150" t="s">
        <v>947</v>
      </c>
      <c r="C5150" t="str">
        <f t="shared" si="437"/>
        <v>00784230872</v>
      </c>
      <c r="D5150" t="str">
        <f t="shared" si="437"/>
        <v>00784230872</v>
      </c>
      <c r="E5150" t="s">
        <v>52</v>
      </c>
      <c r="F5150">
        <v>2014</v>
      </c>
      <c r="G5150">
        <v>7071</v>
      </c>
      <c r="H5150" s="1">
        <v>41912</v>
      </c>
      <c r="I5150" s="1">
        <v>41920</v>
      </c>
      <c r="J5150" s="1">
        <v>41920</v>
      </c>
      <c r="K5150" s="1">
        <v>42010</v>
      </c>
      <c r="N5150" s="5"/>
      <c r="O5150">
        <v>173.24</v>
      </c>
      <c r="P5150">
        <v>239</v>
      </c>
      <c r="Q5150" s="2">
        <v>41404.36</v>
      </c>
      <c r="R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 s="1">
        <v>42382</v>
      </c>
      <c r="AC5150" t="s">
        <v>53</v>
      </c>
      <c r="AD5150" t="s">
        <v>53</v>
      </c>
      <c r="AK5150">
        <v>0</v>
      </c>
      <c r="AU5150" s="6">
        <v>42249</v>
      </c>
      <c r="AV5150" s="6">
        <v>42249</v>
      </c>
      <c r="AW5150" t="s">
        <v>54</v>
      </c>
      <c r="AX5150" t="str">
        <f t="shared" si="434"/>
        <v>FOR</v>
      </c>
      <c r="AY5150" t="s">
        <v>55</v>
      </c>
    </row>
    <row r="5151" spans="1:51">
      <c r="A5151">
        <v>102094</v>
      </c>
      <c r="B5151" t="s">
        <v>947</v>
      </c>
      <c r="C5151" t="str">
        <f t="shared" si="437"/>
        <v>00784230872</v>
      </c>
      <c r="D5151" t="str">
        <f t="shared" si="437"/>
        <v>00784230872</v>
      </c>
      <c r="E5151" t="s">
        <v>52</v>
      </c>
      <c r="F5151">
        <v>2014</v>
      </c>
      <c r="G5151">
        <v>7343</v>
      </c>
      <c r="H5151" s="1">
        <v>41922</v>
      </c>
      <c r="I5151" s="1">
        <v>41932</v>
      </c>
      <c r="J5151" s="1">
        <v>41932</v>
      </c>
      <c r="K5151" s="1">
        <v>41992</v>
      </c>
      <c r="L5151" s="7">
        <v>907.68</v>
      </c>
      <c r="M5151" s="5">
        <v>291</v>
      </c>
      <c r="N5151" s="7">
        <v>264134.88</v>
      </c>
      <c r="O5151">
        <v>907.68</v>
      </c>
      <c r="P5151">
        <v>291</v>
      </c>
      <c r="Q5151" s="2">
        <v>264134.88</v>
      </c>
      <c r="R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 s="1">
        <v>42382</v>
      </c>
      <c r="AC5151" t="s">
        <v>53</v>
      </c>
      <c r="AD5151" t="s">
        <v>53</v>
      </c>
      <c r="AK5151">
        <v>0</v>
      </c>
      <c r="AU5151" s="6">
        <v>42283</v>
      </c>
      <c r="AV5151" s="6">
        <v>42283</v>
      </c>
      <c r="AW5151" t="s">
        <v>54</v>
      </c>
      <c r="AX5151" t="str">
        <f t="shared" si="434"/>
        <v>FOR</v>
      </c>
      <c r="AY5151" t="s">
        <v>55</v>
      </c>
    </row>
    <row r="5152" spans="1:51">
      <c r="A5152">
        <v>102094</v>
      </c>
      <c r="B5152" t="s">
        <v>947</v>
      </c>
      <c r="C5152" t="str">
        <f t="shared" si="437"/>
        <v>00784230872</v>
      </c>
      <c r="D5152" t="str">
        <f t="shared" si="437"/>
        <v>00784230872</v>
      </c>
      <c r="E5152" t="s">
        <v>52</v>
      </c>
      <c r="F5152">
        <v>2014</v>
      </c>
      <c r="G5152">
        <v>8291</v>
      </c>
      <c r="H5152" s="1">
        <v>41953</v>
      </c>
      <c r="I5152" s="1">
        <v>41964</v>
      </c>
      <c r="J5152" s="1">
        <v>41964</v>
      </c>
      <c r="K5152" s="1">
        <v>42024</v>
      </c>
      <c r="L5152" s="7">
        <v>951.6</v>
      </c>
      <c r="M5152" s="5">
        <v>259</v>
      </c>
      <c r="N5152" s="7">
        <v>246464.4</v>
      </c>
      <c r="O5152">
        <v>951.6</v>
      </c>
      <c r="P5152">
        <v>259</v>
      </c>
      <c r="Q5152" s="2">
        <v>246464.4</v>
      </c>
      <c r="R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 s="1">
        <v>42382</v>
      </c>
      <c r="AC5152" t="s">
        <v>53</v>
      </c>
      <c r="AD5152" t="s">
        <v>53</v>
      </c>
      <c r="AK5152">
        <v>0</v>
      </c>
      <c r="AU5152" s="6">
        <v>42283</v>
      </c>
      <c r="AV5152" s="6">
        <v>42283</v>
      </c>
      <c r="AW5152" t="s">
        <v>54</v>
      </c>
      <c r="AX5152" t="str">
        <f t="shared" si="434"/>
        <v>FOR</v>
      </c>
      <c r="AY5152" t="s">
        <v>55</v>
      </c>
    </row>
    <row r="5153" spans="1:51">
      <c r="A5153">
        <v>102094</v>
      </c>
      <c r="B5153" t="s">
        <v>947</v>
      </c>
      <c r="C5153" t="str">
        <f t="shared" si="437"/>
        <v>00784230872</v>
      </c>
      <c r="D5153" t="str">
        <f t="shared" si="437"/>
        <v>00784230872</v>
      </c>
      <c r="E5153" t="s">
        <v>52</v>
      </c>
      <c r="F5153">
        <v>2014</v>
      </c>
      <c r="G5153">
        <v>8498</v>
      </c>
      <c r="H5153" s="1">
        <v>41963</v>
      </c>
      <c r="I5153" s="1">
        <v>41971</v>
      </c>
      <c r="J5153" s="1">
        <v>41971</v>
      </c>
      <c r="K5153" s="1">
        <v>42030</v>
      </c>
      <c r="L5153" s="7">
        <v>1361.52</v>
      </c>
      <c r="M5153" s="5">
        <v>253</v>
      </c>
      <c r="N5153" s="7">
        <v>344464.56</v>
      </c>
      <c r="O5153" s="2">
        <v>1361.52</v>
      </c>
      <c r="P5153">
        <v>253</v>
      </c>
      <c r="Q5153" s="2">
        <v>344464.56</v>
      </c>
      <c r="R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 s="1">
        <v>42382</v>
      </c>
      <c r="AC5153" t="s">
        <v>53</v>
      </c>
      <c r="AD5153" t="s">
        <v>53</v>
      </c>
      <c r="AK5153">
        <v>0</v>
      </c>
      <c r="AU5153" s="6">
        <v>42283</v>
      </c>
      <c r="AV5153" s="6">
        <v>42283</v>
      </c>
      <c r="AW5153" t="s">
        <v>54</v>
      </c>
      <c r="AX5153" t="str">
        <f t="shared" si="434"/>
        <v>FOR</v>
      </c>
      <c r="AY5153" t="s">
        <v>55</v>
      </c>
    </row>
    <row r="5154" spans="1:51">
      <c r="A5154">
        <v>102094</v>
      </c>
      <c r="B5154" t="s">
        <v>947</v>
      </c>
      <c r="C5154" t="str">
        <f t="shared" si="437"/>
        <v>00784230872</v>
      </c>
      <c r="D5154" t="str">
        <f t="shared" si="437"/>
        <v>00784230872</v>
      </c>
      <c r="E5154" t="s">
        <v>52</v>
      </c>
      <c r="F5154">
        <v>2014</v>
      </c>
      <c r="G5154">
        <v>8499</v>
      </c>
      <c r="H5154" s="1">
        <v>41963</v>
      </c>
      <c r="I5154" s="1">
        <v>41971</v>
      </c>
      <c r="J5154" s="1">
        <v>41971</v>
      </c>
      <c r="K5154" s="1">
        <v>42030</v>
      </c>
      <c r="L5154" s="7">
        <v>277.18</v>
      </c>
      <c r="M5154" s="5">
        <v>253</v>
      </c>
      <c r="N5154" s="7">
        <v>70126.539999999994</v>
      </c>
      <c r="O5154">
        <v>277.18</v>
      </c>
      <c r="P5154">
        <v>253</v>
      </c>
      <c r="Q5154" s="2">
        <v>70126.539999999994</v>
      </c>
      <c r="R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 s="1">
        <v>42382</v>
      </c>
      <c r="AC5154" t="s">
        <v>53</v>
      </c>
      <c r="AD5154" t="s">
        <v>53</v>
      </c>
      <c r="AK5154">
        <v>0</v>
      </c>
      <c r="AU5154" s="6">
        <v>42283</v>
      </c>
      <c r="AV5154" s="6">
        <v>42283</v>
      </c>
      <c r="AW5154" t="s">
        <v>54</v>
      </c>
      <c r="AX5154" t="str">
        <f t="shared" si="434"/>
        <v>FOR</v>
      </c>
      <c r="AY5154" t="s">
        <v>55</v>
      </c>
    </row>
    <row r="5155" spans="1:51">
      <c r="A5155">
        <v>102094</v>
      </c>
      <c r="B5155" t="s">
        <v>947</v>
      </c>
      <c r="C5155" t="str">
        <f t="shared" si="437"/>
        <v>00784230872</v>
      </c>
      <c r="D5155" t="str">
        <f t="shared" si="437"/>
        <v>00784230872</v>
      </c>
      <c r="E5155" t="s">
        <v>52</v>
      </c>
      <c r="F5155">
        <v>2015</v>
      </c>
      <c r="G5155">
        <v>339</v>
      </c>
      <c r="H5155" s="1">
        <v>42034</v>
      </c>
      <c r="I5155" s="1">
        <v>42040</v>
      </c>
      <c r="J5155" s="1">
        <v>42040</v>
      </c>
      <c r="K5155" s="1">
        <v>42100</v>
      </c>
      <c r="L5155" s="7">
        <v>284</v>
      </c>
      <c r="M5155" s="5">
        <v>255</v>
      </c>
      <c r="N5155" s="7">
        <v>72420</v>
      </c>
      <c r="O5155">
        <v>284</v>
      </c>
      <c r="P5155">
        <v>255</v>
      </c>
      <c r="Q5155" s="2">
        <v>72420</v>
      </c>
      <c r="R5155">
        <v>62.48</v>
      </c>
      <c r="V5155">
        <v>0</v>
      </c>
      <c r="W5155">
        <v>0</v>
      </c>
      <c r="X5155">
        <v>0</v>
      </c>
      <c r="Y5155">
        <v>346.48</v>
      </c>
      <c r="Z5155">
        <v>346.48</v>
      </c>
      <c r="AA5155">
        <v>346.48</v>
      </c>
      <c r="AB5155" s="1">
        <v>42382</v>
      </c>
      <c r="AC5155" t="s">
        <v>53</v>
      </c>
      <c r="AD5155" t="s">
        <v>53</v>
      </c>
      <c r="AK5155">
        <v>62.48</v>
      </c>
      <c r="AU5155" s="6">
        <v>42355</v>
      </c>
      <c r="AV5155" s="6">
        <v>42355</v>
      </c>
      <c r="AW5155" t="s">
        <v>54</v>
      </c>
      <c r="AX5155" t="str">
        <f t="shared" si="434"/>
        <v>FOR</v>
      </c>
      <c r="AY5155" t="s">
        <v>55</v>
      </c>
    </row>
    <row r="5156" spans="1:51">
      <c r="A5156">
        <v>102094</v>
      </c>
      <c r="B5156" t="s">
        <v>947</v>
      </c>
      <c r="C5156" t="str">
        <f t="shared" si="437"/>
        <v>00784230872</v>
      </c>
      <c r="D5156" t="str">
        <f t="shared" si="437"/>
        <v>00784230872</v>
      </c>
      <c r="E5156" t="s">
        <v>52</v>
      </c>
      <c r="F5156">
        <v>2015</v>
      </c>
      <c r="G5156">
        <v>340</v>
      </c>
      <c r="H5156" s="1">
        <v>42034</v>
      </c>
      <c r="I5156" s="1">
        <v>42040</v>
      </c>
      <c r="J5156" s="1">
        <v>42040</v>
      </c>
      <c r="K5156" s="1">
        <v>42100</v>
      </c>
      <c r="L5156" s="7">
        <v>780</v>
      </c>
      <c r="M5156" s="5">
        <v>255</v>
      </c>
      <c r="N5156" s="7">
        <v>198900</v>
      </c>
      <c r="O5156">
        <v>780</v>
      </c>
      <c r="P5156">
        <v>255</v>
      </c>
      <c r="Q5156" s="2">
        <v>198900</v>
      </c>
      <c r="R5156">
        <v>171.6</v>
      </c>
      <c r="V5156">
        <v>0</v>
      </c>
      <c r="W5156">
        <v>0</v>
      </c>
      <c r="X5156">
        <v>0</v>
      </c>
      <c r="Y5156">
        <v>951.6</v>
      </c>
      <c r="Z5156">
        <v>951.6</v>
      </c>
      <c r="AA5156">
        <v>951.6</v>
      </c>
      <c r="AB5156" s="1">
        <v>42382</v>
      </c>
      <c r="AC5156" t="s">
        <v>53</v>
      </c>
      <c r="AD5156" t="s">
        <v>53</v>
      </c>
      <c r="AK5156">
        <v>171.6</v>
      </c>
      <c r="AU5156" s="6">
        <v>42355</v>
      </c>
      <c r="AV5156" s="6">
        <v>42355</v>
      </c>
      <c r="AW5156" t="s">
        <v>54</v>
      </c>
      <c r="AX5156" t="str">
        <f t="shared" si="434"/>
        <v>FOR</v>
      </c>
      <c r="AY5156" t="s">
        <v>55</v>
      </c>
    </row>
    <row r="5157" spans="1:51" hidden="1">
      <c r="A5157">
        <v>102154</v>
      </c>
      <c r="B5157" t="s">
        <v>948</v>
      </c>
      <c r="C5157" t="str">
        <f t="shared" ref="C5157:D5170" si="438">"03222390159"</f>
        <v>03222390159</v>
      </c>
      <c r="D5157" t="str">
        <f t="shared" si="438"/>
        <v>03222390159</v>
      </c>
      <c r="E5157" t="s">
        <v>52</v>
      </c>
      <c r="F5157">
        <v>2013</v>
      </c>
      <c r="G5157">
        <v>13038872</v>
      </c>
      <c r="H5157" s="1">
        <v>41639</v>
      </c>
      <c r="I5157" s="1">
        <v>41666</v>
      </c>
      <c r="J5157" s="1">
        <v>41666</v>
      </c>
      <c r="K5157" s="1">
        <v>41756</v>
      </c>
      <c r="N5157" s="5"/>
      <c r="O5157" s="2">
        <v>3581.62</v>
      </c>
      <c r="P5157">
        <v>263</v>
      </c>
      <c r="Q5157" s="2">
        <v>941966.06</v>
      </c>
      <c r="R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 s="1">
        <v>42382</v>
      </c>
      <c r="AC5157" t="s">
        <v>53</v>
      </c>
      <c r="AD5157" t="s">
        <v>53</v>
      </c>
      <c r="AK5157">
        <v>0</v>
      </c>
      <c r="AU5157" s="6">
        <v>42019</v>
      </c>
      <c r="AV5157" s="6">
        <v>42019</v>
      </c>
      <c r="AW5157" t="s">
        <v>54</v>
      </c>
      <c r="AX5157" t="str">
        <f t="shared" si="434"/>
        <v>FOR</v>
      </c>
      <c r="AY5157" t="s">
        <v>55</v>
      </c>
    </row>
    <row r="5158" spans="1:51" hidden="1">
      <c r="A5158">
        <v>102154</v>
      </c>
      <c r="B5158" t="s">
        <v>948</v>
      </c>
      <c r="C5158" t="str">
        <f t="shared" si="438"/>
        <v>03222390159</v>
      </c>
      <c r="D5158" t="str">
        <f t="shared" si="438"/>
        <v>03222390159</v>
      </c>
      <c r="E5158" t="s">
        <v>52</v>
      </c>
      <c r="F5158">
        <v>2013</v>
      </c>
      <c r="G5158" t="s">
        <v>949</v>
      </c>
      <c r="H5158" s="1">
        <v>41470</v>
      </c>
      <c r="I5158" s="1">
        <v>41512</v>
      </c>
      <c r="J5158" s="1">
        <v>41512</v>
      </c>
      <c r="K5158" s="1">
        <v>41602</v>
      </c>
      <c r="N5158" s="5"/>
      <c r="O5158">
        <v>124.39</v>
      </c>
      <c r="P5158">
        <v>438</v>
      </c>
      <c r="Q5158" s="2">
        <v>54482.82</v>
      </c>
      <c r="R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 s="1">
        <v>42382</v>
      </c>
      <c r="AC5158" t="s">
        <v>53</v>
      </c>
      <c r="AD5158" t="s">
        <v>53</v>
      </c>
      <c r="AK5158">
        <v>0</v>
      </c>
      <c r="AU5158" s="6">
        <v>42040</v>
      </c>
      <c r="AV5158" s="6">
        <v>42040</v>
      </c>
      <c r="AW5158" t="s">
        <v>54</v>
      </c>
      <c r="AX5158" t="str">
        <f t="shared" si="434"/>
        <v>FOR</v>
      </c>
      <c r="AY5158" t="s">
        <v>55</v>
      </c>
    </row>
    <row r="5159" spans="1:51" hidden="1">
      <c r="A5159">
        <v>102154</v>
      </c>
      <c r="B5159" t="s">
        <v>948</v>
      </c>
      <c r="C5159" t="str">
        <f t="shared" si="438"/>
        <v>03222390159</v>
      </c>
      <c r="D5159" t="str">
        <f t="shared" si="438"/>
        <v>03222390159</v>
      </c>
      <c r="E5159" t="s">
        <v>52</v>
      </c>
      <c r="F5159">
        <v>2014</v>
      </c>
      <c r="G5159">
        <v>14006123</v>
      </c>
      <c r="H5159" s="1">
        <v>41698</v>
      </c>
      <c r="I5159" s="1">
        <v>41722</v>
      </c>
      <c r="J5159" s="1">
        <v>41722</v>
      </c>
      <c r="K5159" s="1">
        <v>41812</v>
      </c>
      <c r="N5159" s="5"/>
      <c r="O5159" s="2">
        <v>1692.63</v>
      </c>
      <c r="P5159">
        <v>225</v>
      </c>
      <c r="Q5159" s="2">
        <v>380841.75</v>
      </c>
      <c r="R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 s="1">
        <v>42382</v>
      </c>
      <c r="AC5159" t="s">
        <v>53</v>
      </c>
      <c r="AD5159" t="s">
        <v>53</v>
      </c>
      <c r="AK5159">
        <v>0</v>
      </c>
      <c r="AU5159" s="6">
        <v>42037</v>
      </c>
      <c r="AV5159" s="6">
        <v>42037</v>
      </c>
      <c r="AW5159" t="s">
        <v>54</v>
      </c>
      <c r="AX5159" t="str">
        <f t="shared" si="434"/>
        <v>FOR</v>
      </c>
      <c r="AY5159" t="s">
        <v>55</v>
      </c>
    </row>
    <row r="5160" spans="1:51" hidden="1">
      <c r="A5160">
        <v>102154</v>
      </c>
      <c r="B5160" t="s">
        <v>948</v>
      </c>
      <c r="C5160" t="str">
        <f t="shared" si="438"/>
        <v>03222390159</v>
      </c>
      <c r="D5160" t="str">
        <f t="shared" si="438"/>
        <v>03222390159</v>
      </c>
      <c r="E5160" t="s">
        <v>52</v>
      </c>
      <c r="F5160">
        <v>2014</v>
      </c>
      <c r="G5160">
        <v>14009325</v>
      </c>
      <c r="H5160" s="1">
        <v>41729</v>
      </c>
      <c r="I5160" s="1">
        <v>41751</v>
      </c>
      <c r="J5160" s="1">
        <v>41751</v>
      </c>
      <c r="K5160" s="1">
        <v>41841</v>
      </c>
      <c r="N5160" s="5"/>
      <c r="O5160" s="2">
        <v>3581.62</v>
      </c>
      <c r="P5160">
        <v>198</v>
      </c>
      <c r="Q5160" s="2">
        <v>709160.76</v>
      </c>
      <c r="R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 s="1">
        <v>42382</v>
      </c>
      <c r="AC5160" t="s">
        <v>53</v>
      </c>
      <c r="AD5160" t="s">
        <v>53</v>
      </c>
      <c r="AK5160">
        <v>0</v>
      </c>
      <c r="AU5160" s="6">
        <v>42039</v>
      </c>
      <c r="AV5160" s="6">
        <v>42039</v>
      </c>
      <c r="AW5160" t="s">
        <v>54</v>
      </c>
      <c r="AX5160" t="str">
        <f t="shared" si="434"/>
        <v>FOR</v>
      </c>
      <c r="AY5160" t="s">
        <v>55</v>
      </c>
    </row>
    <row r="5161" spans="1:51" hidden="1">
      <c r="A5161">
        <v>102154</v>
      </c>
      <c r="B5161" t="s">
        <v>948</v>
      </c>
      <c r="C5161" t="str">
        <f t="shared" si="438"/>
        <v>03222390159</v>
      </c>
      <c r="D5161" t="str">
        <f t="shared" si="438"/>
        <v>03222390159</v>
      </c>
      <c r="E5161" t="s">
        <v>52</v>
      </c>
      <c r="F5161">
        <v>2014</v>
      </c>
      <c r="G5161">
        <v>14013640</v>
      </c>
      <c r="H5161" s="1">
        <v>41771</v>
      </c>
      <c r="I5161" s="1">
        <v>41796</v>
      </c>
      <c r="J5161" s="1">
        <v>41796</v>
      </c>
      <c r="K5161" s="1">
        <v>41886</v>
      </c>
      <c r="N5161" s="5"/>
      <c r="O5161" s="2">
        <v>1401.78</v>
      </c>
      <c r="P5161">
        <v>245</v>
      </c>
      <c r="Q5161" s="2">
        <v>343436.1</v>
      </c>
      <c r="R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 s="1">
        <v>42382</v>
      </c>
      <c r="AC5161" t="s">
        <v>53</v>
      </c>
      <c r="AD5161" t="s">
        <v>53</v>
      </c>
      <c r="AK5161">
        <v>0</v>
      </c>
      <c r="AU5161" s="6">
        <v>42131</v>
      </c>
      <c r="AV5161" s="6">
        <v>42131</v>
      </c>
      <c r="AW5161" t="s">
        <v>54</v>
      </c>
      <c r="AX5161" t="str">
        <f t="shared" si="434"/>
        <v>FOR</v>
      </c>
      <c r="AY5161" t="s">
        <v>55</v>
      </c>
    </row>
    <row r="5162" spans="1:51" hidden="1">
      <c r="A5162">
        <v>102154</v>
      </c>
      <c r="B5162" t="s">
        <v>948</v>
      </c>
      <c r="C5162" t="str">
        <f t="shared" si="438"/>
        <v>03222390159</v>
      </c>
      <c r="D5162" t="str">
        <f t="shared" si="438"/>
        <v>03222390159</v>
      </c>
      <c r="E5162" t="s">
        <v>52</v>
      </c>
      <c r="F5162">
        <v>2014</v>
      </c>
      <c r="G5162">
        <v>14019155</v>
      </c>
      <c r="H5162" s="1">
        <v>41820</v>
      </c>
      <c r="I5162" s="1">
        <v>41837</v>
      </c>
      <c r="J5162" s="1">
        <v>41837</v>
      </c>
      <c r="K5162" s="1">
        <v>41927</v>
      </c>
      <c r="N5162" s="5"/>
      <c r="O5162" s="2">
        <v>3581.62</v>
      </c>
      <c r="P5162">
        <v>204</v>
      </c>
      <c r="Q5162" s="2">
        <v>730650.48</v>
      </c>
      <c r="R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 s="1">
        <v>42382</v>
      </c>
      <c r="AC5162" t="s">
        <v>53</v>
      </c>
      <c r="AD5162" t="s">
        <v>53</v>
      </c>
      <c r="AK5162">
        <v>0</v>
      </c>
      <c r="AU5162" s="6">
        <v>42131</v>
      </c>
      <c r="AV5162" s="6">
        <v>42131</v>
      </c>
      <c r="AW5162" t="s">
        <v>54</v>
      </c>
      <c r="AX5162" t="str">
        <f t="shared" si="434"/>
        <v>FOR</v>
      </c>
      <c r="AY5162" t="s">
        <v>55</v>
      </c>
    </row>
    <row r="5163" spans="1:51" hidden="1">
      <c r="A5163">
        <v>102154</v>
      </c>
      <c r="B5163" t="s">
        <v>948</v>
      </c>
      <c r="C5163" t="str">
        <f t="shared" si="438"/>
        <v>03222390159</v>
      </c>
      <c r="D5163" t="str">
        <f t="shared" si="438"/>
        <v>03222390159</v>
      </c>
      <c r="E5163" t="s">
        <v>52</v>
      </c>
      <c r="F5163">
        <v>2014</v>
      </c>
      <c r="G5163">
        <v>14022293</v>
      </c>
      <c r="H5163" s="1">
        <v>41836</v>
      </c>
      <c r="I5163" s="1">
        <v>41872</v>
      </c>
      <c r="J5163" s="1">
        <v>41872</v>
      </c>
      <c r="K5163" s="1">
        <v>41962</v>
      </c>
      <c r="N5163" s="5"/>
      <c r="O5163">
        <v>601.46</v>
      </c>
      <c r="P5163">
        <v>222</v>
      </c>
      <c r="Q5163" s="2">
        <v>133524.12</v>
      </c>
      <c r="R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 s="1">
        <v>42382</v>
      </c>
      <c r="AC5163" t="s">
        <v>53</v>
      </c>
      <c r="AD5163" t="s">
        <v>53</v>
      </c>
      <c r="AK5163">
        <v>0</v>
      </c>
      <c r="AU5163" s="6">
        <v>42184</v>
      </c>
      <c r="AV5163" s="6">
        <v>42184</v>
      </c>
      <c r="AW5163" t="s">
        <v>54</v>
      </c>
      <c r="AX5163" t="str">
        <f t="shared" si="434"/>
        <v>FOR</v>
      </c>
      <c r="AY5163" t="s">
        <v>55</v>
      </c>
    </row>
    <row r="5164" spans="1:51" hidden="1">
      <c r="A5164">
        <v>102154</v>
      </c>
      <c r="B5164" t="s">
        <v>948</v>
      </c>
      <c r="C5164" t="str">
        <f t="shared" si="438"/>
        <v>03222390159</v>
      </c>
      <c r="D5164" t="str">
        <f t="shared" si="438"/>
        <v>03222390159</v>
      </c>
      <c r="E5164" t="s">
        <v>52</v>
      </c>
      <c r="F5164">
        <v>2014</v>
      </c>
      <c r="G5164">
        <v>14023271</v>
      </c>
      <c r="H5164" s="1">
        <v>41844</v>
      </c>
      <c r="I5164" s="1">
        <v>41878</v>
      </c>
      <c r="J5164" s="1">
        <v>41878</v>
      </c>
      <c r="K5164" s="1">
        <v>41968</v>
      </c>
      <c r="N5164" s="5"/>
      <c r="O5164" s="2">
        <v>1857.08</v>
      </c>
      <c r="P5164">
        <v>216</v>
      </c>
      <c r="Q5164" s="2">
        <v>401129.28</v>
      </c>
      <c r="R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 s="1">
        <v>42382</v>
      </c>
      <c r="AC5164" t="s">
        <v>53</v>
      </c>
      <c r="AD5164" t="s">
        <v>53</v>
      </c>
      <c r="AK5164">
        <v>0</v>
      </c>
      <c r="AU5164" s="6">
        <v>42184</v>
      </c>
      <c r="AV5164" s="6">
        <v>42184</v>
      </c>
      <c r="AW5164" t="s">
        <v>54</v>
      </c>
      <c r="AX5164" t="str">
        <f t="shared" si="434"/>
        <v>FOR</v>
      </c>
      <c r="AY5164" t="s">
        <v>55</v>
      </c>
    </row>
    <row r="5165" spans="1:51" hidden="1">
      <c r="A5165">
        <v>102154</v>
      </c>
      <c r="B5165" t="s">
        <v>948</v>
      </c>
      <c r="C5165" t="str">
        <f t="shared" si="438"/>
        <v>03222390159</v>
      </c>
      <c r="D5165" t="str">
        <f t="shared" si="438"/>
        <v>03222390159</v>
      </c>
      <c r="E5165" t="s">
        <v>52</v>
      </c>
      <c r="F5165">
        <v>2014</v>
      </c>
      <c r="G5165">
        <v>14028812</v>
      </c>
      <c r="H5165" s="1">
        <v>41912</v>
      </c>
      <c r="I5165" s="1">
        <v>41932</v>
      </c>
      <c r="J5165" s="1">
        <v>41932</v>
      </c>
      <c r="K5165" s="1">
        <v>41992</v>
      </c>
      <c r="N5165" s="5"/>
      <c r="O5165" s="2">
        <v>3581.62</v>
      </c>
      <c r="P5165">
        <v>257</v>
      </c>
      <c r="Q5165" s="2">
        <v>920476.34</v>
      </c>
      <c r="R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 s="1">
        <v>42382</v>
      </c>
      <c r="AC5165" t="s">
        <v>53</v>
      </c>
      <c r="AD5165" t="s">
        <v>53</v>
      </c>
      <c r="AK5165">
        <v>0</v>
      </c>
      <c r="AU5165" s="6">
        <v>42249</v>
      </c>
      <c r="AV5165" s="6">
        <v>42249</v>
      </c>
      <c r="AW5165" t="s">
        <v>54</v>
      </c>
      <c r="AX5165" t="str">
        <f t="shared" si="434"/>
        <v>FOR</v>
      </c>
      <c r="AY5165" t="s">
        <v>55</v>
      </c>
    </row>
    <row r="5166" spans="1:51">
      <c r="A5166">
        <v>102154</v>
      </c>
      <c r="B5166" t="s">
        <v>948</v>
      </c>
      <c r="C5166" t="str">
        <f t="shared" si="438"/>
        <v>03222390159</v>
      </c>
      <c r="D5166" t="str">
        <f t="shared" si="438"/>
        <v>03222390159</v>
      </c>
      <c r="E5166" t="s">
        <v>52</v>
      </c>
      <c r="F5166">
        <v>2014</v>
      </c>
      <c r="G5166">
        <v>14030902</v>
      </c>
      <c r="H5166" s="1">
        <v>41928</v>
      </c>
      <c r="I5166" s="1">
        <v>41950</v>
      </c>
      <c r="J5166" s="1">
        <v>41950</v>
      </c>
      <c r="K5166" s="1">
        <v>42010</v>
      </c>
      <c r="L5166" s="7">
        <v>333.06</v>
      </c>
      <c r="M5166" s="5">
        <v>273</v>
      </c>
      <c r="N5166" s="7">
        <v>90925.38</v>
      </c>
      <c r="O5166">
        <v>333.06</v>
      </c>
      <c r="P5166">
        <v>273</v>
      </c>
      <c r="Q5166" s="2">
        <v>90925.38</v>
      </c>
      <c r="R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 s="1">
        <v>42382</v>
      </c>
      <c r="AC5166" t="s">
        <v>53</v>
      </c>
      <c r="AD5166" t="s">
        <v>53</v>
      </c>
      <c r="AK5166">
        <v>0</v>
      </c>
      <c r="AU5166" s="6">
        <v>42283</v>
      </c>
      <c r="AV5166" s="6">
        <v>42283</v>
      </c>
      <c r="AW5166" t="s">
        <v>54</v>
      </c>
      <c r="AX5166" t="str">
        <f t="shared" si="434"/>
        <v>FOR</v>
      </c>
      <c r="AY5166" t="s">
        <v>55</v>
      </c>
    </row>
    <row r="5167" spans="1:51">
      <c r="A5167">
        <v>102154</v>
      </c>
      <c r="B5167" t="s">
        <v>948</v>
      </c>
      <c r="C5167" t="str">
        <f t="shared" si="438"/>
        <v>03222390159</v>
      </c>
      <c r="D5167" t="str">
        <f t="shared" si="438"/>
        <v>03222390159</v>
      </c>
      <c r="E5167" t="s">
        <v>52</v>
      </c>
      <c r="F5167">
        <v>2014</v>
      </c>
      <c r="G5167">
        <v>14033963</v>
      </c>
      <c r="H5167" s="1">
        <v>41956</v>
      </c>
      <c r="I5167" s="1">
        <v>41988</v>
      </c>
      <c r="J5167" s="1">
        <v>41988</v>
      </c>
      <c r="K5167" s="1">
        <v>42048</v>
      </c>
      <c r="L5167" s="7">
        <v>3391.84</v>
      </c>
      <c r="M5167" s="5">
        <v>235</v>
      </c>
      <c r="N5167" s="7">
        <v>797082.4</v>
      </c>
      <c r="O5167" s="2">
        <v>3391.84</v>
      </c>
      <c r="P5167">
        <v>235</v>
      </c>
      <c r="Q5167" s="2">
        <v>797082.4</v>
      </c>
      <c r="R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 s="1">
        <v>42382</v>
      </c>
      <c r="AC5167" t="s">
        <v>53</v>
      </c>
      <c r="AD5167" t="s">
        <v>53</v>
      </c>
      <c r="AK5167">
        <v>0</v>
      </c>
      <c r="AU5167" s="6">
        <v>42283</v>
      </c>
      <c r="AV5167" s="6">
        <v>42283</v>
      </c>
      <c r="AW5167" t="s">
        <v>54</v>
      </c>
      <c r="AX5167" t="str">
        <f t="shared" si="434"/>
        <v>FOR</v>
      </c>
      <c r="AY5167" t="s">
        <v>55</v>
      </c>
    </row>
    <row r="5168" spans="1:51">
      <c r="A5168">
        <v>102154</v>
      </c>
      <c r="B5168" t="s">
        <v>948</v>
      </c>
      <c r="C5168" t="str">
        <f t="shared" si="438"/>
        <v>03222390159</v>
      </c>
      <c r="D5168" t="str">
        <f t="shared" si="438"/>
        <v>03222390159</v>
      </c>
      <c r="E5168" t="s">
        <v>52</v>
      </c>
      <c r="F5168">
        <v>2014</v>
      </c>
      <c r="G5168">
        <v>14038228</v>
      </c>
      <c r="H5168" s="1">
        <v>42004</v>
      </c>
      <c r="I5168" s="1">
        <v>42019</v>
      </c>
      <c r="J5168" s="1">
        <v>42019</v>
      </c>
      <c r="K5168" s="1">
        <v>42079</v>
      </c>
      <c r="L5168" s="7">
        <v>3581.62</v>
      </c>
      <c r="M5168" s="5">
        <v>221</v>
      </c>
      <c r="N5168" s="7">
        <v>791538.02</v>
      </c>
      <c r="O5168" s="2">
        <v>3581.62</v>
      </c>
      <c r="P5168">
        <v>221</v>
      </c>
      <c r="Q5168" s="2">
        <v>791538.02</v>
      </c>
      <c r="R5168">
        <v>0</v>
      </c>
      <c r="V5168">
        <v>0</v>
      </c>
      <c r="W5168">
        <v>0</v>
      </c>
      <c r="X5168">
        <v>0</v>
      </c>
      <c r="Y5168">
        <v>0</v>
      </c>
      <c r="Z5168" s="2">
        <v>3581.62</v>
      </c>
      <c r="AA5168">
        <v>0</v>
      </c>
      <c r="AB5168" s="1">
        <v>42382</v>
      </c>
      <c r="AC5168" t="s">
        <v>53</v>
      </c>
      <c r="AD5168" t="s">
        <v>53</v>
      </c>
      <c r="AK5168">
        <v>0</v>
      </c>
      <c r="AU5168" s="6">
        <v>42300</v>
      </c>
      <c r="AV5168" s="6">
        <v>42300</v>
      </c>
      <c r="AW5168" t="s">
        <v>54</v>
      </c>
      <c r="AX5168" t="str">
        <f t="shared" si="434"/>
        <v>FOR</v>
      </c>
      <c r="AY5168" t="s">
        <v>55</v>
      </c>
    </row>
    <row r="5169" spans="1:51" hidden="1">
      <c r="A5169">
        <v>102154</v>
      </c>
      <c r="B5169" t="s">
        <v>948</v>
      </c>
      <c r="C5169" t="str">
        <f t="shared" si="438"/>
        <v>03222390159</v>
      </c>
      <c r="D5169" t="str">
        <f t="shared" si="438"/>
        <v>03222390159</v>
      </c>
      <c r="E5169" t="s">
        <v>52</v>
      </c>
      <c r="F5169">
        <v>2014</v>
      </c>
      <c r="G5169" t="s">
        <v>950</v>
      </c>
      <c r="H5169" s="1">
        <v>41897</v>
      </c>
      <c r="I5169" s="1">
        <v>41920</v>
      </c>
      <c r="J5169" s="1">
        <v>41920</v>
      </c>
      <c r="K5169" s="1">
        <v>42010</v>
      </c>
      <c r="N5169" s="5"/>
      <c r="O5169">
        <v>88.82</v>
      </c>
      <c r="P5169">
        <v>30</v>
      </c>
      <c r="Q5169" s="2">
        <v>2664.6</v>
      </c>
      <c r="R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 s="1">
        <v>42382</v>
      </c>
      <c r="AC5169" t="s">
        <v>53</v>
      </c>
      <c r="AD5169" t="s">
        <v>53</v>
      </c>
      <c r="AK5169">
        <v>0</v>
      </c>
      <c r="AU5169" s="6">
        <v>42040</v>
      </c>
      <c r="AV5169" s="6">
        <v>42040</v>
      </c>
      <c r="AW5169" t="s">
        <v>54</v>
      </c>
      <c r="AX5169" t="str">
        <f t="shared" si="434"/>
        <v>FOR</v>
      </c>
      <c r="AY5169" t="s">
        <v>55</v>
      </c>
    </row>
    <row r="5170" spans="1:51" hidden="1">
      <c r="A5170">
        <v>102154</v>
      </c>
      <c r="B5170" t="s">
        <v>948</v>
      </c>
      <c r="C5170" t="str">
        <f t="shared" si="438"/>
        <v>03222390159</v>
      </c>
      <c r="D5170" t="str">
        <f t="shared" si="438"/>
        <v>03222390159</v>
      </c>
      <c r="E5170" t="s">
        <v>52</v>
      </c>
      <c r="F5170">
        <v>2014</v>
      </c>
      <c r="G5170" t="s">
        <v>951</v>
      </c>
      <c r="H5170" s="1">
        <v>41919</v>
      </c>
      <c r="I5170" s="1">
        <v>41955</v>
      </c>
      <c r="J5170" s="1">
        <v>41955</v>
      </c>
      <c r="K5170" s="1">
        <v>42015</v>
      </c>
      <c r="N5170" s="5"/>
      <c r="O5170">
        <v>24.4</v>
      </c>
      <c r="P5170">
        <v>25</v>
      </c>
      <c r="Q5170">
        <v>610</v>
      </c>
      <c r="R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 s="1">
        <v>42382</v>
      </c>
      <c r="AC5170" t="s">
        <v>53</v>
      </c>
      <c r="AD5170" t="s">
        <v>53</v>
      </c>
      <c r="AK5170">
        <v>0</v>
      </c>
      <c r="AU5170" s="6">
        <v>42040</v>
      </c>
      <c r="AV5170" s="6">
        <v>42040</v>
      </c>
      <c r="AW5170" t="s">
        <v>54</v>
      </c>
      <c r="AX5170" t="str">
        <f t="shared" si="434"/>
        <v>FOR</v>
      </c>
      <c r="AY5170" t="s">
        <v>55</v>
      </c>
    </row>
    <row r="5171" spans="1:51" hidden="1">
      <c r="A5171">
        <v>102175</v>
      </c>
      <c r="B5171" t="s">
        <v>952</v>
      </c>
      <c r="C5171" t="str">
        <f t="shared" ref="C5171:D5173" si="439">"08381910150"</f>
        <v>08381910150</v>
      </c>
      <c r="D5171" t="str">
        <f t="shared" si="439"/>
        <v>08381910150</v>
      </c>
      <c r="E5171" t="s">
        <v>52</v>
      </c>
      <c r="F5171">
        <v>2014</v>
      </c>
      <c r="G5171">
        <v>90002139</v>
      </c>
      <c r="H5171" s="1">
        <v>41808</v>
      </c>
      <c r="I5171" s="1">
        <v>41817</v>
      </c>
      <c r="J5171" s="1">
        <v>41817</v>
      </c>
      <c r="K5171" s="1">
        <v>41907</v>
      </c>
      <c r="N5171" s="5"/>
      <c r="O5171" s="2">
        <v>3034.16</v>
      </c>
      <c r="P5171">
        <v>217</v>
      </c>
      <c r="Q5171" s="2">
        <v>658412.72</v>
      </c>
      <c r="R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 s="1">
        <v>42382</v>
      </c>
      <c r="AC5171" t="s">
        <v>53</v>
      </c>
      <c r="AD5171" t="s">
        <v>53</v>
      </c>
      <c r="AK5171">
        <v>0</v>
      </c>
      <c r="AU5171" s="6">
        <v>42124</v>
      </c>
      <c r="AV5171" s="6">
        <v>42124</v>
      </c>
      <c r="AW5171" t="s">
        <v>54</v>
      </c>
      <c r="AX5171" t="str">
        <f t="shared" si="434"/>
        <v>FOR</v>
      </c>
      <c r="AY5171" t="s">
        <v>55</v>
      </c>
    </row>
    <row r="5172" spans="1:51" hidden="1">
      <c r="A5172">
        <v>102175</v>
      </c>
      <c r="B5172" t="s">
        <v>952</v>
      </c>
      <c r="C5172" t="str">
        <f t="shared" si="439"/>
        <v>08381910150</v>
      </c>
      <c r="D5172" t="str">
        <f t="shared" si="439"/>
        <v>08381910150</v>
      </c>
      <c r="E5172" t="s">
        <v>52</v>
      </c>
      <c r="F5172">
        <v>2014</v>
      </c>
      <c r="G5172">
        <v>90002914</v>
      </c>
      <c r="H5172" s="1">
        <v>41880</v>
      </c>
      <c r="I5172" s="1">
        <v>41891</v>
      </c>
      <c r="J5172" s="1">
        <v>41891</v>
      </c>
      <c r="K5172" s="1">
        <v>41981</v>
      </c>
      <c r="N5172" s="5"/>
      <c r="O5172" s="2">
        <v>23668</v>
      </c>
      <c r="P5172">
        <v>143</v>
      </c>
      <c r="Q5172" s="2">
        <v>3384524</v>
      </c>
      <c r="R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 s="1">
        <v>42382</v>
      </c>
      <c r="AC5172" t="s">
        <v>53</v>
      </c>
      <c r="AD5172" t="s">
        <v>53</v>
      </c>
      <c r="AK5172">
        <v>0</v>
      </c>
      <c r="AU5172" s="6">
        <v>42124</v>
      </c>
      <c r="AV5172" s="6">
        <v>42124</v>
      </c>
      <c r="AW5172" t="s">
        <v>54</v>
      </c>
      <c r="AX5172" t="str">
        <f t="shared" si="434"/>
        <v>FOR</v>
      </c>
      <c r="AY5172" t="s">
        <v>55</v>
      </c>
    </row>
    <row r="5173" spans="1:51" hidden="1">
      <c r="A5173">
        <v>102175</v>
      </c>
      <c r="B5173" t="s">
        <v>952</v>
      </c>
      <c r="C5173" t="str">
        <f t="shared" si="439"/>
        <v>08381910150</v>
      </c>
      <c r="D5173" t="str">
        <f t="shared" si="439"/>
        <v>08381910150</v>
      </c>
      <c r="E5173" t="s">
        <v>52</v>
      </c>
      <c r="F5173">
        <v>2014</v>
      </c>
      <c r="G5173">
        <v>90004478</v>
      </c>
      <c r="H5173" s="1">
        <v>42004</v>
      </c>
      <c r="I5173" s="1">
        <v>42004</v>
      </c>
      <c r="J5173" s="1">
        <v>42004</v>
      </c>
      <c r="K5173" s="1">
        <v>42064</v>
      </c>
      <c r="N5173" s="5"/>
      <c r="O5173" s="2">
        <v>16582.310000000001</v>
      </c>
      <c r="P5173">
        <v>101</v>
      </c>
      <c r="Q5173" s="2">
        <v>1674813.31</v>
      </c>
      <c r="R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 s="1">
        <v>42382</v>
      </c>
      <c r="AC5173" t="s">
        <v>53</v>
      </c>
      <c r="AD5173" t="s">
        <v>53</v>
      </c>
      <c r="AK5173">
        <v>0</v>
      </c>
      <c r="AU5173" s="6">
        <v>42165</v>
      </c>
      <c r="AV5173" s="6">
        <v>42165</v>
      </c>
      <c r="AW5173" t="s">
        <v>54</v>
      </c>
      <c r="AX5173" t="str">
        <f t="shared" si="434"/>
        <v>FOR</v>
      </c>
      <c r="AY5173" t="s">
        <v>55</v>
      </c>
    </row>
    <row r="5174" spans="1:51" hidden="1">
      <c r="A5174">
        <v>102209</v>
      </c>
      <c r="B5174" t="s">
        <v>953</v>
      </c>
      <c r="C5174" t="str">
        <f t="shared" ref="C5174:D5183" si="440">"00934000621"</f>
        <v>00934000621</v>
      </c>
      <c r="D5174" t="str">
        <f t="shared" si="440"/>
        <v>00934000621</v>
      </c>
      <c r="E5174" t="s">
        <v>52</v>
      </c>
      <c r="F5174">
        <v>2014</v>
      </c>
      <c r="G5174">
        <v>70117</v>
      </c>
      <c r="H5174" s="1">
        <v>41953</v>
      </c>
      <c r="I5174" s="1">
        <v>41962</v>
      </c>
      <c r="J5174" s="1">
        <v>41962</v>
      </c>
      <c r="K5174" s="1">
        <v>42022</v>
      </c>
      <c r="N5174" s="5"/>
      <c r="O5174" s="2">
        <v>19455.29</v>
      </c>
      <c r="P5174">
        <v>2</v>
      </c>
      <c r="Q5174" s="2">
        <v>38910.58</v>
      </c>
      <c r="R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 s="1">
        <v>42382</v>
      </c>
      <c r="AC5174" t="s">
        <v>53</v>
      </c>
      <c r="AD5174" t="s">
        <v>53</v>
      </c>
      <c r="AK5174">
        <v>0</v>
      </c>
      <c r="AU5174" s="6">
        <v>42024</v>
      </c>
      <c r="AV5174" s="6">
        <v>42024</v>
      </c>
      <c r="AW5174" t="s">
        <v>54</v>
      </c>
      <c r="AX5174" t="str">
        <f t="shared" si="434"/>
        <v>FOR</v>
      </c>
      <c r="AY5174" t="s">
        <v>55</v>
      </c>
    </row>
    <row r="5175" spans="1:51" hidden="1">
      <c r="A5175">
        <v>102209</v>
      </c>
      <c r="B5175" t="s">
        <v>953</v>
      </c>
      <c r="C5175" t="str">
        <f t="shared" si="440"/>
        <v>00934000621</v>
      </c>
      <c r="D5175" t="str">
        <f t="shared" si="440"/>
        <v>00934000621</v>
      </c>
      <c r="E5175" t="s">
        <v>52</v>
      </c>
      <c r="F5175">
        <v>2014</v>
      </c>
      <c r="G5175">
        <v>74297</v>
      </c>
      <c r="H5175" s="1">
        <v>41974</v>
      </c>
      <c r="I5175" s="1">
        <v>41978</v>
      </c>
      <c r="J5175" s="1">
        <v>41978</v>
      </c>
      <c r="K5175" s="1">
        <v>42038</v>
      </c>
      <c r="N5175" s="5"/>
      <c r="O5175">
        <v>84.06</v>
      </c>
      <c r="P5175">
        <v>-14</v>
      </c>
      <c r="Q5175" s="2">
        <v>-1176.8399999999999</v>
      </c>
      <c r="R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 s="1">
        <v>42382</v>
      </c>
      <c r="AC5175" t="s">
        <v>53</v>
      </c>
      <c r="AD5175" t="s">
        <v>53</v>
      </c>
      <c r="AK5175">
        <v>0</v>
      </c>
      <c r="AU5175" s="6">
        <v>42024</v>
      </c>
      <c r="AV5175" s="6">
        <v>42024</v>
      </c>
      <c r="AW5175" t="s">
        <v>54</v>
      </c>
      <c r="AX5175" t="str">
        <f t="shared" si="434"/>
        <v>FOR</v>
      </c>
      <c r="AY5175" t="s">
        <v>55</v>
      </c>
    </row>
    <row r="5176" spans="1:51" hidden="1">
      <c r="A5176">
        <v>102209</v>
      </c>
      <c r="B5176" t="s">
        <v>953</v>
      </c>
      <c r="C5176" t="str">
        <f t="shared" si="440"/>
        <v>00934000621</v>
      </c>
      <c r="D5176" t="str">
        <f t="shared" si="440"/>
        <v>00934000621</v>
      </c>
      <c r="E5176" t="s">
        <v>52</v>
      </c>
      <c r="F5176">
        <v>2014</v>
      </c>
      <c r="G5176">
        <v>97124</v>
      </c>
      <c r="H5176" s="1">
        <v>41977</v>
      </c>
      <c r="I5176" s="1">
        <v>41985</v>
      </c>
      <c r="J5176" s="1">
        <v>41985</v>
      </c>
      <c r="K5176" s="1">
        <v>42045</v>
      </c>
      <c r="N5176" s="5"/>
      <c r="O5176" s="2">
        <v>26328.39</v>
      </c>
      <c r="P5176">
        <v>-21</v>
      </c>
      <c r="Q5176" s="2">
        <v>-552896.18999999994</v>
      </c>
      <c r="R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 s="1">
        <v>42382</v>
      </c>
      <c r="AC5176" t="s">
        <v>53</v>
      </c>
      <c r="AD5176" t="s">
        <v>53</v>
      </c>
      <c r="AK5176">
        <v>0</v>
      </c>
      <c r="AU5176" s="6">
        <v>42024</v>
      </c>
      <c r="AV5176" s="6">
        <v>42024</v>
      </c>
      <c r="AW5176" t="s">
        <v>54</v>
      </c>
      <c r="AX5176" t="str">
        <f t="shared" si="434"/>
        <v>FOR</v>
      </c>
      <c r="AY5176" t="s">
        <v>55</v>
      </c>
    </row>
    <row r="5177" spans="1:51" hidden="1">
      <c r="A5177">
        <v>102209</v>
      </c>
      <c r="B5177" t="s">
        <v>953</v>
      </c>
      <c r="C5177" t="str">
        <f t="shared" si="440"/>
        <v>00934000621</v>
      </c>
      <c r="D5177" t="str">
        <f t="shared" si="440"/>
        <v>00934000621</v>
      </c>
      <c r="E5177" t="s">
        <v>52</v>
      </c>
      <c r="F5177">
        <v>2014</v>
      </c>
      <c r="G5177">
        <v>97385</v>
      </c>
      <c r="H5177" s="1">
        <v>42004</v>
      </c>
      <c r="I5177" s="1">
        <v>42025</v>
      </c>
      <c r="J5177" s="1">
        <v>42025</v>
      </c>
      <c r="K5177" s="1">
        <v>42085</v>
      </c>
      <c r="N5177" s="5"/>
      <c r="O5177" s="2">
        <v>15543.29</v>
      </c>
      <c r="P5177">
        <v>-44</v>
      </c>
      <c r="Q5177" s="2">
        <v>-683904.76</v>
      </c>
      <c r="R5177">
        <v>0</v>
      </c>
      <c r="V5177">
        <v>0</v>
      </c>
      <c r="W5177">
        <v>0</v>
      </c>
      <c r="X5177">
        <v>0</v>
      </c>
      <c r="Y5177">
        <v>0</v>
      </c>
      <c r="Z5177" s="2">
        <v>15543.29</v>
      </c>
      <c r="AA5177">
        <v>0</v>
      </c>
      <c r="AB5177" s="1">
        <v>42382</v>
      </c>
      <c r="AC5177" t="s">
        <v>53</v>
      </c>
      <c r="AD5177" t="s">
        <v>53</v>
      </c>
      <c r="AK5177">
        <v>0</v>
      </c>
      <c r="AU5177" s="6">
        <v>42041</v>
      </c>
      <c r="AV5177" s="6">
        <v>42041</v>
      </c>
      <c r="AW5177" t="s">
        <v>54</v>
      </c>
      <c r="AX5177" t="str">
        <f t="shared" si="434"/>
        <v>FOR</v>
      </c>
      <c r="AY5177" t="s">
        <v>55</v>
      </c>
    </row>
    <row r="5178" spans="1:51" hidden="1">
      <c r="A5178">
        <v>102209</v>
      </c>
      <c r="B5178" t="s">
        <v>953</v>
      </c>
      <c r="C5178" t="str">
        <f t="shared" si="440"/>
        <v>00934000621</v>
      </c>
      <c r="D5178" t="str">
        <f t="shared" si="440"/>
        <v>00934000621</v>
      </c>
      <c r="E5178" t="s">
        <v>52</v>
      </c>
      <c r="F5178">
        <v>2015</v>
      </c>
      <c r="G5178">
        <v>20150000002800</v>
      </c>
      <c r="H5178" s="1">
        <v>42257</v>
      </c>
      <c r="I5178" s="1">
        <v>42263</v>
      </c>
      <c r="J5178" s="1">
        <v>42263</v>
      </c>
      <c r="K5178" s="1">
        <v>42323</v>
      </c>
      <c r="N5178" s="5"/>
      <c r="O5178">
        <v>104.22</v>
      </c>
      <c r="P5178">
        <v>-48</v>
      </c>
      <c r="Q5178" s="2">
        <v>-5002.5600000000004</v>
      </c>
      <c r="R5178">
        <v>0</v>
      </c>
      <c r="V5178">
        <v>0</v>
      </c>
      <c r="W5178">
        <v>0</v>
      </c>
      <c r="X5178">
        <v>0</v>
      </c>
      <c r="Y5178">
        <v>104.22</v>
      </c>
      <c r="Z5178">
        <v>104.22</v>
      </c>
      <c r="AA5178">
        <v>104.22</v>
      </c>
      <c r="AB5178" s="1">
        <v>42382</v>
      </c>
      <c r="AC5178" t="s">
        <v>53</v>
      </c>
      <c r="AD5178" t="s">
        <v>53</v>
      </c>
      <c r="AK5178">
        <v>0</v>
      </c>
      <c r="AU5178" s="6">
        <v>42275</v>
      </c>
      <c r="AV5178" s="6">
        <v>42275</v>
      </c>
      <c r="AW5178" t="s">
        <v>54</v>
      </c>
      <c r="AX5178" t="str">
        <f t="shared" si="434"/>
        <v>FOR</v>
      </c>
      <c r="AY5178" t="s">
        <v>55</v>
      </c>
    </row>
    <row r="5179" spans="1:51" hidden="1">
      <c r="A5179">
        <v>102209</v>
      </c>
      <c r="B5179" t="s">
        <v>953</v>
      </c>
      <c r="C5179" t="str">
        <f t="shared" si="440"/>
        <v>00934000621</v>
      </c>
      <c r="D5179" t="str">
        <f t="shared" si="440"/>
        <v>00934000621</v>
      </c>
      <c r="E5179" t="s">
        <v>52</v>
      </c>
      <c r="F5179">
        <v>2015</v>
      </c>
      <c r="G5179">
        <v>20150000002900</v>
      </c>
      <c r="H5179" s="1">
        <v>42257</v>
      </c>
      <c r="I5179" s="1">
        <v>42262</v>
      </c>
      <c r="J5179" s="1">
        <v>42261</v>
      </c>
      <c r="K5179" s="1">
        <v>42321</v>
      </c>
      <c r="N5179" s="5"/>
      <c r="O5179" s="2">
        <v>67096.289999999994</v>
      </c>
      <c r="P5179">
        <v>-46</v>
      </c>
      <c r="Q5179" s="2">
        <v>-3086429.34</v>
      </c>
      <c r="R5179">
        <v>0</v>
      </c>
      <c r="V5179">
        <v>0</v>
      </c>
      <c r="W5179">
        <v>0</v>
      </c>
      <c r="X5179">
        <v>0</v>
      </c>
      <c r="Y5179" s="2">
        <v>67096.289999999994</v>
      </c>
      <c r="Z5179" s="2">
        <v>67096.289999999994</v>
      </c>
      <c r="AA5179" s="2">
        <v>67096.289999999994</v>
      </c>
      <c r="AB5179" s="1">
        <v>42382</v>
      </c>
      <c r="AC5179" t="s">
        <v>53</v>
      </c>
      <c r="AD5179" t="s">
        <v>53</v>
      </c>
      <c r="AK5179">
        <v>0</v>
      </c>
      <c r="AU5179" s="6">
        <v>42275</v>
      </c>
      <c r="AV5179" s="6">
        <v>42275</v>
      </c>
      <c r="AW5179" t="s">
        <v>54</v>
      </c>
      <c r="AX5179" t="str">
        <f t="shared" si="434"/>
        <v>FOR</v>
      </c>
      <c r="AY5179" t="s">
        <v>55</v>
      </c>
    </row>
    <row r="5180" spans="1:51" hidden="1">
      <c r="A5180">
        <v>102209</v>
      </c>
      <c r="B5180" t="s">
        <v>953</v>
      </c>
      <c r="C5180" t="str">
        <f t="shared" si="440"/>
        <v>00934000621</v>
      </c>
      <c r="D5180" t="str">
        <f t="shared" si="440"/>
        <v>00934000621</v>
      </c>
      <c r="E5180" t="s">
        <v>52</v>
      </c>
      <c r="F5180">
        <v>2015</v>
      </c>
      <c r="G5180">
        <v>20150000003900</v>
      </c>
      <c r="H5180" s="1">
        <v>42258</v>
      </c>
      <c r="I5180" s="1">
        <v>42263</v>
      </c>
      <c r="J5180" s="1">
        <v>42262</v>
      </c>
      <c r="K5180" s="1">
        <v>42322</v>
      </c>
      <c r="N5180" s="5"/>
      <c r="O5180">
        <v>36.99</v>
      </c>
      <c r="P5180">
        <v>-47</v>
      </c>
      <c r="Q5180" s="2">
        <v>-1738.53</v>
      </c>
      <c r="R5180">
        <v>0</v>
      </c>
      <c r="V5180">
        <v>0</v>
      </c>
      <c r="W5180">
        <v>0</v>
      </c>
      <c r="X5180">
        <v>0</v>
      </c>
      <c r="Y5180">
        <v>36.99</v>
      </c>
      <c r="Z5180">
        <v>36.99</v>
      </c>
      <c r="AA5180">
        <v>36.99</v>
      </c>
      <c r="AB5180" s="1">
        <v>42382</v>
      </c>
      <c r="AC5180" t="s">
        <v>53</v>
      </c>
      <c r="AD5180" t="s">
        <v>53</v>
      </c>
      <c r="AK5180">
        <v>0</v>
      </c>
      <c r="AU5180" s="6">
        <v>42275</v>
      </c>
      <c r="AV5180" s="6">
        <v>42275</v>
      </c>
      <c r="AW5180" t="s">
        <v>54</v>
      </c>
      <c r="AX5180" t="str">
        <f t="shared" si="434"/>
        <v>FOR</v>
      </c>
      <c r="AY5180" t="s">
        <v>55</v>
      </c>
    </row>
    <row r="5181" spans="1:51" hidden="1">
      <c r="A5181">
        <v>102209</v>
      </c>
      <c r="B5181" t="s">
        <v>953</v>
      </c>
      <c r="C5181" t="str">
        <f t="shared" si="440"/>
        <v>00934000621</v>
      </c>
      <c r="D5181" t="str">
        <f t="shared" si="440"/>
        <v>00934000621</v>
      </c>
      <c r="E5181" t="s">
        <v>52</v>
      </c>
      <c r="F5181">
        <v>2015</v>
      </c>
      <c r="G5181">
        <v>20150000004000</v>
      </c>
      <c r="H5181" s="1">
        <v>42258</v>
      </c>
      <c r="I5181" s="1">
        <v>42263</v>
      </c>
      <c r="J5181" s="1">
        <v>42262</v>
      </c>
      <c r="K5181" s="1">
        <v>42322</v>
      </c>
      <c r="N5181" s="5"/>
      <c r="O5181" s="2">
        <v>36077.61</v>
      </c>
      <c r="P5181">
        <v>-47</v>
      </c>
      <c r="Q5181" s="2">
        <v>-1695647.67</v>
      </c>
      <c r="R5181">
        <v>0</v>
      </c>
      <c r="V5181">
        <v>0</v>
      </c>
      <c r="W5181">
        <v>0</v>
      </c>
      <c r="X5181">
        <v>0</v>
      </c>
      <c r="Y5181" s="2">
        <v>36077.61</v>
      </c>
      <c r="Z5181" s="2">
        <v>36077.61</v>
      </c>
      <c r="AA5181" s="2">
        <v>36077.61</v>
      </c>
      <c r="AB5181" s="1">
        <v>42382</v>
      </c>
      <c r="AC5181" t="s">
        <v>53</v>
      </c>
      <c r="AD5181" t="s">
        <v>53</v>
      </c>
      <c r="AK5181">
        <v>0</v>
      </c>
      <c r="AU5181" s="6">
        <v>42275</v>
      </c>
      <c r="AV5181" s="6">
        <v>42275</v>
      </c>
      <c r="AW5181" t="s">
        <v>54</v>
      </c>
      <c r="AX5181" t="str">
        <f t="shared" si="434"/>
        <v>FOR</v>
      </c>
      <c r="AY5181" t="s">
        <v>55</v>
      </c>
    </row>
    <row r="5182" spans="1:51" hidden="1">
      <c r="A5182">
        <v>102209</v>
      </c>
      <c r="B5182" t="s">
        <v>953</v>
      </c>
      <c r="C5182" t="str">
        <f t="shared" si="440"/>
        <v>00934000621</v>
      </c>
      <c r="D5182" t="str">
        <f t="shared" si="440"/>
        <v>00934000621</v>
      </c>
      <c r="E5182" t="s">
        <v>52</v>
      </c>
      <c r="F5182">
        <v>2015</v>
      </c>
      <c r="G5182">
        <v>20150000004800</v>
      </c>
      <c r="H5182" s="1">
        <v>42268</v>
      </c>
      <c r="I5182" s="1">
        <v>42268</v>
      </c>
      <c r="J5182" s="1">
        <v>42268</v>
      </c>
      <c r="K5182" s="1">
        <v>42328</v>
      </c>
      <c r="N5182" s="5"/>
      <c r="O5182">
        <v>978.81</v>
      </c>
      <c r="P5182">
        <v>-53</v>
      </c>
      <c r="Q5182" s="2">
        <v>-51876.93</v>
      </c>
      <c r="R5182">
        <v>0</v>
      </c>
      <c r="V5182">
        <v>0</v>
      </c>
      <c r="W5182">
        <v>0</v>
      </c>
      <c r="X5182">
        <v>0</v>
      </c>
      <c r="Y5182">
        <v>978.81</v>
      </c>
      <c r="Z5182">
        <v>978.81</v>
      </c>
      <c r="AA5182">
        <v>978.81</v>
      </c>
      <c r="AB5182" s="1">
        <v>42382</v>
      </c>
      <c r="AC5182" t="s">
        <v>53</v>
      </c>
      <c r="AD5182" t="s">
        <v>53</v>
      </c>
      <c r="AK5182">
        <v>0</v>
      </c>
      <c r="AU5182" s="6">
        <v>42275</v>
      </c>
      <c r="AV5182" s="6">
        <v>42275</v>
      </c>
      <c r="AW5182" t="s">
        <v>54</v>
      </c>
      <c r="AX5182" t="str">
        <f t="shared" si="434"/>
        <v>FOR</v>
      </c>
      <c r="AY5182" t="s">
        <v>55</v>
      </c>
    </row>
    <row r="5183" spans="1:51" hidden="1">
      <c r="A5183">
        <v>102209</v>
      </c>
      <c r="B5183" t="s">
        <v>953</v>
      </c>
      <c r="C5183" t="str">
        <f t="shared" si="440"/>
        <v>00934000621</v>
      </c>
      <c r="D5183" t="str">
        <f t="shared" si="440"/>
        <v>00934000621</v>
      </c>
      <c r="E5183" t="s">
        <v>52</v>
      </c>
      <c r="F5183">
        <v>2015</v>
      </c>
      <c r="G5183">
        <v>20150000004900</v>
      </c>
      <c r="H5183" s="1">
        <v>42268</v>
      </c>
      <c r="I5183" s="1">
        <v>42268</v>
      </c>
      <c r="J5183" s="1">
        <v>42268</v>
      </c>
      <c r="K5183" s="1">
        <v>42328</v>
      </c>
      <c r="N5183" s="5"/>
      <c r="O5183" s="2">
        <v>39653.629999999997</v>
      </c>
      <c r="P5183">
        <v>-53</v>
      </c>
      <c r="Q5183" s="2">
        <v>-2101642.39</v>
      </c>
      <c r="R5183">
        <v>0</v>
      </c>
      <c r="V5183">
        <v>0</v>
      </c>
      <c r="W5183">
        <v>0</v>
      </c>
      <c r="X5183">
        <v>0</v>
      </c>
      <c r="Y5183" s="2">
        <v>39653.629999999997</v>
      </c>
      <c r="Z5183" s="2">
        <v>39653.629999999997</v>
      </c>
      <c r="AA5183" s="2">
        <v>39653.629999999997</v>
      </c>
      <c r="AB5183" s="1">
        <v>42382</v>
      </c>
      <c r="AC5183" t="s">
        <v>53</v>
      </c>
      <c r="AD5183" t="s">
        <v>53</v>
      </c>
      <c r="AK5183">
        <v>0</v>
      </c>
      <c r="AU5183" s="6">
        <v>42275</v>
      </c>
      <c r="AV5183" s="6">
        <v>42275</v>
      </c>
      <c r="AW5183" t="s">
        <v>54</v>
      </c>
      <c r="AX5183" t="str">
        <f t="shared" si="434"/>
        <v>FOR</v>
      </c>
      <c r="AY5183" t="s">
        <v>55</v>
      </c>
    </row>
    <row r="5184" spans="1:51" hidden="1">
      <c r="A5184">
        <v>102264</v>
      </c>
      <c r="B5184" t="s">
        <v>954</v>
      </c>
      <c r="C5184" t="str">
        <f t="shared" ref="C5184:D5188" si="441">"11187430159"</f>
        <v>11187430159</v>
      </c>
      <c r="D5184" t="str">
        <f t="shared" si="441"/>
        <v>11187430159</v>
      </c>
      <c r="E5184" t="s">
        <v>52</v>
      </c>
      <c r="F5184">
        <v>2014</v>
      </c>
      <c r="G5184">
        <v>40006309</v>
      </c>
      <c r="H5184" s="1">
        <v>41764</v>
      </c>
      <c r="I5184" s="1">
        <v>41773</v>
      </c>
      <c r="J5184" s="1">
        <v>41773</v>
      </c>
      <c r="K5184" s="1">
        <v>41863</v>
      </c>
      <c r="N5184" s="5"/>
      <c r="O5184">
        <v>650.86</v>
      </c>
      <c r="P5184">
        <v>213</v>
      </c>
      <c r="Q5184" s="2">
        <v>138633.18</v>
      </c>
      <c r="R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 s="1">
        <v>42382</v>
      </c>
      <c r="AC5184" t="s">
        <v>53</v>
      </c>
      <c r="AD5184" t="s">
        <v>53</v>
      </c>
      <c r="AK5184">
        <v>0</v>
      </c>
      <c r="AU5184" s="6">
        <v>42076</v>
      </c>
      <c r="AV5184" s="6">
        <v>42076</v>
      </c>
      <c r="AW5184" t="s">
        <v>54</v>
      </c>
      <c r="AX5184" t="str">
        <f t="shared" si="434"/>
        <v>FOR</v>
      </c>
      <c r="AY5184" t="s">
        <v>55</v>
      </c>
    </row>
    <row r="5185" spans="1:51" hidden="1">
      <c r="A5185">
        <v>102264</v>
      </c>
      <c r="B5185" t="s">
        <v>954</v>
      </c>
      <c r="C5185" t="str">
        <f t="shared" si="441"/>
        <v>11187430159</v>
      </c>
      <c r="D5185" t="str">
        <f t="shared" si="441"/>
        <v>11187430159</v>
      </c>
      <c r="E5185" t="s">
        <v>52</v>
      </c>
      <c r="F5185">
        <v>2014</v>
      </c>
      <c r="G5185">
        <v>40007409</v>
      </c>
      <c r="H5185" s="1">
        <v>41785</v>
      </c>
      <c r="I5185" s="1">
        <v>41808</v>
      </c>
      <c r="J5185" s="1">
        <v>41808</v>
      </c>
      <c r="K5185" s="1">
        <v>41898</v>
      </c>
      <c r="N5185" s="5"/>
      <c r="O5185" s="2">
        <v>1301.72</v>
      </c>
      <c r="P5185">
        <v>178</v>
      </c>
      <c r="Q5185" s="2">
        <v>231706.16</v>
      </c>
      <c r="R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 s="1">
        <v>42382</v>
      </c>
      <c r="AC5185" t="s">
        <v>53</v>
      </c>
      <c r="AD5185" t="s">
        <v>53</v>
      </c>
      <c r="AK5185">
        <v>0</v>
      </c>
      <c r="AU5185" s="6">
        <v>42076</v>
      </c>
      <c r="AV5185" s="6">
        <v>42076</v>
      </c>
      <c r="AW5185" t="s">
        <v>54</v>
      </c>
      <c r="AX5185" t="str">
        <f t="shared" si="434"/>
        <v>FOR</v>
      </c>
      <c r="AY5185" t="s">
        <v>55</v>
      </c>
    </row>
    <row r="5186" spans="1:51" hidden="1">
      <c r="A5186">
        <v>102264</v>
      </c>
      <c r="B5186" t="s">
        <v>954</v>
      </c>
      <c r="C5186" t="str">
        <f t="shared" si="441"/>
        <v>11187430159</v>
      </c>
      <c r="D5186" t="str">
        <f t="shared" si="441"/>
        <v>11187430159</v>
      </c>
      <c r="E5186" t="s">
        <v>52</v>
      </c>
      <c r="F5186">
        <v>2014</v>
      </c>
      <c r="G5186">
        <v>40007737</v>
      </c>
      <c r="H5186" s="1">
        <v>41793</v>
      </c>
      <c r="I5186" s="1">
        <v>41808</v>
      </c>
      <c r="J5186" s="1">
        <v>41808</v>
      </c>
      <c r="K5186" s="1">
        <v>41898</v>
      </c>
      <c r="N5186" s="5"/>
      <c r="O5186" s="2">
        <v>1467.99</v>
      </c>
      <c r="P5186">
        <v>261</v>
      </c>
      <c r="Q5186" s="2">
        <v>383145.39</v>
      </c>
      <c r="R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 s="1">
        <v>42382</v>
      </c>
      <c r="AC5186" t="s">
        <v>53</v>
      </c>
      <c r="AD5186" t="s">
        <v>53</v>
      </c>
      <c r="AK5186">
        <v>0</v>
      </c>
      <c r="AU5186" s="6">
        <v>42159</v>
      </c>
      <c r="AV5186" s="6">
        <v>42159</v>
      </c>
      <c r="AW5186" t="s">
        <v>54</v>
      </c>
      <c r="AX5186" t="str">
        <f t="shared" si="434"/>
        <v>FOR</v>
      </c>
      <c r="AY5186" t="s">
        <v>55</v>
      </c>
    </row>
    <row r="5187" spans="1:51" hidden="1">
      <c r="A5187">
        <v>102264</v>
      </c>
      <c r="B5187" t="s">
        <v>954</v>
      </c>
      <c r="C5187" t="str">
        <f t="shared" si="441"/>
        <v>11187430159</v>
      </c>
      <c r="D5187" t="str">
        <f t="shared" si="441"/>
        <v>11187430159</v>
      </c>
      <c r="E5187" t="s">
        <v>52</v>
      </c>
      <c r="F5187">
        <v>2014</v>
      </c>
      <c r="G5187">
        <v>40011007</v>
      </c>
      <c r="H5187" s="1">
        <v>41852</v>
      </c>
      <c r="I5187" s="1">
        <v>41877</v>
      </c>
      <c r="J5187" s="1">
        <v>41877</v>
      </c>
      <c r="K5187" s="1">
        <v>41967</v>
      </c>
      <c r="N5187" s="5"/>
      <c r="O5187" s="2">
        <v>1197.57</v>
      </c>
      <c r="P5187">
        <v>192</v>
      </c>
      <c r="Q5187" s="2">
        <v>229933.44</v>
      </c>
      <c r="R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 s="1">
        <v>42382</v>
      </c>
      <c r="AC5187" t="s">
        <v>53</v>
      </c>
      <c r="AD5187" t="s">
        <v>53</v>
      </c>
      <c r="AK5187">
        <v>0</v>
      </c>
      <c r="AU5187" s="6">
        <v>42159</v>
      </c>
      <c r="AV5187" s="6">
        <v>42159</v>
      </c>
      <c r="AW5187" t="s">
        <v>54</v>
      </c>
      <c r="AX5187" t="str">
        <f t="shared" ref="AX5187:AX5250" si="442">"FOR"</f>
        <v>FOR</v>
      </c>
      <c r="AY5187" t="s">
        <v>55</v>
      </c>
    </row>
    <row r="5188" spans="1:51" hidden="1">
      <c r="A5188">
        <v>102264</v>
      </c>
      <c r="B5188" t="s">
        <v>954</v>
      </c>
      <c r="C5188" t="str">
        <f t="shared" si="441"/>
        <v>11187430159</v>
      </c>
      <c r="D5188" t="str">
        <f t="shared" si="441"/>
        <v>11187430159</v>
      </c>
      <c r="E5188" t="s">
        <v>52</v>
      </c>
      <c r="F5188">
        <v>2014</v>
      </c>
      <c r="G5188">
        <v>140003949</v>
      </c>
      <c r="H5188" s="1">
        <v>41716</v>
      </c>
      <c r="I5188" s="1">
        <v>41736</v>
      </c>
      <c r="J5188" s="1">
        <v>41736</v>
      </c>
      <c r="K5188" s="1">
        <v>41826</v>
      </c>
      <c r="N5188" s="5"/>
      <c r="O5188">
        <v>650.86</v>
      </c>
      <c r="P5188">
        <v>250</v>
      </c>
      <c r="Q5188" s="2">
        <v>162715</v>
      </c>
      <c r="R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 s="1">
        <v>42382</v>
      </c>
      <c r="AC5188" t="s">
        <v>53</v>
      </c>
      <c r="AD5188" t="s">
        <v>53</v>
      </c>
      <c r="AK5188">
        <v>0</v>
      </c>
      <c r="AU5188" s="6">
        <v>42076</v>
      </c>
      <c r="AV5188" s="6">
        <v>42076</v>
      </c>
      <c r="AW5188" t="s">
        <v>54</v>
      </c>
      <c r="AX5188" t="str">
        <f t="shared" si="442"/>
        <v>FOR</v>
      </c>
      <c r="AY5188" t="s">
        <v>55</v>
      </c>
    </row>
    <row r="5189" spans="1:51" hidden="1">
      <c r="A5189">
        <v>102302</v>
      </c>
      <c r="B5189" t="s">
        <v>955</v>
      </c>
      <c r="C5189" t="str">
        <f t="shared" ref="C5189:C5200" si="443">"11492820151"</f>
        <v>11492820151</v>
      </c>
      <c r="D5189" t="str">
        <f t="shared" ref="D5189:D5200" si="444">"93517310152"</f>
        <v>93517310152</v>
      </c>
      <c r="E5189" t="s">
        <v>52</v>
      </c>
      <c r="F5189">
        <v>2014</v>
      </c>
      <c r="G5189">
        <v>502265</v>
      </c>
      <c r="H5189" s="1">
        <v>41697</v>
      </c>
      <c r="I5189" s="1">
        <v>41730</v>
      </c>
      <c r="J5189" s="1">
        <v>41730</v>
      </c>
      <c r="K5189" s="1">
        <v>41820</v>
      </c>
      <c r="N5189" s="5"/>
      <c r="O5189">
        <v>341.11</v>
      </c>
      <c r="P5189">
        <v>198</v>
      </c>
      <c r="Q5189" s="2">
        <v>67539.78</v>
      </c>
      <c r="R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 s="1">
        <v>42382</v>
      </c>
      <c r="AC5189" t="s">
        <v>53</v>
      </c>
      <c r="AD5189" t="s">
        <v>53</v>
      </c>
      <c r="AK5189">
        <v>0</v>
      </c>
      <c r="AU5189" s="6">
        <v>42018</v>
      </c>
      <c r="AV5189" s="6">
        <v>42018</v>
      </c>
      <c r="AW5189" t="s">
        <v>54</v>
      </c>
      <c r="AX5189" t="str">
        <f t="shared" si="442"/>
        <v>FOR</v>
      </c>
      <c r="AY5189" t="s">
        <v>55</v>
      </c>
    </row>
    <row r="5190" spans="1:51" hidden="1">
      <c r="A5190">
        <v>102302</v>
      </c>
      <c r="B5190" t="s">
        <v>955</v>
      </c>
      <c r="C5190" t="str">
        <f t="shared" si="443"/>
        <v>11492820151</v>
      </c>
      <c r="D5190" t="str">
        <f t="shared" si="444"/>
        <v>93517310152</v>
      </c>
      <c r="E5190" t="s">
        <v>52</v>
      </c>
      <c r="F5190">
        <v>2014</v>
      </c>
      <c r="G5190">
        <v>502998</v>
      </c>
      <c r="H5190" s="1">
        <v>41715</v>
      </c>
      <c r="I5190" s="1">
        <v>41737</v>
      </c>
      <c r="J5190" s="1">
        <v>41737</v>
      </c>
      <c r="K5190" s="1">
        <v>41827</v>
      </c>
      <c r="N5190" s="5"/>
      <c r="O5190">
        <v>140.4</v>
      </c>
      <c r="P5190">
        <v>191</v>
      </c>
      <c r="Q5190" s="2">
        <v>26816.400000000001</v>
      </c>
      <c r="R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 s="1">
        <v>42382</v>
      </c>
      <c r="AC5190" t="s">
        <v>53</v>
      </c>
      <c r="AD5190" t="s">
        <v>53</v>
      </c>
      <c r="AK5190">
        <v>0</v>
      </c>
      <c r="AU5190" s="6">
        <v>42018</v>
      </c>
      <c r="AV5190" s="6">
        <v>42018</v>
      </c>
      <c r="AW5190" t="s">
        <v>54</v>
      </c>
      <c r="AX5190" t="str">
        <f t="shared" si="442"/>
        <v>FOR</v>
      </c>
      <c r="AY5190" t="s">
        <v>55</v>
      </c>
    </row>
    <row r="5191" spans="1:51" hidden="1">
      <c r="A5191">
        <v>102302</v>
      </c>
      <c r="B5191" t="s">
        <v>955</v>
      </c>
      <c r="C5191" t="str">
        <f t="shared" si="443"/>
        <v>11492820151</v>
      </c>
      <c r="D5191" t="str">
        <f t="shared" si="444"/>
        <v>93517310152</v>
      </c>
      <c r="E5191" t="s">
        <v>52</v>
      </c>
      <c r="F5191">
        <v>2014</v>
      </c>
      <c r="G5191">
        <v>504638</v>
      </c>
      <c r="H5191" s="1">
        <v>41746</v>
      </c>
      <c r="I5191" s="1">
        <v>41773</v>
      </c>
      <c r="J5191" s="1">
        <v>41773</v>
      </c>
      <c r="K5191" s="1">
        <v>41863</v>
      </c>
      <c r="N5191" s="5"/>
      <c r="O5191">
        <v>187.51</v>
      </c>
      <c r="P5191">
        <v>155</v>
      </c>
      <c r="Q5191" s="2">
        <v>29064.05</v>
      </c>
      <c r="R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 s="1">
        <v>42382</v>
      </c>
      <c r="AC5191" t="s">
        <v>53</v>
      </c>
      <c r="AD5191" t="s">
        <v>53</v>
      </c>
      <c r="AK5191">
        <v>0</v>
      </c>
      <c r="AU5191" s="6">
        <v>42018</v>
      </c>
      <c r="AV5191" s="6">
        <v>42018</v>
      </c>
      <c r="AW5191" t="s">
        <v>54</v>
      </c>
      <c r="AX5191" t="str">
        <f t="shared" si="442"/>
        <v>FOR</v>
      </c>
      <c r="AY5191" t="s">
        <v>55</v>
      </c>
    </row>
    <row r="5192" spans="1:51" hidden="1">
      <c r="A5192">
        <v>102302</v>
      </c>
      <c r="B5192" t="s">
        <v>955</v>
      </c>
      <c r="C5192" t="str">
        <f t="shared" si="443"/>
        <v>11492820151</v>
      </c>
      <c r="D5192" t="str">
        <f t="shared" si="444"/>
        <v>93517310152</v>
      </c>
      <c r="E5192" t="s">
        <v>52</v>
      </c>
      <c r="F5192">
        <v>2014</v>
      </c>
      <c r="G5192">
        <v>2506871</v>
      </c>
      <c r="H5192" s="1">
        <v>41796</v>
      </c>
      <c r="I5192" s="1">
        <v>41817</v>
      </c>
      <c r="J5192" s="1">
        <v>41817</v>
      </c>
      <c r="K5192" s="1">
        <v>41907</v>
      </c>
      <c r="N5192" s="5"/>
      <c r="O5192">
        <v>117</v>
      </c>
      <c r="P5192">
        <v>111</v>
      </c>
      <c r="Q5192" s="2">
        <v>12987</v>
      </c>
      <c r="R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 s="1">
        <v>42382</v>
      </c>
      <c r="AC5192" t="s">
        <v>53</v>
      </c>
      <c r="AD5192" t="s">
        <v>53</v>
      </c>
      <c r="AK5192">
        <v>0</v>
      </c>
      <c r="AU5192" s="6">
        <v>42018</v>
      </c>
      <c r="AV5192" s="6">
        <v>42018</v>
      </c>
      <c r="AW5192" t="s">
        <v>54</v>
      </c>
      <c r="AX5192" t="str">
        <f t="shared" si="442"/>
        <v>FOR</v>
      </c>
      <c r="AY5192" t="s">
        <v>55</v>
      </c>
    </row>
    <row r="5193" spans="1:51" hidden="1">
      <c r="A5193">
        <v>102302</v>
      </c>
      <c r="B5193" t="s">
        <v>955</v>
      </c>
      <c r="C5193" t="str">
        <f t="shared" si="443"/>
        <v>11492820151</v>
      </c>
      <c r="D5193" t="str">
        <f t="shared" si="444"/>
        <v>93517310152</v>
      </c>
      <c r="E5193" t="s">
        <v>52</v>
      </c>
      <c r="F5193">
        <v>2014</v>
      </c>
      <c r="G5193">
        <v>2508649</v>
      </c>
      <c r="H5193" s="1">
        <v>41828</v>
      </c>
      <c r="I5193" s="1">
        <v>41845</v>
      </c>
      <c r="J5193" s="1">
        <v>41845</v>
      </c>
      <c r="K5193" s="1">
        <v>41935</v>
      </c>
      <c r="N5193" s="5"/>
      <c r="O5193">
        <v>347.07</v>
      </c>
      <c r="P5193">
        <v>83</v>
      </c>
      <c r="Q5193" s="2">
        <v>28806.81</v>
      </c>
      <c r="R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 s="1">
        <v>42382</v>
      </c>
      <c r="AC5193" t="s">
        <v>53</v>
      </c>
      <c r="AD5193" t="s">
        <v>53</v>
      </c>
      <c r="AK5193">
        <v>0</v>
      </c>
      <c r="AU5193" s="6">
        <v>42018</v>
      </c>
      <c r="AV5193" s="6">
        <v>42018</v>
      </c>
      <c r="AW5193" t="s">
        <v>54</v>
      </c>
      <c r="AX5193" t="str">
        <f t="shared" si="442"/>
        <v>FOR</v>
      </c>
      <c r="AY5193" t="s">
        <v>55</v>
      </c>
    </row>
    <row r="5194" spans="1:51" hidden="1">
      <c r="A5194">
        <v>102302</v>
      </c>
      <c r="B5194" t="s">
        <v>955</v>
      </c>
      <c r="C5194" t="str">
        <f t="shared" si="443"/>
        <v>11492820151</v>
      </c>
      <c r="D5194" t="str">
        <f t="shared" si="444"/>
        <v>93517310152</v>
      </c>
      <c r="E5194" t="s">
        <v>52</v>
      </c>
      <c r="F5194">
        <v>2014</v>
      </c>
      <c r="G5194">
        <v>2510145</v>
      </c>
      <c r="H5194" s="1">
        <v>41855</v>
      </c>
      <c r="I5194" s="1">
        <v>41877</v>
      </c>
      <c r="J5194" s="1">
        <v>41877</v>
      </c>
      <c r="K5194" s="1">
        <v>41967</v>
      </c>
      <c r="N5194" s="5"/>
      <c r="O5194">
        <v>307.83999999999997</v>
      </c>
      <c r="P5194">
        <v>51</v>
      </c>
      <c r="Q5194" s="2">
        <v>15699.84</v>
      </c>
      <c r="R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 s="1">
        <v>42382</v>
      </c>
      <c r="AC5194" t="s">
        <v>53</v>
      </c>
      <c r="AD5194" t="s">
        <v>53</v>
      </c>
      <c r="AK5194">
        <v>0</v>
      </c>
      <c r="AU5194" s="6">
        <v>42018</v>
      </c>
      <c r="AV5194" s="6">
        <v>42018</v>
      </c>
      <c r="AW5194" t="s">
        <v>54</v>
      </c>
      <c r="AX5194" t="str">
        <f t="shared" si="442"/>
        <v>FOR</v>
      </c>
      <c r="AY5194" t="s">
        <v>55</v>
      </c>
    </row>
    <row r="5195" spans="1:51" hidden="1">
      <c r="A5195">
        <v>102302</v>
      </c>
      <c r="B5195" t="s">
        <v>955</v>
      </c>
      <c r="C5195" t="str">
        <f t="shared" si="443"/>
        <v>11492820151</v>
      </c>
      <c r="D5195" t="str">
        <f t="shared" si="444"/>
        <v>93517310152</v>
      </c>
      <c r="E5195" t="s">
        <v>52</v>
      </c>
      <c r="F5195">
        <v>2014</v>
      </c>
      <c r="G5195">
        <v>2510827</v>
      </c>
      <c r="H5195" s="1">
        <v>41873</v>
      </c>
      <c r="I5195" s="1">
        <v>41890</v>
      </c>
      <c r="J5195" s="1">
        <v>41890</v>
      </c>
      <c r="K5195" s="1">
        <v>41980</v>
      </c>
      <c r="N5195" s="5"/>
      <c r="O5195">
        <v>163.05000000000001</v>
      </c>
      <c r="P5195">
        <v>38</v>
      </c>
      <c r="Q5195" s="2">
        <v>6195.9</v>
      </c>
      <c r="R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 s="1">
        <v>42382</v>
      </c>
      <c r="AC5195" t="s">
        <v>53</v>
      </c>
      <c r="AD5195" t="s">
        <v>53</v>
      </c>
      <c r="AK5195">
        <v>0</v>
      </c>
      <c r="AU5195" s="6">
        <v>42018</v>
      </c>
      <c r="AV5195" s="6">
        <v>42018</v>
      </c>
      <c r="AW5195" t="s">
        <v>54</v>
      </c>
      <c r="AX5195" t="str">
        <f t="shared" si="442"/>
        <v>FOR</v>
      </c>
      <c r="AY5195" t="s">
        <v>55</v>
      </c>
    </row>
    <row r="5196" spans="1:51" hidden="1">
      <c r="A5196">
        <v>102302</v>
      </c>
      <c r="B5196" t="s">
        <v>955</v>
      </c>
      <c r="C5196" t="str">
        <f t="shared" si="443"/>
        <v>11492820151</v>
      </c>
      <c r="D5196" t="str">
        <f t="shared" si="444"/>
        <v>93517310152</v>
      </c>
      <c r="E5196" t="s">
        <v>52</v>
      </c>
      <c r="F5196">
        <v>2014</v>
      </c>
      <c r="G5196">
        <v>2512326</v>
      </c>
      <c r="H5196" s="1">
        <v>41906</v>
      </c>
      <c r="I5196" s="1">
        <v>41929</v>
      </c>
      <c r="J5196" s="1">
        <v>41929</v>
      </c>
      <c r="K5196" s="1">
        <v>41989</v>
      </c>
      <c r="N5196" s="5"/>
      <c r="O5196">
        <v>411.92</v>
      </c>
      <c r="P5196">
        <v>142</v>
      </c>
      <c r="Q5196" s="2">
        <v>58492.639999999999</v>
      </c>
      <c r="R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 s="1">
        <v>42382</v>
      </c>
      <c r="AC5196" t="s">
        <v>53</v>
      </c>
      <c r="AD5196" t="s">
        <v>53</v>
      </c>
      <c r="AK5196">
        <v>0</v>
      </c>
      <c r="AU5196" s="6">
        <v>42131</v>
      </c>
      <c r="AV5196" s="6">
        <v>42131</v>
      </c>
      <c r="AW5196" t="s">
        <v>54</v>
      </c>
      <c r="AX5196" t="str">
        <f t="shared" si="442"/>
        <v>FOR</v>
      </c>
      <c r="AY5196" t="s">
        <v>55</v>
      </c>
    </row>
    <row r="5197" spans="1:51" hidden="1">
      <c r="A5197">
        <v>102302</v>
      </c>
      <c r="B5197" t="s">
        <v>955</v>
      </c>
      <c r="C5197" t="str">
        <f t="shared" si="443"/>
        <v>11492820151</v>
      </c>
      <c r="D5197" t="str">
        <f t="shared" si="444"/>
        <v>93517310152</v>
      </c>
      <c r="E5197" t="s">
        <v>52</v>
      </c>
      <c r="F5197">
        <v>2014</v>
      </c>
      <c r="G5197">
        <v>2515084</v>
      </c>
      <c r="H5197" s="1">
        <v>41962</v>
      </c>
      <c r="I5197" s="1">
        <v>41974</v>
      </c>
      <c r="J5197" s="1">
        <v>41974</v>
      </c>
      <c r="K5197" s="1">
        <v>42034</v>
      </c>
      <c r="N5197" s="5"/>
      <c r="O5197">
        <v>98.43</v>
      </c>
      <c r="P5197">
        <v>97</v>
      </c>
      <c r="Q5197" s="2">
        <v>9547.7099999999991</v>
      </c>
      <c r="R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 s="1">
        <v>42382</v>
      </c>
      <c r="AC5197" t="s">
        <v>53</v>
      </c>
      <c r="AD5197" t="s">
        <v>53</v>
      </c>
      <c r="AK5197">
        <v>0</v>
      </c>
      <c r="AU5197" s="6">
        <v>42131</v>
      </c>
      <c r="AV5197" s="6">
        <v>42131</v>
      </c>
      <c r="AW5197" t="s">
        <v>54</v>
      </c>
      <c r="AX5197" t="str">
        <f t="shared" si="442"/>
        <v>FOR</v>
      </c>
      <c r="AY5197" t="s">
        <v>55</v>
      </c>
    </row>
    <row r="5198" spans="1:51" hidden="1">
      <c r="A5198">
        <v>102302</v>
      </c>
      <c r="B5198" t="s">
        <v>955</v>
      </c>
      <c r="C5198" t="str">
        <f t="shared" si="443"/>
        <v>11492820151</v>
      </c>
      <c r="D5198" t="str">
        <f t="shared" si="444"/>
        <v>93517310152</v>
      </c>
      <c r="E5198" t="s">
        <v>52</v>
      </c>
      <c r="F5198">
        <v>2014</v>
      </c>
      <c r="G5198">
        <v>2515347</v>
      </c>
      <c r="H5198" s="1">
        <v>41968</v>
      </c>
      <c r="I5198" s="1">
        <v>41978</v>
      </c>
      <c r="J5198" s="1">
        <v>41978</v>
      </c>
      <c r="K5198" s="1">
        <v>42038</v>
      </c>
      <c r="N5198" s="5"/>
      <c r="O5198">
        <v>22.65</v>
      </c>
      <c r="P5198">
        <v>93</v>
      </c>
      <c r="Q5198" s="2">
        <v>2106.4499999999998</v>
      </c>
      <c r="R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 s="1">
        <v>42382</v>
      </c>
      <c r="AC5198" t="s">
        <v>53</v>
      </c>
      <c r="AD5198" t="s">
        <v>53</v>
      </c>
      <c r="AK5198">
        <v>0</v>
      </c>
      <c r="AU5198" s="6">
        <v>42131</v>
      </c>
      <c r="AV5198" s="6">
        <v>42131</v>
      </c>
      <c r="AW5198" t="s">
        <v>54</v>
      </c>
      <c r="AX5198" t="str">
        <f t="shared" si="442"/>
        <v>FOR</v>
      </c>
      <c r="AY5198" t="s">
        <v>55</v>
      </c>
    </row>
    <row r="5199" spans="1:51" hidden="1">
      <c r="A5199">
        <v>102302</v>
      </c>
      <c r="B5199" t="s">
        <v>955</v>
      </c>
      <c r="C5199" t="str">
        <f t="shared" si="443"/>
        <v>11492820151</v>
      </c>
      <c r="D5199" t="str">
        <f t="shared" si="444"/>
        <v>93517310152</v>
      </c>
      <c r="E5199" t="s">
        <v>52</v>
      </c>
      <c r="F5199">
        <v>2014</v>
      </c>
      <c r="G5199">
        <v>2515560</v>
      </c>
      <c r="H5199" s="1">
        <v>41971</v>
      </c>
      <c r="I5199" s="1">
        <v>41985</v>
      </c>
      <c r="J5199" s="1">
        <v>41985</v>
      </c>
      <c r="K5199" s="1">
        <v>42045</v>
      </c>
      <c r="N5199" s="5"/>
      <c r="O5199">
        <v>280.8</v>
      </c>
      <c r="P5199">
        <v>86</v>
      </c>
      <c r="Q5199" s="2">
        <v>24148.799999999999</v>
      </c>
      <c r="R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 s="1">
        <v>42382</v>
      </c>
      <c r="AC5199" t="s">
        <v>53</v>
      </c>
      <c r="AD5199" t="s">
        <v>53</v>
      </c>
      <c r="AK5199">
        <v>0</v>
      </c>
      <c r="AU5199" s="6">
        <v>42131</v>
      </c>
      <c r="AV5199" s="6">
        <v>42131</v>
      </c>
      <c r="AW5199" t="s">
        <v>54</v>
      </c>
      <c r="AX5199" t="str">
        <f t="shared" si="442"/>
        <v>FOR</v>
      </c>
      <c r="AY5199" t="s">
        <v>55</v>
      </c>
    </row>
    <row r="5200" spans="1:51" hidden="1">
      <c r="A5200">
        <v>102302</v>
      </c>
      <c r="B5200" t="s">
        <v>955</v>
      </c>
      <c r="C5200" t="str">
        <f t="shared" si="443"/>
        <v>11492820151</v>
      </c>
      <c r="D5200" t="str">
        <f t="shared" si="444"/>
        <v>93517310152</v>
      </c>
      <c r="E5200" t="s">
        <v>52</v>
      </c>
      <c r="F5200">
        <v>2014</v>
      </c>
      <c r="G5200">
        <v>2516511</v>
      </c>
      <c r="H5200" s="1">
        <v>41991</v>
      </c>
      <c r="I5200" s="1">
        <v>42030</v>
      </c>
      <c r="J5200" s="1">
        <v>42030</v>
      </c>
      <c r="K5200" s="1">
        <v>42090</v>
      </c>
      <c r="N5200" s="5"/>
      <c r="O5200">
        <v>296.32</v>
      </c>
      <c r="P5200">
        <v>41</v>
      </c>
      <c r="Q5200" s="2">
        <v>12149.12</v>
      </c>
      <c r="R5200">
        <v>0</v>
      </c>
      <c r="V5200">
        <v>0</v>
      </c>
      <c r="W5200">
        <v>0</v>
      </c>
      <c r="X5200">
        <v>0</v>
      </c>
      <c r="Y5200">
        <v>0</v>
      </c>
      <c r="Z5200">
        <v>296.32</v>
      </c>
      <c r="AA5200">
        <v>0</v>
      </c>
      <c r="AB5200" s="1">
        <v>42382</v>
      </c>
      <c r="AC5200" t="s">
        <v>53</v>
      </c>
      <c r="AD5200" t="s">
        <v>53</v>
      </c>
      <c r="AK5200">
        <v>0</v>
      </c>
      <c r="AU5200" s="6">
        <v>42131</v>
      </c>
      <c r="AV5200" s="6">
        <v>42131</v>
      </c>
      <c r="AW5200" t="s">
        <v>54</v>
      </c>
      <c r="AX5200" t="str">
        <f t="shared" si="442"/>
        <v>FOR</v>
      </c>
      <c r="AY5200" t="s">
        <v>55</v>
      </c>
    </row>
    <row r="5201" spans="1:51" hidden="1">
      <c r="A5201">
        <v>102310</v>
      </c>
      <c r="B5201" t="s">
        <v>956</v>
      </c>
      <c r="C5201" t="str">
        <f t="shared" ref="C5201:D5220" si="445">"00936980622"</f>
        <v>00936980622</v>
      </c>
      <c r="D5201" t="str">
        <f t="shared" si="445"/>
        <v>00936980622</v>
      </c>
      <c r="E5201" t="s">
        <v>52</v>
      </c>
      <c r="F5201">
        <v>2012</v>
      </c>
      <c r="G5201">
        <v>772</v>
      </c>
      <c r="H5201" s="1">
        <v>41274</v>
      </c>
      <c r="I5201" s="1">
        <v>41274</v>
      </c>
      <c r="J5201" s="1">
        <v>41274</v>
      </c>
      <c r="K5201" s="1">
        <v>41364</v>
      </c>
      <c r="N5201" s="5"/>
      <c r="O5201" s="2">
        <v>3182.17</v>
      </c>
      <c r="P5201">
        <v>799</v>
      </c>
      <c r="Q5201" s="2">
        <v>2542553.83</v>
      </c>
      <c r="R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 s="1">
        <v>42382</v>
      </c>
      <c r="AC5201" t="s">
        <v>53</v>
      </c>
      <c r="AD5201" t="s">
        <v>53</v>
      </c>
      <c r="AK5201">
        <v>0</v>
      </c>
      <c r="AU5201" s="6">
        <v>42163</v>
      </c>
      <c r="AV5201" s="6">
        <v>42163</v>
      </c>
      <c r="AW5201" t="s">
        <v>54</v>
      </c>
      <c r="AX5201" t="str">
        <f t="shared" si="442"/>
        <v>FOR</v>
      </c>
      <c r="AY5201" t="s">
        <v>55</v>
      </c>
    </row>
    <row r="5202" spans="1:51" hidden="1">
      <c r="A5202">
        <v>102310</v>
      </c>
      <c r="B5202" t="s">
        <v>956</v>
      </c>
      <c r="C5202" t="str">
        <f t="shared" si="445"/>
        <v>00936980622</v>
      </c>
      <c r="D5202" t="str">
        <f t="shared" si="445"/>
        <v>00936980622</v>
      </c>
      <c r="E5202" t="s">
        <v>52</v>
      </c>
      <c r="F5202">
        <v>2014</v>
      </c>
      <c r="G5202">
        <v>162</v>
      </c>
      <c r="H5202" s="1">
        <v>41676</v>
      </c>
      <c r="I5202" s="1">
        <v>42172</v>
      </c>
      <c r="J5202" s="1">
        <v>42172</v>
      </c>
      <c r="K5202" s="1">
        <v>42232</v>
      </c>
      <c r="N5202" s="5"/>
      <c r="O5202" s="2">
        <v>4001.6</v>
      </c>
      <c r="P5202">
        <v>-48</v>
      </c>
      <c r="Q5202" s="2">
        <v>-192076.79999999999</v>
      </c>
      <c r="R5202">
        <v>0</v>
      </c>
      <c r="V5202">
        <v>0</v>
      </c>
      <c r="W5202">
        <v>0</v>
      </c>
      <c r="X5202">
        <v>0</v>
      </c>
      <c r="Y5202">
        <v>0</v>
      </c>
      <c r="Z5202" s="2">
        <v>4001.6</v>
      </c>
      <c r="AA5202">
        <v>0</v>
      </c>
      <c r="AB5202" s="1">
        <v>42382</v>
      </c>
      <c r="AC5202" t="s">
        <v>53</v>
      </c>
      <c r="AD5202" t="s">
        <v>53</v>
      </c>
      <c r="AK5202">
        <v>0</v>
      </c>
      <c r="AU5202" s="6">
        <v>42184</v>
      </c>
      <c r="AV5202" s="6">
        <v>42184</v>
      </c>
      <c r="AW5202" t="s">
        <v>54</v>
      </c>
      <c r="AX5202" t="str">
        <f t="shared" si="442"/>
        <v>FOR</v>
      </c>
      <c r="AY5202" t="s">
        <v>55</v>
      </c>
    </row>
    <row r="5203" spans="1:51" hidden="1">
      <c r="A5203">
        <v>102310</v>
      </c>
      <c r="B5203" t="s">
        <v>956</v>
      </c>
      <c r="C5203" t="str">
        <f t="shared" si="445"/>
        <v>00936980622</v>
      </c>
      <c r="D5203" t="str">
        <f t="shared" si="445"/>
        <v>00936980622</v>
      </c>
      <c r="E5203" t="s">
        <v>52</v>
      </c>
      <c r="F5203">
        <v>2014</v>
      </c>
      <c r="G5203">
        <v>165</v>
      </c>
      <c r="H5203" s="1">
        <v>41683</v>
      </c>
      <c r="I5203" s="1">
        <v>42249</v>
      </c>
      <c r="J5203" s="1">
        <v>42249</v>
      </c>
      <c r="K5203" s="1">
        <v>42309</v>
      </c>
      <c r="N5203" s="5"/>
      <c r="O5203" s="2">
        <v>4001.6</v>
      </c>
      <c r="P5203">
        <v>-59</v>
      </c>
      <c r="Q5203" s="2">
        <v>-236094.4</v>
      </c>
      <c r="R5203">
        <v>0</v>
      </c>
      <c r="V5203">
        <v>0</v>
      </c>
      <c r="W5203">
        <v>0</v>
      </c>
      <c r="X5203">
        <v>0</v>
      </c>
      <c r="Y5203">
        <v>0</v>
      </c>
      <c r="Z5203" s="2">
        <v>4001.6</v>
      </c>
      <c r="AA5203">
        <v>0</v>
      </c>
      <c r="AB5203" s="1">
        <v>42382</v>
      </c>
      <c r="AC5203" t="s">
        <v>53</v>
      </c>
      <c r="AD5203" t="s">
        <v>53</v>
      </c>
      <c r="AK5203">
        <v>0</v>
      </c>
      <c r="AU5203" s="6">
        <v>42250</v>
      </c>
      <c r="AV5203" s="6">
        <v>42250</v>
      </c>
      <c r="AW5203" t="s">
        <v>54</v>
      </c>
      <c r="AX5203" t="str">
        <f t="shared" si="442"/>
        <v>FOR</v>
      </c>
      <c r="AY5203" t="s">
        <v>55</v>
      </c>
    </row>
    <row r="5204" spans="1:51" hidden="1">
      <c r="A5204">
        <v>102310</v>
      </c>
      <c r="B5204" t="s">
        <v>956</v>
      </c>
      <c r="C5204" t="str">
        <f t="shared" si="445"/>
        <v>00936980622</v>
      </c>
      <c r="D5204" t="str">
        <f t="shared" si="445"/>
        <v>00936980622</v>
      </c>
      <c r="E5204" t="s">
        <v>52</v>
      </c>
      <c r="F5204">
        <v>2014</v>
      </c>
      <c r="G5204">
        <v>166</v>
      </c>
      <c r="H5204" s="1">
        <v>41683</v>
      </c>
      <c r="I5204" s="1">
        <v>42177</v>
      </c>
      <c r="J5204" s="1">
        <v>42177</v>
      </c>
      <c r="K5204" s="1">
        <v>42237</v>
      </c>
      <c r="N5204" s="5"/>
      <c r="O5204" s="2">
        <v>1764.63</v>
      </c>
      <c r="P5204">
        <v>-56</v>
      </c>
      <c r="Q5204" s="2">
        <v>-98819.28</v>
      </c>
      <c r="R5204">
        <v>0</v>
      </c>
      <c r="V5204">
        <v>0</v>
      </c>
      <c r="W5204">
        <v>0</v>
      </c>
      <c r="X5204">
        <v>0</v>
      </c>
      <c r="Y5204">
        <v>0</v>
      </c>
      <c r="Z5204" s="2">
        <v>1764.63</v>
      </c>
      <c r="AA5204">
        <v>0</v>
      </c>
      <c r="AB5204" s="1">
        <v>42382</v>
      </c>
      <c r="AC5204" t="s">
        <v>53</v>
      </c>
      <c r="AD5204" t="s">
        <v>53</v>
      </c>
      <c r="AK5204">
        <v>0</v>
      </c>
      <c r="AU5204" s="6">
        <v>42181</v>
      </c>
      <c r="AV5204" s="6">
        <v>42181</v>
      </c>
      <c r="AW5204" t="s">
        <v>54</v>
      </c>
      <c r="AX5204" t="str">
        <f t="shared" si="442"/>
        <v>FOR</v>
      </c>
      <c r="AY5204" t="s">
        <v>55</v>
      </c>
    </row>
    <row r="5205" spans="1:51" hidden="1">
      <c r="A5205">
        <v>102310</v>
      </c>
      <c r="B5205" t="s">
        <v>956</v>
      </c>
      <c r="C5205" t="str">
        <f t="shared" si="445"/>
        <v>00936980622</v>
      </c>
      <c r="D5205" t="str">
        <f t="shared" si="445"/>
        <v>00936980622</v>
      </c>
      <c r="E5205" t="s">
        <v>52</v>
      </c>
      <c r="F5205">
        <v>2014</v>
      </c>
      <c r="G5205">
        <v>167</v>
      </c>
      <c r="H5205" s="1">
        <v>41683</v>
      </c>
      <c r="I5205" s="1">
        <v>42249</v>
      </c>
      <c r="J5205" s="1">
        <v>42249</v>
      </c>
      <c r="K5205" s="1">
        <v>42309</v>
      </c>
      <c r="N5205" s="5"/>
      <c r="O5205" s="2">
        <v>3913.27</v>
      </c>
      <c r="P5205">
        <v>-59</v>
      </c>
      <c r="Q5205" s="2">
        <v>-230882.93</v>
      </c>
      <c r="R5205">
        <v>0</v>
      </c>
      <c r="V5205">
        <v>0</v>
      </c>
      <c r="W5205">
        <v>0</v>
      </c>
      <c r="X5205">
        <v>0</v>
      </c>
      <c r="Y5205">
        <v>0</v>
      </c>
      <c r="Z5205" s="2">
        <v>3913.27</v>
      </c>
      <c r="AA5205">
        <v>0</v>
      </c>
      <c r="AB5205" s="1">
        <v>42382</v>
      </c>
      <c r="AC5205" t="s">
        <v>53</v>
      </c>
      <c r="AD5205" t="s">
        <v>53</v>
      </c>
      <c r="AK5205">
        <v>0</v>
      </c>
      <c r="AU5205" s="6">
        <v>42250</v>
      </c>
      <c r="AV5205" s="6">
        <v>42250</v>
      </c>
      <c r="AW5205" t="s">
        <v>54</v>
      </c>
      <c r="AX5205" t="str">
        <f t="shared" si="442"/>
        <v>FOR</v>
      </c>
      <c r="AY5205" t="s">
        <v>55</v>
      </c>
    </row>
    <row r="5206" spans="1:51" hidden="1">
      <c r="A5206">
        <v>102310</v>
      </c>
      <c r="B5206" t="s">
        <v>956</v>
      </c>
      <c r="C5206" t="str">
        <f t="shared" si="445"/>
        <v>00936980622</v>
      </c>
      <c r="D5206" t="str">
        <f t="shared" si="445"/>
        <v>00936980622</v>
      </c>
      <c r="E5206" t="s">
        <v>52</v>
      </c>
      <c r="F5206">
        <v>2014</v>
      </c>
      <c r="G5206">
        <v>168</v>
      </c>
      <c r="H5206" s="1">
        <v>41683</v>
      </c>
      <c r="I5206" s="1">
        <v>42249</v>
      </c>
      <c r="J5206" s="1">
        <v>42249</v>
      </c>
      <c r="K5206" s="1">
        <v>42309</v>
      </c>
      <c r="N5206" s="5"/>
      <c r="O5206" s="2">
        <v>2608.85</v>
      </c>
      <c r="P5206">
        <v>-59</v>
      </c>
      <c r="Q5206" s="2">
        <v>-153922.15</v>
      </c>
      <c r="R5206">
        <v>0</v>
      </c>
      <c r="V5206">
        <v>0</v>
      </c>
      <c r="W5206">
        <v>0</v>
      </c>
      <c r="X5206">
        <v>0</v>
      </c>
      <c r="Y5206">
        <v>0</v>
      </c>
      <c r="Z5206" s="2">
        <v>2608.85</v>
      </c>
      <c r="AA5206">
        <v>0</v>
      </c>
      <c r="AB5206" s="1">
        <v>42382</v>
      </c>
      <c r="AC5206" t="s">
        <v>53</v>
      </c>
      <c r="AD5206" t="s">
        <v>53</v>
      </c>
      <c r="AK5206">
        <v>0</v>
      </c>
      <c r="AU5206" s="6">
        <v>42250</v>
      </c>
      <c r="AV5206" s="6">
        <v>42250</v>
      </c>
      <c r="AW5206" t="s">
        <v>54</v>
      </c>
      <c r="AX5206" t="str">
        <f t="shared" si="442"/>
        <v>FOR</v>
      </c>
      <c r="AY5206" t="s">
        <v>55</v>
      </c>
    </row>
    <row r="5207" spans="1:51" hidden="1">
      <c r="A5207">
        <v>102310</v>
      </c>
      <c r="B5207" t="s">
        <v>956</v>
      </c>
      <c r="C5207" t="str">
        <f t="shared" si="445"/>
        <v>00936980622</v>
      </c>
      <c r="D5207" t="str">
        <f t="shared" si="445"/>
        <v>00936980622</v>
      </c>
      <c r="E5207" t="s">
        <v>52</v>
      </c>
      <c r="F5207">
        <v>2014</v>
      </c>
      <c r="G5207">
        <v>222</v>
      </c>
      <c r="H5207" s="1">
        <v>41739</v>
      </c>
      <c r="I5207" s="1">
        <v>41932</v>
      </c>
      <c r="J5207" s="1">
        <v>41932</v>
      </c>
      <c r="K5207" s="1">
        <v>41992</v>
      </c>
      <c r="N5207" s="5"/>
      <c r="O5207" s="2">
        <v>2234.21</v>
      </c>
      <c r="P5207">
        <v>49</v>
      </c>
      <c r="Q5207" s="2">
        <v>109476.29</v>
      </c>
      <c r="R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 s="1">
        <v>42382</v>
      </c>
      <c r="AC5207" t="s">
        <v>53</v>
      </c>
      <c r="AD5207" t="s">
        <v>53</v>
      </c>
      <c r="AK5207">
        <v>0</v>
      </c>
      <c r="AU5207" s="6">
        <v>42041</v>
      </c>
      <c r="AV5207" s="6">
        <v>42041</v>
      </c>
      <c r="AW5207" t="s">
        <v>54</v>
      </c>
      <c r="AX5207" t="str">
        <f t="shared" si="442"/>
        <v>FOR</v>
      </c>
      <c r="AY5207" t="s">
        <v>55</v>
      </c>
    </row>
    <row r="5208" spans="1:51" hidden="1">
      <c r="A5208">
        <v>102310</v>
      </c>
      <c r="B5208" t="s">
        <v>956</v>
      </c>
      <c r="C5208" t="str">
        <f t="shared" si="445"/>
        <v>00936980622</v>
      </c>
      <c r="D5208" t="str">
        <f t="shared" si="445"/>
        <v>00936980622</v>
      </c>
      <c r="E5208" t="s">
        <v>52</v>
      </c>
      <c r="F5208">
        <v>2014</v>
      </c>
      <c r="G5208">
        <v>223</v>
      </c>
      <c r="H5208" s="1">
        <v>41739</v>
      </c>
      <c r="I5208" s="1">
        <v>41932</v>
      </c>
      <c r="J5208" s="1">
        <v>41932</v>
      </c>
      <c r="K5208" s="1">
        <v>41992</v>
      </c>
      <c r="N5208" s="5"/>
      <c r="O5208" s="2">
        <v>2234.21</v>
      </c>
      <c r="P5208">
        <v>49</v>
      </c>
      <c r="Q5208" s="2">
        <v>109476.29</v>
      </c>
      <c r="R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 s="1">
        <v>42382</v>
      </c>
      <c r="AC5208" t="s">
        <v>53</v>
      </c>
      <c r="AD5208" t="s">
        <v>53</v>
      </c>
      <c r="AK5208">
        <v>0</v>
      </c>
      <c r="AU5208" s="6">
        <v>42041</v>
      </c>
      <c r="AV5208" s="6">
        <v>42041</v>
      </c>
      <c r="AW5208" t="s">
        <v>54</v>
      </c>
      <c r="AX5208" t="str">
        <f t="shared" si="442"/>
        <v>FOR</v>
      </c>
      <c r="AY5208" t="s">
        <v>55</v>
      </c>
    </row>
    <row r="5209" spans="1:51" hidden="1">
      <c r="A5209">
        <v>102310</v>
      </c>
      <c r="B5209" t="s">
        <v>956</v>
      </c>
      <c r="C5209" t="str">
        <f t="shared" si="445"/>
        <v>00936980622</v>
      </c>
      <c r="D5209" t="str">
        <f t="shared" si="445"/>
        <v>00936980622</v>
      </c>
      <c r="E5209" t="s">
        <v>52</v>
      </c>
      <c r="F5209">
        <v>2014</v>
      </c>
      <c r="G5209">
        <v>246</v>
      </c>
      <c r="H5209" s="1">
        <v>41739</v>
      </c>
      <c r="I5209" s="1">
        <v>42108</v>
      </c>
      <c r="J5209" s="1">
        <v>42108</v>
      </c>
      <c r="K5209" s="1">
        <v>42168</v>
      </c>
      <c r="N5209" s="5"/>
      <c r="O5209" s="2">
        <v>1091.56</v>
      </c>
      <c r="P5209">
        <v>-44</v>
      </c>
      <c r="Q5209" s="2">
        <v>-48028.639999999999</v>
      </c>
      <c r="R5209">
        <v>0</v>
      </c>
      <c r="V5209">
        <v>0</v>
      </c>
      <c r="W5209">
        <v>0</v>
      </c>
      <c r="X5209">
        <v>0</v>
      </c>
      <c r="Y5209">
        <v>0</v>
      </c>
      <c r="Z5209" s="2">
        <v>1091.56</v>
      </c>
      <c r="AA5209">
        <v>0</v>
      </c>
      <c r="AB5209" s="1">
        <v>42382</v>
      </c>
      <c r="AC5209" t="s">
        <v>53</v>
      </c>
      <c r="AD5209" t="s">
        <v>53</v>
      </c>
      <c r="AK5209">
        <v>0</v>
      </c>
      <c r="AU5209" s="6">
        <v>42124</v>
      </c>
      <c r="AV5209" s="6">
        <v>42124</v>
      </c>
      <c r="AW5209" t="s">
        <v>54</v>
      </c>
      <c r="AX5209" t="str">
        <f t="shared" si="442"/>
        <v>FOR</v>
      </c>
      <c r="AY5209" t="s">
        <v>55</v>
      </c>
    </row>
    <row r="5210" spans="1:51" hidden="1">
      <c r="A5210">
        <v>102310</v>
      </c>
      <c r="B5210" t="s">
        <v>956</v>
      </c>
      <c r="C5210" t="str">
        <f t="shared" si="445"/>
        <v>00936980622</v>
      </c>
      <c r="D5210" t="str">
        <f t="shared" si="445"/>
        <v>00936980622</v>
      </c>
      <c r="E5210" t="s">
        <v>52</v>
      </c>
      <c r="F5210">
        <v>2014</v>
      </c>
      <c r="G5210">
        <v>269</v>
      </c>
      <c r="H5210" s="1">
        <v>41739</v>
      </c>
      <c r="I5210" s="1">
        <v>42108</v>
      </c>
      <c r="J5210" s="1">
        <v>42108</v>
      </c>
      <c r="K5210" s="1">
        <v>42168</v>
      </c>
      <c r="N5210" s="5"/>
      <c r="O5210" s="2">
        <v>2097.1799999999998</v>
      </c>
      <c r="P5210">
        <v>-44</v>
      </c>
      <c r="Q5210" s="2">
        <v>-92275.92</v>
      </c>
      <c r="R5210">
        <v>0</v>
      </c>
      <c r="V5210">
        <v>0</v>
      </c>
      <c r="W5210">
        <v>0</v>
      </c>
      <c r="X5210">
        <v>0</v>
      </c>
      <c r="Y5210">
        <v>0</v>
      </c>
      <c r="Z5210" s="2">
        <v>2097.1799999999998</v>
      </c>
      <c r="AA5210">
        <v>0</v>
      </c>
      <c r="AB5210" s="1">
        <v>42382</v>
      </c>
      <c r="AC5210" t="s">
        <v>53</v>
      </c>
      <c r="AD5210" t="s">
        <v>53</v>
      </c>
      <c r="AK5210">
        <v>0</v>
      </c>
      <c r="AU5210" s="6">
        <v>42124</v>
      </c>
      <c r="AV5210" s="6">
        <v>42124</v>
      </c>
      <c r="AW5210" t="s">
        <v>54</v>
      </c>
      <c r="AX5210" t="str">
        <f t="shared" si="442"/>
        <v>FOR</v>
      </c>
      <c r="AY5210" t="s">
        <v>55</v>
      </c>
    </row>
    <row r="5211" spans="1:51" hidden="1">
      <c r="A5211">
        <v>102310</v>
      </c>
      <c r="B5211" t="s">
        <v>956</v>
      </c>
      <c r="C5211" t="str">
        <f t="shared" si="445"/>
        <v>00936980622</v>
      </c>
      <c r="D5211" t="str">
        <f t="shared" si="445"/>
        <v>00936980622</v>
      </c>
      <c r="E5211" t="s">
        <v>52</v>
      </c>
      <c r="F5211">
        <v>2014</v>
      </c>
      <c r="G5211">
        <v>276</v>
      </c>
      <c r="H5211" s="1">
        <v>41739</v>
      </c>
      <c r="I5211" s="1">
        <v>42108</v>
      </c>
      <c r="J5211" s="1">
        <v>42108</v>
      </c>
      <c r="K5211" s="1">
        <v>42168</v>
      </c>
      <c r="N5211" s="5"/>
      <c r="O5211" s="2">
        <v>2898.72</v>
      </c>
      <c r="P5211">
        <v>-44</v>
      </c>
      <c r="Q5211" s="2">
        <v>-127543.67999999999</v>
      </c>
      <c r="R5211">
        <v>0</v>
      </c>
      <c r="V5211">
        <v>0</v>
      </c>
      <c r="W5211">
        <v>0</v>
      </c>
      <c r="X5211">
        <v>0</v>
      </c>
      <c r="Y5211">
        <v>0</v>
      </c>
      <c r="Z5211" s="2">
        <v>2898.72</v>
      </c>
      <c r="AA5211">
        <v>0</v>
      </c>
      <c r="AB5211" s="1">
        <v>42382</v>
      </c>
      <c r="AC5211" t="s">
        <v>53</v>
      </c>
      <c r="AD5211" t="s">
        <v>53</v>
      </c>
      <c r="AK5211">
        <v>0</v>
      </c>
      <c r="AU5211" s="6">
        <v>42124</v>
      </c>
      <c r="AV5211" s="6">
        <v>42124</v>
      </c>
      <c r="AW5211" t="s">
        <v>54</v>
      </c>
      <c r="AX5211" t="str">
        <f t="shared" si="442"/>
        <v>FOR</v>
      </c>
      <c r="AY5211" t="s">
        <v>55</v>
      </c>
    </row>
    <row r="5212" spans="1:51" hidden="1">
      <c r="A5212">
        <v>102310</v>
      </c>
      <c r="B5212" t="s">
        <v>956</v>
      </c>
      <c r="C5212" t="str">
        <f t="shared" si="445"/>
        <v>00936980622</v>
      </c>
      <c r="D5212" t="str">
        <f t="shared" si="445"/>
        <v>00936980622</v>
      </c>
      <c r="E5212" t="s">
        <v>52</v>
      </c>
      <c r="F5212">
        <v>2014</v>
      </c>
      <c r="G5212">
        <v>277</v>
      </c>
      <c r="H5212" s="1">
        <v>41739</v>
      </c>
      <c r="I5212" s="1">
        <v>42108</v>
      </c>
      <c r="J5212" s="1">
        <v>42108</v>
      </c>
      <c r="K5212" s="1">
        <v>42168</v>
      </c>
      <c r="N5212" s="5"/>
      <c r="O5212" s="2">
        <v>2766.96</v>
      </c>
      <c r="P5212">
        <v>-44</v>
      </c>
      <c r="Q5212" s="2">
        <v>-121746.24000000001</v>
      </c>
      <c r="R5212">
        <v>0</v>
      </c>
      <c r="V5212">
        <v>0</v>
      </c>
      <c r="W5212">
        <v>0</v>
      </c>
      <c r="X5212">
        <v>0</v>
      </c>
      <c r="Y5212">
        <v>0</v>
      </c>
      <c r="Z5212" s="2">
        <v>2766.96</v>
      </c>
      <c r="AA5212">
        <v>0</v>
      </c>
      <c r="AB5212" s="1">
        <v>42382</v>
      </c>
      <c r="AC5212" t="s">
        <v>53</v>
      </c>
      <c r="AD5212" t="s">
        <v>53</v>
      </c>
      <c r="AK5212">
        <v>0</v>
      </c>
      <c r="AU5212" s="6">
        <v>42124</v>
      </c>
      <c r="AV5212" s="6">
        <v>42124</v>
      </c>
      <c r="AW5212" t="s">
        <v>54</v>
      </c>
      <c r="AX5212" t="str">
        <f t="shared" si="442"/>
        <v>FOR</v>
      </c>
      <c r="AY5212" t="s">
        <v>55</v>
      </c>
    </row>
    <row r="5213" spans="1:51" hidden="1">
      <c r="A5213">
        <v>102310</v>
      </c>
      <c r="B5213" t="s">
        <v>956</v>
      </c>
      <c r="C5213" t="str">
        <f t="shared" si="445"/>
        <v>00936980622</v>
      </c>
      <c r="D5213" t="str">
        <f t="shared" si="445"/>
        <v>00936980622</v>
      </c>
      <c r="E5213" t="s">
        <v>52</v>
      </c>
      <c r="F5213">
        <v>2014</v>
      </c>
      <c r="G5213">
        <v>278</v>
      </c>
      <c r="H5213" s="1">
        <v>41739</v>
      </c>
      <c r="I5213" s="1">
        <v>42108</v>
      </c>
      <c r="J5213" s="1">
        <v>42108</v>
      </c>
      <c r="K5213" s="1">
        <v>42168</v>
      </c>
      <c r="N5213" s="5"/>
      <c r="O5213" s="2">
        <v>2459.52</v>
      </c>
      <c r="P5213">
        <v>-44</v>
      </c>
      <c r="Q5213" s="2">
        <v>-108218.88</v>
      </c>
      <c r="R5213">
        <v>0</v>
      </c>
      <c r="V5213">
        <v>0</v>
      </c>
      <c r="W5213">
        <v>0</v>
      </c>
      <c r="X5213">
        <v>0</v>
      </c>
      <c r="Y5213">
        <v>0</v>
      </c>
      <c r="Z5213" s="2">
        <v>2459.52</v>
      </c>
      <c r="AA5213">
        <v>0</v>
      </c>
      <c r="AB5213" s="1">
        <v>42382</v>
      </c>
      <c r="AC5213" t="s">
        <v>53</v>
      </c>
      <c r="AD5213" t="s">
        <v>53</v>
      </c>
      <c r="AK5213">
        <v>0</v>
      </c>
      <c r="AU5213" s="6">
        <v>42124</v>
      </c>
      <c r="AV5213" s="6">
        <v>42124</v>
      </c>
      <c r="AW5213" t="s">
        <v>54</v>
      </c>
      <c r="AX5213" t="str">
        <f t="shared" si="442"/>
        <v>FOR</v>
      </c>
      <c r="AY5213" t="s">
        <v>55</v>
      </c>
    </row>
    <row r="5214" spans="1:51" hidden="1">
      <c r="A5214">
        <v>102310</v>
      </c>
      <c r="B5214" t="s">
        <v>956</v>
      </c>
      <c r="C5214" t="str">
        <f t="shared" si="445"/>
        <v>00936980622</v>
      </c>
      <c r="D5214" t="str">
        <f t="shared" si="445"/>
        <v>00936980622</v>
      </c>
      <c r="E5214" t="s">
        <v>52</v>
      </c>
      <c r="F5214">
        <v>2014</v>
      </c>
      <c r="G5214">
        <v>279</v>
      </c>
      <c r="H5214" s="1">
        <v>41739</v>
      </c>
      <c r="I5214" s="1">
        <v>42108</v>
      </c>
      <c r="J5214" s="1">
        <v>42108</v>
      </c>
      <c r="K5214" s="1">
        <v>42168</v>
      </c>
      <c r="N5214" s="5"/>
      <c r="O5214" s="2">
        <v>2854.8</v>
      </c>
      <c r="P5214">
        <v>-44</v>
      </c>
      <c r="Q5214" s="2">
        <v>-125611.2</v>
      </c>
      <c r="R5214">
        <v>0</v>
      </c>
      <c r="V5214">
        <v>0</v>
      </c>
      <c r="W5214">
        <v>0</v>
      </c>
      <c r="X5214">
        <v>0</v>
      </c>
      <c r="Y5214">
        <v>0</v>
      </c>
      <c r="Z5214" s="2">
        <v>2854.8</v>
      </c>
      <c r="AA5214">
        <v>0</v>
      </c>
      <c r="AB5214" s="1">
        <v>42382</v>
      </c>
      <c r="AC5214" t="s">
        <v>53</v>
      </c>
      <c r="AD5214" t="s">
        <v>53</v>
      </c>
      <c r="AK5214">
        <v>0</v>
      </c>
      <c r="AU5214" s="6">
        <v>42124</v>
      </c>
      <c r="AV5214" s="6">
        <v>42124</v>
      </c>
      <c r="AW5214" t="s">
        <v>54</v>
      </c>
      <c r="AX5214" t="str">
        <f t="shared" si="442"/>
        <v>FOR</v>
      </c>
      <c r="AY5214" t="s">
        <v>55</v>
      </c>
    </row>
    <row r="5215" spans="1:51" hidden="1">
      <c r="A5215">
        <v>102310</v>
      </c>
      <c r="B5215" t="s">
        <v>956</v>
      </c>
      <c r="C5215" t="str">
        <f t="shared" si="445"/>
        <v>00936980622</v>
      </c>
      <c r="D5215" t="str">
        <f t="shared" si="445"/>
        <v>00936980622</v>
      </c>
      <c r="E5215" t="s">
        <v>52</v>
      </c>
      <c r="F5215">
        <v>2014</v>
      </c>
      <c r="G5215">
        <v>280</v>
      </c>
      <c r="H5215" s="1">
        <v>41739</v>
      </c>
      <c r="I5215" s="1">
        <v>42108</v>
      </c>
      <c r="J5215" s="1">
        <v>42108</v>
      </c>
      <c r="K5215" s="1">
        <v>42168</v>
      </c>
      <c r="N5215" s="5"/>
      <c r="O5215" s="2">
        <v>2042.28</v>
      </c>
      <c r="P5215">
        <v>-44</v>
      </c>
      <c r="Q5215" s="2">
        <v>-89860.32</v>
      </c>
      <c r="R5215">
        <v>0</v>
      </c>
      <c r="V5215">
        <v>0</v>
      </c>
      <c r="W5215">
        <v>0</v>
      </c>
      <c r="X5215">
        <v>0</v>
      </c>
      <c r="Y5215">
        <v>0</v>
      </c>
      <c r="Z5215" s="2">
        <v>2042.28</v>
      </c>
      <c r="AA5215">
        <v>0</v>
      </c>
      <c r="AB5215" s="1">
        <v>42382</v>
      </c>
      <c r="AC5215" t="s">
        <v>53</v>
      </c>
      <c r="AD5215" t="s">
        <v>53</v>
      </c>
      <c r="AK5215">
        <v>0</v>
      </c>
      <c r="AU5215" s="6">
        <v>42124</v>
      </c>
      <c r="AV5215" s="6">
        <v>42124</v>
      </c>
      <c r="AW5215" t="s">
        <v>54</v>
      </c>
      <c r="AX5215" t="str">
        <f t="shared" si="442"/>
        <v>FOR</v>
      </c>
      <c r="AY5215" t="s">
        <v>55</v>
      </c>
    </row>
    <row r="5216" spans="1:51" hidden="1">
      <c r="A5216">
        <v>102310</v>
      </c>
      <c r="B5216" t="s">
        <v>956</v>
      </c>
      <c r="C5216" t="str">
        <f t="shared" si="445"/>
        <v>00936980622</v>
      </c>
      <c r="D5216" t="str">
        <f t="shared" si="445"/>
        <v>00936980622</v>
      </c>
      <c r="E5216" t="s">
        <v>52</v>
      </c>
      <c r="F5216">
        <v>2014</v>
      </c>
      <c r="G5216">
        <v>327</v>
      </c>
      <c r="H5216" s="1">
        <v>41774</v>
      </c>
      <c r="I5216" s="1">
        <v>42164</v>
      </c>
      <c r="J5216" s="1">
        <v>42164</v>
      </c>
      <c r="K5216" s="1">
        <v>42224</v>
      </c>
      <c r="N5216" s="5"/>
      <c r="O5216" s="2">
        <v>2221.2199999999998</v>
      </c>
      <c r="P5216">
        <v>-60</v>
      </c>
      <c r="Q5216" s="2">
        <v>-133273.20000000001</v>
      </c>
      <c r="R5216">
        <v>0</v>
      </c>
      <c r="V5216">
        <v>0</v>
      </c>
      <c r="W5216">
        <v>0</v>
      </c>
      <c r="X5216">
        <v>0</v>
      </c>
      <c r="Y5216">
        <v>0</v>
      </c>
      <c r="Z5216" s="2">
        <v>2221.2199999999998</v>
      </c>
      <c r="AA5216">
        <v>0</v>
      </c>
      <c r="AB5216" s="1">
        <v>42382</v>
      </c>
      <c r="AC5216" t="s">
        <v>53</v>
      </c>
      <c r="AD5216" t="s">
        <v>53</v>
      </c>
      <c r="AK5216">
        <v>0</v>
      </c>
      <c r="AU5216" s="6">
        <v>42164</v>
      </c>
      <c r="AV5216" s="6">
        <v>42164</v>
      </c>
      <c r="AW5216" t="s">
        <v>54</v>
      </c>
      <c r="AX5216" t="str">
        <f t="shared" si="442"/>
        <v>FOR</v>
      </c>
      <c r="AY5216" t="s">
        <v>55</v>
      </c>
    </row>
    <row r="5217" spans="1:51" hidden="1">
      <c r="A5217">
        <v>102310</v>
      </c>
      <c r="B5217" t="s">
        <v>956</v>
      </c>
      <c r="C5217" t="str">
        <f t="shared" si="445"/>
        <v>00936980622</v>
      </c>
      <c r="D5217" t="str">
        <f t="shared" si="445"/>
        <v>00936980622</v>
      </c>
      <c r="E5217" t="s">
        <v>52</v>
      </c>
      <c r="F5217">
        <v>2014</v>
      </c>
      <c r="G5217">
        <v>328</v>
      </c>
      <c r="H5217" s="1">
        <v>41774</v>
      </c>
      <c r="I5217" s="1">
        <v>41932</v>
      </c>
      <c r="J5217" s="1">
        <v>41932</v>
      </c>
      <c r="K5217" s="1">
        <v>41992</v>
      </c>
      <c r="N5217" s="5"/>
      <c r="O5217" s="2">
        <v>2234.21</v>
      </c>
      <c r="P5217">
        <v>70</v>
      </c>
      <c r="Q5217" s="2">
        <v>156394.70000000001</v>
      </c>
      <c r="R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 s="1">
        <v>42382</v>
      </c>
      <c r="AC5217" t="s">
        <v>53</v>
      </c>
      <c r="AD5217" t="s">
        <v>53</v>
      </c>
      <c r="AK5217">
        <v>0</v>
      </c>
      <c r="AU5217" s="6">
        <v>42062</v>
      </c>
      <c r="AV5217" s="6">
        <v>42062</v>
      </c>
      <c r="AW5217" t="s">
        <v>54</v>
      </c>
      <c r="AX5217" t="str">
        <f t="shared" si="442"/>
        <v>FOR</v>
      </c>
      <c r="AY5217" t="s">
        <v>55</v>
      </c>
    </row>
    <row r="5218" spans="1:51" hidden="1">
      <c r="A5218">
        <v>102310</v>
      </c>
      <c r="B5218" t="s">
        <v>956</v>
      </c>
      <c r="C5218" t="str">
        <f t="shared" si="445"/>
        <v>00936980622</v>
      </c>
      <c r="D5218" t="str">
        <f t="shared" si="445"/>
        <v>00936980622</v>
      </c>
      <c r="E5218" t="s">
        <v>52</v>
      </c>
      <c r="F5218">
        <v>2014</v>
      </c>
      <c r="G5218">
        <v>369</v>
      </c>
      <c r="H5218" s="1">
        <v>41794</v>
      </c>
      <c r="I5218" s="1">
        <v>41932</v>
      </c>
      <c r="J5218" s="1">
        <v>41932</v>
      </c>
      <c r="K5218" s="1">
        <v>41992</v>
      </c>
      <c r="N5218" s="5"/>
      <c r="O5218" s="2">
        <v>2234.21</v>
      </c>
      <c r="P5218">
        <v>70</v>
      </c>
      <c r="Q5218" s="2">
        <v>156394.70000000001</v>
      </c>
      <c r="R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 s="1">
        <v>42382</v>
      </c>
      <c r="AC5218" t="s">
        <v>53</v>
      </c>
      <c r="AD5218" t="s">
        <v>53</v>
      </c>
      <c r="AK5218">
        <v>0</v>
      </c>
      <c r="AU5218" s="6">
        <v>42062</v>
      </c>
      <c r="AV5218" s="6">
        <v>42062</v>
      </c>
      <c r="AW5218" t="s">
        <v>54</v>
      </c>
      <c r="AX5218" t="str">
        <f t="shared" si="442"/>
        <v>FOR</v>
      </c>
      <c r="AY5218" t="s">
        <v>55</v>
      </c>
    </row>
    <row r="5219" spans="1:51" hidden="1">
      <c r="A5219">
        <v>102310</v>
      </c>
      <c r="B5219" t="s">
        <v>956</v>
      </c>
      <c r="C5219" t="str">
        <f t="shared" si="445"/>
        <v>00936980622</v>
      </c>
      <c r="D5219" t="str">
        <f t="shared" si="445"/>
        <v>00936980622</v>
      </c>
      <c r="E5219" t="s">
        <v>52</v>
      </c>
      <c r="F5219">
        <v>2014</v>
      </c>
      <c r="G5219">
        <v>370</v>
      </c>
      <c r="H5219" s="1">
        <v>41794</v>
      </c>
      <c r="I5219" s="1">
        <v>42249</v>
      </c>
      <c r="J5219" s="1">
        <v>42249</v>
      </c>
      <c r="K5219" s="1">
        <v>42309</v>
      </c>
      <c r="N5219" s="5"/>
      <c r="O5219" s="2">
        <v>2203.48</v>
      </c>
      <c r="P5219">
        <v>-59</v>
      </c>
      <c r="Q5219" s="2">
        <v>-130005.32</v>
      </c>
      <c r="R5219">
        <v>0</v>
      </c>
      <c r="V5219">
        <v>0</v>
      </c>
      <c r="W5219">
        <v>0</v>
      </c>
      <c r="X5219">
        <v>0</v>
      </c>
      <c r="Y5219">
        <v>0</v>
      </c>
      <c r="Z5219" s="2">
        <v>2203.48</v>
      </c>
      <c r="AA5219">
        <v>0</v>
      </c>
      <c r="AB5219" s="1">
        <v>42382</v>
      </c>
      <c r="AC5219" t="s">
        <v>53</v>
      </c>
      <c r="AD5219" t="s">
        <v>53</v>
      </c>
      <c r="AK5219">
        <v>0</v>
      </c>
      <c r="AU5219" s="6">
        <v>42250</v>
      </c>
      <c r="AV5219" s="6">
        <v>42250</v>
      </c>
      <c r="AW5219" t="s">
        <v>54</v>
      </c>
      <c r="AX5219" t="str">
        <f t="shared" si="442"/>
        <v>FOR</v>
      </c>
      <c r="AY5219" t="s">
        <v>55</v>
      </c>
    </row>
    <row r="5220" spans="1:51" hidden="1">
      <c r="A5220">
        <v>102310</v>
      </c>
      <c r="B5220" t="s">
        <v>956</v>
      </c>
      <c r="C5220" t="str">
        <f t="shared" si="445"/>
        <v>00936980622</v>
      </c>
      <c r="D5220" t="str">
        <f t="shared" si="445"/>
        <v>00936980622</v>
      </c>
      <c r="E5220" t="s">
        <v>52</v>
      </c>
      <c r="F5220">
        <v>2014</v>
      </c>
      <c r="G5220">
        <v>371</v>
      </c>
      <c r="H5220" s="1">
        <v>41794</v>
      </c>
      <c r="I5220" s="1">
        <v>42177</v>
      </c>
      <c r="J5220" s="1">
        <v>42177</v>
      </c>
      <c r="K5220" s="1">
        <v>42237</v>
      </c>
      <c r="N5220" s="5"/>
      <c r="O5220" s="2">
        <v>1482.3</v>
      </c>
      <c r="P5220">
        <v>-53</v>
      </c>
      <c r="Q5220" s="2">
        <v>-78561.899999999994</v>
      </c>
      <c r="R5220">
        <v>0</v>
      </c>
      <c r="V5220">
        <v>0</v>
      </c>
      <c r="W5220">
        <v>0</v>
      </c>
      <c r="X5220">
        <v>0</v>
      </c>
      <c r="Y5220">
        <v>0</v>
      </c>
      <c r="Z5220" s="2">
        <v>1482.3</v>
      </c>
      <c r="AA5220">
        <v>0</v>
      </c>
      <c r="AB5220" s="1">
        <v>42382</v>
      </c>
      <c r="AC5220" t="s">
        <v>53</v>
      </c>
      <c r="AD5220" t="s">
        <v>53</v>
      </c>
      <c r="AK5220">
        <v>0</v>
      </c>
      <c r="AU5220" s="6">
        <v>42184</v>
      </c>
      <c r="AV5220" s="6">
        <v>42184</v>
      </c>
      <c r="AW5220" t="s">
        <v>54</v>
      </c>
      <c r="AX5220" t="str">
        <f t="shared" si="442"/>
        <v>FOR</v>
      </c>
      <c r="AY5220" t="s">
        <v>55</v>
      </c>
    </row>
    <row r="5221" spans="1:51" hidden="1">
      <c r="A5221">
        <v>102310</v>
      </c>
      <c r="B5221" t="s">
        <v>956</v>
      </c>
      <c r="C5221" t="str">
        <f t="shared" ref="C5221:D5244" si="446">"00936980622"</f>
        <v>00936980622</v>
      </c>
      <c r="D5221" t="str">
        <f t="shared" si="446"/>
        <v>00936980622</v>
      </c>
      <c r="E5221" t="s">
        <v>52</v>
      </c>
      <c r="F5221">
        <v>2014</v>
      </c>
      <c r="G5221">
        <v>523</v>
      </c>
      <c r="H5221" s="1">
        <v>41842</v>
      </c>
      <c r="I5221" s="1">
        <v>41932</v>
      </c>
      <c r="J5221" s="1">
        <v>41932</v>
      </c>
      <c r="K5221" s="1">
        <v>41992</v>
      </c>
      <c r="N5221" s="5"/>
      <c r="O5221" s="2">
        <v>2234.21</v>
      </c>
      <c r="P5221">
        <v>101</v>
      </c>
      <c r="Q5221" s="2">
        <v>225655.21</v>
      </c>
      <c r="R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 s="1">
        <v>42382</v>
      </c>
      <c r="AC5221" t="s">
        <v>53</v>
      </c>
      <c r="AD5221" t="s">
        <v>53</v>
      </c>
      <c r="AK5221">
        <v>0</v>
      </c>
      <c r="AU5221" s="6">
        <v>42093</v>
      </c>
      <c r="AV5221" s="6">
        <v>42093</v>
      </c>
      <c r="AW5221" t="s">
        <v>54</v>
      </c>
      <c r="AX5221" t="str">
        <f t="shared" si="442"/>
        <v>FOR</v>
      </c>
      <c r="AY5221" t="s">
        <v>55</v>
      </c>
    </row>
    <row r="5222" spans="1:51" hidden="1">
      <c r="A5222">
        <v>102310</v>
      </c>
      <c r="B5222" t="s">
        <v>956</v>
      </c>
      <c r="C5222" t="str">
        <f t="shared" si="446"/>
        <v>00936980622</v>
      </c>
      <c r="D5222" t="str">
        <f t="shared" si="446"/>
        <v>00936980622</v>
      </c>
      <c r="E5222" t="s">
        <v>52</v>
      </c>
      <c r="F5222">
        <v>2014</v>
      </c>
      <c r="G5222">
        <v>524</v>
      </c>
      <c r="H5222" s="1">
        <v>41842</v>
      </c>
      <c r="I5222" s="1">
        <v>42249</v>
      </c>
      <c r="J5222" s="1">
        <v>42249</v>
      </c>
      <c r="K5222" s="1">
        <v>42309</v>
      </c>
      <c r="N5222" s="5"/>
      <c r="O5222" s="2">
        <v>1361.11</v>
      </c>
      <c r="P5222">
        <v>-32</v>
      </c>
      <c r="Q5222" s="2">
        <v>-43555.519999999997</v>
      </c>
      <c r="R5222">
        <v>0</v>
      </c>
      <c r="V5222">
        <v>0</v>
      </c>
      <c r="W5222">
        <v>0</v>
      </c>
      <c r="X5222">
        <v>0</v>
      </c>
      <c r="Y5222">
        <v>0</v>
      </c>
      <c r="Z5222" s="2">
        <v>1361.11</v>
      </c>
      <c r="AA5222">
        <v>0</v>
      </c>
      <c r="AB5222" s="1">
        <v>42382</v>
      </c>
      <c r="AC5222" t="s">
        <v>53</v>
      </c>
      <c r="AD5222" t="s">
        <v>53</v>
      </c>
      <c r="AK5222">
        <v>0</v>
      </c>
      <c r="AU5222" s="6">
        <v>42277</v>
      </c>
      <c r="AV5222" s="6">
        <v>42277</v>
      </c>
      <c r="AW5222" t="s">
        <v>54</v>
      </c>
      <c r="AX5222" t="str">
        <f t="shared" si="442"/>
        <v>FOR</v>
      </c>
      <c r="AY5222" t="s">
        <v>55</v>
      </c>
    </row>
    <row r="5223" spans="1:51" hidden="1">
      <c r="A5223">
        <v>102310</v>
      </c>
      <c r="B5223" t="s">
        <v>956</v>
      </c>
      <c r="C5223" t="str">
        <f t="shared" si="446"/>
        <v>00936980622</v>
      </c>
      <c r="D5223" t="str">
        <f t="shared" si="446"/>
        <v>00936980622</v>
      </c>
      <c r="E5223" t="s">
        <v>52</v>
      </c>
      <c r="F5223">
        <v>2014</v>
      </c>
      <c r="G5223">
        <v>540</v>
      </c>
      <c r="H5223" s="1">
        <v>41886</v>
      </c>
      <c r="I5223" s="1">
        <v>41932</v>
      </c>
      <c r="J5223" s="1">
        <v>41932</v>
      </c>
      <c r="K5223" s="1">
        <v>41992</v>
      </c>
      <c r="N5223" s="5"/>
      <c r="O5223" s="2">
        <v>2234.21</v>
      </c>
      <c r="P5223">
        <v>101</v>
      </c>
      <c r="Q5223" s="2">
        <v>225655.21</v>
      </c>
      <c r="R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 s="1">
        <v>42382</v>
      </c>
      <c r="AC5223" t="s">
        <v>53</v>
      </c>
      <c r="AD5223" t="s">
        <v>53</v>
      </c>
      <c r="AK5223">
        <v>0</v>
      </c>
      <c r="AU5223" s="6">
        <v>42093</v>
      </c>
      <c r="AV5223" s="6">
        <v>42093</v>
      </c>
      <c r="AW5223" t="s">
        <v>54</v>
      </c>
      <c r="AX5223" t="str">
        <f t="shared" si="442"/>
        <v>FOR</v>
      </c>
      <c r="AY5223" t="s">
        <v>55</v>
      </c>
    </row>
    <row r="5224" spans="1:51" hidden="1">
      <c r="A5224">
        <v>102310</v>
      </c>
      <c r="B5224" t="s">
        <v>956</v>
      </c>
      <c r="C5224" t="str">
        <f t="shared" si="446"/>
        <v>00936980622</v>
      </c>
      <c r="D5224" t="str">
        <f t="shared" si="446"/>
        <v>00936980622</v>
      </c>
      <c r="E5224" t="s">
        <v>52</v>
      </c>
      <c r="F5224">
        <v>2014</v>
      </c>
      <c r="G5224">
        <v>541</v>
      </c>
      <c r="H5224" s="1">
        <v>41886</v>
      </c>
      <c r="I5224" s="1">
        <v>41932</v>
      </c>
      <c r="J5224" s="1">
        <v>41932</v>
      </c>
      <c r="K5224" s="1">
        <v>41992</v>
      </c>
      <c r="N5224" s="5"/>
      <c r="O5224" s="2">
        <v>2234.21</v>
      </c>
      <c r="P5224">
        <v>101</v>
      </c>
      <c r="Q5224" s="2">
        <v>225655.21</v>
      </c>
      <c r="R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 s="1">
        <v>42382</v>
      </c>
      <c r="AC5224" t="s">
        <v>53</v>
      </c>
      <c r="AD5224" t="s">
        <v>53</v>
      </c>
      <c r="AK5224">
        <v>0</v>
      </c>
      <c r="AU5224" s="6">
        <v>42093</v>
      </c>
      <c r="AV5224" s="6">
        <v>42093</v>
      </c>
      <c r="AW5224" t="s">
        <v>54</v>
      </c>
      <c r="AX5224" t="str">
        <f t="shared" si="442"/>
        <v>FOR</v>
      </c>
      <c r="AY5224" t="s">
        <v>55</v>
      </c>
    </row>
    <row r="5225" spans="1:51" hidden="1">
      <c r="A5225">
        <v>102310</v>
      </c>
      <c r="B5225" t="s">
        <v>956</v>
      </c>
      <c r="C5225" t="str">
        <f t="shared" si="446"/>
        <v>00936980622</v>
      </c>
      <c r="D5225" t="str">
        <f t="shared" si="446"/>
        <v>00936980622</v>
      </c>
      <c r="E5225" t="s">
        <v>52</v>
      </c>
      <c r="F5225">
        <v>2014</v>
      </c>
      <c r="G5225">
        <v>542</v>
      </c>
      <c r="H5225" s="1">
        <v>41886</v>
      </c>
      <c r="I5225" s="1">
        <v>42249</v>
      </c>
      <c r="J5225" s="1">
        <v>42249</v>
      </c>
      <c r="K5225" s="1">
        <v>42309</v>
      </c>
      <c r="N5225" s="5"/>
      <c r="O5225">
        <v>596.67999999999995</v>
      </c>
      <c r="P5225">
        <v>-59</v>
      </c>
      <c r="Q5225" s="2">
        <v>-35204.120000000003</v>
      </c>
      <c r="R5225">
        <v>0</v>
      </c>
      <c r="V5225">
        <v>0</v>
      </c>
      <c r="W5225">
        <v>0</v>
      </c>
      <c r="X5225">
        <v>0</v>
      </c>
      <c r="Y5225">
        <v>0</v>
      </c>
      <c r="Z5225">
        <v>596.67999999999995</v>
      </c>
      <c r="AA5225">
        <v>0</v>
      </c>
      <c r="AB5225" s="1">
        <v>42382</v>
      </c>
      <c r="AC5225" t="s">
        <v>53</v>
      </c>
      <c r="AD5225" t="s">
        <v>53</v>
      </c>
      <c r="AK5225">
        <v>0</v>
      </c>
      <c r="AU5225" s="6">
        <v>42250</v>
      </c>
      <c r="AV5225" s="6">
        <v>42250</v>
      </c>
      <c r="AW5225" t="s">
        <v>54</v>
      </c>
      <c r="AX5225" t="str">
        <f t="shared" si="442"/>
        <v>FOR</v>
      </c>
      <c r="AY5225" t="s">
        <v>55</v>
      </c>
    </row>
    <row r="5226" spans="1:51" hidden="1">
      <c r="A5226">
        <v>102310</v>
      </c>
      <c r="B5226" t="s">
        <v>956</v>
      </c>
      <c r="C5226" t="str">
        <f t="shared" si="446"/>
        <v>00936980622</v>
      </c>
      <c r="D5226" t="str">
        <f t="shared" si="446"/>
        <v>00936980622</v>
      </c>
      <c r="E5226" t="s">
        <v>52</v>
      </c>
      <c r="F5226">
        <v>2014</v>
      </c>
      <c r="G5226">
        <v>543</v>
      </c>
      <c r="H5226" s="1">
        <v>41886</v>
      </c>
      <c r="I5226" s="1">
        <v>42249</v>
      </c>
      <c r="J5226" s="1">
        <v>42249</v>
      </c>
      <c r="K5226" s="1">
        <v>42309</v>
      </c>
      <c r="N5226" s="5"/>
      <c r="O5226">
        <v>586.16</v>
      </c>
      <c r="P5226">
        <v>-59</v>
      </c>
      <c r="Q5226" s="2">
        <v>-34583.440000000002</v>
      </c>
      <c r="R5226">
        <v>0</v>
      </c>
      <c r="V5226">
        <v>0</v>
      </c>
      <c r="W5226">
        <v>0</v>
      </c>
      <c r="X5226">
        <v>0</v>
      </c>
      <c r="Y5226">
        <v>0</v>
      </c>
      <c r="Z5226">
        <v>586.16</v>
      </c>
      <c r="AA5226">
        <v>0</v>
      </c>
      <c r="AB5226" s="1">
        <v>42382</v>
      </c>
      <c r="AC5226" t="s">
        <v>53</v>
      </c>
      <c r="AD5226" t="s">
        <v>53</v>
      </c>
      <c r="AK5226">
        <v>0</v>
      </c>
      <c r="AU5226" s="6">
        <v>42250</v>
      </c>
      <c r="AV5226" s="6">
        <v>42250</v>
      </c>
      <c r="AW5226" t="s">
        <v>54</v>
      </c>
      <c r="AX5226" t="str">
        <f t="shared" si="442"/>
        <v>FOR</v>
      </c>
      <c r="AY5226" t="s">
        <v>55</v>
      </c>
    </row>
    <row r="5227" spans="1:51">
      <c r="A5227">
        <v>102310</v>
      </c>
      <c r="B5227" t="s">
        <v>956</v>
      </c>
      <c r="C5227" t="str">
        <f t="shared" si="446"/>
        <v>00936980622</v>
      </c>
      <c r="D5227" t="str">
        <f t="shared" si="446"/>
        <v>00936980622</v>
      </c>
      <c r="E5227" t="s">
        <v>52</v>
      </c>
      <c r="F5227">
        <v>2014</v>
      </c>
      <c r="G5227">
        <v>668</v>
      </c>
      <c r="H5227" s="1">
        <v>41943</v>
      </c>
      <c r="I5227" s="1">
        <v>42313</v>
      </c>
      <c r="J5227" s="1">
        <v>42313</v>
      </c>
      <c r="K5227" s="1">
        <v>42373</v>
      </c>
      <c r="L5227" s="7">
        <v>2234.21</v>
      </c>
      <c r="M5227" s="5">
        <v>-34</v>
      </c>
      <c r="N5227" s="7">
        <v>-75963.14</v>
      </c>
      <c r="O5227" s="2">
        <v>2234.21</v>
      </c>
      <c r="P5227">
        <v>-34</v>
      </c>
      <c r="Q5227" s="2">
        <v>-75963.14</v>
      </c>
      <c r="R5227">
        <v>0</v>
      </c>
      <c r="V5227">
        <v>0</v>
      </c>
      <c r="W5227" s="2">
        <v>2234.21</v>
      </c>
      <c r="X5227">
        <v>0</v>
      </c>
      <c r="Y5227" s="2">
        <v>2234.21</v>
      </c>
      <c r="Z5227" s="2">
        <v>2234.21</v>
      </c>
      <c r="AA5227">
        <v>0</v>
      </c>
      <c r="AB5227" s="1">
        <v>42382</v>
      </c>
      <c r="AC5227" t="s">
        <v>53</v>
      </c>
      <c r="AD5227" t="s">
        <v>53</v>
      </c>
      <c r="AK5227">
        <v>0</v>
      </c>
      <c r="AU5227" s="6">
        <v>42339</v>
      </c>
      <c r="AV5227" s="6">
        <v>42339</v>
      </c>
      <c r="AW5227" t="s">
        <v>54</v>
      </c>
      <c r="AX5227" t="str">
        <f t="shared" si="442"/>
        <v>FOR</v>
      </c>
      <c r="AY5227" t="s">
        <v>55</v>
      </c>
    </row>
    <row r="5228" spans="1:51">
      <c r="A5228">
        <v>102310</v>
      </c>
      <c r="B5228" t="s">
        <v>956</v>
      </c>
      <c r="C5228" t="str">
        <f t="shared" si="446"/>
        <v>00936980622</v>
      </c>
      <c r="D5228" t="str">
        <f t="shared" si="446"/>
        <v>00936980622</v>
      </c>
      <c r="E5228" t="s">
        <v>52</v>
      </c>
      <c r="F5228">
        <v>2014</v>
      </c>
      <c r="G5228">
        <v>669</v>
      </c>
      <c r="H5228" s="1">
        <v>41943</v>
      </c>
      <c r="I5228" s="1">
        <v>42313</v>
      </c>
      <c r="J5228" s="1">
        <v>42313</v>
      </c>
      <c r="K5228" s="1">
        <v>42373</v>
      </c>
      <c r="L5228" s="7">
        <v>2234.21</v>
      </c>
      <c r="M5228" s="5">
        <v>-34</v>
      </c>
      <c r="N5228" s="7">
        <v>-75963.14</v>
      </c>
      <c r="O5228" s="2">
        <v>2234.21</v>
      </c>
      <c r="P5228">
        <v>-34</v>
      </c>
      <c r="Q5228" s="2">
        <v>-75963.14</v>
      </c>
      <c r="R5228">
        <v>0</v>
      </c>
      <c r="V5228">
        <v>0</v>
      </c>
      <c r="W5228" s="2">
        <v>2234.21</v>
      </c>
      <c r="X5228">
        <v>0</v>
      </c>
      <c r="Y5228" s="2">
        <v>2234.21</v>
      </c>
      <c r="Z5228" s="2">
        <v>2234.21</v>
      </c>
      <c r="AA5228">
        <v>0</v>
      </c>
      <c r="AB5228" s="1">
        <v>42382</v>
      </c>
      <c r="AC5228" t="s">
        <v>53</v>
      </c>
      <c r="AD5228" t="s">
        <v>53</v>
      </c>
      <c r="AK5228">
        <v>0</v>
      </c>
      <c r="AU5228" s="6">
        <v>42339</v>
      </c>
      <c r="AV5228" s="6">
        <v>42339</v>
      </c>
      <c r="AW5228" t="s">
        <v>54</v>
      </c>
      <c r="AX5228" t="str">
        <f t="shared" si="442"/>
        <v>FOR</v>
      </c>
      <c r="AY5228" t="s">
        <v>55</v>
      </c>
    </row>
    <row r="5229" spans="1:51" hidden="1">
      <c r="A5229">
        <v>102310</v>
      </c>
      <c r="B5229" t="s">
        <v>956</v>
      </c>
      <c r="C5229" t="str">
        <f t="shared" si="446"/>
        <v>00936980622</v>
      </c>
      <c r="D5229" t="str">
        <f t="shared" si="446"/>
        <v>00936980622</v>
      </c>
      <c r="E5229" t="s">
        <v>52</v>
      </c>
      <c r="F5229">
        <v>2014</v>
      </c>
      <c r="G5229">
        <v>680</v>
      </c>
      <c r="H5229" s="1">
        <v>41976</v>
      </c>
      <c r="I5229" s="1">
        <v>42164</v>
      </c>
      <c r="J5229" s="1">
        <v>42164</v>
      </c>
      <c r="K5229" s="1">
        <v>42224</v>
      </c>
      <c r="N5229" s="5"/>
      <c r="O5229" s="2">
        <v>2740.18</v>
      </c>
      <c r="P5229">
        <v>-60</v>
      </c>
      <c r="Q5229" s="2">
        <v>-164410.79999999999</v>
      </c>
      <c r="R5229">
        <v>0</v>
      </c>
      <c r="V5229">
        <v>0</v>
      </c>
      <c r="W5229">
        <v>0</v>
      </c>
      <c r="X5229">
        <v>0</v>
      </c>
      <c r="Y5229">
        <v>0</v>
      </c>
      <c r="Z5229" s="2">
        <v>2740.18</v>
      </c>
      <c r="AA5229">
        <v>0</v>
      </c>
      <c r="AB5229" s="1">
        <v>42382</v>
      </c>
      <c r="AC5229" t="s">
        <v>53</v>
      </c>
      <c r="AD5229" t="s">
        <v>53</v>
      </c>
      <c r="AK5229">
        <v>0</v>
      </c>
      <c r="AU5229" s="6">
        <v>42164</v>
      </c>
      <c r="AV5229" s="6">
        <v>42164</v>
      </c>
      <c r="AW5229" t="s">
        <v>54</v>
      </c>
      <c r="AX5229" t="str">
        <f t="shared" si="442"/>
        <v>FOR</v>
      </c>
      <c r="AY5229" t="s">
        <v>55</v>
      </c>
    </row>
    <row r="5230" spans="1:51" hidden="1">
      <c r="A5230">
        <v>102310</v>
      </c>
      <c r="B5230" t="s">
        <v>956</v>
      </c>
      <c r="C5230" t="str">
        <f t="shared" si="446"/>
        <v>00936980622</v>
      </c>
      <c r="D5230" t="str">
        <f t="shared" si="446"/>
        <v>00936980622</v>
      </c>
      <c r="E5230" t="s">
        <v>52</v>
      </c>
      <c r="F5230">
        <v>2014</v>
      </c>
      <c r="G5230">
        <v>681</v>
      </c>
      <c r="H5230" s="1">
        <v>41976</v>
      </c>
      <c r="I5230" s="1">
        <v>42249</v>
      </c>
      <c r="J5230" s="1">
        <v>42249</v>
      </c>
      <c r="K5230" s="1">
        <v>42309</v>
      </c>
      <c r="N5230" s="5"/>
      <c r="O5230">
        <v>612.55999999999995</v>
      </c>
      <c r="P5230">
        <v>-59</v>
      </c>
      <c r="Q5230" s="2">
        <v>-36141.040000000001</v>
      </c>
      <c r="R5230">
        <v>0</v>
      </c>
      <c r="V5230">
        <v>0</v>
      </c>
      <c r="W5230">
        <v>0</v>
      </c>
      <c r="X5230">
        <v>0</v>
      </c>
      <c r="Y5230">
        <v>0</v>
      </c>
      <c r="Z5230">
        <v>612.55999999999995</v>
      </c>
      <c r="AA5230">
        <v>0</v>
      </c>
      <c r="AB5230" s="1">
        <v>42382</v>
      </c>
      <c r="AC5230" t="s">
        <v>53</v>
      </c>
      <c r="AD5230" t="s">
        <v>53</v>
      </c>
      <c r="AK5230">
        <v>0</v>
      </c>
      <c r="AU5230" s="6">
        <v>42250</v>
      </c>
      <c r="AV5230" s="6">
        <v>42250</v>
      </c>
      <c r="AW5230" t="s">
        <v>54</v>
      </c>
      <c r="AX5230" t="str">
        <f t="shared" si="442"/>
        <v>FOR</v>
      </c>
      <c r="AY5230" t="s">
        <v>55</v>
      </c>
    </row>
    <row r="5231" spans="1:51" hidden="1">
      <c r="A5231">
        <v>102310</v>
      </c>
      <c r="B5231" t="s">
        <v>956</v>
      </c>
      <c r="C5231" t="str">
        <f t="shared" si="446"/>
        <v>00936980622</v>
      </c>
      <c r="D5231" t="str">
        <f t="shared" si="446"/>
        <v>00936980622</v>
      </c>
      <c r="E5231" t="s">
        <v>52</v>
      </c>
      <c r="F5231">
        <v>2015</v>
      </c>
      <c r="G5231" t="s">
        <v>957</v>
      </c>
      <c r="H5231" s="1">
        <v>42187</v>
      </c>
      <c r="I5231" s="1">
        <v>42198</v>
      </c>
      <c r="J5231" s="1">
        <v>42194</v>
      </c>
      <c r="K5231" s="1">
        <v>42254</v>
      </c>
      <c r="N5231" s="5"/>
      <c r="O5231" s="2">
        <v>3645</v>
      </c>
      <c r="P5231">
        <v>23</v>
      </c>
      <c r="Q5231" s="2">
        <v>83835</v>
      </c>
      <c r="R5231">
        <v>0</v>
      </c>
      <c r="V5231">
        <v>0</v>
      </c>
      <c r="W5231">
        <v>0</v>
      </c>
      <c r="X5231">
        <v>0</v>
      </c>
      <c r="Y5231" s="2">
        <v>4446.8999999999996</v>
      </c>
      <c r="Z5231" s="2">
        <v>4446.8999999999996</v>
      </c>
      <c r="AA5231" s="2">
        <v>4446.8999999999996</v>
      </c>
      <c r="AB5231" s="1">
        <v>42382</v>
      </c>
      <c r="AC5231" t="s">
        <v>53</v>
      </c>
      <c r="AD5231" t="s">
        <v>53</v>
      </c>
      <c r="AK5231">
        <v>0</v>
      </c>
      <c r="AU5231" s="6">
        <v>42277</v>
      </c>
      <c r="AV5231" s="6">
        <v>42277</v>
      </c>
      <c r="AW5231" t="s">
        <v>54</v>
      </c>
      <c r="AX5231" t="str">
        <f t="shared" si="442"/>
        <v>FOR</v>
      </c>
      <c r="AY5231" t="s">
        <v>55</v>
      </c>
    </row>
    <row r="5232" spans="1:51" hidden="1">
      <c r="A5232">
        <v>102310</v>
      </c>
      <c r="B5232" t="s">
        <v>956</v>
      </c>
      <c r="C5232" t="str">
        <f t="shared" si="446"/>
        <v>00936980622</v>
      </c>
      <c r="D5232" t="str">
        <f t="shared" si="446"/>
        <v>00936980622</v>
      </c>
      <c r="E5232" t="s">
        <v>52</v>
      </c>
      <c r="F5232">
        <v>2015</v>
      </c>
      <c r="G5232" t="s">
        <v>958</v>
      </c>
      <c r="H5232" s="1">
        <v>42207</v>
      </c>
      <c r="I5232" s="1">
        <v>42233</v>
      </c>
      <c r="J5232" s="1">
        <v>42208</v>
      </c>
      <c r="K5232" s="1">
        <v>42268</v>
      </c>
      <c r="N5232" s="5"/>
      <c r="O5232">
        <v>951.71</v>
      </c>
      <c r="P5232">
        <v>9</v>
      </c>
      <c r="Q5232" s="2">
        <v>8565.39</v>
      </c>
      <c r="R5232">
        <v>0</v>
      </c>
      <c r="V5232">
        <v>0</v>
      </c>
      <c r="W5232">
        <v>0</v>
      </c>
      <c r="X5232">
        <v>0</v>
      </c>
      <c r="Y5232" s="2">
        <v>1161.0899999999999</v>
      </c>
      <c r="Z5232" s="2">
        <v>1161.0899999999999</v>
      </c>
      <c r="AA5232" s="2">
        <v>1161.0899999999999</v>
      </c>
      <c r="AB5232" s="1">
        <v>42382</v>
      </c>
      <c r="AC5232" t="s">
        <v>53</v>
      </c>
      <c r="AD5232" t="s">
        <v>53</v>
      </c>
      <c r="AK5232">
        <v>0</v>
      </c>
      <c r="AU5232" s="6">
        <v>42277</v>
      </c>
      <c r="AV5232" s="6">
        <v>42277</v>
      </c>
      <c r="AW5232" t="s">
        <v>54</v>
      </c>
      <c r="AX5232" t="str">
        <f t="shared" si="442"/>
        <v>FOR</v>
      </c>
      <c r="AY5232" t="s">
        <v>55</v>
      </c>
    </row>
    <row r="5233" spans="1:51">
      <c r="A5233">
        <v>102310</v>
      </c>
      <c r="B5233" t="s">
        <v>956</v>
      </c>
      <c r="C5233" t="str">
        <f t="shared" si="446"/>
        <v>00936980622</v>
      </c>
      <c r="D5233" t="str">
        <f t="shared" si="446"/>
        <v>00936980622</v>
      </c>
      <c r="E5233" t="s">
        <v>52</v>
      </c>
      <c r="F5233">
        <v>2015</v>
      </c>
      <c r="G5233">
        <v>128</v>
      </c>
      <c r="H5233" s="1">
        <v>42040</v>
      </c>
      <c r="I5233" s="1">
        <v>42313</v>
      </c>
      <c r="J5233" s="1">
        <v>42313</v>
      </c>
      <c r="K5233" s="1">
        <v>42373</v>
      </c>
      <c r="L5233" s="7">
        <v>1831.32</v>
      </c>
      <c r="M5233" s="5">
        <v>-34</v>
      </c>
      <c r="N5233" s="7">
        <v>-62264.88</v>
      </c>
      <c r="O5233" s="2">
        <v>1831.32</v>
      </c>
      <c r="P5233">
        <v>-34</v>
      </c>
      <c r="Q5233" s="2">
        <v>-62264.88</v>
      </c>
      <c r="R5233">
        <v>402.89</v>
      </c>
      <c r="V5233">
        <v>0</v>
      </c>
      <c r="W5233" s="2">
        <v>2234.21</v>
      </c>
      <c r="X5233">
        <v>0</v>
      </c>
      <c r="Y5233" s="2">
        <v>2234.21</v>
      </c>
      <c r="Z5233" s="2">
        <v>2234.21</v>
      </c>
      <c r="AA5233" s="2">
        <v>2234.21</v>
      </c>
      <c r="AB5233" s="1">
        <v>42382</v>
      </c>
      <c r="AC5233" t="s">
        <v>53</v>
      </c>
      <c r="AD5233" t="s">
        <v>53</v>
      </c>
      <c r="AK5233">
        <v>0</v>
      </c>
      <c r="AM5233">
        <v>402.89</v>
      </c>
      <c r="AU5233" s="6">
        <v>42339</v>
      </c>
      <c r="AV5233" s="6">
        <v>42339</v>
      </c>
      <c r="AW5233" t="s">
        <v>54</v>
      </c>
      <c r="AX5233" t="str">
        <f t="shared" si="442"/>
        <v>FOR</v>
      </c>
      <c r="AY5233" t="s">
        <v>55</v>
      </c>
    </row>
    <row r="5234" spans="1:51">
      <c r="A5234">
        <v>102310</v>
      </c>
      <c r="B5234" t="s">
        <v>956</v>
      </c>
      <c r="C5234" t="str">
        <f t="shared" si="446"/>
        <v>00936980622</v>
      </c>
      <c r="D5234" t="str">
        <f t="shared" si="446"/>
        <v>00936980622</v>
      </c>
      <c r="E5234" t="s">
        <v>52</v>
      </c>
      <c r="F5234">
        <v>2015</v>
      </c>
      <c r="G5234">
        <v>129</v>
      </c>
      <c r="H5234" s="1">
        <v>42040</v>
      </c>
      <c r="I5234" s="1">
        <v>42313</v>
      </c>
      <c r="J5234" s="1">
        <v>42313</v>
      </c>
      <c r="K5234" s="1">
        <v>42373</v>
      </c>
      <c r="L5234" s="7">
        <v>1831.32</v>
      </c>
      <c r="M5234" s="5">
        <v>-34</v>
      </c>
      <c r="N5234" s="7">
        <v>-62264.88</v>
      </c>
      <c r="O5234" s="2">
        <v>1831.32</v>
      </c>
      <c r="P5234">
        <v>-34</v>
      </c>
      <c r="Q5234" s="2">
        <v>-62264.88</v>
      </c>
      <c r="R5234">
        <v>402.89</v>
      </c>
      <c r="V5234">
        <v>0</v>
      </c>
      <c r="W5234" s="2">
        <v>2234.21</v>
      </c>
      <c r="X5234">
        <v>0</v>
      </c>
      <c r="Y5234" s="2">
        <v>2234.21</v>
      </c>
      <c r="Z5234" s="2">
        <v>2234.21</v>
      </c>
      <c r="AA5234" s="2">
        <v>2234.21</v>
      </c>
      <c r="AB5234" s="1">
        <v>42382</v>
      </c>
      <c r="AC5234" t="s">
        <v>53</v>
      </c>
      <c r="AD5234" t="s">
        <v>53</v>
      </c>
      <c r="AK5234">
        <v>0</v>
      </c>
      <c r="AM5234">
        <v>402.89</v>
      </c>
      <c r="AU5234" s="6">
        <v>42339</v>
      </c>
      <c r="AV5234" s="6">
        <v>42339</v>
      </c>
      <c r="AW5234" t="s">
        <v>54</v>
      </c>
      <c r="AX5234" t="str">
        <f t="shared" si="442"/>
        <v>FOR</v>
      </c>
      <c r="AY5234" t="s">
        <v>55</v>
      </c>
    </row>
    <row r="5235" spans="1:51" hidden="1">
      <c r="A5235">
        <v>102310</v>
      </c>
      <c r="B5235" t="s">
        <v>956</v>
      </c>
      <c r="C5235" t="str">
        <f t="shared" si="446"/>
        <v>00936980622</v>
      </c>
      <c r="D5235" t="str">
        <f t="shared" si="446"/>
        <v>00936980622</v>
      </c>
      <c r="E5235" t="s">
        <v>52</v>
      </c>
      <c r="F5235">
        <v>2015</v>
      </c>
      <c r="G5235" t="s">
        <v>959</v>
      </c>
      <c r="H5235" s="1">
        <v>42207</v>
      </c>
      <c r="I5235" s="1">
        <v>42233</v>
      </c>
      <c r="J5235" s="1">
        <v>42208</v>
      </c>
      <c r="K5235" s="1">
        <v>42268</v>
      </c>
      <c r="N5235" s="5"/>
      <c r="O5235" s="2">
        <v>4064.21</v>
      </c>
      <c r="P5235">
        <v>9</v>
      </c>
      <c r="Q5235" s="2">
        <v>36577.89</v>
      </c>
      <c r="R5235">
        <v>0</v>
      </c>
      <c r="V5235">
        <v>0</v>
      </c>
      <c r="W5235">
        <v>0</v>
      </c>
      <c r="X5235">
        <v>0</v>
      </c>
      <c r="Y5235" s="2">
        <v>4958.34</v>
      </c>
      <c r="Z5235" s="2">
        <v>4958.34</v>
      </c>
      <c r="AA5235" s="2">
        <v>4958.34</v>
      </c>
      <c r="AB5235" s="1">
        <v>42382</v>
      </c>
      <c r="AC5235" t="s">
        <v>53</v>
      </c>
      <c r="AD5235" t="s">
        <v>53</v>
      </c>
      <c r="AK5235">
        <v>0</v>
      </c>
      <c r="AU5235" s="6">
        <v>42277</v>
      </c>
      <c r="AV5235" s="6">
        <v>42277</v>
      </c>
      <c r="AW5235" t="s">
        <v>54</v>
      </c>
      <c r="AX5235" t="str">
        <f t="shared" si="442"/>
        <v>FOR</v>
      </c>
      <c r="AY5235" t="s">
        <v>55</v>
      </c>
    </row>
    <row r="5236" spans="1:51" hidden="1">
      <c r="A5236">
        <v>102310</v>
      </c>
      <c r="B5236" t="s">
        <v>956</v>
      </c>
      <c r="C5236" t="str">
        <f t="shared" si="446"/>
        <v>00936980622</v>
      </c>
      <c r="D5236" t="str">
        <f t="shared" si="446"/>
        <v>00936980622</v>
      </c>
      <c r="E5236" t="s">
        <v>52</v>
      </c>
      <c r="F5236">
        <v>2015</v>
      </c>
      <c r="G5236">
        <v>130</v>
      </c>
      <c r="H5236" s="1">
        <v>42040</v>
      </c>
      <c r="I5236" s="1">
        <v>42249</v>
      </c>
      <c r="J5236" s="1">
        <v>42249</v>
      </c>
      <c r="K5236" s="1">
        <v>42309</v>
      </c>
      <c r="N5236" s="5"/>
      <c r="O5236" s="2">
        <v>3375</v>
      </c>
      <c r="P5236">
        <v>-59</v>
      </c>
      <c r="Q5236" s="2">
        <v>-199125</v>
      </c>
      <c r="R5236">
        <v>0</v>
      </c>
      <c r="V5236">
        <v>0</v>
      </c>
      <c r="W5236">
        <v>0</v>
      </c>
      <c r="X5236">
        <v>0</v>
      </c>
      <c r="Y5236" s="2">
        <v>4117.5</v>
      </c>
      <c r="Z5236" s="2">
        <v>4117.5</v>
      </c>
      <c r="AA5236" s="2">
        <v>4117.5</v>
      </c>
      <c r="AB5236" s="1">
        <v>42382</v>
      </c>
      <c r="AC5236" t="s">
        <v>53</v>
      </c>
      <c r="AD5236" t="s">
        <v>53</v>
      </c>
      <c r="AK5236">
        <v>0</v>
      </c>
      <c r="AU5236" s="6">
        <v>42250</v>
      </c>
      <c r="AV5236" s="6">
        <v>42250</v>
      </c>
      <c r="AW5236" t="s">
        <v>54</v>
      </c>
      <c r="AX5236" t="str">
        <f t="shared" si="442"/>
        <v>FOR</v>
      </c>
      <c r="AY5236" t="s">
        <v>55</v>
      </c>
    </row>
    <row r="5237" spans="1:51" hidden="1">
      <c r="A5237">
        <v>102310</v>
      </c>
      <c r="B5237" t="s">
        <v>956</v>
      </c>
      <c r="C5237" t="str">
        <f t="shared" si="446"/>
        <v>00936980622</v>
      </c>
      <c r="D5237" t="str">
        <f t="shared" si="446"/>
        <v>00936980622</v>
      </c>
      <c r="E5237" t="s">
        <v>52</v>
      </c>
      <c r="F5237">
        <v>2015</v>
      </c>
      <c r="G5237">
        <v>131</v>
      </c>
      <c r="H5237" s="1">
        <v>42040</v>
      </c>
      <c r="I5237" s="1">
        <v>42172</v>
      </c>
      <c r="J5237" s="1">
        <v>42172</v>
      </c>
      <c r="K5237" s="1">
        <v>42232</v>
      </c>
      <c r="N5237" s="5"/>
      <c r="O5237">
        <v>476.05</v>
      </c>
      <c r="P5237">
        <v>-51</v>
      </c>
      <c r="Q5237" s="2">
        <v>-24278.55</v>
      </c>
      <c r="R5237">
        <v>0</v>
      </c>
      <c r="V5237">
        <v>0</v>
      </c>
      <c r="W5237">
        <v>0</v>
      </c>
      <c r="X5237">
        <v>0</v>
      </c>
      <c r="Y5237">
        <v>580.78</v>
      </c>
      <c r="Z5237">
        <v>580.78</v>
      </c>
      <c r="AA5237">
        <v>580.78</v>
      </c>
      <c r="AB5237" s="1">
        <v>42382</v>
      </c>
      <c r="AC5237" t="s">
        <v>53</v>
      </c>
      <c r="AD5237" t="s">
        <v>53</v>
      </c>
      <c r="AK5237">
        <v>0</v>
      </c>
      <c r="AU5237" s="6">
        <v>42181</v>
      </c>
      <c r="AV5237" s="6">
        <v>42181</v>
      </c>
      <c r="AW5237" t="s">
        <v>54</v>
      </c>
      <c r="AX5237" t="str">
        <f t="shared" si="442"/>
        <v>FOR</v>
      </c>
      <c r="AY5237" t="s">
        <v>55</v>
      </c>
    </row>
    <row r="5238" spans="1:51" hidden="1">
      <c r="A5238">
        <v>102310</v>
      </c>
      <c r="B5238" t="s">
        <v>956</v>
      </c>
      <c r="C5238" t="str">
        <f t="shared" si="446"/>
        <v>00936980622</v>
      </c>
      <c r="D5238" t="str">
        <f t="shared" si="446"/>
        <v>00936980622</v>
      </c>
      <c r="E5238" t="s">
        <v>52</v>
      </c>
      <c r="F5238">
        <v>2015</v>
      </c>
      <c r="G5238">
        <v>132</v>
      </c>
      <c r="H5238" s="1">
        <v>42040</v>
      </c>
      <c r="I5238" s="1">
        <v>42150</v>
      </c>
      <c r="J5238" s="1">
        <v>42150</v>
      </c>
      <c r="K5238" s="1">
        <v>42210</v>
      </c>
      <c r="N5238" s="5"/>
      <c r="O5238">
        <v>377.85</v>
      </c>
      <c r="P5238">
        <v>-47</v>
      </c>
      <c r="Q5238" s="2">
        <v>-17758.95</v>
      </c>
      <c r="R5238">
        <v>0</v>
      </c>
      <c r="V5238">
        <v>0</v>
      </c>
      <c r="W5238">
        <v>0</v>
      </c>
      <c r="X5238">
        <v>0</v>
      </c>
      <c r="Y5238">
        <v>460.98</v>
      </c>
      <c r="Z5238">
        <v>460.98</v>
      </c>
      <c r="AA5238">
        <v>460.98</v>
      </c>
      <c r="AB5238" s="1">
        <v>42382</v>
      </c>
      <c r="AC5238" t="s">
        <v>53</v>
      </c>
      <c r="AD5238" t="s">
        <v>53</v>
      </c>
      <c r="AK5238">
        <v>0</v>
      </c>
      <c r="AU5238" s="6">
        <v>42163</v>
      </c>
      <c r="AV5238" s="6">
        <v>42163</v>
      </c>
      <c r="AW5238" t="s">
        <v>54</v>
      </c>
      <c r="AX5238" t="str">
        <f t="shared" si="442"/>
        <v>FOR</v>
      </c>
      <c r="AY5238" t="s">
        <v>55</v>
      </c>
    </row>
    <row r="5239" spans="1:51">
      <c r="A5239">
        <v>102310</v>
      </c>
      <c r="B5239" t="s">
        <v>956</v>
      </c>
      <c r="C5239" t="str">
        <f t="shared" si="446"/>
        <v>00936980622</v>
      </c>
      <c r="D5239" t="str">
        <f t="shared" si="446"/>
        <v>00936980622</v>
      </c>
      <c r="E5239" t="s">
        <v>52</v>
      </c>
      <c r="F5239">
        <v>2015</v>
      </c>
      <c r="G5239">
        <v>138</v>
      </c>
      <c r="H5239" s="1">
        <v>42061</v>
      </c>
      <c r="I5239" s="1">
        <v>42313</v>
      </c>
      <c r="J5239" s="1">
        <v>42313</v>
      </c>
      <c r="K5239" s="1">
        <v>42373</v>
      </c>
      <c r="L5239" s="7">
        <v>1831.32</v>
      </c>
      <c r="M5239" s="5">
        <v>-34</v>
      </c>
      <c r="N5239" s="7">
        <v>-62264.88</v>
      </c>
      <c r="O5239" s="2">
        <v>1831.32</v>
      </c>
      <c r="P5239">
        <v>-34</v>
      </c>
      <c r="Q5239" s="2">
        <v>-62264.88</v>
      </c>
      <c r="R5239">
        <v>402.89</v>
      </c>
      <c r="V5239">
        <v>0</v>
      </c>
      <c r="W5239" s="2">
        <v>2234.21</v>
      </c>
      <c r="X5239">
        <v>0</v>
      </c>
      <c r="Y5239" s="2">
        <v>2234.21</v>
      </c>
      <c r="Z5239" s="2">
        <v>2234.21</v>
      </c>
      <c r="AA5239" s="2">
        <v>2234.21</v>
      </c>
      <c r="AB5239" s="1">
        <v>42382</v>
      </c>
      <c r="AC5239" t="s">
        <v>53</v>
      </c>
      <c r="AD5239" t="s">
        <v>53</v>
      </c>
      <c r="AK5239">
        <v>0</v>
      </c>
      <c r="AM5239">
        <v>402.89</v>
      </c>
      <c r="AU5239" s="6">
        <v>42339</v>
      </c>
      <c r="AV5239" s="6">
        <v>42339</v>
      </c>
      <c r="AW5239" t="s">
        <v>54</v>
      </c>
      <c r="AX5239" t="str">
        <f t="shared" si="442"/>
        <v>FOR</v>
      </c>
      <c r="AY5239" t="s">
        <v>55</v>
      </c>
    </row>
    <row r="5240" spans="1:51">
      <c r="A5240">
        <v>102310</v>
      </c>
      <c r="B5240" t="s">
        <v>956</v>
      </c>
      <c r="C5240" t="str">
        <f t="shared" si="446"/>
        <v>00936980622</v>
      </c>
      <c r="D5240" t="str">
        <f t="shared" si="446"/>
        <v>00936980622</v>
      </c>
      <c r="E5240" t="s">
        <v>52</v>
      </c>
      <c r="F5240">
        <v>2015</v>
      </c>
      <c r="G5240" t="s">
        <v>960</v>
      </c>
      <c r="H5240" s="1">
        <v>42262</v>
      </c>
      <c r="I5240" s="1">
        <v>42264</v>
      </c>
      <c r="J5240" s="1">
        <v>42264</v>
      </c>
      <c r="K5240" s="1">
        <v>42324</v>
      </c>
      <c r="L5240" s="7">
        <v>951.71</v>
      </c>
      <c r="M5240" s="5">
        <v>-24</v>
      </c>
      <c r="N5240" s="7">
        <v>-22841.040000000001</v>
      </c>
      <c r="O5240">
        <v>951.71</v>
      </c>
      <c r="P5240">
        <v>-24</v>
      </c>
      <c r="Q5240" s="2">
        <v>-22841.040000000001</v>
      </c>
      <c r="R5240">
        <v>0</v>
      </c>
      <c r="V5240">
        <v>0</v>
      </c>
      <c r="W5240">
        <v>0</v>
      </c>
      <c r="X5240">
        <v>0</v>
      </c>
      <c r="Y5240" s="2">
        <v>1161.0899999999999</v>
      </c>
      <c r="Z5240" s="2">
        <v>1161.0899999999999</v>
      </c>
      <c r="AA5240" s="2">
        <v>1161.0899999999999</v>
      </c>
      <c r="AB5240" s="1">
        <v>42382</v>
      </c>
      <c r="AC5240" t="s">
        <v>53</v>
      </c>
      <c r="AD5240" t="s">
        <v>53</v>
      </c>
      <c r="AK5240">
        <v>0</v>
      </c>
      <c r="AU5240" s="6">
        <v>42300</v>
      </c>
      <c r="AV5240" s="6">
        <v>42300</v>
      </c>
      <c r="AW5240" t="s">
        <v>54</v>
      </c>
      <c r="AX5240" t="str">
        <f t="shared" si="442"/>
        <v>FOR</v>
      </c>
      <c r="AY5240" t="s">
        <v>55</v>
      </c>
    </row>
    <row r="5241" spans="1:51">
      <c r="A5241">
        <v>102310</v>
      </c>
      <c r="B5241" t="s">
        <v>956</v>
      </c>
      <c r="C5241" t="str">
        <f t="shared" si="446"/>
        <v>00936980622</v>
      </c>
      <c r="D5241" t="str">
        <f t="shared" si="446"/>
        <v>00936980622</v>
      </c>
      <c r="E5241" t="s">
        <v>52</v>
      </c>
      <c r="F5241">
        <v>2015</v>
      </c>
      <c r="G5241" t="s">
        <v>961</v>
      </c>
      <c r="H5241" s="1">
        <v>42262</v>
      </c>
      <c r="I5241" s="1">
        <v>42264</v>
      </c>
      <c r="J5241" s="1">
        <v>42264</v>
      </c>
      <c r="K5241" s="1">
        <v>42324</v>
      </c>
      <c r="L5241" s="7">
        <v>3395.91</v>
      </c>
      <c r="M5241" s="5">
        <v>-24</v>
      </c>
      <c r="N5241" s="7">
        <v>-81501.84</v>
      </c>
      <c r="O5241" s="2">
        <v>3395.91</v>
      </c>
      <c r="P5241">
        <v>-24</v>
      </c>
      <c r="Q5241" s="2">
        <v>-81501.84</v>
      </c>
      <c r="R5241">
        <v>0</v>
      </c>
      <c r="V5241">
        <v>0</v>
      </c>
      <c r="W5241">
        <v>0</v>
      </c>
      <c r="X5241">
        <v>0</v>
      </c>
      <c r="Y5241" s="2">
        <v>4143.01</v>
      </c>
      <c r="Z5241" s="2">
        <v>4143.01</v>
      </c>
      <c r="AA5241" s="2">
        <v>4143.01</v>
      </c>
      <c r="AB5241" s="1">
        <v>42382</v>
      </c>
      <c r="AC5241" t="s">
        <v>53</v>
      </c>
      <c r="AD5241" t="s">
        <v>53</v>
      </c>
      <c r="AK5241">
        <v>0</v>
      </c>
      <c r="AU5241" s="6">
        <v>42300</v>
      </c>
      <c r="AV5241" s="6">
        <v>42300</v>
      </c>
      <c r="AW5241" t="s">
        <v>54</v>
      </c>
      <c r="AX5241" t="str">
        <f t="shared" si="442"/>
        <v>FOR</v>
      </c>
      <c r="AY5241" t="s">
        <v>55</v>
      </c>
    </row>
    <row r="5242" spans="1:51" hidden="1">
      <c r="A5242">
        <v>102310</v>
      </c>
      <c r="B5242" t="s">
        <v>956</v>
      </c>
      <c r="C5242" t="str">
        <f t="shared" si="446"/>
        <v>00936980622</v>
      </c>
      <c r="D5242" t="str">
        <f t="shared" si="446"/>
        <v>00936980622</v>
      </c>
      <c r="E5242" t="s">
        <v>52</v>
      </c>
      <c r="F5242">
        <v>2015</v>
      </c>
      <c r="G5242">
        <v>161</v>
      </c>
      <c r="H5242" s="1">
        <v>41676</v>
      </c>
      <c r="I5242" s="1">
        <v>42150</v>
      </c>
      <c r="J5242" s="1">
        <v>42150</v>
      </c>
      <c r="K5242" s="1">
        <v>42210</v>
      </c>
      <c r="N5242" s="5"/>
      <c r="O5242" s="2">
        <v>2321.11</v>
      </c>
      <c r="P5242">
        <v>-47</v>
      </c>
      <c r="Q5242" s="2">
        <v>-109092.17</v>
      </c>
      <c r="R5242">
        <v>0</v>
      </c>
      <c r="V5242">
        <v>0</v>
      </c>
      <c r="W5242">
        <v>0</v>
      </c>
      <c r="X5242">
        <v>0</v>
      </c>
      <c r="Y5242" s="2">
        <v>2321.11</v>
      </c>
      <c r="Z5242" s="2">
        <v>2321.11</v>
      </c>
      <c r="AA5242">
        <v>0</v>
      </c>
      <c r="AB5242" s="1">
        <v>42382</v>
      </c>
      <c r="AC5242" t="s">
        <v>53</v>
      </c>
      <c r="AD5242" t="s">
        <v>53</v>
      </c>
      <c r="AK5242">
        <v>0</v>
      </c>
      <c r="AU5242" s="6">
        <v>42163</v>
      </c>
      <c r="AV5242" s="6">
        <v>42163</v>
      </c>
      <c r="AW5242" t="s">
        <v>54</v>
      </c>
      <c r="AX5242" t="str">
        <f t="shared" si="442"/>
        <v>FOR</v>
      </c>
      <c r="AY5242" t="s">
        <v>55</v>
      </c>
    </row>
    <row r="5243" spans="1:51" hidden="1">
      <c r="A5243">
        <v>102310</v>
      </c>
      <c r="B5243" t="s">
        <v>956</v>
      </c>
      <c r="C5243" t="str">
        <f t="shared" si="446"/>
        <v>00936980622</v>
      </c>
      <c r="D5243" t="str">
        <f t="shared" si="446"/>
        <v>00936980622</v>
      </c>
      <c r="E5243" t="s">
        <v>52</v>
      </c>
      <c r="F5243">
        <v>2015</v>
      </c>
      <c r="G5243">
        <v>163</v>
      </c>
      <c r="H5243" s="1">
        <v>41683</v>
      </c>
      <c r="I5243" s="1">
        <v>42150</v>
      </c>
      <c r="J5243" s="1">
        <v>42150</v>
      </c>
      <c r="K5243" s="1">
        <v>42210</v>
      </c>
      <c r="N5243" s="5"/>
      <c r="O5243" s="2">
        <v>2126.25</v>
      </c>
      <c r="P5243">
        <v>-47</v>
      </c>
      <c r="Q5243" s="2">
        <v>-99933.75</v>
      </c>
      <c r="R5243">
        <v>0</v>
      </c>
      <c r="V5243">
        <v>0</v>
      </c>
      <c r="W5243">
        <v>0</v>
      </c>
      <c r="X5243">
        <v>0</v>
      </c>
      <c r="Y5243" s="2">
        <v>2126.25</v>
      </c>
      <c r="Z5243" s="2">
        <v>2126.25</v>
      </c>
      <c r="AA5243">
        <v>0</v>
      </c>
      <c r="AB5243" s="1">
        <v>42382</v>
      </c>
      <c r="AC5243" t="s">
        <v>53</v>
      </c>
      <c r="AD5243" t="s">
        <v>53</v>
      </c>
      <c r="AK5243">
        <v>0</v>
      </c>
      <c r="AU5243" s="6">
        <v>42163</v>
      </c>
      <c r="AV5243" s="6">
        <v>42163</v>
      </c>
      <c r="AW5243" t="s">
        <v>54</v>
      </c>
      <c r="AX5243" t="str">
        <f t="shared" si="442"/>
        <v>FOR</v>
      </c>
      <c r="AY5243" t="s">
        <v>55</v>
      </c>
    </row>
    <row r="5244" spans="1:51">
      <c r="A5244">
        <v>102310</v>
      </c>
      <c r="B5244" t="s">
        <v>956</v>
      </c>
      <c r="C5244" t="str">
        <f t="shared" si="446"/>
        <v>00936980622</v>
      </c>
      <c r="D5244" t="str">
        <f t="shared" si="446"/>
        <v>00936980622</v>
      </c>
      <c r="E5244" t="s">
        <v>52</v>
      </c>
      <c r="F5244">
        <v>2015</v>
      </c>
      <c r="G5244" t="s">
        <v>962</v>
      </c>
      <c r="H5244" s="1">
        <v>42271</v>
      </c>
      <c r="I5244" s="1">
        <v>42276</v>
      </c>
      <c r="J5244" s="1">
        <v>42275</v>
      </c>
      <c r="K5244" s="1">
        <v>42335</v>
      </c>
      <c r="L5244" s="7">
        <v>3662.64</v>
      </c>
      <c r="M5244" s="5">
        <v>-35</v>
      </c>
      <c r="N5244" s="7">
        <v>-128192.4</v>
      </c>
      <c r="O5244" s="2">
        <v>3662.64</v>
      </c>
      <c r="P5244">
        <v>-35</v>
      </c>
      <c r="Q5244" s="2">
        <v>-128192.4</v>
      </c>
      <c r="R5244">
        <v>0</v>
      </c>
      <c r="V5244">
        <v>0</v>
      </c>
      <c r="W5244">
        <v>0</v>
      </c>
      <c r="X5244">
        <v>0</v>
      </c>
      <c r="Y5244" s="2">
        <v>4468.42</v>
      </c>
      <c r="Z5244" s="2">
        <v>4468.42</v>
      </c>
      <c r="AA5244" s="2">
        <v>4468.42</v>
      </c>
      <c r="AB5244" s="1">
        <v>42382</v>
      </c>
      <c r="AC5244" t="s">
        <v>53</v>
      </c>
      <c r="AD5244" t="s">
        <v>53</v>
      </c>
      <c r="AK5244">
        <v>0</v>
      </c>
      <c r="AU5244" s="6">
        <v>42300</v>
      </c>
      <c r="AV5244" s="6">
        <v>42300</v>
      </c>
      <c r="AW5244" t="s">
        <v>54</v>
      </c>
      <c r="AX5244" t="str">
        <f t="shared" si="442"/>
        <v>FOR</v>
      </c>
      <c r="AY5244" t="s">
        <v>55</v>
      </c>
    </row>
    <row r="5245" spans="1:51" hidden="1">
      <c r="A5245">
        <v>102373</v>
      </c>
      <c r="B5245" t="s">
        <v>963</v>
      </c>
      <c r="C5245" t="str">
        <f t="shared" ref="C5245:D5250" si="447">"00735390155"</f>
        <v>00735390155</v>
      </c>
      <c r="D5245" t="str">
        <f t="shared" si="447"/>
        <v>00735390155</v>
      </c>
      <c r="E5245" t="s">
        <v>52</v>
      </c>
      <c r="F5245">
        <v>2014</v>
      </c>
      <c r="G5245">
        <v>19992864</v>
      </c>
      <c r="H5245" s="1">
        <v>41710</v>
      </c>
      <c r="I5245" s="1">
        <v>41722</v>
      </c>
      <c r="J5245" s="1">
        <v>41722</v>
      </c>
      <c r="K5245" s="1">
        <v>41812</v>
      </c>
      <c r="N5245" s="5"/>
      <c r="O5245" s="2">
        <v>1419.88</v>
      </c>
      <c r="P5245">
        <v>319</v>
      </c>
      <c r="Q5245" s="2">
        <v>452941.72</v>
      </c>
      <c r="R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 s="1">
        <v>42382</v>
      </c>
      <c r="AC5245" t="s">
        <v>53</v>
      </c>
      <c r="AD5245" t="s">
        <v>53</v>
      </c>
      <c r="AK5245">
        <v>0</v>
      </c>
      <c r="AU5245" s="6">
        <v>42131</v>
      </c>
      <c r="AV5245" s="6">
        <v>42131</v>
      </c>
      <c r="AW5245" t="s">
        <v>54</v>
      </c>
      <c r="AX5245" t="str">
        <f t="shared" si="442"/>
        <v>FOR</v>
      </c>
      <c r="AY5245" t="s">
        <v>55</v>
      </c>
    </row>
    <row r="5246" spans="1:51" hidden="1">
      <c r="A5246">
        <v>102373</v>
      </c>
      <c r="B5246" t="s">
        <v>963</v>
      </c>
      <c r="C5246" t="str">
        <f t="shared" si="447"/>
        <v>00735390155</v>
      </c>
      <c r="D5246" t="str">
        <f t="shared" si="447"/>
        <v>00735390155</v>
      </c>
      <c r="E5246" t="s">
        <v>52</v>
      </c>
      <c r="F5246">
        <v>2014</v>
      </c>
      <c r="G5246">
        <v>20005008</v>
      </c>
      <c r="H5246" s="1">
        <v>41745</v>
      </c>
      <c r="I5246" s="1">
        <v>41765</v>
      </c>
      <c r="J5246" s="1">
        <v>41765</v>
      </c>
      <c r="K5246" s="1">
        <v>41855</v>
      </c>
      <c r="N5246" s="5"/>
      <c r="O5246" s="2">
        <v>1419.88</v>
      </c>
      <c r="P5246">
        <v>276</v>
      </c>
      <c r="Q5246" s="2">
        <v>391886.88</v>
      </c>
      <c r="R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 s="1">
        <v>42382</v>
      </c>
      <c r="AC5246" t="s">
        <v>53</v>
      </c>
      <c r="AD5246" t="s">
        <v>53</v>
      </c>
      <c r="AK5246">
        <v>0</v>
      </c>
      <c r="AU5246" s="6">
        <v>42131</v>
      </c>
      <c r="AV5246" s="6">
        <v>42131</v>
      </c>
      <c r="AW5246" t="s">
        <v>54</v>
      </c>
      <c r="AX5246" t="str">
        <f t="shared" si="442"/>
        <v>FOR</v>
      </c>
      <c r="AY5246" t="s">
        <v>55</v>
      </c>
    </row>
    <row r="5247" spans="1:51" hidden="1">
      <c r="A5247">
        <v>102373</v>
      </c>
      <c r="B5247" t="s">
        <v>963</v>
      </c>
      <c r="C5247" t="str">
        <f t="shared" si="447"/>
        <v>00735390155</v>
      </c>
      <c r="D5247" t="str">
        <f t="shared" si="447"/>
        <v>00735390155</v>
      </c>
      <c r="E5247" t="s">
        <v>52</v>
      </c>
      <c r="F5247">
        <v>2014</v>
      </c>
      <c r="G5247">
        <v>20019887</v>
      </c>
      <c r="H5247" s="1">
        <v>41787</v>
      </c>
      <c r="I5247" s="1">
        <v>41796</v>
      </c>
      <c r="J5247" s="1">
        <v>41796</v>
      </c>
      <c r="K5247" s="1">
        <v>41886</v>
      </c>
      <c r="N5247" s="5"/>
      <c r="O5247">
        <v>709.94</v>
      </c>
      <c r="P5247">
        <v>245</v>
      </c>
      <c r="Q5247" s="2">
        <v>173935.3</v>
      </c>
      <c r="R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 s="1">
        <v>42382</v>
      </c>
      <c r="AC5247" t="s">
        <v>53</v>
      </c>
      <c r="AD5247" t="s">
        <v>53</v>
      </c>
      <c r="AK5247">
        <v>0</v>
      </c>
      <c r="AU5247" s="6">
        <v>42131</v>
      </c>
      <c r="AV5247" s="6">
        <v>42131</v>
      </c>
      <c r="AW5247" t="s">
        <v>54</v>
      </c>
      <c r="AX5247" t="str">
        <f t="shared" si="442"/>
        <v>FOR</v>
      </c>
      <c r="AY5247" t="s">
        <v>55</v>
      </c>
    </row>
    <row r="5248" spans="1:51" hidden="1">
      <c r="A5248">
        <v>102373</v>
      </c>
      <c r="B5248" t="s">
        <v>963</v>
      </c>
      <c r="C5248" t="str">
        <f t="shared" si="447"/>
        <v>00735390155</v>
      </c>
      <c r="D5248" t="str">
        <f t="shared" si="447"/>
        <v>00735390155</v>
      </c>
      <c r="E5248" t="s">
        <v>52</v>
      </c>
      <c r="F5248">
        <v>2014</v>
      </c>
      <c r="G5248">
        <v>20030410</v>
      </c>
      <c r="H5248" s="1">
        <v>41816</v>
      </c>
      <c r="I5248" s="1">
        <v>41834</v>
      </c>
      <c r="J5248" s="1">
        <v>41834</v>
      </c>
      <c r="K5248" s="1">
        <v>41924</v>
      </c>
      <c r="N5248" s="5"/>
      <c r="O5248">
        <v>709.94</v>
      </c>
      <c r="P5248">
        <v>207</v>
      </c>
      <c r="Q5248" s="2">
        <v>146957.57999999999</v>
      </c>
      <c r="R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 s="1">
        <v>42382</v>
      </c>
      <c r="AC5248" t="s">
        <v>53</v>
      </c>
      <c r="AD5248" t="s">
        <v>53</v>
      </c>
      <c r="AK5248">
        <v>0</v>
      </c>
      <c r="AU5248" s="6">
        <v>42131</v>
      </c>
      <c r="AV5248" s="6">
        <v>42131</v>
      </c>
      <c r="AW5248" t="s">
        <v>54</v>
      </c>
      <c r="AX5248" t="str">
        <f t="shared" si="442"/>
        <v>FOR</v>
      </c>
      <c r="AY5248" t="s">
        <v>55</v>
      </c>
    </row>
    <row r="5249" spans="1:51" hidden="1">
      <c r="A5249">
        <v>102373</v>
      </c>
      <c r="B5249" t="s">
        <v>963</v>
      </c>
      <c r="C5249" t="str">
        <f t="shared" si="447"/>
        <v>00735390155</v>
      </c>
      <c r="D5249" t="str">
        <f t="shared" si="447"/>
        <v>00735390155</v>
      </c>
      <c r="E5249" t="s">
        <v>52</v>
      </c>
      <c r="F5249">
        <v>2014</v>
      </c>
      <c r="G5249">
        <v>20039638</v>
      </c>
      <c r="H5249" s="1">
        <v>41843</v>
      </c>
      <c r="I5249" s="1">
        <v>41872</v>
      </c>
      <c r="J5249" s="1">
        <v>41872</v>
      </c>
      <c r="K5249" s="1">
        <v>41962</v>
      </c>
      <c r="N5249" s="5"/>
      <c r="O5249">
        <v>709.94</v>
      </c>
      <c r="P5249">
        <v>169</v>
      </c>
      <c r="Q5249" s="2">
        <v>119979.86</v>
      </c>
      <c r="R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 s="1">
        <v>42382</v>
      </c>
      <c r="AC5249" t="s">
        <v>53</v>
      </c>
      <c r="AD5249" t="s">
        <v>53</v>
      </c>
      <c r="AK5249">
        <v>0</v>
      </c>
      <c r="AU5249" s="6">
        <v>42131</v>
      </c>
      <c r="AV5249" s="6">
        <v>42131</v>
      </c>
      <c r="AW5249" t="s">
        <v>54</v>
      </c>
      <c r="AX5249" t="str">
        <f t="shared" si="442"/>
        <v>FOR</v>
      </c>
      <c r="AY5249" t="s">
        <v>55</v>
      </c>
    </row>
    <row r="5250" spans="1:51" hidden="1">
      <c r="A5250">
        <v>102373</v>
      </c>
      <c r="B5250" t="s">
        <v>963</v>
      </c>
      <c r="C5250" t="str">
        <f t="shared" si="447"/>
        <v>00735390155</v>
      </c>
      <c r="D5250" t="str">
        <f t="shared" si="447"/>
        <v>00735390155</v>
      </c>
      <c r="E5250" t="s">
        <v>52</v>
      </c>
      <c r="F5250">
        <v>2014</v>
      </c>
      <c r="G5250">
        <v>20045870</v>
      </c>
      <c r="H5250" s="1">
        <v>41871</v>
      </c>
      <c r="I5250" s="1">
        <v>41879</v>
      </c>
      <c r="J5250" s="1">
        <v>41879</v>
      </c>
      <c r="K5250" s="1">
        <v>41969</v>
      </c>
      <c r="N5250" s="5"/>
      <c r="O5250">
        <v>709.94</v>
      </c>
      <c r="P5250">
        <v>162</v>
      </c>
      <c r="Q5250" s="2">
        <v>115010.28</v>
      </c>
      <c r="R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 s="1">
        <v>42382</v>
      </c>
      <c r="AC5250" t="s">
        <v>53</v>
      </c>
      <c r="AD5250" t="s">
        <v>53</v>
      </c>
      <c r="AK5250">
        <v>0</v>
      </c>
      <c r="AU5250" s="6">
        <v>42131</v>
      </c>
      <c r="AV5250" s="6">
        <v>42131</v>
      </c>
      <c r="AW5250" t="s">
        <v>54</v>
      </c>
      <c r="AX5250" t="str">
        <f t="shared" si="442"/>
        <v>FOR</v>
      </c>
      <c r="AY5250" t="s">
        <v>55</v>
      </c>
    </row>
    <row r="5251" spans="1:51" hidden="1">
      <c r="A5251">
        <v>102629</v>
      </c>
      <c r="B5251" t="s">
        <v>964</v>
      </c>
      <c r="C5251" t="str">
        <f t="shared" ref="C5251:D5270" si="448">"01128810650"</f>
        <v>01128810650</v>
      </c>
      <c r="D5251" t="str">
        <f t="shared" si="448"/>
        <v>01128810650</v>
      </c>
      <c r="E5251" t="s">
        <v>52</v>
      </c>
      <c r="F5251">
        <v>2014</v>
      </c>
      <c r="G5251">
        <v>21</v>
      </c>
      <c r="H5251" s="1">
        <v>41670</v>
      </c>
      <c r="I5251" s="1">
        <v>41684</v>
      </c>
      <c r="J5251" s="1">
        <v>41684</v>
      </c>
      <c r="K5251" s="1">
        <v>41774</v>
      </c>
      <c r="N5251" s="5"/>
      <c r="O5251" s="2">
        <v>2302.14</v>
      </c>
      <c r="P5251">
        <v>250</v>
      </c>
      <c r="Q5251" s="2">
        <v>575535</v>
      </c>
      <c r="R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 s="1">
        <v>42382</v>
      </c>
      <c r="AC5251" t="s">
        <v>53</v>
      </c>
      <c r="AD5251" t="s">
        <v>53</v>
      </c>
      <c r="AK5251">
        <v>0</v>
      </c>
      <c r="AU5251" s="6">
        <v>42024</v>
      </c>
      <c r="AV5251" s="6">
        <v>42024</v>
      </c>
      <c r="AW5251" t="s">
        <v>54</v>
      </c>
      <c r="AX5251" t="str">
        <f t="shared" ref="AX5251:AX5314" si="449">"FOR"</f>
        <v>FOR</v>
      </c>
      <c r="AY5251" t="s">
        <v>55</v>
      </c>
    </row>
    <row r="5252" spans="1:51" hidden="1">
      <c r="A5252">
        <v>102629</v>
      </c>
      <c r="B5252" t="s">
        <v>964</v>
      </c>
      <c r="C5252" t="str">
        <f t="shared" si="448"/>
        <v>01128810650</v>
      </c>
      <c r="D5252" t="str">
        <f t="shared" si="448"/>
        <v>01128810650</v>
      </c>
      <c r="E5252" t="s">
        <v>52</v>
      </c>
      <c r="F5252">
        <v>2014</v>
      </c>
      <c r="G5252">
        <v>37</v>
      </c>
      <c r="H5252" s="1">
        <v>41691</v>
      </c>
      <c r="I5252" s="1">
        <v>41701</v>
      </c>
      <c r="J5252" s="1">
        <v>41701</v>
      </c>
      <c r="K5252" s="1">
        <v>41791</v>
      </c>
      <c r="N5252" s="5"/>
      <c r="O5252" s="2">
        <v>2150.62</v>
      </c>
      <c r="P5252">
        <v>233</v>
      </c>
      <c r="Q5252" s="2">
        <v>501094.46</v>
      </c>
      <c r="R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 s="1">
        <v>42382</v>
      </c>
      <c r="AC5252" t="s">
        <v>53</v>
      </c>
      <c r="AD5252" t="s">
        <v>53</v>
      </c>
      <c r="AK5252">
        <v>0</v>
      </c>
      <c r="AU5252" s="6">
        <v>42024</v>
      </c>
      <c r="AV5252" s="6">
        <v>42024</v>
      </c>
      <c r="AW5252" t="s">
        <v>54</v>
      </c>
      <c r="AX5252" t="str">
        <f t="shared" si="449"/>
        <v>FOR</v>
      </c>
      <c r="AY5252" t="s">
        <v>55</v>
      </c>
    </row>
    <row r="5253" spans="1:51" hidden="1">
      <c r="A5253">
        <v>102629</v>
      </c>
      <c r="B5253" t="s">
        <v>964</v>
      </c>
      <c r="C5253" t="str">
        <f t="shared" si="448"/>
        <v>01128810650</v>
      </c>
      <c r="D5253" t="str">
        <f t="shared" si="448"/>
        <v>01128810650</v>
      </c>
      <c r="E5253" t="s">
        <v>52</v>
      </c>
      <c r="F5253">
        <v>2014</v>
      </c>
      <c r="G5253">
        <v>48</v>
      </c>
      <c r="H5253" s="1">
        <v>41698</v>
      </c>
      <c r="I5253" s="1">
        <v>41711</v>
      </c>
      <c r="J5253" s="1">
        <v>41711</v>
      </c>
      <c r="K5253" s="1">
        <v>41801</v>
      </c>
      <c r="N5253" s="5"/>
      <c r="O5253" s="2">
        <v>1151.07</v>
      </c>
      <c r="P5253">
        <v>236</v>
      </c>
      <c r="Q5253" s="2">
        <v>271652.52</v>
      </c>
      <c r="R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 s="1">
        <v>42382</v>
      </c>
      <c r="AC5253" t="s">
        <v>53</v>
      </c>
      <c r="AD5253" t="s">
        <v>53</v>
      </c>
      <c r="AK5253">
        <v>0</v>
      </c>
      <c r="AU5253" s="6">
        <v>42037</v>
      </c>
      <c r="AV5253" s="6">
        <v>42037</v>
      </c>
      <c r="AW5253" t="s">
        <v>54</v>
      </c>
      <c r="AX5253" t="str">
        <f t="shared" si="449"/>
        <v>FOR</v>
      </c>
      <c r="AY5253" t="s">
        <v>55</v>
      </c>
    </row>
    <row r="5254" spans="1:51" hidden="1">
      <c r="A5254">
        <v>102629</v>
      </c>
      <c r="B5254" t="s">
        <v>964</v>
      </c>
      <c r="C5254" t="str">
        <f t="shared" si="448"/>
        <v>01128810650</v>
      </c>
      <c r="D5254" t="str">
        <f t="shared" si="448"/>
        <v>01128810650</v>
      </c>
      <c r="E5254" t="s">
        <v>52</v>
      </c>
      <c r="F5254">
        <v>2014</v>
      </c>
      <c r="G5254">
        <v>65</v>
      </c>
      <c r="H5254" s="1">
        <v>41726</v>
      </c>
      <c r="I5254" s="1">
        <v>41739</v>
      </c>
      <c r="J5254" s="1">
        <v>41739</v>
      </c>
      <c r="K5254" s="1">
        <v>41829</v>
      </c>
      <c r="N5254" s="5"/>
      <c r="O5254" s="2">
        <v>1534.76</v>
      </c>
      <c r="P5254">
        <v>243</v>
      </c>
      <c r="Q5254" s="2">
        <v>372946.68</v>
      </c>
      <c r="R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 s="1">
        <v>42382</v>
      </c>
      <c r="AC5254" t="s">
        <v>53</v>
      </c>
      <c r="AD5254" t="s">
        <v>53</v>
      </c>
      <c r="AK5254">
        <v>0</v>
      </c>
      <c r="AU5254" s="6">
        <v>42072</v>
      </c>
      <c r="AV5254" s="6">
        <v>42072</v>
      </c>
      <c r="AW5254" t="s">
        <v>54</v>
      </c>
      <c r="AX5254" t="str">
        <f t="shared" si="449"/>
        <v>FOR</v>
      </c>
      <c r="AY5254" t="s">
        <v>55</v>
      </c>
    </row>
    <row r="5255" spans="1:51" hidden="1">
      <c r="A5255">
        <v>102629</v>
      </c>
      <c r="B5255" t="s">
        <v>964</v>
      </c>
      <c r="C5255" t="str">
        <f t="shared" si="448"/>
        <v>01128810650</v>
      </c>
      <c r="D5255" t="str">
        <f t="shared" si="448"/>
        <v>01128810650</v>
      </c>
      <c r="E5255" t="s">
        <v>52</v>
      </c>
      <c r="F5255">
        <v>2014</v>
      </c>
      <c r="G5255">
        <v>66</v>
      </c>
      <c r="H5255" s="1">
        <v>41726</v>
      </c>
      <c r="I5255" s="1">
        <v>41739</v>
      </c>
      <c r="J5255" s="1">
        <v>41739</v>
      </c>
      <c r="K5255" s="1">
        <v>41829</v>
      </c>
      <c r="N5255" s="5"/>
      <c r="O5255" s="2">
        <v>5744.13</v>
      </c>
      <c r="P5255">
        <v>243</v>
      </c>
      <c r="Q5255" s="2">
        <v>1395823.59</v>
      </c>
      <c r="R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 s="1">
        <v>42382</v>
      </c>
      <c r="AC5255" t="s">
        <v>53</v>
      </c>
      <c r="AD5255" t="s">
        <v>53</v>
      </c>
      <c r="AK5255">
        <v>0</v>
      </c>
      <c r="AU5255" s="6">
        <v>42072</v>
      </c>
      <c r="AV5255" s="6">
        <v>42072</v>
      </c>
      <c r="AW5255" t="s">
        <v>54</v>
      </c>
      <c r="AX5255" t="str">
        <f t="shared" si="449"/>
        <v>FOR</v>
      </c>
      <c r="AY5255" t="s">
        <v>55</v>
      </c>
    </row>
    <row r="5256" spans="1:51" hidden="1">
      <c r="A5256">
        <v>102629</v>
      </c>
      <c r="B5256" t="s">
        <v>964</v>
      </c>
      <c r="C5256" t="str">
        <f t="shared" si="448"/>
        <v>01128810650</v>
      </c>
      <c r="D5256" t="str">
        <f t="shared" si="448"/>
        <v>01128810650</v>
      </c>
      <c r="E5256" t="s">
        <v>52</v>
      </c>
      <c r="F5256">
        <v>2014</v>
      </c>
      <c r="G5256">
        <v>68</v>
      </c>
      <c r="H5256" s="1">
        <v>41726</v>
      </c>
      <c r="I5256" s="1">
        <v>41739</v>
      </c>
      <c r="J5256" s="1">
        <v>41739</v>
      </c>
      <c r="K5256" s="1">
        <v>41829</v>
      </c>
      <c r="N5256" s="5"/>
      <c r="O5256" s="2">
        <v>1384.46</v>
      </c>
      <c r="P5256">
        <v>243</v>
      </c>
      <c r="Q5256" s="2">
        <v>336423.78</v>
      </c>
      <c r="R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 s="1">
        <v>42382</v>
      </c>
      <c r="AC5256" t="s">
        <v>53</v>
      </c>
      <c r="AD5256" t="s">
        <v>53</v>
      </c>
      <c r="AK5256">
        <v>0</v>
      </c>
      <c r="AU5256" s="6">
        <v>42072</v>
      </c>
      <c r="AV5256" s="6">
        <v>42072</v>
      </c>
      <c r="AW5256" t="s">
        <v>54</v>
      </c>
      <c r="AX5256" t="str">
        <f t="shared" si="449"/>
        <v>FOR</v>
      </c>
      <c r="AY5256" t="s">
        <v>55</v>
      </c>
    </row>
    <row r="5257" spans="1:51" hidden="1">
      <c r="A5257">
        <v>102629</v>
      </c>
      <c r="B5257" t="s">
        <v>964</v>
      </c>
      <c r="C5257" t="str">
        <f t="shared" si="448"/>
        <v>01128810650</v>
      </c>
      <c r="D5257" t="str">
        <f t="shared" si="448"/>
        <v>01128810650</v>
      </c>
      <c r="E5257" t="s">
        <v>52</v>
      </c>
      <c r="F5257">
        <v>2014</v>
      </c>
      <c r="G5257">
        <v>72</v>
      </c>
      <c r="H5257" s="1">
        <v>41726</v>
      </c>
      <c r="I5257" s="1">
        <v>41800</v>
      </c>
      <c r="J5257" s="1">
        <v>41800</v>
      </c>
      <c r="K5257" s="1">
        <v>41890</v>
      </c>
      <c r="N5257" s="5"/>
      <c r="O5257" s="2">
        <v>2178.0700000000002</v>
      </c>
      <c r="P5257">
        <v>182</v>
      </c>
      <c r="Q5257" s="2">
        <v>396408.74</v>
      </c>
      <c r="R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 s="1">
        <v>42382</v>
      </c>
      <c r="AC5257" t="s">
        <v>53</v>
      </c>
      <c r="AD5257" t="s">
        <v>53</v>
      </c>
      <c r="AK5257">
        <v>0</v>
      </c>
      <c r="AU5257" s="6">
        <v>42072</v>
      </c>
      <c r="AV5257" s="6">
        <v>42072</v>
      </c>
      <c r="AW5257" t="s">
        <v>54</v>
      </c>
      <c r="AX5257" t="str">
        <f t="shared" si="449"/>
        <v>FOR</v>
      </c>
      <c r="AY5257" t="s">
        <v>55</v>
      </c>
    </row>
    <row r="5258" spans="1:51" hidden="1">
      <c r="A5258">
        <v>102629</v>
      </c>
      <c r="B5258" t="s">
        <v>964</v>
      </c>
      <c r="C5258" t="str">
        <f t="shared" si="448"/>
        <v>01128810650</v>
      </c>
      <c r="D5258" t="str">
        <f t="shared" si="448"/>
        <v>01128810650</v>
      </c>
      <c r="E5258" t="s">
        <v>52</v>
      </c>
      <c r="F5258">
        <v>2014</v>
      </c>
      <c r="G5258">
        <v>79</v>
      </c>
      <c r="H5258" s="1">
        <v>41747</v>
      </c>
      <c r="I5258" s="1">
        <v>41766</v>
      </c>
      <c r="J5258" s="1">
        <v>41766</v>
      </c>
      <c r="K5258" s="1">
        <v>41856</v>
      </c>
      <c r="N5258" s="5"/>
      <c r="O5258" s="2">
        <v>28700.99</v>
      </c>
      <c r="P5258">
        <v>216</v>
      </c>
      <c r="Q5258" s="2">
        <v>6199413.8399999999</v>
      </c>
      <c r="R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 s="1">
        <v>42382</v>
      </c>
      <c r="AC5258" t="s">
        <v>53</v>
      </c>
      <c r="AD5258" t="s">
        <v>53</v>
      </c>
      <c r="AK5258">
        <v>0</v>
      </c>
      <c r="AU5258" s="6">
        <v>42072</v>
      </c>
      <c r="AV5258" s="6">
        <v>42072</v>
      </c>
      <c r="AW5258" t="s">
        <v>54</v>
      </c>
      <c r="AX5258" t="str">
        <f t="shared" si="449"/>
        <v>FOR</v>
      </c>
      <c r="AY5258" t="s">
        <v>55</v>
      </c>
    </row>
    <row r="5259" spans="1:51" hidden="1">
      <c r="A5259">
        <v>102629</v>
      </c>
      <c r="B5259" t="s">
        <v>964</v>
      </c>
      <c r="C5259" t="str">
        <f t="shared" si="448"/>
        <v>01128810650</v>
      </c>
      <c r="D5259" t="str">
        <f t="shared" si="448"/>
        <v>01128810650</v>
      </c>
      <c r="E5259" t="s">
        <v>52</v>
      </c>
      <c r="F5259">
        <v>2014</v>
      </c>
      <c r="G5259">
        <v>84</v>
      </c>
      <c r="H5259" s="1">
        <v>41747</v>
      </c>
      <c r="I5259" s="1">
        <v>41767</v>
      </c>
      <c r="J5259" s="1">
        <v>41767</v>
      </c>
      <c r="K5259" s="1">
        <v>41857</v>
      </c>
      <c r="N5259" s="5"/>
      <c r="O5259" s="2">
        <v>3069.52</v>
      </c>
      <c r="P5259">
        <v>237</v>
      </c>
      <c r="Q5259" s="2">
        <v>727476.24</v>
      </c>
      <c r="R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 s="1">
        <v>42382</v>
      </c>
      <c r="AC5259" t="s">
        <v>53</v>
      </c>
      <c r="AD5259" t="s">
        <v>53</v>
      </c>
      <c r="AK5259">
        <v>0</v>
      </c>
      <c r="AU5259" s="6">
        <v>42094</v>
      </c>
      <c r="AV5259" s="6">
        <v>42094</v>
      </c>
      <c r="AW5259" t="s">
        <v>54</v>
      </c>
      <c r="AX5259" t="str">
        <f t="shared" si="449"/>
        <v>FOR</v>
      </c>
      <c r="AY5259" t="s">
        <v>55</v>
      </c>
    </row>
    <row r="5260" spans="1:51" hidden="1">
      <c r="A5260">
        <v>102629</v>
      </c>
      <c r="B5260" t="s">
        <v>964</v>
      </c>
      <c r="C5260" t="str">
        <f t="shared" si="448"/>
        <v>01128810650</v>
      </c>
      <c r="D5260" t="str">
        <f t="shared" si="448"/>
        <v>01128810650</v>
      </c>
      <c r="E5260" t="s">
        <v>52</v>
      </c>
      <c r="F5260">
        <v>2014</v>
      </c>
      <c r="G5260">
        <v>93</v>
      </c>
      <c r="H5260" s="1">
        <v>41759</v>
      </c>
      <c r="I5260" s="1">
        <v>41800</v>
      </c>
      <c r="J5260" s="1">
        <v>41800</v>
      </c>
      <c r="K5260" s="1">
        <v>41890</v>
      </c>
      <c r="N5260" s="5"/>
      <c r="O5260">
        <v>157.62</v>
      </c>
      <c r="P5260">
        <v>204</v>
      </c>
      <c r="Q5260" s="2">
        <v>32154.48</v>
      </c>
      <c r="R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 s="1">
        <v>42382</v>
      </c>
      <c r="AC5260" t="s">
        <v>53</v>
      </c>
      <c r="AD5260" t="s">
        <v>53</v>
      </c>
      <c r="AK5260">
        <v>0</v>
      </c>
      <c r="AU5260" s="6">
        <v>42094</v>
      </c>
      <c r="AV5260" s="6">
        <v>42094</v>
      </c>
      <c r="AW5260" t="s">
        <v>54</v>
      </c>
      <c r="AX5260" t="str">
        <f t="shared" si="449"/>
        <v>FOR</v>
      </c>
      <c r="AY5260" t="s">
        <v>55</v>
      </c>
    </row>
    <row r="5261" spans="1:51" hidden="1">
      <c r="A5261">
        <v>102629</v>
      </c>
      <c r="B5261" t="s">
        <v>964</v>
      </c>
      <c r="C5261" t="str">
        <f t="shared" si="448"/>
        <v>01128810650</v>
      </c>
      <c r="D5261" t="str">
        <f t="shared" si="448"/>
        <v>01128810650</v>
      </c>
      <c r="E5261" t="s">
        <v>52</v>
      </c>
      <c r="F5261">
        <v>2014</v>
      </c>
      <c r="G5261">
        <v>94</v>
      </c>
      <c r="H5261" s="1">
        <v>41759</v>
      </c>
      <c r="I5261" s="1">
        <v>41800</v>
      </c>
      <c r="J5261" s="1">
        <v>41800</v>
      </c>
      <c r="K5261" s="1">
        <v>41890</v>
      </c>
      <c r="N5261" s="5"/>
      <c r="O5261">
        <v>341.6</v>
      </c>
      <c r="P5261">
        <v>204</v>
      </c>
      <c r="Q5261" s="2">
        <v>69686.399999999994</v>
      </c>
      <c r="R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 s="1">
        <v>42382</v>
      </c>
      <c r="AC5261" t="s">
        <v>53</v>
      </c>
      <c r="AD5261" t="s">
        <v>53</v>
      </c>
      <c r="AK5261">
        <v>0</v>
      </c>
      <c r="AU5261" s="6">
        <v>42094</v>
      </c>
      <c r="AV5261" s="6">
        <v>42094</v>
      </c>
      <c r="AW5261" t="s">
        <v>54</v>
      </c>
      <c r="AX5261" t="str">
        <f t="shared" si="449"/>
        <v>FOR</v>
      </c>
      <c r="AY5261" t="s">
        <v>55</v>
      </c>
    </row>
    <row r="5262" spans="1:51" hidden="1">
      <c r="A5262">
        <v>102629</v>
      </c>
      <c r="B5262" t="s">
        <v>964</v>
      </c>
      <c r="C5262" t="str">
        <f t="shared" si="448"/>
        <v>01128810650</v>
      </c>
      <c r="D5262" t="str">
        <f t="shared" si="448"/>
        <v>01128810650</v>
      </c>
      <c r="E5262" t="s">
        <v>52</v>
      </c>
      <c r="F5262">
        <v>2014</v>
      </c>
      <c r="G5262">
        <v>95</v>
      </c>
      <c r="H5262" s="1">
        <v>41759</v>
      </c>
      <c r="I5262" s="1">
        <v>41800</v>
      </c>
      <c r="J5262" s="1">
        <v>41800</v>
      </c>
      <c r="K5262" s="1">
        <v>41890</v>
      </c>
      <c r="N5262" s="5"/>
      <c r="O5262">
        <v>341.6</v>
      </c>
      <c r="P5262">
        <v>204</v>
      </c>
      <c r="Q5262" s="2">
        <v>69686.399999999994</v>
      </c>
      <c r="R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 s="1">
        <v>42382</v>
      </c>
      <c r="AC5262" t="s">
        <v>53</v>
      </c>
      <c r="AD5262" t="s">
        <v>53</v>
      </c>
      <c r="AK5262">
        <v>0</v>
      </c>
      <c r="AU5262" s="6">
        <v>42094</v>
      </c>
      <c r="AV5262" s="6">
        <v>42094</v>
      </c>
      <c r="AW5262" t="s">
        <v>54</v>
      </c>
      <c r="AX5262" t="str">
        <f t="shared" si="449"/>
        <v>FOR</v>
      </c>
      <c r="AY5262" t="s">
        <v>55</v>
      </c>
    </row>
    <row r="5263" spans="1:51" hidden="1">
      <c r="A5263">
        <v>102629</v>
      </c>
      <c r="B5263" t="s">
        <v>964</v>
      </c>
      <c r="C5263" t="str">
        <f t="shared" si="448"/>
        <v>01128810650</v>
      </c>
      <c r="D5263" t="str">
        <f t="shared" si="448"/>
        <v>01128810650</v>
      </c>
      <c r="E5263" t="s">
        <v>52</v>
      </c>
      <c r="F5263">
        <v>2014</v>
      </c>
      <c r="G5263">
        <v>96</v>
      </c>
      <c r="H5263" s="1">
        <v>41759</v>
      </c>
      <c r="I5263" s="1">
        <v>41800</v>
      </c>
      <c r="J5263" s="1">
        <v>41800</v>
      </c>
      <c r="K5263" s="1">
        <v>41890</v>
      </c>
      <c r="N5263" s="5"/>
      <c r="O5263" s="2">
        <v>1250.5</v>
      </c>
      <c r="P5263">
        <v>204</v>
      </c>
      <c r="Q5263" s="2">
        <v>255102</v>
      </c>
      <c r="R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 s="1">
        <v>42382</v>
      </c>
      <c r="AC5263" t="s">
        <v>53</v>
      </c>
      <c r="AD5263" t="s">
        <v>53</v>
      </c>
      <c r="AK5263">
        <v>0</v>
      </c>
      <c r="AU5263" s="6">
        <v>42094</v>
      </c>
      <c r="AV5263" s="6">
        <v>42094</v>
      </c>
      <c r="AW5263" t="s">
        <v>54</v>
      </c>
      <c r="AX5263" t="str">
        <f t="shared" si="449"/>
        <v>FOR</v>
      </c>
      <c r="AY5263" t="s">
        <v>55</v>
      </c>
    </row>
    <row r="5264" spans="1:51" hidden="1">
      <c r="A5264">
        <v>102629</v>
      </c>
      <c r="B5264" t="s">
        <v>964</v>
      </c>
      <c r="C5264" t="str">
        <f t="shared" si="448"/>
        <v>01128810650</v>
      </c>
      <c r="D5264" t="str">
        <f t="shared" si="448"/>
        <v>01128810650</v>
      </c>
      <c r="E5264" t="s">
        <v>52</v>
      </c>
      <c r="F5264">
        <v>2014</v>
      </c>
      <c r="G5264">
        <v>98</v>
      </c>
      <c r="H5264" s="1">
        <v>41759</v>
      </c>
      <c r="I5264" s="1">
        <v>41779</v>
      </c>
      <c r="J5264" s="1">
        <v>41779</v>
      </c>
      <c r="K5264" s="1">
        <v>41869</v>
      </c>
      <c r="N5264" s="5"/>
      <c r="O5264" s="2">
        <v>4447.3900000000003</v>
      </c>
      <c r="P5264">
        <v>203</v>
      </c>
      <c r="Q5264" s="2">
        <v>902820.17</v>
      </c>
      <c r="R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 s="1">
        <v>42382</v>
      </c>
      <c r="AC5264" t="s">
        <v>53</v>
      </c>
      <c r="AD5264" t="s">
        <v>53</v>
      </c>
      <c r="AK5264">
        <v>0</v>
      </c>
      <c r="AU5264" s="6">
        <v>42072</v>
      </c>
      <c r="AV5264" s="6">
        <v>42072</v>
      </c>
      <c r="AW5264" t="s">
        <v>54</v>
      </c>
      <c r="AX5264" t="str">
        <f t="shared" si="449"/>
        <v>FOR</v>
      </c>
      <c r="AY5264" t="s">
        <v>55</v>
      </c>
    </row>
    <row r="5265" spans="1:51" hidden="1">
      <c r="A5265">
        <v>102629</v>
      </c>
      <c r="B5265" t="s">
        <v>964</v>
      </c>
      <c r="C5265" t="str">
        <f t="shared" si="448"/>
        <v>01128810650</v>
      </c>
      <c r="D5265" t="str">
        <f t="shared" si="448"/>
        <v>01128810650</v>
      </c>
      <c r="E5265" t="s">
        <v>52</v>
      </c>
      <c r="F5265">
        <v>2014</v>
      </c>
      <c r="G5265">
        <v>99</v>
      </c>
      <c r="H5265" s="1">
        <v>41759</v>
      </c>
      <c r="I5265" s="1">
        <v>41800</v>
      </c>
      <c r="J5265" s="1">
        <v>41800</v>
      </c>
      <c r="K5265" s="1">
        <v>41890</v>
      </c>
      <c r="N5265" s="5"/>
      <c r="O5265" s="2">
        <v>2568.9499999999998</v>
      </c>
      <c r="P5265">
        <v>204</v>
      </c>
      <c r="Q5265" s="2">
        <v>524065.8</v>
      </c>
      <c r="R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 s="1">
        <v>42382</v>
      </c>
      <c r="AC5265" t="s">
        <v>53</v>
      </c>
      <c r="AD5265" t="s">
        <v>53</v>
      </c>
      <c r="AK5265">
        <v>0</v>
      </c>
      <c r="AU5265" s="6">
        <v>42094</v>
      </c>
      <c r="AV5265" s="6">
        <v>42094</v>
      </c>
      <c r="AW5265" t="s">
        <v>54</v>
      </c>
      <c r="AX5265" t="str">
        <f t="shared" si="449"/>
        <v>FOR</v>
      </c>
      <c r="AY5265" t="s">
        <v>55</v>
      </c>
    </row>
    <row r="5266" spans="1:51" hidden="1">
      <c r="A5266">
        <v>102629</v>
      </c>
      <c r="B5266" t="s">
        <v>964</v>
      </c>
      <c r="C5266" t="str">
        <f t="shared" si="448"/>
        <v>01128810650</v>
      </c>
      <c r="D5266" t="str">
        <f t="shared" si="448"/>
        <v>01128810650</v>
      </c>
      <c r="E5266" t="s">
        <v>52</v>
      </c>
      <c r="F5266">
        <v>2014</v>
      </c>
      <c r="G5266">
        <v>100</v>
      </c>
      <c r="H5266" s="1">
        <v>41759</v>
      </c>
      <c r="I5266" s="1">
        <v>41781</v>
      </c>
      <c r="J5266" s="1">
        <v>41781</v>
      </c>
      <c r="K5266" s="1">
        <v>41871</v>
      </c>
      <c r="N5266" s="5"/>
      <c r="O5266">
        <v>786.9</v>
      </c>
      <c r="P5266">
        <v>223</v>
      </c>
      <c r="Q5266" s="2">
        <v>175478.7</v>
      </c>
      <c r="R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 s="1">
        <v>42382</v>
      </c>
      <c r="AC5266" t="s">
        <v>53</v>
      </c>
      <c r="AD5266" t="s">
        <v>53</v>
      </c>
      <c r="AK5266">
        <v>0</v>
      </c>
      <c r="AU5266" s="6">
        <v>42094</v>
      </c>
      <c r="AV5266" s="6">
        <v>42094</v>
      </c>
      <c r="AW5266" t="s">
        <v>54</v>
      </c>
      <c r="AX5266" t="str">
        <f t="shared" si="449"/>
        <v>FOR</v>
      </c>
      <c r="AY5266" t="s">
        <v>55</v>
      </c>
    </row>
    <row r="5267" spans="1:51" hidden="1">
      <c r="A5267">
        <v>102629</v>
      </c>
      <c r="B5267" t="s">
        <v>964</v>
      </c>
      <c r="C5267" t="str">
        <f t="shared" si="448"/>
        <v>01128810650</v>
      </c>
      <c r="D5267" t="str">
        <f t="shared" si="448"/>
        <v>01128810650</v>
      </c>
      <c r="E5267" t="s">
        <v>52</v>
      </c>
      <c r="F5267">
        <v>2014</v>
      </c>
      <c r="G5267">
        <v>102</v>
      </c>
      <c r="H5267" s="1">
        <v>41759</v>
      </c>
      <c r="I5267" s="1">
        <v>41800</v>
      </c>
      <c r="J5267" s="1">
        <v>41800</v>
      </c>
      <c r="K5267" s="1">
        <v>41890</v>
      </c>
      <c r="N5267" s="5"/>
      <c r="O5267" s="2">
        <v>3069.52</v>
      </c>
      <c r="P5267">
        <v>204</v>
      </c>
      <c r="Q5267" s="2">
        <v>626182.07999999996</v>
      </c>
      <c r="R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 s="1">
        <v>42382</v>
      </c>
      <c r="AC5267" t="s">
        <v>53</v>
      </c>
      <c r="AD5267" t="s">
        <v>53</v>
      </c>
      <c r="AK5267">
        <v>0</v>
      </c>
      <c r="AU5267" s="6">
        <v>42094</v>
      </c>
      <c r="AV5267" s="6">
        <v>42094</v>
      </c>
      <c r="AW5267" t="s">
        <v>54</v>
      </c>
      <c r="AX5267" t="str">
        <f t="shared" si="449"/>
        <v>FOR</v>
      </c>
      <c r="AY5267" t="s">
        <v>55</v>
      </c>
    </row>
    <row r="5268" spans="1:51" hidden="1">
      <c r="A5268">
        <v>102629</v>
      </c>
      <c r="B5268" t="s">
        <v>964</v>
      </c>
      <c r="C5268" t="str">
        <f t="shared" si="448"/>
        <v>01128810650</v>
      </c>
      <c r="D5268" t="str">
        <f t="shared" si="448"/>
        <v>01128810650</v>
      </c>
      <c r="E5268" t="s">
        <v>52</v>
      </c>
      <c r="F5268">
        <v>2014</v>
      </c>
      <c r="G5268">
        <v>108</v>
      </c>
      <c r="H5268" s="1">
        <v>41768</v>
      </c>
      <c r="I5268" s="1">
        <v>41781</v>
      </c>
      <c r="J5268" s="1">
        <v>41781</v>
      </c>
      <c r="K5268" s="1">
        <v>41871</v>
      </c>
      <c r="N5268" s="5"/>
      <c r="O5268">
        <v>144.88</v>
      </c>
      <c r="P5268">
        <v>223</v>
      </c>
      <c r="Q5268" s="2">
        <v>32308.240000000002</v>
      </c>
      <c r="R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 s="1">
        <v>42382</v>
      </c>
      <c r="AC5268" t="s">
        <v>53</v>
      </c>
      <c r="AD5268" t="s">
        <v>53</v>
      </c>
      <c r="AK5268">
        <v>0</v>
      </c>
      <c r="AU5268" s="6">
        <v>42094</v>
      </c>
      <c r="AV5268" s="6">
        <v>42094</v>
      </c>
      <c r="AW5268" t="s">
        <v>54</v>
      </c>
      <c r="AX5268" t="str">
        <f t="shared" si="449"/>
        <v>FOR</v>
      </c>
      <c r="AY5268" t="s">
        <v>55</v>
      </c>
    </row>
    <row r="5269" spans="1:51" hidden="1">
      <c r="A5269">
        <v>102629</v>
      </c>
      <c r="B5269" t="s">
        <v>964</v>
      </c>
      <c r="C5269" t="str">
        <f t="shared" si="448"/>
        <v>01128810650</v>
      </c>
      <c r="D5269" t="str">
        <f t="shared" si="448"/>
        <v>01128810650</v>
      </c>
      <c r="E5269" t="s">
        <v>52</v>
      </c>
      <c r="F5269">
        <v>2014</v>
      </c>
      <c r="G5269">
        <v>109</v>
      </c>
      <c r="H5269" s="1">
        <v>41768</v>
      </c>
      <c r="I5269" s="1">
        <v>41779</v>
      </c>
      <c r="J5269" s="1">
        <v>41779</v>
      </c>
      <c r="K5269" s="1">
        <v>41869</v>
      </c>
      <c r="N5269" s="5"/>
      <c r="O5269">
        <v>644.16</v>
      </c>
      <c r="P5269">
        <v>225</v>
      </c>
      <c r="Q5269" s="2">
        <v>144936</v>
      </c>
      <c r="R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 s="1">
        <v>42382</v>
      </c>
      <c r="AC5269" t="s">
        <v>53</v>
      </c>
      <c r="AD5269" t="s">
        <v>53</v>
      </c>
      <c r="AK5269">
        <v>0</v>
      </c>
      <c r="AU5269" s="6">
        <v>42094</v>
      </c>
      <c r="AV5269" s="6">
        <v>42094</v>
      </c>
      <c r="AW5269" t="s">
        <v>54</v>
      </c>
      <c r="AX5269" t="str">
        <f t="shared" si="449"/>
        <v>FOR</v>
      </c>
      <c r="AY5269" t="s">
        <v>55</v>
      </c>
    </row>
    <row r="5270" spans="1:51" hidden="1">
      <c r="A5270">
        <v>102629</v>
      </c>
      <c r="B5270" t="s">
        <v>964</v>
      </c>
      <c r="C5270" t="str">
        <f t="shared" si="448"/>
        <v>01128810650</v>
      </c>
      <c r="D5270" t="str">
        <f t="shared" si="448"/>
        <v>01128810650</v>
      </c>
      <c r="E5270" t="s">
        <v>52</v>
      </c>
      <c r="F5270">
        <v>2014</v>
      </c>
      <c r="G5270">
        <v>131</v>
      </c>
      <c r="H5270" s="1">
        <v>41789</v>
      </c>
      <c r="I5270" s="1">
        <v>41800</v>
      </c>
      <c r="J5270" s="1">
        <v>41800</v>
      </c>
      <c r="K5270" s="1">
        <v>41890</v>
      </c>
      <c r="N5270" s="5"/>
      <c r="O5270">
        <v>378.99</v>
      </c>
      <c r="P5270">
        <v>204</v>
      </c>
      <c r="Q5270" s="2">
        <v>77313.960000000006</v>
      </c>
      <c r="R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 s="1">
        <v>42382</v>
      </c>
      <c r="AC5270" t="s">
        <v>53</v>
      </c>
      <c r="AD5270" t="s">
        <v>53</v>
      </c>
      <c r="AK5270">
        <v>0</v>
      </c>
      <c r="AU5270" s="6">
        <v>42094</v>
      </c>
      <c r="AV5270" s="6">
        <v>42094</v>
      </c>
      <c r="AW5270" t="s">
        <v>54</v>
      </c>
      <c r="AX5270" t="str">
        <f t="shared" si="449"/>
        <v>FOR</v>
      </c>
      <c r="AY5270" t="s">
        <v>55</v>
      </c>
    </row>
    <row r="5271" spans="1:51" hidden="1">
      <c r="A5271">
        <v>102629</v>
      </c>
      <c r="B5271" t="s">
        <v>964</v>
      </c>
      <c r="C5271" t="str">
        <f t="shared" ref="C5271:D5290" si="450">"01128810650"</f>
        <v>01128810650</v>
      </c>
      <c r="D5271" t="str">
        <f t="shared" si="450"/>
        <v>01128810650</v>
      </c>
      <c r="E5271" t="s">
        <v>52</v>
      </c>
      <c r="F5271">
        <v>2014</v>
      </c>
      <c r="G5271">
        <v>132</v>
      </c>
      <c r="H5271" s="1">
        <v>41789</v>
      </c>
      <c r="I5271" s="1">
        <v>41800</v>
      </c>
      <c r="J5271" s="1">
        <v>41800</v>
      </c>
      <c r="K5271" s="1">
        <v>41890</v>
      </c>
      <c r="N5271" s="5"/>
      <c r="O5271">
        <v>579.5</v>
      </c>
      <c r="P5271">
        <v>204</v>
      </c>
      <c r="Q5271" s="2">
        <v>118218</v>
      </c>
      <c r="R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 s="1">
        <v>42382</v>
      </c>
      <c r="AC5271" t="s">
        <v>53</v>
      </c>
      <c r="AD5271" t="s">
        <v>53</v>
      </c>
      <c r="AK5271">
        <v>0</v>
      </c>
      <c r="AU5271" s="6">
        <v>42094</v>
      </c>
      <c r="AV5271" s="6">
        <v>42094</v>
      </c>
      <c r="AW5271" t="s">
        <v>54</v>
      </c>
      <c r="AX5271" t="str">
        <f t="shared" si="449"/>
        <v>FOR</v>
      </c>
      <c r="AY5271" t="s">
        <v>55</v>
      </c>
    </row>
    <row r="5272" spans="1:51" hidden="1">
      <c r="A5272">
        <v>102629</v>
      </c>
      <c r="B5272" t="s">
        <v>964</v>
      </c>
      <c r="C5272" t="str">
        <f t="shared" si="450"/>
        <v>01128810650</v>
      </c>
      <c r="D5272" t="str">
        <f t="shared" si="450"/>
        <v>01128810650</v>
      </c>
      <c r="E5272" t="s">
        <v>52</v>
      </c>
      <c r="F5272">
        <v>2014</v>
      </c>
      <c r="G5272">
        <v>133</v>
      </c>
      <c r="H5272" s="1">
        <v>41789</v>
      </c>
      <c r="I5272" s="1">
        <v>41800</v>
      </c>
      <c r="J5272" s="1">
        <v>41800</v>
      </c>
      <c r="K5272" s="1">
        <v>41890</v>
      </c>
      <c r="N5272" s="5"/>
      <c r="O5272">
        <v>579.5</v>
      </c>
      <c r="P5272">
        <v>204</v>
      </c>
      <c r="Q5272" s="2">
        <v>118218</v>
      </c>
      <c r="R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 s="1">
        <v>42382</v>
      </c>
      <c r="AC5272" t="s">
        <v>53</v>
      </c>
      <c r="AD5272" t="s">
        <v>53</v>
      </c>
      <c r="AK5272">
        <v>0</v>
      </c>
      <c r="AU5272" s="6">
        <v>42094</v>
      </c>
      <c r="AV5272" s="6">
        <v>42094</v>
      </c>
      <c r="AW5272" t="s">
        <v>54</v>
      </c>
      <c r="AX5272" t="str">
        <f t="shared" si="449"/>
        <v>FOR</v>
      </c>
      <c r="AY5272" t="s">
        <v>55</v>
      </c>
    </row>
    <row r="5273" spans="1:51" hidden="1">
      <c r="A5273">
        <v>102629</v>
      </c>
      <c r="B5273" t="s">
        <v>964</v>
      </c>
      <c r="C5273" t="str">
        <f t="shared" si="450"/>
        <v>01128810650</v>
      </c>
      <c r="D5273" t="str">
        <f t="shared" si="450"/>
        <v>01128810650</v>
      </c>
      <c r="E5273" t="s">
        <v>52</v>
      </c>
      <c r="F5273">
        <v>2014</v>
      </c>
      <c r="G5273">
        <v>134</v>
      </c>
      <c r="H5273" s="1">
        <v>41789</v>
      </c>
      <c r="I5273" s="1">
        <v>41800</v>
      </c>
      <c r="J5273" s="1">
        <v>41800</v>
      </c>
      <c r="K5273" s="1">
        <v>41890</v>
      </c>
      <c r="N5273" s="5"/>
      <c r="O5273">
        <v>579.5</v>
      </c>
      <c r="P5273">
        <v>204</v>
      </c>
      <c r="Q5273" s="2">
        <v>118218</v>
      </c>
      <c r="R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 s="1">
        <v>42382</v>
      </c>
      <c r="AC5273" t="s">
        <v>53</v>
      </c>
      <c r="AD5273" t="s">
        <v>53</v>
      </c>
      <c r="AK5273">
        <v>0</v>
      </c>
      <c r="AU5273" s="6">
        <v>42094</v>
      </c>
      <c r="AV5273" s="6">
        <v>42094</v>
      </c>
      <c r="AW5273" t="s">
        <v>54</v>
      </c>
      <c r="AX5273" t="str">
        <f t="shared" si="449"/>
        <v>FOR</v>
      </c>
      <c r="AY5273" t="s">
        <v>55</v>
      </c>
    </row>
    <row r="5274" spans="1:51" hidden="1">
      <c r="A5274">
        <v>102629</v>
      </c>
      <c r="B5274" t="s">
        <v>964</v>
      </c>
      <c r="C5274" t="str">
        <f t="shared" si="450"/>
        <v>01128810650</v>
      </c>
      <c r="D5274" t="str">
        <f t="shared" si="450"/>
        <v>01128810650</v>
      </c>
      <c r="E5274" t="s">
        <v>52</v>
      </c>
      <c r="F5274">
        <v>2014</v>
      </c>
      <c r="G5274">
        <v>135</v>
      </c>
      <c r="H5274" s="1">
        <v>41789</v>
      </c>
      <c r="I5274" s="1">
        <v>41800</v>
      </c>
      <c r="J5274" s="1">
        <v>41800</v>
      </c>
      <c r="K5274" s="1">
        <v>41890</v>
      </c>
      <c r="N5274" s="5"/>
      <c r="O5274" s="2">
        <v>1448.75</v>
      </c>
      <c r="P5274">
        <v>204</v>
      </c>
      <c r="Q5274" s="2">
        <v>295545</v>
      </c>
      <c r="R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 s="1">
        <v>42382</v>
      </c>
      <c r="AC5274" t="s">
        <v>53</v>
      </c>
      <c r="AD5274" t="s">
        <v>53</v>
      </c>
      <c r="AK5274">
        <v>0</v>
      </c>
      <c r="AU5274" s="6">
        <v>42094</v>
      </c>
      <c r="AV5274" s="6">
        <v>42094</v>
      </c>
      <c r="AW5274" t="s">
        <v>54</v>
      </c>
      <c r="AX5274" t="str">
        <f t="shared" si="449"/>
        <v>FOR</v>
      </c>
      <c r="AY5274" t="s">
        <v>55</v>
      </c>
    </row>
    <row r="5275" spans="1:51" hidden="1">
      <c r="A5275">
        <v>102629</v>
      </c>
      <c r="B5275" t="s">
        <v>964</v>
      </c>
      <c r="C5275" t="str">
        <f t="shared" si="450"/>
        <v>01128810650</v>
      </c>
      <c r="D5275" t="str">
        <f t="shared" si="450"/>
        <v>01128810650</v>
      </c>
      <c r="E5275" t="s">
        <v>52</v>
      </c>
      <c r="F5275">
        <v>2014</v>
      </c>
      <c r="G5275">
        <v>137</v>
      </c>
      <c r="H5275" s="1">
        <v>41789</v>
      </c>
      <c r="I5275" s="1">
        <v>41800</v>
      </c>
      <c r="J5275" s="1">
        <v>41800</v>
      </c>
      <c r="K5275" s="1">
        <v>41890</v>
      </c>
      <c r="N5275" s="5"/>
      <c r="O5275" s="2">
        <v>3069.52</v>
      </c>
      <c r="P5275">
        <v>204</v>
      </c>
      <c r="Q5275" s="2">
        <v>626182.07999999996</v>
      </c>
      <c r="R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 s="1">
        <v>42382</v>
      </c>
      <c r="AC5275" t="s">
        <v>53</v>
      </c>
      <c r="AD5275" t="s">
        <v>53</v>
      </c>
      <c r="AK5275">
        <v>0</v>
      </c>
      <c r="AU5275" s="6">
        <v>42094</v>
      </c>
      <c r="AV5275" s="6">
        <v>42094</v>
      </c>
      <c r="AW5275" t="s">
        <v>54</v>
      </c>
      <c r="AX5275" t="str">
        <f t="shared" si="449"/>
        <v>FOR</v>
      </c>
      <c r="AY5275" t="s">
        <v>55</v>
      </c>
    </row>
    <row r="5276" spans="1:51" hidden="1">
      <c r="A5276">
        <v>102629</v>
      </c>
      <c r="B5276" t="s">
        <v>964</v>
      </c>
      <c r="C5276" t="str">
        <f t="shared" si="450"/>
        <v>01128810650</v>
      </c>
      <c r="D5276" t="str">
        <f t="shared" si="450"/>
        <v>01128810650</v>
      </c>
      <c r="E5276" t="s">
        <v>52</v>
      </c>
      <c r="F5276">
        <v>2014</v>
      </c>
      <c r="G5276">
        <v>144</v>
      </c>
      <c r="H5276" s="1">
        <v>41803</v>
      </c>
      <c r="I5276" s="1">
        <v>41816</v>
      </c>
      <c r="J5276" s="1">
        <v>41816</v>
      </c>
      <c r="K5276" s="1">
        <v>41906</v>
      </c>
      <c r="N5276" s="5"/>
      <c r="O5276">
        <v>939.89</v>
      </c>
      <c r="P5276">
        <v>226</v>
      </c>
      <c r="Q5276" s="2">
        <v>212415.14</v>
      </c>
      <c r="R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 s="1">
        <v>42382</v>
      </c>
      <c r="AC5276" t="s">
        <v>53</v>
      </c>
      <c r="AD5276" t="s">
        <v>53</v>
      </c>
      <c r="AK5276">
        <v>0</v>
      </c>
      <c r="AU5276" s="6">
        <v>42132</v>
      </c>
      <c r="AV5276" s="6">
        <v>42132</v>
      </c>
      <c r="AW5276" t="s">
        <v>54</v>
      </c>
      <c r="AX5276" t="str">
        <f t="shared" si="449"/>
        <v>FOR</v>
      </c>
      <c r="AY5276" t="s">
        <v>55</v>
      </c>
    </row>
    <row r="5277" spans="1:51" hidden="1">
      <c r="A5277">
        <v>102629</v>
      </c>
      <c r="B5277" t="s">
        <v>964</v>
      </c>
      <c r="C5277" t="str">
        <f t="shared" si="450"/>
        <v>01128810650</v>
      </c>
      <c r="D5277" t="str">
        <f t="shared" si="450"/>
        <v>01128810650</v>
      </c>
      <c r="E5277" t="s">
        <v>52</v>
      </c>
      <c r="F5277">
        <v>2014</v>
      </c>
      <c r="G5277">
        <v>148</v>
      </c>
      <c r="H5277" s="1">
        <v>41808</v>
      </c>
      <c r="I5277" s="1">
        <v>41816</v>
      </c>
      <c r="J5277" s="1">
        <v>41816</v>
      </c>
      <c r="K5277" s="1">
        <v>41906</v>
      </c>
      <c r="N5277" s="5"/>
      <c r="O5277">
        <v>207.4</v>
      </c>
      <c r="P5277">
        <v>226</v>
      </c>
      <c r="Q5277" s="2">
        <v>46872.4</v>
      </c>
      <c r="R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 s="1">
        <v>42382</v>
      </c>
      <c r="AC5277" t="s">
        <v>53</v>
      </c>
      <c r="AD5277" t="s">
        <v>53</v>
      </c>
      <c r="AK5277">
        <v>0</v>
      </c>
      <c r="AU5277" s="6">
        <v>42132</v>
      </c>
      <c r="AV5277" s="6">
        <v>42132</v>
      </c>
      <c r="AW5277" t="s">
        <v>54</v>
      </c>
      <c r="AX5277" t="str">
        <f t="shared" si="449"/>
        <v>FOR</v>
      </c>
      <c r="AY5277" t="s">
        <v>55</v>
      </c>
    </row>
    <row r="5278" spans="1:51" hidden="1">
      <c r="A5278">
        <v>102629</v>
      </c>
      <c r="B5278" t="s">
        <v>964</v>
      </c>
      <c r="C5278" t="str">
        <f t="shared" si="450"/>
        <v>01128810650</v>
      </c>
      <c r="D5278" t="str">
        <f t="shared" si="450"/>
        <v>01128810650</v>
      </c>
      <c r="E5278" t="s">
        <v>52</v>
      </c>
      <c r="F5278">
        <v>2014</v>
      </c>
      <c r="G5278">
        <v>153</v>
      </c>
      <c r="H5278" s="1">
        <v>41817</v>
      </c>
      <c r="I5278" s="1">
        <v>41827</v>
      </c>
      <c r="J5278" s="1">
        <v>41827</v>
      </c>
      <c r="K5278" s="1">
        <v>41917</v>
      </c>
      <c r="N5278" s="5"/>
      <c r="O5278" s="2">
        <v>2609.09</v>
      </c>
      <c r="P5278">
        <v>215</v>
      </c>
      <c r="Q5278" s="2">
        <v>560954.35</v>
      </c>
      <c r="R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 s="1">
        <v>42382</v>
      </c>
      <c r="AC5278" t="s">
        <v>53</v>
      </c>
      <c r="AD5278" t="s">
        <v>53</v>
      </c>
      <c r="AK5278">
        <v>0</v>
      </c>
      <c r="AU5278" s="6">
        <v>42132</v>
      </c>
      <c r="AV5278" s="6">
        <v>42132</v>
      </c>
      <c r="AW5278" t="s">
        <v>54</v>
      </c>
      <c r="AX5278" t="str">
        <f t="shared" si="449"/>
        <v>FOR</v>
      </c>
      <c r="AY5278" t="s">
        <v>55</v>
      </c>
    </row>
    <row r="5279" spans="1:51" hidden="1">
      <c r="A5279">
        <v>102629</v>
      </c>
      <c r="B5279" t="s">
        <v>964</v>
      </c>
      <c r="C5279" t="str">
        <f t="shared" si="450"/>
        <v>01128810650</v>
      </c>
      <c r="D5279" t="str">
        <f t="shared" si="450"/>
        <v>01128810650</v>
      </c>
      <c r="E5279" t="s">
        <v>52</v>
      </c>
      <c r="F5279">
        <v>2014</v>
      </c>
      <c r="G5279">
        <v>159</v>
      </c>
      <c r="H5279" s="1">
        <v>41817</v>
      </c>
      <c r="I5279" s="1">
        <v>41827</v>
      </c>
      <c r="J5279" s="1">
        <v>41827</v>
      </c>
      <c r="K5279" s="1">
        <v>41917</v>
      </c>
      <c r="N5279" s="5"/>
      <c r="O5279" s="2">
        <v>4925.75</v>
      </c>
      <c r="P5279">
        <v>215</v>
      </c>
      <c r="Q5279" s="2">
        <v>1059036.25</v>
      </c>
      <c r="R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 s="1">
        <v>42382</v>
      </c>
      <c r="AC5279" t="s">
        <v>53</v>
      </c>
      <c r="AD5279" t="s">
        <v>53</v>
      </c>
      <c r="AK5279">
        <v>0</v>
      </c>
      <c r="AU5279" s="6">
        <v>42132</v>
      </c>
      <c r="AV5279" s="6">
        <v>42132</v>
      </c>
      <c r="AW5279" t="s">
        <v>54</v>
      </c>
      <c r="AX5279" t="str">
        <f t="shared" si="449"/>
        <v>FOR</v>
      </c>
      <c r="AY5279" t="s">
        <v>55</v>
      </c>
    </row>
    <row r="5280" spans="1:51" hidden="1">
      <c r="A5280">
        <v>102629</v>
      </c>
      <c r="B5280" t="s">
        <v>964</v>
      </c>
      <c r="C5280" t="str">
        <f t="shared" si="450"/>
        <v>01128810650</v>
      </c>
      <c r="D5280" t="str">
        <f t="shared" si="450"/>
        <v>01128810650</v>
      </c>
      <c r="E5280" t="s">
        <v>52</v>
      </c>
      <c r="F5280">
        <v>2014</v>
      </c>
      <c r="G5280">
        <v>161</v>
      </c>
      <c r="H5280" s="1">
        <v>41817</v>
      </c>
      <c r="I5280" s="1">
        <v>41827</v>
      </c>
      <c r="J5280" s="1">
        <v>41827</v>
      </c>
      <c r="K5280" s="1">
        <v>41917</v>
      </c>
      <c r="N5280" s="5"/>
      <c r="O5280" s="2">
        <v>1918.45</v>
      </c>
      <c r="P5280">
        <v>215</v>
      </c>
      <c r="Q5280" s="2">
        <v>412466.75</v>
      </c>
      <c r="R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 s="1">
        <v>42382</v>
      </c>
      <c r="AC5280" t="s">
        <v>53</v>
      </c>
      <c r="AD5280" t="s">
        <v>53</v>
      </c>
      <c r="AK5280">
        <v>0</v>
      </c>
      <c r="AU5280" s="6">
        <v>42132</v>
      </c>
      <c r="AV5280" s="6">
        <v>42132</v>
      </c>
      <c r="AW5280" t="s">
        <v>54</v>
      </c>
      <c r="AX5280" t="str">
        <f t="shared" si="449"/>
        <v>FOR</v>
      </c>
      <c r="AY5280" t="s">
        <v>55</v>
      </c>
    </row>
    <row r="5281" spans="1:51" hidden="1">
      <c r="A5281">
        <v>102629</v>
      </c>
      <c r="B5281" t="s">
        <v>964</v>
      </c>
      <c r="C5281" t="str">
        <f t="shared" si="450"/>
        <v>01128810650</v>
      </c>
      <c r="D5281" t="str">
        <f t="shared" si="450"/>
        <v>01128810650</v>
      </c>
      <c r="E5281" t="s">
        <v>52</v>
      </c>
      <c r="F5281">
        <v>2014</v>
      </c>
      <c r="G5281">
        <v>174</v>
      </c>
      <c r="H5281" s="1">
        <v>41830</v>
      </c>
      <c r="I5281" s="1">
        <v>41841</v>
      </c>
      <c r="J5281" s="1">
        <v>41841</v>
      </c>
      <c r="K5281" s="1">
        <v>41931</v>
      </c>
      <c r="N5281" s="5"/>
      <c r="O5281" s="2">
        <v>10400.870000000001</v>
      </c>
      <c r="P5281">
        <v>201</v>
      </c>
      <c r="Q5281" s="2">
        <v>2090574.87</v>
      </c>
      <c r="R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 s="1">
        <v>42382</v>
      </c>
      <c r="AC5281" t="s">
        <v>53</v>
      </c>
      <c r="AD5281" t="s">
        <v>53</v>
      </c>
      <c r="AK5281">
        <v>0</v>
      </c>
      <c r="AU5281" s="6">
        <v>42132</v>
      </c>
      <c r="AV5281" s="6">
        <v>42132</v>
      </c>
      <c r="AW5281" t="s">
        <v>54</v>
      </c>
      <c r="AX5281" t="str">
        <f t="shared" si="449"/>
        <v>FOR</v>
      </c>
      <c r="AY5281" t="s">
        <v>55</v>
      </c>
    </row>
    <row r="5282" spans="1:51" hidden="1">
      <c r="A5282">
        <v>102629</v>
      </c>
      <c r="B5282" t="s">
        <v>964</v>
      </c>
      <c r="C5282" t="str">
        <f t="shared" si="450"/>
        <v>01128810650</v>
      </c>
      <c r="D5282" t="str">
        <f t="shared" si="450"/>
        <v>01128810650</v>
      </c>
      <c r="E5282" t="s">
        <v>52</v>
      </c>
      <c r="F5282">
        <v>2014</v>
      </c>
      <c r="G5282">
        <v>191</v>
      </c>
      <c r="H5282" s="1">
        <v>41851</v>
      </c>
      <c r="I5282" s="1">
        <v>41876</v>
      </c>
      <c r="J5282" s="1">
        <v>41876</v>
      </c>
      <c r="K5282" s="1">
        <v>41966</v>
      </c>
      <c r="N5282" s="5"/>
      <c r="O5282">
        <v>552.66</v>
      </c>
      <c r="P5282">
        <v>166</v>
      </c>
      <c r="Q5282" s="2">
        <v>91741.56</v>
      </c>
      <c r="R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 s="1">
        <v>42382</v>
      </c>
      <c r="AC5282" t="s">
        <v>53</v>
      </c>
      <c r="AD5282" t="s">
        <v>53</v>
      </c>
      <c r="AK5282">
        <v>0</v>
      </c>
      <c r="AU5282" s="6">
        <v>42132</v>
      </c>
      <c r="AV5282" s="6">
        <v>42132</v>
      </c>
      <c r="AW5282" t="s">
        <v>54</v>
      </c>
      <c r="AX5282" t="str">
        <f t="shared" si="449"/>
        <v>FOR</v>
      </c>
      <c r="AY5282" t="s">
        <v>55</v>
      </c>
    </row>
    <row r="5283" spans="1:51" hidden="1">
      <c r="A5283">
        <v>102629</v>
      </c>
      <c r="B5283" t="s">
        <v>964</v>
      </c>
      <c r="C5283" t="str">
        <f t="shared" si="450"/>
        <v>01128810650</v>
      </c>
      <c r="D5283" t="str">
        <f t="shared" si="450"/>
        <v>01128810650</v>
      </c>
      <c r="E5283" t="s">
        <v>52</v>
      </c>
      <c r="F5283">
        <v>2014</v>
      </c>
      <c r="G5283">
        <v>192</v>
      </c>
      <c r="H5283" s="1">
        <v>41851</v>
      </c>
      <c r="I5283" s="1">
        <v>41876</v>
      </c>
      <c r="J5283" s="1">
        <v>41876</v>
      </c>
      <c r="K5283" s="1">
        <v>41966</v>
      </c>
      <c r="N5283" s="5"/>
      <c r="O5283">
        <v>552.66</v>
      </c>
      <c r="P5283">
        <v>166</v>
      </c>
      <c r="Q5283" s="2">
        <v>91741.56</v>
      </c>
      <c r="R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 s="1">
        <v>42382</v>
      </c>
      <c r="AC5283" t="s">
        <v>53</v>
      </c>
      <c r="AD5283" t="s">
        <v>53</v>
      </c>
      <c r="AK5283">
        <v>0</v>
      </c>
      <c r="AU5283" s="6">
        <v>42132</v>
      </c>
      <c r="AV5283" s="6">
        <v>42132</v>
      </c>
      <c r="AW5283" t="s">
        <v>54</v>
      </c>
      <c r="AX5283" t="str">
        <f t="shared" si="449"/>
        <v>FOR</v>
      </c>
      <c r="AY5283" t="s">
        <v>55</v>
      </c>
    </row>
    <row r="5284" spans="1:51" hidden="1">
      <c r="A5284">
        <v>102629</v>
      </c>
      <c r="B5284" t="s">
        <v>964</v>
      </c>
      <c r="C5284" t="str">
        <f t="shared" si="450"/>
        <v>01128810650</v>
      </c>
      <c r="D5284" t="str">
        <f t="shared" si="450"/>
        <v>01128810650</v>
      </c>
      <c r="E5284" t="s">
        <v>52</v>
      </c>
      <c r="F5284">
        <v>2014</v>
      </c>
      <c r="G5284">
        <v>193</v>
      </c>
      <c r="H5284" s="1">
        <v>41851</v>
      </c>
      <c r="I5284" s="1">
        <v>41876</v>
      </c>
      <c r="J5284" s="1">
        <v>41876</v>
      </c>
      <c r="K5284" s="1">
        <v>41966</v>
      </c>
      <c r="N5284" s="5"/>
      <c r="O5284">
        <v>679.54</v>
      </c>
      <c r="P5284">
        <v>166</v>
      </c>
      <c r="Q5284" s="2">
        <v>112803.64</v>
      </c>
      <c r="R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 s="1">
        <v>42382</v>
      </c>
      <c r="AC5284" t="s">
        <v>53</v>
      </c>
      <c r="AD5284" t="s">
        <v>53</v>
      </c>
      <c r="AK5284">
        <v>0</v>
      </c>
      <c r="AU5284" s="6">
        <v>42132</v>
      </c>
      <c r="AV5284" s="6">
        <v>42132</v>
      </c>
      <c r="AW5284" t="s">
        <v>54</v>
      </c>
      <c r="AX5284" t="str">
        <f t="shared" si="449"/>
        <v>FOR</v>
      </c>
      <c r="AY5284" t="s">
        <v>55</v>
      </c>
    </row>
    <row r="5285" spans="1:51" hidden="1">
      <c r="A5285">
        <v>102629</v>
      </c>
      <c r="B5285" t="s">
        <v>964</v>
      </c>
      <c r="C5285" t="str">
        <f t="shared" si="450"/>
        <v>01128810650</v>
      </c>
      <c r="D5285" t="str">
        <f t="shared" si="450"/>
        <v>01128810650</v>
      </c>
      <c r="E5285" t="s">
        <v>52</v>
      </c>
      <c r="F5285">
        <v>2014</v>
      </c>
      <c r="G5285">
        <v>194</v>
      </c>
      <c r="H5285" s="1">
        <v>41851</v>
      </c>
      <c r="I5285" s="1">
        <v>41876</v>
      </c>
      <c r="J5285" s="1">
        <v>41876</v>
      </c>
      <c r="K5285" s="1">
        <v>41966</v>
      </c>
      <c r="N5285" s="5"/>
      <c r="O5285">
        <v>847.17</v>
      </c>
      <c r="P5285">
        <v>166</v>
      </c>
      <c r="Q5285" s="2">
        <v>140630.22</v>
      </c>
      <c r="R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 s="1">
        <v>42382</v>
      </c>
      <c r="AC5285" t="s">
        <v>53</v>
      </c>
      <c r="AD5285" t="s">
        <v>53</v>
      </c>
      <c r="AK5285">
        <v>0</v>
      </c>
      <c r="AU5285" s="6">
        <v>42132</v>
      </c>
      <c r="AV5285" s="6">
        <v>42132</v>
      </c>
      <c r="AW5285" t="s">
        <v>54</v>
      </c>
      <c r="AX5285" t="str">
        <f t="shared" si="449"/>
        <v>FOR</v>
      </c>
      <c r="AY5285" t="s">
        <v>55</v>
      </c>
    </row>
    <row r="5286" spans="1:51" hidden="1">
      <c r="A5286">
        <v>102629</v>
      </c>
      <c r="B5286" t="s">
        <v>964</v>
      </c>
      <c r="C5286" t="str">
        <f t="shared" si="450"/>
        <v>01128810650</v>
      </c>
      <c r="D5286" t="str">
        <f t="shared" si="450"/>
        <v>01128810650</v>
      </c>
      <c r="E5286" t="s">
        <v>52</v>
      </c>
      <c r="F5286">
        <v>2014</v>
      </c>
      <c r="G5286">
        <v>197</v>
      </c>
      <c r="H5286" s="1">
        <v>41851</v>
      </c>
      <c r="I5286" s="1">
        <v>41876</v>
      </c>
      <c r="J5286" s="1">
        <v>41876</v>
      </c>
      <c r="K5286" s="1">
        <v>41966</v>
      </c>
      <c r="N5286" s="5"/>
      <c r="O5286">
        <v>167.63</v>
      </c>
      <c r="P5286">
        <v>166</v>
      </c>
      <c r="Q5286" s="2">
        <v>27826.58</v>
      </c>
      <c r="R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 s="1">
        <v>42382</v>
      </c>
      <c r="AC5286" t="s">
        <v>53</v>
      </c>
      <c r="AD5286" t="s">
        <v>53</v>
      </c>
      <c r="AK5286">
        <v>0</v>
      </c>
      <c r="AU5286" s="6">
        <v>42132</v>
      </c>
      <c r="AV5286" s="6">
        <v>42132</v>
      </c>
      <c r="AW5286" t="s">
        <v>54</v>
      </c>
      <c r="AX5286" t="str">
        <f t="shared" si="449"/>
        <v>FOR</v>
      </c>
      <c r="AY5286" t="s">
        <v>55</v>
      </c>
    </row>
    <row r="5287" spans="1:51" hidden="1">
      <c r="A5287">
        <v>102629</v>
      </c>
      <c r="B5287" t="s">
        <v>964</v>
      </c>
      <c r="C5287" t="str">
        <f t="shared" si="450"/>
        <v>01128810650</v>
      </c>
      <c r="D5287" t="str">
        <f t="shared" si="450"/>
        <v>01128810650</v>
      </c>
      <c r="E5287" t="s">
        <v>52</v>
      </c>
      <c r="F5287">
        <v>2014</v>
      </c>
      <c r="G5287">
        <v>198</v>
      </c>
      <c r="H5287" s="1">
        <v>41851</v>
      </c>
      <c r="I5287" s="1">
        <v>41876</v>
      </c>
      <c r="J5287" s="1">
        <v>41876</v>
      </c>
      <c r="K5287" s="1">
        <v>41966</v>
      </c>
      <c r="N5287" s="5"/>
      <c r="O5287">
        <v>167.63</v>
      </c>
      <c r="P5287">
        <v>166</v>
      </c>
      <c r="Q5287" s="2">
        <v>27826.58</v>
      </c>
      <c r="R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 s="1">
        <v>42382</v>
      </c>
      <c r="AC5287" t="s">
        <v>53</v>
      </c>
      <c r="AD5287" t="s">
        <v>53</v>
      </c>
      <c r="AK5287">
        <v>0</v>
      </c>
      <c r="AU5287" s="6">
        <v>42132</v>
      </c>
      <c r="AV5287" s="6">
        <v>42132</v>
      </c>
      <c r="AW5287" t="s">
        <v>54</v>
      </c>
      <c r="AX5287" t="str">
        <f t="shared" si="449"/>
        <v>FOR</v>
      </c>
      <c r="AY5287" t="s">
        <v>55</v>
      </c>
    </row>
    <row r="5288" spans="1:51" hidden="1">
      <c r="A5288">
        <v>102629</v>
      </c>
      <c r="B5288" t="s">
        <v>964</v>
      </c>
      <c r="C5288" t="str">
        <f t="shared" si="450"/>
        <v>01128810650</v>
      </c>
      <c r="D5288" t="str">
        <f t="shared" si="450"/>
        <v>01128810650</v>
      </c>
      <c r="E5288" t="s">
        <v>52</v>
      </c>
      <c r="F5288">
        <v>2014</v>
      </c>
      <c r="G5288">
        <v>199</v>
      </c>
      <c r="H5288" s="1">
        <v>41851</v>
      </c>
      <c r="I5288" s="1">
        <v>41876</v>
      </c>
      <c r="J5288" s="1">
        <v>41876</v>
      </c>
      <c r="K5288" s="1">
        <v>41966</v>
      </c>
      <c r="N5288" s="5"/>
      <c r="O5288">
        <v>606.95000000000005</v>
      </c>
      <c r="P5288">
        <v>166</v>
      </c>
      <c r="Q5288" s="2">
        <v>100753.7</v>
      </c>
      <c r="R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 s="1">
        <v>42382</v>
      </c>
      <c r="AC5288" t="s">
        <v>53</v>
      </c>
      <c r="AD5288" t="s">
        <v>53</v>
      </c>
      <c r="AK5288">
        <v>0</v>
      </c>
      <c r="AU5288" s="6">
        <v>42132</v>
      </c>
      <c r="AV5288" s="6">
        <v>42132</v>
      </c>
      <c r="AW5288" t="s">
        <v>54</v>
      </c>
      <c r="AX5288" t="str">
        <f t="shared" si="449"/>
        <v>FOR</v>
      </c>
      <c r="AY5288" t="s">
        <v>55</v>
      </c>
    </row>
    <row r="5289" spans="1:51" hidden="1">
      <c r="A5289">
        <v>102629</v>
      </c>
      <c r="B5289" t="s">
        <v>964</v>
      </c>
      <c r="C5289" t="str">
        <f t="shared" si="450"/>
        <v>01128810650</v>
      </c>
      <c r="D5289" t="str">
        <f t="shared" si="450"/>
        <v>01128810650</v>
      </c>
      <c r="E5289" t="s">
        <v>52</v>
      </c>
      <c r="F5289">
        <v>2014</v>
      </c>
      <c r="G5289">
        <v>200</v>
      </c>
      <c r="H5289" s="1">
        <v>41851</v>
      </c>
      <c r="I5289" s="1">
        <v>41876</v>
      </c>
      <c r="J5289" s="1">
        <v>41876</v>
      </c>
      <c r="K5289" s="1">
        <v>41966</v>
      </c>
      <c r="N5289" s="5"/>
      <c r="O5289">
        <v>606.95000000000005</v>
      </c>
      <c r="P5289">
        <v>166</v>
      </c>
      <c r="Q5289" s="2">
        <v>100753.7</v>
      </c>
      <c r="R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 s="1">
        <v>42382</v>
      </c>
      <c r="AC5289" t="s">
        <v>53</v>
      </c>
      <c r="AD5289" t="s">
        <v>53</v>
      </c>
      <c r="AK5289">
        <v>0</v>
      </c>
      <c r="AU5289" s="6">
        <v>42132</v>
      </c>
      <c r="AV5289" s="6">
        <v>42132</v>
      </c>
      <c r="AW5289" t="s">
        <v>54</v>
      </c>
      <c r="AX5289" t="str">
        <f t="shared" si="449"/>
        <v>FOR</v>
      </c>
      <c r="AY5289" t="s">
        <v>55</v>
      </c>
    </row>
    <row r="5290" spans="1:51" hidden="1">
      <c r="A5290">
        <v>102629</v>
      </c>
      <c r="B5290" t="s">
        <v>964</v>
      </c>
      <c r="C5290" t="str">
        <f t="shared" si="450"/>
        <v>01128810650</v>
      </c>
      <c r="D5290" t="str">
        <f t="shared" si="450"/>
        <v>01128810650</v>
      </c>
      <c r="E5290" t="s">
        <v>52</v>
      </c>
      <c r="F5290">
        <v>2014</v>
      </c>
      <c r="G5290">
        <v>201</v>
      </c>
      <c r="H5290" s="1">
        <v>41851</v>
      </c>
      <c r="I5290" s="1">
        <v>41876</v>
      </c>
      <c r="J5290" s="1">
        <v>41876</v>
      </c>
      <c r="K5290" s="1">
        <v>41966</v>
      </c>
      <c r="N5290" s="5"/>
      <c r="O5290" s="2">
        <v>6139.04</v>
      </c>
      <c r="P5290">
        <v>166</v>
      </c>
      <c r="Q5290" s="2">
        <v>1019080.64</v>
      </c>
      <c r="R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 s="1">
        <v>42382</v>
      </c>
      <c r="AC5290" t="s">
        <v>53</v>
      </c>
      <c r="AD5290" t="s">
        <v>53</v>
      </c>
      <c r="AK5290">
        <v>0</v>
      </c>
      <c r="AU5290" s="6">
        <v>42132</v>
      </c>
      <c r="AV5290" s="6">
        <v>42132</v>
      </c>
      <c r="AW5290" t="s">
        <v>54</v>
      </c>
      <c r="AX5290" t="str">
        <f t="shared" si="449"/>
        <v>FOR</v>
      </c>
      <c r="AY5290" t="s">
        <v>55</v>
      </c>
    </row>
    <row r="5291" spans="1:51" hidden="1">
      <c r="A5291">
        <v>102629</v>
      </c>
      <c r="B5291" t="s">
        <v>964</v>
      </c>
      <c r="C5291" t="str">
        <f t="shared" ref="C5291:D5309" si="451">"01128810650"</f>
        <v>01128810650</v>
      </c>
      <c r="D5291" t="str">
        <f t="shared" si="451"/>
        <v>01128810650</v>
      </c>
      <c r="E5291" t="s">
        <v>52</v>
      </c>
      <c r="F5291">
        <v>2014</v>
      </c>
      <c r="G5291">
        <v>210</v>
      </c>
      <c r="H5291" s="1">
        <v>41858</v>
      </c>
      <c r="I5291" s="1">
        <v>41876</v>
      </c>
      <c r="J5291" s="1">
        <v>41876</v>
      </c>
      <c r="K5291" s="1">
        <v>41966</v>
      </c>
      <c r="N5291" s="5"/>
      <c r="O5291" s="2">
        <v>3836.9</v>
      </c>
      <c r="P5291">
        <v>225</v>
      </c>
      <c r="Q5291" s="2">
        <v>863302.5</v>
      </c>
      <c r="R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 s="1">
        <v>42382</v>
      </c>
      <c r="AC5291" t="s">
        <v>53</v>
      </c>
      <c r="AD5291" t="s">
        <v>53</v>
      </c>
      <c r="AK5291">
        <v>0</v>
      </c>
      <c r="AU5291" s="6">
        <v>42191</v>
      </c>
      <c r="AV5291" s="6">
        <v>42191</v>
      </c>
      <c r="AW5291" t="s">
        <v>54</v>
      </c>
      <c r="AX5291" t="str">
        <f t="shared" si="449"/>
        <v>FOR</v>
      </c>
      <c r="AY5291" t="s">
        <v>55</v>
      </c>
    </row>
    <row r="5292" spans="1:51" hidden="1">
      <c r="A5292">
        <v>102629</v>
      </c>
      <c r="B5292" t="s">
        <v>964</v>
      </c>
      <c r="C5292" t="str">
        <f t="shared" si="451"/>
        <v>01128810650</v>
      </c>
      <c r="D5292" t="str">
        <f t="shared" si="451"/>
        <v>01128810650</v>
      </c>
      <c r="E5292" t="s">
        <v>52</v>
      </c>
      <c r="F5292">
        <v>2014</v>
      </c>
      <c r="G5292">
        <v>242</v>
      </c>
      <c r="H5292" s="1">
        <v>41908</v>
      </c>
      <c r="I5292" s="1">
        <v>41926</v>
      </c>
      <c r="J5292" s="1">
        <v>41926</v>
      </c>
      <c r="K5292" s="1">
        <v>41986</v>
      </c>
      <c r="N5292" s="5"/>
      <c r="O5292" s="2">
        <v>3069.52</v>
      </c>
      <c r="P5292">
        <v>262</v>
      </c>
      <c r="Q5292" s="2">
        <v>804214.24</v>
      </c>
      <c r="R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 s="1">
        <v>42382</v>
      </c>
      <c r="AC5292" t="s">
        <v>53</v>
      </c>
      <c r="AD5292" t="s">
        <v>53</v>
      </c>
      <c r="AK5292">
        <v>0</v>
      </c>
      <c r="AU5292" s="6">
        <v>42248</v>
      </c>
      <c r="AV5292" s="6">
        <v>42248</v>
      </c>
      <c r="AW5292" t="s">
        <v>54</v>
      </c>
      <c r="AX5292" t="str">
        <f t="shared" si="449"/>
        <v>FOR</v>
      </c>
      <c r="AY5292" t="s">
        <v>55</v>
      </c>
    </row>
    <row r="5293" spans="1:51" hidden="1">
      <c r="A5293">
        <v>102629</v>
      </c>
      <c r="B5293" t="s">
        <v>964</v>
      </c>
      <c r="C5293" t="str">
        <f t="shared" si="451"/>
        <v>01128810650</v>
      </c>
      <c r="D5293" t="str">
        <f t="shared" si="451"/>
        <v>01128810650</v>
      </c>
      <c r="E5293" t="s">
        <v>52</v>
      </c>
      <c r="F5293">
        <v>2014</v>
      </c>
      <c r="G5293">
        <v>249</v>
      </c>
      <c r="H5293" s="1">
        <v>41912</v>
      </c>
      <c r="I5293" s="1">
        <v>41922</v>
      </c>
      <c r="J5293" s="1">
        <v>41922</v>
      </c>
      <c r="K5293" s="1">
        <v>42012</v>
      </c>
      <c r="N5293" s="5"/>
      <c r="O5293">
        <v>198.25</v>
      </c>
      <c r="P5293">
        <v>236</v>
      </c>
      <c r="Q5293" s="2">
        <v>46787</v>
      </c>
      <c r="R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 s="1">
        <v>42382</v>
      </c>
      <c r="AC5293" t="s">
        <v>53</v>
      </c>
      <c r="AD5293" t="s">
        <v>53</v>
      </c>
      <c r="AK5293">
        <v>0</v>
      </c>
      <c r="AU5293" s="6">
        <v>42248</v>
      </c>
      <c r="AV5293" s="6">
        <v>42248</v>
      </c>
      <c r="AW5293" t="s">
        <v>54</v>
      </c>
      <c r="AX5293" t="str">
        <f t="shared" si="449"/>
        <v>FOR</v>
      </c>
      <c r="AY5293" t="s">
        <v>55</v>
      </c>
    </row>
    <row r="5294" spans="1:51">
      <c r="A5294">
        <v>102629</v>
      </c>
      <c r="B5294" t="s">
        <v>964</v>
      </c>
      <c r="C5294" t="str">
        <f t="shared" si="451"/>
        <v>01128810650</v>
      </c>
      <c r="D5294" t="str">
        <f t="shared" si="451"/>
        <v>01128810650</v>
      </c>
      <c r="E5294" t="s">
        <v>52</v>
      </c>
      <c r="F5294">
        <v>2014</v>
      </c>
      <c r="G5294">
        <v>259</v>
      </c>
      <c r="H5294" s="1">
        <v>41929</v>
      </c>
      <c r="I5294" s="1">
        <v>41939</v>
      </c>
      <c r="J5294" s="1">
        <v>41939</v>
      </c>
      <c r="K5294" s="1">
        <v>41999</v>
      </c>
      <c r="L5294" s="7">
        <v>6139.04</v>
      </c>
      <c r="M5294" s="5">
        <v>283</v>
      </c>
      <c r="N5294" s="7">
        <v>1737348.32</v>
      </c>
      <c r="O5294" s="2">
        <v>6139.04</v>
      </c>
      <c r="P5294">
        <v>283</v>
      </c>
      <c r="Q5294" s="2">
        <v>1737348.32</v>
      </c>
      <c r="R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 s="1">
        <v>42382</v>
      </c>
      <c r="AC5294" t="s">
        <v>53</v>
      </c>
      <c r="AD5294" t="s">
        <v>53</v>
      </c>
      <c r="AK5294">
        <v>0</v>
      </c>
      <c r="AU5294" s="6">
        <v>42282</v>
      </c>
      <c r="AV5294" s="6">
        <v>42282</v>
      </c>
      <c r="AW5294" t="s">
        <v>54</v>
      </c>
      <c r="AX5294" t="str">
        <f t="shared" si="449"/>
        <v>FOR</v>
      </c>
      <c r="AY5294" t="s">
        <v>55</v>
      </c>
    </row>
    <row r="5295" spans="1:51">
      <c r="A5295">
        <v>102629</v>
      </c>
      <c r="B5295" t="s">
        <v>964</v>
      </c>
      <c r="C5295" t="str">
        <f t="shared" si="451"/>
        <v>01128810650</v>
      </c>
      <c r="D5295" t="str">
        <f t="shared" si="451"/>
        <v>01128810650</v>
      </c>
      <c r="E5295" t="s">
        <v>52</v>
      </c>
      <c r="F5295">
        <v>2014</v>
      </c>
      <c r="G5295">
        <v>264</v>
      </c>
      <c r="H5295" s="1">
        <v>41936</v>
      </c>
      <c r="I5295" s="1">
        <v>41947</v>
      </c>
      <c r="J5295" s="1">
        <v>41947</v>
      </c>
      <c r="K5295" s="1">
        <v>42007</v>
      </c>
      <c r="L5295" s="7">
        <v>2023.25</v>
      </c>
      <c r="M5295" s="5">
        <v>275</v>
      </c>
      <c r="N5295" s="7">
        <v>556393.75</v>
      </c>
      <c r="O5295" s="2">
        <v>2023.25</v>
      </c>
      <c r="P5295">
        <v>275</v>
      </c>
      <c r="Q5295" s="2">
        <v>556393.75</v>
      </c>
      <c r="R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 s="1">
        <v>42382</v>
      </c>
      <c r="AC5295" t="s">
        <v>53</v>
      </c>
      <c r="AD5295" t="s">
        <v>53</v>
      </c>
      <c r="AK5295">
        <v>0</v>
      </c>
      <c r="AU5295" s="6">
        <v>42282</v>
      </c>
      <c r="AV5295" s="6">
        <v>42282</v>
      </c>
      <c r="AW5295" t="s">
        <v>54</v>
      </c>
      <c r="AX5295" t="str">
        <f t="shared" si="449"/>
        <v>FOR</v>
      </c>
      <c r="AY5295" t="s">
        <v>55</v>
      </c>
    </row>
    <row r="5296" spans="1:51">
      <c r="A5296">
        <v>102629</v>
      </c>
      <c r="B5296" t="s">
        <v>964</v>
      </c>
      <c r="C5296" t="str">
        <f t="shared" si="451"/>
        <v>01128810650</v>
      </c>
      <c r="D5296" t="str">
        <f t="shared" si="451"/>
        <v>01128810650</v>
      </c>
      <c r="E5296" t="s">
        <v>52</v>
      </c>
      <c r="F5296">
        <v>2014</v>
      </c>
      <c r="G5296">
        <v>280</v>
      </c>
      <c r="H5296" s="1">
        <v>41950</v>
      </c>
      <c r="I5296" s="1">
        <v>41964</v>
      </c>
      <c r="J5296" s="1">
        <v>41964</v>
      </c>
      <c r="K5296" s="1">
        <v>42024</v>
      </c>
      <c r="L5296" s="7">
        <v>335.26</v>
      </c>
      <c r="M5296" s="5">
        <v>281</v>
      </c>
      <c r="N5296" s="7">
        <v>94208.06</v>
      </c>
      <c r="O5296">
        <v>335.26</v>
      </c>
      <c r="P5296">
        <v>281</v>
      </c>
      <c r="Q5296" s="2">
        <v>94208.06</v>
      </c>
      <c r="R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 s="1">
        <v>42382</v>
      </c>
      <c r="AC5296" t="s">
        <v>53</v>
      </c>
      <c r="AD5296" t="s">
        <v>53</v>
      </c>
      <c r="AK5296">
        <v>0</v>
      </c>
      <c r="AU5296" s="6">
        <v>42305</v>
      </c>
      <c r="AV5296" s="6">
        <v>42305</v>
      </c>
      <c r="AW5296" t="s">
        <v>54</v>
      </c>
      <c r="AX5296" t="str">
        <f t="shared" si="449"/>
        <v>FOR</v>
      </c>
      <c r="AY5296" t="s">
        <v>55</v>
      </c>
    </row>
    <row r="5297" spans="1:51">
      <c r="A5297">
        <v>102629</v>
      </c>
      <c r="B5297" t="s">
        <v>964</v>
      </c>
      <c r="C5297" t="str">
        <f t="shared" si="451"/>
        <v>01128810650</v>
      </c>
      <c r="D5297" t="str">
        <f t="shared" si="451"/>
        <v>01128810650</v>
      </c>
      <c r="E5297" t="s">
        <v>52</v>
      </c>
      <c r="F5297">
        <v>2014</v>
      </c>
      <c r="G5297">
        <v>294</v>
      </c>
      <c r="H5297" s="1">
        <v>41967</v>
      </c>
      <c r="I5297" s="1">
        <v>41974</v>
      </c>
      <c r="J5297" s="1">
        <v>41974</v>
      </c>
      <c r="K5297" s="1">
        <v>42034</v>
      </c>
      <c r="L5297" s="7">
        <v>3836.9</v>
      </c>
      <c r="M5297" s="5">
        <v>271</v>
      </c>
      <c r="N5297" s="7">
        <v>1039799.9</v>
      </c>
      <c r="O5297" s="2">
        <v>3836.9</v>
      </c>
      <c r="P5297">
        <v>271</v>
      </c>
      <c r="Q5297" s="2">
        <v>1039799.9</v>
      </c>
      <c r="R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 s="1">
        <v>42382</v>
      </c>
      <c r="AC5297" t="s">
        <v>53</v>
      </c>
      <c r="AD5297" t="s">
        <v>53</v>
      </c>
      <c r="AK5297">
        <v>0</v>
      </c>
      <c r="AU5297" s="6">
        <v>42305</v>
      </c>
      <c r="AV5297" s="6">
        <v>42305</v>
      </c>
      <c r="AW5297" t="s">
        <v>54</v>
      </c>
      <c r="AX5297" t="str">
        <f t="shared" si="449"/>
        <v>FOR</v>
      </c>
      <c r="AY5297" t="s">
        <v>55</v>
      </c>
    </row>
    <row r="5298" spans="1:51">
      <c r="A5298">
        <v>102629</v>
      </c>
      <c r="B5298" t="s">
        <v>964</v>
      </c>
      <c r="C5298" t="str">
        <f t="shared" si="451"/>
        <v>01128810650</v>
      </c>
      <c r="D5298" t="str">
        <f t="shared" si="451"/>
        <v>01128810650</v>
      </c>
      <c r="E5298" t="s">
        <v>52</v>
      </c>
      <c r="F5298">
        <v>2014</v>
      </c>
      <c r="G5298">
        <v>295</v>
      </c>
      <c r="H5298" s="1">
        <v>41967</v>
      </c>
      <c r="I5298" s="1">
        <v>41974</v>
      </c>
      <c r="J5298" s="1">
        <v>41974</v>
      </c>
      <c r="K5298" s="1">
        <v>42034</v>
      </c>
      <c r="L5298" s="7">
        <v>1213.9000000000001</v>
      </c>
      <c r="M5298" s="5">
        <v>271</v>
      </c>
      <c r="N5298" s="7">
        <v>328966.90000000002</v>
      </c>
      <c r="O5298" s="2">
        <v>1213.9000000000001</v>
      </c>
      <c r="P5298">
        <v>271</v>
      </c>
      <c r="Q5298" s="2">
        <v>328966.90000000002</v>
      </c>
      <c r="R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 s="1">
        <v>42382</v>
      </c>
      <c r="AC5298" t="s">
        <v>53</v>
      </c>
      <c r="AD5298" t="s">
        <v>53</v>
      </c>
      <c r="AK5298">
        <v>0</v>
      </c>
      <c r="AU5298" s="6">
        <v>42305</v>
      </c>
      <c r="AV5298" s="6">
        <v>42305</v>
      </c>
      <c r="AW5298" t="s">
        <v>54</v>
      </c>
      <c r="AX5298" t="str">
        <f t="shared" si="449"/>
        <v>FOR</v>
      </c>
      <c r="AY5298" t="s">
        <v>55</v>
      </c>
    </row>
    <row r="5299" spans="1:51">
      <c r="A5299">
        <v>102629</v>
      </c>
      <c r="B5299" t="s">
        <v>964</v>
      </c>
      <c r="C5299" t="str">
        <f t="shared" si="451"/>
        <v>01128810650</v>
      </c>
      <c r="D5299" t="str">
        <f t="shared" si="451"/>
        <v>01128810650</v>
      </c>
      <c r="E5299" t="s">
        <v>52</v>
      </c>
      <c r="F5299">
        <v>2014</v>
      </c>
      <c r="G5299">
        <v>296</v>
      </c>
      <c r="H5299" s="1">
        <v>41967</v>
      </c>
      <c r="I5299" s="1">
        <v>41974</v>
      </c>
      <c r="J5299" s="1">
        <v>41974</v>
      </c>
      <c r="K5299" s="1">
        <v>42034</v>
      </c>
      <c r="L5299" s="7">
        <v>1213.9000000000001</v>
      </c>
      <c r="M5299" s="5">
        <v>271</v>
      </c>
      <c r="N5299" s="7">
        <v>328966.90000000002</v>
      </c>
      <c r="O5299" s="2">
        <v>1213.9000000000001</v>
      </c>
      <c r="P5299">
        <v>271</v>
      </c>
      <c r="Q5299" s="2">
        <v>328966.90000000002</v>
      </c>
      <c r="R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 s="1">
        <v>42382</v>
      </c>
      <c r="AC5299" t="s">
        <v>53</v>
      </c>
      <c r="AD5299" t="s">
        <v>53</v>
      </c>
      <c r="AK5299">
        <v>0</v>
      </c>
      <c r="AU5299" s="6">
        <v>42305</v>
      </c>
      <c r="AV5299" s="6">
        <v>42305</v>
      </c>
      <c r="AW5299" t="s">
        <v>54</v>
      </c>
      <c r="AX5299" t="str">
        <f t="shared" si="449"/>
        <v>FOR</v>
      </c>
      <c r="AY5299" t="s">
        <v>55</v>
      </c>
    </row>
    <row r="5300" spans="1:51">
      <c r="A5300">
        <v>102629</v>
      </c>
      <c r="B5300" t="s">
        <v>964</v>
      </c>
      <c r="C5300" t="str">
        <f t="shared" si="451"/>
        <v>01128810650</v>
      </c>
      <c r="D5300" t="str">
        <f t="shared" si="451"/>
        <v>01128810650</v>
      </c>
      <c r="E5300" t="s">
        <v>52</v>
      </c>
      <c r="F5300">
        <v>2014</v>
      </c>
      <c r="G5300">
        <v>322</v>
      </c>
      <c r="H5300" s="1">
        <v>41992</v>
      </c>
      <c r="I5300" s="1">
        <v>42004</v>
      </c>
      <c r="J5300" s="1">
        <v>42004</v>
      </c>
      <c r="K5300" s="1">
        <v>42064</v>
      </c>
      <c r="L5300" s="7">
        <v>289.75</v>
      </c>
      <c r="M5300" s="5">
        <v>276</v>
      </c>
      <c r="N5300" s="7">
        <v>79971</v>
      </c>
      <c r="O5300">
        <v>289.75</v>
      </c>
      <c r="P5300">
        <v>276</v>
      </c>
      <c r="Q5300" s="2">
        <v>79971</v>
      </c>
      <c r="R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 s="1">
        <v>42382</v>
      </c>
      <c r="AC5300" t="s">
        <v>53</v>
      </c>
      <c r="AD5300" t="s">
        <v>53</v>
      </c>
      <c r="AK5300">
        <v>0</v>
      </c>
      <c r="AU5300" s="6">
        <v>42340</v>
      </c>
      <c r="AV5300" s="6">
        <v>42340</v>
      </c>
      <c r="AW5300" t="s">
        <v>54</v>
      </c>
      <c r="AX5300" t="str">
        <f t="shared" si="449"/>
        <v>FOR</v>
      </c>
      <c r="AY5300" t="s">
        <v>55</v>
      </c>
    </row>
    <row r="5301" spans="1:51">
      <c r="A5301">
        <v>102629</v>
      </c>
      <c r="B5301" t="s">
        <v>964</v>
      </c>
      <c r="C5301" t="str">
        <f t="shared" si="451"/>
        <v>01128810650</v>
      </c>
      <c r="D5301" t="str">
        <f t="shared" si="451"/>
        <v>01128810650</v>
      </c>
      <c r="E5301" t="s">
        <v>52</v>
      </c>
      <c r="F5301">
        <v>2014</v>
      </c>
      <c r="G5301">
        <v>323</v>
      </c>
      <c r="H5301" s="1">
        <v>41992</v>
      </c>
      <c r="I5301" s="1">
        <v>42004</v>
      </c>
      <c r="J5301" s="1">
        <v>42004</v>
      </c>
      <c r="K5301" s="1">
        <v>42064</v>
      </c>
      <c r="L5301" s="7">
        <v>5199.6400000000003</v>
      </c>
      <c r="M5301" s="5">
        <v>276</v>
      </c>
      <c r="N5301" s="7">
        <v>1435100.64</v>
      </c>
      <c r="O5301" s="2">
        <v>5199.6400000000003</v>
      </c>
      <c r="P5301">
        <v>276</v>
      </c>
      <c r="Q5301" s="2">
        <v>1435100.64</v>
      </c>
      <c r="R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 s="1">
        <v>42382</v>
      </c>
      <c r="AC5301" t="s">
        <v>53</v>
      </c>
      <c r="AD5301" t="s">
        <v>53</v>
      </c>
      <c r="AK5301">
        <v>0</v>
      </c>
      <c r="AU5301" s="6">
        <v>42340</v>
      </c>
      <c r="AV5301" s="6">
        <v>42340</v>
      </c>
      <c r="AW5301" t="s">
        <v>54</v>
      </c>
      <c r="AX5301" t="str">
        <f t="shared" si="449"/>
        <v>FOR</v>
      </c>
      <c r="AY5301" t="s">
        <v>55</v>
      </c>
    </row>
    <row r="5302" spans="1:51">
      <c r="A5302">
        <v>102629</v>
      </c>
      <c r="B5302" t="s">
        <v>964</v>
      </c>
      <c r="C5302" t="str">
        <f t="shared" si="451"/>
        <v>01128810650</v>
      </c>
      <c r="D5302" t="str">
        <f t="shared" si="451"/>
        <v>01128810650</v>
      </c>
      <c r="E5302" t="s">
        <v>52</v>
      </c>
      <c r="F5302">
        <v>2014</v>
      </c>
      <c r="G5302">
        <v>324</v>
      </c>
      <c r="H5302" s="1">
        <v>41992</v>
      </c>
      <c r="I5302" s="1">
        <v>42030</v>
      </c>
      <c r="J5302" s="1">
        <v>42030</v>
      </c>
      <c r="K5302" s="1">
        <v>42090</v>
      </c>
      <c r="L5302" s="7">
        <v>461.16</v>
      </c>
      <c r="M5302" s="5">
        <v>215</v>
      </c>
      <c r="N5302" s="7">
        <v>99149.4</v>
      </c>
      <c r="O5302">
        <v>461.16</v>
      </c>
      <c r="P5302">
        <v>215</v>
      </c>
      <c r="Q5302" s="2">
        <v>99149.4</v>
      </c>
      <c r="R5302">
        <v>0</v>
      </c>
      <c r="V5302">
        <v>0</v>
      </c>
      <c r="W5302">
        <v>0</v>
      </c>
      <c r="X5302">
        <v>0</v>
      </c>
      <c r="Y5302">
        <v>0</v>
      </c>
      <c r="Z5302">
        <v>461.16</v>
      </c>
      <c r="AA5302">
        <v>0</v>
      </c>
      <c r="AB5302" s="1">
        <v>42382</v>
      </c>
      <c r="AC5302" t="s">
        <v>53</v>
      </c>
      <c r="AD5302" t="s">
        <v>53</v>
      </c>
      <c r="AK5302">
        <v>0</v>
      </c>
      <c r="AU5302" s="6">
        <v>42305</v>
      </c>
      <c r="AV5302" s="6">
        <v>42305</v>
      </c>
      <c r="AW5302" t="s">
        <v>54</v>
      </c>
      <c r="AX5302" t="str">
        <f t="shared" si="449"/>
        <v>FOR</v>
      </c>
      <c r="AY5302" t="s">
        <v>55</v>
      </c>
    </row>
    <row r="5303" spans="1:51">
      <c r="A5303">
        <v>102629</v>
      </c>
      <c r="B5303" t="s">
        <v>964</v>
      </c>
      <c r="C5303" t="str">
        <f t="shared" si="451"/>
        <v>01128810650</v>
      </c>
      <c r="D5303" t="str">
        <f t="shared" si="451"/>
        <v>01128810650</v>
      </c>
      <c r="E5303" t="s">
        <v>52</v>
      </c>
      <c r="F5303">
        <v>2014</v>
      </c>
      <c r="G5303">
        <v>330</v>
      </c>
      <c r="H5303" s="1">
        <v>41992</v>
      </c>
      <c r="I5303" s="1">
        <v>42030</v>
      </c>
      <c r="J5303" s="1">
        <v>42030</v>
      </c>
      <c r="K5303" s="1">
        <v>42090</v>
      </c>
      <c r="L5303" s="7">
        <v>3852.76</v>
      </c>
      <c r="M5303" s="5">
        <v>250</v>
      </c>
      <c r="N5303" s="7">
        <v>963190</v>
      </c>
      <c r="O5303" s="2">
        <v>3852.76</v>
      </c>
      <c r="P5303">
        <v>250</v>
      </c>
      <c r="Q5303" s="2">
        <v>963190</v>
      </c>
      <c r="R5303">
        <v>0</v>
      </c>
      <c r="V5303">
        <v>0</v>
      </c>
      <c r="W5303">
        <v>0</v>
      </c>
      <c r="X5303">
        <v>0</v>
      </c>
      <c r="Y5303">
        <v>0</v>
      </c>
      <c r="Z5303" s="2">
        <v>3852.76</v>
      </c>
      <c r="AA5303">
        <v>0</v>
      </c>
      <c r="AB5303" s="1">
        <v>42382</v>
      </c>
      <c r="AC5303" t="s">
        <v>53</v>
      </c>
      <c r="AD5303" t="s">
        <v>53</v>
      </c>
      <c r="AK5303">
        <v>0</v>
      </c>
      <c r="AU5303" s="6">
        <v>42340</v>
      </c>
      <c r="AV5303" s="6">
        <v>42340</v>
      </c>
      <c r="AW5303" t="s">
        <v>54</v>
      </c>
      <c r="AX5303" t="str">
        <f t="shared" si="449"/>
        <v>FOR</v>
      </c>
      <c r="AY5303" t="s">
        <v>55</v>
      </c>
    </row>
    <row r="5304" spans="1:51">
      <c r="A5304">
        <v>102629</v>
      </c>
      <c r="B5304" t="s">
        <v>964</v>
      </c>
      <c r="C5304" t="str">
        <f t="shared" si="451"/>
        <v>01128810650</v>
      </c>
      <c r="D5304" t="str">
        <f t="shared" si="451"/>
        <v>01128810650</v>
      </c>
      <c r="E5304" t="s">
        <v>52</v>
      </c>
      <c r="F5304">
        <v>2015</v>
      </c>
      <c r="G5304" t="s">
        <v>965</v>
      </c>
      <c r="H5304" s="1">
        <v>42027</v>
      </c>
      <c r="I5304" s="1">
        <v>42054</v>
      </c>
      <c r="J5304" s="1">
        <v>42054</v>
      </c>
      <c r="K5304" s="1">
        <v>42114</v>
      </c>
      <c r="L5304" s="7">
        <v>2516</v>
      </c>
      <c r="M5304" s="5">
        <v>226</v>
      </c>
      <c r="N5304" s="7">
        <v>568616</v>
      </c>
      <c r="O5304" s="2">
        <v>2516</v>
      </c>
      <c r="P5304">
        <v>226</v>
      </c>
      <c r="Q5304" s="2">
        <v>568616</v>
      </c>
      <c r="R5304">
        <v>553.52</v>
      </c>
      <c r="V5304">
        <v>0</v>
      </c>
      <c r="W5304">
        <v>0</v>
      </c>
      <c r="X5304">
        <v>0</v>
      </c>
      <c r="Y5304" s="2">
        <v>3069.52</v>
      </c>
      <c r="Z5304" s="2">
        <v>3069.52</v>
      </c>
      <c r="AA5304" s="2">
        <v>3069.52</v>
      </c>
      <c r="AB5304" s="1">
        <v>42382</v>
      </c>
      <c r="AC5304" t="s">
        <v>53</v>
      </c>
      <c r="AD5304" t="s">
        <v>53</v>
      </c>
      <c r="AK5304">
        <v>553.52</v>
      </c>
      <c r="AU5304" s="6">
        <v>42340</v>
      </c>
      <c r="AV5304" s="6">
        <v>42340</v>
      </c>
      <c r="AW5304" t="s">
        <v>54</v>
      </c>
      <c r="AX5304" t="str">
        <f t="shared" si="449"/>
        <v>FOR</v>
      </c>
      <c r="AY5304" t="s">
        <v>55</v>
      </c>
    </row>
    <row r="5305" spans="1:51">
      <c r="A5305">
        <v>102629</v>
      </c>
      <c r="B5305" t="s">
        <v>964</v>
      </c>
      <c r="C5305" t="str">
        <f t="shared" si="451"/>
        <v>01128810650</v>
      </c>
      <c r="D5305" t="str">
        <f t="shared" si="451"/>
        <v>01128810650</v>
      </c>
      <c r="E5305" t="s">
        <v>52</v>
      </c>
      <c r="F5305">
        <v>2015</v>
      </c>
      <c r="G5305" t="s">
        <v>966</v>
      </c>
      <c r="H5305" s="1">
        <v>42027</v>
      </c>
      <c r="I5305" s="1">
        <v>42054</v>
      </c>
      <c r="J5305" s="1">
        <v>42054</v>
      </c>
      <c r="K5305" s="1">
        <v>42114</v>
      </c>
      <c r="L5305" s="7">
        <v>1258</v>
      </c>
      <c r="M5305" s="5">
        <v>226</v>
      </c>
      <c r="N5305" s="7">
        <v>284308</v>
      </c>
      <c r="O5305" s="2">
        <v>1258</v>
      </c>
      <c r="P5305">
        <v>226</v>
      </c>
      <c r="Q5305" s="2">
        <v>284308</v>
      </c>
      <c r="R5305">
        <v>276.76</v>
      </c>
      <c r="V5305">
        <v>0</v>
      </c>
      <c r="W5305">
        <v>0</v>
      </c>
      <c r="X5305">
        <v>0</v>
      </c>
      <c r="Y5305" s="2">
        <v>1534.76</v>
      </c>
      <c r="Z5305" s="2">
        <v>1534.76</v>
      </c>
      <c r="AA5305" s="2">
        <v>1534.76</v>
      </c>
      <c r="AB5305" s="1">
        <v>42382</v>
      </c>
      <c r="AC5305" t="s">
        <v>53</v>
      </c>
      <c r="AD5305" t="s">
        <v>53</v>
      </c>
      <c r="AK5305">
        <v>276.76</v>
      </c>
      <c r="AU5305" s="6">
        <v>42340</v>
      </c>
      <c r="AV5305" s="6">
        <v>42340</v>
      </c>
      <c r="AW5305" t="s">
        <v>54</v>
      </c>
      <c r="AX5305" t="str">
        <f t="shared" si="449"/>
        <v>FOR</v>
      </c>
      <c r="AY5305" t="s">
        <v>55</v>
      </c>
    </row>
    <row r="5306" spans="1:51">
      <c r="A5306">
        <v>102629</v>
      </c>
      <c r="B5306" t="s">
        <v>964</v>
      </c>
      <c r="C5306" t="str">
        <f t="shared" si="451"/>
        <v>01128810650</v>
      </c>
      <c r="D5306" t="str">
        <f t="shared" si="451"/>
        <v>01128810650</v>
      </c>
      <c r="E5306" t="s">
        <v>52</v>
      </c>
      <c r="F5306">
        <v>2015</v>
      </c>
      <c r="G5306" t="s">
        <v>967</v>
      </c>
      <c r="H5306" s="1">
        <v>42034</v>
      </c>
      <c r="I5306" s="1">
        <v>42086</v>
      </c>
      <c r="J5306" s="1">
        <v>42086</v>
      </c>
      <c r="K5306" s="1">
        <v>42146</v>
      </c>
      <c r="L5306" s="7">
        <v>3241.5</v>
      </c>
      <c r="M5306" s="5">
        <v>194</v>
      </c>
      <c r="N5306" s="7">
        <v>628851</v>
      </c>
      <c r="O5306" s="2">
        <v>3241.5</v>
      </c>
      <c r="P5306">
        <v>194</v>
      </c>
      <c r="Q5306" s="2">
        <v>628851</v>
      </c>
      <c r="R5306">
        <v>713.13</v>
      </c>
      <c r="V5306">
        <v>0</v>
      </c>
      <c r="W5306">
        <v>0</v>
      </c>
      <c r="X5306">
        <v>0</v>
      </c>
      <c r="Y5306" s="2">
        <v>3954.63</v>
      </c>
      <c r="Z5306" s="2">
        <v>3954.63</v>
      </c>
      <c r="AA5306" s="2">
        <v>3954.63</v>
      </c>
      <c r="AB5306" s="1">
        <v>42382</v>
      </c>
      <c r="AC5306" t="s">
        <v>53</v>
      </c>
      <c r="AD5306" t="s">
        <v>53</v>
      </c>
      <c r="AK5306">
        <v>713.13</v>
      </c>
      <c r="AU5306" s="6">
        <v>42340</v>
      </c>
      <c r="AV5306" s="6">
        <v>42340</v>
      </c>
      <c r="AW5306" t="s">
        <v>54</v>
      </c>
      <c r="AX5306" t="str">
        <f t="shared" si="449"/>
        <v>FOR</v>
      </c>
      <c r="AY5306" t="s">
        <v>55</v>
      </c>
    </row>
    <row r="5307" spans="1:51">
      <c r="A5307">
        <v>102629</v>
      </c>
      <c r="B5307" t="s">
        <v>964</v>
      </c>
      <c r="C5307" t="str">
        <f t="shared" si="451"/>
        <v>01128810650</v>
      </c>
      <c r="D5307" t="str">
        <f t="shared" si="451"/>
        <v>01128810650</v>
      </c>
      <c r="E5307" t="s">
        <v>52</v>
      </c>
      <c r="F5307">
        <v>2015</v>
      </c>
      <c r="G5307" t="s">
        <v>968</v>
      </c>
      <c r="H5307" s="1">
        <v>42034</v>
      </c>
      <c r="I5307" s="1">
        <v>42054</v>
      </c>
      <c r="J5307" s="1">
        <v>42054</v>
      </c>
      <c r="K5307" s="1">
        <v>42114</v>
      </c>
      <c r="L5307" s="7">
        <v>995</v>
      </c>
      <c r="M5307" s="5">
        <v>226</v>
      </c>
      <c r="N5307" s="7">
        <v>224870</v>
      </c>
      <c r="O5307">
        <v>995</v>
      </c>
      <c r="P5307">
        <v>226</v>
      </c>
      <c r="Q5307" s="2">
        <v>224870</v>
      </c>
      <c r="R5307">
        <v>218.9</v>
      </c>
      <c r="V5307">
        <v>0</v>
      </c>
      <c r="W5307">
        <v>0</v>
      </c>
      <c r="X5307">
        <v>0</v>
      </c>
      <c r="Y5307" s="2">
        <v>1213.9000000000001</v>
      </c>
      <c r="Z5307" s="2">
        <v>1213.9000000000001</v>
      </c>
      <c r="AA5307" s="2">
        <v>1213.9000000000001</v>
      </c>
      <c r="AB5307" s="1">
        <v>42382</v>
      </c>
      <c r="AC5307" t="s">
        <v>53</v>
      </c>
      <c r="AD5307" t="s">
        <v>53</v>
      </c>
      <c r="AK5307">
        <v>218.9</v>
      </c>
      <c r="AU5307" s="6">
        <v>42340</v>
      </c>
      <c r="AV5307" s="6">
        <v>42340</v>
      </c>
      <c r="AW5307" t="s">
        <v>54</v>
      </c>
      <c r="AX5307" t="str">
        <f t="shared" si="449"/>
        <v>FOR</v>
      </c>
      <c r="AY5307" t="s">
        <v>55</v>
      </c>
    </row>
    <row r="5308" spans="1:51">
      <c r="A5308">
        <v>102629</v>
      </c>
      <c r="B5308" t="s">
        <v>964</v>
      </c>
      <c r="C5308" t="str">
        <f t="shared" si="451"/>
        <v>01128810650</v>
      </c>
      <c r="D5308" t="str">
        <f t="shared" si="451"/>
        <v>01128810650</v>
      </c>
      <c r="E5308" t="s">
        <v>52</v>
      </c>
      <c r="F5308">
        <v>2015</v>
      </c>
      <c r="G5308" t="s">
        <v>969</v>
      </c>
      <c r="H5308" s="1">
        <v>42034</v>
      </c>
      <c r="I5308" s="1">
        <v>42054</v>
      </c>
      <c r="J5308" s="1">
        <v>42054</v>
      </c>
      <c r="K5308" s="1">
        <v>42114</v>
      </c>
      <c r="L5308" s="7">
        <v>453</v>
      </c>
      <c r="M5308" s="5">
        <v>226</v>
      </c>
      <c r="N5308" s="7">
        <v>102378</v>
      </c>
      <c r="O5308">
        <v>453</v>
      </c>
      <c r="P5308">
        <v>226</v>
      </c>
      <c r="Q5308" s="2">
        <v>102378</v>
      </c>
      <c r="R5308">
        <v>99.66</v>
      </c>
      <c r="V5308">
        <v>0</v>
      </c>
      <c r="W5308">
        <v>0</v>
      </c>
      <c r="X5308">
        <v>0</v>
      </c>
      <c r="Y5308">
        <v>552.66</v>
      </c>
      <c r="Z5308">
        <v>552.66</v>
      </c>
      <c r="AA5308">
        <v>552.66</v>
      </c>
      <c r="AB5308" s="1">
        <v>42382</v>
      </c>
      <c r="AC5308" t="s">
        <v>53</v>
      </c>
      <c r="AD5308" t="s">
        <v>53</v>
      </c>
      <c r="AK5308">
        <v>99.66</v>
      </c>
      <c r="AU5308" s="6">
        <v>42340</v>
      </c>
      <c r="AV5308" s="6">
        <v>42340</v>
      </c>
      <c r="AW5308" t="s">
        <v>54</v>
      </c>
      <c r="AX5308" t="str">
        <f t="shared" si="449"/>
        <v>FOR</v>
      </c>
      <c r="AY5308" t="s">
        <v>55</v>
      </c>
    </row>
    <row r="5309" spans="1:51" hidden="1">
      <c r="A5309">
        <v>102629</v>
      </c>
      <c r="B5309" t="s">
        <v>964</v>
      </c>
      <c r="C5309" t="str">
        <f t="shared" si="451"/>
        <v>01128810650</v>
      </c>
      <c r="D5309" t="str">
        <f t="shared" si="451"/>
        <v>01128810650</v>
      </c>
      <c r="E5309" t="s">
        <v>52</v>
      </c>
      <c r="F5309">
        <v>2015</v>
      </c>
      <c r="G5309" t="s">
        <v>970</v>
      </c>
      <c r="H5309" s="1">
        <v>42170</v>
      </c>
      <c r="I5309" s="1">
        <v>42171</v>
      </c>
      <c r="J5309" s="1">
        <v>42171</v>
      </c>
      <c r="K5309" s="1">
        <v>42231</v>
      </c>
      <c r="N5309" s="5"/>
      <c r="O5309">
        <v>293.60000000000002</v>
      </c>
      <c r="P5309">
        <v>-47</v>
      </c>
      <c r="Q5309" s="2">
        <v>-13799.2</v>
      </c>
      <c r="R5309">
        <v>64.59</v>
      </c>
      <c r="V5309">
        <v>0</v>
      </c>
      <c r="W5309">
        <v>0</v>
      </c>
      <c r="X5309">
        <v>0</v>
      </c>
      <c r="Y5309">
        <v>358.19</v>
      </c>
      <c r="Z5309">
        <v>358.19</v>
      </c>
      <c r="AA5309">
        <v>358.19</v>
      </c>
      <c r="AB5309" s="1">
        <v>42382</v>
      </c>
      <c r="AC5309" t="s">
        <v>53</v>
      </c>
      <c r="AD5309" t="s">
        <v>53</v>
      </c>
      <c r="AI5309">
        <v>64.59</v>
      </c>
      <c r="AK5309">
        <v>0</v>
      </c>
      <c r="AU5309" s="6">
        <v>42184</v>
      </c>
      <c r="AV5309" s="6">
        <v>42184</v>
      </c>
      <c r="AW5309" t="s">
        <v>54</v>
      </c>
      <c r="AX5309" t="str">
        <f t="shared" si="449"/>
        <v>FOR</v>
      </c>
      <c r="AY5309" t="s">
        <v>55</v>
      </c>
    </row>
    <row r="5310" spans="1:51" hidden="1">
      <c r="A5310">
        <v>102679</v>
      </c>
      <c r="B5310" t="s">
        <v>971</v>
      </c>
      <c r="C5310" t="str">
        <f t="shared" ref="C5310:D5332" si="452">"04303410726"</f>
        <v>04303410726</v>
      </c>
      <c r="D5310" t="str">
        <f t="shared" si="452"/>
        <v>04303410726</v>
      </c>
      <c r="E5310" t="s">
        <v>52</v>
      </c>
      <c r="F5310">
        <v>2014</v>
      </c>
      <c r="G5310">
        <v>255</v>
      </c>
      <c r="H5310" s="1">
        <v>41656</v>
      </c>
      <c r="I5310" s="1">
        <v>41677</v>
      </c>
      <c r="J5310" s="1">
        <v>41677</v>
      </c>
      <c r="K5310" s="1">
        <v>41767</v>
      </c>
      <c r="N5310" s="5"/>
      <c r="O5310" s="2">
        <v>2854.8</v>
      </c>
      <c r="P5310">
        <v>252</v>
      </c>
      <c r="Q5310" s="2">
        <v>719409.6</v>
      </c>
      <c r="R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 s="1">
        <v>42382</v>
      </c>
      <c r="AC5310" t="s">
        <v>53</v>
      </c>
      <c r="AD5310" t="s">
        <v>53</v>
      </c>
      <c r="AK5310">
        <v>0</v>
      </c>
      <c r="AU5310" s="6">
        <v>42019</v>
      </c>
      <c r="AV5310" s="6">
        <v>42019</v>
      </c>
      <c r="AW5310" t="s">
        <v>54</v>
      </c>
      <c r="AX5310" t="str">
        <f t="shared" si="449"/>
        <v>FOR</v>
      </c>
      <c r="AY5310" t="s">
        <v>55</v>
      </c>
    </row>
    <row r="5311" spans="1:51" hidden="1">
      <c r="A5311">
        <v>102679</v>
      </c>
      <c r="B5311" t="s">
        <v>971</v>
      </c>
      <c r="C5311" t="str">
        <f t="shared" si="452"/>
        <v>04303410726</v>
      </c>
      <c r="D5311" t="str">
        <f t="shared" si="452"/>
        <v>04303410726</v>
      </c>
      <c r="E5311" t="s">
        <v>52</v>
      </c>
      <c r="F5311">
        <v>2014</v>
      </c>
      <c r="G5311">
        <v>659</v>
      </c>
      <c r="H5311" s="1">
        <v>41675</v>
      </c>
      <c r="I5311" s="1">
        <v>41815</v>
      </c>
      <c r="J5311" s="1">
        <v>41815</v>
      </c>
      <c r="K5311" s="1">
        <v>41905</v>
      </c>
      <c r="N5311" s="5"/>
      <c r="O5311" s="2">
        <v>1050.42</v>
      </c>
      <c r="P5311">
        <v>114</v>
      </c>
      <c r="Q5311" s="2">
        <v>119747.88</v>
      </c>
      <c r="R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 s="1">
        <v>42382</v>
      </c>
      <c r="AC5311" t="s">
        <v>53</v>
      </c>
      <c r="AD5311" t="s">
        <v>53</v>
      </c>
      <c r="AK5311">
        <v>0</v>
      </c>
      <c r="AU5311" s="6">
        <v>42019</v>
      </c>
      <c r="AV5311" s="6">
        <v>42019</v>
      </c>
      <c r="AW5311" t="s">
        <v>54</v>
      </c>
      <c r="AX5311" t="str">
        <f t="shared" si="449"/>
        <v>FOR</v>
      </c>
      <c r="AY5311" t="s">
        <v>55</v>
      </c>
    </row>
    <row r="5312" spans="1:51" hidden="1">
      <c r="A5312">
        <v>102679</v>
      </c>
      <c r="B5312" t="s">
        <v>971</v>
      </c>
      <c r="C5312" t="str">
        <f t="shared" si="452"/>
        <v>04303410726</v>
      </c>
      <c r="D5312" t="str">
        <f t="shared" si="452"/>
        <v>04303410726</v>
      </c>
      <c r="E5312" t="s">
        <v>52</v>
      </c>
      <c r="F5312">
        <v>2014</v>
      </c>
      <c r="G5312">
        <v>1097</v>
      </c>
      <c r="H5312" s="1">
        <v>41694</v>
      </c>
      <c r="I5312" s="1">
        <v>41712</v>
      </c>
      <c r="J5312" s="1">
        <v>41712</v>
      </c>
      <c r="K5312" s="1">
        <v>41802</v>
      </c>
      <c r="N5312" s="5"/>
      <c r="O5312" s="2">
        <v>2854.8</v>
      </c>
      <c r="P5312">
        <v>217</v>
      </c>
      <c r="Q5312" s="2">
        <v>619491.6</v>
      </c>
      <c r="R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 s="1">
        <v>42382</v>
      </c>
      <c r="AC5312" t="s">
        <v>53</v>
      </c>
      <c r="AD5312" t="s">
        <v>53</v>
      </c>
      <c r="AK5312">
        <v>0</v>
      </c>
      <c r="AU5312" s="6">
        <v>42019</v>
      </c>
      <c r="AV5312" s="6">
        <v>42019</v>
      </c>
      <c r="AW5312" t="s">
        <v>54</v>
      </c>
      <c r="AX5312" t="str">
        <f t="shared" si="449"/>
        <v>FOR</v>
      </c>
      <c r="AY5312" t="s">
        <v>55</v>
      </c>
    </row>
    <row r="5313" spans="1:51" hidden="1">
      <c r="A5313">
        <v>102679</v>
      </c>
      <c r="B5313" t="s">
        <v>971</v>
      </c>
      <c r="C5313" t="str">
        <f t="shared" si="452"/>
        <v>04303410726</v>
      </c>
      <c r="D5313" t="str">
        <f t="shared" si="452"/>
        <v>04303410726</v>
      </c>
      <c r="E5313" t="s">
        <v>52</v>
      </c>
      <c r="F5313">
        <v>2014</v>
      </c>
      <c r="G5313">
        <v>1098</v>
      </c>
      <c r="H5313" s="1">
        <v>41694</v>
      </c>
      <c r="I5313" s="1">
        <v>41712</v>
      </c>
      <c r="J5313" s="1">
        <v>41712</v>
      </c>
      <c r="K5313" s="1">
        <v>41802</v>
      </c>
      <c r="N5313" s="5"/>
      <c r="O5313" s="2">
        <v>2100.84</v>
      </c>
      <c r="P5313">
        <v>217</v>
      </c>
      <c r="Q5313" s="2">
        <v>455882.28</v>
      </c>
      <c r="R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 s="1">
        <v>42382</v>
      </c>
      <c r="AC5313" t="s">
        <v>53</v>
      </c>
      <c r="AD5313" t="s">
        <v>53</v>
      </c>
      <c r="AK5313">
        <v>0</v>
      </c>
      <c r="AU5313" s="6">
        <v>42019</v>
      </c>
      <c r="AV5313" s="6">
        <v>42019</v>
      </c>
      <c r="AW5313" t="s">
        <v>54</v>
      </c>
      <c r="AX5313" t="str">
        <f t="shared" si="449"/>
        <v>FOR</v>
      </c>
      <c r="AY5313" t="s">
        <v>55</v>
      </c>
    </row>
    <row r="5314" spans="1:51" hidden="1">
      <c r="A5314">
        <v>102679</v>
      </c>
      <c r="B5314" t="s">
        <v>971</v>
      </c>
      <c r="C5314" t="str">
        <f t="shared" si="452"/>
        <v>04303410726</v>
      </c>
      <c r="D5314" t="str">
        <f t="shared" si="452"/>
        <v>04303410726</v>
      </c>
      <c r="E5314" t="s">
        <v>52</v>
      </c>
      <c r="F5314">
        <v>2014</v>
      </c>
      <c r="G5314">
        <v>1963</v>
      </c>
      <c r="H5314" s="1">
        <v>41736</v>
      </c>
      <c r="I5314" s="1">
        <v>41751</v>
      </c>
      <c r="J5314" s="1">
        <v>41751</v>
      </c>
      <c r="K5314" s="1">
        <v>41841</v>
      </c>
      <c r="N5314" s="5"/>
      <c r="O5314" s="2">
        <v>2854.8</v>
      </c>
      <c r="P5314">
        <v>233</v>
      </c>
      <c r="Q5314" s="2">
        <v>665168.4</v>
      </c>
      <c r="R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 s="1">
        <v>42382</v>
      </c>
      <c r="AC5314" t="s">
        <v>53</v>
      </c>
      <c r="AD5314" t="s">
        <v>53</v>
      </c>
      <c r="AK5314">
        <v>0</v>
      </c>
      <c r="AU5314" s="6">
        <v>42074</v>
      </c>
      <c r="AV5314" s="6">
        <v>42074</v>
      </c>
      <c r="AW5314" t="s">
        <v>54</v>
      </c>
      <c r="AX5314" t="str">
        <f t="shared" si="449"/>
        <v>FOR</v>
      </c>
      <c r="AY5314" t="s">
        <v>55</v>
      </c>
    </row>
    <row r="5315" spans="1:51" hidden="1">
      <c r="A5315">
        <v>102679</v>
      </c>
      <c r="B5315" t="s">
        <v>971</v>
      </c>
      <c r="C5315" t="str">
        <f t="shared" si="452"/>
        <v>04303410726</v>
      </c>
      <c r="D5315" t="str">
        <f t="shared" si="452"/>
        <v>04303410726</v>
      </c>
      <c r="E5315" t="s">
        <v>52</v>
      </c>
      <c r="F5315">
        <v>2014</v>
      </c>
      <c r="G5315">
        <v>2120</v>
      </c>
      <c r="H5315" s="1">
        <v>41743</v>
      </c>
      <c r="I5315" s="1">
        <v>41765</v>
      </c>
      <c r="J5315" s="1">
        <v>41765</v>
      </c>
      <c r="K5315" s="1">
        <v>41855</v>
      </c>
      <c r="N5315" s="5"/>
      <c r="O5315" s="2">
        <v>2413.1799999999998</v>
      </c>
      <c r="P5315">
        <v>219</v>
      </c>
      <c r="Q5315" s="2">
        <v>528486.42000000004</v>
      </c>
      <c r="R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 s="1">
        <v>42382</v>
      </c>
      <c r="AC5315" t="s">
        <v>53</v>
      </c>
      <c r="AD5315" t="s">
        <v>53</v>
      </c>
      <c r="AK5315">
        <v>0</v>
      </c>
      <c r="AU5315" s="6">
        <v>42074</v>
      </c>
      <c r="AV5315" s="6">
        <v>42074</v>
      </c>
      <c r="AW5315" t="s">
        <v>54</v>
      </c>
      <c r="AX5315" t="str">
        <f t="shared" ref="AX5315:AX5378" si="453">"FOR"</f>
        <v>FOR</v>
      </c>
      <c r="AY5315" t="s">
        <v>55</v>
      </c>
    </row>
    <row r="5316" spans="1:51" hidden="1">
      <c r="A5316">
        <v>102679</v>
      </c>
      <c r="B5316" t="s">
        <v>971</v>
      </c>
      <c r="C5316" t="str">
        <f t="shared" si="452"/>
        <v>04303410726</v>
      </c>
      <c r="D5316" t="str">
        <f t="shared" si="452"/>
        <v>04303410726</v>
      </c>
      <c r="E5316" t="s">
        <v>52</v>
      </c>
      <c r="F5316">
        <v>2014</v>
      </c>
      <c r="G5316">
        <v>2911</v>
      </c>
      <c r="H5316" s="1">
        <v>41785</v>
      </c>
      <c r="I5316" s="1">
        <v>41799</v>
      </c>
      <c r="J5316" s="1">
        <v>41799</v>
      </c>
      <c r="K5316" s="1">
        <v>41889</v>
      </c>
      <c r="N5316" s="5"/>
      <c r="O5316" s="2">
        <v>2854.8</v>
      </c>
      <c r="P5316">
        <v>205</v>
      </c>
      <c r="Q5316" s="2">
        <v>585234</v>
      </c>
      <c r="R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 s="1">
        <v>42382</v>
      </c>
      <c r="AC5316" t="s">
        <v>53</v>
      </c>
      <c r="AD5316" t="s">
        <v>53</v>
      </c>
      <c r="AK5316">
        <v>0</v>
      </c>
      <c r="AU5316" s="6">
        <v>42094</v>
      </c>
      <c r="AV5316" s="6">
        <v>42094</v>
      </c>
      <c r="AW5316" t="s">
        <v>54</v>
      </c>
      <c r="AX5316" t="str">
        <f t="shared" si="453"/>
        <v>FOR</v>
      </c>
      <c r="AY5316" t="s">
        <v>55</v>
      </c>
    </row>
    <row r="5317" spans="1:51" hidden="1">
      <c r="A5317">
        <v>102679</v>
      </c>
      <c r="B5317" t="s">
        <v>971</v>
      </c>
      <c r="C5317" t="str">
        <f t="shared" si="452"/>
        <v>04303410726</v>
      </c>
      <c r="D5317" t="str">
        <f t="shared" si="452"/>
        <v>04303410726</v>
      </c>
      <c r="E5317" t="s">
        <v>52</v>
      </c>
      <c r="F5317">
        <v>2014</v>
      </c>
      <c r="G5317">
        <v>2912</v>
      </c>
      <c r="H5317" s="1">
        <v>41785</v>
      </c>
      <c r="I5317" s="1">
        <v>41799</v>
      </c>
      <c r="J5317" s="1">
        <v>41799</v>
      </c>
      <c r="K5317" s="1">
        <v>41889</v>
      </c>
      <c r="N5317" s="5"/>
      <c r="O5317" s="2">
        <v>2413.1799999999998</v>
      </c>
      <c r="P5317">
        <v>205</v>
      </c>
      <c r="Q5317" s="2">
        <v>494701.9</v>
      </c>
      <c r="R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 s="1">
        <v>42382</v>
      </c>
      <c r="AC5317" t="s">
        <v>53</v>
      </c>
      <c r="AD5317" t="s">
        <v>53</v>
      </c>
      <c r="AK5317">
        <v>0</v>
      </c>
      <c r="AU5317" s="6">
        <v>42094</v>
      </c>
      <c r="AV5317" s="6">
        <v>42094</v>
      </c>
      <c r="AW5317" t="s">
        <v>54</v>
      </c>
      <c r="AX5317" t="str">
        <f t="shared" si="453"/>
        <v>FOR</v>
      </c>
      <c r="AY5317" t="s">
        <v>55</v>
      </c>
    </row>
    <row r="5318" spans="1:51" hidden="1">
      <c r="A5318">
        <v>102679</v>
      </c>
      <c r="B5318" t="s">
        <v>971</v>
      </c>
      <c r="C5318" t="str">
        <f t="shared" si="452"/>
        <v>04303410726</v>
      </c>
      <c r="D5318" t="str">
        <f t="shared" si="452"/>
        <v>04303410726</v>
      </c>
      <c r="E5318" t="s">
        <v>52</v>
      </c>
      <c r="F5318">
        <v>2014</v>
      </c>
      <c r="G5318">
        <v>3338</v>
      </c>
      <c r="H5318" s="1">
        <v>41802</v>
      </c>
      <c r="I5318" s="1">
        <v>41810</v>
      </c>
      <c r="J5318" s="1">
        <v>41810</v>
      </c>
      <c r="K5318" s="1">
        <v>41900</v>
      </c>
      <c r="N5318" s="5"/>
      <c r="O5318" s="2">
        <v>2854.8</v>
      </c>
      <c r="P5318">
        <v>232</v>
      </c>
      <c r="Q5318" s="2">
        <v>662313.6</v>
      </c>
      <c r="R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 s="1">
        <v>42382</v>
      </c>
      <c r="AC5318" t="s">
        <v>53</v>
      </c>
      <c r="AD5318" t="s">
        <v>53</v>
      </c>
      <c r="AK5318">
        <v>0</v>
      </c>
      <c r="AU5318" s="6">
        <v>42132</v>
      </c>
      <c r="AV5318" s="6">
        <v>42132</v>
      </c>
      <c r="AW5318" t="s">
        <v>54</v>
      </c>
      <c r="AX5318" t="str">
        <f t="shared" si="453"/>
        <v>FOR</v>
      </c>
      <c r="AY5318" t="s">
        <v>55</v>
      </c>
    </row>
    <row r="5319" spans="1:51" hidden="1">
      <c r="A5319">
        <v>102679</v>
      </c>
      <c r="B5319" t="s">
        <v>971</v>
      </c>
      <c r="C5319" t="str">
        <f t="shared" si="452"/>
        <v>04303410726</v>
      </c>
      <c r="D5319" t="str">
        <f t="shared" si="452"/>
        <v>04303410726</v>
      </c>
      <c r="E5319" t="s">
        <v>52</v>
      </c>
      <c r="F5319">
        <v>2014</v>
      </c>
      <c r="G5319">
        <v>3339</v>
      </c>
      <c r="H5319" s="1">
        <v>41802</v>
      </c>
      <c r="I5319" s="1">
        <v>41810</v>
      </c>
      <c r="J5319" s="1">
        <v>41810</v>
      </c>
      <c r="K5319" s="1">
        <v>41900</v>
      </c>
      <c r="N5319" s="5"/>
      <c r="O5319" s="2">
        <v>1152.24</v>
      </c>
      <c r="P5319">
        <v>232</v>
      </c>
      <c r="Q5319" s="2">
        <v>267319.67999999999</v>
      </c>
      <c r="R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 s="1">
        <v>42382</v>
      </c>
      <c r="AC5319" t="s">
        <v>53</v>
      </c>
      <c r="AD5319" t="s">
        <v>53</v>
      </c>
      <c r="AK5319">
        <v>0</v>
      </c>
      <c r="AU5319" s="6">
        <v>42132</v>
      </c>
      <c r="AV5319" s="6">
        <v>42132</v>
      </c>
      <c r="AW5319" t="s">
        <v>54</v>
      </c>
      <c r="AX5319" t="str">
        <f t="shared" si="453"/>
        <v>FOR</v>
      </c>
      <c r="AY5319" t="s">
        <v>55</v>
      </c>
    </row>
    <row r="5320" spans="1:51" hidden="1">
      <c r="A5320">
        <v>102679</v>
      </c>
      <c r="B5320" t="s">
        <v>971</v>
      </c>
      <c r="C5320" t="str">
        <f t="shared" si="452"/>
        <v>04303410726</v>
      </c>
      <c r="D5320" t="str">
        <f t="shared" si="452"/>
        <v>04303410726</v>
      </c>
      <c r="E5320" t="s">
        <v>52</v>
      </c>
      <c r="F5320">
        <v>2014</v>
      </c>
      <c r="G5320">
        <v>4308</v>
      </c>
      <c r="H5320" s="1">
        <v>41844</v>
      </c>
      <c r="I5320" s="1">
        <v>41852</v>
      </c>
      <c r="J5320" s="1">
        <v>41852</v>
      </c>
      <c r="K5320" s="1">
        <v>41942</v>
      </c>
      <c r="N5320" s="5"/>
      <c r="O5320" s="2">
        <v>2781.6</v>
      </c>
      <c r="P5320">
        <v>217</v>
      </c>
      <c r="Q5320" s="2">
        <v>603607.19999999995</v>
      </c>
      <c r="R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 s="1">
        <v>42382</v>
      </c>
      <c r="AC5320" t="s">
        <v>53</v>
      </c>
      <c r="AD5320" t="s">
        <v>53</v>
      </c>
      <c r="AK5320">
        <v>0</v>
      </c>
      <c r="AU5320" s="6">
        <v>42159</v>
      </c>
      <c r="AV5320" s="6">
        <v>42159</v>
      </c>
      <c r="AW5320" t="s">
        <v>54</v>
      </c>
      <c r="AX5320" t="str">
        <f t="shared" si="453"/>
        <v>FOR</v>
      </c>
      <c r="AY5320" t="s">
        <v>55</v>
      </c>
    </row>
    <row r="5321" spans="1:51" hidden="1">
      <c r="A5321">
        <v>102679</v>
      </c>
      <c r="B5321" t="s">
        <v>971</v>
      </c>
      <c r="C5321" t="str">
        <f t="shared" si="452"/>
        <v>04303410726</v>
      </c>
      <c r="D5321" t="str">
        <f t="shared" si="452"/>
        <v>04303410726</v>
      </c>
      <c r="E5321" t="s">
        <v>52</v>
      </c>
      <c r="F5321">
        <v>2014</v>
      </c>
      <c r="G5321">
        <v>4309</v>
      </c>
      <c r="H5321" s="1">
        <v>41844</v>
      </c>
      <c r="I5321" s="1">
        <v>41852</v>
      </c>
      <c r="J5321" s="1">
        <v>41852</v>
      </c>
      <c r="K5321" s="1">
        <v>41942</v>
      </c>
      <c r="N5321" s="5"/>
      <c r="O5321" s="2">
        <v>2413.1799999999998</v>
      </c>
      <c r="P5321">
        <v>217</v>
      </c>
      <c r="Q5321" s="2">
        <v>523660.06</v>
      </c>
      <c r="R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 s="1">
        <v>42382</v>
      </c>
      <c r="AC5321" t="s">
        <v>53</v>
      </c>
      <c r="AD5321" t="s">
        <v>53</v>
      </c>
      <c r="AK5321">
        <v>0</v>
      </c>
      <c r="AU5321" s="6">
        <v>42159</v>
      </c>
      <c r="AV5321" s="6">
        <v>42159</v>
      </c>
      <c r="AW5321" t="s">
        <v>54</v>
      </c>
      <c r="AX5321" t="str">
        <f t="shared" si="453"/>
        <v>FOR</v>
      </c>
      <c r="AY5321" t="s">
        <v>55</v>
      </c>
    </row>
    <row r="5322" spans="1:51">
      <c r="A5322">
        <v>102679</v>
      </c>
      <c r="B5322" t="s">
        <v>971</v>
      </c>
      <c r="C5322" t="str">
        <f t="shared" si="452"/>
        <v>04303410726</v>
      </c>
      <c r="D5322" t="str">
        <f t="shared" si="452"/>
        <v>04303410726</v>
      </c>
      <c r="E5322" t="s">
        <v>52</v>
      </c>
      <c r="F5322">
        <v>2014</v>
      </c>
      <c r="G5322">
        <v>5522</v>
      </c>
      <c r="H5322" s="1">
        <v>41918</v>
      </c>
      <c r="I5322" s="1">
        <v>41932</v>
      </c>
      <c r="J5322" s="1">
        <v>41932</v>
      </c>
      <c r="K5322" s="1">
        <v>41992</v>
      </c>
      <c r="L5322" s="7">
        <v>2413.1799999999998</v>
      </c>
      <c r="M5322" s="5">
        <v>286</v>
      </c>
      <c r="N5322" s="7">
        <v>690169.48</v>
      </c>
      <c r="O5322" s="2">
        <v>2413.1799999999998</v>
      </c>
      <c r="P5322">
        <v>286</v>
      </c>
      <c r="Q5322" s="2">
        <v>690169.48</v>
      </c>
      <c r="R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 s="1">
        <v>42382</v>
      </c>
      <c r="AC5322" t="s">
        <v>53</v>
      </c>
      <c r="AD5322" t="s">
        <v>53</v>
      </c>
      <c r="AK5322">
        <v>0</v>
      </c>
      <c r="AU5322" s="6">
        <v>42278</v>
      </c>
      <c r="AV5322" s="6">
        <v>42278</v>
      </c>
      <c r="AW5322" t="s">
        <v>54</v>
      </c>
      <c r="AX5322" t="str">
        <f t="shared" si="453"/>
        <v>FOR</v>
      </c>
      <c r="AY5322" t="s">
        <v>55</v>
      </c>
    </row>
    <row r="5323" spans="1:51">
      <c r="A5323">
        <v>102679</v>
      </c>
      <c r="B5323" t="s">
        <v>971</v>
      </c>
      <c r="C5323" t="str">
        <f t="shared" si="452"/>
        <v>04303410726</v>
      </c>
      <c r="D5323" t="str">
        <f t="shared" si="452"/>
        <v>04303410726</v>
      </c>
      <c r="E5323" t="s">
        <v>52</v>
      </c>
      <c r="F5323">
        <v>2014</v>
      </c>
      <c r="G5323">
        <v>5523</v>
      </c>
      <c r="H5323" s="1">
        <v>41918</v>
      </c>
      <c r="I5323" s="1">
        <v>41932</v>
      </c>
      <c r="J5323" s="1">
        <v>41932</v>
      </c>
      <c r="K5323" s="1">
        <v>41992</v>
      </c>
      <c r="L5323" s="7">
        <v>2854.8</v>
      </c>
      <c r="M5323" s="5">
        <v>286</v>
      </c>
      <c r="N5323" s="7">
        <v>816472.8</v>
      </c>
      <c r="O5323" s="2">
        <v>2854.8</v>
      </c>
      <c r="P5323">
        <v>286</v>
      </c>
      <c r="Q5323" s="2">
        <v>816472.8</v>
      </c>
      <c r="R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 s="1">
        <v>42382</v>
      </c>
      <c r="AC5323" t="s">
        <v>53</v>
      </c>
      <c r="AD5323" t="s">
        <v>53</v>
      </c>
      <c r="AK5323">
        <v>0</v>
      </c>
      <c r="AU5323" s="6">
        <v>42278</v>
      </c>
      <c r="AV5323" s="6">
        <v>42278</v>
      </c>
      <c r="AW5323" t="s">
        <v>54</v>
      </c>
      <c r="AX5323" t="str">
        <f t="shared" si="453"/>
        <v>FOR</v>
      </c>
      <c r="AY5323" t="s">
        <v>55</v>
      </c>
    </row>
    <row r="5324" spans="1:51">
      <c r="A5324">
        <v>102679</v>
      </c>
      <c r="B5324" t="s">
        <v>971</v>
      </c>
      <c r="C5324" t="str">
        <f t="shared" si="452"/>
        <v>04303410726</v>
      </c>
      <c r="D5324" t="str">
        <f t="shared" si="452"/>
        <v>04303410726</v>
      </c>
      <c r="E5324" t="s">
        <v>52</v>
      </c>
      <c r="F5324">
        <v>2014</v>
      </c>
      <c r="G5324">
        <v>6263</v>
      </c>
      <c r="H5324" s="1">
        <v>41950</v>
      </c>
      <c r="I5324" s="1">
        <v>41970</v>
      </c>
      <c r="J5324" s="1">
        <v>41970</v>
      </c>
      <c r="K5324" s="1">
        <v>42030</v>
      </c>
      <c r="L5324" s="7">
        <v>2413.1799999999998</v>
      </c>
      <c r="M5324" s="5">
        <v>248</v>
      </c>
      <c r="N5324" s="7">
        <v>598468.64</v>
      </c>
      <c r="O5324" s="2">
        <v>2413.1799999999998</v>
      </c>
      <c r="P5324">
        <v>248</v>
      </c>
      <c r="Q5324" s="2">
        <v>598468.64</v>
      </c>
      <c r="R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 s="1">
        <v>42382</v>
      </c>
      <c r="AC5324" t="s">
        <v>53</v>
      </c>
      <c r="AD5324" t="s">
        <v>53</v>
      </c>
      <c r="AK5324">
        <v>0</v>
      </c>
      <c r="AU5324" s="6">
        <v>42278</v>
      </c>
      <c r="AV5324" s="6">
        <v>42278</v>
      </c>
      <c r="AW5324" t="s">
        <v>54</v>
      </c>
      <c r="AX5324" t="str">
        <f t="shared" si="453"/>
        <v>FOR</v>
      </c>
      <c r="AY5324" t="s">
        <v>55</v>
      </c>
    </row>
    <row r="5325" spans="1:51">
      <c r="A5325">
        <v>102679</v>
      </c>
      <c r="B5325" t="s">
        <v>971</v>
      </c>
      <c r="C5325" t="str">
        <f t="shared" si="452"/>
        <v>04303410726</v>
      </c>
      <c r="D5325" t="str">
        <f t="shared" si="452"/>
        <v>04303410726</v>
      </c>
      <c r="E5325" t="s">
        <v>52</v>
      </c>
      <c r="F5325">
        <v>2014</v>
      </c>
      <c r="G5325">
        <v>6264</v>
      </c>
      <c r="H5325" s="1">
        <v>41950</v>
      </c>
      <c r="I5325" s="1">
        <v>41970</v>
      </c>
      <c r="J5325" s="1">
        <v>41970</v>
      </c>
      <c r="K5325" s="1">
        <v>42030</v>
      </c>
      <c r="L5325" s="7">
        <v>2854.8</v>
      </c>
      <c r="M5325" s="5">
        <v>248</v>
      </c>
      <c r="N5325" s="7">
        <v>707990.4</v>
      </c>
      <c r="O5325" s="2">
        <v>2854.8</v>
      </c>
      <c r="P5325">
        <v>248</v>
      </c>
      <c r="Q5325" s="2">
        <v>707990.4</v>
      </c>
      <c r="R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 s="1">
        <v>42382</v>
      </c>
      <c r="AC5325" t="s">
        <v>53</v>
      </c>
      <c r="AD5325" t="s">
        <v>53</v>
      </c>
      <c r="AK5325">
        <v>0</v>
      </c>
      <c r="AU5325" s="6">
        <v>42278</v>
      </c>
      <c r="AV5325" s="6">
        <v>42278</v>
      </c>
      <c r="AW5325" t="s">
        <v>54</v>
      </c>
      <c r="AX5325" t="str">
        <f t="shared" si="453"/>
        <v>FOR</v>
      </c>
      <c r="AY5325" t="s">
        <v>55</v>
      </c>
    </row>
    <row r="5326" spans="1:51">
      <c r="A5326">
        <v>102679</v>
      </c>
      <c r="B5326" t="s">
        <v>971</v>
      </c>
      <c r="C5326" t="str">
        <f t="shared" si="452"/>
        <v>04303410726</v>
      </c>
      <c r="D5326" t="str">
        <f t="shared" si="452"/>
        <v>04303410726</v>
      </c>
      <c r="E5326" t="s">
        <v>52</v>
      </c>
      <c r="F5326">
        <v>2014</v>
      </c>
      <c r="G5326">
        <v>7356</v>
      </c>
      <c r="H5326" s="1">
        <v>41995</v>
      </c>
      <c r="I5326" s="1">
        <v>42004</v>
      </c>
      <c r="J5326" s="1">
        <v>42004</v>
      </c>
      <c r="K5326" s="1">
        <v>42064</v>
      </c>
      <c r="L5326" s="7">
        <v>2540.77</v>
      </c>
      <c r="M5326" s="5">
        <v>236</v>
      </c>
      <c r="N5326" s="7">
        <v>599621.72</v>
      </c>
      <c r="O5326" s="2">
        <v>2540.77</v>
      </c>
      <c r="P5326">
        <v>236</v>
      </c>
      <c r="Q5326" s="2">
        <v>599621.72</v>
      </c>
      <c r="R5326">
        <v>0</v>
      </c>
      <c r="V5326">
        <v>0</v>
      </c>
      <c r="W5326">
        <v>0</v>
      </c>
      <c r="X5326">
        <v>0</v>
      </c>
      <c r="Y5326" s="2">
        <v>2540.77</v>
      </c>
      <c r="Z5326">
        <v>0</v>
      </c>
      <c r="AA5326">
        <v>0</v>
      </c>
      <c r="AB5326" s="1">
        <v>42382</v>
      </c>
      <c r="AC5326" t="s">
        <v>53</v>
      </c>
      <c r="AD5326" t="s">
        <v>53</v>
      </c>
      <c r="AK5326">
        <v>0</v>
      </c>
      <c r="AU5326" s="6">
        <v>42300</v>
      </c>
      <c r="AV5326" s="6">
        <v>42300</v>
      </c>
      <c r="AW5326" t="s">
        <v>54</v>
      </c>
      <c r="AX5326" t="str">
        <f t="shared" si="453"/>
        <v>FOR</v>
      </c>
      <c r="AY5326" t="s">
        <v>55</v>
      </c>
    </row>
    <row r="5327" spans="1:51">
      <c r="A5327">
        <v>102679</v>
      </c>
      <c r="B5327" t="s">
        <v>971</v>
      </c>
      <c r="C5327" t="str">
        <f t="shared" si="452"/>
        <v>04303410726</v>
      </c>
      <c r="D5327" t="str">
        <f t="shared" si="452"/>
        <v>04303410726</v>
      </c>
      <c r="E5327" t="s">
        <v>52</v>
      </c>
      <c r="F5327">
        <v>2014</v>
      </c>
      <c r="G5327">
        <v>7357</v>
      </c>
      <c r="H5327" s="1">
        <v>41995</v>
      </c>
      <c r="I5327" s="1">
        <v>42004</v>
      </c>
      <c r="J5327" s="1">
        <v>42004</v>
      </c>
      <c r="K5327" s="1">
        <v>42064</v>
      </c>
      <c r="L5327" s="7">
        <v>2456.67</v>
      </c>
      <c r="M5327" s="5">
        <v>236</v>
      </c>
      <c r="N5327" s="7">
        <v>579774.12</v>
      </c>
      <c r="O5327" s="2">
        <v>2456.67</v>
      </c>
      <c r="P5327">
        <v>236</v>
      </c>
      <c r="Q5327" s="2">
        <v>579774.12</v>
      </c>
      <c r="R5327">
        <v>0</v>
      </c>
      <c r="V5327">
        <v>0</v>
      </c>
      <c r="W5327">
        <v>0</v>
      </c>
      <c r="X5327">
        <v>0</v>
      </c>
      <c r="Y5327" s="2">
        <v>2456.67</v>
      </c>
      <c r="Z5327">
        <v>0</v>
      </c>
      <c r="AA5327">
        <v>0</v>
      </c>
      <c r="AB5327" s="1">
        <v>42382</v>
      </c>
      <c r="AC5327" t="s">
        <v>53</v>
      </c>
      <c r="AD5327" t="s">
        <v>53</v>
      </c>
      <c r="AK5327">
        <v>0</v>
      </c>
      <c r="AU5327" s="6">
        <v>42300</v>
      </c>
      <c r="AV5327" s="6">
        <v>42300</v>
      </c>
      <c r="AW5327" t="s">
        <v>54</v>
      </c>
      <c r="AX5327" t="str">
        <f t="shared" si="453"/>
        <v>FOR</v>
      </c>
      <c r="AY5327" t="s">
        <v>55</v>
      </c>
    </row>
    <row r="5328" spans="1:51">
      <c r="A5328">
        <v>102679</v>
      </c>
      <c r="B5328" t="s">
        <v>971</v>
      </c>
      <c r="C5328" t="str">
        <f t="shared" si="452"/>
        <v>04303410726</v>
      </c>
      <c r="D5328" t="str">
        <f t="shared" si="452"/>
        <v>04303410726</v>
      </c>
      <c r="E5328" t="s">
        <v>52</v>
      </c>
      <c r="F5328">
        <v>2015</v>
      </c>
      <c r="G5328">
        <v>868</v>
      </c>
      <c r="H5328" s="1">
        <v>42046</v>
      </c>
      <c r="I5328" s="1">
        <v>42066</v>
      </c>
      <c r="J5328" s="1">
        <v>42066</v>
      </c>
      <c r="K5328" s="1">
        <v>42126</v>
      </c>
      <c r="L5328" s="7">
        <v>2340</v>
      </c>
      <c r="M5328" s="5">
        <v>215</v>
      </c>
      <c r="N5328" s="7">
        <v>503100</v>
      </c>
      <c r="O5328" s="2">
        <v>2340</v>
      </c>
      <c r="P5328">
        <v>215</v>
      </c>
      <c r="Q5328" s="2">
        <v>503100</v>
      </c>
      <c r="R5328">
        <v>514.79999999999995</v>
      </c>
      <c r="V5328">
        <v>0</v>
      </c>
      <c r="W5328">
        <v>0</v>
      </c>
      <c r="X5328">
        <v>0</v>
      </c>
      <c r="Y5328" s="2">
        <v>2854.8</v>
      </c>
      <c r="Z5328" s="2">
        <v>2854.8</v>
      </c>
      <c r="AA5328" s="2">
        <v>2854.8</v>
      </c>
      <c r="AB5328" s="1">
        <v>42382</v>
      </c>
      <c r="AC5328" t="s">
        <v>53</v>
      </c>
      <c r="AD5328" t="s">
        <v>53</v>
      </c>
      <c r="AK5328">
        <v>514.79999999999995</v>
      </c>
      <c r="AU5328" s="6">
        <v>42341</v>
      </c>
      <c r="AV5328" s="6">
        <v>42341</v>
      </c>
      <c r="AW5328" t="s">
        <v>54</v>
      </c>
      <c r="AX5328" t="str">
        <f t="shared" si="453"/>
        <v>FOR</v>
      </c>
      <c r="AY5328" t="s">
        <v>55</v>
      </c>
    </row>
    <row r="5329" spans="1:51">
      <c r="A5329">
        <v>102679</v>
      </c>
      <c r="B5329" t="s">
        <v>971</v>
      </c>
      <c r="C5329" t="str">
        <f t="shared" si="452"/>
        <v>04303410726</v>
      </c>
      <c r="D5329" t="str">
        <f t="shared" si="452"/>
        <v>04303410726</v>
      </c>
      <c r="E5329" t="s">
        <v>52</v>
      </c>
      <c r="F5329">
        <v>2015</v>
      </c>
      <c r="G5329">
        <v>4933</v>
      </c>
      <c r="H5329" s="1">
        <v>41891</v>
      </c>
      <c r="I5329" s="1">
        <v>42263</v>
      </c>
      <c r="J5329" s="1">
        <v>42263</v>
      </c>
      <c r="K5329" s="1">
        <v>42323</v>
      </c>
      <c r="L5329" s="7">
        <v>2854.8</v>
      </c>
      <c r="M5329" s="5">
        <v>-45</v>
      </c>
      <c r="N5329" s="7">
        <v>-128466</v>
      </c>
      <c r="O5329" s="2">
        <v>2854.8</v>
      </c>
      <c r="P5329">
        <v>-45</v>
      </c>
      <c r="Q5329" s="2">
        <v>-128466</v>
      </c>
      <c r="R5329">
        <v>0</v>
      </c>
      <c r="V5329">
        <v>0</v>
      </c>
      <c r="W5329">
        <v>0</v>
      </c>
      <c r="X5329">
        <v>0</v>
      </c>
      <c r="Y5329">
        <v>0</v>
      </c>
      <c r="Z5329" s="2">
        <v>2854.8</v>
      </c>
      <c r="AA5329">
        <v>0</v>
      </c>
      <c r="AB5329" s="1">
        <v>42382</v>
      </c>
      <c r="AC5329" t="s">
        <v>53</v>
      </c>
      <c r="AD5329" t="s">
        <v>53</v>
      </c>
      <c r="AK5329">
        <v>0</v>
      </c>
      <c r="AU5329" s="6">
        <v>42278</v>
      </c>
      <c r="AV5329" s="6">
        <v>42278</v>
      </c>
      <c r="AW5329" t="s">
        <v>54</v>
      </c>
      <c r="AX5329" t="str">
        <f t="shared" si="453"/>
        <v>FOR</v>
      </c>
      <c r="AY5329" t="s">
        <v>55</v>
      </c>
    </row>
    <row r="5330" spans="1:51">
      <c r="A5330">
        <v>102679</v>
      </c>
      <c r="B5330" t="s">
        <v>971</v>
      </c>
      <c r="C5330" t="str">
        <f t="shared" si="452"/>
        <v>04303410726</v>
      </c>
      <c r="D5330" t="str">
        <f t="shared" si="452"/>
        <v>04303410726</v>
      </c>
      <c r="E5330" t="s">
        <v>52</v>
      </c>
      <c r="F5330">
        <v>2015</v>
      </c>
      <c r="G5330">
        <v>4934</v>
      </c>
      <c r="H5330" s="1">
        <v>41891</v>
      </c>
      <c r="I5330" s="1">
        <v>42263</v>
      </c>
      <c r="J5330" s="1">
        <v>42263</v>
      </c>
      <c r="K5330" s="1">
        <v>42323</v>
      </c>
      <c r="L5330" s="7">
        <v>2413.1799999999998</v>
      </c>
      <c r="M5330" s="5">
        <v>-45</v>
      </c>
      <c r="N5330" s="7">
        <v>-108593.1</v>
      </c>
      <c r="O5330" s="2">
        <v>2413.1799999999998</v>
      </c>
      <c r="P5330">
        <v>-45</v>
      </c>
      <c r="Q5330" s="2">
        <v>-108593.1</v>
      </c>
      <c r="R5330">
        <v>0</v>
      </c>
      <c r="V5330">
        <v>0</v>
      </c>
      <c r="W5330">
        <v>0</v>
      </c>
      <c r="X5330">
        <v>0</v>
      </c>
      <c r="Y5330">
        <v>0</v>
      </c>
      <c r="Z5330" s="2">
        <v>2413.1799999999998</v>
      </c>
      <c r="AA5330">
        <v>0</v>
      </c>
      <c r="AB5330" s="1">
        <v>42382</v>
      </c>
      <c r="AC5330" t="s">
        <v>53</v>
      </c>
      <c r="AD5330" t="s">
        <v>53</v>
      </c>
      <c r="AK5330">
        <v>0</v>
      </c>
      <c r="AU5330" s="6">
        <v>42278</v>
      </c>
      <c r="AV5330" s="6">
        <v>42278</v>
      </c>
      <c r="AW5330" t="s">
        <v>54</v>
      </c>
      <c r="AX5330" t="str">
        <f t="shared" si="453"/>
        <v>FOR</v>
      </c>
      <c r="AY5330" t="s">
        <v>55</v>
      </c>
    </row>
    <row r="5331" spans="1:51">
      <c r="A5331">
        <v>102679</v>
      </c>
      <c r="B5331" t="s">
        <v>971</v>
      </c>
      <c r="C5331" t="str">
        <f t="shared" si="452"/>
        <v>04303410726</v>
      </c>
      <c r="D5331" t="str">
        <f t="shared" si="452"/>
        <v>04303410726</v>
      </c>
      <c r="E5331" t="s">
        <v>52</v>
      </c>
      <c r="F5331">
        <v>2015</v>
      </c>
      <c r="G5331" t="s">
        <v>972</v>
      </c>
      <c r="H5331" s="1">
        <v>42101</v>
      </c>
      <c r="I5331" s="1">
        <v>42121</v>
      </c>
      <c r="J5331" s="1">
        <v>42120</v>
      </c>
      <c r="K5331" s="1">
        <v>42180</v>
      </c>
      <c r="L5331" s="7">
        <v>2340</v>
      </c>
      <c r="M5331" s="5">
        <v>175</v>
      </c>
      <c r="N5331" s="7">
        <v>409500</v>
      </c>
      <c r="O5331" s="2">
        <v>2340</v>
      </c>
      <c r="P5331">
        <v>175</v>
      </c>
      <c r="Q5331" s="2">
        <v>409500</v>
      </c>
      <c r="R5331">
        <v>514.79999999999995</v>
      </c>
      <c r="V5331">
        <v>0</v>
      </c>
      <c r="W5331">
        <v>0</v>
      </c>
      <c r="X5331">
        <v>0</v>
      </c>
      <c r="Y5331" s="2">
        <v>2854.8</v>
      </c>
      <c r="Z5331" s="2">
        <v>2854.8</v>
      </c>
      <c r="AA5331" s="2">
        <v>2854.8</v>
      </c>
      <c r="AB5331" s="1">
        <v>42382</v>
      </c>
      <c r="AC5331" t="s">
        <v>53</v>
      </c>
      <c r="AD5331" t="s">
        <v>53</v>
      </c>
      <c r="AK5331">
        <v>514.79999999999995</v>
      </c>
      <c r="AU5331" s="6">
        <v>42355</v>
      </c>
      <c r="AV5331" s="6">
        <v>42355</v>
      </c>
      <c r="AW5331" t="s">
        <v>54</v>
      </c>
      <c r="AX5331" t="str">
        <f t="shared" si="453"/>
        <v>FOR</v>
      </c>
      <c r="AY5331" t="s">
        <v>55</v>
      </c>
    </row>
    <row r="5332" spans="1:51">
      <c r="A5332">
        <v>102679</v>
      </c>
      <c r="B5332" t="s">
        <v>971</v>
      </c>
      <c r="C5332" t="str">
        <f t="shared" si="452"/>
        <v>04303410726</v>
      </c>
      <c r="D5332" t="str">
        <f t="shared" si="452"/>
        <v>04303410726</v>
      </c>
      <c r="E5332" t="s">
        <v>52</v>
      </c>
      <c r="F5332">
        <v>2015</v>
      </c>
      <c r="G5332" t="s">
        <v>973</v>
      </c>
      <c r="H5332" s="1">
        <v>42101</v>
      </c>
      <c r="I5332" s="1">
        <v>42142</v>
      </c>
      <c r="J5332" s="1">
        <v>42137</v>
      </c>
      <c r="K5332" s="1">
        <v>42197</v>
      </c>
      <c r="L5332" s="7">
        <v>944.46</v>
      </c>
      <c r="M5332" s="5">
        <v>158</v>
      </c>
      <c r="N5332" s="7">
        <v>149224.68</v>
      </c>
      <c r="O5332">
        <v>944.46</v>
      </c>
      <c r="P5332">
        <v>158</v>
      </c>
      <c r="Q5332" s="2">
        <v>149224.68</v>
      </c>
      <c r="R5332">
        <v>207.78</v>
      </c>
      <c r="V5332">
        <v>0</v>
      </c>
      <c r="W5332">
        <v>0</v>
      </c>
      <c r="X5332">
        <v>0</v>
      </c>
      <c r="Y5332" s="2">
        <v>1152.24</v>
      </c>
      <c r="Z5332" s="2">
        <v>1152.24</v>
      </c>
      <c r="AA5332" s="2">
        <v>1152.24</v>
      </c>
      <c r="AB5332" s="1">
        <v>42382</v>
      </c>
      <c r="AC5332" t="s">
        <v>53</v>
      </c>
      <c r="AD5332" t="s">
        <v>53</v>
      </c>
      <c r="AJ5332">
        <v>207.78</v>
      </c>
      <c r="AK5332">
        <v>0</v>
      </c>
      <c r="AU5332" s="6">
        <v>42355</v>
      </c>
      <c r="AV5332" s="6">
        <v>42355</v>
      </c>
      <c r="AW5332" t="s">
        <v>54</v>
      </c>
      <c r="AX5332" t="str">
        <f t="shared" si="453"/>
        <v>FOR</v>
      </c>
      <c r="AY5332" t="s">
        <v>55</v>
      </c>
    </row>
    <row r="5333" spans="1:51" hidden="1">
      <c r="A5333">
        <v>102685</v>
      </c>
      <c r="B5333" t="s">
        <v>974</v>
      </c>
      <c r="C5333" t="str">
        <f t="shared" ref="C5333:C5352" si="454">"00905811006"</f>
        <v>00905811006</v>
      </c>
      <c r="D5333" t="str">
        <f t="shared" ref="D5333:D5352" si="455">"00484960588"</f>
        <v>00484960588</v>
      </c>
      <c r="E5333" t="s">
        <v>52</v>
      </c>
      <c r="F5333">
        <v>2010</v>
      </c>
      <c r="G5333" t="s">
        <v>975</v>
      </c>
      <c r="H5333" s="1">
        <v>40515</v>
      </c>
      <c r="I5333" s="1">
        <v>41893</v>
      </c>
      <c r="J5333" s="1">
        <v>41893</v>
      </c>
      <c r="K5333" s="1">
        <v>41983</v>
      </c>
      <c r="N5333" s="5"/>
      <c r="O5333" s="2">
        <v>-155779.60999999999</v>
      </c>
      <c r="P5333">
        <v>292</v>
      </c>
      <c r="Q5333" s="2">
        <v>-45487646.119999997</v>
      </c>
      <c r="R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 s="1">
        <v>42382</v>
      </c>
      <c r="AC5333" t="s">
        <v>53</v>
      </c>
      <c r="AD5333" t="s">
        <v>53</v>
      </c>
      <c r="AK5333">
        <v>0</v>
      </c>
      <c r="AU5333" s="6">
        <v>42275</v>
      </c>
      <c r="AV5333" s="6">
        <v>42275</v>
      </c>
      <c r="AW5333" t="s">
        <v>54</v>
      </c>
      <c r="AX5333" t="str">
        <f t="shared" si="453"/>
        <v>FOR</v>
      </c>
      <c r="AY5333" t="s">
        <v>55</v>
      </c>
    </row>
    <row r="5334" spans="1:51" hidden="1">
      <c r="A5334">
        <v>102685</v>
      </c>
      <c r="B5334" t="s">
        <v>974</v>
      </c>
      <c r="C5334" t="str">
        <f t="shared" si="454"/>
        <v>00905811006</v>
      </c>
      <c r="D5334" t="str">
        <f t="shared" si="455"/>
        <v>00484960588</v>
      </c>
      <c r="E5334" t="s">
        <v>52</v>
      </c>
      <c r="F5334">
        <v>2011</v>
      </c>
      <c r="G5334" t="s">
        <v>976</v>
      </c>
      <c r="H5334" s="1">
        <v>40550</v>
      </c>
      <c r="I5334" s="1">
        <v>41893</v>
      </c>
      <c r="J5334" s="1">
        <v>41893</v>
      </c>
      <c r="K5334" s="1">
        <v>41983</v>
      </c>
      <c r="N5334" s="5"/>
      <c r="O5334" s="2">
        <v>-65695.14</v>
      </c>
      <c r="P5334">
        <v>292</v>
      </c>
      <c r="Q5334" s="2">
        <v>-19182980.879999999</v>
      </c>
      <c r="R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 s="1">
        <v>42382</v>
      </c>
      <c r="AC5334" t="s">
        <v>53</v>
      </c>
      <c r="AD5334" t="s">
        <v>53</v>
      </c>
      <c r="AK5334">
        <v>0</v>
      </c>
      <c r="AU5334" s="6">
        <v>42275</v>
      </c>
      <c r="AV5334" s="6">
        <v>42275</v>
      </c>
      <c r="AW5334" t="s">
        <v>54</v>
      </c>
      <c r="AX5334" t="str">
        <f t="shared" si="453"/>
        <v>FOR</v>
      </c>
      <c r="AY5334" t="s">
        <v>55</v>
      </c>
    </row>
    <row r="5335" spans="1:51" hidden="1">
      <c r="A5335">
        <v>102685</v>
      </c>
      <c r="B5335" t="s">
        <v>974</v>
      </c>
      <c r="C5335" t="str">
        <f t="shared" si="454"/>
        <v>00905811006</v>
      </c>
      <c r="D5335" t="str">
        <f t="shared" si="455"/>
        <v>00484960588</v>
      </c>
      <c r="E5335" t="s">
        <v>52</v>
      </c>
      <c r="F5335">
        <v>2012</v>
      </c>
      <c r="G5335">
        <v>12100140</v>
      </c>
      <c r="H5335" s="1">
        <v>41057</v>
      </c>
      <c r="I5335" s="1">
        <v>41078</v>
      </c>
      <c r="J5335" s="1">
        <v>41078</v>
      </c>
      <c r="K5335" s="1">
        <v>41168</v>
      </c>
      <c r="L5335" s="7">
        <v>216551.93</v>
      </c>
      <c r="M5335" s="5">
        <v>1191</v>
      </c>
      <c r="N5335" s="7">
        <v>257913348.63</v>
      </c>
      <c r="O5335" s="2">
        <v>616551.93000000005</v>
      </c>
      <c r="P5335">
        <v>1136</v>
      </c>
      <c r="Q5335" s="2">
        <v>700713348.63</v>
      </c>
      <c r="R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 s="1">
        <v>42382</v>
      </c>
      <c r="AC5335" t="s">
        <v>53</v>
      </c>
      <c r="AD5335" t="s">
        <v>53</v>
      </c>
      <c r="AK5335">
        <v>0</v>
      </c>
      <c r="AU5335" s="6">
        <v>42275</v>
      </c>
      <c r="AV5335" s="6">
        <v>42359</v>
      </c>
      <c r="AW5335" t="s">
        <v>54</v>
      </c>
      <c r="AX5335" t="str">
        <f t="shared" si="453"/>
        <v>FOR</v>
      </c>
      <c r="AY5335" t="s">
        <v>55</v>
      </c>
    </row>
    <row r="5336" spans="1:51" hidden="1">
      <c r="A5336">
        <v>102685</v>
      </c>
      <c r="B5336" t="s">
        <v>974</v>
      </c>
      <c r="C5336" t="str">
        <f t="shared" si="454"/>
        <v>00905811006</v>
      </c>
      <c r="D5336" t="str">
        <f t="shared" si="455"/>
        <v>00484960588</v>
      </c>
      <c r="E5336" t="s">
        <v>52</v>
      </c>
      <c r="F5336">
        <v>2013</v>
      </c>
      <c r="G5336" t="s">
        <v>977</v>
      </c>
      <c r="H5336" s="1">
        <v>41576</v>
      </c>
      <c r="I5336" s="1">
        <v>41590</v>
      </c>
      <c r="J5336" s="1">
        <v>41590</v>
      </c>
      <c r="K5336" s="1">
        <v>41680</v>
      </c>
      <c r="N5336" s="5"/>
      <c r="O5336" s="2">
        <v>6724.07</v>
      </c>
      <c r="P5336">
        <v>389</v>
      </c>
      <c r="Q5336" s="2">
        <v>2615663.23</v>
      </c>
      <c r="R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 s="1">
        <v>42382</v>
      </c>
      <c r="AC5336" t="s">
        <v>53</v>
      </c>
      <c r="AD5336" t="s">
        <v>53</v>
      </c>
      <c r="AK5336">
        <v>0</v>
      </c>
      <c r="AU5336" s="6">
        <v>42069</v>
      </c>
      <c r="AV5336" s="6">
        <v>42069</v>
      </c>
      <c r="AW5336" t="s">
        <v>54</v>
      </c>
      <c r="AX5336" t="str">
        <f t="shared" si="453"/>
        <v>FOR</v>
      </c>
      <c r="AY5336" t="s">
        <v>55</v>
      </c>
    </row>
    <row r="5337" spans="1:51" hidden="1">
      <c r="A5337">
        <v>102685</v>
      </c>
      <c r="B5337" t="s">
        <v>974</v>
      </c>
      <c r="C5337" t="str">
        <f t="shared" si="454"/>
        <v>00905811006</v>
      </c>
      <c r="D5337" t="str">
        <f t="shared" si="455"/>
        <v>00484960588</v>
      </c>
      <c r="E5337" t="s">
        <v>52</v>
      </c>
      <c r="F5337">
        <v>2013</v>
      </c>
      <c r="G5337" t="s">
        <v>978</v>
      </c>
      <c r="H5337" s="1">
        <v>41605</v>
      </c>
      <c r="I5337" s="1">
        <v>41617</v>
      </c>
      <c r="J5337" s="1">
        <v>41617</v>
      </c>
      <c r="K5337" s="1">
        <v>41707</v>
      </c>
      <c r="N5337" s="5"/>
      <c r="O5337" s="2">
        <v>13532.79</v>
      </c>
      <c r="P5337">
        <v>362</v>
      </c>
      <c r="Q5337" s="2">
        <v>4898869.9800000004</v>
      </c>
      <c r="R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 s="1">
        <v>42382</v>
      </c>
      <c r="AC5337" t="s">
        <v>53</v>
      </c>
      <c r="AD5337" t="s">
        <v>53</v>
      </c>
      <c r="AK5337">
        <v>0</v>
      </c>
      <c r="AU5337" s="6">
        <v>42069</v>
      </c>
      <c r="AV5337" s="6">
        <v>42069</v>
      </c>
      <c r="AW5337" t="s">
        <v>54</v>
      </c>
      <c r="AX5337" t="str">
        <f t="shared" si="453"/>
        <v>FOR</v>
      </c>
      <c r="AY5337" t="s">
        <v>55</v>
      </c>
    </row>
    <row r="5338" spans="1:51" hidden="1">
      <c r="A5338">
        <v>102685</v>
      </c>
      <c r="B5338" t="s">
        <v>974</v>
      </c>
      <c r="C5338" t="str">
        <f t="shared" si="454"/>
        <v>00905811006</v>
      </c>
      <c r="D5338" t="str">
        <f t="shared" si="455"/>
        <v>00484960588</v>
      </c>
      <c r="E5338" t="s">
        <v>52</v>
      </c>
      <c r="F5338">
        <v>2013</v>
      </c>
      <c r="G5338" t="s">
        <v>979</v>
      </c>
      <c r="H5338" s="1">
        <v>41627</v>
      </c>
      <c r="I5338" s="1">
        <v>41639</v>
      </c>
      <c r="J5338" s="1">
        <v>41639</v>
      </c>
      <c r="K5338" s="1">
        <v>41729</v>
      </c>
      <c r="N5338" s="5"/>
      <c r="O5338" s="2">
        <v>36335.760000000002</v>
      </c>
      <c r="P5338">
        <v>340</v>
      </c>
      <c r="Q5338" s="2">
        <v>12354158.4</v>
      </c>
      <c r="R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 s="1">
        <v>42382</v>
      </c>
      <c r="AC5338" t="s">
        <v>53</v>
      </c>
      <c r="AD5338" t="s">
        <v>53</v>
      </c>
      <c r="AK5338">
        <v>0</v>
      </c>
      <c r="AU5338" s="6">
        <v>42069</v>
      </c>
      <c r="AV5338" s="6">
        <v>42069</v>
      </c>
      <c r="AW5338" t="s">
        <v>54</v>
      </c>
      <c r="AX5338" t="str">
        <f t="shared" si="453"/>
        <v>FOR</v>
      </c>
      <c r="AY5338" t="s">
        <v>55</v>
      </c>
    </row>
    <row r="5339" spans="1:51" hidden="1">
      <c r="A5339">
        <v>102685</v>
      </c>
      <c r="B5339" t="s">
        <v>974</v>
      </c>
      <c r="C5339" t="str">
        <f t="shared" si="454"/>
        <v>00905811006</v>
      </c>
      <c r="D5339" t="str">
        <f t="shared" si="455"/>
        <v>00484960588</v>
      </c>
      <c r="E5339" t="s">
        <v>52</v>
      </c>
      <c r="F5339">
        <v>2014</v>
      </c>
      <c r="G5339" t="s">
        <v>980</v>
      </c>
      <c r="H5339" s="1">
        <v>41780</v>
      </c>
      <c r="I5339" s="1">
        <v>41793</v>
      </c>
      <c r="J5339" s="1">
        <v>41793</v>
      </c>
      <c r="K5339" s="1">
        <v>41883</v>
      </c>
      <c r="N5339" s="5"/>
      <c r="O5339" s="2">
        <v>7823.54</v>
      </c>
      <c r="P5339">
        <v>247</v>
      </c>
      <c r="Q5339" s="2">
        <v>1932414.38</v>
      </c>
      <c r="R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 s="1">
        <v>42382</v>
      </c>
      <c r="AC5339" t="s">
        <v>53</v>
      </c>
      <c r="AD5339" t="s">
        <v>53</v>
      </c>
      <c r="AK5339">
        <v>0</v>
      </c>
      <c r="AU5339" s="6">
        <v>42130</v>
      </c>
      <c r="AV5339" s="6">
        <v>42130</v>
      </c>
      <c r="AW5339" t="s">
        <v>54</v>
      </c>
      <c r="AX5339" t="str">
        <f t="shared" si="453"/>
        <v>FOR</v>
      </c>
      <c r="AY5339" t="s">
        <v>55</v>
      </c>
    </row>
    <row r="5340" spans="1:51" hidden="1">
      <c r="A5340">
        <v>102685</v>
      </c>
      <c r="B5340" t="s">
        <v>974</v>
      </c>
      <c r="C5340" t="str">
        <f t="shared" si="454"/>
        <v>00905811006</v>
      </c>
      <c r="D5340" t="str">
        <f t="shared" si="455"/>
        <v>00484960588</v>
      </c>
      <c r="E5340" t="s">
        <v>52</v>
      </c>
      <c r="F5340">
        <v>2014</v>
      </c>
      <c r="G5340" t="s">
        <v>981</v>
      </c>
      <c r="H5340" s="1">
        <v>41780</v>
      </c>
      <c r="I5340" s="1">
        <v>41793</v>
      </c>
      <c r="J5340" s="1">
        <v>41793</v>
      </c>
      <c r="K5340" s="1">
        <v>41883</v>
      </c>
      <c r="N5340" s="5"/>
      <c r="O5340" s="2">
        <v>10469.69</v>
      </c>
      <c r="P5340">
        <v>247</v>
      </c>
      <c r="Q5340" s="2">
        <v>2586013.4300000002</v>
      </c>
      <c r="R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 s="1">
        <v>42382</v>
      </c>
      <c r="AC5340" t="s">
        <v>53</v>
      </c>
      <c r="AD5340" t="s">
        <v>53</v>
      </c>
      <c r="AK5340">
        <v>0</v>
      </c>
      <c r="AU5340" s="6">
        <v>42130</v>
      </c>
      <c r="AV5340" s="6">
        <v>42130</v>
      </c>
      <c r="AW5340" t="s">
        <v>54</v>
      </c>
      <c r="AX5340" t="str">
        <f t="shared" si="453"/>
        <v>FOR</v>
      </c>
      <c r="AY5340" t="s">
        <v>55</v>
      </c>
    </row>
    <row r="5341" spans="1:51" hidden="1">
      <c r="A5341">
        <v>102685</v>
      </c>
      <c r="B5341" t="s">
        <v>974</v>
      </c>
      <c r="C5341" t="str">
        <f t="shared" si="454"/>
        <v>00905811006</v>
      </c>
      <c r="D5341" t="str">
        <f t="shared" si="455"/>
        <v>00484960588</v>
      </c>
      <c r="E5341" t="s">
        <v>52</v>
      </c>
      <c r="F5341">
        <v>2014</v>
      </c>
      <c r="G5341" t="s">
        <v>982</v>
      </c>
      <c r="H5341" s="1">
        <v>41780</v>
      </c>
      <c r="I5341" s="1">
        <v>41795</v>
      </c>
      <c r="J5341" s="1">
        <v>41795</v>
      </c>
      <c r="K5341" s="1">
        <v>41885</v>
      </c>
      <c r="N5341" s="5"/>
      <c r="O5341" s="2">
        <v>122849.94</v>
      </c>
      <c r="P5341">
        <v>239</v>
      </c>
      <c r="Q5341" s="2">
        <v>29361135.66</v>
      </c>
      <c r="R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 s="1">
        <v>42382</v>
      </c>
      <c r="AC5341" t="s">
        <v>53</v>
      </c>
      <c r="AD5341" t="s">
        <v>53</v>
      </c>
      <c r="AK5341">
        <v>0</v>
      </c>
      <c r="AU5341" s="6">
        <v>42124</v>
      </c>
      <c r="AV5341" s="6">
        <v>42124</v>
      </c>
      <c r="AW5341" t="s">
        <v>54</v>
      </c>
      <c r="AX5341" t="str">
        <f t="shared" si="453"/>
        <v>FOR</v>
      </c>
      <c r="AY5341" t="s">
        <v>55</v>
      </c>
    </row>
    <row r="5342" spans="1:51" hidden="1">
      <c r="A5342">
        <v>102685</v>
      </c>
      <c r="B5342" t="s">
        <v>974</v>
      </c>
      <c r="C5342" t="str">
        <f t="shared" si="454"/>
        <v>00905811006</v>
      </c>
      <c r="D5342" t="str">
        <f t="shared" si="455"/>
        <v>00484960588</v>
      </c>
      <c r="E5342" t="s">
        <v>52</v>
      </c>
      <c r="F5342">
        <v>2014</v>
      </c>
      <c r="G5342" t="s">
        <v>983</v>
      </c>
      <c r="H5342" s="1">
        <v>41780</v>
      </c>
      <c r="I5342" s="1">
        <v>41795</v>
      </c>
      <c r="J5342" s="1">
        <v>41795</v>
      </c>
      <c r="K5342" s="1">
        <v>41885</v>
      </c>
      <c r="N5342" s="5"/>
      <c r="O5342" s="2">
        <v>370337.55</v>
      </c>
      <c r="P5342">
        <v>271</v>
      </c>
      <c r="Q5342" s="2">
        <v>100361476.05</v>
      </c>
      <c r="R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 s="1">
        <v>42382</v>
      </c>
      <c r="AC5342" t="s">
        <v>53</v>
      </c>
      <c r="AD5342" t="s">
        <v>53</v>
      </c>
      <c r="AK5342">
        <v>0</v>
      </c>
      <c r="AU5342" s="6">
        <v>42156</v>
      </c>
      <c r="AV5342" s="6">
        <v>42156</v>
      </c>
      <c r="AW5342" t="s">
        <v>54</v>
      </c>
      <c r="AX5342" t="str">
        <f t="shared" si="453"/>
        <v>FOR</v>
      </c>
      <c r="AY5342" t="s">
        <v>55</v>
      </c>
    </row>
    <row r="5343" spans="1:51" hidden="1">
      <c r="A5343">
        <v>102685</v>
      </c>
      <c r="B5343" t="s">
        <v>974</v>
      </c>
      <c r="C5343" t="str">
        <f t="shared" si="454"/>
        <v>00905811006</v>
      </c>
      <c r="D5343" t="str">
        <f t="shared" si="455"/>
        <v>00484960588</v>
      </c>
      <c r="E5343" t="s">
        <v>52</v>
      </c>
      <c r="F5343">
        <v>2014</v>
      </c>
      <c r="G5343" t="s">
        <v>984</v>
      </c>
      <c r="H5343" s="1">
        <v>41871</v>
      </c>
      <c r="I5343" s="1">
        <v>41883</v>
      </c>
      <c r="J5343" s="1">
        <v>41883</v>
      </c>
      <c r="K5343" s="1">
        <v>41973</v>
      </c>
      <c r="N5343" s="5"/>
      <c r="O5343" s="2">
        <v>3825.71</v>
      </c>
      <c r="P5343">
        <v>276</v>
      </c>
      <c r="Q5343" s="2">
        <v>1055895.96</v>
      </c>
      <c r="R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 s="1">
        <v>42382</v>
      </c>
      <c r="AC5343" t="s">
        <v>53</v>
      </c>
      <c r="AD5343" t="s">
        <v>53</v>
      </c>
      <c r="AK5343">
        <v>0</v>
      </c>
      <c r="AU5343" s="6">
        <v>42249</v>
      </c>
      <c r="AV5343" s="6">
        <v>42249</v>
      </c>
      <c r="AW5343" t="s">
        <v>54</v>
      </c>
      <c r="AX5343" t="str">
        <f t="shared" si="453"/>
        <v>FOR</v>
      </c>
      <c r="AY5343" t="s">
        <v>55</v>
      </c>
    </row>
    <row r="5344" spans="1:51" hidden="1">
      <c r="A5344">
        <v>102685</v>
      </c>
      <c r="B5344" t="s">
        <v>974</v>
      </c>
      <c r="C5344" t="str">
        <f t="shared" si="454"/>
        <v>00905811006</v>
      </c>
      <c r="D5344" t="str">
        <f t="shared" si="455"/>
        <v>00484960588</v>
      </c>
      <c r="E5344" t="s">
        <v>52</v>
      </c>
      <c r="F5344">
        <v>2014</v>
      </c>
      <c r="G5344" t="s">
        <v>985</v>
      </c>
      <c r="H5344" s="1">
        <v>41871</v>
      </c>
      <c r="I5344" s="1">
        <v>41883</v>
      </c>
      <c r="J5344" s="1">
        <v>41883</v>
      </c>
      <c r="K5344" s="1">
        <v>41973</v>
      </c>
      <c r="N5344" s="5"/>
      <c r="O5344" s="2">
        <v>8412.16</v>
      </c>
      <c r="P5344">
        <v>276</v>
      </c>
      <c r="Q5344" s="2">
        <v>2321756.1600000001</v>
      </c>
      <c r="R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 s="1">
        <v>42382</v>
      </c>
      <c r="AC5344" t="s">
        <v>53</v>
      </c>
      <c r="AD5344" t="s">
        <v>53</v>
      </c>
      <c r="AK5344">
        <v>0</v>
      </c>
      <c r="AU5344" s="6">
        <v>42249</v>
      </c>
      <c r="AV5344" s="6">
        <v>42249</v>
      </c>
      <c r="AW5344" t="s">
        <v>54</v>
      </c>
      <c r="AX5344" t="str">
        <f t="shared" si="453"/>
        <v>FOR</v>
      </c>
      <c r="AY5344" t="s">
        <v>55</v>
      </c>
    </row>
    <row r="5345" spans="1:51" hidden="1">
      <c r="A5345">
        <v>102685</v>
      </c>
      <c r="B5345" t="s">
        <v>974</v>
      </c>
      <c r="C5345" t="str">
        <f t="shared" si="454"/>
        <v>00905811006</v>
      </c>
      <c r="D5345" t="str">
        <f t="shared" si="455"/>
        <v>00484960588</v>
      </c>
      <c r="E5345" t="s">
        <v>52</v>
      </c>
      <c r="F5345">
        <v>2014</v>
      </c>
      <c r="G5345" t="s">
        <v>986</v>
      </c>
      <c r="H5345" s="1">
        <v>41900</v>
      </c>
      <c r="I5345" s="1">
        <v>41913</v>
      </c>
      <c r="J5345" s="1">
        <v>41913</v>
      </c>
      <c r="K5345" s="1">
        <v>42003</v>
      </c>
      <c r="N5345" s="5"/>
      <c r="O5345" s="2">
        <v>3694.6</v>
      </c>
      <c r="P5345">
        <v>246</v>
      </c>
      <c r="Q5345" s="2">
        <v>908871.6</v>
      </c>
      <c r="R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 s="1">
        <v>42382</v>
      </c>
      <c r="AC5345" t="s">
        <v>53</v>
      </c>
      <c r="AD5345" t="s">
        <v>53</v>
      </c>
      <c r="AK5345">
        <v>0</v>
      </c>
      <c r="AU5345" s="6">
        <v>42249</v>
      </c>
      <c r="AV5345" s="6">
        <v>42249</v>
      </c>
      <c r="AW5345" t="s">
        <v>54</v>
      </c>
      <c r="AX5345" t="str">
        <f t="shared" si="453"/>
        <v>FOR</v>
      </c>
      <c r="AY5345" t="s">
        <v>55</v>
      </c>
    </row>
    <row r="5346" spans="1:51" hidden="1">
      <c r="A5346">
        <v>102685</v>
      </c>
      <c r="B5346" t="s">
        <v>974</v>
      </c>
      <c r="C5346" t="str">
        <f t="shared" si="454"/>
        <v>00905811006</v>
      </c>
      <c r="D5346" t="str">
        <f t="shared" si="455"/>
        <v>00484960588</v>
      </c>
      <c r="E5346" t="s">
        <v>52</v>
      </c>
      <c r="F5346">
        <v>2014</v>
      </c>
      <c r="G5346" t="s">
        <v>987</v>
      </c>
      <c r="H5346" s="1">
        <v>41900</v>
      </c>
      <c r="I5346" s="1">
        <v>41911</v>
      </c>
      <c r="J5346" s="1">
        <v>41911</v>
      </c>
      <c r="K5346" s="1">
        <v>42001</v>
      </c>
      <c r="N5346" s="5"/>
      <c r="O5346" s="2">
        <v>8122.78</v>
      </c>
      <c r="P5346">
        <v>248</v>
      </c>
      <c r="Q5346" s="2">
        <v>2014449.44</v>
      </c>
      <c r="R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 s="1">
        <v>42382</v>
      </c>
      <c r="AC5346" t="s">
        <v>53</v>
      </c>
      <c r="AD5346" t="s">
        <v>53</v>
      </c>
      <c r="AK5346">
        <v>0</v>
      </c>
      <c r="AU5346" s="6">
        <v>42249</v>
      </c>
      <c r="AV5346" s="6">
        <v>42249</v>
      </c>
      <c r="AW5346" t="s">
        <v>54</v>
      </c>
      <c r="AX5346" t="str">
        <f t="shared" si="453"/>
        <v>FOR</v>
      </c>
      <c r="AY5346" t="s">
        <v>55</v>
      </c>
    </row>
    <row r="5347" spans="1:51" hidden="1">
      <c r="A5347">
        <v>102685</v>
      </c>
      <c r="B5347" t="s">
        <v>974</v>
      </c>
      <c r="C5347" t="str">
        <f t="shared" si="454"/>
        <v>00905811006</v>
      </c>
      <c r="D5347" t="str">
        <f t="shared" si="455"/>
        <v>00484960588</v>
      </c>
      <c r="E5347" t="s">
        <v>52</v>
      </c>
      <c r="F5347">
        <v>2014</v>
      </c>
      <c r="G5347" t="s">
        <v>988</v>
      </c>
      <c r="H5347" s="1">
        <v>41992</v>
      </c>
      <c r="I5347" s="1">
        <v>42004</v>
      </c>
      <c r="J5347" s="1">
        <v>42004</v>
      </c>
      <c r="K5347" s="1">
        <v>42064</v>
      </c>
      <c r="N5347" s="5"/>
      <c r="O5347" s="2">
        <v>2250.6</v>
      </c>
      <c r="P5347">
        <v>185</v>
      </c>
      <c r="Q5347" s="2">
        <v>416361</v>
      </c>
      <c r="R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 s="1">
        <v>42382</v>
      </c>
      <c r="AC5347" t="s">
        <v>53</v>
      </c>
      <c r="AD5347" t="s">
        <v>53</v>
      </c>
      <c r="AK5347">
        <v>0</v>
      </c>
      <c r="AU5347" s="6">
        <v>42249</v>
      </c>
      <c r="AV5347" s="6">
        <v>42249</v>
      </c>
      <c r="AW5347" t="s">
        <v>54</v>
      </c>
      <c r="AX5347" t="str">
        <f t="shared" si="453"/>
        <v>FOR</v>
      </c>
      <c r="AY5347" t="s">
        <v>55</v>
      </c>
    </row>
    <row r="5348" spans="1:51" hidden="1">
      <c r="A5348">
        <v>102685</v>
      </c>
      <c r="B5348" t="s">
        <v>974</v>
      </c>
      <c r="C5348" t="str">
        <f t="shared" si="454"/>
        <v>00905811006</v>
      </c>
      <c r="D5348" t="str">
        <f t="shared" si="455"/>
        <v>00484960588</v>
      </c>
      <c r="E5348" t="s">
        <v>52</v>
      </c>
      <c r="F5348">
        <v>2014</v>
      </c>
      <c r="G5348" t="s">
        <v>989</v>
      </c>
      <c r="H5348" s="1">
        <v>41992</v>
      </c>
      <c r="I5348" s="1">
        <v>42004</v>
      </c>
      <c r="J5348" s="1">
        <v>42004</v>
      </c>
      <c r="K5348" s="1">
        <v>42064</v>
      </c>
      <c r="N5348" s="5"/>
      <c r="O5348" s="2">
        <v>34317.69</v>
      </c>
      <c r="P5348">
        <v>185</v>
      </c>
      <c r="Q5348" s="2">
        <v>6348772.6500000004</v>
      </c>
      <c r="R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 s="1">
        <v>42382</v>
      </c>
      <c r="AC5348" t="s">
        <v>53</v>
      </c>
      <c r="AD5348" t="s">
        <v>53</v>
      </c>
      <c r="AK5348">
        <v>0</v>
      </c>
      <c r="AU5348" s="6">
        <v>42249</v>
      </c>
      <c r="AV5348" s="6">
        <v>42249</v>
      </c>
      <c r="AW5348" t="s">
        <v>54</v>
      </c>
      <c r="AX5348" t="str">
        <f t="shared" si="453"/>
        <v>FOR</v>
      </c>
      <c r="AY5348" t="s">
        <v>55</v>
      </c>
    </row>
    <row r="5349" spans="1:51" hidden="1">
      <c r="A5349">
        <v>102685</v>
      </c>
      <c r="B5349" t="s">
        <v>974</v>
      </c>
      <c r="C5349" t="str">
        <f t="shared" si="454"/>
        <v>00905811006</v>
      </c>
      <c r="D5349" t="str">
        <f t="shared" si="455"/>
        <v>00484960588</v>
      </c>
      <c r="E5349" t="s">
        <v>52</v>
      </c>
      <c r="F5349">
        <v>2014</v>
      </c>
      <c r="G5349" t="s">
        <v>990</v>
      </c>
      <c r="H5349" s="1">
        <v>41992</v>
      </c>
      <c r="I5349" s="1">
        <v>42004</v>
      </c>
      <c r="J5349" s="1">
        <v>42004</v>
      </c>
      <c r="K5349" s="1">
        <v>42064</v>
      </c>
      <c r="N5349" s="5"/>
      <c r="O5349" s="2">
        <v>12510.81</v>
      </c>
      <c r="P5349">
        <v>185</v>
      </c>
      <c r="Q5349" s="2">
        <v>2314499.85</v>
      </c>
      <c r="R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 s="1">
        <v>42382</v>
      </c>
      <c r="AC5349" t="s">
        <v>53</v>
      </c>
      <c r="AD5349" t="s">
        <v>53</v>
      </c>
      <c r="AK5349">
        <v>0</v>
      </c>
      <c r="AU5349" s="6">
        <v>42249</v>
      </c>
      <c r="AV5349" s="6">
        <v>42249</v>
      </c>
      <c r="AW5349" t="s">
        <v>54</v>
      </c>
      <c r="AX5349" t="str">
        <f t="shared" si="453"/>
        <v>FOR</v>
      </c>
      <c r="AY5349" t="s">
        <v>55</v>
      </c>
    </row>
    <row r="5350" spans="1:51" hidden="1">
      <c r="A5350">
        <v>102685</v>
      </c>
      <c r="B5350" t="s">
        <v>974</v>
      </c>
      <c r="C5350" t="str">
        <f t="shared" si="454"/>
        <v>00905811006</v>
      </c>
      <c r="D5350" t="str">
        <f t="shared" si="455"/>
        <v>00484960588</v>
      </c>
      <c r="E5350" t="s">
        <v>52</v>
      </c>
      <c r="F5350">
        <v>2014</v>
      </c>
      <c r="G5350" t="s">
        <v>991</v>
      </c>
      <c r="H5350" s="1">
        <v>41992</v>
      </c>
      <c r="I5350" s="1">
        <v>42004</v>
      </c>
      <c r="J5350" s="1">
        <v>42004</v>
      </c>
      <c r="K5350" s="1">
        <v>42064</v>
      </c>
      <c r="N5350" s="5"/>
      <c r="O5350" s="2">
        <v>34880.620000000003</v>
      </c>
      <c r="P5350">
        <v>185</v>
      </c>
      <c r="Q5350" s="2">
        <v>6452914.7000000002</v>
      </c>
      <c r="R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 s="1">
        <v>42382</v>
      </c>
      <c r="AC5350" t="s">
        <v>53</v>
      </c>
      <c r="AD5350" t="s">
        <v>53</v>
      </c>
      <c r="AK5350">
        <v>0</v>
      </c>
      <c r="AU5350" s="6">
        <v>42249</v>
      </c>
      <c r="AV5350" s="6">
        <v>42249</v>
      </c>
      <c r="AW5350" t="s">
        <v>54</v>
      </c>
      <c r="AX5350" t="str">
        <f t="shared" si="453"/>
        <v>FOR</v>
      </c>
      <c r="AY5350" t="s">
        <v>55</v>
      </c>
    </row>
    <row r="5351" spans="1:51" hidden="1">
      <c r="A5351">
        <v>102685</v>
      </c>
      <c r="B5351" t="s">
        <v>974</v>
      </c>
      <c r="C5351" t="str">
        <f t="shared" si="454"/>
        <v>00905811006</v>
      </c>
      <c r="D5351" t="str">
        <f t="shared" si="455"/>
        <v>00484960588</v>
      </c>
      <c r="E5351" t="s">
        <v>52</v>
      </c>
      <c r="F5351">
        <v>2014</v>
      </c>
      <c r="G5351" t="s">
        <v>992</v>
      </c>
      <c r="H5351" s="1">
        <v>41992</v>
      </c>
      <c r="I5351" s="1">
        <v>42004</v>
      </c>
      <c r="J5351" s="1">
        <v>42004</v>
      </c>
      <c r="K5351" s="1">
        <v>42064</v>
      </c>
      <c r="N5351" s="5"/>
      <c r="O5351" s="2">
        <v>1416.3</v>
      </c>
      <c r="P5351">
        <v>185</v>
      </c>
      <c r="Q5351" s="2">
        <v>262015.5</v>
      </c>
      <c r="R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 s="1">
        <v>42382</v>
      </c>
      <c r="AC5351" t="s">
        <v>53</v>
      </c>
      <c r="AD5351" t="s">
        <v>53</v>
      </c>
      <c r="AK5351">
        <v>0</v>
      </c>
      <c r="AU5351" s="6">
        <v>42249</v>
      </c>
      <c r="AV5351" s="6">
        <v>42249</v>
      </c>
      <c r="AW5351" t="s">
        <v>54</v>
      </c>
      <c r="AX5351" t="str">
        <f t="shared" si="453"/>
        <v>FOR</v>
      </c>
      <c r="AY5351" t="s">
        <v>55</v>
      </c>
    </row>
    <row r="5352" spans="1:51" hidden="1">
      <c r="A5352">
        <v>102685</v>
      </c>
      <c r="B5352" t="s">
        <v>974</v>
      </c>
      <c r="C5352" t="str">
        <f t="shared" si="454"/>
        <v>00905811006</v>
      </c>
      <c r="D5352" t="str">
        <f t="shared" si="455"/>
        <v>00484960588</v>
      </c>
      <c r="E5352" t="s">
        <v>52</v>
      </c>
      <c r="F5352">
        <v>2014</v>
      </c>
      <c r="G5352" t="s">
        <v>993</v>
      </c>
      <c r="H5352" s="1">
        <v>41691</v>
      </c>
      <c r="I5352" s="1">
        <v>41703</v>
      </c>
      <c r="J5352" s="1">
        <v>41703</v>
      </c>
      <c r="K5352" s="1">
        <v>41793</v>
      </c>
      <c r="N5352" s="5"/>
      <c r="O5352" s="2">
        <v>63619.3</v>
      </c>
      <c r="P5352">
        <v>301</v>
      </c>
      <c r="Q5352" s="2">
        <v>19149409.300000001</v>
      </c>
      <c r="R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 s="1">
        <v>42382</v>
      </c>
      <c r="AC5352" t="s">
        <v>53</v>
      </c>
      <c r="AD5352" t="s">
        <v>53</v>
      </c>
      <c r="AK5352">
        <v>0</v>
      </c>
      <c r="AU5352" s="6">
        <v>42094</v>
      </c>
      <c r="AV5352" s="6">
        <v>42094</v>
      </c>
      <c r="AW5352" t="s">
        <v>54</v>
      </c>
      <c r="AX5352" t="str">
        <f t="shared" si="453"/>
        <v>FOR</v>
      </c>
      <c r="AY5352" t="s">
        <v>55</v>
      </c>
    </row>
    <row r="5353" spans="1:51" hidden="1">
      <c r="A5353">
        <v>102698</v>
      </c>
      <c r="B5353" t="s">
        <v>994</v>
      </c>
      <c r="C5353" t="str">
        <f t="shared" ref="C5353:D5372" si="456">"01409770631"</f>
        <v>01409770631</v>
      </c>
      <c r="D5353" t="str">
        <f t="shared" si="456"/>
        <v>01409770631</v>
      </c>
      <c r="E5353" t="s">
        <v>52</v>
      </c>
      <c r="F5353">
        <v>2013</v>
      </c>
      <c r="G5353">
        <v>701972</v>
      </c>
      <c r="H5353" s="1">
        <v>41624</v>
      </c>
      <c r="I5353" s="1">
        <v>41667</v>
      </c>
      <c r="J5353" s="1">
        <v>41667</v>
      </c>
      <c r="K5353" s="1">
        <v>41757</v>
      </c>
      <c r="N5353" s="5"/>
      <c r="O5353" s="2">
        <v>6476</v>
      </c>
      <c r="P5353">
        <v>282</v>
      </c>
      <c r="Q5353" s="2">
        <v>1826232</v>
      </c>
      <c r="R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 s="1">
        <v>42382</v>
      </c>
      <c r="AC5353" t="s">
        <v>53</v>
      </c>
      <c r="AD5353" t="s">
        <v>53</v>
      </c>
      <c r="AK5353">
        <v>0</v>
      </c>
      <c r="AU5353" s="6">
        <v>42039</v>
      </c>
      <c r="AV5353" s="6">
        <v>42039</v>
      </c>
      <c r="AW5353" t="s">
        <v>54</v>
      </c>
      <c r="AX5353" t="str">
        <f t="shared" si="453"/>
        <v>FOR</v>
      </c>
      <c r="AY5353" t="s">
        <v>55</v>
      </c>
    </row>
    <row r="5354" spans="1:51" hidden="1">
      <c r="A5354">
        <v>102698</v>
      </c>
      <c r="B5354" t="s">
        <v>994</v>
      </c>
      <c r="C5354" t="str">
        <f t="shared" si="456"/>
        <v>01409770631</v>
      </c>
      <c r="D5354" t="str">
        <f t="shared" si="456"/>
        <v>01409770631</v>
      </c>
      <c r="E5354" t="s">
        <v>52</v>
      </c>
      <c r="F5354">
        <v>2013</v>
      </c>
      <c r="G5354">
        <v>701973</v>
      </c>
      <c r="H5354" s="1">
        <v>41624</v>
      </c>
      <c r="I5354" s="1">
        <v>41667</v>
      </c>
      <c r="J5354" s="1">
        <v>41667</v>
      </c>
      <c r="K5354" s="1">
        <v>41757</v>
      </c>
      <c r="N5354" s="5"/>
      <c r="O5354" s="2">
        <v>1344.61</v>
      </c>
      <c r="P5354">
        <v>282</v>
      </c>
      <c r="Q5354" s="2">
        <v>379180.02</v>
      </c>
      <c r="R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 s="1">
        <v>42382</v>
      </c>
      <c r="AC5354" t="s">
        <v>53</v>
      </c>
      <c r="AD5354" t="s">
        <v>53</v>
      </c>
      <c r="AK5354">
        <v>0</v>
      </c>
      <c r="AU5354" s="6">
        <v>42039</v>
      </c>
      <c r="AV5354" s="6">
        <v>42039</v>
      </c>
      <c r="AW5354" t="s">
        <v>54</v>
      </c>
      <c r="AX5354" t="str">
        <f t="shared" si="453"/>
        <v>FOR</v>
      </c>
      <c r="AY5354" t="s">
        <v>55</v>
      </c>
    </row>
    <row r="5355" spans="1:51" hidden="1">
      <c r="A5355">
        <v>102698</v>
      </c>
      <c r="B5355" t="s">
        <v>994</v>
      </c>
      <c r="C5355" t="str">
        <f t="shared" si="456"/>
        <v>01409770631</v>
      </c>
      <c r="D5355" t="str">
        <f t="shared" si="456"/>
        <v>01409770631</v>
      </c>
      <c r="E5355" t="s">
        <v>52</v>
      </c>
      <c r="F5355">
        <v>2013</v>
      </c>
      <c r="G5355">
        <v>701974</v>
      </c>
      <c r="H5355" s="1">
        <v>41624</v>
      </c>
      <c r="I5355" s="1">
        <v>41667</v>
      </c>
      <c r="J5355" s="1">
        <v>41667</v>
      </c>
      <c r="K5355" s="1">
        <v>41757</v>
      </c>
      <c r="N5355" s="5"/>
      <c r="O5355" s="2">
        <v>2580.06</v>
      </c>
      <c r="P5355">
        <v>282</v>
      </c>
      <c r="Q5355" s="2">
        <v>727576.92</v>
      </c>
      <c r="R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 s="1">
        <v>42382</v>
      </c>
      <c r="AC5355" t="s">
        <v>53</v>
      </c>
      <c r="AD5355" t="s">
        <v>53</v>
      </c>
      <c r="AK5355">
        <v>0</v>
      </c>
      <c r="AU5355" s="6">
        <v>42039</v>
      </c>
      <c r="AV5355" s="6">
        <v>42039</v>
      </c>
      <c r="AW5355" t="s">
        <v>54</v>
      </c>
      <c r="AX5355" t="str">
        <f t="shared" si="453"/>
        <v>FOR</v>
      </c>
      <c r="AY5355" t="s">
        <v>55</v>
      </c>
    </row>
    <row r="5356" spans="1:51" hidden="1">
      <c r="A5356">
        <v>102698</v>
      </c>
      <c r="B5356" t="s">
        <v>994</v>
      </c>
      <c r="C5356" t="str">
        <f t="shared" si="456"/>
        <v>01409770631</v>
      </c>
      <c r="D5356" t="str">
        <f t="shared" si="456"/>
        <v>01409770631</v>
      </c>
      <c r="E5356" t="s">
        <v>52</v>
      </c>
      <c r="F5356">
        <v>2013</v>
      </c>
      <c r="G5356">
        <v>701975</v>
      </c>
      <c r="H5356" s="1">
        <v>41624</v>
      </c>
      <c r="I5356" s="1">
        <v>41667</v>
      </c>
      <c r="J5356" s="1">
        <v>41667</v>
      </c>
      <c r="K5356" s="1">
        <v>41757</v>
      </c>
      <c r="N5356" s="5"/>
      <c r="O5356" s="2">
        <v>1103.03</v>
      </c>
      <c r="P5356">
        <v>282</v>
      </c>
      <c r="Q5356" s="2">
        <v>311054.46000000002</v>
      </c>
      <c r="R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 s="1">
        <v>42382</v>
      </c>
      <c r="AC5356" t="s">
        <v>53</v>
      </c>
      <c r="AD5356" t="s">
        <v>53</v>
      </c>
      <c r="AK5356">
        <v>0</v>
      </c>
      <c r="AU5356" s="6">
        <v>42039</v>
      </c>
      <c r="AV5356" s="6">
        <v>42039</v>
      </c>
      <c r="AW5356" t="s">
        <v>54</v>
      </c>
      <c r="AX5356" t="str">
        <f t="shared" si="453"/>
        <v>FOR</v>
      </c>
      <c r="AY5356" t="s">
        <v>55</v>
      </c>
    </row>
    <row r="5357" spans="1:51" hidden="1">
      <c r="A5357">
        <v>102698</v>
      </c>
      <c r="B5357" t="s">
        <v>994</v>
      </c>
      <c r="C5357" t="str">
        <f t="shared" si="456"/>
        <v>01409770631</v>
      </c>
      <c r="D5357" t="str">
        <f t="shared" si="456"/>
        <v>01409770631</v>
      </c>
      <c r="E5357" t="s">
        <v>52</v>
      </c>
      <c r="F5357">
        <v>2013</v>
      </c>
      <c r="G5357">
        <v>702046</v>
      </c>
      <c r="H5357" s="1">
        <v>41639</v>
      </c>
      <c r="I5357" s="1">
        <v>41667</v>
      </c>
      <c r="J5357" s="1">
        <v>41667</v>
      </c>
      <c r="K5357" s="1">
        <v>41757</v>
      </c>
      <c r="N5357" s="5"/>
      <c r="O5357" s="2">
        <v>1201.4100000000001</v>
      </c>
      <c r="P5357">
        <v>282</v>
      </c>
      <c r="Q5357" s="2">
        <v>338797.62</v>
      </c>
      <c r="R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 s="1">
        <v>42382</v>
      </c>
      <c r="AC5357" t="s">
        <v>53</v>
      </c>
      <c r="AD5357" t="s">
        <v>53</v>
      </c>
      <c r="AK5357">
        <v>0</v>
      </c>
      <c r="AU5357" s="6">
        <v>42039</v>
      </c>
      <c r="AV5357" s="6">
        <v>42039</v>
      </c>
      <c r="AW5357" t="s">
        <v>54</v>
      </c>
      <c r="AX5357" t="str">
        <f t="shared" si="453"/>
        <v>FOR</v>
      </c>
      <c r="AY5357" t="s">
        <v>55</v>
      </c>
    </row>
    <row r="5358" spans="1:51" hidden="1">
      <c r="A5358">
        <v>102698</v>
      </c>
      <c r="B5358" t="s">
        <v>994</v>
      </c>
      <c r="C5358" t="str">
        <f t="shared" si="456"/>
        <v>01409770631</v>
      </c>
      <c r="D5358" t="str">
        <f t="shared" si="456"/>
        <v>01409770631</v>
      </c>
      <c r="E5358" t="s">
        <v>52</v>
      </c>
      <c r="F5358">
        <v>2014</v>
      </c>
      <c r="G5358">
        <v>800040</v>
      </c>
      <c r="H5358" s="1">
        <v>41654</v>
      </c>
      <c r="I5358" s="1">
        <v>41711</v>
      </c>
      <c r="J5358" s="1">
        <v>41711</v>
      </c>
      <c r="K5358" s="1">
        <v>41801</v>
      </c>
      <c r="N5358" s="5"/>
      <c r="O5358">
        <v>677.15</v>
      </c>
      <c r="P5358">
        <v>238</v>
      </c>
      <c r="Q5358" s="2">
        <v>161161.70000000001</v>
      </c>
      <c r="R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 s="1">
        <v>42382</v>
      </c>
      <c r="AC5358" t="s">
        <v>53</v>
      </c>
      <c r="AD5358" t="s">
        <v>53</v>
      </c>
      <c r="AK5358">
        <v>0</v>
      </c>
      <c r="AU5358" s="6">
        <v>42039</v>
      </c>
      <c r="AV5358" s="6">
        <v>42039</v>
      </c>
      <c r="AW5358" t="s">
        <v>54</v>
      </c>
      <c r="AX5358" t="str">
        <f t="shared" si="453"/>
        <v>FOR</v>
      </c>
      <c r="AY5358" t="s">
        <v>55</v>
      </c>
    </row>
    <row r="5359" spans="1:51" hidden="1">
      <c r="A5359">
        <v>102698</v>
      </c>
      <c r="B5359" t="s">
        <v>994</v>
      </c>
      <c r="C5359" t="str">
        <f t="shared" si="456"/>
        <v>01409770631</v>
      </c>
      <c r="D5359" t="str">
        <f t="shared" si="456"/>
        <v>01409770631</v>
      </c>
      <c r="E5359" t="s">
        <v>52</v>
      </c>
      <c r="F5359">
        <v>2014</v>
      </c>
      <c r="G5359">
        <v>800041</v>
      </c>
      <c r="H5359" s="1">
        <v>41654</v>
      </c>
      <c r="I5359" s="1">
        <v>41711</v>
      </c>
      <c r="J5359" s="1">
        <v>41711</v>
      </c>
      <c r="K5359" s="1">
        <v>41801</v>
      </c>
      <c r="N5359" s="5"/>
      <c r="O5359">
        <v>686.81</v>
      </c>
      <c r="P5359">
        <v>238</v>
      </c>
      <c r="Q5359" s="2">
        <v>163460.78</v>
      </c>
      <c r="R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 s="1">
        <v>42382</v>
      </c>
      <c r="AC5359" t="s">
        <v>53</v>
      </c>
      <c r="AD5359" t="s">
        <v>53</v>
      </c>
      <c r="AK5359">
        <v>0</v>
      </c>
      <c r="AU5359" s="6">
        <v>42039</v>
      </c>
      <c r="AV5359" s="6">
        <v>42039</v>
      </c>
      <c r="AW5359" t="s">
        <v>54</v>
      </c>
      <c r="AX5359" t="str">
        <f t="shared" si="453"/>
        <v>FOR</v>
      </c>
      <c r="AY5359" t="s">
        <v>55</v>
      </c>
    </row>
    <row r="5360" spans="1:51" hidden="1">
      <c r="A5360">
        <v>102698</v>
      </c>
      <c r="B5360" t="s">
        <v>994</v>
      </c>
      <c r="C5360" t="str">
        <f t="shared" si="456"/>
        <v>01409770631</v>
      </c>
      <c r="D5360" t="str">
        <f t="shared" si="456"/>
        <v>01409770631</v>
      </c>
      <c r="E5360" t="s">
        <v>52</v>
      </c>
      <c r="F5360">
        <v>2014</v>
      </c>
      <c r="G5360">
        <v>800123</v>
      </c>
      <c r="H5360" s="1">
        <v>41670</v>
      </c>
      <c r="I5360" s="1">
        <v>41711</v>
      </c>
      <c r="J5360" s="1">
        <v>41711</v>
      </c>
      <c r="K5360" s="1">
        <v>41801</v>
      </c>
      <c r="N5360" s="5"/>
      <c r="O5360" s="2">
        <v>1354.27</v>
      </c>
      <c r="P5360">
        <v>238</v>
      </c>
      <c r="Q5360" s="2">
        <v>322316.26</v>
      </c>
      <c r="R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 s="1">
        <v>42382</v>
      </c>
      <c r="AC5360" t="s">
        <v>53</v>
      </c>
      <c r="AD5360" t="s">
        <v>53</v>
      </c>
      <c r="AK5360">
        <v>0</v>
      </c>
      <c r="AU5360" s="6">
        <v>42039</v>
      </c>
      <c r="AV5360" s="6">
        <v>42039</v>
      </c>
      <c r="AW5360" t="s">
        <v>54</v>
      </c>
      <c r="AX5360" t="str">
        <f t="shared" si="453"/>
        <v>FOR</v>
      </c>
      <c r="AY5360" t="s">
        <v>55</v>
      </c>
    </row>
    <row r="5361" spans="1:51" hidden="1">
      <c r="A5361">
        <v>102698</v>
      </c>
      <c r="B5361" t="s">
        <v>994</v>
      </c>
      <c r="C5361" t="str">
        <f t="shared" si="456"/>
        <v>01409770631</v>
      </c>
      <c r="D5361" t="str">
        <f t="shared" si="456"/>
        <v>01409770631</v>
      </c>
      <c r="E5361" t="s">
        <v>52</v>
      </c>
      <c r="F5361">
        <v>2014</v>
      </c>
      <c r="G5361">
        <v>800124</v>
      </c>
      <c r="H5361" s="1">
        <v>41670</v>
      </c>
      <c r="I5361" s="1">
        <v>41711</v>
      </c>
      <c r="J5361" s="1">
        <v>41711</v>
      </c>
      <c r="K5361" s="1">
        <v>41801</v>
      </c>
      <c r="N5361" s="5"/>
      <c r="O5361" s="2">
        <v>1151.1400000000001</v>
      </c>
      <c r="P5361">
        <v>238</v>
      </c>
      <c r="Q5361" s="2">
        <v>273971.32</v>
      </c>
      <c r="R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 s="1">
        <v>42382</v>
      </c>
      <c r="AC5361" t="s">
        <v>53</v>
      </c>
      <c r="AD5361" t="s">
        <v>53</v>
      </c>
      <c r="AK5361">
        <v>0</v>
      </c>
      <c r="AU5361" s="6">
        <v>42039</v>
      </c>
      <c r="AV5361" s="6">
        <v>42039</v>
      </c>
      <c r="AW5361" t="s">
        <v>54</v>
      </c>
      <c r="AX5361" t="str">
        <f t="shared" si="453"/>
        <v>FOR</v>
      </c>
      <c r="AY5361" t="s">
        <v>55</v>
      </c>
    </row>
    <row r="5362" spans="1:51" hidden="1">
      <c r="A5362">
        <v>102698</v>
      </c>
      <c r="B5362" t="s">
        <v>994</v>
      </c>
      <c r="C5362" t="str">
        <f t="shared" si="456"/>
        <v>01409770631</v>
      </c>
      <c r="D5362" t="str">
        <f t="shared" si="456"/>
        <v>01409770631</v>
      </c>
      <c r="E5362" t="s">
        <v>52</v>
      </c>
      <c r="F5362">
        <v>2014</v>
      </c>
      <c r="G5362">
        <v>800125</v>
      </c>
      <c r="H5362" s="1">
        <v>41670</v>
      </c>
      <c r="I5362" s="1">
        <v>41711</v>
      </c>
      <c r="J5362" s="1">
        <v>41711</v>
      </c>
      <c r="K5362" s="1">
        <v>41801</v>
      </c>
      <c r="N5362" s="5"/>
      <c r="O5362" s="2">
        <v>1911.01</v>
      </c>
      <c r="P5362">
        <v>238</v>
      </c>
      <c r="Q5362" s="2">
        <v>454820.38</v>
      </c>
      <c r="R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 s="1">
        <v>42382</v>
      </c>
      <c r="AC5362" t="s">
        <v>53</v>
      </c>
      <c r="AD5362" t="s">
        <v>53</v>
      </c>
      <c r="AK5362">
        <v>0</v>
      </c>
      <c r="AU5362" s="6">
        <v>42039</v>
      </c>
      <c r="AV5362" s="6">
        <v>42039</v>
      </c>
      <c r="AW5362" t="s">
        <v>54</v>
      </c>
      <c r="AX5362" t="str">
        <f t="shared" si="453"/>
        <v>FOR</v>
      </c>
      <c r="AY5362" t="s">
        <v>55</v>
      </c>
    </row>
    <row r="5363" spans="1:51" hidden="1">
      <c r="A5363">
        <v>102698</v>
      </c>
      <c r="B5363" t="s">
        <v>994</v>
      </c>
      <c r="C5363" t="str">
        <f t="shared" si="456"/>
        <v>01409770631</v>
      </c>
      <c r="D5363" t="str">
        <f t="shared" si="456"/>
        <v>01409770631</v>
      </c>
      <c r="E5363" t="s">
        <v>52</v>
      </c>
      <c r="F5363">
        <v>2014</v>
      </c>
      <c r="G5363">
        <v>800126</v>
      </c>
      <c r="H5363" s="1">
        <v>41670</v>
      </c>
      <c r="I5363" s="1">
        <v>41711</v>
      </c>
      <c r="J5363" s="1">
        <v>41711</v>
      </c>
      <c r="K5363" s="1">
        <v>41801</v>
      </c>
      <c r="N5363" s="5"/>
      <c r="O5363" s="2">
        <v>1557.42</v>
      </c>
      <c r="P5363">
        <v>238</v>
      </c>
      <c r="Q5363" s="2">
        <v>370665.96</v>
      </c>
      <c r="R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 s="1">
        <v>42382</v>
      </c>
      <c r="AC5363" t="s">
        <v>53</v>
      </c>
      <c r="AD5363" t="s">
        <v>53</v>
      </c>
      <c r="AK5363">
        <v>0</v>
      </c>
      <c r="AU5363" s="6">
        <v>42039</v>
      </c>
      <c r="AV5363" s="6">
        <v>42039</v>
      </c>
      <c r="AW5363" t="s">
        <v>54</v>
      </c>
      <c r="AX5363" t="str">
        <f t="shared" si="453"/>
        <v>FOR</v>
      </c>
      <c r="AY5363" t="s">
        <v>55</v>
      </c>
    </row>
    <row r="5364" spans="1:51" hidden="1">
      <c r="A5364">
        <v>102698</v>
      </c>
      <c r="B5364" t="s">
        <v>994</v>
      </c>
      <c r="C5364" t="str">
        <f t="shared" si="456"/>
        <v>01409770631</v>
      </c>
      <c r="D5364" t="str">
        <f t="shared" si="456"/>
        <v>01409770631</v>
      </c>
      <c r="E5364" t="s">
        <v>52</v>
      </c>
      <c r="F5364">
        <v>2014</v>
      </c>
      <c r="G5364">
        <v>800127</v>
      </c>
      <c r="H5364" s="1">
        <v>41670</v>
      </c>
      <c r="I5364" s="1">
        <v>41711</v>
      </c>
      <c r="J5364" s="1">
        <v>41711</v>
      </c>
      <c r="K5364" s="1">
        <v>41801</v>
      </c>
      <c r="N5364" s="5"/>
      <c r="O5364" s="2">
        <v>6181.3</v>
      </c>
      <c r="P5364">
        <v>238</v>
      </c>
      <c r="Q5364" s="2">
        <v>1471149.4</v>
      </c>
      <c r="R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 s="1">
        <v>42382</v>
      </c>
      <c r="AC5364" t="s">
        <v>53</v>
      </c>
      <c r="AD5364" t="s">
        <v>53</v>
      </c>
      <c r="AK5364">
        <v>0</v>
      </c>
      <c r="AU5364" s="6">
        <v>42039</v>
      </c>
      <c r="AV5364" s="6">
        <v>42039</v>
      </c>
      <c r="AW5364" t="s">
        <v>54</v>
      </c>
      <c r="AX5364" t="str">
        <f t="shared" si="453"/>
        <v>FOR</v>
      </c>
      <c r="AY5364" t="s">
        <v>55</v>
      </c>
    </row>
    <row r="5365" spans="1:51" hidden="1">
      <c r="A5365">
        <v>102698</v>
      </c>
      <c r="B5365" t="s">
        <v>994</v>
      </c>
      <c r="C5365" t="str">
        <f t="shared" si="456"/>
        <v>01409770631</v>
      </c>
      <c r="D5365" t="str">
        <f t="shared" si="456"/>
        <v>01409770631</v>
      </c>
      <c r="E5365" t="s">
        <v>52</v>
      </c>
      <c r="F5365">
        <v>2014</v>
      </c>
      <c r="G5365">
        <v>800237</v>
      </c>
      <c r="H5365" s="1">
        <v>41685</v>
      </c>
      <c r="I5365" s="1">
        <v>41724</v>
      </c>
      <c r="J5365" s="1">
        <v>41724</v>
      </c>
      <c r="K5365" s="1">
        <v>41814</v>
      </c>
      <c r="N5365" s="5"/>
      <c r="O5365">
        <v>119.88</v>
      </c>
      <c r="P5365">
        <v>225</v>
      </c>
      <c r="Q5365" s="2">
        <v>26973</v>
      </c>
      <c r="R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 s="1">
        <v>42382</v>
      </c>
      <c r="AC5365" t="s">
        <v>53</v>
      </c>
      <c r="AD5365" t="s">
        <v>53</v>
      </c>
      <c r="AK5365">
        <v>0</v>
      </c>
      <c r="AU5365" s="6">
        <v>42039</v>
      </c>
      <c r="AV5365" s="6">
        <v>42039</v>
      </c>
      <c r="AW5365" t="s">
        <v>54</v>
      </c>
      <c r="AX5365" t="str">
        <f t="shared" si="453"/>
        <v>FOR</v>
      </c>
      <c r="AY5365" t="s">
        <v>55</v>
      </c>
    </row>
    <row r="5366" spans="1:51" hidden="1">
      <c r="A5366">
        <v>102698</v>
      </c>
      <c r="B5366" t="s">
        <v>994</v>
      </c>
      <c r="C5366" t="str">
        <f t="shared" si="456"/>
        <v>01409770631</v>
      </c>
      <c r="D5366" t="str">
        <f t="shared" si="456"/>
        <v>01409770631</v>
      </c>
      <c r="E5366" t="s">
        <v>52</v>
      </c>
      <c r="F5366">
        <v>2014</v>
      </c>
      <c r="G5366">
        <v>800238</v>
      </c>
      <c r="H5366" s="1">
        <v>41685</v>
      </c>
      <c r="I5366" s="1">
        <v>41724</v>
      </c>
      <c r="J5366" s="1">
        <v>41724</v>
      </c>
      <c r="K5366" s="1">
        <v>41814</v>
      </c>
      <c r="N5366" s="5"/>
      <c r="O5366" s="2">
        <v>2084.7399999999998</v>
      </c>
      <c r="P5366">
        <v>225</v>
      </c>
      <c r="Q5366" s="2">
        <v>469066.5</v>
      </c>
      <c r="R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 s="1">
        <v>42382</v>
      </c>
      <c r="AC5366" t="s">
        <v>53</v>
      </c>
      <c r="AD5366" t="s">
        <v>53</v>
      </c>
      <c r="AK5366">
        <v>0</v>
      </c>
      <c r="AU5366" s="6">
        <v>42039</v>
      </c>
      <c r="AV5366" s="6">
        <v>42039</v>
      </c>
      <c r="AW5366" t="s">
        <v>54</v>
      </c>
      <c r="AX5366" t="str">
        <f t="shared" si="453"/>
        <v>FOR</v>
      </c>
      <c r="AY5366" t="s">
        <v>55</v>
      </c>
    </row>
    <row r="5367" spans="1:51" hidden="1">
      <c r="A5367">
        <v>102698</v>
      </c>
      <c r="B5367" t="s">
        <v>994</v>
      </c>
      <c r="C5367" t="str">
        <f t="shared" si="456"/>
        <v>01409770631</v>
      </c>
      <c r="D5367" t="str">
        <f t="shared" si="456"/>
        <v>01409770631</v>
      </c>
      <c r="E5367" t="s">
        <v>52</v>
      </c>
      <c r="F5367">
        <v>2014</v>
      </c>
      <c r="G5367">
        <v>800239</v>
      </c>
      <c r="H5367" s="1">
        <v>41685</v>
      </c>
      <c r="I5367" s="1">
        <v>41724</v>
      </c>
      <c r="J5367" s="1">
        <v>41724</v>
      </c>
      <c r="K5367" s="1">
        <v>41814</v>
      </c>
      <c r="N5367" s="5"/>
      <c r="O5367" s="2">
        <v>5891.75</v>
      </c>
      <c r="P5367">
        <v>225</v>
      </c>
      <c r="Q5367" s="2">
        <v>1325643.75</v>
      </c>
      <c r="R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 s="1">
        <v>42382</v>
      </c>
      <c r="AC5367" t="s">
        <v>53</v>
      </c>
      <c r="AD5367" t="s">
        <v>53</v>
      </c>
      <c r="AK5367">
        <v>0</v>
      </c>
      <c r="AU5367" s="6">
        <v>42039</v>
      </c>
      <c r="AV5367" s="6">
        <v>42039</v>
      </c>
      <c r="AW5367" t="s">
        <v>54</v>
      </c>
      <c r="AX5367" t="str">
        <f t="shared" si="453"/>
        <v>FOR</v>
      </c>
      <c r="AY5367" t="s">
        <v>55</v>
      </c>
    </row>
    <row r="5368" spans="1:51" hidden="1">
      <c r="A5368">
        <v>102698</v>
      </c>
      <c r="B5368" t="s">
        <v>994</v>
      </c>
      <c r="C5368" t="str">
        <f t="shared" si="456"/>
        <v>01409770631</v>
      </c>
      <c r="D5368" t="str">
        <f t="shared" si="456"/>
        <v>01409770631</v>
      </c>
      <c r="E5368" t="s">
        <v>52</v>
      </c>
      <c r="F5368">
        <v>2014</v>
      </c>
      <c r="G5368">
        <v>800240</v>
      </c>
      <c r="H5368" s="1">
        <v>41685</v>
      </c>
      <c r="I5368" s="1">
        <v>41724</v>
      </c>
      <c r="J5368" s="1">
        <v>41724</v>
      </c>
      <c r="K5368" s="1">
        <v>41814</v>
      </c>
      <c r="N5368" s="5"/>
      <c r="O5368" s="2">
        <v>7740.17</v>
      </c>
      <c r="P5368">
        <v>225</v>
      </c>
      <c r="Q5368" s="2">
        <v>1741538.25</v>
      </c>
      <c r="R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 s="1">
        <v>42382</v>
      </c>
      <c r="AC5368" t="s">
        <v>53</v>
      </c>
      <c r="AD5368" t="s">
        <v>53</v>
      </c>
      <c r="AK5368">
        <v>0</v>
      </c>
      <c r="AU5368" s="6">
        <v>42039</v>
      </c>
      <c r="AV5368" s="6">
        <v>42039</v>
      </c>
      <c r="AW5368" t="s">
        <v>54</v>
      </c>
      <c r="AX5368" t="str">
        <f t="shared" si="453"/>
        <v>FOR</v>
      </c>
      <c r="AY5368" t="s">
        <v>55</v>
      </c>
    </row>
    <row r="5369" spans="1:51" hidden="1">
      <c r="A5369">
        <v>102698</v>
      </c>
      <c r="B5369" t="s">
        <v>994</v>
      </c>
      <c r="C5369" t="str">
        <f t="shared" si="456"/>
        <v>01409770631</v>
      </c>
      <c r="D5369" t="str">
        <f t="shared" si="456"/>
        <v>01409770631</v>
      </c>
      <c r="E5369" t="s">
        <v>52</v>
      </c>
      <c r="F5369">
        <v>2014</v>
      </c>
      <c r="G5369">
        <v>800241</v>
      </c>
      <c r="H5369" s="1">
        <v>41685</v>
      </c>
      <c r="I5369" s="1">
        <v>41724</v>
      </c>
      <c r="J5369" s="1">
        <v>41724</v>
      </c>
      <c r="K5369" s="1">
        <v>41814</v>
      </c>
      <c r="N5369" s="5"/>
      <c r="O5369">
        <v>119.88</v>
      </c>
      <c r="P5369">
        <v>225</v>
      </c>
      <c r="Q5369" s="2">
        <v>26973</v>
      </c>
      <c r="R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 s="1">
        <v>42382</v>
      </c>
      <c r="AC5369" t="s">
        <v>53</v>
      </c>
      <c r="AD5369" t="s">
        <v>53</v>
      </c>
      <c r="AK5369">
        <v>0</v>
      </c>
      <c r="AU5369" s="6">
        <v>42039</v>
      </c>
      <c r="AV5369" s="6">
        <v>42039</v>
      </c>
      <c r="AW5369" t="s">
        <v>54</v>
      </c>
      <c r="AX5369" t="str">
        <f t="shared" si="453"/>
        <v>FOR</v>
      </c>
      <c r="AY5369" t="s">
        <v>55</v>
      </c>
    </row>
    <row r="5370" spans="1:51" hidden="1">
      <c r="A5370">
        <v>102698</v>
      </c>
      <c r="B5370" t="s">
        <v>994</v>
      </c>
      <c r="C5370" t="str">
        <f t="shared" si="456"/>
        <v>01409770631</v>
      </c>
      <c r="D5370" t="str">
        <f t="shared" si="456"/>
        <v>01409770631</v>
      </c>
      <c r="E5370" t="s">
        <v>52</v>
      </c>
      <c r="F5370">
        <v>2014</v>
      </c>
      <c r="G5370">
        <v>800242</v>
      </c>
      <c r="H5370" s="1">
        <v>41685</v>
      </c>
      <c r="I5370" s="1">
        <v>41724</v>
      </c>
      <c r="J5370" s="1">
        <v>41724</v>
      </c>
      <c r="K5370" s="1">
        <v>41814</v>
      </c>
      <c r="N5370" s="5"/>
      <c r="O5370">
        <v>143.11000000000001</v>
      </c>
      <c r="P5370">
        <v>225</v>
      </c>
      <c r="Q5370" s="2">
        <v>32199.75</v>
      </c>
      <c r="R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 s="1">
        <v>42382</v>
      </c>
      <c r="AC5370" t="s">
        <v>53</v>
      </c>
      <c r="AD5370" t="s">
        <v>53</v>
      </c>
      <c r="AK5370">
        <v>0</v>
      </c>
      <c r="AU5370" s="6">
        <v>42039</v>
      </c>
      <c r="AV5370" s="6">
        <v>42039</v>
      </c>
      <c r="AW5370" t="s">
        <v>54</v>
      </c>
      <c r="AX5370" t="str">
        <f t="shared" si="453"/>
        <v>FOR</v>
      </c>
      <c r="AY5370" t="s">
        <v>55</v>
      </c>
    </row>
    <row r="5371" spans="1:51" hidden="1">
      <c r="A5371">
        <v>102698</v>
      </c>
      <c r="B5371" t="s">
        <v>994</v>
      </c>
      <c r="C5371" t="str">
        <f t="shared" si="456"/>
        <v>01409770631</v>
      </c>
      <c r="D5371" t="str">
        <f t="shared" si="456"/>
        <v>01409770631</v>
      </c>
      <c r="E5371" t="s">
        <v>52</v>
      </c>
      <c r="F5371">
        <v>2014</v>
      </c>
      <c r="G5371">
        <v>800347</v>
      </c>
      <c r="H5371" s="1">
        <v>41698</v>
      </c>
      <c r="I5371" s="1">
        <v>41724</v>
      </c>
      <c r="J5371" s="1">
        <v>41724</v>
      </c>
      <c r="K5371" s="1">
        <v>41814</v>
      </c>
      <c r="N5371" s="5"/>
      <c r="O5371" s="2">
        <v>2084.7399999999998</v>
      </c>
      <c r="P5371">
        <v>225</v>
      </c>
      <c r="Q5371" s="2">
        <v>469066.5</v>
      </c>
      <c r="R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 s="1">
        <v>42382</v>
      </c>
      <c r="AC5371" t="s">
        <v>53</v>
      </c>
      <c r="AD5371" t="s">
        <v>53</v>
      </c>
      <c r="AK5371">
        <v>0</v>
      </c>
      <c r="AU5371" s="6">
        <v>42039</v>
      </c>
      <c r="AV5371" s="6">
        <v>42039</v>
      </c>
      <c r="AW5371" t="s">
        <v>54</v>
      </c>
      <c r="AX5371" t="str">
        <f t="shared" si="453"/>
        <v>FOR</v>
      </c>
      <c r="AY5371" t="s">
        <v>55</v>
      </c>
    </row>
    <row r="5372" spans="1:51" hidden="1">
      <c r="A5372">
        <v>102698</v>
      </c>
      <c r="B5372" t="s">
        <v>994</v>
      </c>
      <c r="C5372" t="str">
        <f t="shared" si="456"/>
        <v>01409770631</v>
      </c>
      <c r="D5372" t="str">
        <f t="shared" si="456"/>
        <v>01409770631</v>
      </c>
      <c r="E5372" t="s">
        <v>52</v>
      </c>
      <c r="F5372">
        <v>2014</v>
      </c>
      <c r="G5372">
        <v>800348</v>
      </c>
      <c r="H5372" s="1">
        <v>41698</v>
      </c>
      <c r="I5372" s="1">
        <v>41724</v>
      </c>
      <c r="J5372" s="1">
        <v>41724</v>
      </c>
      <c r="K5372" s="1">
        <v>41814</v>
      </c>
      <c r="N5372" s="5"/>
      <c r="O5372" s="2">
        <v>5250.88</v>
      </c>
      <c r="P5372">
        <v>225</v>
      </c>
      <c r="Q5372" s="2">
        <v>1181448</v>
      </c>
      <c r="R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 s="1">
        <v>42382</v>
      </c>
      <c r="AC5372" t="s">
        <v>53</v>
      </c>
      <c r="AD5372" t="s">
        <v>53</v>
      </c>
      <c r="AK5372">
        <v>0</v>
      </c>
      <c r="AU5372" s="6">
        <v>42039</v>
      </c>
      <c r="AV5372" s="6">
        <v>42039</v>
      </c>
      <c r="AW5372" t="s">
        <v>54</v>
      </c>
      <c r="AX5372" t="str">
        <f t="shared" si="453"/>
        <v>FOR</v>
      </c>
      <c r="AY5372" t="s">
        <v>55</v>
      </c>
    </row>
    <row r="5373" spans="1:51" hidden="1">
      <c r="A5373">
        <v>102698</v>
      </c>
      <c r="B5373" t="s">
        <v>994</v>
      </c>
      <c r="C5373" t="str">
        <f t="shared" ref="C5373:D5392" si="457">"01409770631"</f>
        <v>01409770631</v>
      </c>
      <c r="D5373" t="str">
        <f t="shared" si="457"/>
        <v>01409770631</v>
      </c>
      <c r="E5373" t="s">
        <v>52</v>
      </c>
      <c r="F5373">
        <v>2014</v>
      </c>
      <c r="G5373">
        <v>800349</v>
      </c>
      <c r="H5373" s="1">
        <v>41698</v>
      </c>
      <c r="I5373" s="1">
        <v>41724</v>
      </c>
      <c r="J5373" s="1">
        <v>41724</v>
      </c>
      <c r="K5373" s="1">
        <v>41814</v>
      </c>
      <c r="N5373" s="5"/>
      <c r="O5373" s="2">
        <v>3474.56</v>
      </c>
      <c r="P5373">
        <v>225</v>
      </c>
      <c r="Q5373" s="2">
        <v>781776</v>
      </c>
      <c r="R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 s="1">
        <v>42382</v>
      </c>
      <c r="AC5373" t="s">
        <v>53</v>
      </c>
      <c r="AD5373" t="s">
        <v>53</v>
      </c>
      <c r="AK5373">
        <v>0</v>
      </c>
      <c r="AU5373" s="6">
        <v>42039</v>
      </c>
      <c r="AV5373" s="6">
        <v>42039</v>
      </c>
      <c r="AW5373" t="s">
        <v>54</v>
      </c>
      <c r="AX5373" t="str">
        <f t="shared" si="453"/>
        <v>FOR</v>
      </c>
      <c r="AY5373" t="s">
        <v>55</v>
      </c>
    </row>
    <row r="5374" spans="1:51" hidden="1">
      <c r="A5374">
        <v>102698</v>
      </c>
      <c r="B5374" t="s">
        <v>994</v>
      </c>
      <c r="C5374" t="str">
        <f t="shared" si="457"/>
        <v>01409770631</v>
      </c>
      <c r="D5374" t="str">
        <f t="shared" si="457"/>
        <v>01409770631</v>
      </c>
      <c r="E5374" t="s">
        <v>52</v>
      </c>
      <c r="F5374">
        <v>2014</v>
      </c>
      <c r="G5374">
        <v>800350</v>
      </c>
      <c r="H5374" s="1">
        <v>41698</v>
      </c>
      <c r="I5374" s="1">
        <v>41724</v>
      </c>
      <c r="J5374" s="1">
        <v>41724</v>
      </c>
      <c r="K5374" s="1">
        <v>41814</v>
      </c>
      <c r="N5374" s="5"/>
      <c r="O5374">
        <v>204.96</v>
      </c>
      <c r="P5374">
        <v>225</v>
      </c>
      <c r="Q5374" s="2">
        <v>46116</v>
      </c>
      <c r="R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 s="1">
        <v>42382</v>
      </c>
      <c r="AC5374" t="s">
        <v>53</v>
      </c>
      <c r="AD5374" t="s">
        <v>53</v>
      </c>
      <c r="AK5374">
        <v>0</v>
      </c>
      <c r="AU5374" s="6">
        <v>42039</v>
      </c>
      <c r="AV5374" s="6">
        <v>42039</v>
      </c>
      <c r="AW5374" t="s">
        <v>54</v>
      </c>
      <c r="AX5374" t="str">
        <f t="shared" si="453"/>
        <v>FOR</v>
      </c>
      <c r="AY5374" t="s">
        <v>55</v>
      </c>
    </row>
    <row r="5375" spans="1:51" hidden="1">
      <c r="A5375">
        <v>102698</v>
      </c>
      <c r="B5375" t="s">
        <v>994</v>
      </c>
      <c r="C5375" t="str">
        <f t="shared" si="457"/>
        <v>01409770631</v>
      </c>
      <c r="D5375" t="str">
        <f t="shared" si="457"/>
        <v>01409770631</v>
      </c>
      <c r="E5375" t="s">
        <v>52</v>
      </c>
      <c r="F5375">
        <v>2014</v>
      </c>
      <c r="G5375">
        <v>800351</v>
      </c>
      <c r="H5375" s="1">
        <v>41698</v>
      </c>
      <c r="I5375" s="1">
        <v>41724</v>
      </c>
      <c r="J5375" s="1">
        <v>41724</v>
      </c>
      <c r="K5375" s="1">
        <v>41814</v>
      </c>
      <c r="N5375" s="5"/>
      <c r="O5375">
        <v>119.88</v>
      </c>
      <c r="P5375">
        <v>225</v>
      </c>
      <c r="Q5375" s="2">
        <v>26973</v>
      </c>
      <c r="R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 s="1">
        <v>42382</v>
      </c>
      <c r="AC5375" t="s">
        <v>53</v>
      </c>
      <c r="AD5375" t="s">
        <v>53</v>
      </c>
      <c r="AK5375">
        <v>0</v>
      </c>
      <c r="AU5375" s="6">
        <v>42039</v>
      </c>
      <c r="AV5375" s="6">
        <v>42039</v>
      </c>
      <c r="AW5375" t="s">
        <v>54</v>
      </c>
      <c r="AX5375" t="str">
        <f t="shared" si="453"/>
        <v>FOR</v>
      </c>
      <c r="AY5375" t="s">
        <v>55</v>
      </c>
    </row>
    <row r="5376" spans="1:51" hidden="1">
      <c r="A5376">
        <v>102698</v>
      </c>
      <c r="B5376" t="s">
        <v>994</v>
      </c>
      <c r="C5376" t="str">
        <f t="shared" si="457"/>
        <v>01409770631</v>
      </c>
      <c r="D5376" t="str">
        <f t="shared" si="457"/>
        <v>01409770631</v>
      </c>
      <c r="E5376" t="s">
        <v>52</v>
      </c>
      <c r="F5376">
        <v>2014</v>
      </c>
      <c r="G5376">
        <v>800352</v>
      </c>
      <c r="H5376" s="1">
        <v>41698</v>
      </c>
      <c r="I5376" s="1">
        <v>41724</v>
      </c>
      <c r="J5376" s="1">
        <v>41724</v>
      </c>
      <c r="K5376" s="1">
        <v>41814</v>
      </c>
      <c r="N5376" s="5"/>
      <c r="O5376">
        <v>85.57</v>
      </c>
      <c r="P5376">
        <v>225</v>
      </c>
      <c r="Q5376" s="2">
        <v>19253.25</v>
      </c>
      <c r="R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 s="1">
        <v>42382</v>
      </c>
      <c r="AC5376" t="s">
        <v>53</v>
      </c>
      <c r="AD5376" t="s">
        <v>53</v>
      </c>
      <c r="AK5376">
        <v>0</v>
      </c>
      <c r="AU5376" s="6">
        <v>42039</v>
      </c>
      <c r="AV5376" s="6">
        <v>42039</v>
      </c>
      <c r="AW5376" t="s">
        <v>54</v>
      </c>
      <c r="AX5376" t="str">
        <f t="shared" si="453"/>
        <v>FOR</v>
      </c>
      <c r="AY5376" t="s">
        <v>55</v>
      </c>
    </row>
    <row r="5377" spans="1:51" hidden="1">
      <c r="A5377">
        <v>102698</v>
      </c>
      <c r="B5377" t="s">
        <v>994</v>
      </c>
      <c r="C5377" t="str">
        <f t="shared" si="457"/>
        <v>01409770631</v>
      </c>
      <c r="D5377" t="str">
        <f t="shared" si="457"/>
        <v>01409770631</v>
      </c>
      <c r="E5377" t="s">
        <v>52</v>
      </c>
      <c r="F5377">
        <v>2014</v>
      </c>
      <c r="G5377">
        <v>800434</v>
      </c>
      <c r="H5377" s="1">
        <v>41713</v>
      </c>
      <c r="I5377" s="1">
        <v>41758</v>
      </c>
      <c r="J5377" s="1">
        <v>41758</v>
      </c>
      <c r="K5377" s="1">
        <v>41848</v>
      </c>
      <c r="N5377" s="5"/>
      <c r="O5377" s="2">
        <v>3870.08</v>
      </c>
      <c r="P5377">
        <v>227</v>
      </c>
      <c r="Q5377" s="2">
        <v>878508.16</v>
      </c>
      <c r="R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 s="1">
        <v>42382</v>
      </c>
      <c r="AC5377" t="s">
        <v>53</v>
      </c>
      <c r="AD5377" t="s">
        <v>53</v>
      </c>
      <c r="AK5377">
        <v>0</v>
      </c>
      <c r="AU5377" s="6">
        <v>42075</v>
      </c>
      <c r="AV5377" s="6">
        <v>42075</v>
      </c>
      <c r="AW5377" t="s">
        <v>54</v>
      </c>
      <c r="AX5377" t="str">
        <f t="shared" si="453"/>
        <v>FOR</v>
      </c>
      <c r="AY5377" t="s">
        <v>55</v>
      </c>
    </row>
    <row r="5378" spans="1:51" hidden="1">
      <c r="A5378">
        <v>102698</v>
      </c>
      <c r="B5378" t="s">
        <v>994</v>
      </c>
      <c r="C5378" t="str">
        <f t="shared" si="457"/>
        <v>01409770631</v>
      </c>
      <c r="D5378" t="str">
        <f t="shared" si="457"/>
        <v>01409770631</v>
      </c>
      <c r="E5378" t="s">
        <v>52</v>
      </c>
      <c r="F5378">
        <v>2014</v>
      </c>
      <c r="G5378">
        <v>800435</v>
      </c>
      <c r="H5378" s="1">
        <v>41713</v>
      </c>
      <c r="I5378" s="1">
        <v>41758</v>
      </c>
      <c r="J5378" s="1">
        <v>41758</v>
      </c>
      <c r="K5378" s="1">
        <v>41848</v>
      </c>
      <c r="N5378" s="5"/>
      <c r="O5378" s="2">
        <v>9030.2000000000007</v>
      </c>
      <c r="P5378">
        <v>227</v>
      </c>
      <c r="Q5378" s="2">
        <v>2049855.4</v>
      </c>
      <c r="R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 s="1">
        <v>42382</v>
      </c>
      <c r="AC5378" t="s">
        <v>53</v>
      </c>
      <c r="AD5378" t="s">
        <v>53</v>
      </c>
      <c r="AK5378">
        <v>0</v>
      </c>
      <c r="AU5378" s="6">
        <v>42075</v>
      </c>
      <c r="AV5378" s="6">
        <v>42075</v>
      </c>
      <c r="AW5378" t="s">
        <v>54</v>
      </c>
      <c r="AX5378" t="str">
        <f t="shared" si="453"/>
        <v>FOR</v>
      </c>
      <c r="AY5378" t="s">
        <v>55</v>
      </c>
    </row>
    <row r="5379" spans="1:51" hidden="1">
      <c r="A5379">
        <v>102698</v>
      </c>
      <c r="B5379" t="s">
        <v>994</v>
      </c>
      <c r="C5379" t="str">
        <f t="shared" si="457"/>
        <v>01409770631</v>
      </c>
      <c r="D5379" t="str">
        <f t="shared" si="457"/>
        <v>01409770631</v>
      </c>
      <c r="E5379" t="s">
        <v>52</v>
      </c>
      <c r="F5379">
        <v>2014</v>
      </c>
      <c r="G5379">
        <v>800538</v>
      </c>
      <c r="H5379" s="1">
        <v>41729</v>
      </c>
      <c r="I5379" s="1">
        <v>41758</v>
      </c>
      <c r="J5379" s="1">
        <v>41758</v>
      </c>
      <c r="K5379" s="1">
        <v>41848</v>
      </c>
      <c r="N5379" s="5"/>
      <c r="O5379" s="2">
        <v>1225.92</v>
      </c>
      <c r="P5379">
        <v>227</v>
      </c>
      <c r="Q5379" s="2">
        <v>278283.84000000003</v>
      </c>
      <c r="R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 s="1">
        <v>42382</v>
      </c>
      <c r="AC5379" t="s">
        <v>53</v>
      </c>
      <c r="AD5379" t="s">
        <v>53</v>
      </c>
      <c r="AK5379">
        <v>0</v>
      </c>
      <c r="AU5379" s="6">
        <v>42075</v>
      </c>
      <c r="AV5379" s="6">
        <v>42075</v>
      </c>
      <c r="AW5379" t="s">
        <v>54</v>
      </c>
      <c r="AX5379" t="str">
        <f t="shared" ref="AX5379:AX5442" si="458">"FOR"</f>
        <v>FOR</v>
      </c>
      <c r="AY5379" t="s">
        <v>55</v>
      </c>
    </row>
    <row r="5380" spans="1:51" hidden="1">
      <c r="A5380">
        <v>102698</v>
      </c>
      <c r="B5380" t="s">
        <v>994</v>
      </c>
      <c r="C5380" t="str">
        <f t="shared" si="457"/>
        <v>01409770631</v>
      </c>
      <c r="D5380" t="str">
        <f t="shared" si="457"/>
        <v>01409770631</v>
      </c>
      <c r="E5380" t="s">
        <v>52</v>
      </c>
      <c r="F5380">
        <v>2014</v>
      </c>
      <c r="G5380">
        <v>800539</v>
      </c>
      <c r="H5380" s="1">
        <v>41729</v>
      </c>
      <c r="I5380" s="1">
        <v>41758</v>
      </c>
      <c r="J5380" s="1">
        <v>41758</v>
      </c>
      <c r="K5380" s="1">
        <v>41848</v>
      </c>
      <c r="N5380" s="5"/>
      <c r="O5380" s="2">
        <v>1354.27</v>
      </c>
      <c r="P5380">
        <v>227</v>
      </c>
      <c r="Q5380" s="2">
        <v>307419.28999999998</v>
      </c>
      <c r="R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 s="1">
        <v>42382</v>
      </c>
      <c r="AC5380" t="s">
        <v>53</v>
      </c>
      <c r="AD5380" t="s">
        <v>53</v>
      </c>
      <c r="AK5380">
        <v>0</v>
      </c>
      <c r="AU5380" s="6">
        <v>42075</v>
      </c>
      <c r="AV5380" s="6">
        <v>42075</v>
      </c>
      <c r="AW5380" t="s">
        <v>54</v>
      </c>
      <c r="AX5380" t="str">
        <f t="shared" si="458"/>
        <v>FOR</v>
      </c>
      <c r="AY5380" t="s">
        <v>55</v>
      </c>
    </row>
    <row r="5381" spans="1:51" hidden="1">
      <c r="A5381">
        <v>102698</v>
      </c>
      <c r="B5381" t="s">
        <v>994</v>
      </c>
      <c r="C5381" t="str">
        <f t="shared" si="457"/>
        <v>01409770631</v>
      </c>
      <c r="D5381" t="str">
        <f t="shared" si="457"/>
        <v>01409770631</v>
      </c>
      <c r="E5381" t="s">
        <v>52</v>
      </c>
      <c r="F5381">
        <v>2014</v>
      </c>
      <c r="G5381">
        <v>800540</v>
      </c>
      <c r="H5381" s="1">
        <v>41729</v>
      </c>
      <c r="I5381" s="1">
        <v>41758</v>
      </c>
      <c r="J5381" s="1">
        <v>41758</v>
      </c>
      <c r="K5381" s="1">
        <v>41848</v>
      </c>
      <c r="N5381" s="5"/>
      <c r="O5381" s="2">
        <v>1042.3699999999999</v>
      </c>
      <c r="P5381">
        <v>227</v>
      </c>
      <c r="Q5381" s="2">
        <v>236617.99</v>
      </c>
      <c r="R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 s="1">
        <v>42382</v>
      </c>
      <c r="AC5381" t="s">
        <v>53</v>
      </c>
      <c r="AD5381" t="s">
        <v>53</v>
      </c>
      <c r="AK5381">
        <v>0</v>
      </c>
      <c r="AU5381" s="6">
        <v>42075</v>
      </c>
      <c r="AV5381" s="6">
        <v>42075</v>
      </c>
      <c r="AW5381" t="s">
        <v>54</v>
      </c>
      <c r="AX5381" t="str">
        <f t="shared" si="458"/>
        <v>FOR</v>
      </c>
      <c r="AY5381" t="s">
        <v>55</v>
      </c>
    </row>
    <row r="5382" spans="1:51" hidden="1">
      <c r="A5382">
        <v>102698</v>
      </c>
      <c r="B5382" t="s">
        <v>994</v>
      </c>
      <c r="C5382" t="str">
        <f t="shared" si="457"/>
        <v>01409770631</v>
      </c>
      <c r="D5382" t="str">
        <f t="shared" si="457"/>
        <v>01409770631</v>
      </c>
      <c r="E5382" t="s">
        <v>52</v>
      </c>
      <c r="F5382">
        <v>2014</v>
      </c>
      <c r="G5382">
        <v>800541</v>
      </c>
      <c r="H5382" s="1">
        <v>41729</v>
      </c>
      <c r="I5382" s="1">
        <v>41758</v>
      </c>
      <c r="J5382" s="1">
        <v>41758</v>
      </c>
      <c r="K5382" s="1">
        <v>41848</v>
      </c>
      <c r="N5382" s="5"/>
      <c r="O5382" s="2">
        <v>3917.73</v>
      </c>
      <c r="P5382">
        <v>227</v>
      </c>
      <c r="Q5382" s="2">
        <v>889324.71</v>
      </c>
      <c r="R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 s="1">
        <v>42382</v>
      </c>
      <c r="AC5382" t="s">
        <v>53</v>
      </c>
      <c r="AD5382" t="s">
        <v>53</v>
      </c>
      <c r="AK5382">
        <v>0</v>
      </c>
      <c r="AU5382" s="6">
        <v>42075</v>
      </c>
      <c r="AV5382" s="6">
        <v>42075</v>
      </c>
      <c r="AW5382" t="s">
        <v>54</v>
      </c>
      <c r="AX5382" t="str">
        <f t="shared" si="458"/>
        <v>FOR</v>
      </c>
      <c r="AY5382" t="s">
        <v>55</v>
      </c>
    </row>
    <row r="5383" spans="1:51" hidden="1">
      <c r="A5383">
        <v>102698</v>
      </c>
      <c r="B5383" t="s">
        <v>994</v>
      </c>
      <c r="C5383" t="str">
        <f t="shared" si="457"/>
        <v>01409770631</v>
      </c>
      <c r="D5383" t="str">
        <f t="shared" si="457"/>
        <v>01409770631</v>
      </c>
      <c r="E5383" t="s">
        <v>52</v>
      </c>
      <c r="F5383">
        <v>2014</v>
      </c>
      <c r="G5383">
        <v>800542</v>
      </c>
      <c r="H5383" s="1">
        <v>41729</v>
      </c>
      <c r="I5383" s="1">
        <v>41758</v>
      </c>
      <c r="J5383" s="1">
        <v>41758</v>
      </c>
      <c r="K5383" s="1">
        <v>41848</v>
      </c>
      <c r="N5383" s="5"/>
      <c r="O5383">
        <v>320.23</v>
      </c>
      <c r="P5383">
        <v>227</v>
      </c>
      <c r="Q5383" s="2">
        <v>72692.210000000006</v>
      </c>
      <c r="R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 s="1">
        <v>42382</v>
      </c>
      <c r="AC5383" t="s">
        <v>53</v>
      </c>
      <c r="AD5383" t="s">
        <v>53</v>
      </c>
      <c r="AK5383">
        <v>0</v>
      </c>
      <c r="AU5383" s="6">
        <v>42075</v>
      </c>
      <c r="AV5383" s="6">
        <v>42075</v>
      </c>
      <c r="AW5383" t="s">
        <v>54</v>
      </c>
      <c r="AX5383" t="str">
        <f t="shared" si="458"/>
        <v>FOR</v>
      </c>
      <c r="AY5383" t="s">
        <v>55</v>
      </c>
    </row>
    <row r="5384" spans="1:51" hidden="1">
      <c r="A5384">
        <v>102698</v>
      </c>
      <c r="B5384" t="s">
        <v>994</v>
      </c>
      <c r="C5384" t="str">
        <f t="shared" si="457"/>
        <v>01409770631</v>
      </c>
      <c r="D5384" t="str">
        <f t="shared" si="457"/>
        <v>01409770631</v>
      </c>
      <c r="E5384" t="s">
        <v>52</v>
      </c>
      <c r="F5384">
        <v>2014</v>
      </c>
      <c r="G5384">
        <v>800645</v>
      </c>
      <c r="H5384" s="1">
        <v>41744</v>
      </c>
      <c r="I5384" s="1">
        <v>41788</v>
      </c>
      <c r="J5384" s="1">
        <v>41788</v>
      </c>
      <c r="K5384" s="1">
        <v>41878</v>
      </c>
      <c r="N5384" s="5"/>
      <c r="O5384" s="2">
        <v>1463.27</v>
      </c>
      <c r="P5384">
        <v>224</v>
      </c>
      <c r="Q5384" s="2">
        <v>327772.48</v>
      </c>
      <c r="R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 s="1">
        <v>42382</v>
      </c>
      <c r="AC5384" t="s">
        <v>53</v>
      </c>
      <c r="AD5384" t="s">
        <v>53</v>
      </c>
      <c r="AK5384">
        <v>0</v>
      </c>
      <c r="AU5384" s="6">
        <v>42102</v>
      </c>
      <c r="AV5384" s="6">
        <v>42102</v>
      </c>
      <c r="AW5384" t="s">
        <v>54</v>
      </c>
      <c r="AX5384" t="str">
        <f t="shared" si="458"/>
        <v>FOR</v>
      </c>
      <c r="AY5384" t="s">
        <v>55</v>
      </c>
    </row>
    <row r="5385" spans="1:51" hidden="1">
      <c r="A5385">
        <v>102698</v>
      </c>
      <c r="B5385" t="s">
        <v>994</v>
      </c>
      <c r="C5385" t="str">
        <f t="shared" si="457"/>
        <v>01409770631</v>
      </c>
      <c r="D5385" t="str">
        <f t="shared" si="457"/>
        <v>01409770631</v>
      </c>
      <c r="E5385" t="s">
        <v>52</v>
      </c>
      <c r="F5385">
        <v>2014</v>
      </c>
      <c r="G5385">
        <v>800646</v>
      </c>
      <c r="H5385" s="1">
        <v>41744</v>
      </c>
      <c r="I5385" s="1">
        <v>41788</v>
      </c>
      <c r="J5385" s="1">
        <v>41788</v>
      </c>
      <c r="K5385" s="1">
        <v>41878</v>
      </c>
      <c r="N5385" s="5"/>
      <c r="O5385">
        <v>532.04</v>
      </c>
      <c r="P5385">
        <v>224</v>
      </c>
      <c r="Q5385" s="2">
        <v>119176.96000000001</v>
      </c>
      <c r="R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 s="1">
        <v>42382</v>
      </c>
      <c r="AC5385" t="s">
        <v>53</v>
      </c>
      <c r="AD5385" t="s">
        <v>53</v>
      </c>
      <c r="AK5385">
        <v>0</v>
      </c>
      <c r="AU5385" s="6">
        <v>42102</v>
      </c>
      <c r="AV5385" s="6">
        <v>42102</v>
      </c>
      <c r="AW5385" t="s">
        <v>54</v>
      </c>
      <c r="AX5385" t="str">
        <f t="shared" si="458"/>
        <v>FOR</v>
      </c>
      <c r="AY5385" t="s">
        <v>55</v>
      </c>
    </row>
    <row r="5386" spans="1:51" hidden="1">
      <c r="A5386">
        <v>102698</v>
      </c>
      <c r="B5386" t="s">
        <v>994</v>
      </c>
      <c r="C5386" t="str">
        <f t="shared" si="457"/>
        <v>01409770631</v>
      </c>
      <c r="D5386" t="str">
        <f t="shared" si="457"/>
        <v>01409770631</v>
      </c>
      <c r="E5386" t="s">
        <v>52</v>
      </c>
      <c r="F5386">
        <v>2014</v>
      </c>
      <c r="G5386">
        <v>800647</v>
      </c>
      <c r="H5386" s="1">
        <v>41744</v>
      </c>
      <c r="I5386" s="1">
        <v>41788</v>
      </c>
      <c r="J5386" s="1">
        <v>41788</v>
      </c>
      <c r="K5386" s="1">
        <v>41878</v>
      </c>
      <c r="N5386" s="5"/>
      <c r="O5386" s="2">
        <v>2432.19</v>
      </c>
      <c r="P5386">
        <v>224</v>
      </c>
      <c r="Q5386" s="2">
        <v>544810.56000000006</v>
      </c>
      <c r="R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 s="1">
        <v>42382</v>
      </c>
      <c r="AC5386" t="s">
        <v>53</v>
      </c>
      <c r="AD5386" t="s">
        <v>53</v>
      </c>
      <c r="AK5386">
        <v>0</v>
      </c>
      <c r="AU5386" s="6">
        <v>42102</v>
      </c>
      <c r="AV5386" s="6">
        <v>42102</v>
      </c>
      <c r="AW5386" t="s">
        <v>54</v>
      </c>
      <c r="AX5386" t="str">
        <f t="shared" si="458"/>
        <v>FOR</v>
      </c>
      <c r="AY5386" t="s">
        <v>55</v>
      </c>
    </row>
    <row r="5387" spans="1:51" hidden="1">
      <c r="A5387">
        <v>102698</v>
      </c>
      <c r="B5387" t="s">
        <v>994</v>
      </c>
      <c r="C5387" t="str">
        <f t="shared" si="457"/>
        <v>01409770631</v>
      </c>
      <c r="D5387" t="str">
        <f t="shared" si="457"/>
        <v>01409770631</v>
      </c>
      <c r="E5387" t="s">
        <v>52</v>
      </c>
      <c r="F5387">
        <v>2014</v>
      </c>
      <c r="G5387">
        <v>800648</v>
      </c>
      <c r="H5387" s="1">
        <v>41744</v>
      </c>
      <c r="I5387" s="1">
        <v>41788</v>
      </c>
      <c r="J5387" s="1">
        <v>41788</v>
      </c>
      <c r="K5387" s="1">
        <v>41878</v>
      </c>
      <c r="N5387" s="5"/>
      <c r="O5387" s="2">
        <v>4169.47</v>
      </c>
      <c r="P5387">
        <v>224</v>
      </c>
      <c r="Q5387" s="2">
        <v>933961.28</v>
      </c>
      <c r="R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 s="1">
        <v>42382</v>
      </c>
      <c r="AC5387" t="s">
        <v>53</v>
      </c>
      <c r="AD5387" t="s">
        <v>53</v>
      </c>
      <c r="AK5387">
        <v>0</v>
      </c>
      <c r="AU5387" s="6">
        <v>42102</v>
      </c>
      <c r="AV5387" s="6">
        <v>42102</v>
      </c>
      <c r="AW5387" t="s">
        <v>54</v>
      </c>
      <c r="AX5387" t="str">
        <f t="shared" si="458"/>
        <v>FOR</v>
      </c>
      <c r="AY5387" t="s">
        <v>55</v>
      </c>
    </row>
    <row r="5388" spans="1:51" hidden="1">
      <c r="A5388">
        <v>102698</v>
      </c>
      <c r="B5388" t="s">
        <v>994</v>
      </c>
      <c r="C5388" t="str">
        <f t="shared" si="457"/>
        <v>01409770631</v>
      </c>
      <c r="D5388" t="str">
        <f t="shared" si="457"/>
        <v>01409770631</v>
      </c>
      <c r="E5388" t="s">
        <v>52</v>
      </c>
      <c r="F5388">
        <v>2014</v>
      </c>
      <c r="G5388">
        <v>800765</v>
      </c>
      <c r="H5388" s="1">
        <v>41759</v>
      </c>
      <c r="I5388" s="1">
        <v>41788</v>
      </c>
      <c r="J5388" s="1">
        <v>41788</v>
      </c>
      <c r="K5388" s="1">
        <v>41878</v>
      </c>
      <c r="N5388" s="5"/>
      <c r="O5388">
        <v>339.47</v>
      </c>
      <c r="P5388">
        <v>224</v>
      </c>
      <c r="Q5388" s="2">
        <v>76041.279999999999</v>
      </c>
      <c r="R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 s="1">
        <v>42382</v>
      </c>
      <c r="AC5388" t="s">
        <v>53</v>
      </c>
      <c r="AD5388" t="s">
        <v>53</v>
      </c>
      <c r="AK5388">
        <v>0</v>
      </c>
      <c r="AU5388" s="6">
        <v>42102</v>
      </c>
      <c r="AV5388" s="6">
        <v>42102</v>
      </c>
      <c r="AW5388" t="s">
        <v>54</v>
      </c>
      <c r="AX5388" t="str">
        <f t="shared" si="458"/>
        <v>FOR</v>
      </c>
      <c r="AY5388" t="s">
        <v>55</v>
      </c>
    </row>
    <row r="5389" spans="1:51" hidden="1">
      <c r="A5389">
        <v>102698</v>
      </c>
      <c r="B5389" t="s">
        <v>994</v>
      </c>
      <c r="C5389" t="str">
        <f t="shared" si="457"/>
        <v>01409770631</v>
      </c>
      <c r="D5389" t="str">
        <f t="shared" si="457"/>
        <v>01409770631</v>
      </c>
      <c r="E5389" t="s">
        <v>52</v>
      </c>
      <c r="F5389">
        <v>2014</v>
      </c>
      <c r="G5389">
        <v>800766</v>
      </c>
      <c r="H5389" s="1">
        <v>41759</v>
      </c>
      <c r="I5389" s="1">
        <v>41788</v>
      </c>
      <c r="J5389" s="1">
        <v>41788</v>
      </c>
      <c r="K5389" s="1">
        <v>41878</v>
      </c>
      <c r="N5389" s="5"/>
      <c r="O5389">
        <v>677.15</v>
      </c>
      <c r="P5389">
        <v>224</v>
      </c>
      <c r="Q5389" s="2">
        <v>151681.60000000001</v>
      </c>
      <c r="R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 s="1">
        <v>42382</v>
      </c>
      <c r="AC5389" t="s">
        <v>53</v>
      </c>
      <c r="AD5389" t="s">
        <v>53</v>
      </c>
      <c r="AK5389">
        <v>0</v>
      </c>
      <c r="AU5389" s="6">
        <v>42102</v>
      </c>
      <c r="AV5389" s="6">
        <v>42102</v>
      </c>
      <c r="AW5389" t="s">
        <v>54</v>
      </c>
      <c r="AX5389" t="str">
        <f t="shared" si="458"/>
        <v>FOR</v>
      </c>
      <c r="AY5389" t="s">
        <v>55</v>
      </c>
    </row>
    <row r="5390" spans="1:51" hidden="1">
      <c r="A5390">
        <v>102698</v>
      </c>
      <c r="B5390" t="s">
        <v>994</v>
      </c>
      <c r="C5390" t="str">
        <f t="shared" si="457"/>
        <v>01409770631</v>
      </c>
      <c r="D5390" t="str">
        <f t="shared" si="457"/>
        <v>01409770631</v>
      </c>
      <c r="E5390" t="s">
        <v>52</v>
      </c>
      <c r="F5390">
        <v>2014</v>
      </c>
      <c r="G5390">
        <v>800850</v>
      </c>
      <c r="H5390" s="1">
        <v>41774</v>
      </c>
      <c r="I5390" s="1">
        <v>41816</v>
      </c>
      <c r="J5390" s="1">
        <v>41816</v>
      </c>
      <c r="K5390" s="1">
        <v>41906</v>
      </c>
      <c r="N5390" s="5"/>
      <c r="O5390" s="2">
        <v>7738.7</v>
      </c>
      <c r="P5390">
        <v>226</v>
      </c>
      <c r="Q5390" s="2">
        <v>1748946.2</v>
      </c>
      <c r="R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 s="1">
        <v>42382</v>
      </c>
      <c r="AC5390" t="s">
        <v>53</v>
      </c>
      <c r="AD5390" t="s">
        <v>53</v>
      </c>
      <c r="AK5390">
        <v>0</v>
      </c>
      <c r="AU5390" s="6">
        <v>42132</v>
      </c>
      <c r="AV5390" s="6">
        <v>42132</v>
      </c>
      <c r="AW5390" t="s">
        <v>54</v>
      </c>
      <c r="AX5390" t="str">
        <f t="shared" si="458"/>
        <v>FOR</v>
      </c>
      <c r="AY5390" t="s">
        <v>55</v>
      </c>
    </row>
    <row r="5391" spans="1:51" hidden="1">
      <c r="A5391">
        <v>102698</v>
      </c>
      <c r="B5391" t="s">
        <v>994</v>
      </c>
      <c r="C5391" t="str">
        <f t="shared" si="457"/>
        <v>01409770631</v>
      </c>
      <c r="D5391" t="str">
        <f t="shared" si="457"/>
        <v>01409770631</v>
      </c>
      <c r="E5391" t="s">
        <v>52</v>
      </c>
      <c r="F5391">
        <v>2014</v>
      </c>
      <c r="G5391">
        <v>800851</v>
      </c>
      <c r="H5391" s="1">
        <v>41774</v>
      </c>
      <c r="I5391" s="1">
        <v>41816</v>
      </c>
      <c r="J5391" s="1">
        <v>41816</v>
      </c>
      <c r="K5391" s="1">
        <v>41906</v>
      </c>
      <c r="N5391" s="5"/>
      <c r="O5391" s="2">
        <v>2580.06</v>
      </c>
      <c r="P5391">
        <v>226</v>
      </c>
      <c r="Q5391" s="2">
        <v>583093.56000000006</v>
      </c>
      <c r="R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 s="1">
        <v>42382</v>
      </c>
      <c r="AC5391" t="s">
        <v>53</v>
      </c>
      <c r="AD5391" t="s">
        <v>53</v>
      </c>
      <c r="AK5391">
        <v>0</v>
      </c>
      <c r="AU5391" s="6">
        <v>42132</v>
      </c>
      <c r="AV5391" s="6">
        <v>42132</v>
      </c>
      <c r="AW5391" t="s">
        <v>54</v>
      </c>
      <c r="AX5391" t="str">
        <f t="shared" si="458"/>
        <v>FOR</v>
      </c>
      <c r="AY5391" t="s">
        <v>55</v>
      </c>
    </row>
    <row r="5392" spans="1:51" hidden="1">
      <c r="A5392">
        <v>102698</v>
      </c>
      <c r="B5392" t="s">
        <v>994</v>
      </c>
      <c r="C5392" t="str">
        <f t="shared" si="457"/>
        <v>01409770631</v>
      </c>
      <c r="D5392" t="str">
        <f t="shared" si="457"/>
        <v>01409770631</v>
      </c>
      <c r="E5392" t="s">
        <v>52</v>
      </c>
      <c r="F5392">
        <v>2014</v>
      </c>
      <c r="G5392">
        <v>800852</v>
      </c>
      <c r="H5392" s="1">
        <v>41774</v>
      </c>
      <c r="I5392" s="1">
        <v>41816</v>
      </c>
      <c r="J5392" s="1">
        <v>41816</v>
      </c>
      <c r="K5392" s="1">
        <v>41906</v>
      </c>
      <c r="N5392" s="5"/>
      <c r="O5392" s="2">
        <v>1737.28</v>
      </c>
      <c r="P5392">
        <v>226</v>
      </c>
      <c r="Q5392" s="2">
        <v>392625.28</v>
      </c>
      <c r="R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 s="1">
        <v>42382</v>
      </c>
      <c r="AC5392" t="s">
        <v>53</v>
      </c>
      <c r="AD5392" t="s">
        <v>53</v>
      </c>
      <c r="AK5392">
        <v>0</v>
      </c>
      <c r="AU5392" s="6">
        <v>42132</v>
      </c>
      <c r="AV5392" s="6">
        <v>42132</v>
      </c>
      <c r="AW5392" t="s">
        <v>54</v>
      </c>
      <c r="AX5392" t="str">
        <f t="shared" si="458"/>
        <v>FOR</v>
      </c>
      <c r="AY5392" t="s">
        <v>55</v>
      </c>
    </row>
    <row r="5393" spans="1:51" hidden="1">
      <c r="A5393">
        <v>102698</v>
      </c>
      <c r="B5393" t="s">
        <v>994</v>
      </c>
      <c r="C5393" t="str">
        <f t="shared" ref="C5393:D5412" si="459">"01409770631"</f>
        <v>01409770631</v>
      </c>
      <c r="D5393" t="str">
        <f t="shared" si="459"/>
        <v>01409770631</v>
      </c>
      <c r="E5393" t="s">
        <v>52</v>
      </c>
      <c r="F5393">
        <v>2014</v>
      </c>
      <c r="G5393">
        <v>800853</v>
      </c>
      <c r="H5393" s="1">
        <v>41774</v>
      </c>
      <c r="I5393" s="1">
        <v>41816</v>
      </c>
      <c r="J5393" s="1">
        <v>41816</v>
      </c>
      <c r="K5393" s="1">
        <v>41906</v>
      </c>
      <c r="N5393" s="5"/>
      <c r="O5393">
        <v>119.88</v>
      </c>
      <c r="P5393">
        <v>226</v>
      </c>
      <c r="Q5393" s="2">
        <v>27092.880000000001</v>
      </c>
      <c r="R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 s="1">
        <v>42382</v>
      </c>
      <c r="AC5393" t="s">
        <v>53</v>
      </c>
      <c r="AD5393" t="s">
        <v>53</v>
      </c>
      <c r="AK5393">
        <v>0</v>
      </c>
      <c r="AU5393" s="6">
        <v>42132</v>
      </c>
      <c r="AV5393" s="6">
        <v>42132</v>
      </c>
      <c r="AW5393" t="s">
        <v>54</v>
      </c>
      <c r="AX5393" t="str">
        <f t="shared" si="458"/>
        <v>FOR</v>
      </c>
      <c r="AY5393" t="s">
        <v>55</v>
      </c>
    </row>
    <row r="5394" spans="1:51" hidden="1">
      <c r="A5394">
        <v>102698</v>
      </c>
      <c r="B5394" t="s">
        <v>994</v>
      </c>
      <c r="C5394" t="str">
        <f t="shared" si="459"/>
        <v>01409770631</v>
      </c>
      <c r="D5394" t="str">
        <f t="shared" si="459"/>
        <v>01409770631</v>
      </c>
      <c r="E5394" t="s">
        <v>52</v>
      </c>
      <c r="F5394">
        <v>2014</v>
      </c>
      <c r="G5394">
        <v>800854</v>
      </c>
      <c r="H5394" s="1">
        <v>41774</v>
      </c>
      <c r="I5394" s="1">
        <v>41816</v>
      </c>
      <c r="J5394" s="1">
        <v>41816</v>
      </c>
      <c r="K5394" s="1">
        <v>41906</v>
      </c>
      <c r="N5394" s="5"/>
      <c r="O5394">
        <v>605.12</v>
      </c>
      <c r="P5394">
        <v>226</v>
      </c>
      <c r="Q5394" s="2">
        <v>136757.12</v>
      </c>
      <c r="R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 s="1">
        <v>42382</v>
      </c>
      <c r="AC5394" t="s">
        <v>53</v>
      </c>
      <c r="AD5394" t="s">
        <v>53</v>
      </c>
      <c r="AK5394">
        <v>0</v>
      </c>
      <c r="AU5394" s="6">
        <v>42132</v>
      </c>
      <c r="AV5394" s="6">
        <v>42132</v>
      </c>
      <c r="AW5394" t="s">
        <v>54</v>
      </c>
      <c r="AX5394" t="str">
        <f t="shared" si="458"/>
        <v>FOR</v>
      </c>
      <c r="AY5394" t="s">
        <v>55</v>
      </c>
    </row>
    <row r="5395" spans="1:51" hidden="1">
      <c r="A5395">
        <v>102698</v>
      </c>
      <c r="B5395" t="s">
        <v>994</v>
      </c>
      <c r="C5395" t="str">
        <f t="shared" si="459"/>
        <v>01409770631</v>
      </c>
      <c r="D5395" t="str">
        <f t="shared" si="459"/>
        <v>01409770631</v>
      </c>
      <c r="E5395" t="s">
        <v>52</v>
      </c>
      <c r="F5395">
        <v>2014</v>
      </c>
      <c r="G5395">
        <v>800855</v>
      </c>
      <c r="H5395" s="1">
        <v>41774</v>
      </c>
      <c r="I5395" s="1">
        <v>41816</v>
      </c>
      <c r="J5395" s="1">
        <v>41816</v>
      </c>
      <c r="K5395" s="1">
        <v>41906</v>
      </c>
      <c r="N5395" s="5"/>
      <c r="O5395" s="2">
        <v>7095.15</v>
      </c>
      <c r="P5395">
        <v>226</v>
      </c>
      <c r="Q5395" s="2">
        <v>1603503.9</v>
      </c>
      <c r="R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 s="1">
        <v>42382</v>
      </c>
      <c r="AC5395" t="s">
        <v>53</v>
      </c>
      <c r="AD5395" t="s">
        <v>53</v>
      </c>
      <c r="AK5395">
        <v>0</v>
      </c>
      <c r="AU5395" s="6">
        <v>42132</v>
      </c>
      <c r="AV5395" s="6">
        <v>42132</v>
      </c>
      <c r="AW5395" t="s">
        <v>54</v>
      </c>
      <c r="AX5395" t="str">
        <f t="shared" si="458"/>
        <v>FOR</v>
      </c>
      <c r="AY5395" t="s">
        <v>55</v>
      </c>
    </row>
    <row r="5396" spans="1:51" hidden="1">
      <c r="A5396">
        <v>102698</v>
      </c>
      <c r="B5396" t="s">
        <v>994</v>
      </c>
      <c r="C5396" t="str">
        <f t="shared" si="459"/>
        <v>01409770631</v>
      </c>
      <c r="D5396" t="str">
        <f t="shared" si="459"/>
        <v>01409770631</v>
      </c>
      <c r="E5396" t="s">
        <v>52</v>
      </c>
      <c r="F5396">
        <v>2014</v>
      </c>
      <c r="G5396">
        <v>800949</v>
      </c>
      <c r="H5396" s="1">
        <v>41790</v>
      </c>
      <c r="I5396" s="1">
        <v>41816</v>
      </c>
      <c r="J5396" s="1">
        <v>41816</v>
      </c>
      <c r="K5396" s="1">
        <v>41906</v>
      </c>
      <c r="N5396" s="5"/>
      <c r="O5396" s="2">
        <v>1011.36</v>
      </c>
      <c r="P5396">
        <v>226</v>
      </c>
      <c r="Q5396" s="2">
        <v>228567.36</v>
      </c>
      <c r="R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 s="1">
        <v>42382</v>
      </c>
      <c r="AC5396" t="s">
        <v>53</v>
      </c>
      <c r="AD5396" t="s">
        <v>53</v>
      </c>
      <c r="AK5396">
        <v>0</v>
      </c>
      <c r="AU5396" s="6">
        <v>42132</v>
      </c>
      <c r="AV5396" s="6">
        <v>42132</v>
      </c>
      <c r="AW5396" t="s">
        <v>54</v>
      </c>
      <c r="AX5396" t="str">
        <f t="shared" si="458"/>
        <v>FOR</v>
      </c>
      <c r="AY5396" t="s">
        <v>55</v>
      </c>
    </row>
    <row r="5397" spans="1:51" hidden="1">
      <c r="A5397">
        <v>102698</v>
      </c>
      <c r="B5397" t="s">
        <v>994</v>
      </c>
      <c r="C5397" t="str">
        <f t="shared" si="459"/>
        <v>01409770631</v>
      </c>
      <c r="D5397" t="str">
        <f t="shared" si="459"/>
        <v>01409770631</v>
      </c>
      <c r="E5397" t="s">
        <v>52</v>
      </c>
      <c r="F5397">
        <v>2014</v>
      </c>
      <c r="G5397">
        <v>801061</v>
      </c>
      <c r="H5397" s="1">
        <v>41806</v>
      </c>
      <c r="I5397" s="1">
        <v>41841</v>
      </c>
      <c r="J5397" s="1">
        <v>41841</v>
      </c>
      <c r="K5397" s="1">
        <v>41931</v>
      </c>
      <c r="N5397" s="5"/>
      <c r="O5397" s="2">
        <v>1737.28</v>
      </c>
      <c r="P5397">
        <v>232</v>
      </c>
      <c r="Q5397" s="2">
        <v>403048.96000000002</v>
      </c>
      <c r="R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 s="1">
        <v>42382</v>
      </c>
      <c r="AC5397" t="s">
        <v>53</v>
      </c>
      <c r="AD5397" t="s">
        <v>53</v>
      </c>
      <c r="AK5397">
        <v>0</v>
      </c>
      <c r="AU5397" s="6">
        <v>42163</v>
      </c>
      <c r="AV5397" s="6">
        <v>42163</v>
      </c>
      <c r="AW5397" t="s">
        <v>54</v>
      </c>
      <c r="AX5397" t="str">
        <f t="shared" si="458"/>
        <v>FOR</v>
      </c>
      <c r="AY5397" t="s">
        <v>55</v>
      </c>
    </row>
    <row r="5398" spans="1:51" hidden="1">
      <c r="A5398">
        <v>102698</v>
      </c>
      <c r="B5398" t="s">
        <v>994</v>
      </c>
      <c r="C5398" t="str">
        <f t="shared" si="459"/>
        <v>01409770631</v>
      </c>
      <c r="D5398" t="str">
        <f t="shared" si="459"/>
        <v>01409770631</v>
      </c>
      <c r="E5398" t="s">
        <v>52</v>
      </c>
      <c r="F5398">
        <v>2014</v>
      </c>
      <c r="G5398">
        <v>801062</v>
      </c>
      <c r="H5398" s="1">
        <v>41806</v>
      </c>
      <c r="I5398" s="1">
        <v>41841</v>
      </c>
      <c r="J5398" s="1">
        <v>41841</v>
      </c>
      <c r="K5398" s="1">
        <v>41931</v>
      </c>
      <c r="N5398" s="5"/>
      <c r="O5398" s="2">
        <v>6450.14</v>
      </c>
      <c r="P5398">
        <v>232</v>
      </c>
      <c r="Q5398" s="2">
        <v>1496432.48</v>
      </c>
      <c r="R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 s="1">
        <v>42382</v>
      </c>
      <c r="AC5398" t="s">
        <v>53</v>
      </c>
      <c r="AD5398" t="s">
        <v>53</v>
      </c>
      <c r="AK5398">
        <v>0</v>
      </c>
      <c r="AU5398" s="6">
        <v>42163</v>
      </c>
      <c r="AV5398" s="6">
        <v>42163</v>
      </c>
      <c r="AW5398" t="s">
        <v>54</v>
      </c>
      <c r="AX5398" t="str">
        <f t="shared" si="458"/>
        <v>FOR</v>
      </c>
      <c r="AY5398" t="s">
        <v>55</v>
      </c>
    </row>
    <row r="5399" spans="1:51" hidden="1">
      <c r="A5399">
        <v>102698</v>
      </c>
      <c r="B5399" t="s">
        <v>994</v>
      </c>
      <c r="C5399" t="str">
        <f t="shared" si="459"/>
        <v>01409770631</v>
      </c>
      <c r="D5399" t="str">
        <f t="shared" si="459"/>
        <v>01409770631</v>
      </c>
      <c r="E5399" t="s">
        <v>52</v>
      </c>
      <c r="F5399">
        <v>2014</v>
      </c>
      <c r="G5399">
        <v>801063</v>
      </c>
      <c r="H5399" s="1">
        <v>41806</v>
      </c>
      <c r="I5399" s="1">
        <v>41841</v>
      </c>
      <c r="J5399" s="1">
        <v>41841</v>
      </c>
      <c r="K5399" s="1">
        <v>41931</v>
      </c>
      <c r="N5399" s="5"/>
      <c r="O5399">
        <v>332.43</v>
      </c>
      <c r="P5399">
        <v>232</v>
      </c>
      <c r="Q5399" s="2">
        <v>77123.759999999995</v>
      </c>
      <c r="R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 s="1">
        <v>42382</v>
      </c>
      <c r="AC5399" t="s">
        <v>53</v>
      </c>
      <c r="AD5399" t="s">
        <v>53</v>
      </c>
      <c r="AK5399">
        <v>0</v>
      </c>
      <c r="AU5399" s="6">
        <v>42163</v>
      </c>
      <c r="AV5399" s="6">
        <v>42163</v>
      </c>
      <c r="AW5399" t="s">
        <v>54</v>
      </c>
      <c r="AX5399" t="str">
        <f t="shared" si="458"/>
        <v>FOR</v>
      </c>
      <c r="AY5399" t="s">
        <v>55</v>
      </c>
    </row>
    <row r="5400" spans="1:51" hidden="1">
      <c r="A5400">
        <v>102698</v>
      </c>
      <c r="B5400" t="s">
        <v>994</v>
      </c>
      <c r="C5400" t="str">
        <f t="shared" si="459"/>
        <v>01409770631</v>
      </c>
      <c r="D5400" t="str">
        <f t="shared" si="459"/>
        <v>01409770631</v>
      </c>
      <c r="E5400" t="s">
        <v>52</v>
      </c>
      <c r="F5400">
        <v>2014</v>
      </c>
      <c r="G5400">
        <v>801064</v>
      </c>
      <c r="H5400" s="1">
        <v>41806</v>
      </c>
      <c r="I5400" s="1">
        <v>41841</v>
      </c>
      <c r="J5400" s="1">
        <v>41841</v>
      </c>
      <c r="K5400" s="1">
        <v>41931</v>
      </c>
      <c r="N5400" s="5"/>
      <c r="O5400" s="2">
        <v>1737.28</v>
      </c>
      <c r="P5400">
        <v>232</v>
      </c>
      <c r="Q5400" s="2">
        <v>403048.96000000002</v>
      </c>
      <c r="R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 s="1">
        <v>42382</v>
      </c>
      <c r="AC5400" t="s">
        <v>53</v>
      </c>
      <c r="AD5400" t="s">
        <v>53</v>
      </c>
      <c r="AK5400">
        <v>0</v>
      </c>
      <c r="AU5400" s="6">
        <v>42163</v>
      </c>
      <c r="AV5400" s="6">
        <v>42163</v>
      </c>
      <c r="AW5400" t="s">
        <v>54</v>
      </c>
      <c r="AX5400" t="str">
        <f t="shared" si="458"/>
        <v>FOR</v>
      </c>
      <c r="AY5400" t="s">
        <v>55</v>
      </c>
    </row>
    <row r="5401" spans="1:51" hidden="1">
      <c r="A5401">
        <v>102698</v>
      </c>
      <c r="B5401" t="s">
        <v>994</v>
      </c>
      <c r="C5401" t="str">
        <f t="shared" si="459"/>
        <v>01409770631</v>
      </c>
      <c r="D5401" t="str">
        <f t="shared" si="459"/>
        <v>01409770631</v>
      </c>
      <c r="E5401" t="s">
        <v>52</v>
      </c>
      <c r="F5401">
        <v>2014</v>
      </c>
      <c r="G5401">
        <v>801065</v>
      </c>
      <c r="H5401" s="1">
        <v>41806</v>
      </c>
      <c r="I5401" s="1">
        <v>41841</v>
      </c>
      <c r="J5401" s="1">
        <v>41841</v>
      </c>
      <c r="K5401" s="1">
        <v>41931</v>
      </c>
      <c r="N5401" s="5"/>
      <c r="O5401" s="2">
        <v>2696.14</v>
      </c>
      <c r="P5401">
        <v>232</v>
      </c>
      <c r="Q5401" s="2">
        <v>625504.48</v>
      </c>
      <c r="R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 s="1">
        <v>42382</v>
      </c>
      <c r="AC5401" t="s">
        <v>53</v>
      </c>
      <c r="AD5401" t="s">
        <v>53</v>
      </c>
      <c r="AK5401">
        <v>0</v>
      </c>
      <c r="AU5401" s="6">
        <v>42163</v>
      </c>
      <c r="AV5401" s="6">
        <v>42163</v>
      </c>
      <c r="AW5401" t="s">
        <v>54</v>
      </c>
      <c r="AX5401" t="str">
        <f t="shared" si="458"/>
        <v>FOR</v>
      </c>
      <c r="AY5401" t="s">
        <v>55</v>
      </c>
    </row>
    <row r="5402" spans="1:51" hidden="1">
      <c r="A5402">
        <v>102698</v>
      </c>
      <c r="B5402" t="s">
        <v>994</v>
      </c>
      <c r="C5402" t="str">
        <f t="shared" si="459"/>
        <v>01409770631</v>
      </c>
      <c r="D5402" t="str">
        <f t="shared" si="459"/>
        <v>01409770631</v>
      </c>
      <c r="E5402" t="s">
        <v>52</v>
      </c>
      <c r="F5402">
        <v>2014</v>
      </c>
      <c r="G5402">
        <v>801298</v>
      </c>
      <c r="H5402" s="1">
        <v>41835</v>
      </c>
      <c r="I5402" s="1">
        <v>41886</v>
      </c>
      <c r="J5402" s="1">
        <v>41886</v>
      </c>
      <c r="K5402" s="1">
        <v>41976</v>
      </c>
      <c r="N5402" s="5"/>
      <c r="O5402" s="2">
        <v>6080.48</v>
      </c>
      <c r="P5402">
        <v>210</v>
      </c>
      <c r="Q5402" s="2">
        <v>1276900.8</v>
      </c>
      <c r="R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 s="1">
        <v>42382</v>
      </c>
      <c r="AC5402" t="s">
        <v>53</v>
      </c>
      <c r="AD5402" t="s">
        <v>53</v>
      </c>
      <c r="AK5402">
        <v>0</v>
      </c>
      <c r="AU5402" s="6">
        <v>42186</v>
      </c>
      <c r="AV5402" s="6">
        <v>42186</v>
      </c>
      <c r="AW5402" t="s">
        <v>54</v>
      </c>
      <c r="AX5402" t="str">
        <f t="shared" si="458"/>
        <v>FOR</v>
      </c>
      <c r="AY5402" t="s">
        <v>55</v>
      </c>
    </row>
    <row r="5403" spans="1:51" hidden="1">
      <c r="A5403">
        <v>102698</v>
      </c>
      <c r="B5403" t="s">
        <v>994</v>
      </c>
      <c r="C5403" t="str">
        <f t="shared" si="459"/>
        <v>01409770631</v>
      </c>
      <c r="D5403" t="str">
        <f t="shared" si="459"/>
        <v>01409770631</v>
      </c>
      <c r="E5403" t="s">
        <v>52</v>
      </c>
      <c r="F5403">
        <v>2014</v>
      </c>
      <c r="G5403">
        <v>801299</v>
      </c>
      <c r="H5403" s="1">
        <v>41835</v>
      </c>
      <c r="I5403" s="1">
        <v>41886</v>
      </c>
      <c r="J5403" s="1">
        <v>41886</v>
      </c>
      <c r="K5403" s="1">
        <v>41976</v>
      </c>
      <c r="N5403" s="5"/>
      <c r="O5403" s="2">
        <v>8796.11</v>
      </c>
      <c r="P5403">
        <v>210</v>
      </c>
      <c r="Q5403" s="2">
        <v>1847183.1</v>
      </c>
      <c r="R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 s="1">
        <v>42382</v>
      </c>
      <c r="AC5403" t="s">
        <v>53</v>
      </c>
      <c r="AD5403" t="s">
        <v>53</v>
      </c>
      <c r="AK5403">
        <v>0</v>
      </c>
      <c r="AU5403" s="6">
        <v>42186</v>
      </c>
      <c r="AV5403" s="6">
        <v>42186</v>
      </c>
      <c r="AW5403" t="s">
        <v>54</v>
      </c>
      <c r="AX5403" t="str">
        <f t="shared" si="458"/>
        <v>FOR</v>
      </c>
      <c r="AY5403" t="s">
        <v>55</v>
      </c>
    </row>
    <row r="5404" spans="1:51" hidden="1">
      <c r="A5404">
        <v>102698</v>
      </c>
      <c r="B5404" t="s">
        <v>994</v>
      </c>
      <c r="C5404" t="str">
        <f t="shared" si="459"/>
        <v>01409770631</v>
      </c>
      <c r="D5404" t="str">
        <f t="shared" si="459"/>
        <v>01409770631</v>
      </c>
      <c r="E5404" t="s">
        <v>52</v>
      </c>
      <c r="F5404">
        <v>2014</v>
      </c>
      <c r="G5404">
        <v>801300</v>
      </c>
      <c r="H5404" s="1">
        <v>41835</v>
      </c>
      <c r="I5404" s="1">
        <v>41886</v>
      </c>
      <c r="J5404" s="1">
        <v>41886</v>
      </c>
      <c r="K5404" s="1">
        <v>41976</v>
      </c>
      <c r="N5404" s="5"/>
      <c r="O5404">
        <v>953.54</v>
      </c>
      <c r="P5404">
        <v>210</v>
      </c>
      <c r="Q5404" s="2">
        <v>200243.4</v>
      </c>
      <c r="R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 s="1">
        <v>42382</v>
      </c>
      <c r="AC5404" t="s">
        <v>53</v>
      </c>
      <c r="AD5404" t="s">
        <v>53</v>
      </c>
      <c r="AK5404">
        <v>0</v>
      </c>
      <c r="AU5404" s="6">
        <v>42186</v>
      </c>
      <c r="AV5404" s="6">
        <v>42186</v>
      </c>
      <c r="AW5404" t="s">
        <v>54</v>
      </c>
      <c r="AX5404" t="str">
        <f t="shared" si="458"/>
        <v>FOR</v>
      </c>
      <c r="AY5404" t="s">
        <v>55</v>
      </c>
    </row>
    <row r="5405" spans="1:51" hidden="1">
      <c r="A5405">
        <v>102698</v>
      </c>
      <c r="B5405" t="s">
        <v>994</v>
      </c>
      <c r="C5405" t="str">
        <f t="shared" si="459"/>
        <v>01409770631</v>
      </c>
      <c r="D5405" t="str">
        <f t="shared" si="459"/>
        <v>01409770631</v>
      </c>
      <c r="E5405" t="s">
        <v>52</v>
      </c>
      <c r="F5405">
        <v>2014</v>
      </c>
      <c r="G5405">
        <v>801301</v>
      </c>
      <c r="H5405" s="1">
        <v>41835</v>
      </c>
      <c r="I5405" s="1">
        <v>41886</v>
      </c>
      <c r="J5405" s="1">
        <v>41886</v>
      </c>
      <c r="K5405" s="1">
        <v>41976</v>
      </c>
      <c r="N5405" s="5"/>
      <c r="O5405">
        <v>780.35</v>
      </c>
      <c r="P5405">
        <v>210</v>
      </c>
      <c r="Q5405" s="2">
        <v>163873.5</v>
      </c>
      <c r="R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 s="1">
        <v>42382</v>
      </c>
      <c r="AC5405" t="s">
        <v>53</v>
      </c>
      <c r="AD5405" t="s">
        <v>53</v>
      </c>
      <c r="AK5405">
        <v>0</v>
      </c>
      <c r="AU5405" s="6">
        <v>42186</v>
      </c>
      <c r="AV5405" s="6">
        <v>42186</v>
      </c>
      <c r="AW5405" t="s">
        <v>54</v>
      </c>
      <c r="AX5405" t="str">
        <f t="shared" si="458"/>
        <v>FOR</v>
      </c>
      <c r="AY5405" t="s">
        <v>55</v>
      </c>
    </row>
    <row r="5406" spans="1:51" hidden="1">
      <c r="A5406">
        <v>102698</v>
      </c>
      <c r="B5406" t="s">
        <v>994</v>
      </c>
      <c r="C5406" t="str">
        <f t="shared" si="459"/>
        <v>01409770631</v>
      </c>
      <c r="D5406" t="str">
        <f t="shared" si="459"/>
        <v>01409770631</v>
      </c>
      <c r="E5406" t="s">
        <v>52</v>
      </c>
      <c r="F5406">
        <v>2014</v>
      </c>
      <c r="G5406">
        <v>801302</v>
      </c>
      <c r="H5406" s="1">
        <v>41835</v>
      </c>
      <c r="I5406" s="1">
        <v>41886</v>
      </c>
      <c r="J5406" s="1">
        <v>41886</v>
      </c>
      <c r="K5406" s="1">
        <v>41976</v>
      </c>
      <c r="N5406" s="5"/>
      <c r="O5406">
        <v>129.27000000000001</v>
      </c>
      <c r="P5406">
        <v>210</v>
      </c>
      <c r="Q5406" s="2">
        <v>27146.7</v>
      </c>
      <c r="R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 s="1">
        <v>42382</v>
      </c>
      <c r="AC5406" t="s">
        <v>53</v>
      </c>
      <c r="AD5406" t="s">
        <v>53</v>
      </c>
      <c r="AK5406">
        <v>0</v>
      </c>
      <c r="AU5406" s="6">
        <v>42186</v>
      </c>
      <c r="AV5406" s="6">
        <v>42186</v>
      </c>
      <c r="AW5406" t="s">
        <v>54</v>
      </c>
      <c r="AX5406" t="str">
        <f t="shared" si="458"/>
        <v>FOR</v>
      </c>
      <c r="AY5406" t="s">
        <v>55</v>
      </c>
    </row>
    <row r="5407" spans="1:51" hidden="1">
      <c r="A5407">
        <v>102698</v>
      </c>
      <c r="B5407" t="s">
        <v>994</v>
      </c>
      <c r="C5407" t="str">
        <f t="shared" si="459"/>
        <v>01409770631</v>
      </c>
      <c r="D5407" t="str">
        <f t="shared" si="459"/>
        <v>01409770631</v>
      </c>
      <c r="E5407" t="s">
        <v>52</v>
      </c>
      <c r="F5407">
        <v>2014</v>
      </c>
      <c r="G5407">
        <v>801303</v>
      </c>
      <c r="H5407" s="1">
        <v>41835</v>
      </c>
      <c r="I5407" s="1">
        <v>41886</v>
      </c>
      <c r="J5407" s="1">
        <v>41886</v>
      </c>
      <c r="K5407" s="1">
        <v>41976</v>
      </c>
      <c r="N5407" s="5"/>
      <c r="O5407" s="2">
        <v>7740.17</v>
      </c>
      <c r="P5407">
        <v>210</v>
      </c>
      <c r="Q5407" s="2">
        <v>1625435.7</v>
      </c>
      <c r="R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 s="1">
        <v>42382</v>
      </c>
      <c r="AC5407" t="s">
        <v>53</v>
      </c>
      <c r="AD5407" t="s">
        <v>53</v>
      </c>
      <c r="AK5407">
        <v>0</v>
      </c>
      <c r="AU5407" s="6">
        <v>42186</v>
      </c>
      <c r="AV5407" s="6">
        <v>42186</v>
      </c>
      <c r="AW5407" t="s">
        <v>54</v>
      </c>
      <c r="AX5407" t="str">
        <f t="shared" si="458"/>
        <v>FOR</v>
      </c>
      <c r="AY5407" t="s">
        <v>55</v>
      </c>
    </row>
    <row r="5408" spans="1:51" hidden="1">
      <c r="A5408">
        <v>102698</v>
      </c>
      <c r="B5408" t="s">
        <v>994</v>
      </c>
      <c r="C5408" t="str">
        <f t="shared" si="459"/>
        <v>01409770631</v>
      </c>
      <c r="D5408" t="str">
        <f t="shared" si="459"/>
        <v>01409770631</v>
      </c>
      <c r="E5408" t="s">
        <v>52</v>
      </c>
      <c r="F5408">
        <v>2014</v>
      </c>
      <c r="G5408">
        <v>801304</v>
      </c>
      <c r="H5408" s="1">
        <v>41835</v>
      </c>
      <c r="I5408" s="1">
        <v>41886</v>
      </c>
      <c r="J5408" s="1">
        <v>41886</v>
      </c>
      <c r="K5408" s="1">
        <v>41976</v>
      </c>
      <c r="N5408" s="5"/>
      <c r="O5408" s="2">
        <v>1119.81</v>
      </c>
      <c r="P5408">
        <v>210</v>
      </c>
      <c r="Q5408" s="2">
        <v>235160.1</v>
      </c>
      <c r="R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 s="1">
        <v>42382</v>
      </c>
      <c r="AC5408" t="s">
        <v>53</v>
      </c>
      <c r="AD5408" t="s">
        <v>53</v>
      </c>
      <c r="AK5408">
        <v>0</v>
      </c>
      <c r="AU5408" s="6">
        <v>42186</v>
      </c>
      <c r="AV5408" s="6">
        <v>42186</v>
      </c>
      <c r="AW5408" t="s">
        <v>54</v>
      </c>
      <c r="AX5408" t="str">
        <f t="shared" si="458"/>
        <v>FOR</v>
      </c>
      <c r="AY5408" t="s">
        <v>55</v>
      </c>
    </row>
    <row r="5409" spans="1:51" hidden="1">
      <c r="A5409">
        <v>102698</v>
      </c>
      <c r="B5409" t="s">
        <v>994</v>
      </c>
      <c r="C5409" t="str">
        <f t="shared" si="459"/>
        <v>01409770631</v>
      </c>
      <c r="D5409" t="str">
        <f t="shared" si="459"/>
        <v>01409770631</v>
      </c>
      <c r="E5409" t="s">
        <v>52</v>
      </c>
      <c r="F5409">
        <v>2014</v>
      </c>
      <c r="G5409">
        <v>801305</v>
      </c>
      <c r="H5409" s="1">
        <v>41835</v>
      </c>
      <c r="I5409" s="1">
        <v>41886</v>
      </c>
      <c r="J5409" s="1">
        <v>41886</v>
      </c>
      <c r="K5409" s="1">
        <v>41976</v>
      </c>
      <c r="N5409" s="5"/>
      <c r="O5409" s="2">
        <v>5611.82</v>
      </c>
      <c r="P5409">
        <v>210</v>
      </c>
      <c r="Q5409" s="2">
        <v>1178482.2</v>
      </c>
      <c r="R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 s="1">
        <v>42382</v>
      </c>
      <c r="AC5409" t="s">
        <v>53</v>
      </c>
      <c r="AD5409" t="s">
        <v>53</v>
      </c>
      <c r="AK5409">
        <v>0</v>
      </c>
      <c r="AU5409" s="6">
        <v>42186</v>
      </c>
      <c r="AV5409" s="6">
        <v>42186</v>
      </c>
      <c r="AW5409" t="s">
        <v>54</v>
      </c>
      <c r="AX5409" t="str">
        <f t="shared" si="458"/>
        <v>FOR</v>
      </c>
      <c r="AY5409" t="s">
        <v>55</v>
      </c>
    </row>
    <row r="5410" spans="1:51" hidden="1">
      <c r="A5410">
        <v>102698</v>
      </c>
      <c r="B5410" t="s">
        <v>994</v>
      </c>
      <c r="C5410" t="str">
        <f t="shared" si="459"/>
        <v>01409770631</v>
      </c>
      <c r="D5410" t="str">
        <f t="shared" si="459"/>
        <v>01409770631</v>
      </c>
      <c r="E5410" t="s">
        <v>52</v>
      </c>
      <c r="F5410">
        <v>2014</v>
      </c>
      <c r="G5410">
        <v>801306</v>
      </c>
      <c r="H5410" s="1">
        <v>41835</v>
      </c>
      <c r="I5410" s="1">
        <v>41886</v>
      </c>
      <c r="J5410" s="1">
        <v>41886</v>
      </c>
      <c r="K5410" s="1">
        <v>41976</v>
      </c>
      <c r="N5410" s="5"/>
      <c r="O5410">
        <v>869.95</v>
      </c>
      <c r="P5410">
        <v>210</v>
      </c>
      <c r="Q5410" s="2">
        <v>182689.5</v>
      </c>
      <c r="R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 s="1">
        <v>42382</v>
      </c>
      <c r="AC5410" t="s">
        <v>53</v>
      </c>
      <c r="AD5410" t="s">
        <v>53</v>
      </c>
      <c r="AK5410">
        <v>0</v>
      </c>
      <c r="AU5410" s="6">
        <v>42186</v>
      </c>
      <c r="AV5410" s="6">
        <v>42186</v>
      </c>
      <c r="AW5410" t="s">
        <v>54</v>
      </c>
      <c r="AX5410" t="str">
        <f t="shared" si="458"/>
        <v>FOR</v>
      </c>
      <c r="AY5410" t="s">
        <v>55</v>
      </c>
    </row>
    <row r="5411" spans="1:51" hidden="1">
      <c r="A5411">
        <v>102698</v>
      </c>
      <c r="B5411" t="s">
        <v>994</v>
      </c>
      <c r="C5411" t="str">
        <f t="shared" si="459"/>
        <v>01409770631</v>
      </c>
      <c r="D5411" t="str">
        <f t="shared" si="459"/>
        <v>01409770631</v>
      </c>
      <c r="E5411" t="s">
        <v>52</v>
      </c>
      <c r="F5411">
        <v>2014</v>
      </c>
      <c r="G5411">
        <v>801427</v>
      </c>
      <c r="H5411" s="1">
        <v>41851</v>
      </c>
      <c r="I5411" s="1">
        <v>41886</v>
      </c>
      <c r="J5411" s="1">
        <v>41886</v>
      </c>
      <c r="K5411" s="1">
        <v>41976</v>
      </c>
      <c r="N5411" s="5"/>
      <c r="O5411" s="2">
        <v>8385.18</v>
      </c>
      <c r="P5411">
        <v>210</v>
      </c>
      <c r="Q5411" s="2">
        <v>1760887.8</v>
      </c>
      <c r="R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 s="1">
        <v>42382</v>
      </c>
      <c r="AC5411" t="s">
        <v>53</v>
      </c>
      <c r="AD5411" t="s">
        <v>53</v>
      </c>
      <c r="AK5411">
        <v>0</v>
      </c>
      <c r="AU5411" s="6">
        <v>42186</v>
      </c>
      <c r="AV5411" s="6">
        <v>42186</v>
      </c>
      <c r="AW5411" t="s">
        <v>54</v>
      </c>
      <c r="AX5411" t="str">
        <f t="shared" si="458"/>
        <v>FOR</v>
      </c>
      <c r="AY5411" t="s">
        <v>55</v>
      </c>
    </row>
    <row r="5412" spans="1:51" hidden="1">
      <c r="A5412">
        <v>102698</v>
      </c>
      <c r="B5412" t="s">
        <v>994</v>
      </c>
      <c r="C5412" t="str">
        <f t="shared" si="459"/>
        <v>01409770631</v>
      </c>
      <c r="D5412" t="str">
        <f t="shared" si="459"/>
        <v>01409770631</v>
      </c>
      <c r="E5412" t="s">
        <v>52</v>
      </c>
      <c r="F5412">
        <v>2014</v>
      </c>
      <c r="G5412">
        <v>801428</v>
      </c>
      <c r="H5412" s="1">
        <v>41851</v>
      </c>
      <c r="I5412" s="1">
        <v>41886</v>
      </c>
      <c r="J5412" s="1">
        <v>41886</v>
      </c>
      <c r="K5412" s="1">
        <v>41976</v>
      </c>
      <c r="N5412" s="5"/>
      <c r="O5412">
        <v>431.04</v>
      </c>
      <c r="P5412">
        <v>210</v>
      </c>
      <c r="Q5412" s="2">
        <v>90518.399999999994</v>
      </c>
      <c r="R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 s="1">
        <v>42382</v>
      </c>
      <c r="AC5412" t="s">
        <v>53</v>
      </c>
      <c r="AD5412" t="s">
        <v>53</v>
      </c>
      <c r="AK5412">
        <v>0</v>
      </c>
      <c r="AU5412" s="6">
        <v>42186</v>
      </c>
      <c r="AV5412" s="6">
        <v>42186</v>
      </c>
      <c r="AW5412" t="s">
        <v>54</v>
      </c>
      <c r="AX5412" t="str">
        <f t="shared" si="458"/>
        <v>FOR</v>
      </c>
      <c r="AY5412" t="s">
        <v>55</v>
      </c>
    </row>
    <row r="5413" spans="1:51" hidden="1">
      <c r="A5413">
        <v>102698</v>
      </c>
      <c r="B5413" t="s">
        <v>994</v>
      </c>
      <c r="C5413" t="str">
        <f t="shared" ref="C5413:D5432" si="460">"01409770631"</f>
        <v>01409770631</v>
      </c>
      <c r="D5413" t="str">
        <f t="shared" si="460"/>
        <v>01409770631</v>
      </c>
      <c r="E5413" t="s">
        <v>52</v>
      </c>
      <c r="F5413">
        <v>2014</v>
      </c>
      <c r="G5413">
        <v>801429</v>
      </c>
      <c r="H5413" s="1">
        <v>41851</v>
      </c>
      <c r="I5413" s="1">
        <v>41886</v>
      </c>
      <c r="J5413" s="1">
        <v>41886</v>
      </c>
      <c r="K5413" s="1">
        <v>41976</v>
      </c>
      <c r="N5413" s="5"/>
      <c r="O5413">
        <v>659.69</v>
      </c>
      <c r="P5413">
        <v>210</v>
      </c>
      <c r="Q5413" s="2">
        <v>138534.9</v>
      </c>
      <c r="R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 s="1">
        <v>42382</v>
      </c>
      <c r="AC5413" t="s">
        <v>53</v>
      </c>
      <c r="AD5413" t="s">
        <v>53</v>
      </c>
      <c r="AK5413">
        <v>0</v>
      </c>
      <c r="AU5413" s="6">
        <v>42186</v>
      </c>
      <c r="AV5413" s="6">
        <v>42186</v>
      </c>
      <c r="AW5413" t="s">
        <v>54</v>
      </c>
      <c r="AX5413" t="str">
        <f t="shared" si="458"/>
        <v>FOR</v>
      </c>
      <c r="AY5413" t="s">
        <v>55</v>
      </c>
    </row>
    <row r="5414" spans="1:51" hidden="1">
      <c r="A5414">
        <v>102698</v>
      </c>
      <c r="B5414" t="s">
        <v>994</v>
      </c>
      <c r="C5414" t="str">
        <f t="shared" si="460"/>
        <v>01409770631</v>
      </c>
      <c r="D5414" t="str">
        <f t="shared" si="460"/>
        <v>01409770631</v>
      </c>
      <c r="E5414" t="s">
        <v>52</v>
      </c>
      <c r="F5414">
        <v>2014</v>
      </c>
      <c r="G5414">
        <v>801430</v>
      </c>
      <c r="H5414" s="1">
        <v>41851</v>
      </c>
      <c r="I5414" s="1">
        <v>41886</v>
      </c>
      <c r="J5414" s="1">
        <v>41886</v>
      </c>
      <c r="K5414" s="1">
        <v>41976</v>
      </c>
      <c r="N5414" s="5"/>
      <c r="O5414" s="2">
        <v>4840.96</v>
      </c>
      <c r="P5414">
        <v>210</v>
      </c>
      <c r="Q5414" s="2">
        <v>1016601.6</v>
      </c>
      <c r="R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 s="1">
        <v>42382</v>
      </c>
      <c r="AC5414" t="s">
        <v>53</v>
      </c>
      <c r="AD5414" t="s">
        <v>53</v>
      </c>
      <c r="AK5414">
        <v>0</v>
      </c>
      <c r="AU5414" s="6">
        <v>42186</v>
      </c>
      <c r="AV5414" s="6">
        <v>42186</v>
      </c>
      <c r="AW5414" t="s">
        <v>54</v>
      </c>
      <c r="AX5414" t="str">
        <f t="shared" si="458"/>
        <v>FOR</v>
      </c>
      <c r="AY5414" t="s">
        <v>55</v>
      </c>
    </row>
    <row r="5415" spans="1:51" hidden="1">
      <c r="A5415">
        <v>102698</v>
      </c>
      <c r="B5415" t="s">
        <v>994</v>
      </c>
      <c r="C5415" t="str">
        <f t="shared" si="460"/>
        <v>01409770631</v>
      </c>
      <c r="D5415" t="str">
        <f t="shared" si="460"/>
        <v>01409770631</v>
      </c>
      <c r="E5415" t="s">
        <v>52</v>
      </c>
      <c r="F5415">
        <v>2014</v>
      </c>
      <c r="G5415">
        <v>801431</v>
      </c>
      <c r="H5415" s="1">
        <v>41851</v>
      </c>
      <c r="I5415" s="1">
        <v>41886</v>
      </c>
      <c r="J5415" s="1">
        <v>41886</v>
      </c>
      <c r="K5415" s="1">
        <v>41976</v>
      </c>
      <c r="N5415" s="5"/>
      <c r="O5415">
        <v>359.63</v>
      </c>
      <c r="P5415">
        <v>210</v>
      </c>
      <c r="Q5415" s="2">
        <v>75522.3</v>
      </c>
      <c r="R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 s="1">
        <v>42382</v>
      </c>
      <c r="AC5415" t="s">
        <v>53</v>
      </c>
      <c r="AD5415" t="s">
        <v>53</v>
      </c>
      <c r="AK5415">
        <v>0</v>
      </c>
      <c r="AU5415" s="6">
        <v>42186</v>
      </c>
      <c r="AV5415" s="6">
        <v>42186</v>
      </c>
      <c r="AW5415" t="s">
        <v>54</v>
      </c>
      <c r="AX5415" t="str">
        <f t="shared" si="458"/>
        <v>FOR</v>
      </c>
      <c r="AY5415" t="s">
        <v>55</v>
      </c>
    </row>
    <row r="5416" spans="1:51" hidden="1">
      <c r="A5416">
        <v>102698</v>
      </c>
      <c r="B5416" t="s">
        <v>994</v>
      </c>
      <c r="C5416" t="str">
        <f t="shared" si="460"/>
        <v>01409770631</v>
      </c>
      <c r="D5416" t="str">
        <f t="shared" si="460"/>
        <v>01409770631</v>
      </c>
      <c r="E5416" t="s">
        <v>52</v>
      </c>
      <c r="F5416">
        <v>2014</v>
      </c>
      <c r="G5416">
        <v>801432</v>
      </c>
      <c r="H5416" s="1">
        <v>41851</v>
      </c>
      <c r="I5416" s="1">
        <v>41886</v>
      </c>
      <c r="J5416" s="1">
        <v>41886</v>
      </c>
      <c r="K5416" s="1">
        <v>41976</v>
      </c>
      <c r="N5416" s="5"/>
      <c r="O5416" s="2">
        <v>5211.84</v>
      </c>
      <c r="P5416">
        <v>210</v>
      </c>
      <c r="Q5416" s="2">
        <v>1094486.3999999999</v>
      </c>
      <c r="R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 s="1">
        <v>42382</v>
      </c>
      <c r="AC5416" t="s">
        <v>53</v>
      </c>
      <c r="AD5416" t="s">
        <v>53</v>
      </c>
      <c r="AK5416">
        <v>0</v>
      </c>
      <c r="AU5416" s="6">
        <v>42186</v>
      </c>
      <c r="AV5416" s="6">
        <v>42186</v>
      </c>
      <c r="AW5416" t="s">
        <v>54</v>
      </c>
      <c r="AX5416" t="str">
        <f t="shared" si="458"/>
        <v>FOR</v>
      </c>
      <c r="AY5416" t="s">
        <v>55</v>
      </c>
    </row>
    <row r="5417" spans="1:51" hidden="1">
      <c r="A5417">
        <v>102698</v>
      </c>
      <c r="B5417" t="s">
        <v>994</v>
      </c>
      <c r="C5417" t="str">
        <f t="shared" si="460"/>
        <v>01409770631</v>
      </c>
      <c r="D5417" t="str">
        <f t="shared" si="460"/>
        <v>01409770631</v>
      </c>
      <c r="E5417" t="s">
        <v>52</v>
      </c>
      <c r="F5417">
        <v>2014</v>
      </c>
      <c r="G5417">
        <v>801491</v>
      </c>
      <c r="H5417" s="1">
        <v>41851</v>
      </c>
      <c r="I5417" s="1">
        <v>41886</v>
      </c>
      <c r="J5417" s="1">
        <v>41886</v>
      </c>
      <c r="K5417" s="1">
        <v>41976</v>
      </c>
      <c r="N5417" s="5"/>
      <c r="O5417" s="2">
        <v>3225.07</v>
      </c>
      <c r="P5417">
        <v>210</v>
      </c>
      <c r="Q5417" s="2">
        <v>677264.7</v>
      </c>
      <c r="R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 s="1">
        <v>42382</v>
      </c>
      <c r="AC5417" t="s">
        <v>53</v>
      </c>
      <c r="AD5417" t="s">
        <v>53</v>
      </c>
      <c r="AK5417">
        <v>0</v>
      </c>
      <c r="AU5417" s="6">
        <v>42186</v>
      </c>
      <c r="AV5417" s="6">
        <v>42186</v>
      </c>
      <c r="AW5417" t="s">
        <v>54</v>
      </c>
      <c r="AX5417" t="str">
        <f t="shared" si="458"/>
        <v>FOR</v>
      </c>
      <c r="AY5417" t="s">
        <v>55</v>
      </c>
    </row>
    <row r="5418" spans="1:51" hidden="1">
      <c r="A5418">
        <v>102698</v>
      </c>
      <c r="B5418" t="s">
        <v>994</v>
      </c>
      <c r="C5418" t="str">
        <f t="shared" si="460"/>
        <v>01409770631</v>
      </c>
      <c r="D5418" t="str">
        <f t="shared" si="460"/>
        <v>01409770631</v>
      </c>
      <c r="E5418" t="s">
        <v>52</v>
      </c>
      <c r="F5418">
        <v>2014</v>
      </c>
      <c r="G5418">
        <v>801492</v>
      </c>
      <c r="H5418" s="1">
        <v>41851</v>
      </c>
      <c r="I5418" s="1">
        <v>41886</v>
      </c>
      <c r="J5418" s="1">
        <v>41886</v>
      </c>
      <c r="K5418" s="1">
        <v>41976</v>
      </c>
      <c r="N5418" s="5"/>
      <c r="O5418">
        <v>110.81</v>
      </c>
      <c r="P5418">
        <v>210</v>
      </c>
      <c r="Q5418" s="2">
        <v>23270.1</v>
      </c>
      <c r="R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 s="1">
        <v>42382</v>
      </c>
      <c r="AC5418" t="s">
        <v>53</v>
      </c>
      <c r="AD5418" t="s">
        <v>53</v>
      </c>
      <c r="AK5418">
        <v>0</v>
      </c>
      <c r="AU5418" s="6">
        <v>42186</v>
      </c>
      <c r="AV5418" s="6">
        <v>42186</v>
      </c>
      <c r="AW5418" t="s">
        <v>54</v>
      </c>
      <c r="AX5418" t="str">
        <f t="shared" si="458"/>
        <v>FOR</v>
      </c>
      <c r="AY5418" t="s">
        <v>55</v>
      </c>
    </row>
    <row r="5419" spans="1:51" hidden="1">
      <c r="A5419">
        <v>102698</v>
      </c>
      <c r="B5419" t="s">
        <v>994</v>
      </c>
      <c r="C5419" t="str">
        <f t="shared" si="460"/>
        <v>01409770631</v>
      </c>
      <c r="D5419" t="str">
        <f t="shared" si="460"/>
        <v>01409770631</v>
      </c>
      <c r="E5419" t="s">
        <v>52</v>
      </c>
      <c r="F5419">
        <v>2014</v>
      </c>
      <c r="G5419">
        <v>801554</v>
      </c>
      <c r="H5419" s="1">
        <v>41881</v>
      </c>
      <c r="I5419" s="1">
        <v>41899</v>
      </c>
      <c r="J5419" s="1">
        <v>41899</v>
      </c>
      <c r="K5419" s="1">
        <v>41989</v>
      </c>
      <c r="N5419" s="5"/>
      <c r="O5419">
        <v>142.37</v>
      </c>
      <c r="P5419">
        <v>197</v>
      </c>
      <c r="Q5419" s="2">
        <v>28046.89</v>
      </c>
      <c r="R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 s="1">
        <v>42382</v>
      </c>
      <c r="AC5419" t="s">
        <v>53</v>
      </c>
      <c r="AD5419" t="s">
        <v>53</v>
      </c>
      <c r="AK5419">
        <v>0</v>
      </c>
      <c r="AU5419" s="6">
        <v>42186</v>
      </c>
      <c r="AV5419" s="6">
        <v>42186</v>
      </c>
      <c r="AW5419" t="s">
        <v>54</v>
      </c>
      <c r="AX5419" t="str">
        <f t="shared" si="458"/>
        <v>FOR</v>
      </c>
      <c r="AY5419" t="s">
        <v>55</v>
      </c>
    </row>
    <row r="5420" spans="1:51" hidden="1">
      <c r="A5420">
        <v>102698</v>
      </c>
      <c r="B5420" t="s">
        <v>994</v>
      </c>
      <c r="C5420" t="str">
        <f t="shared" si="460"/>
        <v>01409770631</v>
      </c>
      <c r="D5420" t="str">
        <f t="shared" si="460"/>
        <v>01409770631</v>
      </c>
      <c r="E5420" t="s">
        <v>52</v>
      </c>
      <c r="F5420">
        <v>2014</v>
      </c>
      <c r="G5420">
        <v>801555</v>
      </c>
      <c r="H5420" s="1">
        <v>41881</v>
      </c>
      <c r="I5420" s="1">
        <v>41899</v>
      </c>
      <c r="J5420" s="1">
        <v>41899</v>
      </c>
      <c r="K5420" s="1">
        <v>41989</v>
      </c>
      <c r="N5420" s="5"/>
      <c r="O5420" s="2">
        <v>3474.56</v>
      </c>
      <c r="P5420">
        <v>197</v>
      </c>
      <c r="Q5420" s="2">
        <v>684488.32</v>
      </c>
      <c r="R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 s="1">
        <v>42382</v>
      </c>
      <c r="AC5420" t="s">
        <v>53</v>
      </c>
      <c r="AD5420" t="s">
        <v>53</v>
      </c>
      <c r="AK5420">
        <v>0</v>
      </c>
      <c r="AU5420" s="6">
        <v>42186</v>
      </c>
      <c r="AV5420" s="6">
        <v>42186</v>
      </c>
      <c r="AW5420" t="s">
        <v>54</v>
      </c>
      <c r="AX5420" t="str">
        <f t="shared" si="458"/>
        <v>FOR</v>
      </c>
      <c r="AY5420" t="s">
        <v>55</v>
      </c>
    </row>
    <row r="5421" spans="1:51" hidden="1">
      <c r="A5421">
        <v>102698</v>
      </c>
      <c r="B5421" t="s">
        <v>994</v>
      </c>
      <c r="C5421" t="str">
        <f t="shared" si="460"/>
        <v>01409770631</v>
      </c>
      <c r="D5421" t="str">
        <f t="shared" si="460"/>
        <v>01409770631</v>
      </c>
      <c r="E5421" t="s">
        <v>52</v>
      </c>
      <c r="F5421">
        <v>2014</v>
      </c>
      <c r="G5421">
        <v>801556</v>
      </c>
      <c r="H5421" s="1">
        <v>41881</v>
      </c>
      <c r="I5421" s="1">
        <v>41899</v>
      </c>
      <c r="J5421" s="1">
        <v>41899</v>
      </c>
      <c r="K5421" s="1">
        <v>41989</v>
      </c>
      <c r="N5421" s="5"/>
      <c r="O5421">
        <v>142.37</v>
      </c>
      <c r="P5421">
        <v>197</v>
      </c>
      <c r="Q5421" s="2">
        <v>28046.89</v>
      </c>
      <c r="R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 s="1">
        <v>42382</v>
      </c>
      <c r="AC5421" t="s">
        <v>53</v>
      </c>
      <c r="AD5421" t="s">
        <v>53</v>
      </c>
      <c r="AK5421">
        <v>0</v>
      </c>
      <c r="AU5421" s="6">
        <v>42186</v>
      </c>
      <c r="AV5421" s="6">
        <v>42186</v>
      </c>
      <c r="AW5421" t="s">
        <v>54</v>
      </c>
      <c r="AX5421" t="str">
        <f t="shared" si="458"/>
        <v>FOR</v>
      </c>
      <c r="AY5421" t="s">
        <v>55</v>
      </c>
    </row>
    <row r="5422" spans="1:51" hidden="1">
      <c r="A5422">
        <v>102698</v>
      </c>
      <c r="B5422" t="s">
        <v>994</v>
      </c>
      <c r="C5422" t="str">
        <f t="shared" si="460"/>
        <v>01409770631</v>
      </c>
      <c r="D5422" t="str">
        <f t="shared" si="460"/>
        <v>01409770631</v>
      </c>
      <c r="E5422" t="s">
        <v>52</v>
      </c>
      <c r="F5422">
        <v>2014</v>
      </c>
      <c r="G5422">
        <v>801557</v>
      </c>
      <c r="H5422" s="1">
        <v>41881</v>
      </c>
      <c r="I5422" s="1">
        <v>41899</v>
      </c>
      <c r="J5422" s="1">
        <v>41899</v>
      </c>
      <c r="K5422" s="1">
        <v>41989</v>
      </c>
      <c r="N5422" s="5"/>
      <c r="O5422">
        <v>142.37</v>
      </c>
      <c r="P5422">
        <v>197</v>
      </c>
      <c r="Q5422" s="2">
        <v>28046.89</v>
      </c>
      <c r="R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 s="1">
        <v>42382</v>
      </c>
      <c r="AC5422" t="s">
        <v>53</v>
      </c>
      <c r="AD5422" t="s">
        <v>53</v>
      </c>
      <c r="AK5422">
        <v>0</v>
      </c>
      <c r="AU5422" s="6">
        <v>42186</v>
      </c>
      <c r="AV5422" s="6">
        <v>42186</v>
      </c>
      <c r="AW5422" t="s">
        <v>54</v>
      </c>
      <c r="AX5422" t="str">
        <f t="shared" si="458"/>
        <v>FOR</v>
      </c>
      <c r="AY5422" t="s">
        <v>55</v>
      </c>
    </row>
    <row r="5423" spans="1:51" hidden="1">
      <c r="A5423">
        <v>102698</v>
      </c>
      <c r="B5423" t="s">
        <v>994</v>
      </c>
      <c r="C5423" t="str">
        <f t="shared" si="460"/>
        <v>01409770631</v>
      </c>
      <c r="D5423" t="str">
        <f t="shared" si="460"/>
        <v>01409770631</v>
      </c>
      <c r="E5423" t="s">
        <v>52</v>
      </c>
      <c r="F5423">
        <v>2014</v>
      </c>
      <c r="G5423">
        <v>801558</v>
      </c>
      <c r="H5423" s="1">
        <v>41881</v>
      </c>
      <c r="I5423" s="1">
        <v>41899</v>
      </c>
      <c r="J5423" s="1">
        <v>41899</v>
      </c>
      <c r="K5423" s="1">
        <v>41989</v>
      </c>
      <c r="N5423" s="5"/>
      <c r="O5423" s="2">
        <v>3673.1</v>
      </c>
      <c r="P5423">
        <v>197</v>
      </c>
      <c r="Q5423" s="2">
        <v>723600.7</v>
      </c>
      <c r="R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 s="1">
        <v>42382</v>
      </c>
      <c r="AC5423" t="s">
        <v>53</v>
      </c>
      <c r="AD5423" t="s">
        <v>53</v>
      </c>
      <c r="AK5423">
        <v>0</v>
      </c>
      <c r="AU5423" s="6">
        <v>42186</v>
      </c>
      <c r="AV5423" s="6">
        <v>42186</v>
      </c>
      <c r="AW5423" t="s">
        <v>54</v>
      </c>
      <c r="AX5423" t="str">
        <f t="shared" si="458"/>
        <v>FOR</v>
      </c>
      <c r="AY5423" t="s">
        <v>55</v>
      </c>
    </row>
    <row r="5424" spans="1:51" hidden="1">
      <c r="A5424">
        <v>102698</v>
      </c>
      <c r="B5424" t="s">
        <v>994</v>
      </c>
      <c r="C5424" t="str">
        <f t="shared" si="460"/>
        <v>01409770631</v>
      </c>
      <c r="D5424" t="str">
        <f t="shared" si="460"/>
        <v>01409770631</v>
      </c>
      <c r="E5424" t="s">
        <v>52</v>
      </c>
      <c r="F5424">
        <v>2014</v>
      </c>
      <c r="G5424">
        <v>801660</v>
      </c>
      <c r="H5424" s="1">
        <v>41897</v>
      </c>
      <c r="I5424" s="1">
        <v>41939</v>
      </c>
      <c r="J5424" s="1">
        <v>41939</v>
      </c>
      <c r="K5424" s="1">
        <v>41999</v>
      </c>
      <c r="N5424" s="5"/>
      <c r="O5424">
        <v>193.32</v>
      </c>
      <c r="P5424">
        <v>251</v>
      </c>
      <c r="Q5424" s="2">
        <v>48523.32</v>
      </c>
      <c r="R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 s="1">
        <v>42382</v>
      </c>
      <c r="AC5424" t="s">
        <v>53</v>
      </c>
      <c r="AD5424" t="s">
        <v>53</v>
      </c>
      <c r="AK5424">
        <v>0</v>
      </c>
      <c r="AU5424" s="6">
        <v>42250</v>
      </c>
      <c r="AV5424" s="6">
        <v>42250</v>
      </c>
      <c r="AW5424" t="s">
        <v>54</v>
      </c>
      <c r="AX5424" t="str">
        <f t="shared" si="458"/>
        <v>FOR</v>
      </c>
      <c r="AY5424" t="s">
        <v>55</v>
      </c>
    </row>
    <row r="5425" spans="1:51" hidden="1">
      <c r="A5425">
        <v>102698</v>
      </c>
      <c r="B5425" t="s">
        <v>994</v>
      </c>
      <c r="C5425" t="str">
        <f t="shared" si="460"/>
        <v>01409770631</v>
      </c>
      <c r="D5425" t="str">
        <f t="shared" si="460"/>
        <v>01409770631</v>
      </c>
      <c r="E5425" t="s">
        <v>52</v>
      </c>
      <c r="F5425">
        <v>2014</v>
      </c>
      <c r="G5425">
        <v>801738</v>
      </c>
      <c r="H5425" s="1">
        <v>41912</v>
      </c>
      <c r="I5425" s="1">
        <v>41939</v>
      </c>
      <c r="J5425" s="1">
        <v>41939</v>
      </c>
      <c r="K5425" s="1">
        <v>41999</v>
      </c>
      <c r="N5425" s="5"/>
      <c r="O5425">
        <v>142.37</v>
      </c>
      <c r="P5425">
        <v>251</v>
      </c>
      <c r="Q5425" s="2">
        <v>35734.870000000003</v>
      </c>
      <c r="R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 s="1">
        <v>42382</v>
      </c>
      <c r="AC5425" t="s">
        <v>53</v>
      </c>
      <c r="AD5425" t="s">
        <v>53</v>
      </c>
      <c r="AK5425">
        <v>0</v>
      </c>
      <c r="AU5425" s="6">
        <v>42250</v>
      </c>
      <c r="AV5425" s="6">
        <v>42250</v>
      </c>
      <c r="AW5425" t="s">
        <v>54</v>
      </c>
      <c r="AX5425" t="str">
        <f t="shared" si="458"/>
        <v>FOR</v>
      </c>
      <c r="AY5425" t="s">
        <v>55</v>
      </c>
    </row>
    <row r="5426" spans="1:51" hidden="1">
      <c r="A5426">
        <v>102698</v>
      </c>
      <c r="B5426" t="s">
        <v>994</v>
      </c>
      <c r="C5426" t="str">
        <f t="shared" si="460"/>
        <v>01409770631</v>
      </c>
      <c r="D5426" t="str">
        <f t="shared" si="460"/>
        <v>01409770631</v>
      </c>
      <c r="E5426" t="s">
        <v>52</v>
      </c>
      <c r="F5426">
        <v>2014</v>
      </c>
      <c r="G5426">
        <v>801739</v>
      </c>
      <c r="H5426" s="1">
        <v>41912</v>
      </c>
      <c r="I5426" s="1">
        <v>41939</v>
      </c>
      <c r="J5426" s="1">
        <v>41939</v>
      </c>
      <c r="K5426" s="1">
        <v>41999</v>
      </c>
      <c r="N5426" s="5"/>
      <c r="O5426">
        <v>556.38</v>
      </c>
      <c r="P5426">
        <v>251</v>
      </c>
      <c r="Q5426" s="2">
        <v>139651.38</v>
      </c>
      <c r="R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 s="1">
        <v>42382</v>
      </c>
      <c r="AC5426" t="s">
        <v>53</v>
      </c>
      <c r="AD5426" t="s">
        <v>53</v>
      </c>
      <c r="AK5426">
        <v>0</v>
      </c>
      <c r="AU5426" s="6">
        <v>42250</v>
      </c>
      <c r="AV5426" s="6">
        <v>42250</v>
      </c>
      <c r="AW5426" t="s">
        <v>54</v>
      </c>
      <c r="AX5426" t="str">
        <f t="shared" si="458"/>
        <v>FOR</v>
      </c>
      <c r="AY5426" t="s">
        <v>55</v>
      </c>
    </row>
    <row r="5427" spans="1:51" hidden="1">
      <c r="A5427">
        <v>102698</v>
      </c>
      <c r="B5427" t="s">
        <v>994</v>
      </c>
      <c r="C5427" t="str">
        <f t="shared" si="460"/>
        <v>01409770631</v>
      </c>
      <c r="D5427" t="str">
        <f t="shared" si="460"/>
        <v>01409770631</v>
      </c>
      <c r="E5427" t="s">
        <v>52</v>
      </c>
      <c r="F5427">
        <v>2014</v>
      </c>
      <c r="G5427">
        <v>801740</v>
      </c>
      <c r="H5427" s="1">
        <v>41912</v>
      </c>
      <c r="I5427" s="1">
        <v>41939</v>
      </c>
      <c r="J5427" s="1">
        <v>41939</v>
      </c>
      <c r="K5427" s="1">
        <v>41999</v>
      </c>
      <c r="N5427" s="5"/>
      <c r="O5427" s="2">
        <v>5733.02</v>
      </c>
      <c r="P5427">
        <v>251</v>
      </c>
      <c r="Q5427" s="2">
        <v>1438988.02</v>
      </c>
      <c r="R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 s="1">
        <v>42382</v>
      </c>
      <c r="AC5427" t="s">
        <v>53</v>
      </c>
      <c r="AD5427" t="s">
        <v>53</v>
      </c>
      <c r="AK5427">
        <v>0</v>
      </c>
      <c r="AU5427" s="6">
        <v>42250</v>
      </c>
      <c r="AV5427" s="6">
        <v>42250</v>
      </c>
      <c r="AW5427" t="s">
        <v>54</v>
      </c>
      <c r="AX5427" t="str">
        <f t="shared" si="458"/>
        <v>FOR</v>
      </c>
      <c r="AY5427" t="s">
        <v>55</v>
      </c>
    </row>
    <row r="5428" spans="1:51" hidden="1">
      <c r="A5428">
        <v>102698</v>
      </c>
      <c r="B5428" t="s">
        <v>994</v>
      </c>
      <c r="C5428" t="str">
        <f t="shared" si="460"/>
        <v>01409770631</v>
      </c>
      <c r="D5428" t="str">
        <f t="shared" si="460"/>
        <v>01409770631</v>
      </c>
      <c r="E5428" t="s">
        <v>52</v>
      </c>
      <c r="F5428">
        <v>2014</v>
      </c>
      <c r="G5428">
        <v>801741</v>
      </c>
      <c r="H5428" s="1">
        <v>41912</v>
      </c>
      <c r="I5428" s="1">
        <v>41939</v>
      </c>
      <c r="J5428" s="1">
        <v>41939</v>
      </c>
      <c r="K5428" s="1">
        <v>41999</v>
      </c>
      <c r="N5428" s="5"/>
      <c r="O5428" s="2">
        <v>9675.2099999999991</v>
      </c>
      <c r="P5428">
        <v>251</v>
      </c>
      <c r="Q5428" s="2">
        <v>2428477.71</v>
      </c>
      <c r="R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 s="1">
        <v>42382</v>
      </c>
      <c r="AC5428" t="s">
        <v>53</v>
      </c>
      <c r="AD5428" t="s">
        <v>53</v>
      </c>
      <c r="AK5428">
        <v>0</v>
      </c>
      <c r="AU5428" s="6">
        <v>42250</v>
      </c>
      <c r="AV5428" s="6">
        <v>42250</v>
      </c>
      <c r="AW5428" t="s">
        <v>54</v>
      </c>
      <c r="AX5428" t="str">
        <f t="shared" si="458"/>
        <v>FOR</v>
      </c>
      <c r="AY5428" t="s">
        <v>55</v>
      </c>
    </row>
    <row r="5429" spans="1:51">
      <c r="A5429">
        <v>102698</v>
      </c>
      <c r="B5429" t="s">
        <v>994</v>
      </c>
      <c r="C5429" t="str">
        <f t="shared" si="460"/>
        <v>01409770631</v>
      </c>
      <c r="D5429" t="str">
        <f t="shared" si="460"/>
        <v>01409770631</v>
      </c>
      <c r="E5429" t="s">
        <v>52</v>
      </c>
      <c r="F5429">
        <v>2014</v>
      </c>
      <c r="G5429">
        <v>801863</v>
      </c>
      <c r="H5429" s="1">
        <v>41927</v>
      </c>
      <c r="I5429" s="1">
        <v>41967</v>
      </c>
      <c r="J5429" s="1">
        <v>41967</v>
      </c>
      <c r="K5429" s="1">
        <v>42027</v>
      </c>
      <c r="L5429" s="7">
        <v>284.75</v>
      </c>
      <c r="M5429" s="5">
        <v>251</v>
      </c>
      <c r="N5429" s="7">
        <v>71472.25</v>
      </c>
      <c r="O5429">
        <v>284.75</v>
      </c>
      <c r="P5429">
        <v>251</v>
      </c>
      <c r="Q5429" s="2">
        <v>71472.25</v>
      </c>
      <c r="R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 s="1">
        <v>42382</v>
      </c>
      <c r="AC5429" t="s">
        <v>53</v>
      </c>
      <c r="AD5429" t="s">
        <v>53</v>
      </c>
      <c r="AK5429">
        <v>0</v>
      </c>
      <c r="AU5429" s="6">
        <v>42278</v>
      </c>
      <c r="AV5429" s="6">
        <v>42278</v>
      </c>
      <c r="AW5429" t="s">
        <v>54</v>
      </c>
      <c r="AX5429" t="str">
        <f t="shared" si="458"/>
        <v>FOR</v>
      </c>
      <c r="AY5429" t="s">
        <v>55</v>
      </c>
    </row>
    <row r="5430" spans="1:51">
      <c r="A5430">
        <v>102698</v>
      </c>
      <c r="B5430" t="s">
        <v>994</v>
      </c>
      <c r="C5430" t="str">
        <f t="shared" si="460"/>
        <v>01409770631</v>
      </c>
      <c r="D5430" t="str">
        <f t="shared" si="460"/>
        <v>01409770631</v>
      </c>
      <c r="E5430" t="s">
        <v>52</v>
      </c>
      <c r="F5430">
        <v>2014</v>
      </c>
      <c r="G5430">
        <v>801864</v>
      </c>
      <c r="H5430" s="1">
        <v>41927</v>
      </c>
      <c r="I5430" s="1">
        <v>41967</v>
      </c>
      <c r="J5430" s="1">
        <v>41967</v>
      </c>
      <c r="K5430" s="1">
        <v>42027</v>
      </c>
      <c r="L5430" s="7">
        <v>5702.98</v>
      </c>
      <c r="M5430" s="5">
        <v>251</v>
      </c>
      <c r="N5430" s="7">
        <v>1431447.98</v>
      </c>
      <c r="O5430" s="2">
        <v>5702.98</v>
      </c>
      <c r="P5430">
        <v>251</v>
      </c>
      <c r="Q5430" s="2">
        <v>1431447.98</v>
      </c>
      <c r="R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 s="1">
        <v>42382</v>
      </c>
      <c r="AC5430" t="s">
        <v>53</v>
      </c>
      <c r="AD5430" t="s">
        <v>53</v>
      </c>
      <c r="AK5430">
        <v>0</v>
      </c>
      <c r="AU5430" s="6">
        <v>42278</v>
      </c>
      <c r="AV5430" s="6">
        <v>42278</v>
      </c>
      <c r="AW5430" t="s">
        <v>54</v>
      </c>
      <c r="AX5430" t="str">
        <f t="shared" si="458"/>
        <v>FOR</v>
      </c>
      <c r="AY5430" t="s">
        <v>55</v>
      </c>
    </row>
    <row r="5431" spans="1:51">
      <c r="A5431">
        <v>102698</v>
      </c>
      <c r="B5431" t="s">
        <v>994</v>
      </c>
      <c r="C5431" t="str">
        <f t="shared" si="460"/>
        <v>01409770631</v>
      </c>
      <c r="D5431" t="str">
        <f t="shared" si="460"/>
        <v>01409770631</v>
      </c>
      <c r="E5431" t="s">
        <v>52</v>
      </c>
      <c r="F5431">
        <v>2014</v>
      </c>
      <c r="G5431">
        <v>801979</v>
      </c>
      <c r="H5431" s="1">
        <v>41943</v>
      </c>
      <c r="I5431" s="1">
        <v>41967</v>
      </c>
      <c r="J5431" s="1">
        <v>41967</v>
      </c>
      <c r="K5431" s="1">
        <v>42027</v>
      </c>
      <c r="L5431" s="7">
        <v>2029.87</v>
      </c>
      <c r="M5431" s="5">
        <v>251</v>
      </c>
      <c r="N5431" s="7">
        <v>509497.37</v>
      </c>
      <c r="O5431" s="2">
        <v>2029.87</v>
      </c>
      <c r="P5431">
        <v>251</v>
      </c>
      <c r="Q5431" s="2">
        <v>509497.37</v>
      </c>
      <c r="R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 s="1">
        <v>42382</v>
      </c>
      <c r="AC5431" t="s">
        <v>53</v>
      </c>
      <c r="AD5431" t="s">
        <v>53</v>
      </c>
      <c r="AK5431">
        <v>0</v>
      </c>
      <c r="AU5431" s="6">
        <v>42278</v>
      </c>
      <c r="AV5431" s="6">
        <v>42278</v>
      </c>
      <c r="AW5431" t="s">
        <v>54</v>
      </c>
      <c r="AX5431" t="str">
        <f t="shared" si="458"/>
        <v>FOR</v>
      </c>
      <c r="AY5431" t="s">
        <v>55</v>
      </c>
    </row>
    <row r="5432" spans="1:51">
      <c r="A5432">
        <v>102698</v>
      </c>
      <c r="B5432" t="s">
        <v>994</v>
      </c>
      <c r="C5432" t="str">
        <f t="shared" si="460"/>
        <v>01409770631</v>
      </c>
      <c r="D5432" t="str">
        <f t="shared" si="460"/>
        <v>01409770631</v>
      </c>
      <c r="E5432" t="s">
        <v>52</v>
      </c>
      <c r="F5432">
        <v>2014</v>
      </c>
      <c r="G5432">
        <v>801980</v>
      </c>
      <c r="H5432" s="1">
        <v>41943</v>
      </c>
      <c r="I5432" s="1">
        <v>41967</v>
      </c>
      <c r="J5432" s="1">
        <v>41967</v>
      </c>
      <c r="K5432" s="1">
        <v>42027</v>
      </c>
      <c r="L5432" s="7">
        <v>6949.12</v>
      </c>
      <c r="M5432" s="5">
        <v>251</v>
      </c>
      <c r="N5432" s="7">
        <v>1744229.12</v>
      </c>
      <c r="O5432" s="2">
        <v>6949.12</v>
      </c>
      <c r="P5432">
        <v>251</v>
      </c>
      <c r="Q5432" s="2">
        <v>1744229.12</v>
      </c>
      <c r="R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 s="1">
        <v>42382</v>
      </c>
      <c r="AC5432" t="s">
        <v>53</v>
      </c>
      <c r="AD5432" t="s">
        <v>53</v>
      </c>
      <c r="AK5432">
        <v>0</v>
      </c>
      <c r="AU5432" s="6">
        <v>42278</v>
      </c>
      <c r="AV5432" s="6">
        <v>42278</v>
      </c>
      <c r="AW5432" t="s">
        <v>54</v>
      </c>
      <c r="AX5432" t="str">
        <f t="shared" si="458"/>
        <v>FOR</v>
      </c>
      <c r="AY5432" t="s">
        <v>55</v>
      </c>
    </row>
    <row r="5433" spans="1:51">
      <c r="A5433">
        <v>102698</v>
      </c>
      <c r="B5433" t="s">
        <v>994</v>
      </c>
      <c r="C5433" t="str">
        <f t="shared" ref="C5433:D5446" si="461">"01409770631"</f>
        <v>01409770631</v>
      </c>
      <c r="D5433" t="str">
        <f t="shared" si="461"/>
        <v>01409770631</v>
      </c>
      <c r="E5433" t="s">
        <v>52</v>
      </c>
      <c r="F5433">
        <v>2014</v>
      </c>
      <c r="G5433">
        <v>801981</v>
      </c>
      <c r="H5433" s="1">
        <v>41943</v>
      </c>
      <c r="I5433" s="1">
        <v>41967</v>
      </c>
      <c r="J5433" s="1">
        <v>41967</v>
      </c>
      <c r="K5433" s="1">
        <v>42027</v>
      </c>
      <c r="L5433" s="7">
        <v>9675.2099999999991</v>
      </c>
      <c r="M5433" s="5">
        <v>251</v>
      </c>
      <c r="N5433" s="7">
        <v>2428477.71</v>
      </c>
      <c r="O5433" s="2">
        <v>9675.2099999999991</v>
      </c>
      <c r="P5433">
        <v>251</v>
      </c>
      <c r="Q5433" s="2">
        <v>2428477.71</v>
      </c>
      <c r="R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 s="1">
        <v>42382</v>
      </c>
      <c r="AC5433" t="s">
        <v>53</v>
      </c>
      <c r="AD5433" t="s">
        <v>53</v>
      </c>
      <c r="AK5433">
        <v>0</v>
      </c>
      <c r="AU5433" s="6">
        <v>42278</v>
      </c>
      <c r="AV5433" s="6">
        <v>42278</v>
      </c>
      <c r="AW5433" t="s">
        <v>54</v>
      </c>
      <c r="AX5433" t="str">
        <f t="shared" si="458"/>
        <v>FOR</v>
      </c>
      <c r="AY5433" t="s">
        <v>55</v>
      </c>
    </row>
    <row r="5434" spans="1:51">
      <c r="A5434">
        <v>102698</v>
      </c>
      <c r="B5434" t="s">
        <v>994</v>
      </c>
      <c r="C5434" t="str">
        <f t="shared" si="461"/>
        <v>01409770631</v>
      </c>
      <c r="D5434" t="str">
        <f t="shared" si="461"/>
        <v>01409770631</v>
      </c>
      <c r="E5434" t="s">
        <v>52</v>
      </c>
      <c r="F5434">
        <v>2014</v>
      </c>
      <c r="G5434">
        <v>802068</v>
      </c>
      <c r="H5434" s="1">
        <v>41958</v>
      </c>
      <c r="I5434" s="1">
        <v>42002</v>
      </c>
      <c r="J5434" s="1">
        <v>42002</v>
      </c>
      <c r="K5434" s="1">
        <v>42062</v>
      </c>
      <c r="L5434" s="7">
        <v>6254.21</v>
      </c>
      <c r="M5434" s="5">
        <v>242</v>
      </c>
      <c r="N5434" s="7">
        <v>1513518.82</v>
      </c>
      <c r="O5434" s="2">
        <v>6254.21</v>
      </c>
      <c r="P5434">
        <v>242</v>
      </c>
      <c r="Q5434" s="2">
        <v>1513518.82</v>
      </c>
      <c r="R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 s="1">
        <v>42382</v>
      </c>
      <c r="AC5434" t="s">
        <v>53</v>
      </c>
      <c r="AD5434" t="s">
        <v>53</v>
      </c>
      <c r="AK5434">
        <v>0</v>
      </c>
      <c r="AU5434" s="6">
        <v>42304</v>
      </c>
      <c r="AV5434" s="6">
        <v>42304</v>
      </c>
      <c r="AW5434" t="s">
        <v>54</v>
      </c>
      <c r="AX5434" t="str">
        <f t="shared" si="458"/>
        <v>FOR</v>
      </c>
      <c r="AY5434" t="s">
        <v>55</v>
      </c>
    </row>
    <row r="5435" spans="1:51">
      <c r="A5435">
        <v>102698</v>
      </c>
      <c r="B5435" t="s">
        <v>994</v>
      </c>
      <c r="C5435" t="str">
        <f t="shared" si="461"/>
        <v>01409770631</v>
      </c>
      <c r="D5435" t="str">
        <f t="shared" si="461"/>
        <v>01409770631</v>
      </c>
      <c r="E5435" t="s">
        <v>52</v>
      </c>
      <c r="F5435">
        <v>2014</v>
      </c>
      <c r="G5435">
        <v>802160</v>
      </c>
      <c r="H5435" s="1">
        <v>41971</v>
      </c>
      <c r="I5435" s="1">
        <v>42080</v>
      </c>
      <c r="J5435" s="1">
        <v>42080</v>
      </c>
      <c r="K5435" s="1">
        <v>42140</v>
      </c>
      <c r="L5435" s="7">
        <v>731.63</v>
      </c>
      <c r="M5435" s="5">
        <v>164</v>
      </c>
      <c r="N5435" s="7">
        <v>119987.32</v>
      </c>
      <c r="O5435">
        <v>731.63</v>
      </c>
      <c r="P5435">
        <v>164</v>
      </c>
      <c r="Q5435" s="2">
        <v>119987.32</v>
      </c>
      <c r="R5435">
        <v>0</v>
      </c>
      <c r="V5435">
        <v>0</v>
      </c>
      <c r="W5435">
        <v>0</v>
      </c>
      <c r="X5435">
        <v>0</v>
      </c>
      <c r="Y5435">
        <v>0</v>
      </c>
      <c r="Z5435">
        <v>731.63</v>
      </c>
      <c r="AA5435">
        <v>0</v>
      </c>
      <c r="AB5435" s="1">
        <v>42382</v>
      </c>
      <c r="AC5435" t="s">
        <v>53</v>
      </c>
      <c r="AD5435" t="s">
        <v>53</v>
      </c>
      <c r="AK5435">
        <v>0</v>
      </c>
      <c r="AU5435" s="6">
        <v>42304</v>
      </c>
      <c r="AV5435" s="6">
        <v>42304</v>
      </c>
      <c r="AW5435" t="s">
        <v>54</v>
      </c>
      <c r="AX5435" t="str">
        <f t="shared" si="458"/>
        <v>FOR</v>
      </c>
      <c r="AY5435" t="s">
        <v>55</v>
      </c>
    </row>
    <row r="5436" spans="1:51">
      <c r="A5436">
        <v>102698</v>
      </c>
      <c r="B5436" t="s">
        <v>994</v>
      </c>
      <c r="C5436" t="str">
        <f t="shared" si="461"/>
        <v>01409770631</v>
      </c>
      <c r="D5436" t="str">
        <f t="shared" si="461"/>
        <v>01409770631</v>
      </c>
      <c r="E5436" t="s">
        <v>52</v>
      </c>
      <c r="F5436">
        <v>2014</v>
      </c>
      <c r="G5436">
        <v>802161</v>
      </c>
      <c r="H5436" s="1">
        <v>41971</v>
      </c>
      <c r="I5436" s="1">
        <v>42002</v>
      </c>
      <c r="J5436" s="1">
        <v>42002</v>
      </c>
      <c r="K5436" s="1">
        <v>42062</v>
      </c>
      <c r="L5436" s="7">
        <v>2899.82</v>
      </c>
      <c r="M5436" s="5">
        <v>242</v>
      </c>
      <c r="N5436" s="7">
        <v>701756.44</v>
      </c>
      <c r="O5436" s="2">
        <v>2899.82</v>
      </c>
      <c r="P5436">
        <v>242</v>
      </c>
      <c r="Q5436" s="2">
        <v>701756.44</v>
      </c>
      <c r="R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 s="1">
        <v>42382</v>
      </c>
      <c r="AC5436" t="s">
        <v>53</v>
      </c>
      <c r="AD5436" t="s">
        <v>53</v>
      </c>
      <c r="AK5436">
        <v>0</v>
      </c>
      <c r="AU5436" s="6">
        <v>42304</v>
      </c>
      <c r="AV5436" s="6">
        <v>42304</v>
      </c>
      <c r="AW5436" t="s">
        <v>54</v>
      </c>
      <c r="AX5436" t="str">
        <f t="shared" si="458"/>
        <v>FOR</v>
      </c>
      <c r="AY5436" t="s">
        <v>55</v>
      </c>
    </row>
    <row r="5437" spans="1:51">
      <c r="A5437">
        <v>102698</v>
      </c>
      <c r="B5437" t="s">
        <v>994</v>
      </c>
      <c r="C5437" t="str">
        <f t="shared" si="461"/>
        <v>01409770631</v>
      </c>
      <c r="D5437" t="str">
        <f t="shared" si="461"/>
        <v>01409770631</v>
      </c>
      <c r="E5437" t="s">
        <v>52</v>
      </c>
      <c r="F5437">
        <v>2014</v>
      </c>
      <c r="G5437">
        <v>802162</v>
      </c>
      <c r="H5437" s="1">
        <v>41971</v>
      </c>
      <c r="I5437" s="1">
        <v>42002</v>
      </c>
      <c r="J5437" s="1">
        <v>42002</v>
      </c>
      <c r="K5437" s="1">
        <v>42062</v>
      </c>
      <c r="L5437" s="7">
        <v>5805.13</v>
      </c>
      <c r="M5437" s="5">
        <v>242</v>
      </c>
      <c r="N5437" s="7">
        <v>1404841.46</v>
      </c>
      <c r="O5437" s="2">
        <v>5805.13</v>
      </c>
      <c r="P5437">
        <v>242</v>
      </c>
      <c r="Q5437" s="2">
        <v>1404841.46</v>
      </c>
      <c r="R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 s="1">
        <v>42382</v>
      </c>
      <c r="AC5437" t="s">
        <v>53</v>
      </c>
      <c r="AD5437" t="s">
        <v>53</v>
      </c>
      <c r="AK5437">
        <v>0</v>
      </c>
      <c r="AU5437" s="6">
        <v>42304</v>
      </c>
      <c r="AV5437" s="6">
        <v>42304</v>
      </c>
      <c r="AW5437" t="s">
        <v>54</v>
      </c>
      <c r="AX5437" t="str">
        <f t="shared" si="458"/>
        <v>FOR</v>
      </c>
      <c r="AY5437" t="s">
        <v>55</v>
      </c>
    </row>
    <row r="5438" spans="1:51">
      <c r="A5438">
        <v>102698</v>
      </c>
      <c r="B5438" t="s">
        <v>994</v>
      </c>
      <c r="C5438" t="str">
        <f t="shared" si="461"/>
        <v>01409770631</v>
      </c>
      <c r="D5438" t="str">
        <f t="shared" si="461"/>
        <v>01409770631</v>
      </c>
      <c r="E5438" t="s">
        <v>52</v>
      </c>
      <c r="F5438">
        <v>2014</v>
      </c>
      <c r="G5438">
        <v>802163</v>
      </c>
      <c r="H5438" s="1">
        <v>41971</v>
      </c>
      <c r="I5438" s="1">
        <v>42080</v>
      </c>
      <c r="J5438" s="1">
        <v>42080</v>
      </c>
      <c r="K5438" s="1">
        <v>42140</v>
      </c>
      <c r="L5438" s="7">
        <v>1994.07</v>
      </c>
      <c r="M5438" s="5">
        <v>164</v>
      </c>
      <c r="N5438" s="7">
        <v>327027.48</v>
      </c>
      <c r="O5438" s="2">
        <v>1994.07</v>
      </c>
      <c r="P5438">
        <v>164</v>
      </c>
      <c r="Q5438" s="2">
        <v>327027.48</v>
      </c>
      <c r="R5438">
        <v>0</v>
      </c>
      <c r="V5438">
        <v>0</v>
      </c>
      <c r="W5438">
        <v>0</v>
      </c>
      <c r="X5438">
        <v>0</v>
      </c>
      <c r="Y5438">
        <v>0</v>
      </c>
      <c r="Z5438" s="2">
        <v>1994.07</v>
      </c>
      <c r="AA5438">
        <v>0</v>
      </c>
      <c r="AB5438" s="1">
        <v>42382</v>
      </c>
      <c r="AC5438" t="s">
        <v>53</v>
      </c>
      <c r="AD5438" t="s">
        <v>53</v>
      </c>
      <c r="AK5438">
        <v>0</v>
      </c>
      <c r="AU5438" s="6">
        <v>42304</v>
      </c>
      <c r="AV5438" s="6">
        <v>42304</v>
      </c>
      <c r="AW5438" t="s">
        <v>54</v>
      </c>
      <c r="AX5438" t="str">
        <f t="shared" si="458"/>
        <v>FOR</v>
      </c>
      <c r="AY5438" t="s">
        <v>55</v>
      </c>
    </row>
    <row r="5439" spans="1:51">
      <c r="A5439">
        <v>102698</v>
      </c>
      <c r="B5439" t="s">
        <v>994</v>
      </c>
      <c r="C5439" t="str">
        <f t="shared" si="461"/>
        <v>01409770631</v>
      </c>
      <c r="D5439" t="str">
        <f t="shared" si="461"/>
        <v>01409770631</v>
      </c>
      <c r="E5439" t="s">
        <v>52</v>
      </c>
      <c r="F5439">
        <v>2014</v>
      </c>
      <c r="G5439">
        <v>802164</v>
      </c>
      <c r="H5439" s="1">
        <v>41971</v>
      </c>
      <c r="I5439" s="1">
        <v>42002</v>
      </c>
      <c r="J5439" s="1">
        <v>42002</v>
      </c>
      <c r="K5439" s="1">
        <v>42062</v>
      </c>
      <c r="L5439" s="7">
        <v>7095.15</v>
      </c>
      <c r="M5439" s="5">
        <v>242</v>
      </c>
      <c r="N5439" s="7">
        <v>1717026.3</v>
      </c>
      <c r="O5439" s="2">
        <v>7095.15</v>
      </c>
      <c r="P5439">
        <v>242</v>
      </c>
      <c r="Q5439" s="2">
        <v>1717026.3</v>
      </c>
      <c r="R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 s="1">
        <v>42382</v>
      </c>
      <c r="AC5439" t="s">
        <v>53</v>
      </c>
      <c r="AD5439" t="s">
        <v>53</v>
      </c>
      <c r="AK5439">
        <v>0</v>
      </c>
      <c r="AU5439" s="6">
        <v>42304</v>
      </c>
      <c r="AV5439" s="6">
        <v>42304</v>
      </c>
      <c r="AW5439" t="s">
        <v>54</v>
      </c>
      <c r="AX5439" t="str">
        <f t="shared" si="458"/>
        <v>FOR</v>
      </c>
      <c r="AY5439" t="s">
        <v>55</v>
      </c>
    </row>
    <row r="5440" spans="1:51">
      <c r="A5440">
        <v>102698</v>
      </c>
      <c r="B5440" t="s">
        <v>994</v>
      </c>
      <c r="C5440" t="str">
        <f t="shared" si="461"/>
        <v>01409770631</v>
      </c>
      <c r="D5440" t="str">
        <f t="shared" si="461"/>
        <v>01409770631</v>
      </c>
      <c r="E5440" t="s">
        <v>52</v>
      </c>
      <c r="F5440">
        <v>2014</v>
      </c>
      <c r="G5440">
        <v>802260</v>
      </c>
      <c r="H5440" s="1">
        <v>41988</v>
      </c>
      <c r="I5440" s="1">
        <v>42026</v>
      </c>
      <c r="J5440" s="1">
        <v>42026</v>
      </c>
      <c r="K5440" s="1">
        <v>42086</v>
      </c>
      <c r="L5440" s="7">
        <v>474.58</v>
      </c>
      <c r="M5440" s="5">
        <v>254</v>
      </c>
      <c r="N5440" s="7">
        <v>120543.32</v>
      </c>
      <c r="O5440">
        <v>474.58</v>
      </c>
      <c r="P5440">
        <v>254</v>
      </c>
      <c r="Q5440" s="2">
        <v>120543.32</v>
      </c>
      <c r="R5440">
        <v>0</v>
      </c>
      <c r="V5440">
        <v>0</v>
      </c>
      <c r="W5440">
        <v>0</v>
      </c>
      <c r="X5440">
        <v>0</v>
      </c>
      <c r="Y5440">
        <v>0</v>
      </c>
      <c r="Z5440">
        <v>474.58</v>
      </c>
      <c r="AA5440">
        <v>0</v>
      </c>
      <c r="AB5440" s="1">
        <v>42382</v>
      </c>
      <c r="AC5440" t="s">
        <v>53</v>
      </c>
      <c r="AD5440" t="s">
        <v>53</v>
      </c>
      <c r="AK5440">
        <v>0</v>
      </c>
      <c r="AU5440" s="6">
        <v>42340</v>
      </c>
      <c r="AV5440" s="6">
        <v>42340</v>
      </c>
      <c r="AW5440" t="s">
        <v>54</v>
      </c>
      <c r="AX5440" t="str">
        <f t="shared" si="458"/>
        <v>FOR</v>
      </c>
      <c r="AY5440" t="s">
        <v>55</v>
      </c>
    </row>
    <row r="5441" spans="1:51">
      <c r="A5441">
        <v>102698</v>
      </c>
      <c r="B5441" t="s">
        <v>994</v>
      </c>
      <c r="C5441" t="str">
        <f t="shared" si="461"/>
        <v>01409770631</v>
      </c>
      <c r="D5441" t="str">
        <f t="shared" si="461"/>
        <v>01409770631</v>
      </c>
      <c r="E5441" t="s">
        <v>52</v>
      </c>
      <c r="F5441">
        <v>2014</v>
      </c>
      <c r="G5441">
        <v>802261</v>
      </c>
      <c r="H5441" s="1">
        <v>41988</v>
      </c>
      <c r="I5441" s="1">
        <v>42026</v>
      </c>
      <c r="J5441" s="1">
        <v>42026</v>
      </c>
      <c r="K5441" s="1">
        <v>42086</v>
      </c>
      <c r="L5441" s="7">
        <v>211.77</v>
      </c>
      <c r="M5441" s="5">
        <v>254</v>
      </c>
      <c r="N5441" s="7">
        <v>53789.58</v>
      </c>
      <c r="O5441">
        <v>211.77</v>
      </c>
      <c r="P5441">
        <v>254</v>
      </c>
      <c r="Q5441" s="2">
        <v>53789.58</v>
      </c>
      <c r="R5441">
        <v>0</v>
      </c>
      <c r="V5441">
        <v>0</v>
      </c>
      <c r="W5441">
        <v>0</v>
      </c>
      <c r="X5441">
        <v>0</v>
      </c>
      <c r="Y5441">
        <v>0</v>
      </c>
      <c r="Z5441">
        <v>211.77</v>
      </c>
      <c r="AA5441">
        <v>0</v>
      </c>
      <c r="AB5441" s="1">
        <v>42382</v>
      </c>
      <c r="AC5441" t="s">
        <v>53</v>
      </c>
      <c r="AD5441" t="s">
        <v>53</v>
      </c>
      <c r="AK5441">
        <v>0</v>
      </c>
      <c r="AU5441" s="6">
        <v>42340</v>
      </c>
      <c r="AV5441" s="6">
        <v>42340</v>
      </c>
      <c r="AW5441" t="s">
        <v>54</v>
      </c>
      <c r="AX5441" t="str">
        <f t="shared" si="458"/>
        <v>FOR</v>
      </c>
      <c r="AY5441" t="s">
        <v>55</v>
      </c>
    </row>
    <row r="5442" spans="1:51">
      <c r="A5442">
        <v>102698</v>
      </c>
      <c r="B5442" t="s">
        <v>994</v>
      </c>
      <c r="C5442" t="str">
        <f t="shared" si="461"/>
        <v>01409770631</v>
      </c>
      <c r="D5442" t="str">
        <f t="shared" si="461"/>
        <v>01409770631</v>
      </c>
      <c r="E5442" t="s">
        <v>52</v>
      </c>
      <c r="F5442">
        <v>2014</v>
      </c>
      <c r="G5442">
        <v>802262</v>
      </c>
      <c r="H5442" s="1">
        <v>41988</v>
      </c>
      <c r="I5442" s="1">
        <v>42026</v>
      </c>
      <c r="J5442" s="1">
        <v>42026</v>
      </c>
      <c r="K5442" s="1">
        <v>42086</v>
      </c>
      <c r="L5442" s="7">
        <v>3022.87</v>
      </c>
      <c r="M5442" s="5">
        <v>254</v>
      </c>
      <c r="N5442" s="7">
        <v>767808.98</v>
      </c>
      <c r="O5442" s="2">
        <v>3022.87</v>
      </c>
      <c r="P5442">
        <v>254</v>
      </c>
      <c r="Q5442" s="2">
        <v>767808.98</v>
      </c>
      <c r="R5442">
        <v>0</v>
      </c>
      <c r="V5442">
        <v>0</v>
      </c>
      <c r="W5442">
        <v>0</v>
      </c>
      <c r="X5442">
        <v>0</v>
      </c>
      <c r="Y5442">
        <v>0</v>
      </c>
      <c r="Z5442" s="2">
        <v>3022.87</v>
      </c>
      <c r="AA5442">
        <v>0</v>
      </c>
      <c r="AB5442" s="1">
        <v>42382</v>
      </c>
      <c r="AC5442" t="s">
        <v>53</v>
      </c>
      <c r="AD5442" t="s">
        <v>53</v>
      </c>
      <c r="AK5442">
        <v>0</v>
      </c>
      <c r="AU5442" s="6">
        <v>42340</v>
      </c>
      <c r="AV5442" s="6">
        <v>42340</v>
      </c>
      <c r="AW5442" t="s">
        <v>54</v>
      </c>
      <c r="AX5442" t="str">
        <f t="shared" si="458"/>
        <v>FOR</v>
      </c>
      <c r="AY5442" t="s">
        <v>55</v>
      </c>
    </row>
    <row r="5443" spans="1:51">
      <c r="A5443">
        <v>102698</v>
      </c>
      <c r="B5443" t="s">
        <v>994</v>
      </c>
      <c r="C5443" t="str">
        <f t="shared" si="461"/>
        <v>01409770631</v>
      </c>
      <c r="D5443" t="str">
        <f t="shared" si="461"/>
        <v>01409770631</v>
      </c>
      <c r="E5443" t="s">
        <v>52</v>
      </c>
      <c r="F5443">
        <v>2014</v>
      </c>
      <c r="G5443">
        <v>802263</v>
      </c>
      <c r="H5443" s="1">
        <v>41988</v>
      </c>
      <c r="I5443" s="1">
        <v>42026</v>
      </c>
      <c r="J5443" s="1">
        <v>42026</v>
      </c>
      <c r="K5443" s="1">
        <v>42086</v>
      </c>
      <c r="L5443" s="7">
        <v>1449.91</v>
      </c>
      <c r="M5443" s="5">
        <v>254</v>
      </c>
      <c r="N5443" s="7">
        <v>368277.14</v>
      </c>
      <c r="O5443" s="2">
        <v>1449.91</v>
      </c>
      <c r="P5443">
        <v>254</v>
      </c>
      <c r="Q5443" s="2">
        <v>368277.14</v>
      </c>
      <c r="R5443">
        <v>0</v>
      </c>
      <c r="V5443">
        <v>0</v>
      </c>
      <c r="W5443">
        <v>0</v>
      </c>
      <c r="X5443">
        <v>0</v>
      </c>
      <c r="Y5443">
        <v>0</v>
      </c>
      <c r="Z5443" s="2">
        <v>1449.91</v>
      </c>
      <c r="AA5443">
        <v>0</v>
      </c>
      <c r="AB5443" s="1">
        <v>42382</v>
      </c>
      <c r="AC5443" t="s">
        <v>53</v>
      </c>
      <c r="AD5443" t="s">
        <v>53</v>
      </c>
      <c r="AK5443">
        <v>0</v>
      </c>
      <c r="AU5443" s="6">
        <v>42340</v>
      </c>
      <c r="AV5443" s="6">
        <v>42340</v>
      </c>
      <c r="AW5443" t="s">
        <v>54</v>
      </c>
      <c r="AX5443" t="str">
        <f t="shared" ref="AX5443:AX5506" si="462">"FOR"</f>
        <v>FOR</v>
      </c>
      <c r="AY5443" t="s">
        <v>55</v>
      </c>
    </row>
    <row r="5444" spans="1:51">
      <c r="A5444">
        <v>102698</v>
      </c>
      <c r="B5444" t="s">
        <v>994</v>
      </c>
      <c r="C5444" t="str">
        <f t="shared" si="461"/>
        <v>01409770631</v>
      </c>
      <c r="D5444" t="str">
        <f t="shared" si="461"/>
        <v>01409770631</v>
      </c>
      <c r="E5444" t="s">
        <v>52</v>
      </c>
      <c r="F5444">
        <v>2014</v>
      </c>
      <c r="G5444">
        <v>802359</v>
      </c>
      <c r="H5444" s="1">
        <v>42004</v>
      </c>
      <c r="I5444" s="1">
        <v>42026</v>
      </c>
      <c r="J5444" s="1">
        <v>42026</v>
      </c>
      <c r="K5444" s="1">
        <v>42086</v>
      </c>
      <c r="L5444" s="7">
        <v>1935.04</v>
      </c>
      <c r="M5444" s="5">
        <v>254</v>
      </c>
      <c r="N5444" s="7">
        <v>491500.16</v>
      </c>
      <c r="O5444" s="2">
        <v>1935.04</v>
      </c>
      <c r="P5444">
        <v>254</v>
      </c>
      <c r="Q5444" s="2">
        <v>491500.16</v>
      </c>
      <c r="R5444">
        <v>0</v>
      </c>
      <c r="V5444">
        <v>0</v>
      </c>
      <c r="W5444">
        <v>0</v>
      </c>
      <c r="X5444">
        <v>0</v>
      </c>
      <c r="Y5444">
        <v>0</v>
      </c>
      <c r="Z5444" s="2">
        <v>1935.04</v>
      </c>
      <c r="AA5444">
        <v>0</v>
      </c>
      <c r="AB5444" s="1">
        <v>42382</v>
      </c>
      <c r="AC5444" t="s">
        <v>53</v>
      </c>
      <c r="AD5444" t="s">
        <v>53</v>
      </c>
      <c r="AK5444">
        <v>0</v>
      </c>
      <c r="AU5444" s="6">
        <v>42340</v>
      </c>
      <c r="AV5444" s="6">
        <v>42340</v>
      </c>
      <c r="AW5444" t="s">
        <v>54</v>
      </c>
      <c r="AX5444" t="str">
        <f t="shared" si="462"/>
        <v>FOR</v>
      </c>
      <c r="AY5444" t="s">
        <v>55</v>
      </c>
    </row>
    <row r="5445" spans="1:51">
      <c r="A5445">
        <v>102698</v>
      </c>
      <c r="B5445" t="s">
        <v>994</v>
      </c>
      <c r="C5445" t="str">
        <f t="shared" si="461"/>
        <v>01409770631</v>
      </c>
      <c r="D5445" t="str">
        <f t="shared" si="461"/>
        <v>01409770631</v>
      </c>
      <c r="E5445" t="s">
        <v>52</v>
      </c>
      <c r="F5445">
        <v>2014</v>
      </c>
      <c r="G5445">
        <v>802360</v>
      </c>
      <c r="H5445" s="1">
        <v>42004</v>
      </c>
      <c r="I5445" s="1">
        <v>42026</v>
      </c>
      <c r="J5445" s="1">
        <v>42026</v>
      </c>
      <c r="K5445" s="1">
        <v>42086</v>
      </c>
      <c r="L5445" s="7">
        <v>289.98</v>
      </c>
      <c r="M5445" s="5">
        <v>254</v>
      </c>
      <c r="N5445" s="7">
        <v>73654.92</v>
      </c>
      <c r="O5445">
        <v>289.98</v>
      </c>
      <c r="P5445">
        <v>254</v>
      </c>
      <c r="Q5445" s="2">
        <v>73654.92</v>
      </c>
      <c r="R5445">
        <v>0</v>
      </c>
      <c r="V5445">
        <v>0</v>
      </c>
      <c r="W5445">
        <v>0</v>
      </c>
      <c r="X5445">
        <v>0</v>
      </c>
      <c r="Y5445">
        <v>0</v>
      </c>
      <c r="Z5445">
        <v>289.98</v>
      </c>
      <c r="AA5445">
        <v>0</v>
      </c>
      <c r="AB5445" s="1">
        <v>42382</v>
      </c>
      <c r="AC5445" t="s">
        <v>53</v>
      </c>
      <c r="AD5445" t="s">
        <v>53</v>
      </c>
      <c r="AK5445">
        <v>0</v>
      </c>
      <c r="AU5445" s="6">
        <v>42340</v>
      </c>
      <c r="AV5445" s="6">
        <v>42340</v>
      </c>
      <c r="AW5445" t="s">
        <v>54</v>
      </c>
      <c r="AX5445" t="str">
        <f t="shared" si="462"/>
        <v>FOR</v>
      </c>
      <c r="AY5445" t="s">
        <v>55</v>
      </c>
    </row>
    <row r="5446" spans="1:51">
      <c r="A5446">
        <v>102698</v>
      </c>
      <c r="B5446" t="s">
        <v>994</v>
      </c>
      <c r="C5446" t="str">
        <f t="shared" si="461"/>
        <v>01409770631</v>
      </c>
      <c r="D5446" t="str">
        <f t="shared" si="461"/>
        <v>01409770631</v>
      </c>
      <c r="E5446" t="s">
        <v>52</v>
      </c>
      <c r="F5446">
        <v>2014</v>
      </c>
      <c r="G5446">
        <v>802361</v>
      </c>
      <c r="H5446" s="1">
        <v>42004</v>
      </c>
      <c r="I5446" s="1">
        <v>42026</v>
      </c>
      <c r="J5446" s="1">
        <v>42026</v>
      </c>
      <c r="K5446" s="1">
        <v>42086</v>
      </c>
      <c r="L5446" s="7">
        <v>2899.82</v>
      </c>
      <c r="M5446" s="5">
        <v>254</v>
      </c>
      <c r="N5446" s="7">
        <v>736554.28</v>
      </c>
      <c r="O5446" s="2">
        <v>2899.82</v>
      </c>
      <c r="P5446">
        <v>254</v>
      </c>
      <c r="Q5446" s="2">
        <v>736554.28</v>
      </c>
      <c r="R5446">
        <v>0</v>
      </c>
      <c r="V5446">
        <v>0</v>
      </c>
      <c r="W5446">
        <v>0</v>
      </c>
      <c r="X5446">
        <v>0</v>
      </c>
      <c r="Y5446">
        <v>0</v>
      </c>
      <c r="Z5446" s="2">
        <v>2899.82</v>
      </c>
      <c r="AA5446">
        <v>0</v>
      </c>
      <c r="AB5446" s="1">
        <v>42382</v>
      </c>
      <c r="AC5446" t="s">
        <v>53</v>
      </c>
      <c r="AD5446" t="s">
        <v>53</v>
      </c>
      <c r="AK5446">
        <v>0</v>
      </c>
      <c r="AU5446" s="6">
        <v>42340</v>
      </c>
      <c r="AV5446" s="6">
        <v>42340</v>
      </c>
      <c r="AW5446" t="s">
        <v>54</v>
      </c>
      <c r="AX5446" t="str">
        <f t="shared" si="462"/>
        <v>FOR</v>
      </c>
      <c r="AY5446" t="s">
        <v>55</v>
      </c>
    </row>
    <row r="5447" spans="1:51">
      <c r="A5447">
        <v>102801</v>
      </c>
      <c r="B5447" t="s">
        <v>995</v>
      </c>
      <c r="C5447" t="str">
        <f>"01282360682"</f>
        <v>01282360682</v>
      </c>
      <c r="D5447" t="str">
        <f>"01323030690"</f>
        <v>01323030690</v>
      </c>
      <c r="E5447" t="s">
        <v>52</v>
      </c>
      <c r="F5447">
        <v>2015</v>
      </c>
      <c r="G5447">
        <v>2040922144</v>
      </c>
      <c r="H5447" s="1">
        <v>42115</v>
      </c>
      <c r="I5447" s="1">
        <v>42135</v>
      </c>
      <c r="J5447" s="1">
        <v>42132</v>
      </c>
      <c r="K5447" s="1">
        <v>42192</v>
      </c>
      <c r="L5447" s="7">
        <v>2160</v>
      </c>
      <c r="M5447" s="5">
        <v>108</v>
      </c>
      <c r="N5447" s="7">
        <v>233280</v>
      </c>
      <c r="O5447" s="2">
        <v>2160</v>
      </c>
      <c r="P5447">
        <v>108</v>
      </c>
      <c r="Q5447" s="2">
        <v>233280</v>
      </c>
      <c r="R5447">
        <v>0</v>
      </c>
      <c r="V5447">
        <v>0</v>
      </c>
      <c r="W5447">
        <v>0</v>
      </c>
      <c r="X5447">
        <v>0</v>
      </c>
      <c r="Y5447" s="2">
        <v>2635.2</v>
      </c>
      <c r="Z5447" s="2">
        <v>2635.2</v>
      </c>
      <c r="AA5447" s="2">
        <v>2635.2</v>
      </c>
      <c r="AB5447" s="1">
        <v>42382</v>
      </c>
      <c r="AC5447" t="s">
        <v>53</v>
      </c>
      <c r="AD5447" t="s">
        <v>53</v>
      </c>
      <c r="AK5447">
        <v>0</v>
      </c>
      <c r="AU5447" s="6">
        <v>42300</v>
      </c>
      <c r="AV5447" s="6">
        <v>42300</v>
      </c>
      <c r="AW5447" t="s">
        <v>54</v>
      </c>
      <c r="AX5447" t="str">
        <f t="shared" si="462"/>
        <v>FOR</v>
      </c>
      <c r="AY5447" t="s">
        <v>55</v>
      </c>
    </row>
    <row r="5448" spans="1:51">
      <c r="A5448">
        <v>102801</v>
      </c>
      <c r="B5448" t="s">
        <v>995</v>
      </c>
      <c r="C5448" t="str">
        <f>"01282360682"</f>
        <v>01282360682</v>
      </c>
      <c r="D5448" t="str">
        <f>"01323030690"</f>
        <v>01323030690</v>
      </c>
      <c r="E5448" t="s">
        <v>52</v>
      </c>
      <c r="F5448">
        <v>2015</v>
      </c>
      <c r="G5448">
        <v>2040922808</v>
      </c>
      <c r="H5448" s="1">
        <v>42132</v>
      </c>
      <c r="I5448" s="1">
        <v>42135</v>
      </c>
      <c r="J5448" s="1">
        <v>42133</v>
      </c>
      <c r="K5448" s="1">
        <v>42193</v>
      </c>
      <c r="L5448" s="7">
        <v>4251.6000000000004</v>
      </c>
      <c r="M5448" s="5">
        <v>147</v>
      </c>
      <c r="N5448" s="7">
        <v>624985.19999999995</v>
      </c>
      <c r="O5448" s="2">
        <v>4251.6000000000004</v>
      </c>
      <c r="P5448">
        <v>147</v>
      </c>
      <c r="Q5448" s="2">
        <v>624985.19999999995</v>
      </c>
      <c r="R5448">
        <v>935.35</v>
      </c>
      <c r="V5448">
        <v>0</v>
      </c>
      <c r="W5448">
        <v>0</v>
      </c>
      <c r="X5448">
        <v>0</v>
      </c>
      <c r="Y5448" s="2">
        <v>5186.95</v>
      </c>
      <c r="Z5448" s="2">
        <v>5186.95</v>
      </c>
      <c r="AA5448" s="2">
        <v>5186.95</v>
      </c>
      <c r="AB5448" s="1">
        <v>42382</v>
      </c>
      <c r="AC5448" t="s">
        <v>53</v>
      </c>
      <c r="AD5448" t="s">
        <v>53</v>
      </c>
      <c r="AJ5448">
        <v>935.35</v>
      </c>
      <c r="AK5448">
        <v>0</v>
      </c>
      <c r="AU5448" s="6">
        <v>42340</v>
      </c>
      <c r="AV5448" s="6">
        <v>42340</v>
      </c>
      <c r="AW5448" t="s">
        <v>54</v>
      </c>
      <c r="AX5448" t="str">
        <f t="shared" si="462"/>
        <v>FOR</v>
      </c>
      <c r="AY5448" t="s">
        <v>55</v>
      </c>
    </row>
    <row r="5449" spans="1:51">
      <c r="A5449">
        <v>102801</v>
      </c>
      <c r="B5449" t="s">
        <v>995</v>
      </c>
      <c r="C5449" t="str">
        <f>"01282360682"</f>
        <v>01282360682</v>
      </c>
      <c r="D5449" t="str">
        <f>"01323030690"</f>
        <v>01323030690</v>
      </c>
      <c r="E5449" t="s">
        <v>52</v>
      </c>
      <c r="F5449">
        <v>2015</v>
      </c>
      <c r="G5449">
        <v>2040923893</v>
      </c>
      <c r="H5449" s="1">
        <v>42167</v>
      </c>
      <c r="I5449" s="1">
        <v>42170</v>
      </c>
      <c r="J5449" s="1">
        <v>42168</v>
      </c>
      <c r="K5449" s="1">
        <v>42228</v>
      </c>
      <c r="L5449" s="7">
        <v>3477.6</v>
      </c>
      <c r="M5449" s="5">
        <v>72</v>
      </c>
      <c r="N5449" s="7">
        <v>250387.20000000001</v>
      </c>
      <c r="O5449" s="2">
        <v>3477.6</v>
      </c>
      <c r="P5449">
        <v>72</v>
      </c>
      <c r="Q5449" s="2">
        <v>250387.20000000001</v>
      </c>
      <c r="R5449">
        <v>0</v>
      </c>
      <c r="V5449">
        <v>0</v>
      </c>
      <c r="W5449">
        <v>0</v>
      </c>
      <c r="X5449">
        <v>0</v>
      </c>
      <c r="Y5449" s="2">
        <v>4242.67</v>
      </c>
      <c r="Z5449" s="2">
        <v>4242.67</v>
      </c>
      <c r="AA5449" s="2">
        <v>4242.67</v>
      </c>
      <c r="AB5449" s="1">
        <v>42382</v>
      </c>
      <c r="AC5449" t="s">
        <v>53</v>
      </c>
      <c r="AD5449" t="s">
        <v>53</v>
      </c>
      <c r="AK5449">
        <v>0</v>
      </c>
      <c r="AU5449" s="6">
        <v>42300</v>
      </c>
      <c r="AV5449" s="6">
        <v>42300</v>
      </c>
      <c r="AW5449" t="s">
        <v>54</v>
      </c>
      <c r="AX5449" t="str">
        <f t="shared" si="462"/>
        <v>FOR</v>
      </c>
      <c r="AY5449" t="s">
        <v>55</v>
      </c>
    </row>
    <row r="5450" spans="1:51">
      <c r="A5450">
        <v>102801</v>
      </c>
      <c r="B5450" t="s">
        <v>995</v>
      </c>
      <c r="C5450" t="str">
        <f>"01282360682"</f>
        <v>01282360682</v>
      </c>
      <c r="D5450" t="str">
        <f>"01323030690"</f>
        <v>01323030690</v>
      </c>
      <c r="E5450" t="s">
        <v>52</v>
      </c>
      <c r="F5450">
        <v>2015</v>
      </c>
      <c r="G5450">
        <v>2040924147</v>
      </c>
      <c r="H5450" s="1">
        <v>42178</v>
      </c>
      <c r="I5450" s="1">
        <v>42185</v>
      </c>
      <c r="J5450" s="1">
        <v>42181</v>
      </c>
      <c r="K5450" s="1">
        <v>42241</v>
      </c>
      <c r="L5450" s="7">
        <v>1440</v>
      </c>
      <c r="M5450" s="5">
        <v>59</v>
      </c>
      <c r="N5450" s="7">
        <v>84960</v>
      </c>
      <c r="O5450" s="2">
        <v>1440</v>
      </c>
      <c r="P5450">
        <v>59</v>
      </c>
      <c r="Q5450" s="2">
        <v>84960</v>
      </c>
      <c r="R5450">
        <v>0</v>
      </c>
      <c r="V5450">
        <v>0</v>
      </c>
      <c r="W5450">
        <v>0</v>
      </c>
      <c r="X5450">
        <v>0</v>
      </c>
      <c r="Y5450" s="2">
        <v>1756.8</v>
      </c>
      <c r="Z5450" s="2">
        <v>1756.8</v>
      </c>
      <c r="AA5450" s="2">
        <v>1756.8</v>
      </c>
      <c r="AB5450" s="1">
        <v>42382</v>
      </c>
      <c r="AC5450" t="s">
        <v>53</v>
      </c>
      <c r="AD5450" t="s">
        <v>53</v>
      </c>
      <c r="AK5450">
        <v>0</v>
      </c>
      <c r="AU5450" s="6">
        <v>42300</v>
      </c>
      <c r="AV5450" s="6">
        <v>42300</v>
      </c>
      <c r="AW5450" t="s">
        <v>54</v>
      </c>
      <c r="AX5450" t="str">
        <f t="shared" si="462"/>
        <v>FOR</v>
      </c>
      <c r="AY5450" t="s">
        <v>55</v>
      </c>
    </row>
    <row r="5451" spans="1:51" hidden="1">
      <c r="A5451">
        <v>102802</v>
      </c>
      <c r="B5451" t="s">
        <v>996</v>
      </c>
      <c r="C5451" t="str">
        <f t="shared" ref="C5451:C5482" si="463">"01387091216"</f>
        <v>01387091216</v>
      </c>
      <c r="D5451" t="str">
        <f t="shared" ref="D5451:D5482" si="464">"05063110638"</f>
        <v>05063110638</v>
      </c>
      <c r="E5451" t="s">
        <v>52</v>
      </c>
      <c r="F5451">
        <v>2014</v>
      </c>
      <c r="G5451">
        <v>52</v>
      </c>
      <c r="H5451" s="1">
        <v>41670</v>
      </c>
      <c r="I5451" s="1">
        <v>41691</v>
      </c>
      <c r="J5451" s="1">
        <v>41691</v>
      </c>
      <c r="K5451" s="1">
        <v>41781</v>
      </c>
      <c r="N5451" s="5"/>
      <c r="O5451">
        <v>688.08</v>
      </c>
      <c r="P5451">
        <v>243</v>
      </c>
      <c r="Q5451" s="2">
        <v>167203.44</v>
      </c>
      <c r="R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 s="1">
        <v>42382</v>
      </c>
      <c r="AC5451" t="s">
        <v>53</v>
      </c>
      <c r="AD5451" t="s">
        <v>53</v>
      </c>
      <c r="AK5451">
        <v>0</v>
      </c>
      <c r="AU5451" s="6">
        <v>42024</v>
      </c>
      <c r="AV5451" s="6">
        <v>42024</v>
      </c>
      <c r="AW5451" t="s">
        <v>54</v>
      </c>
      <c r="AX5451" t="str">
        <f t="shared" si="462"/>
        <v>FOR</v>
      </c>
      <c r="AY5451" t="s">
        <v>55</v>
      </c>
    </row>
    <row r="5452" spans="1:51" hidden="1">
      <c r="A5452">
        <v>102802</v>
      </c>
      <c r="B5452" t="s">
        <v>996</v>
      </c>
      <c r="C5452" t="str">
        <f t="shared" si="463"/>
        <v>01387091216</v>
      </c>
      <c r="D5452" t="str">
        <f t="shared" si="464"/>
        <v>05063110638</v>
      </c>
      <c r="E5452" t="s">
        <v>52</v>
      </c>
      <c r="F5452">
        <v>2014</v>
      </c>
      <c r="G5452">
        <v>53</v>
      </c>
      <c r="H5452" s="1">
        <v>41670</v>
      </c>
      <c r="I5452" s="1">
        <v>41691</v>
      </c>
      <c r="J5452" s="1">
        <v>41691</v>
      </c>
      <c r="K5452" s="1">
        <v>41781</v>
      </c>
      <c r="N5452" s="5"/>
      <c r="O5452" s="2">
        <v>1888.56</v>
      </c>
      <c r="P5452">
        <v>243</v>
      </c>
      <c r="Q5452" s="2">
        <v>458920.08</v>
      </c>
      <c r="R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 s="1">
        <v>42382</v>
      </c>
      <c r="AC5452" t="s">
        <v>53</v>
      </c>
      <c r="AD5452" t="s">
        <v>53</v>
      </c>
      <c r="AK5452">
        <v>0</v>
      </c>
      <c r="AU5452" s="6">
        <v>42024</v>
      </c>
      <c r="AV5452" s="6">
        <v>42024</v>
      </c>
      <c r="AW5452" t="s">
        <v>54</v>
      </c>
      <c r="AX5452" t="str">
        <f t="shared" si="462"/>
        <v>FOR</v>
      </c>
      <c r="AY5452" t="s">
        <v>55</v>
      </c>
    </row>
    <row r="5453" spans="1:51" hidden="1">
      <c r="A5453">
        <v>102802</v>
      </c>
      <c r="B5453" t="s">
        <v>996</v>
      </c>
      <c r="C5453" t="str">
        <f t="shared" si="463"/>
        <v>01387091216</v>
      </c>
      <c r="D5453" t="str">
        <f t="shared" si="464"/>
        <v>05063110638</v>
      </c>
      <c r="E5453" t="s">
        <v>52</v>
      </c>
      <c r="F5453">
        <v>2014</v>
      </c>
      <c r="G5453">
        <v>122</v>
      </c>
      <c r="H5453" s="1">
        <v>41685</v>
      </c>
      <c r="I5453" s="1">
        <v>41711</v>
      </c>
      <c r="J5453" s="1">
        <v>41711</v>
      </c>
      <c r="K5453" s="1">
        <v>41802</v>
      </c>
      <c r="N5453" s="5"/>
      <c r="O5453" s="2">
        <v>4304.16</v>
      </c>
      <c r="P5453">
        <v>239</v>
      </c>
      <c r="Q5453" s="2">
        <v>1028694.24</v>
      </c>
      <c r="R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 s="1">
        <v>42382</v>
      </c>
      <c r="AC5453" t="s">
        <v>53</v>
      </c>
      <c r="AD5453" t="s">
        <v>53</v>
      </c>
      <c r="AK5453">
        <v>0</v>
      </c>
      <c r="AU5453" s="6">
        <v>42041</v>
      </c>
      <c r="AV5453" s="6">
        <v>42041</v>
      </c>
      <c r="AW5453" t="s">
        <v>54</v>
      </c>
      <c r="AX5453" t="str">
        <f t="shared" si="462"/>
        <v>FOR</v>
      </c>
      <c r="AY5453" t="s">
        <v>55</v>
      </c>
    </row>
    <row r="5454" spans="1:51" hidden="1">
      <c r="A5454">
        <v>102802</v>
      </c>
      <c r="B5454" t="s">
        <v>996</v>
      </c>
      <c r="C5454" t="str">
        <f t="shared" si="463"/>
        <v>01387091216</v>
      </c>
      <c r="D5454" t="str">
        <f t="shared" si="464"/>
        <v>05063110638</v>
      </c>
      <c r="E5454" t="s">
        <v>52</v>
      </c>
      <c r="F5454">
        <v>2014</v>
      </c>
      <c r="G5454">
        <v>192</v>
      </c>
      <c r="H5454" s="1">
        <v>41698</v>
      </c>
      <c r="I5454" s="1">
        <v>41715</v>
      </c>
      <c r="J5454" s="1">
        <v>41715</v>
      </c>
      <c r="K5454" s="1">
        <v>41805</v>
      </c>
      <c r="N5454" s="5"/>
      <c r="O5454" s="2">
        <v>4941</v>
      </c>
      <c r="P5454">
        <v>236</v>
      </c>
      <c r="Q5454" s="2">
        <v>1166076</v>
      </c>
      <c r="R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 s="1">
        <v>42382</v>
      </c>
      <c r="AC5454" t="s">
        <v>53</v>
      </c>
      <c r="AD5454" t="s">
        <v>53</v>
      </c>
      <c r="AK5454">
        <v>0</v>
      </c>
      <c r="AU5454" s="6">
        <v>42041</v>
      </c>
      <c r="AV5454" s="6">
        <v>42041</v>
      </c>
      <c r="AW5454" t="s">
        <v>54</v>
      </c>
      <c r="AX5454" t="str">
        <f t="shared" si="462"/>
        <v>FOR</v>
      </c>
      <c r="AY5454" t="s">
        <v>55</v>
      </c>
    </row>
    <row r="5455" spans="1:51" hidden="1">
      <c r="A5455">
        <v>102802</v>
      </c>
      <c r="B5455" t="s">
        <v>996</v>
      </c>
      <c r="C5455" t="str">
        <f t="shared" si="463"/>
        <v>01387091216</v>
      </c>
      <c r="D5455" t="str">
        <f t="shared" si="464"/>
        <v>05063110638</v>
      </c>
      <c r="E5455" t="s">
        <v>52</v>
      </c>
      <c r="F5455">
        <v>2014</v>
      </c>
      <c r="G5455">
        <v>193</v>
      </c>
      <c r="H5455" s="1">
        <v>41698</v>
      </c>
      <c r="I5455" s="1">
        <v>41715</v>
      </c>
      <c r="J5455" s="1">
        <v>41715</v>
      </c>
      <c r="K5455" s="1">
        <v>41805</v>
      </c>
      <c r="N5455" s="5"/>
      <c r="O5455">
        <v>404.13</v>
      </c>
      <c r="P5455">
        <v>236</v>
      </c>
      <c r="Q5455" s="2">
        <v>95374.68</v>
      </c>
      <c r="R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 s="1">
        <v>42382</v>
      </c>
      <c r="AC5455" t="s">
        <v>53</v>
      </c>
      <c r="AD5455" t="s">
        <v>53</v>
      </c>
      <c r="AK5455">
        <v>0</v>
      </c>
      <c r="AU5455" s="6">
        <v>42041</v>
      </c>
      <c r="AV5455" s="6">
        <v>42041</v>
      </c>
      <c r="AW5455" t="s">
        <v>54</v>
      </c>
      <c r="AX5455" t="str">
        <f t="shared" si="462"/>
        <v>FOR</v>
      </c>
      <c r="AY5455" t="s">
        <v>55</v>
      </c>
    </row>
    <row r="5456" spans="1:51" hidden="1">
      <c r="A5456">
        <v>102802</v>
      </c>
      <c r="B5456" t="s">
        <v>996</v>
      </c>
      <c r="C5456" t="str">
        <f t="shared" si="463"/>
        <v>01387091216</v>
      </c>
      <c r="D5456" t="str">
        <f t="shared" si="464"/>
        <v>05063110638</v>
      </c>
      <c r="E5456" t="s">
        <v>52</v>
      </c>
      <c r="F5456">
        <v>2014</v>
      </c>
      <c r="G5456">
        <v>194</v>
      </c>
      <c r="H5456" s="1">
        <v>41698</v>
      </c>
      <c r="I5456" s="1">
        <v>41715</v>
      </c>
      <c r="J5456" s="1">
        <v>41715</v>
      </c>
      <c r="K5456" s="1">
        <v>41805</v>
      </c>
      <c r="N5456" s="5"/>
      <c r="O5456">
        <v>404.13</v>
      </c>
      <c r="P5456">
        <v>236</v>
      </c>
      <c r="Q5456" s="2">
        <v>95374.68</v>
      </c>
      <c r="R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 s="1">
        <v>42382</v>
      </c>
      <c r="AC5456" t="s">
        <v>53</v>
      </c>
      <c r="AD5456" t="s">
        <v>53</v>
      </c>
      <c r="AK5456">
        <v>0</v>
      </c>
      <c r="AU5456" s="6">
        <v>42041</v>
      </c>
      <c r="AV5456" s="6">
        <v>42041</v>
      </c>
      <c r="AW5456" t="s">
        <v>54</v>
      </c>
      <c r="AX5456" t="str">
        <f t="shared" si="462"/>
        <v>FOR</v>
      </c>
      <c r="AY5456" t="s">
        <v>55</v>
      </c>
    </row>
    <row r="5457" spans="1:51" hidden="1">
      <c r="A5457">
        <v>102802</v>
      </c>
      <c r="B5457" t="s">
        <v>996</v>
      </c>
      <c r="C5457" t="str">
        <f t="shared" si="463"/>
        <v>01387091216</v>
      </c>
      <c r="D5457" t="str">
        <f t="shared" si="464"/>
        <v>05063110638</v>
      </c>
      <c r="E5457" t="s">
        <v>52</v>
      </c>
      <c r="F5457">
        <v>2014</v>
      </c>
      <c r="G5457">
        <v>272</v>
      </c>
      <c r="H5457" s="1">
        <v>41713</v>
      </c>
      <c r="I5457" s="1">
        <v>41739</v>
      </c>
      <c r="J5457" s="1">
        <v>41739</v>
      </c>
      <c r="K5457" s="1">
        <v>41829</v>
      </c>
      <c r="N5457" s="5"/>
      <c r="O5457" s="2">
        <v>1720.2</v>
      </c>
      <c r="P5457">
        <v>334</v>
      </c>
      <c r="Q5457" s="2">
        <v>574546.80000000005</v>
      </c>
      <c r="R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 s="1">
        <v>42382</v>
      </c>
      <c r="AC5457" t="s">
        <v>53</v>
      </c>
      <c r="AD5457" t="s">
        <v>53</v>
      </c>
      <c r="AK5457">
        <v>0</v>
      </c>
      <c r="AU5457" s="6">
        <v>42163</v>
      </c>
      <c r="AV5457" s="6">
        <v>42163</v>
      </c>
      <c r="AW5457" t="s">
        <v>54</v>
      </c>
      <c r="AX5457" t="str">
        <f t="shared" si="462"/>
        <v>FOR</v>
      </c>
      <c r="AY5457" t="s">
        <v>55</v>
      </c>
    </row>
    <row r="5458" spans="1:51" hidden="1">
      <c r="A5458">
        <v>102802</v>
      </c>
      <c r="B5458" t="s">
        <v>996</v>
      </c>
      <c r="C5458" t="str">
        <f t="shared" si="463"/>
        <v>01387091216</v>
      </c>
      <c r="D5458" t="str">
        <f t="shared" si="464"/>
        <v>05063110638</v>
      </c>
      <c r="E5458" t="s">
        <v>52</v>
      </c>
      <c r="F5458">
        <v>2014</v>
      </c>
      <c r="G5458">
        <v>273</v>
      </c>
      <c r="H5458" s="1">
        <v>41713</v>
      </c>
      <c r="I5458" s="1">
        <v>41739</v>
      </c>
      <c r="J5458" s="1">
        <v>41739</v>
      </c>
      <c r="K5458" s="1">
        <v>41829</v>
      </c>
      <c r="N5458" s="5"/>
      <c r="O5458" s="2">
        <v>3586.8</v>
      </c>
      <c r="P5458">
        <v>334</v>
      </c>
      <c r="Q5458" s="2">
        <v>1197991.2</v>
      </c>
      <c r="R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 s="1">
        <v>42382</v>
      </c>
      <c r="AC5458" t="s">
        <v>53</v>
      </c>
      <c r="AD5458" t="s">
        <v>53</v>
      </c>
      <c r="AK5458">
        <v>0</v>
      </c>
      <c r="AU5458" s="6">
        <v>42163</v>
      </c>
      <c r="AV5458" s="6">
        <v>42163</v>
      </c>
      <c r="AW5458" t="s">
        <v>54</v>
      </c>
      <c r="AX5458" t="str">
        <f t="shared" si="462"/>
        <v>FOR</v>
      </c>
      <c r="AY5458" t="s">
        <v>55</v>
      </c>
    </row>
    <row r="5459" spans="1:51" hidden="1">
      <c r="A5459">
        <v>102802</v>
      </c>
      <c r="B5459" t="s">
        <v>996</v>
      </c>
      <c r="C5459" t="str">
        <f t="shared" si="463"/>
        <v>01387091216</v>
      </c>
      <c r="D5459" t="str">
        <f t="shared" si="464"/>
        <v>05063110638</v>
      </c>
      <c r="E5459" t="s">
        <v>52</v>
      </c>
      <c r="F5459">
        <v>2014</v>
      </c>
      <c r="G5459">
        <v>274</v>
      </c>
      <c r="H5459" s="1">
        <v>41713</v>
      </c>
      <c r="I5459" s="1">
        <v>41739</v>
      </c>
      <c r="J5459" s="1">
        <v>41739</v>
      </c>
      <c r="K5459" s="1">
        <v>41829</v>
      </c>
      <c r="N5459" s="5"/>
      <c r="O5459" s="2">
        <v>1616.5</v>
      </c>
      <c r="P5459">
        <v>334</v>
      </c>
      <c r="Q5459" s="2">
        <v>539911</v>
      </c>
      <c r="R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 s="1">
        <v>42382</v>
      </c>
      <c r="AC5459" t="s">
        <v>53</v>
      </c>
      <c r="AD5459" t="s">
        <v>53</v>
      </c>
      <c r="AK5459">
        <v>0</v>
      </c>
      <c r="AU5459" s="6">
        <v>42163</v>
      </c>
      <c r="AV5459" s="6">
        <v>42163</v>
      </c>
      <c r="AW5459" t="s">
        <v>54</v>
      </c>
      <c r="AX5459" t="str">
        <f t="shared" si="462"/>
        <v>FOR</v>
      </c>
      <c r="AY5459" t="s">
        <v>55</v>
      </c>
    </row>
    <row r="5460" spans="1:51" hidden="1">
      <c r="A5460">
        <v>102802</v>
      </c>
      <c r="B5460" t="s">
        <v>996</v>
      </c>
      <c r="C5460" t="str">
        <f t="shared" si="463"/>
        <v>01387091216</v>
      </c>
      <c r="D5460" t="str">
        <f t="shared" si="464"/>
        <v>05063110638</v>
      </c>
      <c r="E5460" t="s">
        <v>52</v>
      </c>
      <c r="F5460">
        <v>2014</v>
      </c>
      <c r="G5460">
        <v>275</v>
      </c>
      <c r="H5460" s="1">
        <v>41713</v>
      </c>
      <c r="I5460" s="1">
        <v>41739</v>
      </c>
      <c r="J5460" s="1">
        <v>41739</v>
      </c>
      <c r="K5460" s="1">
        <v>41829</v>
      </c>
      <c r="N5460" s="5"/>
      <c r="O5460">
        <v>402.6</v>
      </c>
      <c r="P5460">
        <v>334</v>
      </c>
      <c r="Q5460" s="2">
        <v>134468.4</v>
      </c>
      <c r="R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 s="1">
        <v>42382</v>
      </c>
      <c r="AC5460" t="s">
        <v>53</v>
      </c>
      <c r="AD5460" t="s">
        <v>53</v>
      </c>
      <c r="AK5460">
        <v>0</v>
      </c>
      <c r="AU5460" s="6">
        <v>42163</v>
      </c>
      <c r="AV5460" s="6">
        <v>42163</v>
      </c>
      <c r="AW5460" t="s">
        <v>54</v>
      </c>
      <c r="AX5460" t="str">
        <f t="shared" si="462"/>
        <v>FOR</v>
      </c>
      <c r="AY5460" t="s">
        <v>55</v>
      </c>
    </row>
    <row r="5461" spans="1:51" hidden="1">
      <c r="A5461">
        <v>102802</v>
      </c>
      <c r="B5461" t="s">
        <v>996</v>
      </c>
      <c r="C5461" t="str">
        <f t="shared" si="463"/>
        <v>01387091216</v>
      </c>
      <c r="D5461" t="str">
        <f t="shared" si="464"/>
        <v>05063110638</v>
      </c>
      <c r="E5461" t="s">
        <v>52</v>
      </c>
      <c r="F5461">
        <v>2014</v>
      </c>
      <c r="G5461">
        <v>338</v>
      </c>
      <c r="H5461" s="1">
        <v>41729</v>
      </c>
      <c r="I5461" s="1">
        <v>41745</v>
      </c>
      <c r="J5461" s="1">
        <v>41745</v>
      </c>
      <c r="K5461" s="1">
        <v>41835</v>
      </c>
      <c r="N5461" s="5"/>
      <c r="O5461" s="2">
        <v>1573.8</v>
      </c>
      <c r="P5461">
        <v>328</v>
      </c>
      <c r="Q5461" s="2">
        <v>516206.4</v>
      </c>
      <c r="R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 s="1">
        <v>42382</v>
      </c>
      <c r="AC5461" t="s">
        <v>53</v>
      </c>
      <c r="AD5461" t="s">
        <v>53</v>
      </c>
      <c r="AK5461">
        <v>0</v>
      </c>
      <c r="AU5461" s="6">
        <v>42163</v>
      </c>
      <c r="AV5461" s="6">
        <v>42163</v>
      </c>
      <c r="AW5461" t="s">
        <v>54</v>
      </c>
      <c r="AX5461" t="str">
        <f t="shared" si="462"/>
        <v>FOR</v>
      </c>
      <c r="AY5461" t="s">
        <v>55</v>
      </c>
    </row>
    <row r="5462" spans="1:51" hidden="1">
      <c r="A5462">
        <v>102802</v>
      </c>
      <c r="B5462" t="s">
        <v>996</v>
      </c>
      <c r="C5462" t="str">
        <f t="shared" si="463"/>
        <v>01387091216</v>
      </c>
      <c r="D5462" t="str">
        <f t="shared" si="464"/>
        <v>05063110638</v>
      </c>
      <c r="E5462" t="s">
        <v>52</v>
      </c>
      <c r="F5462">
        <v>2014</v>
      </c>
      <c r="G5462">
        <v>463</v>
      </c>
      <c r="H5462" s="1">
        <v>41759</v>
      </c>
      <c r="I5462" s="1">
        <v>41773</v>
      </c>
      <c r="J5462" s="1">
        <v>41773</v>
      </c>
      <c r="K5462" s="1">
        <v>41863</v>
      </c>
      <c r="N5462" s="5"/>
      <c r="O5462" s="2">
        <v>3440.4</v>
      </c>
      <c r="P5462">
        <v>300</v>
      </c>
      <c r="Q5462" s="2">
        <v>1032120</v>
      </c>
      <c r="R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 s="1">
        <v>42382</v>
      </c>
      <c r="AC5462" t="s">
        <v>53</v>
      </c>
      <c r="AD5462" t="s">
        <v>53</v>
      </c>
      <c r="AK5462">
        <v>0</v>
      </c>
      <c r="AU5462" s="6">
        <v>42163</v>
      </c>
      <c r="AV5462" s="6">
        <v>42163</v>
      </c>
      <c r="AW5462" t="s">
        <v>54</v>
      </c>
      <c r="AX5462" t="str">
        <f t="shared" si="462"/>
        <v>FOR</v>
      </c>
      <c r="AY5462" t="s">
        <v>55</v>
      </c>
    </row>
    <row r="5463" spans="1:51" hidden="1">
      <c r="A5463">
        <v>102802</v>
      </c>
      <c r="B5463" t="s">
        <v>996</v>
      </c>
      <c r="C5463" t="str">
        <f t="shared" si="463"/>
        <v>01387091216</v>
      </c>
      <c r="D5463" t="str">
        <f t="shared" si="464"/>
        <v>05063110638</v>
      </c>
      <c r="E5463" t="s">
        <v>52</v>
      </c>
      <c r="F5463">
        <v>2014</v>
      </c>
      <c r="G5463">
        <v>516</v>
      </c>
      <c r="H5463" s="1">
        <v>41774</v>
      </c>
      <c r="I5463" s="1">
        <v>41788</v>
      </c>
      <c r="J5463" s="1">
        <v>41788</v>
      </c>
      <c r="K5463" s="1">
        <v>41878</v>
      </c>
      <c r="N5463" s="5"/>
      <c r="O5463" s="2">
        <v>1720.2</v>
      </c>
      <c r="P5463">
        <v>285</v>
      </c>
      <c r="Q5463" s="2">
        <v>490257</v>
      </c>
      <c r="R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 s="1">
        <v>42382</v>
      </c>
      <c r="AC5463" t="s">
        <v>53</v>
      </c>
      <c r="AD5463" t="s">
        <v>53</v>
      </c>
      <c r="AK5463">
        <v>0</v>
      </c>
      <c r="AU5463" s="6">
        <v>42163</v>
      </c>
      <c r="AV5463" s="6">
        <v>42163</v>
      </c>
      <c r="AW5463" t="s">
        <v>54</v>
      </c>
      <c r="AX5463" t="str">
        <f t="shared" si="462"/>
        <v>FOR</v>
      </c>
      <c r="AY5463" t="s">
        <v>55</v>
      </c>
    </row>
    <row r="5464" spans="1:51" hidden="1">
      <c r="A5464">
        <v>102802</v>
      </c>
      <c r="B5464" t="s">
        <v>996</v>
      </c>
      <c r="C5464" t="str">
        <f t="shared" si="463"/>
        <v>01387091216</v>
      </c>
      <c r="D5464" t="str">
        <f t="shared" si="464"/>
        <v>05063110638</v>
      </c>
      <c r="E5464" t="s">
        <v>52</v>
      </c>
      <c r="F5464">
        <v>2014</v>
      </c>
      <c r="G5464">
        <v>517</v>
      </c>
      <c r="H5464" s="1">
        <v>41774</v>
      </c>
      <c r="I5464" s="1">
        <v>41788</v>
      </c>
      <c r="J5464" s="1">
        <v>41788</v>
      </c>
      <c r="K5464" s="1">
        <v>41878</v>
      </c>
      <c r="N5464" s="5"/>
      <c r="O5464" s="2">
        <v>1720.2</v>
      </c>
      <c r="P5464">
        <v>285</v>
      </c>
      <c r="Q5464" s="2">
        <v>490257</v>
      </c>
      <c r="R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 s="1">
        <v>42382</v>
      </c>
      <c r="AC5464" t="s">
        <v>53</v>
      </c>
      <c r="AD5464" t="s">
        <v>53</v>
      </c>
      <c r="AK5464">
        <v>0</v>
      </c>
      <c r="AU5464" s="6">
        <v>42163</v>
      </c>
      <c r="AV5464" s="6">
        <v>42163</v>
      </c>
      <c r="AW5464" t="s">
        <v>54</v>
      </c>
      <c r="AX5464" t="str">
        <f t="shared" si="462"/>
        <v>FOR</v>
      </c>
      <c r="AY5464" t="s">
        <v>55</v>
      </c>
    </row>
    <row r="5465" spans="1:51" hidden="1">
      <c r="A5465">
        <v>102802</v>
      </c>
      <c r="B5465" t="s">
        <v>996</v>
      </c>
      <c r="C5465" t="str">
        <f t="shared" si="463"/>
        <v>01387091216</v>
      </c>
      <c r="D5465" t="str">
        <f t="shared" si="464"/>
        <v>05063110638</v>
      </c>
      <c r="E5465" t="s">
        <v>52</v>
      </c>
      <c r="F5465">
        <v>2014</v>
      </c>
      <c r="G5465">
        <v>637</v>
      </c>
      <c r="H5465" s="1">
        <v>41805</v>
      </c>
      <c r="I5465" s="1">
        <v>41816</v>
      </c>
      <c r="J5465" s="1">
        <v>41816</v>
      </c>
      <c r="K5465" s="1">
        <v>41906</v>
      </c>
      <c r="N5465" s="5"/>
      <c r="O5465" s="2">
        <v>2470.5</v>
      </c>
      <c r="P5465">
        <v>257</v>
      </c>
      <c r="Q5465" s="2">
        <v>634918.5</v>
      </c>
      <c r="R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 s="1">
        <v>42382</v>
      </c>
      <c r="AC5465" t="s">
        <v>53</v>
      </c>
      <c r="AD5465" t="s">
        <v>53</v>
      </c>
      <c r="AK5465">
        <v>0</v>
      </c>
      <c r="AU5465" s="6">
        <v>42163</v>
      </c>
      <c r="AV5465" s="6">
        <v>42163</v>
      </c>
      <c r="AW5465" t="s">
        <v>54</v>
      </c>
      <c r="AX5465" t="str">
        <f t="shared" si="462"/>
        <v>FOR</v>
      </c>
      <c r="AY5465" t="s">
        <v>55</v>
      </c>
    </row>
    <row r="5466" spans="1:51" hidden="1">
      <c r="A5466">
        <v>102802</v>
      </c>
      <c r="B5466" t="s">
        <v>996</v>
      </c>
      <c r="C5466" t="str">
        <f t="shared" si="463"/>
        <v>01387091216</v>
      </c>
      <c r="D5466" t="str">
        <f t="shared" si="464"/>
        <v>05063110638</v>
      </c>
      <c r="E5466" t="s">
        <v>52</v>
      </c>
      <c r="F5466">
        <v>2014</v>
      </c>
      <c r="G5466">
        <v>638</v>
      </c>
      <c r="H5466" s="1">
        <v>41805</v>
      </c>
      <c r="I5466" s="1">
        <v>41816</v>
      </c>
      <c r="J5466" s="1">
        <v>41816</v>
      </c>
      <c r="K5466" s="1">
        <v>41906</v>
      </c>
      <c r="N5466" s="5"/>
      <c r="O5466" s="2">
        <v>3440.4</v>
      </c>
      <c r="P5466">
        <v>257</v>
      </c>
      <c r="Q5466" s="2">
        <v>884182.8</v>
      </c>
      <c r="R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 s="1">
        <v>42382</v>
      </c>
      <c r="AC5466" t="s">
        <v>53</v>
      </c>
      <c r="AD5466" t="s">
        <v>53</v>
      </c>
      <c r="AK5466">
        <v>0</v>
      </c>
      <c r="AU5466" s="6">
        <v>42163</v>
      </c>
      <c r="AV5466" s="6">
        <v>42163</v>
      </c>
      <c r="AW5466" t="s">
        <v>54</v>
      </c>
      <c r="AX5466" t="str">
        <f t="shared" si="462"/>
        <v>FOR</v>
      </c>
      <c r="AY5466" t="s">
        <v>55</v>
      </c>
    </row>
    <row r="5467" spans="1:51" hidden="1">
      <c r="A5467">
        <v>102802</v>
      </c>
      <c r="B5467" t="s">
        <v>996</v>
      </c>
      <c r="C5467" t="str">
        <f t="shared" si="463"/>
        <v>01387091216</v>
      </c>
      <c r="D5467" t="str">
        <f t="shared" si="464"/>
        <v>05063110638</v>
      </c>
      <c r="E5467" t="s">
        <v>52</v>
      </c>
      <c r="F5467">
        <v>2014</v>
      </c>
      <c r="G5467">
        <v>767</v>
      </c>
      <c r="H5467" s="1">
        <v>41835</v>
      </c>
      <c r="I5467" s="1">
        <v>41851</v>
      </c>
      <c r="J5467" s="1">
        <v>41851</v>
      </c>
      <c r="K5467" s="1">
        <v>41941</v>
      </c>
      <c r="N5467" s="5"/>
      <c r="O5467" s="2">
        <v>3440.4</v>
      </c>
      <c r="P5467">
        <v>247</v>
      </c>
      <c r="Q5467" s="2">
        <v>849778.8</v>
      </c>
      <c r="R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 s="1">
        <v>42382</v>
      </c>
      <c r="AC5467" t="s">
        <v>53</v>
      </c>
      <c r="AD5467" t="s">
        <v>53</v>
      </c>
      <c r="AK5467">
        <v>0</v>
      </c>
      <c r="AU5467" s="6">
        <v>42188</v>
      </c>
      <c r="AV5467" s="6">
        <v>42188</v>
      </c>
      <c r="AW5467" t="s">
        <v>54</v>
      </c>
      <c r="AX5467" t="str">
        <f t="shared" si="462"/>
        <v>FOR</v>
      </c>
      <c r="AY5467" t="s">
        <v>55</v>
      </c>
    </row>
    <row r="5468" spans="1:51" hidden="1">
      <c r="A5468">
        <v>102802</v>
      </c>
      <c r="B5468" t="s">
        <v>996</v>
      </c>
      <c r="C5468" t="str">
        <f t="shared" si="463"/>
        <v>01387091216</v>
      </c>
      <c r="D5468" t="str">
        <f t="shared" si="464"/>
        <v>05063110638</v>
      </c>
      <c r="E5468" t="s">
        <v>52</v>
      </c>
      <c r="F5468">
        <v>2014</v>
      </c>
      <c r="G5468">
        <v>768</v>
      </c>
      <c r="H5468" s="1">
        <v>41835</v>
      </c>
      <c r="I5468" s="1">
        <v>41851</v>
      </c>
      <c r="J5468" s="1">
        <v>41851</v>
      </c>
      <c r="K5468" s="1">
        <v>41941</v>
      </c>
      <c r="N5468" s="5"/>
      <c r="O5468" s="2">
        <v>3440.4</v>
      </c>
      <c r="P5468">
        <v>247</v>
      </c>
      <c r="Q5468" s="2">
        <v>849778.8</v>
      </c>
      <c r="R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 s="1">
        <v>42382</v>
      </c>
      <c r="AC5468" t="s">
        <v>53</v>
      </c>
      <c r="AD5468" t="s">
        <v>53</v>
      </c>
      <c r="AK5468">
        <v>0</v>
      </c>
      <c r="AU5468" s="6">
        <v>42188</v>
      </c>
      <c r="AV5468" s="6">
        <v>42188</v>
      </c>
      <c r="AW5468" t="s">
        <v>54</v>
      </c>
      <c r="AX5468" t="str">
        <f t="shared" si="462"/>
        <v>FOR</v>
      </c>
      <c r="AY5468" t="s">
        <v>55</v>
      </c>
    </row>
    <row r="5469" spans="1:51" hidden="1">
      <c r="A5469">
        <v>102802</v>
      </c>
      <c r="B5469" t="s">
        <v>996</v>
      </c>
      <c r="C5469" t="str">
        <f t="shared" si="463"/>
        <v>01387091216</v>
      </c>
      <c r="D5469" t="str">
        <f t="shared" si="464"/>
        <v>05063110638</v>
      </c>
      <c r="E5469" t="s">
        <v>52</v>
      </c>
      <c r="F5469">
        <v>2014</v>
      </c>
      <c r="G5469">
        <v>819</v>
      </c>
      <c r="H5469" s="1">
        <v>41851</v>
      </c>
      <c r="I5469" s="1">
        <v>41877</v>
      </c>
      <c r="J5469" s="1">
        <v>41877</v>
      </c>
      <c r="K5469" s="1">
        <v>41967</v>
      </c>
      <c r="N5469" s="5"/>
      <c r="O5469" s="2">
        <v>1293.2</v>
      </c>
      <c r="P5469">
        <v>221</v>
      </c>
      <c r="Q5469" s="2">
        <v>285797.2</v>
      </c>
      <c r="R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 s="1">
        <v>42382</v>
      </c>
      <c r="AC5469" t="s">
        <v>53</v>
      </c>
      <c r="AD5469" t="s">
        <v>53</v>
      </c>
      <c r="AK5469">
        <v>0</v>
      </c>
      <c r="AU5469" s="6">
        <v>42188</v>
      </c>
      <c r="AV5469" s="6">
        <v>42188</v>
      </c>
      <c r="AW5469" t="s">
        <v>54</v>
      </c>
      <c r="AX5469" t="str">
        <f t="shared" si="462"/>
        <v>FOR</v>
      </c>
      <c r="AY5469" t="s">
        <v>55</v>
      </c>
    </row>
    <row r="5470" spans="1:51" hidden="1">
      <c r="A5470">
        <v>102802</v>
      </c>
      <c r="B5470" t="s">
        <v>996</v>
      </c>
      <c r="C5470" t="str">
        <f t="shared" si="463"/>
        <v>01387091216</v>
      </c>
      <c r="D5470" t="str">
        <f t="shared" si="464"/>
        <v>05063110638</v>
      </c>
      <c r="E5470" t="s">
        <v>52</v>
      </c>
      <c r="F5470">
        <v>2014</v>
      </c>
      <c r="G5470">
        <v>870</v>
      </c>
      <c r="H5470" s="1">
        <v>41881</v>
      </c>
      <c r="I5470" s="1">
        <v>41893</v>
      </c>
      <c r="J5470" s="1">
        <v>41893</v>
      </c>
      <c r="K5470" s="1">
        <v>41983</v>
      </c>
      <c r="N5470" s="5"/>
      <c r="O5470" s="2">
        <v>3440.4</v>
      </c>
      <c r="P5470">
        <v>205</v>
      </c>
      <c r="Q5470" s="2">
        <v>705282</v>
      </c>
      <c r="R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 s="1">
        <v>42382</v>
      </c>
      <c r="AC5470" t="s">
        <v>53</v>
      </c>
      <c r="AD5470" t="s">
        <v>53</v>
      </c>
      <c r="AK5470">
        <v>0</v>
      </c>
      <c r="AU5470" s="6">
        <v>42188</v>
      </c>
      <c r="AV5470" s="6">
        <v>42188</v>
      </c>
      <c r="AW5470" t="s">
        <v>54</v>
      </c>
      <c r="AX5470" t="str">
        <f t="shared" si="462"/>
        <v>FOR</v>
      </c>
      <c r="AY5470" t="s">
        <v>55</v>
      </c>
    </row>
    <row r="5471" spans="1:51" hidden="1">
      <c r="A5471">
        <v>102802</v>
      </c>
      <c r="B5471" t="s">
        <v>996</v>
      </c>
      <c r="C5471" t="str">
        <f t="shared" si="463"/>
        <v>01387091216</v>
      </c>
      <c r="D5471" t="str">
        <f t="shared" si="464"/>
        <v>05063110638</v>
      </c>
      <c r="E5471" t="s">
        <v>52</v>
      </c>
      <c r="F5471">
        <v>2014</v>
      </c>
      <c r="G5471">
        <v>908</v>
      </c>
      <c r="H5471" s="1">
        <v>41897</v>
      </c>
      <c r="I5471" s="1">
        <v>41915</v>
      </c>
      <c r="J5471" s="1">
        <v>41915</v>
      </c>
      <c r="K5471" s="1">
        <v>42005</v>
      </c>
      <c r="N5471" s="5"/>
      <c r="O5471" s="2">
        <v>1939.8</v>
      </c>
      <c r="P5471">
        <v>243</v>
      </c>
      <c r="Q5471" s="2">
        <v>471371.4</v>
      </c>
      <c r="R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 s="1">
        <v>42382</v>
      </c>
      <c r="AC5471" t="s">
        <v>53</v>
      </c>
      <c r="AD5471" t="s">
        <v>53</v>
      </c>
      <c r="AK5471">
        <v>0</v>
      </c>
      <c r="AU5471" s="6">
        <v>42248</v>
      </c>
      <c r="AV5471" s="6">
        <v>42248</v>
      </c>
      <c r="AW5471" t="s">
        <v>54</v>
      </c>
      <c r="AX5471" t="str">
        <f t="shared" si="462"/>
        <v>FOR</v>
      </c>
      <c r="AY5471" t="s">
        <v>55</v>
      </c>
    </row>
    <row r="5472" spans="1:51" hidden="1">
      <c r="A5472">
        <v>102802</v>
      </c>
      <c r="B5472" t="s">
        <v>996</v>
      </c>
      <c r="C5472" t="str">
        <f t="shared" si="463"/>
        <v>01387091216</v>
      </c>
      <c r="D5472" t="str">
        <f t="shared" si="464"/>
        <v>05063110638</v>
      </c>
      <c r="E5472" t="s">
        <v>52</v>
      </c>
      <c r="F5472">
        <v>2014</v>
      </c>
      <c r="G5472">
        <v>909</v>
      </c>
      <c r="H5472" s="1">
        <v>41897</v>
      </c>
      <c r="I5472" s="1">
        <v>41915</v>
      </c>
      <c r="J5472" s="1">
        <v>41915</v>
      </c>
      <c r="K5472" s="1">
        <v>42005</v>
      </c>
      <c r="N5472" s="5"/>
      <c r="O5472" s="2">
        <v>3440.4</v>
      </c>
      <c r="P5472">
        <v>243</v>
      </c>
      <c r="Q5472" s="2">
        <v>836017.2</v>
      </c>
      <c r="R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 s="1">
        <v>42382</v>
      </c>
      <c r="AC5472" t="s">
        <v>53</v>
      </c>
      <c r="AD5472" t="s">
        <v>53</v>
      </c>
      <c r="AK5472">
        <v>0</v>
      </c>
      <c r="AU5472" s="6">
        <v>42248</v>
      </c>
      <c r="AV5472" s="6">
        <v>42248</v>
      </c>
      <c r="AW5472" t="s">
        <v>54</v>
      </c>
      <c r="AX5472" t="str">
        <f t="shared" si="462"/>
        <v>FOR</v>
      </c>
      <c r="AY5472" t="s">
        <v>55</v>
      </c>
    </row>
    <row r="5473" spans="1:51" hidden="1">
      <c r="A5473">
        <v>102802</v>
      </c>
      <c r="B5473" t="s">
        <v>996</v>
      </c>
      <c r="C5473" t="str">
        <f t="shared" si="463"/>
        <v>01387091216</v>
      </c>
      <c r="D5473" t="str">
        <f t="shared" si="464"/>
        <v>05063110638</v>
      </c>
      <c r="E5473" t="s">
        <v>52</v>
      </c>
      <c r="F5473">
        <v>2014</v>
      </c>
      <c r="G5473">
        <v>953</v>
      </c>
      <c r="H5473" s="1">
        <v>41900</v>
      </c>
      <c r="I5473" s="1">
        <v>41915</v>
      </c>
      <c r="J5473" s="1">
        <v>41915</v>
      </c>
      <c r="K5473" s="1">
        <v>42005</v>
      </c>
      <c r="N5473" s="5"/>
      <c r="O5473" s="2">
        <v>3184.2</v>
      </c>
      <c r="P5473">
        <v>243</v>
      </c>
      <c r="Q5473" s="2">
        <v>773760.6</v>
      </c>
      <c r="R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 s="1">
        <v>42382</v>
      </c>
      <c r="AC5473" t="s">
        <v>53</v>
      </c>
      <c r="AD5473" t="s">
        <v>53</v>
      </c>
      <c r="AK5473">
        <v>0</v>
      </c>
      <c r="AU5473" s="6">
        <v>42248</v>
      </c>
      <c r="AV5473" s="6">
        <v>42248</v>
      </c>
      <c r="AW5473" t="s">
        <v>54</v>
      </c>
      <c r="AX5473" t="str">
        <f t="shared" si="462"/>
        <v>FOR</v>
      </c>
      <c r="AY5473" t="s">
        <v>55</v>
      </c>
    </row>
    <row r="5474" spans="1:51" hidden="1">
      <c r="A5474">
        <v>102802</v>
      </c>
      <c r="B5474" t="s">
        <v>996</v>
      </c>
      <c r="C5474" t="str">
        <f t="shared" si="463"/>
        <v>01387091216</v>
      </c>
      <c r="D5474" t="str">
        <f t="shared" si="464"/>
        <v>05063110638</v>
      </c>
      <c r="E5474" t="s">
        <v>52</v>
      </c>
      <c r="F5474">
        <v>2014</v>
      </c>
      <c r="G5474">
        <v>978</v>
      </c>
      <c r="H5474" s="1">
        <v>41912</v>
      </c>
      <c r="I5474" s="1">
        <v>41928</v>
      </c>
      <c r="J5474" s="1">
        <v>41928</v>
      </c>
      <c r="K5474" s="1">
        <v>41988</v>
      </c>
      <c r="N5474" s="5"/>
      <c r="O5474" s="2">
        <v>2470.5</v>
      </c>
      <c r="P5474">
        <v>260</v>
      </c>
      <c r="Q5474" s="2">
        <v>642330</v>
      </c>
      <c r="R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 s="1">
        <v>42382</v>
      </c>
      <c r="AC5474" t="s">
        <v>53</v>
      </c>
      <c r="AD5474" t="s">
        <v>53</v>
      </c>
      <c r="AK5474">
        <v>0</v>
      </c>
      <c r="AU5474" s="6">
        <v>42248</v>
      </c>
      <c r="AV5474" s="6">
        <v>42248</v>
      </c>
      <c r="AW5474" t="s">
        <v>54</v>
      </c>
      <c r="AX5474" t="str">
        <f t="shared" si="462"/>
        <v>FOR</v>
      </c>
      <c r="AY5474" t="s">
        <v>55</v>
      </c>
    </row>
    <row r="5475" spans="1:51">
      <c r="A5475">
        <v>102802</v>
      </c>
      <c r="B5475" t="s">
        <v>996</v>
      </c>
      <c r="C5475" t="str">
        <f t="shared" si="463"/>
        <v>01387091216</v>
      </c>
      <c r="D5475" t="str">
        <f t="shared" si="464"/>
        <v>05063110638</v>
      </c>
      <c r="E5475" t="s">
        <v>52</v>
      </c>
      <c r="F5475">
        <v>2014</v>
      </c>
      <c r="G5475">
        <v>1052</v>
      </c>
      <c r="H5475" s="1">
        <v>41927</v>
      </c>
      <c r="I5475" s="1">
        <v>41946</v>
      </c>
      <c r="J5475" s="1">
        <v>41946</v>
      </c>
      <c r="K5475" s="1">
        <v>42006</v>
      </c>
      <c r="L5475" s="7">
        <v>2470.5</v>
      </c>
      <c r="M5475" s="5">
        <v>272</v>
      </c>
      <c r="N5475" s="7">
        <v>671976</v>
      </c>
      <c r="O5475" s="2">
        <v>2470.5</v>
      </c>
      <c r="P5475">
        <v>272</v>
      </c>
      <c r="Q5475" s="2">
        <v>671976</v>
      </c>
      <c r="R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 s="1">
        <v>42382</v>
      </c>
      <c r="AC5475" t="s">
        <v>53</v>
      </c>
      <c r="AD5475" t="s">
        <v>53</v>
      </c>
      <c r="AK5475">
        <v>0</v>
      </c>
      <c r="AU5475" s="6">
        <v>42278</v>
      </c>
      <c r="AV5475" s="6">
        <v>42278</v>
      </c>
      <c r="AW5475" t="s">
        <v>54</v>
      </c>
      <c r="AX5475" t="str">
        <f t="shared" si="462"/>
        <v>FOR</v>
      </c>
      <c r="AY5475" t="s">
        <v>55</v>
      </c>
    </row>
    <row r="5476" spans="1:51">
      <c r="A5476">
        <v>102802</v>
      </c>
      <c r="B5476" t="s">
        <v>996</v>
      </c>
      <c r="C5476" t="str">
        <f t="shared" si="463"/>
        <v>01387091216</v>
      </c>
      <c r="D5476" t="str">
        <f t="shared" si="464"/>
        <v>05063110638</v>
      </c>
      <c r="E5476" t="s">
        <v>52</v>
      </c>
      <c r="F5476">
        <v>2014</v>
      </c>
      <c r="G5476">
        <v>1100</v>
      </c>
      <c r="H5476" s="1">
        <v>41943</v>
      </c>
      <c r="I5476" s="1">
        <v>41956</v>
      </c>
      <c r="J5476" s="1">
        <v>41956</v>
      </c>
      <c r="K5476" s="1">
        <v>42016</v>
      </c>
      <c r="L5476" s="7">
        <v>4941</v>
      </c>
      <c r="M5476" s="5">
        <v>262</v>
      </c>
      <c r="N5476" s="7">
        <v>1294542</v>
      </c>
      <c r="O5476" s="2">
        <v>4941</v>
      </c>
      <c r="P5476">
        <v>262</v>
      </c>
      <c r="Q5476" s="2">
        <v>1294542</v>
      </c>
      <c r="R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 s="1">
        <v>42382</v>
      </c>
      <c r="AC5476" t="s">
        <v>53</v>
      </c>
      <c r="AD5476" t="s">
        <v>53</v>
      </c>
      <c r="AK5476">
        <v>0</v>
      </c>
      <c r="AU5476" s="6">
        <v>42278</v>
      </c>
      <c r="AV5476" s="6">
        <v>42278</v>
      </c>
      <c r="AW5476" t="s">
        <v>54</v>
      </c>
      <c r="AX5476" t="str">
        <f t="shared" si="462"/>
        <v>FOR</v>
      </c>
      <c r="AY5476" t="s">
        <v>55</v>
      </c>
    </row>
    <row r="5477" spans="1:51">
      <c r="A5477">
        <v>102802</v>
      </c>
      <c r="B5477" t="s">
        <v>996</v>
      </c>
      <c r="C5477" t="str">
        <f t="shared" si="463"/>
        <v>01387091216</v>
      </c>
      <c r="D5477" t="str">
        <f t="shared" si="464"/>
        <v>05063110638</v>
      </c>
      <c r="E5477" t="s">
        <v>52</v>
      </c>
      <c r="F5477">
        <v>2014</v>
      </c>
      <c r="G5477">
        <v>1101</v>
      </c>
      <c r="H5477" s="1">
        <v>41943</v>
      </c>
      <c r="I5477" s="1">
        <v>41956</v>
      </c>
      <c r="J5477" s="1">
        <v>41956</v>
      </c>
      <c r="K5477" s="1">
        <v>42016</v>
      </c>
      <c r="L5477" s="7">
        <v>2915.8</v>
      </c>
      <c r="M5477" s="5">
        <v>262</v>
      </c>
      <c r="N5477" s="7">
        <v>763939.6</v>
      </c>
      <c r="O5477" s="2">
        <v>2915.8</v>
      </c>
      <c r="P5477">
        <v>262</v>
      </c>
      <c r="Q5477" s="2">
        <v>763939.6</v>
      </c>
      <c r="R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 s="1">
        <v>42382</v>
      </c>
      <c r="AC5477" t="s">
        <v>53</v>
      </c>
      <c r="AD5477" t="s">
        <v>53</v>
      </c>
      <c r="AK5477">
        <v>0</v>
      </c>
      <c r="AU5477" s="6">
        <v>42278</v>
      </c>
      <c r="AV5477" s="6">
        <v>42278</v>
      </c>
      <c r="AW5477" t="s">
        <v>54</v>
      </c>
      <c r="AX5477" t="str">
        <f t="shared" si="462"/>
        <v>FOR</v>
      </c>
      <c r="AY5477" t="s">
        <v>55</v>
      </c>
    </row>
    <row r="5478" spans="1:51">
      <c r="A5478">
        <v>102802</v>
      </c>
      <c r="B5478" t="s">
        <v>996</v>
      </c>
      <c r="C5478" t="str">
        <f t="shared" si="463"/>
        <v>01387091216</v>
      </c>
      <c r="D5478" t="str">
        <f t="shared" si="464"/>
        <v>05063110638</v>
      </c>
      <c r="E5478" t="s">
        <v>52</v>
      </c>
      <c r="F5478">
        <v>2014</v>
      </c>
      <c r="G5478">
        <v>1217</v>
      </c>
      <c r="H5478" s="1">
        <v>41973</v>
      </c>
      <c r="I5478" s="1">
        <v>41985</v>
      </c>
      <c r="J5478" s="1">
        <v>41985</v>
      </c>
      <c r="K5478" s="1">
        <v>42045</v>
      </c>
      <c r="L5478" s="7">
        <v>402.6</v>
      </c>
      <c r="M5478" s="5">
        <v>259</v>
      </c>
      <c r="N5478" s="7">
        <v>104273.4</v>
      </c>
      <c r="O5478">
        <v>402.6</v>
      </c>
      <c r="P5478">
        <v>259</v>
      </c>
      <c r="Q5478" s="2">
        <v>104273.4</v>
      </c>
      <c r="R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 s="1">
        <v>42382</v>
      </c>
      <c r="AC5478" t="s">
        <v>53</v>
      </c>
      <c r="AD5478" t="s">
        <v>53</v>
      </c>
      <c r="AK5478">
        <v>0</v>
      </c>
      <c r="AU5478" s="6">
        <v>42304</v>
      </c>
      <c r="AV5478" s="6">
        <v>42304</v>
      </c>
      <c r="AW5478" t="s">
        <v>54</v>
      </c>
      <c r="AX5478" t="str">
        <f t="shared" si="462"/>
        <v>FOR</v>
      </c>
      <c r="AY5478" t="s">
        <v>55</v>
      </c>
    </row>
    <row r="5479" spans="1:51">
      <c r="A5479">
        <v>102802</v>
      </c>
      <c r="B5479" t="s">
        <v>996</v>
      </c>
      <c r="C5479" t="str">
        <f t="shared" si="463"/>
        <v>01387091216</v>
      </c>
      <c r="D5479" t="str">
        <f t="shared" si="464"/>
        <v>05063110638</v>
      </c>
      <c r="E5479" t="s">
        <v>52</v>
      </c>
      <c r="F5479">
        <v>2014</v>
      </c>
      <c r="G5479">
        <v>1303</v>
      </c>
      <c r="H5479" s="1">
        <v>42002</v>
      </c>
      <c r="I5479" s="1">
        <v>42019</v>
      </c>
      <c r="J5479" s="1">
        <v>42019</v>
      </c>
      <c r="K5479" s="1">
        <v>42079</v>
      </c>
      <c r="L5479" s="7">
        <v>2470.5</v>
      </c>
      <c r="M5479" s="5">
        <v>225</v>
      </c>
      <c r="N5479" s="7">
        <v>555862.5</v>
      </c>
      <c r="O5479" s="2">
        <v>2470.5</v>
      </c>
      <c r="P5479">
        <v>225</v>
      </c>
      <c r="Q5479" s="2">
        <v>555862.5</v>
      </c>
      <c r="R5479">
        <v>0</v>
      </c>
      <c r="V5479">
        <v>0</v>
      </c>
      <c r="W5479">
        <v>0</v>
      </c>
      <c r="X5479">
        <v>0</v>
      </c>
      <c r="Y5479">
        <v>0</v>
      </c>
      <c r="Z5479" s="2">
        <v>2470.5</v>
      </c>
      <c r="AA5479">
        <v>0</v>
      </c>
      <c r="AB5479" s="1">
        <v>42382</v>
      </c>
      <c r="AC5479" t="s">
        <v>53</v>
      </c>
      <c r="AD5479" t="s">
        <v>53</v>
      </c>
      <c r="AK5479">
        <v>0</v>
      </c>
      <c r="AU5479" s="6">
        <v>42304</v>
      </c>
      <c r="AV5479" s="6">
        <v>42304</v>
      </c>
      <c r="AW5479" t="s">
        <v>54</v>
      </c>
      <c r="AX5479" t="str">
        <f t="shared" si="462"/>
        <v>FOR</v>
      </c>
      <c r="AY5479" t="s">
        <v>55</v>
      </c>
    </row>
    <row r="5480" spans="1:51">
      <c r="A5480">
        <v>102802</v>
      </c>
      <c r="B5480" t="s">
        <v>996</v>
      </c>
      <c r="C5480" t="str">
        <f t="shared" si="463"/>
        <v>01387091216</v>
      </c>
      <c r="D5480" t="str">
        <f t="shared" si="464"/>
        <v>05063110638</v>
      </c>
      <c r="E5480" t="s">
        <v>52</v>
      </c>
      <c r="F5480">
        <v>2014</v>
      </c>
      <c r="G5480">
        <v>1328</v>
      </c>
      <c r="H5480" s="1">
        <v>42004</v>
      </c>
      <c r="I5480" s="1">
        <v>42019</v>
      </c>
      <c r="J5480" s="1">
        <v>42019</v>
      </c>
      <c r="K5480" s="1">
        <v>42079</v>
      </c>
      <c r="L5480" s="7">
        <v>4941</v>
      </c>
      <c r="M5480" s="5">
        <v>225</v>
      </c>
      <c r="N5480" s="7">
        <v>1111725</v>
      </c>
      <c r="O5480" s="2">
        <v>4941</v>
      </c>
      <c r="P5480">
        <v>225</v>
      </c>
      <c r="Q5480" s="2">
        <v>1111725</v>
      </c>
      <c r="R5480">
        <v>0</v>
      </c>
      <c r="V5480">
        <v>0</v>
      </c>
      <c r="W5480">
        <v>0</v>
      </c>
      <c r="X5480">
        <v>0</v>
      </c>
      <c r="Y5480">
        <v>0</v>
      </c>
      <c r="Z5480" s="2">
        <v>4941</v>
      </c>
      <c r="AA5480">
        <v>0</v>
      </c>
      <c r="AB5480" s="1">
        <v>42382</v>
      </c>
      <c r="AC5480" t="s">
        <v>53</v>
      </c>
      <c r="AD5480" t="s">
        <v>53</v>
      </c>
      <c r="AK5480">
        <v>0</v>
      </c>
      <c r="AU5480" s="6">
        <v>42304</v>
      </c>
      <c r="AV5480" s="6">
        <v>42304</v>
      </c>
      <c r="AW5480" t="s">
        <v>54</v>
      </c>
      <c r="AX5480" t="str">
        <f t="shared" si="462"/>
        <v>FOR</v>
      </c>
      <c r="AY5480" t="s">
        <v>55</v>
      </c>
    </row>
    <row r="5481" spans="1:51">
      <c r="A5481">
        <v>102802</v>
      </c>
      <c r="B5481" t="s">
        <v>996</v>
      </c>
      <c r="C5481" t="str">
        <f t="shared" si="463"/>
        <v>01387091216</v>
      </c>
      <c r="D5481" t="str">
        <f t="shared" si="464"/>
        <v>05063110638</v>
      </c>
      <c r="E5481" t="s">
        <v>52</v>
      </c>
      <c r="F5481">
        <v>2015</v>
      </c>
      <c r="G5481">
        <v>59</v>
      </c>
      <c r="H5481" s="1">
        <v>42035</v>
      </c>
      <c r="I5481" s="1">
        <v>42053</v>
      </c>
      <c r="J5481" s="1">
        <v>42053</v>
      </c>
      <c r="K5481" s="1">
        <v>42113</v>
      </c>
      <c r="L5481" s="7">
        <v>2820</v>
      </c>
      <c r="M5481" s="5">
        <v>242</v>
      </c>
      <c r="N5481" s="7">
        <v>682440</v>
      </c>
      <c r="O5481" s="2">
        <v>2820</v>
      </c>
      <c r="P5481">
        <v>242</v>
      </c>
      <c r="Q5481" s="2">
        <v>682440</v>
      </c>
      <c r="R5481">
        <v>620.4</v>
      </c>
      <c r="V5481">
        <v>0</v>
      </c>
      <c r="W5481">
        <v>0</v>
      </c>
      <c r="X5481">
        <v>0</v>
      </c>
      <c r="Y5481" s="2">
        <v>3440.4</v>
      </c>
      <c r="Z5481" s="2">
        <v>3440.4</v>
      </c>
      <c r="AA5481" s="2">
        <v>3440.4</v>
      </c>
      <c r="AB5481" s="1">
        <v>42382</v>
      </c>
      <c r="AC5481" t="s">
        <v>53</v>
      </c>
      <c r="AD5481" t="s">
        <v>53</v>
      </c>
      <c r="AK5481">
        <v>620.4</v>
      </c>
      <c r="AU5481" s="6">
        <v>42355</v>
      </c>
      <c r="AV5481" s="6">
        <v>42355</v>
      </c>
      <c r="AW5481" t="s">
        <v>54</v>
      </c>
      <c r="AX5481" t="str">
        <f t="shared" si="462"/>
        <v>FOR</v>
      </c>
      <c r="AY5481" t="s">
        <v>55</v>
      </c>
    </row>
    <row r="5482" spans="1:51">
      <c r="A5482">
        <v>102802</v>
      </c>
      <c r="B5482" t="s">
        <v>996</v>
      </c>
      <c r="C5482" t="str">
        <f t="shared" si="463"/>
        <v>01387091216</v>
      </c>
      <c r="D5482" t="str">
        <f t="shared" si="464"/>
        <v>05063110638</v>
      </c>
      <c r="E5482" t="s">
        <v>52</v>
      </c>
      <c r="F5482">
        <v>2015</v>
      </c>
      <c r="G5482">
        <v>60</v>
      </c>
      <c r="H5482" s="1">
        <v>42035</v>
      </c>
      <c r="I5482" s="1">
        <v>42053</v>
      </c>
      <c r="J5482" s="1">
        <v>42053</v>
      </c>
      <c r="K5482" s="1">
        <v>42113</v>
      </c>
      <c r="L5482" s="7">
        <v>1960</v>
      </c>
      <c r="M5482" s="5">
        <v>242</v>
      </c>
      <c r="N5482" s="7">
        <v>474320</v>
      </c>
      <c r="O5482" s="2">
        <v>1960</v>
      </c>
      <c r="P5482">
        <v>242</v>
      </c>
      <c r="Q5482" s="2">
        <v>474320</v>
      </c>
      <c r="R5482">
        <v>431.2</v>
      </c>
      <c r="V5482">
        <v>0</v>
      </c>
      <c r="W5482">
        <v>0</v>
      </c>
      <c r="X5482">
        <v>0</v>
      </c>
      <c r="Y5482" s="2">
        <v>2391.1999999999998</v>
      </c>
      <c r="Z5482" s="2">
        <v>2391.1999999999998</v>
      </c>
      <c r="AA5482" s="2">
        <v>2391.1999999999998</v>
      </c>
      <c r="AB5482" s="1">
        <v>42382</v>
      </c>
      <c r="AC5482" t="s">
        <v>53</v>
      </c>
      <c r="AD5482" t="s">
        <v>53</v>
      </c>
      <c r="AK5482">
        <v>431.2</v>
      </c>
      <c r="AU5482" s="6">
        <v>42355</v>
      </c>
      <c r="AV5482" s="6">
        <v>42355</v>
      </c>
      <c r="AW5482" t="s">
        <v>54</v>
      </c>
      <c r="AX5482" t="str">
        <f t="shared" si="462"/>
        <v>FOR</v>
      </c>
      <c r="AY5482" t="s">
        <v>55</v>
      </c>
    </row>
    <row r="5483" spans="1:51" hidden="1">
      <c r="A5483">
        <v>102814</v>
      </c>
      <c r="B5483" t="s">
        <v>997</v>
      </c>
      <c r="C5483" t="str">
        <f t="shared" ref="C5483:C5489" si="465">"01248280628"</f>
        <v>01248280628</v>
      </c>
      <c r="D5483" t="str">
        <f t="shared" ref="D5483:D5489" si="466">"MTRGNN58R17A783H"</f>
        <v>MTRGNN58R17A783H</v>
      </c>
      <c r="E5483" t="s">
        <v>52</v>
      </c>
      <c r="F5483">
        <v>2014</v>
      </c>
      <c r="G5483">
        <v>10</v>
      </c>
      <c r="H5483" s="1">
        <v>41964</v>
      </c>
      <c r="I5483" s="1">
        <v>41967</v>
      </c>
      <c r="J5483" s="1">
        <v>41967</v>
      </c>
      <c r="K5483" s="1">
        <v>42027</v>
      </c>
      <c r="N5483" s="5"/>
      <c r="O5483" s="2">
        <v>1189.5</v>
      </c>
      <c r="P5483">
        <v>-9</v>
      </c>
      <c r="Q5483" s="2">
        <v>-10705.5</v>
      </c>
      <c r="R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 s="1">
        <v>42382</v>
      </c>
      <c r="AC5483" t="s">
        <v>53</v>
      </c>
      <c r="AD5483" t="s">
        <v>53</v>
      </c>
      <c r="AK5483">
        <v>0</v>
      </c>
      <c r="AU5483" s="6">
        <v>42018</v>
      </c>
      <c r="AV5483" s="6">
        <v>42018</v>
      </c>
      <c r="AW5483" t="s">
        <v>54</v>
      </c>
      <c r="AX5483" t="str">
        <f t="shared" si="462"/>
        <v>FOR</v>
      </c>
      <c r="AY5483" t="s">
        <v>55</v>
      </c>
    </row>
    <row r="5484" spans="1:51" hidden="1">
      <c r="A5484">
        <v>102814</v>
      </c>
      <c r="B5484" t="s">
        <v>997</v>
      </c>
      <c r="C5484" t="str">
        <f t="shared" si="465"/>
        <v>01248280628</v>
      </c>
      <c r="D5484" t="str">
        <f t="shared" si="466"/>
        <v>MTRGNN58R17A783H</v>
      </c>
      <c r="E5484" t="s">
        <v>52</v>
      </c>
      <c r="F5484">
        <v>2014</v>
      </c>
      <c r="G5484">
        <v>11</v>
      </c>
      <c r="H5484" s="1">
        <v>41969</v>
      </c>
      <c r="I5484" s="1">
        <v>41971</v>
      </c>
      <c r="J5484" s="1">
        <v>41971</v>
      </c>
      <c r="K5484" s="1">
        <v>42031</v>
      </c>
      <c r="N5484" s="5"/>
      <c r="O5484" s="2">
        <v>5745</v>
      </c>
      <c r="P5484">
        <v>-13</v>
      </c>
      <c r="Q5484" s="2">
        <v>-74685</v>
      </c>
      <c r="R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 s="1">
        <v>42382</v>
      </c>
      <c r="AC5484" t="s">
        <v>53</v>
      </c>
      <c r="AD5484" t="s">
        <v>53</v>
      </c>
      <c r="AK5484">
        <v>0</v>
      </c>
      <c r="AU5484" s="6">
        <v>42018</v>
      </c>
      <c r="AV5484" s="6">
        <v>42018</v>
      </c>
      <c r="AW5484" t="s">
        <v>54</v>
      </c>
      <c r="AX5484" t="str">
        <f t="shared" si="462"/>
        <v>FOR</v>
      </c>
      <c r="AY5484" t="s">
        <v>55</v>
      </c>
    </row>
    <row r="5485" spans="1:51" hidden="1">
      <c r="A5485">
        <v>102814</v>
      </c>
      <c r="B5485" t="s">
        <v>997</v>
      </c>
      <c r="C5485" t="str">
        <f t="shared" si="465"/>
        <v>01248280628</v>
      </c>
      <c r="D5485" t="str">
        <f t="shared" si="466"/>
        <v>MTRGNN58R17A783H</v>
      </c>
      <c r="E5485" t="s">
        <v>52</v>
      </c>
      <c r="F5485">
        <v>2014</v>
      </c>
      <c r="G5485" t="s">
        <v>437</v>
      </c>
      <c r="H5485" s="1">
        <v>41932</v>
      </c>
      <c r="I5485" s="1">
        <v>41941</v>
      </c>
      <c r="J5485" s="1">
        <v>41941</v>
      </c>
      <c r="K5485" s="1">
        <v>42001</v>
      </c>
      <c r="N5485" s="5"/>
      <c r="O5485">
        <v>597.79999999999995</v>
      </c>
      <c r="P5485">
        <v>39</v>
      </c>
      <c r="Q5485" s="2">
        <v>23314.2</v>
      </c>
      <c r="R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 s="1">
        <v>42382</v>
      </c>
      <c r="AC5485" t="s">
        <v>53</v>
      </c>
      <c r="AD5485" t="s">
        <v>53</v>
      </c>
      <c r="AK5485">
        <v>0</v>
      </c>
      <c r="AU5485" s="6">
        <v>42040</v>
      </c>
      <c r="AV5485" s="6">
        <v>42040</v>
      </c>
      <c r="AW5485" t="s">
        <v>54</v>
      </c>
      <c r="AX5485" t="str">
        <f t="shared" si="462"/>
        <v>FOR</v>
      </c>
      <c r="AY5485" t="s">
        <v>55</v>
      </c>
    </row>
    <row r="5486" spans="1:51" hidden="1">
      <c r="A5486">
        <v>102814</v>
      </c>
      <c r="B5486" t="s">
        <v>997</v>
      </c>
      <c r="C5486" t="str">
        <f t="shared" si="465"/>
        <v>01248280628</v>
      </c>
      <c r="D5486" t="str">
        <f t="shared" si="466"/>
        <v>MTRGNN58R17A783H</v>
      </c>
      <c r="E5486" t="s">
        <v>52</v>
      </c>
      <c r="F5486">
        <v>2014</v>
      </c>
      <c r="G5486" t="s">
        <v>405</v>
      </c>
      <c r="H5486" s="1">
        <v>41943</v>
      </c>
      <c r="I5486" s="1">
        <v>41946</v>
      </c>
      <c r="J5486" s="1">
        <v>41946</v>
      </c>
      <c r="K5486" s="1">
        <v>42006</v>
      </c>
      <c r="N5486" s="5"/>
      <c r="O5486">
        <v>305</v>
      </c>
      <c r="P5486">
        <v>34</v>
      </c>
      <c r="Q5486" s="2">
        <v>10370</v>
      </c>
      <c r="R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 s="1">
        <v>42382</v>
      </c>
      <c r="AC5486" t="s">
        <v>53</v>
      </c>
      <c r="AD5486" t="s">
        <v>53</v>
      </c>
      <c r="AK5486">
        <v>0</v>
      </c>
      <c r="AU5486" s="6">
        <v>42040</v>
      </c>
      <c r="AV5486" s="6">
        <v>42040</v>
      </c>
      <c r="AW5486" t="s">
        <v>54</v>
      </c>
      <c r="AX5486" t="str">
        <f t="shared" si="462"/>
        <v>FOR</v>
      </c>
      <c r="AY5486" t="s">
        <v>55</v>
      </c>
    </row>
    <row r="5487" spans="1:51" hidden="1">
      <c r="A5487">
        <v>102814</v>
      </c>
      <c r="B5487" t="s">
        <v>997</v>
      </c>
      <c r="C5487" t="str">
        <f t="shared" si="465"/>
        <v>01248280628</v>
      </c>
      <c r="D5487" t="str">
        <f t="shared" si="466"/>
        <v>MTRGNN58R17A783H</v>
      </c>
      <c r="E5487" t="s">
        <v>52</v>
      </c>
      <c r="F5487">
        <v>2015</v>
      </c>
      <c r="G5487">
        <v>1</v>
      </c>
      <c r="H5487" s="1">
        <v>42074</v>
      </c>
      <c r="I5487" s="1">
        <v>42080</v>
      </c>
      <c r="J5487" s="1">
        <v>42080</v>
      </c>
      <c r="K5487" s="1">
        <v>42140</v>
      </c>
      <c r="N5487" s="5"/>
      <c r="O5487" s="2">
        <v>1414.39</v>
      </c>
      <c r="P5487">
        <v>46</v>
      </c>
      <c r="Q5487" s="2">
        <v>65061.94</v>
      </c>
      <c r="R5487">
        <v>0</v>
      </c>
      <c r="V5487">
        <v>0</v>
      </c>
      <c r="W5487">
        <v>0</v>
      </c>
      <c r="X5487">
        <v>0</v>
      </c>
      <c r="Y5487" s="2">
        <v>1725.56</v>
      </c>
      <c r="Z5487" s="2">
        <v>1725.56</v>
      </c>
      <c r="AA5487" s="2">
        <v>1725.56</v>
      </c>
      <c r="AB5487" s="1">
        <v>42382</v>
      </c>
      <c r="AC5487" t="s">
        <v>53</v>
      </c>
      <c r="AD5487" t="s">
        <v>53</v>
      </c>
      <c r="AK5487">
        <v>0</v>
      </c>
      <c r="AU5487" s="6">
        <v>42186</v>
      </c>
      <c r="AV5487" s="6">
        <v>42186</v>
      </c>
      <c r="AW5487" t="s">
        <v>54</v>
      </c>
      <c r="AX5487" t="str">
        <f t="shared" si="462"/>
        <v>FOR</v>
      </c>
      <c r="AY5487" t="s">
        <v>55</v>
      </c>
    </row>
    <row r="5488" spans="1:51">
      <c r="A5488">
        <v>102814</v>
      </c>
      <c r="B5488" t="s">
        <v>997</v>
      </c>
      <c r="C5488" t="str">
        <f t="shared" si="465"/>
        <v>01248280628</v>
      </c>
      <c r="D5488" t="str">
        <f t="shared" si="466"/>
        <v>MTRGNN58R17A783H</v>
      </c>
      <c r="E5488" t="s">
        <v>52</v>
      </c>
      <c r="F5488">
        <v>2015</v>
      </c>
      <c r="G5488" t="s">
        <v>998</v>
      </c>
      <c r="H5488" s="1">
        <v>42191</v>
      </c>
      <c r="I5488" s="1">
        <v>42192</v>
      </c>
      <c r="J5488" s="1">
        <v>42191</v>
      </c>
      <c r="K5488" s="1">
        <v>42251</v>
      </c>
      <c r="L5488" s="7">
        <v>280</v>
      </c>
      <c r="M5488" s="5">
        <v>33</v>
      </c>
      <c r="N5488" s="7">
        <v>9240</v>
      </c>
      <c r="O5488">
        <v>280</v>
      </c>
      <c r="P5488">
        <v>33</v>
      </c>
      <c r="Q5488" s="2">
        <v>9240</v>
      </c>
      <c r="R5488">
        <v>61.6</v>
      </c>
      <c r="V5488">
        <v>0</v>
      </c>
      <c r="W5488">
        <v>0</v>
      </c>
      <c r="X5488">
        <v>0</v>
      </c>
      <c r="Y5488">
        <v>341.6</v>
      </c>
      <c r="Z5488">
        <v>341.6</v>
      </c>
      <c r="AA5488">
        <v>341.6</v>
      </c>
      <c r="AB5488" s="1">
        <v>42382</v>
      </c>
      <c r="AC5488" t="s">
        <v>53</v>
      </c>
      <c r="AD5488" t="s">
        <v>53</v>
      </c>
      <c r="AH5488">
        <v>61.6</v>
      </c>
      <c r="AK5488">
        <v>0</v>
      </c>
      <c r="AU5488" s="6">
        <v>42284</v>
      </c>
      <c r="AV5488" s="6">
        <v>42284</v>
      </c>
      <c r="AW5488" t="s">
        <v>54</v>
      </c>
      <c r="AX5488" t="str">
        <f t="shared" si="462"/>
        <v>FOR</v>
      </c>
      <c r="AY5488" t="s">
        <v>55</v>
      </c>
    </row>
    <row r="5489" spans="1:51">
      <c r="A5489">
        <v>102814</v>
      </c>
      <c r="B5489" t="s">
        <v>997</v>
      </c>
      <c r="C5489" t="str">
        <f t="shared" si="465"/>
        <v>01248280628</v>
      </c>
      <c r="D5489" t="str">
        <f t="shared" si="466"/>
        <v>MTRGNN58R17A783H</v>
      </c>
      <c r="E5489" t="s">
        <v>52</v>
      </c>
      <c r="F5489">
        <v>2015</v>
      </c>
      <c r="G5489" t="s">
        <v>999</v>
      </c>
      <c r="H5489" s="1">
        <v>42191</v>
      </c>
      <c r="I5489" s="1">
        <v>42192</v>
      </c>
      <c r="J5489" s="1">
        <v>42191</v>
      </c>
      <c r="K5489" s="1">
        <v>42251</v>
      </c>
      <c r="L5489" s="7">
        <v>100</v>
      </c>
      <c r="M5489" s="5">
        <v>33</v>
      </c>
      <c r="N5489" s="7">
        <v>3300</v>
      </c>
      <c r="O5489">
        <v>100</v>
      </c>
      <c r="P5489">
        <v>33</v>
      </c>
      <c r="Q5489" s="2">
        <v>3300</v>
      </c>
      <c r="R5489">
        <v>22</v>
      </c>
      <c r="V5489">
        <v>0</v>
      </c>
      <c r="W5489">
        <v>0</v>
      </c>
      <c r="X5489">
        <v>0</v>
      </c>
      <c r="Y5489">
        <v>122</v>
      </c>
      <c r="Z5489">
        <v>122</v>
      </c>
      <c r="AA5489">
        <v>122</v>
      </c>
      <c r="AB5489" s="1">
        <v>42382</v>
      </c>
      <c r="AC5489" t="s">
        <v>53</v>
      </c>
      <c r="AD5489" t="s">
        <v>53</v>
      </c>
      <c r="AH5489">
        <v>22</v>
      </c>
      <c r="AK5489">
        <v>0</v>
      </c>
      <c r="AU5489" s="6">
        <v>42284</v>
      </c>
      <c r="AV5489" s="6">
        <v>42284</v>
      </c>
      <c r="AW5489" t="s">
        <v>54</v>
      </c>
      <c r="AX5489" t="str">
        <f t="shared" si="462"/>
        <v>FOR</v>
      </c>
      <c r="AY5489" t="s">
        <v>55</v>
      </c>
    </row>
    <row r="5490" spans="1:51" hidden="1">
      <c r="A5490">
        <v>102819</v>
      </c>
      <c r="B5490" t="s">
        <v>1000</v>
      </c>
      <c r="C5490" t="str">
        <f t="shared" ref="C5490:D5501" si="467">"06754140157"</f>
        <v>06754140157</v>
      </c>
      <c r="D5490" t="str">
        <f t="shared" si="467"/>
        <v>06754140157</v>
      </c>
      <c r="E5490" t="s">
        <v>52</v>
      </c>
      <c r="F5490">
        <v>2014</v>
      </c>
      <c r="G5490">
        <v>2150</v>
      </c>
      <c r="H5490" s="1">
        <v>41695</v>
      </c>
      <c r="I5490" s="1">
        <v>41697</v>
      </c>
      <c r="J5490" s="1">
        <v>41697</v>
      </c>
      <c r="K5490" s="1">
        <v>41787</v>
      </c>
      <c r="N5490" s="5"/>
      <c r="O5490">
        <v>951.6</v>
      </c>
      <c r="P5490">
        <v>250</v>
      </c>
      <c r="Q5490" s="2">
        <v>237900</v>
      </c>
      <c r="R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 s="1">
        <v>42382</v>
      </c>
      <c r="AC5490" t="s">
        <v>53</v>
      </c>
      <c r="AD5490" t="s">
        <v>53</v>
      </c>
      <c r="AK5490">
        <v>0</v>
      </c>
      <c r="AU5490" s="6">
        <v>42037</v>
      </c>
      <c r="AV5490" s="6">
        <v>42037</v>
      </c>
      <c r="AW5490" t="s">
        <v>54</v>
      </c>
      <c r="AX5490" t="str">
        <f t="shared" si="462"/>
        <v>FOR</v>
      </c>
      <c r="AY5490" t="s">
        <v>55</v>
      </c>
    </row>
    <row r="5491" spans="1:51" hidden="1">
      <c r="A5491">
        <v>102819</v>
      </c>
      <c r="B5491" t="s">
        <v>1000</v>
      </c>
      <c r="C5491" t="str">
        <f t="shared" si="467"/>
        <v>06754140157</v>
      </c>
      <c r="D5491" t="str">
        <f t="shared" si="467"/>
        <v>06754140157</v>
      </c>
      <c r="E5491" t="s">
        <v>52</v>
      </c>
      <c r="F5491">
        <v>2014</v>
      </c>
      <c r="G5491">
        <v>3378</v>
      </c>
      <c r="H5491" s="1">
        <v>41722</v>
      </c>
      <c r="I5491" s="1">
        <v>42185</v>
      </c>
      <c r="J5491" s="1">
        <v>42185</v>
      </c>
      <c r="K5491" s="1">
        <v>42245</v>
      </c>
      <c r="N5491" s="5"/>
      <c r="O5491">
        <v>391.62</v>
      </c>
      <c r="P5491">
        <v>30</v>
      </c>
      <c r="Q5491" s="2">
        <v>11748.6</v>
      </c>
      <c r="R5491">
        <v>0</v>
      </c>
      <c r="V5491">
        <v>0</v>
      </c>
      <c r="W5491">
        <v>0</v>
      </c>
      <c r="X5491">
        <v>0</v>
      </c>
      <c r="Y5491">
        <v>0</v>
      </c>
      <c r="Z5491">
        <v>391.62</v>
      </c>
      <c r="AA5491">
        <v>0</v>
      </c>
      <c r="AB5491" s="1">
        <v>42382</v>
      </c>
      <c r="AC5491" t="s">
        <v>53</v>
      </c>
      <c r="AD5491" t="s">
        <v>53</v>
      </c>
      <c r="AK5491">
        <v>0</v>
      </c>
      <c r="AU5491" s="6">
        <v>42275</v>
      </c>
      <c r="AV5491" s="6">
        <v>42275</v>
      </c>
      <c r="AW5491" t="s">
        <v>54</v>
      </c>
      <c r="AX5491" t="str">
        <f t="shared" si="462"/>
        <v>FOR</v>
      </c>
      <c r="AY5491" t="s">
        <v>55</v>
      </c>
    </row>
    <row r="5492" spans="1:51" hidden="1">
      <c r="A5492">
        <v>102819</v>
      </c>
      <c r="B5492" t="s">
        <v>1000</v>
      </c>
      <c r="C5492" t="str">
        <f t="shared" si="467"/>
        <v>06754140157</v>
      </c>
      <c r="D5492" t="str">
        <f t="shared" si="467"/>
        <v>06754140157</v>
      </c>
      <c r="E5492" t="s">
        <v>52</v>
      </c>
      <c r="F5492">
        <v>2014</v>
      </c>
      <c r="G5492">
        <v>6312</v>
      </c>
      <c r="H5492" s="1">
        <v>41794</v>
      </c>
      <c r="I5492" s="1">
        <v>41796</v>
      </c>
      <c r="J5492" s="1">
        <v>41796</v>
      </c>
      <c r="K5492" s="1">
        <v>41886</v>
      </c>
      <c r="N5492" s="5"/>
      <c r="O5492">
        <v>475.07</v>
      </c>
      <c r="P5492">
        <v>273</v>
      </c>
      <c r="Q5492" s="2">
        <v>129694.11</v>
      </c>
      <c r="R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 s="1">
        <v>42382</v>
      </c>
      <c r="AC5492" t="s">
        <v>53</v>
      </c>
      <c r="AD5492" t="s">
        <v>53</v>
      </c>
      <c r="AK5492">
        <v>0</v>
      </c>
      <c r="AU5492" s="6">
        <v>42159</v>
      </c>
      <c r="AV5492" s="6">
        <v>42159</v>
      </c>
      <c r="AW5492" t="s">
        <v>54</v>
      </c>
      <c r="AX5492" t="str">
        <f t="shared" si="462"/>
        <v>FOR</v>
      </c>
      <c r="AY5492" t="s">
        <v>55</v>
      </c>
    </row>
    <row r="5493" spans="1:51" hidden="1">
      <c r="A5493">
        <v>102819</v>
      </c>
      <c r="B5493" t="s">
        <v>1000</v>
      </c>
      <c r="C5493" t="str">
        <f t="shared" si="467"/>
        <v>06754140157</v>
      </c>
      <c r="D5493" t="str">
        <f t="shared" si="467"/>
        <v>06754140157</v>
      </c>
      <c r="E5493" t="s">
        <v>52</v>
      </c>
      <c r="F5493">
        <v>2014</v>
      </c>
      <c r="G5493">
        <v>8326</v>
      </c>
      <c r="H5493" s="1">
        <v>41841</v>
      </c>
      <c r="I5493" s="1">
        <v>42080</v>
      </c>
      <c r="J5493" s="1">
        <v>42080</v>
      </c>
      <c r="K5493" s="1">
        <v>42140</v>
      </c>
      <c r="N5493" s="5"/>
      <c r="O5493">
        <v>694.67</v>
      </c>
      <c r="P5493">
        <v>19</v>
      </c>
      <c r="Q5493" s="2">
        <v>13198.73</v>
      </c>
      <c r="R5493">
        <v>0</v>
      </c>
      <c r="V5493">
        <v>0</v>
      </c>
      <c r="W5493">
        <v>0</v>
      </c>
      <c r="X5493">
        <v>0</v>
      </c>
      <c r="Y5493">
        <v>0</v>
      </c>
      <c r="Z5493">
        <v>694.67</v>
      </c>
      <c r="AA5493">
        <v>0</v>
      </c>
      <c r="AB5493" s="1">
        <v>42382</v>
      </c>
      <c r="AC5493" t="s">
        <v>53</v>
      </c>
      <c r="AD5493" t="s">
        <v>53</v>
      </c>
      <c r="AK5493">
        <v>0</v>
      </c>
      <c r="AU5493" s="6">
        <v>42159</v>
      </c>
      <c r="AV5493" s="6">
        <v>42159</v>
      </c>
      <c r="AW5493" t="s">
        <v>54</v>
      </c>
      <c r="AX5493" t="str">
        <f t="shared" si="462"/>
        <v>FOR</v>
      </c>
      <c r="AY5493" t="s">
        <v>55</v>
      </c>
    </row>
    <row r="5494" spans="1:51" hidden="1">
      <c r="A5494">
        <v>102819</v>
      </c>
      <c r="B5494" t="s">
        <v>1000</v>
      </c>
      <c r="C5494" t="str">
        <f t="shared" si="467"/>
        <v>06754140157</v>
      </c>
      <c r="D5494" t="str">
        <f t="shared" si="467"/>
        <v>06754140157</v>
      </c>
      <c r="E5494" t="s">
        <v>52</v>
      </c>
      <c r="F5494">
        <v>2014</v>
      </c>
      <c r="G5494">
        <v>10412</v>
      </c>
      <c r="H5494" s="1">
        <v>41905</v>
      </c>
      <c r="I5494" s="1">
        <v>42080</v>
      </c>
      <c r="J5494" s="1">
        <v>42080</v>
      </c>
      <c r="K5494" s="1">
        <v>42140</v>
      </c>
      <c r="N5494" s="5"/>
      <c r="O5494">
        <v>49.53</v>
      </c>
      <c r="P5494">
        <v>19</v>
      </c>
      <c r="Q5494">
        <v>941.07</v>
      </c>
      <c r="R5494">
        <v>0</v>
      </c>
      <c r="V5494">
        <v>0</v>
      </c>
      <c r="W5494">
        <v>0</v>
      </c>
      <c r="X5494">
        <v>0</v>
      </c>
      <c r="Y5494">
        <v>0</v>
      </c>
      <c r="Z5494">
        <v>49.53</v>
      </c>
      <c r="AA5494">
        <v>0</v>
      </c>
      <c r="AB5494" s="1">
        <v>42382</v>
      </c>
      <c r="AC5494" t="s">
        <v>53</v>
      </c>
      <c r="AD5494" t="s">
        <v>53</v>
      </c>
      <c r="AK5494">
        <v>0</v>
      </c>
      <c r="AU5494" s="6">
        <v>42159</v>
      </c>
      <c r="AV5494" s="6">
        <v>42159</v>
      </c>
      <c r="AW5494" t="s">
        <v>54</v>
      </c>
      <c r="AX5494" t="str">
        <f t="shared" si="462"/>
        <v>FOR</v>
      </c>
      <c r="AY5494" t="s">
        <v>55</v>
      </c>
    </row>
    <row r="5495" spans="1:51" hidden="1">
      <c r="A5495">
        <v>102819</v>
      </c>
      <c r="B5495" t="s">
        <v>1000</v>
      </c>
      <c r="C5495" t="str">
        <f t="shared" si="467"/>
        <v>06754140157</v>
      </c>
      <c r="D5495" t="str">
        <f t="shared" si="467"/>
        <v>06754140157</v>
      </c>
      <c r="E5495" t="s">
        <v>52</v>
      </c>
      <c r="F5495">
        <v>2014</v>
      </c>
      <c r="G5495">
        <v>11781</v>
      </c>
      <c r="H5495" s="1">
        <v>41939</v>
      </c>
      <c r="I5495" s="1">
        <v>42080</v>
      </c>
      <c r="J5495" s="1">
        <v>42080</v>
      </c>
      <c r="K5495" s="1">
        <v>42140</v>
      </c>
      <c r="N5495" s="5"/>
      <c r="O5495">
        <v>574.62</v>
      </c>
      <c r="P5495">
        <v>135</v>
      </c>
      <c r="Q5495" s="2">
        <v>77573.7</v>
      </c>
      <c r="R5495">
        <v>0</v>
      </c>
      <c r="V5495">
        <v>0</v>
      </c>
      <c r="W5495">
        <v>0</v>
      </c>
      <c r="X5495">
        <v>0</v>
      </c>
      <c r="Y5495">
        <v>0</v>
      </c>
      <c r="Z5495">
        <v>574.62</v>
      </c>
      <c r="AA5495">
        <v>0</v>
      </c>
      <c r="AB5495" s="1">
        <v>42382</v>
      </c>
      <c r="AC5495" t="s">
        <v>53</v>
      </c>
      <c r="AD5495" t="s">
        <v>53</v>
      </c>
      <c r="AK5495">
        <v>0</v>
      </c>
      <c r="AU5495" s="6">
        <v>42275</v>
      </c>
      <c r="AV5495" s="6">
        <v>42275</v>
      </c>
      <c r="AW5495" t="s">
        <v>54</v>
      </c>
      <c r="AX5495" t="str">
        <f t="shared" si="462"/>
        <v>FOR</v>
      </c>
      <c r="AY5495" t="s">
        <v>55</v>
      </c>
    </row>
    <row r="5496" spans="1:51" hidden="1">
      <c r="A5496">
        <v>102819</v>
      </c>
      <c r="B5496" t="s">
        <v>1000</v>
      </c>
      <c r="C5496" t="str">
        <f t="shared" si="467"/>
        <v>06754140157</v>
      </c>
      <c r="D5496" t="str">
        <f t="shared" si="467"/>
        <v>06754140157</v>
      </c>
      <c r="E5496" t="s">
        <v>52</v>
      </c>
      <c r="F5496">
        <v>2014</v>
      </c>
      <c r="G5496">
        <v>13561</v>
      </c>
      <c r="H5496" s="1">
        <v>41978</v>
      </c>
      <c r="I5496" s="1">
        <v>41990</v>
      </c>
      <c r="J5496" s="1">
        <v>41990</v>
      </c>
      <c r="K5496" s="1">
        <v>42050</v>
      </c>
      <c r="N5496" s="5"/>
      <c r="O5496">
        <v>757.62</v>
      </c>
      <c r="P5496">
        <v>225</v>
      </c>
      <c r="Q5496" s="2">
        <v>170464.5</v>
      </c>
      <c r="R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 s="1">
        <v>42382</v>
      </c>
      <c r="AC5496" t="s">
        <v>53</v>
      </c>
      <c r="AD5496" t="s">
        <v>53</v>
      </c>
      <c r="AK5496">
        <v>0</v>
      </c>
      <c r="AU5496" s="6">
        <v>42275</v>
      </c>
      <c r="AV5496" s="6">
        <v>42275</v>
      </c>
      <c r="AW5496" t="s">
        <v>54</v>
      </c>
      <c r="AX5496" t="str">
        <f t="shared" si="462"/>
        <v>FOR</v>
      </c>
      <c r="AY5496" t="s">
        <v>55</v>
      </c>
    </row>
    <row r="5497" spans="1:51">
      <c r="A5497">
        <v>102819</v>
      </c>
      <c r="B5497" t="s">
        <v>1000</v>
      </c>
      <c r="C5497" t="str">
        <f t="shared" si="467"/>
        <v>06754140157</v>
      </c>
      <c r="D5497" t="str">
        <f t="shared" si="467"/>
        <v>06754140157</v>
      </c>
      <c r="E5497" t="s">
        <v>52</v>
      </c>
      <c r="F5497">
        <v>2015</v>
      </c>
      <c r="G5497">
        <v>2502</v>
      </c>
      <c r="H5497" s="1">
        <v>42067</v>
      </c>
      <c r="I5497" s="1">
        <v>42269</v>
      </c>
      <c r="J5497" s="1">
        <v>42269</v>
      </c>
      <c r="K5497" s="1">
        <v>42329</v>
      </c>
      <c r="L5497" s="7">
        <v>403.55</v>
      </c>
      <c r="M5497" s="5">
        <v>10</v>
      </c>
      <c r="N5497" s="7">
        <v>4035.5</v>
      </c>
      <c r="O5497">
        <v>403.55</v>
      </c>
      <c r="P5497">
        <v>10</v>
      </c>
      <c r="Q5497" s="2">
        <v>4035.5</v>
      </c>
      <c r="R5497">
        <v>88.78</v>
      </c>
      <c r="V5497">
        <v>0</v>
      </c>
      <c r="W5497">
        <v>0</v>
      </c>
      <c r="X5497">
        <v>0</v>
      </c>
      <c r="Y5497">
        <v>492.33</v>
      </c>
      <c r="Z5497">
        <v>492.33</v>
      </c>
      <c r="AA5497">
        <v>492.33</v>
      </c>
      <c r="AB5497" s="1">
        <v>42382</v>
      </c>
      <c r="AC5497" t="s">
        <v>53</v>
      </c>
      <c r="AD5497" t="s">
        <v>53</v>
      </c>
      <c r="AF5497">
        <v>88.78</v>
      </c>
      <c r="AK5497">
        <v>0</v>
      </c>
      <c r="AU5497" s="6">
        <v>42339</v>
      </c>
      <c r="AV5497" s="6">
        <v>42339</v>
      </c>
      <c r="AW5497" t="s">
        <v>54</v>
      </c>
      <c r="AX5497" t="str">
        <f t="shared" si="462"/>
        <v>FOR</v>
      </c>
      <c r="AY5497" t="s">
        <v>55</v>
      </c>
    </row>
    <row r="5498" spans="1:51" hidden="1">
      <c r="A5498">
        <v>102819</v>
      </c>
      <c r="B5498" t="s">
        <v>1000</v>
      </c>
      <c r="C5498" t="str">
        <f t="shared" si="467"/>
        <v>06754140157</v>
      </c>
      <c r="D5498" t="str">
        <f t="shared" si="467"/>
        <v>06754140157</v>
      </c>
      <c r="E5498" t="s">
        <v>52</v>
      </c>
      <c r="F5498">
        <v>2015</v>
      </c>
      <c r="G5498">
        <v>4062</v>
      </c>
      <c r="H5498" s="1">
        <v>42103</v>
      </c>
      <c r="I5498" s="1">
        <v>42115</v>
      </c>
      <c r="J5498" s="1">
        <v>42110</v>
      </c>
      <c r="K5498" s="1">
        <v>42170</v>
      </c>
      <c r="N5498" s="5"/>
      <c r="O5498">
        <v>921</v>
      </c>
      <c r="P5498">
        <v>105</v>
      </c>
      <c r="Q5498" s="2">
        <v>96705</v>
      </c>
      <c r="R5498">
        <v>0</v>
      </c>
      <c r="V5498">
        <v>0</v>
      </c>
      <c r="W5498">
        <v>0</v>
      </c>
      <c r="X5498">
        <v>0</v>
      </c>
      <c r="Y5498" s="2">
        <v>1123.6199999999999</v>
      </c>
      <c r="Z5498" s="2">
        <v>1123.6199999999999</v>
      </c>
      <c r="AA5498" s="2">
        <v>1123.6199999999999</v>
      </c>
      <c r="AB5498" s="1">
        <v>42382</v>
      </c>
      <c r="AC5498" t="s">
        <v>53</v>
      </c>
      <c r="AD5498" t="s">
        <v>53</v>
      </c>
      <c r="AK5498">
        <v>0</v>
      </c>
      <c r="AU5498" s="6">
        <v>42275</v>
      </c>
      <c r="AV5498" s="6">
        <v>42275</v>
      </c>
      <c r="AW5498" t="s">
        <v>54</v>
      </c>
      <c r="AX5498" t="str">
        <f t="shared" si="462"/>
        <v>FOR</v>
      </c>
      <c r="AY5498" t="s">
        <v>55</v>
      </c>
    </row>
    <row r="5499" spans="1:51" hidden="1">
      <c r="A5499">
        <v>102819</v>
      </c>
      <c r="B5499" t="s">
        <v>1000</v>
      </c>
      <c r="C5499" t="str">
        <f t="shared" si="467"/>
        <v>06754140157</v>
      </c>
      <c r="D5499" t="str">
        <f t="shared" si="467"/>
        <v>06754140157</v>
      </c>
      <c r="E5499" t="s">
        <v>52</v>
      </c>
      <c r="F5499">
        <v>2015</v>
      </c>
      <c r="G5499">
        <v>7670</v>
      </c>
      <c r="H5499" s="1">
        <v>42194</v>
      </c>
      <c r="I5499" s="1">
        <v>42199</v>
      </c>
      <c r="J5499" s="1">
        <v>42198</v>
      </c>
      <c r="K5499" s="1">
        <v>42258</v>
      </c>
      <c r="N5499" s="5"/>
      <c r="O5499">
        <v>921</v>
      </c>
      <c r="P5499">
        <v>17</v>
      </c>
      <c r="Q5499" s="2">
        <v>15657</v>
      </c>
      <c r="R5499">
        <v>0</v>
      </c>
      <c r="V5499">
        <v>0</v>
      </c>
      <c r="W5499">
        <v>0</v>
      </c>
      <c r="X5499">
        <v>0</v>
      </c>
      <c r="Y5499" s="2">
        <v>1123.6199999999999</v>
      </c>
      <c r="Z5499" s="2">
        <v>1123.6199999999999</v>
      </c>
      <c r="AA5499" s="2">
        <v>1123.6199999999999</v>
      </c>
      <c r="AB5499" s="1">
        <v>42382</v>
      </c>
      <c r="AC5499" t="s">
        <v>53</v>
      </c>
      <c r="AD5499" t="s">
        <v>53</v>
      </c>
      <c r="AK5499">
        <v>0</v>
      </c>
      <c r="AU5499" s="6">
        <v>42275</v>
      </c>
      <c r="AV5499" s="6">
        <v>42275</v>
      </c>
      <c r="AW5499" t="s">
        <v>54</v>
      </c>
      <c r="AX5499" t="str">
        <f t="shared" si="462"/>
        <v>FOR</v>
      </c>
      <c r="AY5499" t="s">
        <v>55</v>
      </c>
    </row>
    <row r="5500" spans="1:51">
      <c r="A5500">
        <v>102819</v>
      </c>
      <c r="B5500" t="s">
        <v>1000</v>
      </c>
      <c r="C5500" t="str">
        <f t="shared" si="467"/>
        <v>06754140157</v>
      </c>
      <c r="D5500" t="str">
        <f t="shared" si="467"/>
        <v>06754140157</v>
      </c>
      <c r="E5500" t="s">
        <v>52</v>
      </c>
      <c r="F5500">
        <v>2015</v>
      </c>
      <c r="G5500">
        <v>9248</v>
      </c>
      <c r="H5500" s="1">
        <v>42250</v>
      </c>
      <c r="I5500" s="1">
        <v>42258</v>
      </c>
      <c r="J5500" s="1">
        <v>42258</v>
      </c>
      <c r="K5500" s="1">
        <v>42318</v>
      </c>
      <c r="L5500" s="7">
        <v>649.6</v>
      </c>
      <c r="M5500" s="5">
        <v>21</v>
      </c>
      <c r="N5500" s="7">
        <v>13641.6</v>
      </c>
      <c r="O5500">
        <v>649.6</v>
      </c>
      <c r="P5500">
        <v>21</v>
      </c>
      <c r="Q5500" s="2">
        <v>13641.6</v>
      </c>
      <c r="R5500">
        <v>142.91</v>
      </c>
      <c r="V5500">
        <v>0</v>
      </c>
      <c r="W5500">
        <v>0</v>
      </c>
      <c r="X5500">
        <v>0</v>
      </c>
      <c r="Y5500">
        <v>792.51</v>
      </c>
      <c r="Z5500">
        <v>792.51</v>
      </c>
      <c r="AA5500">
        <v>792.51</v>
      </c>
      <c r="AB5500" s="1">
        <v>42382</v>
      </c>
      <c r="AC5500" t="s">
        <v>53</v>
      </c>
      <c r="AD5500" t="s">
        <v>53</v>
      </c>
      <c r="AF5500">
        <v>142.91</v>
      </c>
      <c r="AK5500">
        <v>0</v>
      </c>
      <c r="AU5500" s="6">
        <v>42339</v>
      </c>
      <c r="AV5500" s="6">
        <v>42339</v>
      </c>
      <c r="AW5500" t="s">
        <v>54</v>
      </c>
      <c r="AX5500" t="str">
        <f t="shared" si="462"/>
        <v>FOR</v>
      </c>
      <c r="AY5500" t="s">
        <v>55</v>
      </c>
    </row>
    <row r="5501" spans="1:51">
      <c r="A5501">
        <v>102819</v>
      </c>
      <c r="B5501" t="s">
        <v>1000</v>
      </c>
      <c r="C5501" t="str">
        <f t="shared" si="467"/>
        <v>06754140157</v>
      </c>
      <c r="D5501" t="str">
        <f t="shared" si="467"/>
        <v>06754140157</v>
      </c>
      <c r="E5501" t="s">
        <v>52</v>
      </c>
      <c r="F5501">
        <v>2015</v>
      </c>
      <c r="G5501">
        <v>9837</v>
      </c>
      <c r="H5501" s="1">
        <v>42265</v>
      </c>
      <c r="I5501" s="1">
        <v>42265</v>
      </c>
      <c r="J5501" s="1">
        <v>42265</v>
      </c>
      <c r="K5501" s="1">
        <v>42325</v>
      </c>
      <c r="L5501" s="7">
        <v>513</v>
      </c>
      <c r="M5501" s="5">
        <v>14</v>
      </c>
      <c r="N5501" s="7">
        <v>7182</v>
      </c>
      <c r="O5501">
        <v>513</v>
      </c>
      <c r="P5501">
        <v>14</v>
      </c>
      <c r="Q5501" s="2">
        <v>7182</v>
      </c>
      <c r="R5501">
        <v>112.86</v>
      </c>
      <c r="V5501">
        <v>0</v>
      </c>
      <c r="W5501">
        <v>0</v>
      </c>
      <c r="X5501">
        <v>0</v>
      </c>
      <c r="Y5501">
        <v>625.86</v>
      </c>
      <c r="Z5501">
        <v>625.86</v>
      </c>
      <c r="AA5501">
        <v>625.86</v>
      </c>
      <c r="AB5501" s="1">
        <v>42382</v>
      </c>
      <c r="AC5501" t="s">
        <v>53</v>
      </c>
      <c r="AD5501" t="s">
        <v>53</v>
      </c>
      <c r="AF5501">
        <v>112.86</v>
      </c>
      <c r="AK5501">
        <v>0</v>
      </c>
      <c r="AU5501" s="6">
        <v>42339</v>
      </c>
      <c r="AV5501" s="6">
        <v>42339</v>
      </c>
      <c r="AW5501" t="s">
        <v>54</v>
      </c>
      <c r="AX5501" t="str">
        <f t="shared" si="462"/>
        <v>FOR</v>
      </c>
      <c r="AY5501" t="s">
        <v>55</v>
      </c>
    </row>
    <row r="5502" spans="1:51" hidden="1">
      <c r="A5502">
        <v>102844</v>
      </c>
      <c r="B5502" t="s">
        <v>1001</v>
      </c>
      <c r="C5502" t="str">
        <f t="shared" ref="C5502:D5518" si="468">"10191080158"</f>
        <v>10191080158</v>
      </c>
      <c r="D5502" t="str">
        <f t="shared" si="468"/>
        <v>10191080158</v>
      </c>
      <c r="E5502" t="s">
        <v>52</v>
      </c>
      <c r="F5502">
        <v>2014</v>
      </c>
      <c r="G5502">
        <v>547</v>
      </c>
      <c r="H5502" s="1">
        <v>41670</v>
      </c>
      <c r="I5502" s="1">
        <v>41695</v>
      </c>
      <c r="J5502" s="1">
        <v>41695</v>
      </c>
      <c r="K5502" s="1">
        <v>41785</v>
      </c>
      <c r="N5502" s="5"/>
      <c r="O5502" s="2">
        <v>1664</v>
      </c>
      <c r="P5502">
        <v>239</v>
      </c>
      <c r="Q5502" s="2">
        <v>397696</v>
      </c>
      <c r="R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 s="1">
        <v>42382</v>
      </c>
      <c r="AC5502" t="s">
        <v>53</v>
      </c>
      <c r="AD5502" t="s">
        <v>53</v>
      </c>
      <c r="AK5502">
        <v>0</v>
      </c>
      <c r="AU5502" s="6">
        <v>42024</v>
      </c>
      <c r="AV5502" s="6">
        <v>42024</v>
      </c>
      <c r="AW5502" t="s">
        <v>54</v>
      </c>
      <c r="AX5502" t="str">
        <f t="shared" si="462"/>
        <v>FOR</v>
      </c>
      <c r="AY5502" t="s">
        <v>55</v>
      </c>
    </row>
    <row r="5503" spans="1:51" hidden="1">
      <c r="A5503">
        <v>102844</v>
      </c>
      <c r="B5503" t="s">
        <v>1001</v>
      </c>
      <c r="C5503" t="str">
        <f t="shared" si="468"/>
        <v>10191080158</v>
      </c>
      <c r="D5503" t="str">
        <f t="shared" si="468"/>
        <v>10191080158</v>
      </c>
      <c r="E5503" t="s">
        <v>52</v>
      </c>
      <c r="F5503">
        <v>2014</v>
      </c>
      <c r="G5503">
        <v>1083</v>
      </c>
      <c r="H5503" s="1">
        <v>41685</v>
      </c>
      <c r="I5503" s="1">
        <v>41711</v>
      </c>
      <c r="J5503" s="1">
        <v>41711</v>
      </c>
      <c r="K5503" s="1">
        <v>41801</v>
      </c>
      <c r="N5503" s="5"/>
      <c r="O5503">
        <v>998.4</v>
      </c>
      <c r="P5503">
        <v>236</v>
      </c>
      <c r="Q5503" s="2">
        <v>235622.39999999999</v>
      </c>
      <c r="R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 s="1">
        <v>42382</v>
      </c>
      <c r="AC5503" t="s">
        <v>53</v>
      </c>
      <c r="AD5503" t="s">
        <v>53</v>
      </c>
      <c r="AK5503">
        <v>0</v>
      </c>
      <c r="AU5503" s="6">
        <v>42037</v>
      </c>
      <c r="AV5503" s="6">
        <v>42037</v>
      </c>
      <c r="AW5503" t="s">
        <v>54</v>
      </c>
      <c r="AX5503" t="str">
        <f t="shared" si="462"/>
        <v>FOR</v>
      </c>
      <c r="AY5503" t="s">
        <v>55</v>
      </c>
    </row>
    <row r="5504" spans="1:51" hidden="1">
      <c r="A5504">
        <v>102844</v>
      </c>
      <c r="B5504" t="s">
        <v>1001</v>
      </c>
      <c r="C5504" t="str">
        <f t="shared" si="468"/>
        <v>10191080158</v>
      </c>
      <c r="D5504" t="str">
        <f t="shared" si="468"/>
        <v>10191080158</v>
      </c>
      <c r="E5504" t="s">
        <v>52</v>
      </c>
      <c r="F5504">
        <v>2014</v>
      </c>
      <c r="G5504">
        <v>1550</v>
      </c>
      <c r="H5504" s="1">
        <v>41698</v>
      </c>
      <c r="I5504" s="1">
        <v>41715</v>
      </c>
      <c r="J5504" s="1">
        <v>41715</v>
      </c>
      <c r="K5504" s="1">
        <v>41805</v>
      </c>
      <c r="N5504" s="5"/>
      <c r="O5504" s="2">
        <v>1331.2</v>
      </c>
      <c r="P5504">
        <v>232</v>
      </c>
      <c r="Q5504" s="2">
        <v>308838.40000000002</v>
      </c>
      <c r="R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 s="1">
        <v>42382</v>
      </c>
      <c r="AC5504" t="s">
        <v>53</v>
      </c>
      <c r="AD5504" t="s">
        <v>53</v>
      </c>
      <c r="AK5504">
        <v>0</v>
      </c>
      <c r="AU5504" s="6">
        <v>42037</v>
      </c>
      <c r="AV5504" s="6">
        <v>42037</v>
      </c>
      <c r="AW5504" t="s">
        <v>54</v>
      </c>
      <c r="AX5504" t="str">
        <f t="shared" si="462"/>
        <v>FOR</v>
      </c>
      <c r="AY5504" t="s">
        <v>55</v>
      </c>
    </row>
    <row r="5505" spans="1:51" hidden="1">
      <c r="A5505">
        <v>102844</v>
      </c>
      <c r="B5505" t="s">
        <v>1001</v>
      </c>
      <c r="C5505" t="str">
        <f t="shared" si="468"/>
        <v>10191080158</v>
      </c>
      <c r="D5505" t="str">
        <f t="shared" si="468"/>
        <v>10191080158</v>
      </c>
      <c r="E5505" t="s">
        <v>52</v>
      </c>
      <c r="F5505">
        <v>2014</v>
      </c>
      <c r="G5505">
        <v>2817</v>
      </c>
      <c r="H5505" s="1">
        <v>41744</v>
      </c>
      <c r="I5505" s="1">
        <v>41771</v>
      </c>
      <c r="J5505" s="1">
        <v>41771</v>
      </c>
      <c r="K5505" s="1">
        <v>41861</v>
      </c>
      <c r="N5505" s="5"/>
      <c r="O5505">
        <v>633.36</v>
      </c>
      <c r="P5505">
        <v>241</v>
      </c>
      <c r="Q5505" s="2">
        <v>152639.76</v>
      </c>
      <c r="R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 s="1">
        <v>42382</v>
      </c>
      <c r="AC5505" t="s">
        <v>53</v>
      </c>
      <c r="AD5505" t="s">
        <v>53</v>
      </c>
      <c r="AK5505">
        <v>0</v>
      </c>
      <c r="AU5505" s="6">
        <v>42102</v>
      </c>
      <c r="AV5505" s="6">
        <v>42102</v>
      </c>
      <c r="AW5505" t="s">
        <v>54</v>
      </c>
      <c r="AX5505" t="str">
        <f t="shared" si="462"/>
        <v>FOR</v>
      </c>
      <c r="AY5505" t="s">
        <v>55</v>
      </c>
    </row>
    <row r="5506" spans="1:51" hidden="1">
      <c r="A5506">
        <v>102844</v>
      </c>
      <c r="B5506" t="s">
        <v>1001</v>
      </c>
      <c r="C5506" t="str">
        <f t="shared" si="468"/>
        <v>10191080158</v>
      </c>
      <c r="D5506" t="str">
        <f t="shared" si="468"/>
        <v>10191080158</v>
      </c>
      <c r="E5506" t="s">
        <v>52</v>
      </c>
      <c r="F5506">
        <v>2014</v>
      </c>
      <c r="G5506">
        <v>3719</v>
      </c>
      <c r="H5506" s="1">
        <v>41774</v>
      </c>
      <c r="I5506" s="1">
        <v>41795</v>
      </c>
      <c r="J5506" s="1">
        <v>41795</v>
      </c>
      <c r="K5506" s="1">
        <v>41885</v>
      </c>
      <c r="N5506" s="5"/>
      <c r="O5506" s="2">
        <v>1996.8</v>
      </c>
      <c r="P5506">
        <v>239</v>
      </c>
      <c r="Q5506" s="2">
        <v>477235.20000000001</v>
      </c>
      <c r="R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 s="1">
        <v>42382</v>
      </c>
      <c r="AC5506" t="s">
        <v>53</v>
      </c>
      <c r="AD5506" t="s">
        <v>53</v>
      </c>
      <c r="AK5506">
        <v>0</v>
      </c>
      <c r="AU5506" s="6">
        <v>42124</v>
      </c>
      <c r="AV5506" s="6">
        <v>42124</v>
      </c>
      <c r="AW5506" t="s">
        <v>54</v>
      </c>
      <c r="AX5506" t="str">
        <f t="shared" si="462"/>
        <v>FOR</v>
      </c>
      <c r="AY5506" t="s">
        <v>55</v>
      </c>
    </row>
    <row r="5507" spans="1:51" hidden="1">
      <c r="A5507">
        <v>102844</v>
      </c>
      <c r="B5507" t="s">
        <v>1001</v>
      </c>
      <c r="C5507" t="str">
        <f t="shared" si="468"/>
        <v>10191080158</v>
      </c>
      <c r="D5507" t="str">
        <f t="shared" si="468"/>
        <v>10191080158</v>
      </c>
      <c r="E5507" t="s">
        <v>52</v>
      </c>
      <c r="F5507">
        <v>2014</v>
      </c>
      <c r="G5507">
        <v>3720</v>
      </c>
      <c r="H5507" s="1">
        <v>41774</v>
      </c>
      <c r="I5507" s="1">
        <v>41795</v>
      </c>
      <c r="J5507" s="1">
        <v>41795</v>
      </c>
      <c r="K5507" s="1">
        <v>41885</v>
      </c>
      <c r="N5507" s="5"/>
      <c r="O5507" s="2">
        <v>1310.4000000000001</v>
      </c>
      <c r="P5507">
        <v>239</v>
      </c>
      <c r="Q5507" s="2">
        <v>313185.59999999998</v>
      </c>
      <c r="R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 s="1">
        <v>42382</v>
      </c>
      <c r="AC5507" t="s">
        <v>53</v>
      </c>
      <c r="AD5507" t="s">
        <v>53</v>
      </c>
      <c r="AK5507">
        <v>0</v>
      </c>
      <c r="AU5507" s="6">
        <v>42124</v>
      </c>
      <c r="AV5507" s="6">
        <v>42124</v>
      </c>
      <c r="AW5507" t="s">
        <v>54</v>
      </c>
      <c r="AX5507" t="str">
        <f t="shared" ref="AX5507:AX5570" si="469">"FOR"</f>
        <v>FOR</v>
      </c>
      <c r="AY5507" t="s">
        <v>55</v>
      </c>
    </row>
    <row r="5508" spans="1:51" hidden="1">
      <c r="A5508">
        <v>102844</v>
      </c>
      <c r="B5508" t="s">
        <v>1001</v>
      </c>
      <c r="C5508" t="str">
        <f t="shared" si="468"/>
        <v>10191080158</v>
      </c>
      <c r="D5508" t="str">
        <f t="shared" si="468"/>
        <v>10191080158</v>
      </c>
      <c r="E5508" t="s">
        <v>52</v>
      </c>
      <c r="F5508">
        <v>2014</v>
      </c>
      <c r="G5508">
        <v>4925</v>
      </c>
      <c r="H5508" s="1">
        <v>41820</v>
      </c>
      <c r="I5508" s="1">
        <v>41834</v>
      </c>
      <c r="J5508" s="1">
        <v>41834</v>
      </c>
      <c r="K5508" s="1">
        <v>41924</v>
      </c>
      <c r="N5508" s="5"/>
      <c r="O5508">
        <v>902.8</v>
      </c>
      <c r="P5508">
        <v>235</v>
      </c>
      <c r="Q5508" s="2">
        <v>212158</v>
      </c>
      <c r="R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 s="1">
        <v>42382</v>
      </c>
      <c r="AC5508" t="s">
        <v>53</v>
      </c>
      <c r="AD5508" t="s">
        <v>53</v>
      </c>
      <c r="AK5508">
        <v>0</v>
      </c>
      <c r="AU5508" s="6">
        <v>42159</v>
      </c>
      <c r="AV5508" s="6">
        <v>42159</v>
      </c>
      <c r="AW5508" t="s">
        <v>54</v>
      </c>
      <c r="AX5508" t="str">
        <f t="shared" si="469"/>
        <v>FOR</v>
      </c>
      <c r="AY5508" t="s">
        <v>55</v>
      </c>
    </row>
    <row r="5509" spans="1:51" hidden="1">
      <c r="A5509">
        <v>102844</v>
      </c>
      <c r="B5509" t="s">
        <v>1001</v>
      </c>
      <c r="C5509" t="str">
        <f t="shared" si="468"/>
        <v>10191080158</v>
      </c>
      <c r="D5509" t="str">
        <f t="shared" si="468"/>
        <v>10191080158</v>
      </c>
      <c r="E5509" t="s">
        <v>52</v>
      </c>
      <c r="F5509">
        <v>2014</v>
      </c>
      <c r="G5509">
        <v>4926</v>
      </c>
      <c r="H5509" s="1">
        <v>41820</v>
      </c>
      <c r="I5509" s="1">
        <v>41834</v>
      </c>
      <c r="J5509" s="1">
        <v>41834</v>
      </c>
      <c r="K5509" s="1">
        <v>41924</v>
      </c>
      <c r="N5509" s="5"/>
      <c r="O5509" s="2">
        <v>1164.8</v>
      </c>
      <c r="P5509">
        <v>235</v>
      </c>
      <c r="Q5509" s="2">
        <v>273728</v>
      </c>
      <c r="R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 s="1">
        <v>42382</v>
      </c>
      <c r="AC5509" t="s">
        <v>53</v>
      </c>
      <c r="AD5509" t="s">
        <v>53</v>
      </c>
      <c r="AK5509">
        <v>0</v>
      </c>
      <c r="AU5509" s="6">
        <v>42159</v>
      </c>
      <c r="AV5509" s="6">
        <v>42159</v>
      </c>
      <c r="AW5509" t="s">
        <v>54</v>
      </c>
      <c r="AX5509" t="str">
        <f t="shared" si="469"/>
        <v>FOR</v>
      </c>
      <c r="AY5509" t="s">
        <v>55</v>
      </c>
    </row>
    <row r="5510" spans="1:51" hidden="1">
      <c r="A5510">
        <v>102844</v>
      </c>
      <c r="B5510" t="s">
        <v>1001</v>
      </c>
      <c r="C5510" t="str">
        <f t="shared" si="468"/>
        <v>10191080158</v>
      </c>
      <c r="D5510" t="str">
        <f t="shared" si="468"/>
        <v>10191080158</v>
      </c>
      <c r="E5510" t="s">
        <v>52</v>
      </c>
      <c r="F5510">
        <v>2014</v>
      </c>
      <c r="G5510">
        <v>6452</v>
      </c>
      <c r="H5510" s="1">
        <v>41880</v>
      </c>
      <c r="I5510" s="1">
        <v>41893</v>
      </c>
      <c r="J5510" s="1">
        <v>41893</v>
      </c>
      <c r="K5510" s="1">
        <v>41983</v>
      </c>
      <c r="N5510" s="5"/>
      <c r="O5510">
        <v>499.2</v>
      </c>
      <c r="P5510">
        <v>176</v>
      </c>
      <c r="Q5510" s="2">
        <v>87859.199999999997</v>
      </c>
      <c r="R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 s="1">
        <v>42382</v>
      </c>
      <c r="AC5510" t="s">
        <v>53</v>
      </c>
      <c r="AD5510" t="s">
        <v>53</v>
      </c>
      <c r="AK5510">
        <v>0</v>
      </c>
      <c r="AU5510" s="6">
        <v>42159</v>
      </c>
      <c r="AV5510" s="6">
        <v>42159</v>
      </c>
      <c r="AW5510" t="s">
        <v>54</v>
      </c>
      <c r="AX5510" t="str">
        <f t="shared" si="469"/>
        <v>FOR</v>
      </c>
      <c r="AY5510" t="s">
        <v>55</v>
      </c>
    </row>
    <row r="5511" spans="1:51" hidden="1">
      <c r="A5511">
        <v>102844</v>
      </c>
      <c r="B5511" t="s">
        <v>1001</v>
      </c>
      <c r="C5511" t="str">
        <f t="shared" si="468"/>
        <v>10191080158</v>
      </c>
      <c r="D5511" t="str">
        <f t="shared" si="468"/>
        <v>10191080158</v>
      </c>
      <c r="E5511" t="s">
        <v>52</v>
      </c>
      <c r="F5511">
        <v>2014</v>
      </c>
      <c r="G5511">
        <v>6453</v>
      </c>
      <c r="H5511" s="1">
        <v>41880</v>
      </c>
      <c r="I5511" s="1">
        <v>41893</v>
      </c>
      <c r="J5511" s="1">
        <v>41893</v>
      </c>
      <c r="K5511" s="1">
        <v>41983</v>
      </c>
      <c r="N5511" s="5"/>
      <c r="O5511">
        <v>332.8</v>
      </c>
      <c r="P5511">
        <v>176</v>
      </c>
      <c r="Q5511" s="2">
        <v>58572.800000000003</v>
      </c>
      <c r="R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 s="1">
        <v>42382</v>
      </c>
      <c r="AC5511" t="s">
        <v>53</v>
      </c>
      <c r="AD5511" t="s">
        <v>53</v>
      </c>
      <c r="AK5511">
        <v>0</v>
      </c>
      <c r="AU5511" s="6">
        <v>42159</v>
      </c>
      <c r="AV5511" s="6">
        <v>42159</v>
      </c>
      <c r="AW5511" t="s">
        <v>54</v>
      </c>
      <c r="AX5511" t="str">
        <f t="shared" si="469"/>
        <v>FOR</v>
      </c>
      <c r="AY5511" t="s">
        <v>55</v>
      </c>
    </row>
    <row r="5512" spans="1:51" hidden="1">
      <c r="A5512">
        <v>102844</v>
      </c>
      <c r="B5512" t="s">
        <v>1001</v>
      </c>
      <c r="C5512" t="str">
        <f t="shared" si="468"/>
        <v>10191080158</v>
      </c>
      <c r="D5512" t="str">
        <f t="shared" si="468"/>
        <v>10191080158</v>
      </c>
      <c r="E5512" t="s">
        <v>52</v>
      </c>
      <c r="F5512">
        <v>2014</v>
      </c>
      <c r="G5512">
        <v>6454</v>
      </c>
      <c r="H5512" s="1">
        <v>41880</v>
      </c>
      <c r="I5512" s="1">
        <v>41893</v>
      </c>
      <c r="J5512" s="1">
        <v>41893</v>
      </c>
      <c r="K5512" s="1">
        <v>41983</v>
      </c>
      <c r="N5512" s="5"/>
      <c r="O5512">
        <v>332.8</v>
      </c>
      <c r="P5512">
        <v>176</v>
      </c>
      <c r="Q5512" s="2">
        <v>58572.800000000003</v>
      </c>
      <c r="R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 s="1">
        <v>42382</v>
      </c>
      <c r="AC5512" t="s">
        <v>53</v>
      </c>
      <c r="AD5512" t="s">
        <v>53</v>
      </c>
      <c r="AK5512">
        <v>0</v>
      </c>
      <c r="AU5512" s="6">
        <v>42159</v>
      </c>
      <c r="AV5512" s="6">
        <v>42159</v>
      </c>
      <c r="AW5512" t="s">
        <v>54</v>
      </c>
      <c r="AX5512" t="str">
        <f t="shared" si="469"/>
        <v>FOR</v>
      </c>
      <c r="AY5512" t="s">
        <v>55</v>
      </c>
    </row>
    <row r="5513" spans="1:51" hidden="1">
      <c r="A5513">
        <v>102844</v>
      </c>
      <c r="B5513" t="s">
        <v>1001</v>
      </c>
      <c r="C5513" t="str">
        <f t="shared" si="468"/>
        <v>10191080158</v>
      </c>
      <c r="D5513" t="str">
        <f t="shared" si="468"/>
        <v>10191080158</v>
      </c>
      <c r="E5513" t="s">
        <v>52</v>
      </c>
      <c r="F5513">
        <v>2014</v>
      </c>
      <c r="G5513">
        <v>6455</v>
      </c>
      <c r="H5513" s="1">
        <v>41880</v>
      </c>
      <c r="I5513" s="1">
        <v>41893</v>
      </c>
      <c r="J5513" s="1">
        <v>41893</v>
      </c>
      <c r="K5513" s="1">
        <v>41983</v>
      </c>
      <c r="N5513" s="5"/>
      <c r="O5513">
        <v>234.24</v>
      </c>
      <c r="P5513">
        <v>176</v>
      </c>
      <c r="Q5513" s="2">
        <v>41226.239999999998</v>
      </c>
      <c r="R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 s="1">
        <v>42382</v>
      </c>
      <c r="AC5513" t="s">
        <v>53</v>
      </c>
      <c r="AD5513" t="s">
        <v>53</v>
      </c>
      <c r="AK5513">
        <v>0</v>
      </c>
      <c r="AU5513" s="6">
        <v>42159</v>
      </c>
      <c r="AV5513" s="6">
        <v>42159</v>
      </c>
      <c r="AW5513" t="s">
        <v>54</v>
      </c>
      <c r="AX5513" t="str">
        <f t="shared" si="469"/>
        <v>FOR</v>
      </c>
      <c r="AY5513" t="s">
        <v>55</v>
      </c>
    </row>
    <row r="5514" spans="1:51" hidden="1">
      <c r="A5514">
        <v>102844</v>
      </c>
      <c r="B5514" t="s">
        <v>1001</v>
      </c>
      <c r="C5514" t="str">
        <f t="shared" si="468"/>
        <v>10191080158</v>
      </c>
      <c r="D5514" t="str">
        <f t="shared" si="468"/>
        <v>10191080158</v>
      </c>
      <c r="E5514" t="s">
        <v>52</v>
      </c>
      <c r="F5514">
        <v>2014</v>
      </c>
      <c r="G5514">
        <v>6456</v>
      </c>
      <c r="H5514" s="1">
        <v>41880</v>
      </c>
      <c r="I5514" s="1">
        <v>41893</v>
      </c>
      <c r="J5514" s="1">
        <v>41893</v>
      </c>
      <c r="K5514" s="1">
        <v>41983</v>
      </c>
      <c r="N5514" s="5"/>
      <c r="O5514" s="2">
        <v>1664</v>
      </c>
      <c r="P5514">
        <v>176</v>
      </c>
      <c r="Q5514" s="2">
        <v>292864</v>
      </c>
      <c r="R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 s="1">
        <v>42382</v>
      </c>
      <c r="AC5514" t="s">
        <v>53</v>
      </c>
      <c r="AD5514" t="s">
        <v>53</v>
      </c>
      <c r="AK5514">
        <v>0</v>
      </c>
      <c r="AU5514" s="6">
        <v>42159</v>
      </c>
      <c r="AV5514" s="6">
        <v>42159</v>
      </c>
      <c r="AW5514" t="s">
        <v>54</v>
      </c>
      <c r="AX5514" t="str">
        <f t="shared" si="469"/>
        <v>FOR</v>
      </c>
      <c r="AY5514" t="s">
        <v>55</v>
      </c>
    </row>
    <row r="5515" spans="1:51" hidden="1">
      <c r="A5515">
        <v>102844</v>
      </c>
      <c r="B5515" t="s">
        <v>1001</v>
      </c>
      <c r="C5515" t="str">
        <f t="shared" si="468"/>
        <v>10191080158</v>
      </c>
      <c r="D5515" t="str">
        <f t="shared" si="468"/>
        <v>10191080158</v>
      </c>
      <c r="E5515" t="s">
        <v>52</v>
      </c>
      <c r="F5515">
        <v>2014</v>
      </c>
      <c r="G5515">
        <v>6875</v>
      </c>
      <c r="H5515" s="1">
        <v>41897</v>
      </c>
      <c r="I5515" s="1">
        <v>41911</v>
      </c>
      <c r="J5515" s="1">
        <v>41911</v>
      </c>
      <c r="K5515" s="1">
        <v>42001</v>
      </c>
      <c r="N5515" s="5"/>
      <c r="O5515">
        <v>234.24</v>
      </c>
      <c r="P5515">
        <v>248</v>
      </c>
      <c r="Q5515" s="2">
        <v>58091.519999999997</v>
      </c>
      <c r="R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 s="1">
        <v>42382</v>
      </c>
      <c r="AC5515" t="s">
        <v>53</v>
      </c>
      <c r="AD5515" t="s">
        <v>53</v>
      </c>
      <c r="AK5515">
        <v>0</v>
      </c>
      <c r="AU5515" s="6">
        <v>42249</v>
      </c>
      <c r="AV5515" s="6">
        <v>42249</v>
      </c>
      <c r="AW5515" t="s">
        <v>54</v>
      </c>
      <c r="AX5515" t="str">
        <f t="shared" si="469"/>
        <v>FOR</v>
      </c>
      <c r="AY5515" t="s">
        <v>55</v>
      </c>
    </row>
    <row r="5516" spans="1:51" hidden="1">
      <c r="A5516">
        <v>102844</v>
      </c>
      <c r="B5516" t="s">
        <v>1001</v>
      </c>
      <c r="C5516" t="str">
        <f t="shared" si="468"/>
        <v>10191080158</v>
      </c>
      <c r="D5516" t="str">
        <f t="shared" si="468"/>
        <v>10191080158</v>
      </c>
      <c r="E5516" t="s">
        <v>52</v>
      </c>
      <c r="F5516">
        <v>2014</v>
      </c>
      <c r="G5516">
        <v>9050</v>
      </c>
      <c r="H5516" s="1">
        <v>41972</v>
      </c>
      <c r="I5516" s="1">
        <v>41995</v>
      </c>
      <c r="J5516" s="1">
        <v>41995</v>
      </c>
      <c r="K5516" s="1">
        <v>42055</v>
      </c>
      <c r="N5516" s="5"/>
      <c r="O5516">
        <v>33.28</v>
      </c>
      <c r="P5516">
        <v>200</v>
      </c>
      <c r="Q5516" s="2">
        <v>6656</v>
      </c>
      <c r="R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 s="1">
        <v>42382</v>
      </c>
      <c r="AC5516" t="s">
        <v>53</v>
      </c>
      <c r="AD5516" t="s">
        <v>53</v>
      </c>
      <c r="AK5516">
        <v>0</v>
      </c>
      <c r="AU5516" s="6">
        <v>42255</v>
      </c>
      <c r="AV5516" s="6">
        <v>42255</v>
      </c>
      <c r="AW5516" t="s">
        <v>54</v>
      </c>
      <c r="AX5516" t="str">
        <f t="shared" si="469"/>
        <v>FOR</v>
      </c>
      <c r="AY5516" t="s">
        <v>55</v>
      </c>
    </row>
    <row r="5517" spans="1:51" hidden="1">
      <c r="A5517">
        <v>102844</v>
      </c>
      <c r="B5517" t="s">
        <v>1001</v>
      </c>
      <c r="C5517" t="str">
        <f t="shared" si="468"/>
        <v>10191080158</v>
      </c>
      <c r="D5517" t="str">
        <f t="shared" si="468"/>
        <v>10191080158</v>
      </c>
      <c r="E5517" t="s">
        <v>52</v>
      </c>
      <c r="F5517">
        <v>2014</v>
      </c>
      <c r="G5517">
        <v>9051</v>
      </c>
      <c r="H5517" s="1">
        <v>41972</v>
      </c>
      <c r="I5517" s="1">
        <v>41995</v>
      </c>
      <c r="J5517" s="1">
        <v>41995</v>
      </c>
      <c r="K5517" s="1">
        <v>42055</v>
      </c>
      <c r="N5517" s="5"/>
      <c r="O5517">
        <v>832</v>
      </c>
      <c r="P5517">
        <v>200</v>
      </c>
      <c r="Q5517" s="2">
        <v>166400</v>
      </c>
      <c r="R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 s="1">
        <v>42382</v>
      </c>
      <c r="AC5517" t="s">
        <v>53</v>
      </c>
      <c r="AD5517" t="s">
        <v>53</v>
      </c>
      <c r="AK5517">
        <v>0</v>
      </c>
      <c r="AU5517" s="6">
        <v>42255</v>
      </c>
      <c r="AV5517" s="6">
        <v>42255</v>
      </c>
      <c r="AW5517" t="s">
        <v>54</v>
      </c>
      <c r="AX5517" t="str">
        <f t="shared" si="469"/>
        <v>FOR</v>
      </c>
      <c r="AY5517" t="s">
        <v>55</v>
      </c>
    </row>
    <row r="5518" spans="1:51" hidden="1">
      <c r="A5518">
        <v>102844</v>
      </c>
      <c r="B5518" t="s">
        <v>1001</v>
      </c>
      <c r="C5518" t="str">
        <f t="shared" si="468"/>
        <v>10191080158</v>
      </c>
      <c r="D5518" t="str">
        <f t="shared" si="468"/>
        <v>10191080158</v>
      </c>
      <c r="E5518" t="s">
        <v>52</v>
      </c>
      <c r="F5518">
        <v>2014</v>
      </c>
      <c r="G5518" t="s">
        <v>1002</v>
      </c>
      <c r="H5518" s="1">
        <v>41943</v>
      </c>
      <c r="I5518" s="1">
        <v>41970</v>
      </c>
      <c r="J5518" s="1">
        <v>41970</v>
      </c>
      <c r="K5518" s="1">
        <v>42030</v>
      </c>
      <c r="N5518" s="5"/>
      <c r="O5518">
        <v>569.91999999999996</v>
      </c>
      <c r="P5518">
        <v>10</v>
      </c>
      <c r="Q5518" s="2">
        <v>5699.2</v>
      </c>
      <c r="R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 s="1">
        <v>42382</v>
      </c>
      <c r="AC5518" t="s">
        <v>53</v>
      </c>
      <c r="AD5518" t="s">
        <v>53</v>
      </c>
      <c r="AK5518">
        <v>0</v>
      </c>
      <c r="AU5518" s="6">
        <v>42040</v>
      </c>
      <c r="AV5518" s="6">
        <v>42040</v>
      </c>
      <c r="AW5518" t="s">
        <v>54</v>
      </c>
      <c r="AX5518" t="str">
        <f t="shared" si="469"/>
        <v>FOR</v>
      </c>
      <c r="AY5518" t="s">
        <v>55</v>
      </c>
    </row>
    <row r="5519" spans="1:51" hidden="1">
      <c r="A5519">
        <v>102845</v>
      </c>
      <c r="B5519" t="s">
        <v>1003</v>
      </c>
      <c r="C5519" t="str">
        <f t="shared" ref="C5519:D5530" si="470">"02098650712"</f>
        <v>02098650712</v>
      </c>
      <c r="D5519" t="str">
        <f t="shared" si="470"/>
        <v>02098650712</v>
      </c>
      <c r="E5519" t="s">
        <v>52</v>
      </c>
      <c r="F5519">
        <v>2014</v>
      </c>
      <c r="G5519">
        <v>1877</v>
      </c>
      <c r="H5519" s="1">
        <v>41729</v>
      </c>
      <c r="I5519" s="1">
        <v>41758</v>
      </c>
      <c r="J5519" s="1">
        <v>41758</v>
      </c>
      <c r="K5519" s="1">
        <v>41848</v>
      </c>
      <c r="N5519" s="5"/>
      <c r="O5519" s="2">
        <v>17549.939999999999</v>
      </c>
      <c r="P5519">
        <v>171</v>
      </c>
      <c r="Q5519" s="2">
        <v>3001039.74</v>
      </c>
      <c r="R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 s="1">
        <v>42382</v>
      </c>
      <c r="AC5519" t="s">
        <v>53</v>
      </c>
      <c r="AD5519" t="s">
        <v>53</v>
      </c>
      <c r="AK5519">
        <v>0</v>
      </c>
      <c r="AU5519" s="6">
        <v>42019</v>
      </c>
      <c r="AV5519" s="6">
        <v>42019</v>
      </c>
      <c r="AW5519" t="s">
        <v>54</v>
      </c>
      <c r="AX5519" t="str">
        <f t="shared" si="469"/>
        <v>FOR</v>
      </c>
      <c r="AY5519" t="s">
        <v>55</v>
      </c>
    </row>
    <row r="5520" spans="1:51" hidden="1">
      <c r="A5520">
        <v>102845</v>
      </c>
      <c r="B5520" t="s">
        <v>1003</v>
      </c>
      <c r="C5520" t="str">
        <f t="shared" si="470"/>
        <v>02098650712</v>
      </c>
      <c r="D5520" t="str">
        <f t="shared" si="470"/>
        <v>02098650712</v>
      </c>
      <c r="E5520" t="s">
        <v>52</v>
      </c>
      <c r="F5520">
        <v>2014</v>
      </c>
      <c r="G5520">
        <v>2304</v>
      </c>
      <c r="H5520" s="1">
        <v>41759</v>
      </c>
      <c r="I5520" s="1">
        <v>41768</v>
      </c>
      <c r="J5520" s="1">
        <v>41768</v>
      </c>
      <c r="K5520" s="1">
        <v>41858</v>
      </c>
      <c r="N5520" s="5"/>
      <c r="O5520" s="2">
        <v>18574.07</v>
      </c>
      <c r="P5520">
        <v>216</v>
      </c>
      <c r="Q5520" s="2">
        <v>4011999.12</v>
      </c>
      <c r="R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 s="1">
        <v>42382</v>
      </c>
      <c r="AC5520" t="s">
        <v>53</v>
      </c>
      <c r="AD5520" t="s">
        <v>53</v>
      </c>
      <c r="AK5520">
        <v>0</v>
      </c>
      <c r="AU5520" s="6">
        <v>42074</v>
      </c>
      <c r="AV5520" s="6">
        <v>42074</v>
      </c>
      <c r="AW5520" t="s">
        <v>54</v>
      </c>
      <c r="AX5520" t="str">
        <f t="shared" si="469"/>
        <v>FOR</v>
      </c>
      <c r="AY5520" t="s">
        <v>55</v>
      </c>
    </row>
    <row r="5521" spans="1:51" hidden="1">
      <c r="A5521">
        <v>102845</v>
      </c>
      <c r="B5521" t="s">
        <v>1003</v>
      </c>
      <c r="C5521" t="str">
        <f t="shared" si="470"/>
        <v>02098650712</v>
      </c>
      <c r="D5521" t="str">
        <f t="shared" si="470"/>
        <v>02098650712</v>
      </c>
      <c r="E5521" t="s">
        <v>52</v>
      </c>
      <c r="F5521">
        <v>2014</v>
      </c>
      <c r="G5521">
        <v>3092</v>
      </c>
      <c r="H5521" s="1">
        <v>41790</v>
      </c>
      <c r="I5521" s="1">
        <v>41806</v>
      </c>
      <c r="J5521" s="1">
        <v>41806</v>
      </c>
      <c r="K5521" s="1">
        <v>41896</v>
      </c>
      <c r="N5521" s="5"/>
      <c r="O5521" s="2">
        <v>16369.03</v>
      </c>
      <c r="P5521">
        <v>199</v>
      </c>
      <c r="Q5521" s="2">
        <v>3257436.97</v>
      </c>
      <c r="R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 s="1">
        <v>42382</v>
      </c>
      <c r="AC5521" t="s">
        <v>53</v>
      </c>
      <c r="AD5521" t="s">
        <v>53</v>
      </c>
      <c r="AK5521">
        <v>0</v>
      </c>
      <c r="AU5521" s="6">
        <v>42095</v>
      </c>
      <c r="AV5521" s="6">
        <v>42095</v>
      </c>
      <c r="AW5521" t="s">
        <v>54</v>
      </c>
      <c r="AX5521" t="str">
        <f t="shared" si="469"/>
        <v>FOR</v>
      </c>
      <c r="AY5521" t="s">
        <v>55</v>
      </c>
    </row>
    <row r="5522" spans="1:51" hidden="1">
      <c r="A5522">
        <v>102845</v>
      </c>
      <c r="B5522" t="s">
        <v>1003</v>
      </c>
      <c r="C5522" t="str">
        <f t="shared" si="470"/>
        <v>02098650712</v>
      </c>
      <c r="D5522" t="str">
        <f t="shared" si="470"/>
        <v>02098650712</v>
      </c>
      <c r="E5522" t="s">
        <v>52</v>
      </c>
      <c r="F5522">
        <v>2014</v>
      </c>
      <c r="G5522">
        <v>3789</v>
      </c>
      <c r="H5522" s="1">
        <v>41820</v>
      </c>
      <c r="I5522" s="1">
        <v>41830</v>
      </c>
      <c r="J5522" s="1">
        <v>41830</v>
      </c>
      <c r="K5522" s="1">
        <v>41920</v>
      </c>
      <c r="N5522" s="5"/>
      <c r="O5522" s="2">
        <v>17095.63</v>
      </c>
      <c r="P5522">
        <v>211</v>
      </c>
      <c r="Q5522" s="2">
        <v>3607177.93</v>
      </c>
      <c r="R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 s="1">
        <v>42382</v>
      </c>
      <c r="AC5522" t="s">
        <v>53</v>
      </c>
      <c r="AD5522" t="s">
        <v>53</v>
      </c>
      <c r="AK5522">
        <v>0</v>
      </c>
      <c r="AU5522" s="6">
        <v>42131</v>
      </c>
      <c r="AV5522" s="6">
        <v>42131</v>
      </c>
      <c r="AW5522" t="s">
        <v>54</v>
      </c>
      <c r="AX5522" t="str">
        <f t="shared" si="469"/>
        <v>FOR</v>
      </c>
      <c r="AY5522" t="s">
        <v>55</v>
      </c>
    </row>
    <row r="5523" spans="1:51" hidden="1">
      <c r="A5523">
        <v>102845</v>
      </c>
      <c r="B5523" t="s">
        <v>1003</v>
      </c>
      <c r="C5523" t="str">
        <f t="shared" si="470"/>
        <v>02098650712</v>
      </c>
      <c r="D5523" t="str">
        <f t="shared" si="470"/>
        <v>02098650712</v>
      </c>
      <c r="E5523" t="s">
        <v>52</v>
      </c>
      <c r="F5523">
        <v>2014</v>
      </c>
      <c r="G5523">
        <v>4421</v>
      </c>
      <c r="H5523" s="1">
        <v>41851</v>
      </c>
      <c r="I5523" s="1">
        <v>41876</v>
      </c>
      <c r="J5523" s="1">
        <v>41876</v>
      </c>
      <c r="K5523" s="1">
        <v>41966</v>
      </c>
      <c r="N5523" s="5"/>
      <c r="O5523" s="2">
        <v>17649.25</v>
      </c>
      <c r="P5523">
        <v>192</v>
      </c>
      <c r="Q5523" s="2">
        <v>3388656</v>
      </c>
      <c r="R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 s="1">
        <v>42382</v>
      </c>
      <c r="AC5523" t="s">
        <v>53</v>
      </c>
      <c r="AD5523" t="s">
        <v>53</v>
      </c>
      <c r="AK5523">
        <v>0</v>
      </c>
      <c r="AU5523" s="6">
        <v>42158</v>
      </c>
      <c r="AV5523" s="6">
        <v>42158</v>
      </c>
      <c r="AW5523" t="s">
        <v>54</v>
      </c>
      <c r="AX5523" t="str">
        <f t="shared" si="469"/>
        <v>FOR</v>
      </c>
      <c r="AY5523" t="s">
        <v>55</v>
      </c>
    </row>
    <row r="5524" spans="1:51" hidden="1">
      <c r="A5524">
        <v>102845</v>
      </c>
      <c r="B5524" t="s">
        <v>1003</v>
      </c>
      <c r="C5524" t="str">
        <f t="shared" si="470"/>
        <v>02098650712</v>
      </c>
      <c r="D5524" t="str">
        <f t="shared" si="470"/>
        <v>02098650712</v>
      </c>
      <c r="E5524" t="s">
        <v>52</v>
      </c>
      <c r="F5524">
        <v>2014</v>
      </c>
      <c r="G5524">
        <v>5078</v>
      </c>
      <c r="H5524" s="1">
        <v>41881</v>
      </c>
      <c r="I5524" s="1">
        <v>41891</v>
      </c>
      <c r="J5524" s="1">
        <v>41891</v>
      </c>
      <c r="K5524" s="1">
        <v>41981</v>
      </c>
      <c r="N5524" s="5"/>
      <c r="O5524" s="2">
        <v>14751.65</v>
      </c>
      <c r="P5524">
        <v>207</v>
      </c>
      <c r="Q5524" s="2">
        <v>3053591.55</v>
      </c>
      <c r="R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 s="1">
        <v>42382</v>
      </c>
      <c r="AC5524" t="s">
        <v>53</v>
      </c>
      <c r="AD5524" t="s">
        <v>53</v>
      </c>
      <c r="AK5524">
        <v>0</v>
      </c>
      <c r="AU5524" s="6">
        <v>42188</v>
      </c>
      <c r="AV5524" s="6">
        <v>42188</v>
      </c>
      <c r="AW5524" t="s">
        <v>54</v>
      </c>
      <c r="AX5524" t="str">
        <f t="shared" si="469"/>
        <v>FOR</v>
      </c>
      <c r="AY5524" t="s">
        <v>55</v>
      </c>
    </row>
    <row r="5525" spans="1:51" hidden="1">
      <c r="A5525">
        <v>102845</v>
      </c>
      <c r="B5525" t="s">
        <v>1003</v>
      </c>
      <c r="C5525" t="str">
        <f t="shared" si="470"/>
        <v>02098650712</v>
      </c>
      <c r="D5525" t="str">
        <f t="shared" si="470"/>
        <v>02098650712</v>
      </c>
      <c r="E5525" t="s">
        <v>52</v>
      </c>
      <c r="F5525">
        <v>2014</v>
      </c>
      <c r="G5525">
        <v>5666</v>
      </c>
      <c r="H5525" s="1">
        <v>41912</v>
      </c>
      <c r="I5525" s="1">
        <v>41926</v>
      </c>
      <c r="J5525" s="1">
        <v>41926</v>
      </c>
      <c r="K5525" s="1">
        <v>42016</v>
      </c>
      <c r="N5525" s="5"/>
      <c r="O5525" s="2">
        <v>17668.189999999999</v>
      </c>
      <c r="P5525">
        <v>196</v>
      </c>
      <c r="Q5525" s="2">
        <v>3462965.24</v>
      </c>
      <c r="R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 s="1">
        <v>42382</v>
      </c>
      <c r="AC5525" t="s">
        <v>53</v>
      </c>
      <c r="AD5525" t="s">
        <v>53</v>
      </c>
      <c r="AK5525">
        <v>0</v>
      </c>
      <c r="AU5525" s="6">
        <v>42212</v>
      </c>
      <c r="AV5525" s="6">
        <v>42212</v>
      </c>
      <c r="AW5525" t="s">
        <v>54</v>
      </c>
      <c r="AX5525" t="str">
        <f t="shared" si="469"/>
        <v>FOR</v>
      </c>
      <c r="AY5525" t="s">
        <v>55</v>
      </c>
    </row>
    <row r="5526" spans="1:51" hidden="1">
      <c r="A5526">
        <v>102845</v>
      </c>
      <c r="B5526" t="s">
        <v>1003</v>
      </c>
      <c r="C5526" t="str">
        <f t="shared" si="470"/>
        <v>02098650712</v>
      </c>
      <c r="D5526" t="str">
        <f t="shared" si="470"/>
        <v>02098650712</v>
      </c>
      <c r="E5526" t="s">
        <v>52</v>
      </c>
      <c r="F5526">
        <v>2014</v>
      </c>
      <c r="G5526">
        <v>6385</v>
      </c>
      <c r="H5526" s="1">
        <v>41943</v>
      </c>
      <c r="I5526" s="1">
        <v>41955</v>
      </c>
      <c r="J5526" s="1">
        <v>41955</v>
      </c>
      <c r="K5526" s="1">
        <v>42015</v>
      </c>
      <c r="N5526" s="5"/>
      <c r="O5526" s="2">
        <v>17913.32</v>
      </c>
      <c r="P5526">
        <v>235</v>
      </c>
      <c r="Q5526" s="2">
        <v>4209630.2</v>
      </c>
      <c r="R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 s="1">
        <v>42382</v>
      </c>
      <c r="AC5526" t="s">
        <v>53</v>
      </c>
      <c r="AD5526" t="s">
        <v>53</v>
      </c>
      <c r="AK5526">
        <v>0</v>
      </c>
      <c r="AU5526" s="6">
        <v>42250</v>
      </c>
      <c r="AV5526" s="6">
        <v>42250</v>
      </c>
      <c r="AW5526" t="s">
        <v>54</v>
      </c>
      <c r="AX5526" t="str">
        <f t="shared" si="469"/>
        <v>FOR</v>
      </c>
      <c r="AY5526" t="s">
        <v>55</v>
      </c>
    </row>
    <row r="5527" spans="1:51" hidden="1">
      <c r="A5527">
        <v>102845</v>
      </c>
      <c r="B5527" t="s">
        <v>1003</v>
      </c>
      <c r="C5527" t="str">
        <f t="shared" si="470"/>
        <v>02098650712</v>
      </c>
      <c r="D5527" t="str">
        <f t="shared" si="470"/>
        <v>02098650712</v>
      </c>
      <c r="E5527" t="s">
        <v>52</v>
      </c>
      <c r="F5527">
        <v>2014</v>
      </c>
      <c r="G5527">
        <v>7126</v>
      </c>
      <c r="H5527" s="1">
        <v>41972</v>
      </c>
      <c r="I5527" s="1">
        <v>41983</v>
      </c>
      <c r="J5527" s="1">
        <v>41983</v>
      </c>
      <c r="K5527" s="1">
        <v>42043</v>
      </c>
      <c r="N5527" s="5"/>
      <c r="O5527" s="2">
        <v>15015.86</v>
      </c>
      <c r="P5527">
        <v>233</v>
      </c>
      <c r="Q5527" s="2">
        <v>3498695.38</v>
      </c>
      <c r="R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 s="1">
        <v>42382</v>
      </c>
      <c r="AC5527" t="s">
        <v>53</v>
      </c>
      <c r="AD5527" t="s">
        <v>53</v>
      </c>
      <c r="AK5527">
        <v>0</v>
      </c>
      <c r="AU5527" s="6">
        <v>42276</v>
      </c>
      <c r="AV5527" s="6">
        <v>42276</v>
      </c>
      <c r="AW5527" t="s">
        <v>54</v>
      </c>
      <c r="AX5527" t="str">
        <f t="shared" si="469"/>
        <v>FOR</v>
      </c>
      <c r="AY5527" t="s">
        <v>55</v>
      </c>
    </row>
    <row r="5528" spans="1:51">
      <c r="A5528">
        <v>102845</v>
      </c>
      <c r="B5528" t="s">
        <v>1003</v>
      </c>
      <c r="C5528" t="str">
        <f t="shared" si="470"/>
        <v>02098650712</v>
      </c>
      <c r="D5528" t="str">
        <f t="shared" si="470"/>
        <v>02098650712</v>
      </c>
      <c r="E5528" t="s">
        <v>52</v>
      </c>
      <c r="F5528">
        <v>2014</v>
      </c>
      <c r="G5528">
        <v>8026</v>
      </c>
      <c r="H5528" s="1">
        <v>42004</v>
      </c>
      <c r="I5528" s="1">
        <v>42024</v>
      </c>
      <c r="J5528" s="1">
        <v>42024</v>
      </c>
      <c r="K5528" s="1">
        <v>42084</v>
      </c>
      <c r="L5528" s="7">
        <v>14929.53</v>
      </c>
      <c r="M5528" s="5">
        <v>216</v>
      </c>
      <c r="N5528" s="7">
        <v>3224778.48</v>
      </c>
      <c r="O5528" s="2">
        <v>14929.53</v>
      </c>
      <c r="P5528">
        <v>216</v>
      </c>
      <c r="Q5528" s="2">
        <v>3224778.48</v>
      </c>
      <c r="R5528">
        <v>0</v>
      </c>
      <c r="V5528">
        <v>0</v>
      </c>
      <c r="W5528">
        <v>0</v>
      </c>
      <c r="X5528">
        <v>0</v>
      </c>
      <c r="Y5528">
        <v>0</v>
      </c>
      <c r="Z5528" s="2">
        <v>14929.53</v>
      </c>
      <c r="AA5528">
        <v>0</v>
      </c>
      <c r="AB5528" s="1">
        <v>42382</v>
      </c>
      <c r="AC5528" t="s">
        <v>53</v>
      </c>
      <c r="AD5528" t="s">
        <v>53</v>
      </c>
      <c r="AK5528">
        <v>0</v>
      </c>
      <c r="AU5528" s="6">
        <v>42300</v>
      </c>
      <c r="AV5528" s="6">
        <v>42300</v>
      </c>
      <c r="AW5528" t="s">
        <v>54</v>
      </c>
      <c r="AX5528" t="str">
        <f t="shared" si="469"/>
        <v>FOR</v>
      </c>
      <c r="AY5528" t="s">
        <v>55</v>
      </c>
    </row>
    <row r="5529" spans="1:51">
      <c r="A5529">
        <v>102845</v>
      </c>
      <c r="B5529" t="s">
        <v>1003</v>
      </c>
      <c r="C5529" t="str">
        <f t="shared" si="470"/>
        <v>02098650712</v>
      </c>
      <c r="D5529" t="str">
        <f t="shared" si="470"/>
        <v>02098650712</v>
      </c>
      <c r="E5529" t="s">
        <v>52</v>
      </c>
      <c r="F5529">
        <v>2015</v>
      </c>
      <c r="G5529">
        <v>398</v>
      </c>
      <c r="H5529" s="1">
        <v>42035</v>
      </c>
      <c r="I5529" s="1">
        <v>42045</v>
      </c>
      <c r="J5529" s="1">
        <v>42045</v>
      </c>
      <c r="K5529" s="1">
        <v>42105</v>
      </c>
      <c r="L5529" s="7">
        <v>15124.31</v>
      </c>
      <c r="M5529" s="5">
        <v>234</v>
      </c>
      <c r="N5529" s="7">
        <v>3539088.54</v>
      </c>
      <c r="O5529" s="2">
        <v>15124.31</v>
      </c>
      <c r="P5529">
        <v>234</v>
      </c>
      <c r="Q5529" s="2">
        <v>3539088.54</v>
      </c>
      <c r="R5529" s="2">
        <v>3327.35</v>
      </c>
      <c r="V5529">
        <v>0</v>
      </c>
      <c r="W5529">
        <v>0</v>
      </c>
      <c r="X5529">
        <v>0</v>
      </c>
      <c r="Y5529" s="2">
        <v>18451.66</v>
      </c>
      <c r="Z5529" s="2">
        <v>18451.66</v>
      </c>
      <c r="AA5529" s="2">
        <v>18451.66</v>
      </c>
      <c r="AB5529" s="1">
        <v>42382</v>
      </c>
      <c r="AC5529" t="s">
        <v>53</v>
      </c>
      <c r="AD5529" t="s">
        <v>53</v>
      </c>
      <c r="AK5529" s="2">
        <v>3327.35</v>
      </c>
      <c r="AU5529" s="6">
        <v>42339</v>
      </c>
      <c r="AV5529" s="6">
        <v>42339</v>
      </c>
      <c r="AW5529" t="s">
        <v>54</v>
      </c>
      <c r="AX5529" t="str">
        <f t="shared" si="469"/>
        <v>FOR</v>
      </c>
      <c r="AY5529" t="s">
        <v>55</v>
      </c>
    </row>
    <row r="5530" spans="1:51">
      <c r="A5530">
        <v>102845</v>
      </c>
      <c r="B5530" t="s">
        <v>1003</v>
      </c>
      <c r="C5530" t="str">
        <f t="shared" si="470"/>
        <v>02098650712</v>
      </c>
      <c r="D5530" t="str">
        <f t="shared" si="470"/>
        <v>02098650712</v>
      </c>
      <c r="E5530" t="s">
        <v>52</v>
      </c>
      <c r="F5530">
        <v>2015</v>
      </c>
      <c r="G5530">
        <v>1164</v>
      </c>
      <c r="H5530" s="1">
        <v>42063</v>
      </c>
      <c r="I5530" s="1">
        <v>42080</v>
      </c>
      <c r="J5530" s="1">
        <v>42080</v>
      </c>
      <c r="K5530" s="1">
        <v>42140</v>
      </c>
      <c r="L5530" s="7">
        <v>12723.46</v>
      </c>
      <c r="M5530" s="5">
        <v>216</v>
      </c>
      <c r="N5530" s="7">
        <v>2748267.36</v>
      </c>
      <c r="O5530" s="2">
        <v>12723.46</v>
      </c>
      <c r="P5530">
        <v>216</v>
      </c>
      <c r="Q5530" s="2">
        <v>2748267.36</v>
      </c>
      <c r="R5530" s="2">
        <v>2799.16</v>
      </c>
      <c r="V5530">
        <v>0</v>
      </c>
      <c r="W5530">
        <v>0</v>
      </c>
      <c r="X5530">
        <v>0</v>
      </c>
      <c r="Y5530" s="2">
        <v>15522.62</v>
      </c>
      <c r="Z5530" s="2">
        <v>15522.62</v>
      </c>
      <c r="AA5530" s="2">
        <v>15522.62</v>
      </c>
      <c r="AB5530" s="1">
        <v>42382</v>
      </c>
      <c r="AC5530" t="s">
        <v>53</v>
      </c>
      <c r="AD5530" t="s">
        <v>53</v>
      </c>
      <c r="AK5530" s="2">
        <v>2799.16</v>
      </c>
      <c r="AU5530" s="6">
        <v>42356</v>
      </c>
      <c r="AV5530" s="6">
        <v>42356</v>
      </c>
      <c r="AW5530" t="s">
        <v>54</v>
      </c>
      <c r="AX5530" t="str">
        <f t="shared" si="469"/>
        <v>FOR</v>
      </c>
      <c r="AY5530" t="s">
        <v>55</v>
      </c>
    </row>
    <row r="5531" spans="1:51" hidden="1">
      <c r="A5531">
        <v>102885</v>
      </c>
      <c r="B5531" t="s">
        <v>1004</v>
      </c>
      <c r="C5531" t="str">
        <f t="shared" ref="C5531:D5550" si="471">"00488410010"</f>
        <v>00488410010</v>
      </c>
      <c r="D5531" t="str">
        <f t="shared" si="471"/>
        <v>00488410010</v>
      </c>
      <c r="E5531" t="s">
        <v>52</v>
      </c>
      <c r="F5531">
        <v>2013</v>
      </c>
      <c r="G5531">
        <v>21270</v>
      </c>
      <c r="H5531" s="1">
        <v>41554</v>
      </c>
      <c r="I5531" s="1">
        <v>41577</v>
      </c>
      <c r="J5531" s="1">
        <v>41577</v>
      </c>
      <c r="K5531" s="1">
        <v>41667</v>
      </c>
      <c r="N5531" s="5"/>
      <c r="O5531" s="2">
        <v>13308</v>
      </c>
      <c r="P5531">
        <v>367</v>
      </c>
      <c r="Q5531" s="2">
        <v>4884036</v>
      </c>
      <c r="R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 s="1">
        <v>42382</v>
      </c>
      <c r="AC5531" t="s">
        <v>53</v>
      </c>
      <c r="AD5531" t="s">
        <v>53</v>
      </c>
      <c r="AK5531">
        <v>0</v>
      </c>
      <c r="AU5531" s="6">
        <v>42034</v>
      </c>
      <c r="AV5531" s="6">
        <v>42034</v>
      </c>
      <c r="AW5531" t="s">
        <v>54</v>
      </c>
      <c r="AX5531" t="str">
        <f t="shared" si="469"/>
        <v>FOR</v>
      </c>
      <c r="AY5531" t="s">
        <v>55</v>
      </c>
    </row>
    <row r="5532" spans="1:51" hidden="1">
      <c r="A5532">
        <v>102885</v>
      </c>
      <c r="B5532" t="s">
        <v>1004</v>
      </c>
      <c r="C5532" t="str">
        <f t="shared" si="471"/>
        <v>00488410010</v>
      </c>
      <c r="D5532" t="str">
        <f t="shared" si="471"/>
        <v>00488410010</v>
      </c>
      <c r="E5532" t="s">
        <v>52</v>
      </c>
      <c r="F5532">
        <v>2013</v>
      </c>
      <c r="G5532">
        <v>25607</v>
      </c>
      <c r="H5532" s="1">
        <v>41613</v>
      </c>
      <c r="I5532" s="1">
        <v>41639</v>
      </c>
      <c r="J5532" s="1">
        <v>41639</v>
      </c>
      <c r="K5532" s="1">
        <v>41729</v>
      </c>
      <c r="N5532" s="5"/>
      <c r="O5532" s="2">
        <v>14546</v>
      </c>
      <c r="P5532">
        <v>305</v>
      </c>
      <c r="Q5532" s="2">
        <v>4436530</v>
      </c>
      <c r="R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 s="1">
        <v>42382</v>
      </c>
      <c r="AC5532" t="s">
        <v>53</v>
      </c>
      <c r="AD5532" t="s">
        <v>53</v>
      </c>
      <c r="AK5532">
        <v>0</v>
      </c>
      <c r="AU5532" s="6">
        <v>42034</v>
      </c>
      <c r="AV5532" s="6">
        <v>42034</v>
      </c>
      <c r="AW5532" t="s">
        <v>54</v>
      </c>
      <c r="AX5532" t="str">
        <f t="shared" si="469"/>
        <v>FOR</v>
      </c>
      <c r="AY5532" t="s">
        <v>55</v>
      </c>
    </row>
    <row r="5533" spans="1:51" hidden="1">
      <c r="A5533">
        <v>102885</v>
      </c>
      <c r="B5533" t="s">
        <v>1004</v>
      </c>
      <c r="C5533" t="str">
        <f t="shared" si="471"/>
        <v>00488410010</v>
      </c>
      <c r="D5533" t="str">
        <f t="shared" si="471"/>
        <v>00488410010</v>
      </c>
      <c r="E5533" t="s">
        <v>52</v>
      </c>
      <c r="F5533">
        <v>2013</v>
      </c>
      <c r="G5533" t="s">
        <v>1005</v>
      </c>
      <c r="H5533" s="1">
        <v>41554</v>
      </c>
      <c r="I5533" s="1">
        <v>41576</v>
      </c>
      <c r="J5533" s="1">
        <v>41576</v>
      </c>
      <c r="K5533" s="1">
        <v>41666</v>
      </c>
      <c r="N5533" s="5"/>
      <c r="O5533">
        <v>3</v>
      </c>
      <c r="P5533">
        <v>368</v>
      </c>
      <c r="Q5533" s="2">
        <v>1104</v>
      </c>
      <c r="R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 s="1">
        <v>42382</v>
      </c>
      <c r="AC5533" t="s">
        <v>53</v>
      </c>
      <c r="AD5533" t="s">
        <v>53</v>
      </c>
      <c r="AK5533">
        <v>0</v>
      </c>
      <c r="AU5533" s="6">
        <v>42034</v>
      </c>
      <c r="AV5533" s="6">
        <v>42034</v>
      </c>
      <c r="AW5533" t="s">
        <v>54</v>
      </c>
      <c r="AX5533" t="str">
        <f t="shared" si="469"/>
        <v>FOR</v>
      </c>
      <c r="AY5533" t="s">
        <v>55</v>
      </c>
    </row>
    <row r="5534" spans="1:51" hidden="1">
      <c r="A5534">
        <v>102885</v>
      </c>
      <c r="B5534" t="s">
        <v>1004</v>
      </c>
      <c r="C5534" t="str">
        <f t="shared" si="471"/>
        <v>00488410010</v>
      </c>
      <c r="D5534" t="str">
        <f t="shared" si="471"/>
        <v>00488410010</v>
      </c>
      <c r="E5534" t="s">
        <v>52</v>
      </c>
      <c r="F5534">
        <v>2013</v>
      </c>
      <c r="G5534" t="s">
        <v>1006</v>
      </c>
      <c r="H5534" s="1">
        <v>41613</v>
      </c>
      <c r="I5534" s="1">
        <v>41632</v>
      </c>
      <c r="J5534" s="1">
        <v>41632</v>
      </c>
      <c r="K5534" s="1">
        <v>41722</v>
      </c>
      <c r="N5534" s="5"/>
      <c r="O5534">
        <v>3</v>
      </c>
      <c r="P5534">
        <v>312</v>
      </c>
      <c r="Q5534">
        <v>936</v>
      </c>
      <c r="R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 s="1">
        <v>42382</v>
      </c>
      <c r="AC5534" t="s">
        <v>53</v>
      </c>
      <c r="AD5534" t="s">
        <v>53</v>
      </c>
      <c r="AK5534">
        <v>0</v>
      </c>
      <c r="AU5534" s="6">
        <v>42034</v>
      </c>
      <c r="AV5534" s="6">
        <v>42034</v>
      </c>
      <c r="AW5534" t="s">
        <v>54</v>
      </c>
      <c r="AX5534" t="str">
        <f t="shared" si="469"/>
        <v>FOR</v>
      </c>
      <c r="AY5534" t="s">
        <v>55</v>
      </c>
    </row>
    <row r="5535" spans="1:51" hidden="1">
      <c r="A5535">
        <v>102885</v>
      </c>
      <c r="B5535" t="s">
        <v>1004</v>
      </c>
      <c r="C5535" t="str">
        <f t="shared" si="471"/>
        <v>00488410010</v>
      </c>
      <c r="D5535" t="str">
        <f t="shared" si="471"/>
        <v>00488410010</v>
      </c>
      <c r="E5535" t="s">
        <v>52</v>
      </c>
      <c r="F5535">
        <v>2013</v>
      </c>
      <c r="G5535" t="s">
        <v>1007</v>
      </c>
      <c r="H5535" s="1">
        <v>41554</v>
      </c>
      <c r="I5535" s="1">
        <v>41575</v>
      </c>
      <c r="J5535" s="1">
        <v>41575</v>
      </c>
      <c r="K5535" s="1">
        <v>41665</v>
      </c>
      <c r="N5535" s="5"/>
      <c r="O5535">
        <v>301.5</v>
      </c>
      <c r="P5535">
        <v>369</v>
      </c>
      <c r="Q5535" s="2">
        <v>111253.5</v>
      </c>
      <c r="R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 s="1">
        <v>42382</v>
      </c>
      <c r="AC5535" t="s">
        <v>53</v>
      </c>
      <c r="AD5535" t="s">
        <v>53</v>
      </c>
      <c r="AK5535">
        <v>0</v>
      </c>
      <c r="AU5535" s="6">
        <v>42034</v>
      </c>
      <c r="AV5535" s="6">
        <v>42034</v>
      </c>
      <c r="AW5535" t="s">
        <v>54</v>
      </c>
      <c r="AX5535" t="str">
        <f t="shared" si="469"/>
        <v>FOR</v>
      </c>
      <c r="AY5535" t="s">
        <v>55</v>
      </c>
    </row>
    <row r="5536" spans="1:51" hidden="1">
      <c r="A5536">
        <v>102885</v>
      </c>
      <c r="B5536" t="s">
        <v>1004</v>
      </c>
      <c r="C5536" t="str">
        <f t="shared" si="471"/>
        <v>00488410010</v>
      </c>
      <c r="D5536" t="str">
        <f t="shared" si="471"/>
        <v>00488410010</v>
      </c>
      <c r="E5536" t="s">
        <v>52</v>
      </c>
      <c r="F5536">
        <v>2013</v>
      </c>
      <c r="G5536" t="s">
        <v>1008</v>
      </c>
      <c r="H5536" s="1">
        <v>41554</v>
      </c>
      <c r="I5536" s="1">
        <v>41576</v>
      </c>
      <c r="J5536" s="1">
        <v>41576</v>
      </c>
      <c r="K5536" s="1">
        <v>41666</v>
      </c>
      <c r="N5536" s="5"/>
      <c r="O5536">
        <v>56</v>
      </c>
      <c r="P5536">
        <v>368</v>
      </c>
      <c r="Q5536" s="2">
        <v>20608</v>
      </c>
      <c r="R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 s="1">
        <v>42382</v>
      </c>
      <c r="AC5536" t="s">
        <v>53</v>
      </c>
      <c r="AD5536" t="s">
        <v>53</v>
      </c>
      <c r="AK5536">
        <v>0</v>
      </c>
      <c r="AU5536" s="6">
        <v>42034</v>
      </c>
      <c r="AV5536" s="6">
        <v>42034</v>
      </c>
      <c r="AW5536" t="s">
        <v>54</v>
      </c>
      <c r="AX5536" t="str">
        <f t="shared" si="469"/>
        <v>FOR</v>
      </c>
      <c r="AY5536" t="s">
        <v>55</v>
      </c>
    </row>
    <row r="5537" spans="1:51" hidden="1">
      <c r="A5537">
        <v>102885</v>
      </c>
      <c r="B5537" t="s">
        <v>1004</v>
      </c>
      <c r="C5537" t="str">
        <f t="shared" si="471"/>
        <v>00488410010</v>
      </c>
      <c r="D5537" t="str">
        <f t="shared" si="471"/>
        <v>00488410010</v>
      </c>
      <c r="E5537" t="s">
        <v>52</v>
      </c>
      <c r="F5537">
        <v>2013</v>
      </c>
      <c r="G5537" t="s">
        <v>1009</v>
      </c>
      <c r="H5537" s="1">
        <v>41554</v>
      </c>
      <c r="I5537" s="1">
        <v>41576</v>
      </c>
      <c r="J5537" s="1">
        <v>41576</v>
      </c>
      <c r="K5537" s="1">
        <v>41666</v>
      </c>
      <c r="N5537" s="5"/>
      <c r="O5537" s="2">
        <v>1448.5</v>
      </c>
      <c r="P5537">
        <v>368</v>
      </c>
      <c r="Q5537" s="2">
        <v>533048</v>
      </c>
      <c r="R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 s="1">
        <v>42382</v>
      </c>
      <c r="AC5537" t="s">
        <v>53</v>
      </c>
      <c r="AD5537" t="s">
        <v>53</v>
      </c>
      <c r="AK5537">
        <v>0</v>
      </c>
      <c r="AU5537" s="6">
        <v>42034</v>
      </c>
      <c r="AV5537" s="6">
        <v>42034</v>
      </c>
      <c r="AW5537" t="s">
        <v>54</v>
      </c>
      <c r="AX5537" t="str">
        <f t="shared" si="469"/>
        <v>FOR</v>
      </c>
      <c r="AY5537" t="s">
        <v>55</v>
      </c>
    </row>
    <row r="5538" spans="1:51" hidden="1">
      <c r="A5538">
        <v>102885</v>
      </c>
      <c r="B5538" t="s">
        <v>1004</v>
      </c>
      <c r="C5538" t="str">
        <f t="shared" si="471"/>
        <v>00488410010</v>
      </c>
      <c r="D5538" t="str">
        <f t="shared" si="471"/>
        <v>00488410010</v>
      </c>
      <c r="E5538" t="s">
        <v>52</v>
      </c>
      <c r="F5538">
        <v>2013</v>
      </c>
      <c r="G5538" t="s">
        <v>1010</v>
      </c>
      <c r="H5538" s="1">
        <v>41554</v>
      </c>
      <c r="I5538" s="1">
        <v>41575</v>
      </c>
      <c r="J5538" s="1">
        <v>41575</v>
      </c>
      <c r="K5538" s="1">
        <v>41665</v>
      </c>
      <c r="N5538" s="5"/>
      <c r="O5538" s="2">
        <v>1588.5</v>
      </c>
      <c r="P5538">
        <v>369</v>
      </c>
      <c r="Q5538" s="2">
        <v>586156.5</v>
      </c>
      <c r="R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 s="1">
        <v>42382</v>
      </c>
      <c r="AC5538" t="s">
        <v>53</v>
      </c>
      <c r="AD5538" t="s">
        <v>53</v>
      </c>
      <c r="AK5538">
        <v>0</v>
      </c>
      <c r="AU5538" s="6">
        <v>42034</v>
      </c>
      <c r="AV5538" s="6">
        <v>42034</v>
      </c>
      <c r="AW5538" t="s">
        <v>54</v>
      </c>
      <c r="AX5538" t="str">
        <f t="shared" si="469"/>
        <v>FOR</v>
      </c>
      <c r="AY5538" t="s">
        <v>55</v>
      </c>
    </row>
    <row r="5539" spans="1:51" hidden="1">
      <c r="A5539">
        <v>102885</v>
      </c>
      <c r="B5539" t="s">
        <v>1004</v>
      </c>
      <c r="C5539" t="str">
        <f t="shared" si="471"/>
        <v>00488410010</v>
      </c>
      <c r="D5539" t="str">
        <f t="shared" si="471"/>
        <v>00488410010</v>
      </c>
      <c r="E5539" t="s">
        <v>52</v>
      </c>
      <c r="F5539">
        <v>2013</v>
      </c>
      <c r="G5539" t="s">
        <v>1011</v>
      </c>
      <c r="H5539" s="1">
        <v>41554</v>
      </c>
      <c r="I5539" s="1">
        <v>41576</v>
      </c>
      <c r="J5539" s="1">
        <v>41576</v>
      </c>
      <c r="K5539" s="1">
        <v>41666</v>
      </c>
      <c r="N5539" s="5"/>
      <c r="O5539">
        <v>128</v>
      </c>
      <c r="P5539">
        <v>368</v>
      </c>
      <c r="Q5539" s="2">
        <v>47104</v>
      </c>
      <c r="R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 s="1">
        <v>42382</v>
      </c>
      <c r="AC5539" t="s">
        <v>53</v>
      </c>
      <c r="AD5539" t="s">
        <v>53</v>
      </c>
      <c r="AK5539">
        <v>0</v>
      </c>
      <c r="AU5539" s="6">
        <v>42034</v>
      </c>
      <c r="AV5539" s="6">
        <v>42034</v>
      </c>
      <c r="AW5539" t="s">
        <v>54</v>
      </c>
      <c r="AX5539" t="str">
        <f t="shared" si="469"/>
        <v>FOR</v>
      </c>
      <c r="AY5539" t="s">
        <v>55</v>
      </c>
    </row>
    <row r="5540" spans="1:51" hidden="1">
      <c r="A5540">
        <v>102885</v>
      </c>
      <c r="B5540" t="s">
        <v>1004</v>
      </c>
      <c r="C5540" t="str">
        <f t="shared" si="471"/>
        <v>00488410010</v>
      </c>
      <c r="D5540" t="str">
        <f t="shared" si="471"/>
        <v>00488410010</v>
      </c>
      <c r="E5540" t="s">
        <v>52</v>
      </c>
      <c r="F5540">
        <v>2013</v>
      </c>
      <c r="G5540" t="s">
        <v>1012</v>
      </c>
      <c r="H5540" s="1">
        <v>41554</v>
      </c>
      <c r="I5540" s="1">
        <v>41575</v>
      </c>
      <c r="J5540" s="1">
        <v>41575</v>
      </c>
      <c r="K5540" s="1">
        <v>41665</v>
      </c>
      <c r="N5540" s="5"/>
      <c r="O5540">
        <v>947</v>
      </c>
      <c r="P5540">
        <v>369</v>
      </c>
      <c r="Q5540" s="2">
        <v>349443</v>
      </c>
      <c r="R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 s="1">
        <v>42382</v>
      </c>
      <c r="AC5540" t="s">
        <v>53</v>
      </c>
      <c r="AD5540" t="s">
        <v>53</v>
      </c>
      <c r="AK5540">
        <v>0</v>
      </c>
      <c r="AU5540" s="6">
        <v>42034</v>
      </c>
      <c r="AV5540" s="6">
        <v>42034</v>
      </c>
      <c r="AW5540" t="s">
        <v>54</v>
      </c>
      <c r="AX5540" t="str">
        <f t="shared" si="469"/>
        <v>FOR</v>
      </c>
      <c r="AY5540" t="s">
        <v>55</v>
      </c>
    </row>
    <row r="5541" spans="1:51" hidden="1">
      <c r="A5541">
        <v>102885</v>
      </c>
      <c r="B5541" t="s">
        <v>1004</v>
      </c>
      <c r="C5541" t="str">
        <f t="shared" si="471"/>
        <v>00488410010</v>
      </c>
      <c r="D5541" t="str">
        <f t="shared" si="471"/>
        <v>00488410010</v>
      </c>
      <c r="E5541" t="s">
        <v>52</v>
      </c>
      <c r="F5541">
        <v>2013</v>
      </c>
      <c r="G5541" t="s">
        <v>1013</v>
      </c>
      <c r="H5541" s="1">
        <v>41554</v>
      </c>
      <c r="I5541" s="1">
        <v>41575</v>
      </c>
      <c r="J5541" s="1">
        <v>41575</v>
      </c>
      <c r="K5541" s="1">
        <v>41665</v>
      </c>
      <c r="N5541" s="5"/>
      <c r="O5541">
        <v>56</v>
      </c>
      <c r="P5541">
        <v>369</v>
      </c>
      <c r="Q5541" s="2">
        <v>20664</v>
      </c>
      <c r="R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 s="1">
        <v>42382</v>
      </c>
      <c r="AC5541" t="s">
        <v>53</v>
      </c>
      <c r="AD5541" t="s">
        <v>53</v>
      </c>
      <c r="AK5541">
        <v>0</v>
      </c>
      <c r="AU5541" s="6">
        <v>42034</v>
      </c>
      <c r="AV5541" s="6">
        <v>42034</v>
      </c>
      <c r="AW5541" t="s">
        <v>54</v>
      </c>
      <c r="AX5541" t="str">
        <f t="shared" si="469"/>
        <v>FOR</v>
      </c>
      <c r="AY5541" t="s">
        <v>55</v>
      </c>
    </row>
    <row r="5542" spans="1:51" hidden="1">
      <c r="A5542">
        <v>102885</v>
      </c>
      <c r="B5542" t="s">
        <v>1004</v>
      </c>
      <c r="C5542" t="str">
        <f t="shared" si="471"/>
        <v>00488410010</v>
      </c>
      <c r="D5542" t="str">
        <f t="shared" si="471"/>
        <v>00488410010</v>
      </c>
      <c r="E5542" t="s">
        <v>52</v>
      </c>
      <c r="F5542">
        <v>2013</v>
      </c>
      <c r="G5542" t="s">
        <v>1014</v>
      </c>
      <c r="H5542" s="1">
        <v>41554</v>
      </c>
      <c r="I5542" s="1">
        <v>41575</v>
      </c>
      <c r="J5542" s="1">
        <v>41575</v>
      </c>
      <c r="K5542" s="1">
        <v>41665</v>
      </c>
      <c r="N5542" s="5"/>
      <c r="O5542">
        <v>56</v>
      </c>
      <c r="P5542">
        <v>369</v>
      </c>
      <c r="Q5542" s="2">
        <v>20664</v>
      </c>
      <c r="R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 s="1">
        <v>42382</v>
      </c>
      <c r="AC5542" t="s">
        <v>53</v>
      </c>
      <c r="AD5542" t="s">
        <v>53</v>
      </c>
      <c r="AK5542">
        <v>0</v>
      </c>
      <c r="AU5542" s="6">
        <v>42034</v>
      </c>
      <c r="AV5542" s="6">
        <v>42034</v>
      </c>
      <c r="AW5542" t="s">
        <v>54</v>
      </c>
      <c r="AX5542" t="str">
        <f t="shared" si="469"/>
        <v>FOR</v>
      </c>
      <c r="AY5542" t="s">
        <v>55</v>
      </c>
    </row>
    <row r="5543" spans="1:51" hidden="1">
      <c r="A5543">
        <v>102885</v>
      </c>
      <c r="B5543" t="s">
        <v>1004</v>
      </c>
      <c r="C5543" t="str">
        <f t="shared" si="471"/>
        <v>00488410010</v>
      </c>
      <c r="D5543" t="str">
        <f t="shared" si="471"/>
        <v>00488410010</v>
      </c>
      <c r="E5543" t="s">
        <v>52</v>
      </c>
      <c r="F5543">
        <v>2013</v>
      </c>
      <c r="G5543" t="s">
        <v>1015</v>
      </c>
      <c r="H5543" s="1">
        <v>41554</v>
      </c>
      <c r="I5543" s="1">
        <v>41575</v>
      </c>
      <c r="J5543" s="1">
        <v>41575</v>
      </c>
      <c r="K5543" s="1">
        <v>41665</v>
      </c>
      <c r="N5543" s="5"/>
      <c r="O5543">
        <v>69.5</v>
      </c>
      <c r="P5543">
        <v>369</v>
      </c>
      <c r="Q5543" s="2">
        <v>25645.5</v>
      </c>
      <c r="R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 s="1">
        <v>42382</v>
      </c>
      <c r="AC5543" t="s">
        <v>53</v>
      </c>
      <c r="AD5543" t="s">
        <v>53</v>
      </c>
      <c r="AK5543">
        <v>0</v>
      </c>
      <c r="AU5543" s="6">
        <v>42034</v>
      </c>
      <c r="AV5543" s="6">
        <v>42034</v>
      </c>
      <c r="AW5543" t="s">
        <v>54</v>
      </c>
      <c r="AX5543" t="str">
        <f t="shared" si="469"/>
        <v>FOR</v>
      </c>
      <c r="AY5543" t="s">
        <v>55</v>
      </c>
    </row>
    <row r="5544" spans="1:51" hidden="1">
      <c r="A5544">
        <v>102885</v>
      </c>
      <c r="B5544" t="s">
        <v>1004</v>
      </c>
      <c r="C5544" t="str">
        <f t="shared" si="471"/>
        <v>00488410010</v>
      </c>
      <c r="D5544" t="str">
        <f t="shared" si="471"/>
        <v>00488410010</v>
      </c>
      <c r="E5544" t="s">
        <v>52</v>
      </c>
      <c r="F5544">
        <v>2013</v>
      </c>
      <c r="G5544" t="s">
        <v>1016</v>
      </c>
      <c r="H5544" s="1">
        <v>41613</v>
      </c>
      <c r="I5544" s="1">
        <v>41632</v>
      </c>
      <c r="J5544" s="1">
        <v>41632</v>
      </c>
      <c r="K5544" s="1">
        <v>41722</v>
      </c>
      <c r="N5544" s="5"/>
      <c r="O5544">
        <v>128</v>
      </c>
      <c r="P5544">
        <v>312</v>
      </c>
      <c r="Q5544" s="2">
        <v>39936</v>
      </c>
      <c r="R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 s="1">
        <v>42382</v>
      </c>
      <c r="AC5544" t="s">
        <v>53</v>
      </c>
      <c r="AD5544" t="s">
        <v>53</v>
      </c>
      <c r="AK5544">
        <v>0</v>
      </c>
      <c r="AU5544" s="6">
        <v>42034</v>
      </c>
      <c r="AV5544" s="6">
        <v>42034</v>
      </c>
      <c r="AW5544" t="s">
        <v>54</v>
      </c>
      <c r="AX5544" t="str">
        <f t="shared" si="469"/>
        <v>FOR</v>
      </c>
      <c r="AY5544" t="s">
        <v>55</v>
      </c>
    </row>
    <row r="5545" spans="1:51" hidden="1">
      <c r="A5545">
        <v>102885</v>
      </c>
      <c r="B5545" t="s">
        <v>1004</v>
      </c>
      <c r="C5545" t="str">
        <f t="shared" si="471"/>
        <v>00488410010</v>
      </c>
      <c r="D5545" t="str">
        <f t="shared" si="471"/>
        <v>00488410010</v>
      </c>
      <c r="E5545" t="s">
        <v>52</v>
      </c>
      <c r="F5545">
        <v>2013</v>
      </c>
      <c r="G5545" t="s">
        <v>1017</v>
      </c>
      <c r="H5545" s="1">
        <v>41613</v>
      </c>
      <c r="I5545" s="1">
        <v>41632</v>
      </c>
      <c r="J5545" s="1">
        <v>41632</v>
      </c>
      <c r="K5545" s="1">
        <v>41722</v>
      </c>
      <c r="N5545" s="5"/>
      <c r="O5545">
        <v>61.5</v>
      </c>
      <c r="P5545">
        <v>312</v>
      </c>
      <c r="Q5545" s="2">
        <v>19188</v>
      </c>
      <c r="R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 s="1">
        <v>42382</v>
      </c>
      <c r="AC5545" t="s">
        <v>53</v>
      </c>
      <c r="AD5545" t="s">
        <v>53</v>
      </c>
      <c r="AK5545">
        <v>0</v>
      </c>
      <c r="AU5545" s="6">
        <v>42034</v>
      </c>
      <c r="AV5545" s="6">
        <v>42034</v>
      </c>
      <c r="AW5545" t="s">
        <v>54</v>
      </c>
      <c r="AX5545" t="str">
        <f t="shared" si="469"/>
        <v>FOR</v>
      </c>
      <c r="AY5545" t="s">
        <v>55</v>
      </c>
    </row>
    <row r="5546" spans="1:51" hidden="1">
      <c r="A5546">
        <v>102885</v>
      </c>
      <c r="B5546" t="s">
        <v>1004</v>
      </c>
      <c r="C5546" t="str">
        <f t="shared" si="471"/>
        <v>00488410010</v>
      </c>
      <c r="D5546" t="str">
        <f t="shared" si="471"/>
        <v>00488410010</v>
      </c>
      <c r="E5546" t="s">
        <v>52</v>
      </c>
      <c r="F5546">
        <v>2013</v>
      </c>
      <c r="G5546" t="s">
        <v>1018</v>
      </c>
      <c r="H5546" s="1">
        <v>41613</v>
      </c>
      <c r="I5546" s="1">
        <v>41632</v>
      </c>
      <c r="J5546" s="1">
        <v>41632</v>
      </c>
      <c r="K5546" s="1">
        <v>41722</v>
      </c>
      <c r="N5546" s="5"/>
      <c r="O5546" s="2">
        <v>1365</v>
      </c>
      <c r="P5546">
        <v>312</v>
      </c>
      <c r="Q5546" s="2">
        <v>425880</v>
      </c>
      <c r="R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 s="1">
        <v>42382</v>
      </c>
      <c r="AC5546" t="s">
        <v>53</v>
      </c>
      <c r="AD5546" t="s">
        <v>53</v>
      </c>
      <c r="AK5546">
        <v>0</v>
      </c>
      <c r="AU5546" s="6">
        <v>42034</v>
      </c>
      <c r="AV5546" s="6">
        <v>42034</v>
      </c>
      <c r="AW5546" t="s">
        <v>54</v>
      </c>
      <c r="AX5546" t="str">
        <f t="shared" si="469"/>
        <v>FOR</v>
      </c>
      <c r="AY5546" t="s">
        <v>55</v>
      </c>
    </row>
    <row r="5547" spans="1:51" hidden="1">
      <c r="A5547">
        <v>102885</v>
      </c>
      <c r="B5547" t="s">
        <v>1004</v>
      </c>
      <c r="C5547" t="str">
        <f t="shared" si="471"/>
        <v>00488410010</v>
      </c>
      <c r="D5547" t="str">
        <f t="shared" si="471"/>
        <v>00488410010</v>
      </c>
      <c r="E5547" t="s">
        <v>52</v>
      </c>
      <c r="F5547">
        <v>2013</v>
      </c>
      <c r="G5547" t="s">
        <v>1019</v>
      </c>
      <c r="H5547" s="1">
        <v>41613</v>
      </c>
      <c r="I5547" s="1">
        <v>41632</v>
      </c>
      <c r="J5547" s="1">
        <v>41632</v>
      </c>
      <c r="K5547" s="1">
        <v>41722</v>
      </c>
      <c r="N5547" s="5"/>
      <c r="O5547">
        <v>61.5</v>
      </c>
      <c r="P5547">
        <v>312</v>
      </c>
      <c r="Q5547" s="2">
        <v>19188</v>
      </c>
      <c r="R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 s="1">
        <v>42382</v>
      </c>
      <c r="AC5547" t="s">
        <v>53</v>
      </c>
      <c r="AD5547" t="s">
        <v>53</v>
      </c>
      <c r="AK5547">
        <v>0</v>
      </c>
      <c r="AU5547" s="6">
        <v>42034</v>
      </c>
      <c r="AV5547" s="6">
        <v>42034</v>
      </c>
      <c r="AW5547" t="s">
        <v>54</v>
      </c>
      <c r="AX5547" t="str">
        <f t="shared" si="469"/>
        <v>FOR</v>
      </c>
      <c r="AY5547" t="s">
        <v>55</v>
      </c>
    </row>
    <row r="5548" spans="1:51" hidden="1">
      <c r="A5548">
        <v>102885</v>
      </c>
      <c r="B5548" t="s">
        <v>1004</v>
      </c>
      <c r="C5548" t="str">
        <f t="shared" si="471"/>
        <v>00488410010</v>
      </c>
      <c r="D5548" t="str">
        <f t="shared" si="471"/>
        <v>00488410010</v>
      </c>
      <c r="E5548" t="s">
        <v>52</v>
      </c>
      <c r="F5548">
        <v>2013</v>
      </c>
      <c r="G5548" t="s">
        <v>1020</v>
      </c>
      <c r="H5548" s="1">
        <v>41613</v>
      </c>
      <c r="I5548" s="1">
        <v>41632</v>
      </c>
      <c r="J5548" s="1">
        <v>41632</v>
      </c>
      <c r="K5548" s="1">
        <v>41722</v>
      </c>
      <c r="N5548" s="5"/>
      <c r="O5548">
        <v>297.5</v>
      </c>
      <c r="P5548">
        <v>312</v>
      </c>
      <c r="Q5548" s="2">
        <v>92820</v>
      </c>
      <c r="R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 s="1">
        <v>42382</v>
      </c>
      <c r="AC5548" t="s">
        <v>53</v>
      </c>
      <c r="AD5548" t="s">
        <v>53</v>
      </c>
      <c r="AK5548">
        <v>0</v>
      </c>
      <c r="AU5548" s="6">
        <v>42034</v>
      </c>
      <c r="AV5548" s="6">
        <v>42034</v>
      </c>
      <c r="AW5548" t="s">
        <v>54</v>
      </c>
      <c r="AX5548" t="str">
        <f t="shared" si="469"/>
        <v>FOR</v>
      </c>
      <c r="AY5548" t="s">
        <v>55</v>
      </c>
    </row>
    <row r="5549" spans="1:51" hidden="1">
      <c r="A5549">
        <v>102885</v>
      </c>
      <c r="B5549" t="s">
        <v>1004</v>
      </c>
      <c r="C5549" t="str">
        <f t="shared" si="471"/>
        <v>00488410010</v>
      </c>
      <c r="D5549" t="str">
        <f t="shared" si="471"/>
        <v>00488410010</v>
      </c>
      <c r="E5549" t="s">
        <v>52</v>
      </c>
      <c r="F5549">
        <v>2013</v>
      </c>
      <c r="G5549" t="s">
        <v>1021</v>
      </c>
      <c r="H5549" s="1">
        <v>41613</v>
      </c>
      <c r="I5549" s="1">
        <v>41632</v>
      </c>
      <c r="J5549" s="1">
        <v>41632</v>
      </c>
      <c r="K5549" s="1">
        <v>41722</v>
      </c>
      <c r="N5549" s="5"/>
      <c r="O5549">
        <v>67</v>
      </c>
      <c r="P5549">
        <v>312</v>
      </c>
      <c r="Q5549" s="2">
        <v>20904</v>
      </c>
      <c r="R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 s="1">
        <v>42382</v>
      </c>
      <c r="AC5549" t="s">
        <v>53</v>
      </c>
      <c r="AD5549" t="s">
        <v>53</v>
      </c>
      <c r="AK5549">
        <v>0</v>
      </c>
      <c r="AU5549" s="6">
        <v>42034</v>
      </c>
      <c r="AV5549" s="6">
        <v>42034</v>
      </c>
      <c r="AW5549" t="s">
        <v>54</v>
      </c>
      <c r="AX5549" t="str">
        <f t="shared" si="469"/>
        <v>FOR</v>
      </c>
      <c r="AY5549" t="s">
        <v>55</v>
      </c>
    </row>
    <row r="5550" spans="1:51" hidden="1">
      <c r="A5550">
        <v>102885</v>
      </c>
      <c r="B5550" t="s">
        <v>1004</v>
      </c>
      <c r="C5550" t="str">
        <f t="shared" si="471"/>
        <v>00488410010</v>
      </c>
      <c r="D5550" t="str">
        <f t="shared" si="471"/>
        <v>00488410010</v>
      </c>
      <c r="E5550" t="s">
        <v>52</v>
      </c>
      <c r="F5550">
        <v>2013</v>
      </c>
      <c r="G5550" t="s">
        <v>1022</v>
      </c>
      <c r="H5550" s="1">
        <v>41613</v>
      </c>
      <c r="I5550" s="1">
        <v>41632</v>
      </c>
      <c r="J5550" s="1">
        <v>41632</v>
      </c>
      <c r="K5550" s="1">
        <v>41722</v>
      </c>
      <c r="N5550" s="5"/>
      <c r="O5550" s="2">
        <v>1587.5</v>
      </c>
      <c r="P5550">
        <v>312</v>
      </c>
      <c r="Q5550" s="2">
        <v>495300</v>
      </c>
      <c r="R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 s="1">
        <v>42382</v>
      </c>
      <c r="AC5550" t="s">
        <v>53</v>
      </c>
      <c r="AD5550" t="s">
        <v>53</v>
      </c>
      <c r="AK5550">
        <v>0</v>
      </c>
      <c r="AU5550" s="6">
        <v>42034</v>
      </c>
      <c r="AV5550" s="6">
        <v>42034</v>
      </c>
      <c r="AW5550" t="s">
        <v>54</v>
      </c>
      <c r="AX5550" t="str">
        <f t="shared" si="469"/>
        <v>FOR</v>
      </c>
      <c r="AY5550" t="s">
        <v>55</v>
      </c>
    </row>
    <row r="5551" spans="1:51" hidden="1">
      <c r="A5551">
        <v>102885</v>
      </c>
      <c r="B5551" t="s">
        <v>1004</v>
      </c>
      <c r="C5551" t="str">
        <f t="shared" ref="C5551:D5570" si="472">"00488410010"</f>
        <v>00488410010</v>
      </c>
      <c r="D5551" t="str">
        <f t="shared" si="472"/>
        <v>00488410010</v>
      </c>
      <c r="E5551" t="s">
        <v>52</v>
      </c>
      <c r="F5551">
        <v>2013</v>
      </c>
      <c r="G5551" t="s">
        <v>1023</v>
      </c>
      <c r="H5551" s="1">
        <v>41613</v>
      </c>
      <c r="I5551" s="1">
        <v>41632</v>
      </c>
      <c r="J5551" s="1">
        <v>41632</v>
      </c>
      <c r="K5551" s="1">
        <v>41722</v>
      </c>
      <c r="N5551" s="5"/>
      <c r="O5551">
        <v>61.5</v>
      </c>
      <c r="P5551">
        <v>312</v>
      </c>
      <c r="Q5551" s="2">
        <v>19188</v>
      </c>
      <c r="R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 s="1">
        <v>42382</v>
      </c>
      <c r="AC5551" t="s">
        <v>53</v>
      </c>
      <c r="AD5551" t="s">
        <v>53</v>
      </c>
      <c r="AK5551">
        <v>0</v>
      </c>
      <c r="AU5551" s="6">
        <v>42034</v>
      </c>
      <c r="AV5551" s="6">
        <v>42034</v>
      </c>
      <c r="AW5551" t="s">
        <v>54</v>
      </c>
      <c r="AX5551" t="str">
        <f t="shared" si="469"/>
        <v>FOR</v>
      </c>
      <c r="AY5551" t="s">
        <v>55</v>
      </c>
    </row>
    <row r="5552" spans="1:51" hidden="1">
      <c r="A5552">
        <v>102885</v>
      </c>
      <c r="B5552" t="s">
        <v>1004</v>
      </c>
      <c r="C5552" t="str">
        <f t="shared" si="472"/>
        <v>00488410010</v>
      </c>
      <c r="D5552" t="str">
        <f t="shared" si="472"/>
        <v>00488410010</v>
      </c>
      <c r="E5552" t="s">
        <v>52</v>
      </c>
      <c r="F5552">
        <v>2013</v>
      </c>
      <c r="G5552" t="s">
        <v>1024</v>
      </c>
      <c r="H5552" s="1">
        <v>41613</v>
      </c>
      <c r="I5552" s="1">
        <v>41632</v>
      </c>
      <c r="J5552" s="1">
        <v>41632</v>
      </c>
      <c r="K5552" s="1">
        <v>41722</v>
      </c>
      <c r="N5552" s="5"/>
      <c r="O5552">
        <v>655.5</v>
      </c>
      <c r="P5552">
        <v>312</v>
      </c>
      <c r="Q5552" s="2">
        <v>204516</v>
      </c>
      <c r="R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 s="1">
        <v>42382</v>
      </c>
      <c r="AC5552" t="s">
        <v>53</v>
      </c>
      <c r="AD5552" t="s">
        <v>53</v>
      </c>
      <c r="AK5552">
        <v>0</v>
      </c>
      <c r="AU5552" s="6">
        <v>42034</v>
      </c>
      <c r="AV5552" s="6">
        <v>42034</v>
      </c>
      <c r="AW5552" t="s">
        <v>54</v>
      </c>
      <c r="AX5552" t="str">
        <f t="shared" si="469"/>
        <v>FOR</v>
      </c>
      <c r="AY5552" t="s">
        <v>55</v>
      </c>
    </row>
    <row r="5553" spans="1:51" hidden="1">
      <c r="A5553">
        <v>102885</v>
      </c>
      <c r="B5553" t="s">
        <v>1004</v>
      </c>
      <c r="C5553" t="str">
        <f t="shared" si="472"/>
        <v>00488410010</v>
      </c>
      <c r="D5553" t="str">
        <f t="shared" si="472"/>
        <v>00488410010</v>
      </c>
      <c r="E5553" t="s">
        <v>52</v>
      </c>
      <c r="F5553">
        <v>2014</v>
      </c>
      <c r="G5553">
        <v>2474</v>
      </c>
      <c r="H5553" s="1">
        <v>41676</v>
      </c>
      <c r="I5553" s="1">
        <v>41705</v>
      </c>
      <c r="J5553" s="1">
        <v>41705</v>
      </c>
      <c r="K5553" s="1">
        <v>41795</v>
      </c>
      <c r="N5553" s="5"/>
      <c r="O5553" s="2">
        <v>13981</v>
      </c>
      <c r="P5553">
        <v>246</v>
      </c>
      <c r="Q5553" s="2">
        <v>3439326</v>
      </c>
      <c r="R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 s="1">
        <v>42382</v>
      </c>
      <c r="AC5553" t="s">
        <v>53</v>
      </c>
      <c r="AD5553" t="s">
        <v>53</v>
      </c>
      <c r="AK5553">
        <v>0</v>
      </c>
      <c r="AU5553" s="6">
        <v>42041</v>
      </c>
      <c r="AV5553" s="6">
        <v>42041</v>
      </c>
      <c r="AW5553" t="s">
        <v>54</v>
      </c>
      <c r="AX5553" t="str">
        <f t="shared" si="469"/>
        <v>FOR</v>
      </c>
      <c r="AY5553" t="s">
        <v>55</v>
      </c>
    </row>
    <row r="5554" spans="1:51" hidden="1">
      <c r="A5554">
        <v>102885</v>
      </c>
      <c r="B5554" t="s">
        <v>1004</v>
      </c>
      <c r="C5554" t="str">
        <f t="shared" si="472"/>
        <v>00488410010</v>
      </c>
      <c r="D5554" t="str">
        <f t="shared" si="472"/>
        <v>00488410010</v>
      </c>
      <c r="E5554" t="s">
        <v>52</v>
      </c>
      <c r="F5554">
        <v>2014</v>
      </c>
      <c r="G5554">
        <v>7135</v>
      </c>
      <c r="H5554" s="1">
        <v>41736</v>
      </c>
      <c r="I5554" s="1">
        <v>41764</v>
      </c>
      <c r="J5554" s="1">
        <v>41764</v>
      </c>
      <c r="K5554" s="1">
        <v>41854</v>
      </c>
      <c r="N5554" s="5"/>
      <c r="O5554" s="2">
        <v>14174</v>
      </c>
      <c r="P5554">
        <v>187</v>
      </c>
      <c r="Q5554" s="2">
        <v>2650538</v>
      </c>
      <c r="R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 s="1">
        <v>42382</v>
      </c>
      <c r="AC5554" t="s">
        <v>53</v>
      </c>
      <c r="AD5554" t="s">
        <v>53</v>
      </c>
      <c r="AK5554">
        <v>0</v>
      </c>
      <c r="AU5554" s="6">
        <v>42041</v>
      </c>
      <c r="AV5554" s="6">
        <v>42041</v>
      </c>
      <c r="AW5554" t="s">
        <v>54</v>
      </c>
      <c r="AX5554" t="str">
        <f t="shared" si="469"/>
        <v>FOR</v>
      </c>
      <c r="AY5554" t="s">
        <v>55</v>
      </c>
    </row>
    <row r="5555" spans="1:51" hidden="1">
      <c r="A5555">
        <v>102885</v>
      </c>
      <c r="B5555" t="s">
        <v>1004</v>
      </c>
      <c r="C5555" t="str">
        <f t="shared" si="472"/>
        <v>00488410010</v>
      </c>
      <c r="D5555" t="str">
        <f t="shared" si="472"/>
        <v>00488410010</v>
      </c>
      <c r="E5555" t="s">
        <v>52</v>
      </c>
      <c r="F5555">
        <v>2014</v>
      </c>
      <c r="G5555">
        <v>11098</v>
      </c>
      <c r="H5555" s="1">
        <v>41793</v>
      </c>
      <c r="I5555" s="1">
        <v>41821</v>
      </c>
      <c r="J5555" s="1">
        <v>41821</v>
      </c>
      <c r="K5555" s="1">
        <v>41911</v>
      </c>
      <c r="N5555" s="5"/>
      <c r="O5555" s="2">
        <v>13702</v>
      </c>
      <c r="P5555">
        <v>158</v>
      </c>
      <c r="Q5555" s="2">
        <v>2164916</v>
      </c>
      <c r="R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 s="1">
        <v>42382</v>
      </c>
      <c r="AC5555" t="s">
        <v>53</v>
      </c>
      <c r="AD5555" t="s">
        <v>53</v>
      </c>
      <c r="AK5555">
        <v>0</v>
      </c>
      <c r="AU5555" s="6">
        <v>42069</v>
      </c>
      <c r="AV5555" s="6">
        <v>42069</v>
      </c>
      <c r="AW5555" t="s">
        <v>54</v>
      </c>
      <c r="AX5555" t="str">
        <f t="shared" si="469"/>
        <v>FOR</v>
      </c>
      <c r="AY5555" t="s">
        <v>55</v>
      </c>
    </row>
    <row r="5556" spans="1:51" hidden="1">
      <c r="A5556">
        <v>102885</v>
      </c>
      <c r="B5556" t="s">
        <v>1004</v>
      </c>
      <c r="C5556" t="str">
        <f t="shared" si="472"/>
        <v>00488410010</v>
      </c>
      <c r="D5556" t="str">
        <f t="shared" si="472"/>
        <v>00488410010</v>
      </c>
      <c r="E5556" t="s">
        <v>52</v>
      </c>
      <c r="F5556">
        <v>2014</v>
      </c>
      <c r="G5556">
        <v>15499</v>
      </c>
      <c r="H5556" s="1">
        <v>41857</v>
      </c>
      <c r="I5556" s="1">
        <v>41883</v>
      </c>
      <c r="J5556" s="1">
        <v>41883</v>
      </c>
      <c r="K5556" s="1">
        <v>41973</v>
      </c>
      <c r="N5556" s="5"/>
      <c r="O5556" s="2">
        <v>14940</v>
      </c>
      <c r="P5556">
        <v>120</v>
      </c>
      <c r="Q5556" s="2">
        <v>1792800</v>
      </c>
      <c r="R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 s="1">
        <v>42382</v>
      </c>
      <c r="AC5556" t="s">
        <v>53</v>
      </c>
      <c r="AD5556" t="s">
        <v>53</v>
      </c>
      <c r="AK5556">
        <v>0</v>
      </c>
      <c r="AU5556" s="6">
        <v>42093</v>
      </c>
      <c r="AV5556" s="6">
        <v>42093</v>
      </c>
      <c r="AW5556" t="s">
        <v>54</v>
      </c>
      <c r="AX5556" t="str">
        <f t="shared" si="469"/>
        <v>FOR</v>
      </c>
      <c r="AY5556" t="s">
        <v>55</v>
      </c>
    </row>
    <row r="5557" spans="1:51" hidden="1">
      <c r="A5557">
        <v>102885</v>
      </c>
      <c r="B5557" t="s">
        <v>1004</v>
      </c>
      <c r="C5557" t="str">
        <f t="shared" si="472"/>
        <v>00488410010</v>
      </c>
      <c r="D5557" t="str">
        <f t="shared" si="472"/>
        <v>00488410010</v>
      </c>
      <c r="E5557" t="s">
        <v>52</v>
      </c>
      <c r="F5557">
        <v>2014</v>
      </c>
      <c r="G5557">
        <v>20014</v>
      </c>
      <c r="H5557" s="1">
        <v>41918</v>
      </c>
      <c r="I5557" s="1">
        <v>42033</v>
      </c>
      <c r="J5557" s="1">
        <v>42033</v>
      </c>
      <c r="K5557" s="1">
        <v>42093</v>
      </c>
      <c r="N5557" s="5"/>
      <c r="O5557" s="2">
        <v>13353</v>
      </c>
      <c r="P5557">
        <v>-24</v>
      </c>
      <c r="Q5557" s="2">
        <v>-320472</v>
      </c>
      <c r="R5557">
        <v>0</v>
      </c>
      <c r="V5557">
        <v>0</v>
      </c>
      <c r="W5557">
        <v>0</v>
      </c>
      <c r="X5557">
        <v>0</v>
      </c>
      <c r="Y5557">
        <v>0</v>
      </c>
      <c r="Z5557" s="2">
        <v>13353</v>
      </c>
      <c r="AA5557">
        <v>0</v>
      </c>
      <c r="AB5557" s="1">
        <v>42382</v>
      </c>
      <c r="AC5557" t="s">
        <v>53</v>
      </c>
      <c r="AD5557" t="s">
        <v>53</v>
      </c>
      <c r="AK5557">
        <v>0</v>
      </c>
      <c r="AU5557" s="6">
        <v>42069</v>
      </c>
      <c r="AV5557" s="6">
        <v>42069</v>
      </c>
      <c r="AW5557" t="s">
        <v>54</v>
      </c>
      <c r="AX5557" t="str">
        <f t="shared" si="469"/>
        <v>FOR</v>
      </c>
      <c r="AY5557" t="s">
        <v>55</v>
      </c>
    </row>
    <row r="5558" spans="1:51" hidden="1">
      <c r="A5558">
        <v>102885</v>
      </c>
      <c r="B5558" t="s">
        <v>1004</v>
      </c>
      <c r="C5558" t="str">
        <f t="shared" si="472"/>
        <v>00488410010</v>
      </c>
      <c r="D5558" t="str">
        <f t="shared" si="472"/>
        <v>00488410010</v>
      </c>
      <c r="E5558" t="s">
        <v>52</v>
      </c>
      <c r="F5558">
        <v>2014</v>
      </c>
      <c r="G5558">
        <v>24071</v>
      </c>
      <c r="H5558" s="1">
        <v>41978</v>
      </c>
      <c r="I5558" s="1">
        <v>42019</v>
      </c>
      <c r="J5558" s="1">
        <v>42019</v>
      </c>
      <c r="K5558" s="1">
        <v>42079</v>
      </c>
      <c r="N5558" s="5"/>
      <c r="O5558" s="2">
        <v>14586.5</v>
      </c>
      <c r="P5558">
        <v>14</v>
      </c>
      <c r="Q5558" s="2">
        <v>204211</v>
      </c>
      <c r="R5558">
        <v>0</v>
      </c>
      <c r="V5558">
        <v>0</v>
      </c>
      <c r="W5558">
        <v>0</v>
      </c>
      <c r="X5558">
        <v>0</v>
      </c>
      <c r="Y5558">
        <v>0</v>
      </c>
      <c r="Z5558" s="2">
        <v>14586.5</v>
      </c>
      <c r="AA5558">
        <v>0</v>
      </c>
      <c r="AB5558" s="1">
        <v>42382</v>
      </c>
      <c r="AC5558" t="s">
        <v>53</v>
      </c>
      <c r="AD5558" t="s">
        <v>53</v>
      </c>
      <c r="AK5558">
        <v>0</v>
      </c>
      <c r="AU5558" s="6">
        <v>42093</v>
      </c>
      <c r="AV5558" s="6">
        <v>42093</v>
      </c>
      <c r="AW5558" t="s">
        <v>54</v>
      </c>
      <c r="AX5558" t="str">
        <f t="shared" si="469"/>
        <v>FOR</v>
      </c>
      <c r="AY5558" t="s">
        <v>55</v>
      </c>
    </row>
    <row r="5559" spans="1:51" hidden="1">
      <c r="A5559">
        <v>102885</v>
      </c>
      <c r="B5559" t="s">
        <v>1004</v>
      </c>
      <c r="C5559" t="str">
        <f t="shared" si="472"/>
        <v>00488410010</v>
      </c>
      <c r="D5559" t="str">
        <f t="shared" si="472"/>
        <v>00488410010</v>
      </c>
      <c r="E5559" t="s">
        <v>52</v>
      </c>
      <c r="F5559">
        <v>2014</v>
      </c>
      <c r="G5559" t="s">
        <v>1025</v>
      </c>
      <c r="H5559" s="1">
        <v>41676</v>
      </c>
      <c r="I5559" s="1">
        <v>41703</v>
      </c>
      <c r="J5559" s="1">
        <v>41703</v>
      </c>
      <c r="K5559" s="1">
        <v>41793</v>
      </c>
      <c r="N5559" s="5"/>
      <c r="O5559">
        <v>3</v>
      </c>
      <c r="P5559">
        <v>248</v>
      </c>
      <c r="Q5559">
        <v>744</v>
      </c>
      <c r="R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 s="1">
        <v>42382</v>
      </c>
      <c r="AC5559" t="s">
        <v>53</v>
      </c>
      <c r="AD5559" t="s">
        <v>53</v>
      </c>
      <c r="AK5559">
        <v>0</v>
      </c>
      <c r="AU5559" s="6">
        <v>42041</v>
      </c>
      <c r="AV5559" s="6">
        <v>42041</v>
      </c>
      <c r="AW5559" t="s">
        <v>54</v>
      </c>
      <c r="AX5559" t="str">
        <f t="shared" si="469"/>
        <v>FOR</v>
      </c>
      <c r="AY5559" t="s">
        <v>55</v>
      </c>
    </row>
    <row r="5560" spans="1:51" hidden="1">
      <c r="A5560">
        <v>102885</v>
      </c>
      <c r="B5560" t="s">
        <v>1004</v>
      </c>
      <c r="C5560" t="str">
        <f t="shared" si="472"/>
        <v>00488410010</v>
      </c>
      <c r="D5560" t="str">
        <f t="shared" si="472"/>
        <v>00488410010</v>
      </c>
      <c r="E5560" t="s">
        <v>52</v>
      </c>
      <c r="F5560">
        <v>2014</v>
      </c>
      <c r="G5560" t="s">
        <v>1026</v>
      </c>
      <c r="H5560" s="1">
        <v>41736</v>
      </c>
      <c r="I5560" s="1">
        <v>41764</v>
      </c>
      <c r="J5560" s="1">
        <v>41764</v>
      </c>
      <c r="K5560" s="1">
        <v>41854</v>
      </c>
      <c r="N5560" s="5"/>
      <c r="O5560">
        <v>3.5</v>
      </c>
      <c r="P5560">
        <v>187</v>
      </c>
      <c r="Q5560">
        <v>654.5</v>
      </c>
      <c r="R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 s="1">
        <v>42382</v>
      </c>
      <c r="AC5560" t="s">
        <v>53</v>
      </c>
      <c r="AD5560" t="s">
        <v>53</v>
      </c>
      <c r="AK5560">
        <v>0</v>
      </c>
      <c r="AU5560" s="6">
        <v>42041</v>
      </c>
      <c r="AV5560" s="6">
        <v>42041</v>
      </c>
      <c r="AW5560" t="s">
        <v>54</v>
      </c>
      <c r="AX5560" t="str">
        <f t="shared" si="469"/>
        <v>FOR</v>
      </c>
      <c r="AY5560" t="s">
        <v>55</v>
      </c>
    </row>
    <row r="5561" spans="1:51" hidden="1">
      <c r="A5561">
        <v>102885</v>
      </c>
      <c r="B5561" t="s">
        <v>1004</v>
      </c>
      <c r="C5561" t="str">
        <f t="shared" si="472"/>
        <v>00488410010</v>
      </c>
      <c r="D5561" t="str">
        <f t="shared" si="472"/>
        <v>00488410010</v>
      </c>
      <c r="E5561" t="s">
        <v>52</v>
      </c>
      <c r="F5561">
        <v>2014</v>
      </c>
      <c r="G5561" t="s">
        <v>1027</v>
      </c>
      <c r="H5561" s="1">
        <v>41793</v>
      </c>
      <c r="I5561" s="1">
        <v>41820</v>
      </c>
      <c r="J5561" s="1">
        <v>41820</v>
      </c>
      <c r="K5561" s="1">
        <v>41910</v>
      </c>
      <c r="N5561" s="5"/>
      <c r="O5561">
        <v>3.5</v>
      </c>
      <c r="P5561">
        <v>159</v>
      </c>
      <c r="Q5561">
        <v>556.5</v>
      </c>
      <c r="R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 s="1">
        <v>42382</v>
      </c>
      <c r="AC5561" t="s">
        <v>53</v>
      </c>
      <c r="AD5561" t="s">
        <v>53</v>
      </c>
      <c r="AK5561">
        <v>0</v>
      </c>
      <c r="AU5561" s="6">
        <v>42069</v>
      </c>
      <c r="AV5561" s="6">
        <v>42069</v>
      </c>
      <c r="AW5561" t="s">
        <v>54</v>
      </c>
      <c r="AX5561" t="str">
        <f t="shared" si="469"/>
        <v>FOR</v>
      </c>
      <c r="AY5561" t="s">
        <v>55</v>
      </c>
    </row>
    <row r="5562" spans="1:51" hidden="1">
      <c r="A5562">
        <v>102885</v>
      </c>
      <c r="B5562" t="s">
        <v>1004</v>
      </c>
      <c r="C5562" t="str">
        <f t="shared" si="472"/>
        <v>00488410010</v>
      </c>
      <c r="D5562" t="str">
        <f t="shared" si="472"/>
        <v>00488410010</v>
      </c>
      <c r="E5562" t="s">
        <v>52</v>
      </c>
      <c r="F5562">
        <v>2014</v>
      </c>
      <c r="G5562" t="s">
        <v>1028</v>
      </c>
      <c r="H5562" s="1">
        <v>41857</v>
      </c>
      <c r="I5562" s="1">
        <v>41879</v>
      </c>
      <c r="J5562" s="1">
        <v>41879</v>
      </c>
      <c r="K5562" s="1">
        <v>41969</v>
      </c>
      <c r="N5562" s="5"/>
      <c r="O5562">
        <v>3.5</v>
      </c>
      <c r="P5562">
        <v>124</v>
      </c>
      <c r="Q5562">
        <v>434</v>
      </c>
      <c r="R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 s="1">
        <v>42382</v>
      </c>
      <c r="AC5562" t="s">
        <v>53</v>
      </c>
      <c r="AD5562" t="s">
        <v>53</v>
      </c>
      <c r="AK5562">
        <v>0</v>
      </c>
      <c r="AU5562" s="6">
        <v>42093</v>
      </c>
      <c r="AV5562" s="6">
        <v>42093</v>
      </c>
      <c r="AW5562" t="s">
        <v>54</v>
      </c>
      <c r="AX5562" t="str">
        <f t="shared" si="469"/>
        <v>FOR</v>
      </c>
      <c r="AY5562" t="s">
        <v>55</v>
      </c>
    </row>
    <row r="5563" spans="1:51" hidden="1">
      <c r="A5563">
        <v>102885</v>
      </c>
      <c r="B5563" t="s">
        <v>1004</v>
      </c>
      <c r="C5563" t="str">
        <f t="shared" si="472"/>
        <v>00488410010</v>
      </c>
      <c r="D5563" t="str">
        <f t="shared" si="472"/>
        <v>00488410010</v>
      </c>
      <c r="E5563" t="s">
        <v>52</v>
      </c>
      <c r="F5563">
        <v>2014</v>
      </c>
      <c r="G5563" t="s">
        <v>1029</v>
      </c>
      <c r="H5563" s="1">
        <v>41918</v>
      </c>
      <c r="I5563" s="1">
        <v>41941</v>
      </c>
      <c r="J5563" s="1">
        <v>41941</v>
      </c>
      <c r="K5563" s="1">
        <v>42001</v>
      </c>
      <c r="N5563" s="5"/>
      <c r="O5563">
        <v>3.5</v>
      </c>
      <c r="P5563">
        <v>92</v>
      </c>
      <c r="Q5563">
        <v>322</v>
      </c>
      <c r="R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 s="1">
        <v>42382</v>
      </c>
      <c r="AC5563" t="s">
        <v>53</v>
      </c>
      <c r="AD5563" t="s">
        <v>53</v>
      </c>
      <c r="AK5563">
        <v>0</v>
      </c>
      <c r="AU5563" s="6">
        <v>42093</v>
      </c>
      <c r="AV5563" s="6">
        <v>42093</v>
      </c>
      <c r="AW5563" t="s">
        <v>54</v>
      </c>
      <c r="AX5563" t="str">
        <f t="shared" si="469"/>
        <v>FOR</v>
      </c>
      <c r="AY5563" t="s">
        <v>55</v>
      </c>
    </row>
    <row r="5564" spans="1:51" hidden="1">
      <c r="A5564">
        <v>102885</v>
      </c>
      <c r="B5564" t="s">
        <v>1004</v>
      </c>
      <c r="C5564" t="str">
        <f t="shared" si="472"/>
        <v>00488410010</v>
      </c>
      <c r="D5564" t="str">
        <f t="shared" si="472"/>
        <v>00488410010</v>
      </c>
      <c r="E5564" t="s">
        <v>52</v>
      </c>
      <c r="F5564">
        <v>2014</v>
      </c>
      <c r="G5564" t="s">
        <v>1030</v>
      </c>
      <c r="H5564" s="1">
        <v>41978</v>
      </c>
      <c r="I5564" s="1">
        <v>42002</v>
      </c>
      <c r="J5564" s="1">
        <v>42002</v>
      </c>
      <c r="K5564" s="1">
        <v>42062</v>
      </c>
      <c r="N5564" s="5"/>
      <c r="O5564">
        <v>3.5</v>
      </c>
      <c r="P5564">
        <v>31</v>
      </c>
      <c r="Q5564">
        <v>108.5</v>
      </c>
      <c r="R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 s="1">
        <v>42382</v>
      </c>
      <c r="AC5564" t="s">
        <v>53</v>
      </c>
      <c r="AD5564" t="s">
        <v>53</v>
      </c>
      <c r="AK5564">
        <v>0</v>
      </c>
      <c r="AU5564" s="6">
        <v>42093</v>
      </c>
      <c r="AV5564" s="6">
        <v>42093</v>
      </c>
      <c r="AW5564" t="s">
        <v>54</v>
      </c>
      <c r="AX5564" t="str">
        <f t="shared" si="469"/>
        <v>FOR</v>
      </c>
      <c r="AY5564" t="s">
        <v>55</v>
      </c>
    </row>
    <row r="5565" spans="1:51" hidden="1">
      <c r="A5565">
        <v>102885</v>
      </c>
      <c r="B5565" t="s">
        <v>1004</v>
      </c>
      <c r="C5565" t="str">
        <f t="shared" si="472"/>
        <v>00488410010</v>
      </c>
      <c r="D5565" t="str">
        <f t="shared" si="472"/>
        <v>00488410010</v>
      </c>
      <c r="E5565" t="s">
        <v>52</v>
      </c>
      <c r="F5565">
        <v>2014</v>
      </c>
      <c r="G5565" t="s">
        <v>1031</v>
      </c>
      <c r="H5565" s="1">
        <v>41676</v>
      </c>
      <c r="I5565" s="1">
        <v>41703</v>
      </c>
      <c r="J5565" s="1">
        <v>41703</v>
      </c>
      <c r="K5565" s="1">
        <v>41793</v>
      </c>
      <c r="N5565" s="5"/>
      <c r="O5565">
        <v>53</v>
      </c>
      <c r="P5565">
        <v>248</v>
      </c>
      <c r="Q5565" s="2">
        <v>13144</v>
      </c>
      <c r="R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 s="1">
        <v>42382</v>
      </c>
      <c r="AC5565" t="s">
        <v>53</v>
      </c>
      <c r="AD5565" t="s">
        <v>53</v>
      </c>
      <c r="AK5565">
        <v>0</v>
      </c>
      <c r="AU5565" s="6">
        <v>42041</v>
      </c>
      <c r="AV5565" s="6">
        <v>42041</v>
      </c>
      <c r="AW5565" t="s">
        <v>54</v>
      </c>
      <c r="AX5565" t="str">
        <f t="shared" si="469"/>
        <v>FOR</v>
      </c>
      <c r="AY5565" t="s">
        <v>55</v>
      </c>
    </row>
    <row r="5566" spans="1:51" hidden="1">
      <c r="A5566">
        <v>102885</v>
      </c>
      <c r="B5566" t="s">
        <v>1004</v>
      </c>
      <c r="C5566" t="str">
        <f t="shared" si="472"/>
        <v>00488410010</v>
      </c>
      <c r="D5566" t="str">
        <f t="shared" si="472"/>
        <v>00488410010</v>
      </c>
      <c r="E5566" t="s">
        <v>52</v>
      </c>
      <c r="F5566">
        <v>2014</v>
      </c>
      <c r="G5566" t="s">
        <v>1032</v>
      </c>
      <c r="H5566" s="1">
        <v>41676</v>
      </c>
      <c r="I5566" s="1">
        <v>41703</v>
      </c>
      <c r="J5566" s="1">
        <v>41703</v>
      </c>
      <c r="K5566" s="1">
        <v>41793</v>
      </c>
      <c r="N5566" s="5"/>
      <c r="O5566">
        <v>53</v>
      </c>
      <c r="P5566">
        <v>248</v>
      </c>
      <c r="Q5566" s="2">
        <v>13144</v>
      </c>
      <c r="R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 s="1">
        <v>42382</v>
      </c>
      <c r="AC5566" t="s">
        <v>53</v>
      </c>
      <c r="AD5566" t="s">
        <v>53</v>
      </c>
      <c r="AK5566">
        <v>0</v>
      </c>
      <c r="AU5566" s="6">
        <v>42041</v>
      </c>
      <c r="AV5566" s="6">
        <v>42041</v>
      </c>
      <c r="AW5566" t="s">
        <v>54</v>
      </c>
      <c r="AX5566" t="str">
        <f t="shared" si="469"/>
        <v>FOR</v>
      </c>
      <c r="AY5566" t="s">
        <v>55</v>
      </c>
    </row>
    <row r="5567" spans="1:51" hidden="1">
      <c r="A5567">
        <v>102885</v>
      </c>
      <c r="B5567" t="s">
        <v>1004</v>
      </c>
      <c r="C5567" t="str">
        <f t="shared" si="472"/>
        <v>00488410010</v>
      </c>
      <c r="D5567" t="str">
        <f t="shared" si="472"/>
        <v>00488410010</v>
      </c>
      <c r="E5567" t="s">
        <v>52</v>
      </c>
      <c r="F5567">
        <v>2014</v>
      </c>
      <c r="G5567" t="s">
        <v>1033</v>
      </c>
      <c r="H5567" s="1">
        <v>41676</v>
      </c>
      <c r="I5567" s="1">
        <v>41703</v>
      </c>
      <c r="J5567" s="1">
        <v>41703</v>
      </c>
      <c r="K5567" s="1">
        <v>41793</v>
      </c>
      <c r="N5567" s="5"/>
      <c r="O5567">
        <v>656</v>
      </c>
      <c r="P5567">
        <v>248</v>
      </c>
      <c r="Q5567" s="2">
        <v>162688</v>
      </c>
      <c r="R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 s="1">
        <v>42382</v>
      </c>
      <c r="AC5567" t="s">
        <v>53</v>
      </c>
      <c r="AD5567" t="s">
        <v>53</v>
      </c>
      <c r="AK5567">
        <v>0</v>
      </c>
      <c r="AU5567" s="6">
        <v>42041</v>
      </c>
      <c r="AV5567" s="6">
        <v>42041</v>
      </c>
      <c r="AW5567" t="s">
        <v>54</v>
      </c>
      <c r="AX5567" t="str">
        <f t="shared" si="469"/>
        <v>FOR</v>
      </c>
      <c r="AY5567" t="s">
        <v>55</v>
      </c>
    </row>
    <row r="5568" spans="1:51" hidden="1">
      <c r="A5568">
        <v>102885</v>
      </c>
      <c r="B5568" t="s">
        <v>1004</v>
      </c>
      <c r="C5568" t="str">
        <f t="shared" si="472"/>
        <v>00488410010</v>
      </c>
      <c r="D5568" t="str">
        <f t="shared" si="472"/>
        <v>00488410010</v>
      </c>
      <c r="E5568" t="s">
        <v>52</v>
      </c>
      <c r="F5568">
        <v>2014</v>
      </c>
      <c r="G5568" t="s">
        <v>1034</v>
      </c>
      <c r="H5568" s="1">
        <v>41676</v>
      </c>
      <c r="I5568" s="1">
        <v>41703</v>
      </c>
      <c r="J5568" s="1">
        <v>41703</v>
      </c>
      <c r="K5568" s="1">
        <v>41793</v>
      </c>
      <c r="N5568" s="5"/>
      <c r="O5568" s="2">
        <v>1587.5</v>
      </c>
      <c r="P5568">
        <v>248</v>
      </c>
      <c r="Q5568" s="2">
        <v>393700</v>
      </c>
      <c r="R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 s="1">
        <v>42382</v>
      </c>
      <c r="AC5568" t="s">
        <v>53</v>
      </c>
      <c r="AD5568" t="s">
        <v>53</v>
      </c>
      <c r="AK5568">
        <v>0</v>
      </c>
      <c r="AU5568" s="6">
        <v>42041</v>
      </c>
      <c r="AV5568" s="6">
        <v>42041</v>
      </c>
      <c r="AW5568" t="s">
        <v>54</v>
      </c>
      <c r="AX5568" t="str">
        <f t="shared" si="469"/>
        <v>FOR</v>
      </c>
      <c r="AY5568" t="s">
        <v>55</v>
      </c>
    </row>
    <row r="5569" spans="1:51" hidden="1">
      <c r="A5569">
        <v>102885</v>
      </c>
      <c r="B5569" t="s">
        <v>1004</v>
      </c>
      <c r="C5569" t="str">
        <f t="shared" si="472"/>
        <v>00488410010</v>
      </c>
      <c r="D5569" t="str">
        <f t="shared" si="472"/>
        <v>00488410010</v>
      </c>
      <c r="E5569" t="s">
        <v>52</v>
      </c>
      <c r="F5569">
        <v>2014</v>
      </c>
      <c r="G5569" t="s">
        <v>1035</v>
      </c>
      <c r="H5569" s="1">
        <v>41676</v>
      </c>
      <c r="I5569" s="1">
        <v>41703</v>
      </c>
      <c r="J5569" s="1">
        <v>41703</v>
      </c>
      <c r="K5569" s="1">
        <v>41793</v>
      </c>
      <c r="N5569" s="5"/>
      <c r="O5569">
        <v>53</v>
      </c>
      <c r="P5569">
        <v>248</v>
      </c>
      <c r="Q5569" s="2">
        <v>13144</v>
      </c>
      <c r="R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 s="1">
        <v>42382</v>
      </c>
      <c r="AC5569" t="s">
        <v>53</v>
      </c>
      <c r="AD5569" t="s">
        <v>53</v>
      </c>
      <c r="AK5569">
        <v>0</v>
      </c>
      <c r="AU5569" s="6">
        <v>42041</v>
      </c>
      <c r="AV5569" s="6">
        <v>42041</v>
      </c>
      <c r="AW5569" t="s">
        <v>54</v>
      </c>
      <c r="AX5569" t="str">
        <f t="shared" si="469"/>
        <v>FOR</v>
      </c>
      <c r="AY5569" t="s">
        <v>55</v>
      </c>
    </row>
    <row r="5570" spans="1:51" hidden="1">
      <c r="A5570">
        <v>102885</v>
      </c>
      <c r="B5570" t="s">
        <v>1004</v>
      </c>
      <c r="C5570" t="str">
        <f t="shared" si="472"/>
        <v>00488410010</v>
      </c>
      <c r="D5570" t="str">
        <f t="shared" si="472"/>
        <v>00488410010</v>
      </c>
      <c r="E5570" t="s">
        <v>52</v>
      </c>
      <c r="F5570">
        <v>2014</v>
      </c>
      <c r="G5570" t="s">
        <v>1036</v>
      </c>
      <c r="H5570" s="1">
        <v>41676</v>
      </c>
      <c r="I5570" s="1">
        <v>41703</v>
      </c>
      <c r="J5570" s="1">
        <v>41703</v>
      </c>
      <c r="K5570" s="1">
        <v>41793</v>
      </c>
      <c r="N5570" s="5"/>
      <c r="O5570" s="2">
        <v>1365</v>
      </c>
      <c r="P5570">
        <v>248</v>
      </c>
      <c r="Q5570" s="2">
        <v>338520</v>
      </c>
      <c r="R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 s="1">
        <v>42382</v>
      </c>
      <c r="AC5570" t="s">
        <v>53</v>
      </c>
      <c r="AD5570" t="s">
        <v>53</v>
      </c>
      <c r="AK5570">
        <v>0</v>
      </c>
      <c r="AU5570" s="6">
        <v>42041</v>
      </c>
      <c r="AV5570" s="6">
        <v>42041</v>
      </c>
      <c r="AW5570" t="s">
        <v>54</v>
      </c>
      <c r="AX5570" t="str">
        <f t="shared" si="469"/>
        <v>FOR</v>
      </c>
      <c r="AY5570" t="s">
        <v>55</v>
      </c>
    </row>
    <row r="5571" spans="1:51" hidden="1">
      <c r="A5571">
        <v>102885</v>
      </c>
      <c r="B5571" t="s">
        <v>1004</v>
      </c>
      <c r="C5571" t="str">
        <f t="shared" ref="C5571:D5590" si="473">"00488410010"</f>
        <v>00488410010</v>
      </c>
      <c r="D5571" t="str">
        <f t="shared" si="473"/>
        <v>00488410010</v>
      </c>
      <c r="E5571" t="s">
        <v>52</v>
      </c>
      <c r="F5571">
        <v>2014</v>
      </c>
      <c r="G5571" t="s">
        <v>1037</v>
      </c>
      <c r="H5571" s="1">
        <v>41676</v>
      </c>
      <c r="I5571" s="1">
        <v>41703</v>
      </c>
      <c r="J5571" s="1">
        <v>41703</v>
      </c>
      <c r="K5571" s="1">
        <v>41793</v>
      </c>
      <c r="N5571" s="5"/>
      <c r="O5571">
        <v>52.5</v>
      </c>
      <c r="P5571">
        <v>248</v>
      </c>
      <c r="Q5571" s="2">
        <v>13020</v>
      </c>
      <c r="R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 s="1">
        <v>42382</v>
      </c>
      <c r="AC5571" t="s">
        <v>53</v>
      </c>
      <c r="AD5571" t="s">
        <v>53</v>
      </c>
      <c r="AK5571">
        <v>0</v>
      </c>
      <c r="AU5571" s="6">
        <v>42041</v>
      </c>
      <c r="AV5571" s="6">
        <v>42041</v>
      </c>
      <c r="AW5571" t="s">
        <v>54</v>
      </c>
      <c r="AX5571" t="str">
        <f t="shared" ref="AX5571:AX5634" si="474">"FOR"</f>
        <v>FOR</v>
      </c>
      <c r="AY5571" t="s">
        <v>55</v>
      </c>
    </row>
    <row r="5572" spans="1:51" hidden="1">
      <c r="A5572">
        <v>102885</v>
      </c>
      <c r="B5572" t="s">
        <v>1004</v>
      </c>
      <c r="C5572" t="str">
        <f t="shared" si="473"/>
        <v>00488410010</v>
      </c>
      <c r="D5572" t="str">
        <f t="shared" si="473"/>
        <v>00488410010</v>
      </c>
      <c r="E5572" t="s">
        <v>52</v>
      </c>
      <c r="F5572">
        <v>2014</v>
      </c>
      <c r="G5572" t="s">
        <v>1038</v>
      </c>
      <c r="H5572" s="1">
        <v>41676</v>
      </c>
      <c r="I5572" s="1">
        <v>41703</v>
      </c>
      <c r="J5572" s="1">
        <v>41703</v>
      </c>
      <c r="K5572" s="1">
        <v>41793</v>
      </c>
      <c r="N5572" s="5"/>
      <c r="O5572">
        <v>127.5</v>
      </c>
      <c r="P5572">
        <v>248</v>
      </c>
      <c r="Q5572" s="2">
        <v>31620</v>
      </c>
      <c r="R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 s="1">
        <v>42382</v>
      </c>
      <c r="AC5572" t="s">
        <v>53</v>
      </c>
      <c r="AD5572" t="s">
        <v>53</v>
      </c>
      <c r="AK5572">
        <v>0</v>
      </c>
      <c r="AU5572" s="6">
        <v>42041</v>
      </c>
      <c r="AV5572" s="6">
        <v>42041</v>
      </c>
      <c r="AW5572" t="s">
        <v>54</v>
      </c>
      <c r="AX5572" t="str">
        <f t="shared" si="474"/>
        <v>FOR</v>
      </c>
      <c r="AY5572" t="s">
        <v>55</v>
      </c>
    </row>
    <row r="5573" spans="1:51" hidden="1">
      <c r="A5573">
        <v>102885</v>
      </c>
      <c r="B5573" t="s">
        <v>1004</v>
      </c>
      <c r="C5573" t="str">
        <f t="shared" si="473"/>
        <v>00488410010</v>
      </c>
      <c r="D5573" t="str">
        <f t="shared" si="473"/>
        <v>00488410010</v>
      </c>
      <c r="E5573" t="s">
        <v>52</v>
      </c>
      <c r="F5573">
        <v>2014</v>
      </c>
      <c r="G5573" t="s">
        <v>1039</v>
      </c>
      <c r="H5573" s="1">
        <v>41676</v>
      </c>
      <c r="I5573" s="1">
        <v>41703</v>
      </c>
      <c r="J5573" s="1">
        <v>41703</v>
      </c>
      <c r="K5573" s="1">
        <v>41793</v>
      </c>
      <c r="N5573" s="5"/>
      <c r="O5573">
        <v>349</v>
      </c>
      <c r="P5573">
        <v>248</v>
      </c>
      <c r="Q5573" s="2">
        <v>86552</v>
      </c>
      <c r="R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 s="1">
        <v>42382</v>
      </c>
      <c r="AC5573" t="s">
        <v>53</v>
      </c>
      <c r="AD5573" t="s">
        <v>53</v>
      </c>
      <c r="AK5573">
        <v>0</v>
      </c>
      <c r="AU5573" s="6">
        <v>42041</v>
      </c>
      <c r="AV5573" s="6">
        <v>42041</v>
      </c>
      <c r="AW5573" t="s">
        <v>54</v>
      </c>
      <c r="AX5573" t="str">
        <f t="shared" si="474"/>
        <v>FOR</v>
      </c>
      <c r="AY5573" t="s">
        <v>55</v>
      </c>
    </row>
    <row r="5574" spans="1:51" hidden="1">
      <c r="A5574">
        <v>102885</v>
      </c>
      <c r="B5574" t="s">
        <v>1004</v>
      </c>
      <c r="C5574" t="str">
        <f t="shared" si="473"/>
        <v>00488410010</v>
      </c>
      <c r="D5574" t="str">
        <f t="shared" si="473"/>
        <v>00488410010</v>
      </c>
      <c r="E5574" t="s">
        <v>52</v>
      </c>
      <c r="F5574">
        <v>2014</v>
      </c>
      <c r="G5574" t="s">
        <v>1040</v>
      </c>
      <c r="H5574" s="1">
        <v>41736</v>
      </c>
      <c r="I5574" s="1">
        <v>41758</v>
      </c>
      <c r="J5574" s="1">
        <v>41758</v>
      </c>
      <c r="K5574" s="1">
        <v>41847</v>
      </c>
      <c r="N5574" s="5"/>
      <c r="O5574">
        <v>56.5</v>
      </c>
      <c r="P5574">
        <v>194</v>
      </c>
      <c r="Q5574" s="2">
        <v>10961</v>
      </c>
      <c r="R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 s="1">
        <v>42382</v>
      </c>
      <c r="AC5574" t="s">
        <v>53</v>
      </c>
      <c r="AD5574" t="s">
        <v>53</v>
      </c>
      <c r="AK5574">
        <v>0</v>
      </c>
      <c r="AU5574" s="6">
        <v>42041</v>
      </c>
      <c r="AV5574" s="6">
        <v>42041</v>
      </c>
      <c r="AW5574" t="s">
        <v>54</v>
      </c>
      <c r="AX5574" t="str">
        <f t="shared" si="474"/>
        <v>FOR</v>
      </c>
      <c r="AY5574" t="s">
        <v>55</v>
      </c>
    </row>
    <row r="5575" spans="1:51" hidden="1">
      <c r="A5575">
        <v>102885</v>
      </c>
      <c r="B5575" t="s">
        <v>1004</v>
      </c>
      <c r="C5575" t="str">
        <f t="shared" si="473"/>
        <v>00488410010</v>
      </c>
      <c r="D5575" t="str">
        <f t="shared" si="473"/>
        <v>00488410010</v>
      </c>
      <c r="E5575" t="s">
        <v>52</v>
      </c>
      <c r="F5575">
        <v>2014</v>
      </c>
      <c r="G5575" t="s">
        <v>1041</v>
      </c>
      <c r="H5575" s="1">
        <v>41736</v>
      </c>
      <c r="I5575" s="1">
        <v>41758</v>
      </c>
      <c r="J5575" s="1">
        <v>41758</v>
      </c>
      <c r="K5575" s="1">
        <v>41848</v>
      </c>
      <c r="N5575" s="5"/>
      <c r="O5575">
        <v>56.5</v>
      </c>
      <c r="P5575">
        <v>193</v>
      </c>
      <c r="Q5575" s="2">
        <v>10904.5</v>
      </c>
      <c r="R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 s="1">
        <v>42382</v>
      </c>
      <c r="AC5575" t="s">
        <v>53</v>
      </c>
      <c r="AD5575" t="s">
        <v>53</v>
      </c>
      <c r="AK5575">
        <v>0</v>
      </c>
      <c r="AU5575" s="6">
        <v>42041</v>
      </c>
      <c r="AV5575" s="6">
        <v>42041</v>
      </c>
      <c r="AW5575" t="s">
        <v>54</v>
      </c>
      <c r="AX5575" t="str">
        <f t="shared" si="474"/>
        <v>FOR</v>
      </c>
      <c r="AY5575" t="s">
        <v>55</v>
      </c>
    </row>
    <row r="5576" spans="1:51" hidden="1">
      <c r="A5576">
        <v>102885</v>
      </c>
      <c r="B5576" t="s">
        <v>1004</v>
      </c>
      <c r="C5576" t="str">
        <f t="shared" si="473"/>
        <v>00488410010</v>
      </c>
      <c r="D5576" t="str">
        <f t="shared" si="473"/>
        <v>00488410010</v>
      </c>
      <c r="E5576" t="s">
        <v>52</v>
      </c>
      <c r="F5576">
        <v>2014</v>
      </c>
      <c r="G5576" t="s">
        <v>1042</v>
      </c>
      <c r="H5576" s="1">
        <v>41736</v>
      </c>
      <c r="I5576" s="1">
        <v>41758</v>
      </c>
      <c r="J5576" s="1">
        <v>41758</v>
      </c>
      <c r="K5576" s="1">
        <v>41848</v>
      </c>
      <c r="N5576" s="5"/>
      <c r="O5576">
        <v>56.5</v>
      </c>
      <c r="P5576">
        <v>193</v>
      </c>
      <c r="Q5576" s="2">
        <v>10904.5</v>
      </c>
      <c r="R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 s="1">
        <v>42382</v>
      </c>
      <c r="AC5576" t="s">
        <v>53</v>
      </c>
      <c r="AD5576" t="s">
        <v>53</v>
      </c>
      <c r="AK5576">
        <v>0</v>
      </c>
      <c r="AU5576" s="6">
        <v>42041</v>
      </c>
      <c r="AV5576" s="6">
        <v>42041</v>
      </c>
      <c r="AW5576" t="s">
        <v>54</v>
      </c>
      <c r="AX5576" t="str">
        <f t="shared" si="474"/>
        <v>FOR</v>
      </c>
      <c r="AY5576" t="s">
        <v>55</v>
      </c>
    </row>
    <row r="5577" spans="1:51" hidden="1">
      <c r="A5577">
        <v>102885</v>
      </c>
      <c r="B5577" t="s">
        <v>1004</v>
      </c>
      <c r="C5577" t="str">
        <f t="shared" si="473"/>
        <v>00488410010</v>
      </c>
      <c r="D5577" t="str">
        <f t="shared" si="473"/>
        <v>00488410010</v>
      </c>
      <c r="E5577" t="s">
        <v>52</v>
      </c>
      <c r="F5577">
        <v>2014</v>
      </c>
      <c r="G5577" t="s">
        <v>1043</v>
      </c>
      <c r="H5577" s="1">
        <v>41736</v>
      </c>
      <c r="I5577" s="1">
        <v>41764</v>
      </c>
      <c r="J5577" s="1">
        <v>41764</v>
      </c>
      <c r="K5577" s="1">
        <v>41854</v>
      </c>
      <c r="N5577" s="5"/>
      <c r="O5577">
        <v>128.5</v>
      </c>
      <c r="P5577">
        <v>187</v>
      </c>
      <c r="Q5577" s="2">
        <v>24029.5</v>
      </c>
      <c r="R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 s="1">
        <v>42382</v>
      </c>
      <c r="AC5577" t="s">
        <v>53</v>
      </c>
      <c r="AD5577" t="s">
        <v>53</v>
      </c>
      <c r="AK5577">
        <v>0</v>
      </c>
      <c r="AU5577" s="6">
        <v>42041</v>
      </c>
      <c r="AV5577" s="6">
        <v>42041</v>
      </c>
      <c r="AW5577" t="s">
        <v>54</v>
      </c>
      <c r="AX5577" t="str">
        <f t="shared" si="474"/>
        <v>FOR</v>
      </c>
      <c r="AY5577" t="s">
        <v>55</v>
      </c>
    </row>
    <row r="5578" spans="1:51" hidden="1">
      <c r="A5578">
        <v>102885</v>
      </c>
      <c r="B5578" t="s">
        <v>1004</v>
      </c>
      <c r="C5578" t="str">
        <f t="shared" si="473"/>
        <v>00488410010</v>
      </c>
      <c r="D5578" t="str">
        <f t="shared" si="473"/>
        <v>00488410010</v>
      </c>
      <c r="E5578" t="s">
        <v>52</v>
      </c>
      <c r="F5578">
        <v>2014</v>
      </c>
      <c r="G5578" t="s">
        <v>1044</v>
      </c>
      <c r="H5578" s="1">
        <v>41736</v>
      </c>
      <c r="I5578" s="1">
        <v>41758</v>
      </c>
      <c r="J5578" s="1">
        <v>41758</v>
      </c>
      <c r="K5578" s="1">
        <v>41848</v>
      </c>
      <c r="N5578" s="5"/>
      <c r="O5578">
        <v>59</v>
      </c>
      <c r="P5578">
        <v>193</v>
      </c>
      <c r="Q5578" s="2">
        <v>11387</v>
      </c>
      <c r="R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 s="1">
        <v>42382</v>
      </c>
      <c r="AC5578" t="s">
        <v>53</v>
      </c>
      <c r="AD5578" t="s">
        <v>53</v>
      </c>
      <c r="AK5578">
        <v>0</v>
      </c>
      <c r="AU5578" s="6">
        <v>42041</v>
      </c>
      <c r="AV5578" s="6">
        <v>42041</v>
      </c>
      <c r="AW5578" t="s">
        <v>54</v>
      </c>
      <c r="AX5578" t="str">
        <f t="shared" si="474"/>
        <v>FOR</v>
      </c>
      <c r="AY5578" t="s">
        <v>55</v>
      </c>
    </row>
    <row r="5579" spans="1:51" hidden="1">
      <c r="A5579">
        <v>102885</v>
      </c>
      <c r="B5579" t="s">
        <v>1004</v>
      </c>
      <c r="C5579" t="str">
        <f t="shared" si="473"/>
        <v>00488410010</v>
      </c>
      <c r="D5579" t="str">
        <f t="shared" si="473"/>
        <v>00488410010</v>
      </c>
      <c r="E5579" t="s">
        <v>52</v>
      </c>
      <c r="F5579">
        <v>2014</v>
      </c>
      <c r="G5579" t="s">
        <v>1045</v>
      </c>
      <c r="H5579" s="1">
        <v>41736</v>
      </c>
      <c r="I5579" s="1">
        <v>41758</v>
      </c>
      <c r="J5579" s="1">
        <v>41758</v>
      </c>
      <c r="K5579" s="1">
        <v>41848</v>
      </c>
      <c r="N5579" s="5"/>
      <c r="O5579" s="2">
        <v>1587.5</v>
      </c>
      <c r="P5579">
        <v>193</v>
      </c>
      <c r="Q5579" s="2">
        <v>306387.5</v>
      </c>
      <c r="R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 s="1">
        <v>42382</v>
      </c>
      <c r="AC5579" t="s">
        <v>53</v>
      </c>
      <c r="AD5579" t="s">
        <v>53</v>
      </c>
      <c r="AK5579">
        <v>0</v>
      </c>
      <c r="AU5579" s="6">
        <v>42041</v>
      </c>
      <c r="AV5579" s="6">
        <v>42041</v>
      </c>
      <c r="AW5579" t="s">
        <v>54</v>
      </c>
      <c r="AX5579" t="str">
        <f t="shared" si="474"/>
        <v>FOR</v>
      </c>
      <c r="AY5579" t="s">
        <v>55</v>
      </c>
    </row>
    <row r="5580" spans="1:51" hidden="1">
      <c r="A5580">
        <v>102885</v>
      </c>
      <c r="B5580" t="s">
        <v>1004</v>
      </c>
      <c r="C5580" t="str">
        <f t="shared" si="473"/>
        <v>00488410010</v>
      </c>
      <c r="D5580" t="str">
        <f t="shared" si="473"/>
        <v>00488410010</v>
      </c>
      <c r="E5580" t="s">
        <v>52</v>
      </c>
      <c r="F5580">
        <v>2014</v>
      </c>
      <c r="G5580" t="s">
        <v>1046</v>
      </c>
      <c r="H5580" s="1">
        <v>41736</v>
      </c>
      <c r="I5580" s="1">
        <v>41758</v>
      </c>
      <c r="J5580" s="1">
        <v>41758</v>
      </c>
      <c r="K5580" s="1">
        <v>41848</v>
      </c>
      <c r="N5580" s="5"/>
      <c r="O5580" s="2">
        <v>1448.5</v>
      </c>
      <c r="P5580">
        <v>193</v>
      </c>
      <c r="Q5580" s="2">
        <v>279560.5</v>
      </c>
      <c r="R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 s="1">
        <v>42382</v>
      </c>
      <c r="AC5580" t="s">
        <v>53</v>
      </c>
      <c r="AD5580" t="s">
        <v>53</v>
      </c>
      <c r="AK5580">
        <v>0</v>
      </c>
      <c r="AU5580" s="6">
        <v>42041</v>
      </c>
      <c r="AV5580" s="6">
        <v>42041</v>
      </c>
      <c r="AW5580" t="s">
        <v>54</v>
      </c>
      <c r="AX5580" t="str">
        <f t="shared" si="474"/>
        <v>FOR</v>
      </c>
      <c r="AY5580" t="s">
        <v>55</v>
      </c>
    </row>
    <row r="5581" spans="1:51" hidden="1">
      <c r="A5581">
        <v>102885</v>
      </c>
      <c r="B5581" t="s">
        <v>1004</v>
      </c>
      <c r="C5581" t="str">
        <f t="shared" si="473"/>
        <v>00488410010</v>
      </c>
      <c r="D5581" t="str">
        <f t="shared" si="473"/>
        <v>00488410010</v>
      </c>
      <c r="E5581" t="s">
        <v>52</v>
      </c>
      <c r="F5581">
        <v>2014</v>
      </c>
      <c r="G5581" t="s">
        <v>1047</v>
      </c>
      <c r="H5581" s="1">
        <v>41736</v>
      </c>
      <c r="I5581" s="1">
        <v>41758</v>
      </c>
      <c r="J5581" s="1">
        <v>41758</v>
      </c>
      <c r="K5581" s="1">
        <v>41848</v>
      </c>
      <c r="N5581" s="5"/>
      <c r="O5581">
        <v>278.5</v>
      </c>
      <c r="P5581">
        <v>193</v>
      </c>
      <c r="Q5581" s="2">
        <v>53750.5</v>
      </c>
      <c r="R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 s="1">
        <v>42382</v>
      </c>
      <c r="AC5581" t="s">
        <v>53</v>
      </c>
      <c r="AD5581" t="s">
        <v>53</v>
      </c>
      <c r="AK5581">
        <v>0</v>
      </c>
      <c r="AU5581" s="6">
        <v>42041</v>
      </c>
      <c r="AV5581" s="6">
        <v>42041</v>
      </c>
      <c r="AW5581" t="s">
        <v>54</v>
      </c>
      <c r="AX5581" t="str">
        <f t="shared" si="474"/>
        <v>FOR</v>
      </c>
      <c r="AY5581" t="s">
        <v>55</v>
      </c>
    </row>
    <row r="5582" spans="1:51" hidden="1">
      <c r="A5582">
        <v>102885</v>
      </c>
      <c r="B5582" t="s">
        <v>1004</v>
      </c>
      <c r="C5582" t="str">
        <f t="shared" si="473"/>
        <v>00488410010</v>
      </c>
      <c r="D5582" t="str">
        <f t="shared" si="473"/>
        <v>00488410010</v>
      </c>
      <c r="E5582" t="s">
        <v>52</v>
      </c>
      <c r="F5582">
        <v>2014</v>
      </c>
      <c r="G5582" t="s">
        <v>1048</v>
      </c>
      <c r="H5582" s="1">
        <v>41736</v>
      </c>
      <c r="I5582" s="1">
        <v>41758</v>
      </c>
      <c r="J5582" s="1">
        <v>41758</v>
      </c>
      <c r="K5582" s="1">
        <v>41848</v>
      </c>
      <c r="N5582" s="5"/>
      <c r="O5582">
        <v>753</v>
      </c>
      <c r="P5582">
        <v>193</v>
      </c>
      <c r="Q5582" s="2">
        <v>145329</v>
      </c>
      <c r="R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 s="1">
        <v>42382</v>
      </c>
      <c r="AC5582" t="s">
        <v>53</v>
      </c>
      <c r="AD5582" t="s">
        <v>53</v>
      </c>
      <c r="AK5582">
        <v>0</v>
      </c>
      <c r="AU5582" s="6">
        <v>42041</v>
      </c>
      <c r="AV5582" s="6">
        <v>42041</v>
      </c>
      <c r="AW5582" t="s">
        <v>54</v>
      </c>
      <c r="AX5582" t="str">
        <f t="shared" si="474"/>
        <v>FOR</v>
      </c>
      <c r="AY5582" t="s">
        <v>55</v>
      </c>
    </row>
    <row r="5583" spans="1:51" hidden="1">
      <c r="A5583">
        <v>102885</v>
      </c>
      <c r="B5583" t="s">
        <v>1004</v>
      </c>
      <c r="C5583" t="str">
        <f t="shared" si="473"/>
        <v>00488410010</v>
      </c>
      <c r="D5583" t="str">
        <f t="shared" si="473"/>
        <v>00488410010</v>
      </c>
      <c r="E5583" t="s">
        <v>52</v>
      </c>
      <c r="F5583">
        <v>2014</v>
      </c>
      <c r="G5583" t="s">
        <v>1049</v>
      </c>
      <c r="H5583" s="1">
        <v>41793</v>
      </c>
      <c r="I5583" s="1">
        <v>41820</v>
      </c>
      <c r="J5583" s="1">
        <v>41820</v>
      </c>
      <c r="K5583" s="1">
        <v>41910</v>
      </c>
      <c r="N5583" s="5"/>
      <c r="O5583" s="2">
        <v>1587.5</v>
      </c>
      <c r="P5583">
        <v>159</v>
      </c>
      <c r="Q5583" s="2">
        <v>252412.5</v>
      </c>
      <c r="R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 s="1">
        <v>42382</v>
      </c>
      <c r="AC5583" t="s">
        <v>53</v>
      </c>
      <c r="AD5583" t="s">
        <v>53</v>
      </c>
      <c r="AK5583">
        <v>0</v>
      </c>
      <c r="AU5583" s="6">
        <v>42069</v>
      </c>
      <c r="AV5583" s="6">
        <v>42069</v>
      </c>
      <c r="AW5583" t="s">
        <v>54</v>
      </c>
      <c r="AX5583" t="str">
        <f t="shared" si="474"/>
        <v>FOR</v>
      </c>
      <c r="AY5583" t="s">
        <v>55</v>
      </c>
    </row>
    <row r="5584" spans="1:51" hidden="1">
      <c r="A5584">
        <v>102885</v>
      </c>
      <c r="B5584" t="s">
        <v>1004</v>
      </c>
      <c r="C5584" t="str">
        <f t="shared" si="473"/>
        <v>00488410010</v>
      </c>
      <c r="D5584" t="str">
        <f t="shared" si="473"/>
        <v>00488410010</v>
      </c>
      <c r="E5584" t="s">
        <v>52</v>
      </c>
      <c r="F5584">
        <v>2014</v>
      </c>
      <c r="G5584" t="s">
        <v>1050</v>
      </c>
      <c r="H5584" s="1">
        <v>41793</v>
      </c>
      <c r="I5584" s="1">
        <v>41820</v>
      </c>
      <c r="J5584" s="1">
        <v>41820</v>
      </c>
      <c r="K5584" s="1">
        <v>41910</v>
      </c>
      <c r="N5584" s="5"/>
      <c r="O5584">
        <v>96</v>
      </c>
      <c r="P5584">
        <v>159</v>
      </c>
      <c r="Q5584" s="2">
        <v>15264</v>
      </c>
      <c r="R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 s="1">
        <v>42382</v>
      </c>
      <c r="AC5584" t="s">
        <v>53</v>
      </c>
      <c r="AD5584" t="s">
        <v>53</v>
      </c>
      <c r="AK5584">
        <v>0</v>
      </c>
      <c r="AU5584" s="6">
        <v>42069</v>
      </c>
      <c r="AV5584" s="6">
        <v>42069</v>
      </c>
      <c r="AW5584" t="s">
        <v>54</v>
      </c>
      <c r="AX5584" t="str">
        <f t="shared" si="474"/>
        <v>FOR</v>
      </c>
      <c r="AY5584" t="s">
        <v>55</v>
      </c>
    </row>
    <row r="5585" spans="1:51" hidden="1">
      <c r="A5585">
        <v>102885</v>
      </c>
      <c r="B5585" t="s">
        <v>1004</v>
      </c>
      <c r="C5585" t="str">
        <f t="shared" si="473"/>
        <v>00488410010</v>
      </c>
      <c r="D5585" t="str">
        <f t="shared" si="473"/>
        <v>00488410010</v>
      </c>
      <c r="E5585" t="s">
        <v>52</v>
      </c>
      <c r="F5585">
        <v>2014</v>
      </c>
      <c r="G5585" t="s">
        <v>1051</v>
      </c>
      <c r="H5585" s="1">
        <v>41793</v>
      </c>
      <c r="I5585" s="1">
        <v>41820</v>
      </c>
      <c r="J5585" s="1">
        <v>41820</v>
      </c>
      <c r="K5585" s="1">
        <v>41910</v>
      </c>
      <c r="N5585" s="5"/>
      <c r="O5585">
        <v>256.5</v>
      </c>
      <c r="P5585">
        <v>159</v>
      </c>
      <c r="Q5585" s="2">
        <v>40783.5</v>
      </c>
      <c r="R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 s="1">
        <v>42382</v>
      </c>
      <c r="AC5585" t="s">
        <v>53</v>
      </c>
      <c r="AD5585" t="s">
        <v>53</v>
      </c>
      <c r="AK5585">
        <v>0</v>
      </c>
      <c r="AU5585" s="6">
        <v>42069</v>
      </c>
      <c r="AV5585" s="6">
        <v>42069</v>
      </c>
      <c r="AW5585" t="s">
        <v>54</v>
      </c>
      <c r="AX5585" t="str">
        <f t="shared" si="474"/>
        <v>FOR</v>
      </c>
      <c r="AY5585" t="s">
        <v>55</v>
      </c>
    </row>
    <row r="5586" spans="1:51" hidden="1">
      <c r="A5586">
        <v>102885</v>
      </c>
      <c r="B5586" t="s">
        <v>1004</v>
      </c>
      <c r="C5586" t="str">
        <f t="shared" si="473"/>
        <v>00488410010</v>
      </c>
      <c r="D5586" t="str">
        <f t="shared" si="473"/>
        <v>00488410010</v>
      </c>
      <c r="E5586" t="s">
        <v>52</v>
      </c>
      <c r="F5586">
        <v>2014</v>
      </c>
      <c r="G5586" t="s">
        <v>1052</v>
      </c>
      <c r="H5586" s="1">
        <v>41793</v>
      </c>
      <c r="I5586" s="1">
        <v>41820</v>
      </c>
      <c r="J5586" s="1">
        <v>41820</v>
      </c>
      <c r="K5586" s="1">
        <v>41910</v>
      </c>
      <c r="N5586" s="5"/>
      <c r="O5586">
        <v>56.5</v>
      </c>
      <c r="P5586">
        <v>159</v>
      </c>
      <c r="Q5586" s="2">
        <v>8983.5</v>
      </c>
      <c r="R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 s="1">
        <v>42382</v>
      </c>
      <c r="AC5586" t="s">
        <v>53</v>
      </c>
      <c r="AD5586" t="s">
        <v>53</v>
      </c>
      <c r="AK5586">
        <v>0</v>
      </c>
      <c r="AU5586" s="6">
        <v>42069</v>
      </c>
      <c r="AV5586" s="6">
        <v>42069</v>
      </c>
      <c r="AW5586" t="s">
        <v>54</v>
      </c>
      <c r="AX5586" t="str">
        <f t="shared" si="474"/>
        <v>FOR</v>
      </c>
      <c r="AY5586" t="s">
        <v>55</v>
      </c>
    </row>
    <row r="5587" spans="1:51" hidden="1">
      <c r="A5587">
        <v>102885</v>
      </c>
      <c r="B5587" t="s">
        <v>1004</v>
      </c>
      <c r="C5587" t="str">
        <f t="shared" si="473"/>
        <v>00488410010</v>
      </c>
      <c r="D5587" t="str">
        <f t="shared" si="473"/>
        <v>00488410010</v>
      </c>
      <c r="E5587" t="s">
        <v>52</v>
      </c>
      <c r="F5587">
        <v>2014</v>
      </c>
      <c r="G5587" t="s">
        <v>1053</v>
      </c>
      <c r="H5587" s="1">
        <v>41793</v>
      </c>
      <c r="I5587" s="1">
        <v>41820</v>
      </c>
      <c r="J5587" s="1">
        <v>41820</v>
      </c>
      <c r="K5587" s="1">
        <v>41910</v>
      </c>
      <c r="N5587" s="5"/>
      <c r="O5587" s="2">
        <v>1450</v>
      </c>
      <c r="P5587">
        <v>159</v>
      </c>
      <c r="Q5587" s="2">
        <v>230550</v>
      </c>
      <c r="R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 s="1">
        <v>42382</v>
      </c>
      <c r="AC5587" t="s">
        <v>53</v>
      </c>
      <c r="AD5587" t="s">
        <v>53</v>
      </c>
      <c r="AK5587">
        <v>0</v>
      </c>
      <c r="AU5587" s="6">
        <v>42069</v>
      </c>
      <c r="AV5587" s="6">
        <v>42069</v>
      </c>
      <c r="AW5587" t="s">
        <v>54</v>
      </c>
      <c r="AX5587" t="str">
        <f t="shared" si="474"/>
        <v>FOR</v>
      </c>
      <c r="AY5587" t="s">
        <v>55</v>
      </c>
    </row>
    <row r="5588" spans="1:51" hidden="1">
      <c r="A5588">
        <v>102885</v>
      </c>
      <c r="B5588" t="s">
        <v>1004</v>
      </c>
      <c r="C5588" t="str">
        <f t="shared" si="473"/>
        <v>00488410010</v>
      </c>
      <c r="D5588" t="str">
        <f t="shared" si="473"/>
        <v>00488410010</v>
      </c>
      <c r="E5588" t="s">
        <v>52</v>
      </c>
      <c r="F5588">
        <v>2014</v>
      </c>
      <c r="G5588" t="s">
        <v>1054</v>
      </c>
      <c r="H5588" s="1">
        <v>41793</v>
      </c>
      <c r="I5588" s="1">
        <v>41820</v>
      </c>
      <c r="J5588" s="1">
        <v>41820</v>
      </c>
      <c r="K5588" s="1">
        <v>41910</v>
      </c>
      <c r="N5588" s="5"/>
      <c r="O5588">
        <v>56.5</v>
      </c>
      <c r="P5588">
        <v>159</v>
      </c>
      <c r="Q5588" s="2">
        <v>8983.5</v>
      </c>
      <c r="R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 s="1">
        <v>42382</v>
      </c>
      <c r="AC5588" t="s">
        <v>53</v>
      </c>
      <c r="AD5588" t="s">
        <v>53</v>
      </c>
      <c r="AK5588">
        <v>0</v>
      </c>
      <c r="AU5588" s="6">
        <v>42069</v>
      </c>
      <c r="AV5588" s="6">
        <v>42069</v>
      </c>
      <c r="AW5588" t="s">
        <v>54</v>
      </c>
      <c r="AX5588" t="str">
        <f t="shared" si="474"/>
        <v>FOR</v>
      </c>
      <c r="AY5588" t="s">
        <v>55</v>
      </c>
    </row>
    <row r="5589" spans="1:51" hidden="1">
      <c r="A5589">
        <v>102885</v>
      </c>
      <c r="B5589" t="s">
        <v>1004</v>
      </c>
      <c r="C5589" t="str">
        <f t="shared" si="473"/>
        <v>00488410010</v>
      </c>
      <c r="D5589" t="str">
        <f t="shared" si="473"/>
        <v>00488410010</v>
      </c>
      <c r="E5589" t="s">
        <v>52</v>
      </c>
      <c r="F5589">
        <v>2014</v>
      </c>
      <c r="G5589" t="s">
        <v>1055</v>
      </c>
      <c r="H5589" s="1">
        <v>41793</v>
      </c>
      <c r="I5589" s="1">
        <v>41820</v>
      </c>
      <c r="J5589" s="1">
        <v>41820</v>
      </c>
      <c r="K5589" s="1">
        <v>41910</v>
      </c>
      <c r="N5589" s="5"/>
      <c r="O5589">
        <v>695.5</v>
      </c>
      <c r="P5589">
        <v>159</v>
      </c>
      <c r="Q5589" s="2">
        <v>110584.5</v>
      </c>
      <c r="R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 s="1">
        <v>42382</v>
      </c>
      <c r="AC5589" t="s">
        <v>53</v>
      </c>
      <c r="AD5589" t="s">
        <v>53</v>
      </c>
      <c r="AK5589">
        <v>0</v>
      </c>
      <c r="AU5589" s="6">
        <v>42069</v>
      </c>
      <c r="AV5589" s="6">
        <v>42069</v>
      </c>
      <c r="AW5589" t="s">
        <v>54</v>
      </c>
      <c r="AX5589" t="str">
        <f t="shared" si="474"/>
        <v>FOR</v>
      </c>
      <c r="AY5589" t="s">
        <v>55</v>
      </c>
    </row>
    <row r="5590" spans="1:51" hidden="1">
      <c r="A5590">
        <v>102885</v>
      </c>
      <c r="B5590" t="s">
        <v>1004</v>
      </c>
      <c r="C5590" t="str">
        <f t="shared" si="473"/>
        <v>00488410010</v>
      </c>
      <c r="D5590" t="str">
        <f t="shared" si="473"/>
        <v>00488410010</v>
      </c>
      <c r="E5590" t="s">
        <v>52</v>
      </c>
      <c r="F5590">
        <v>2014</v>
      </c>
      <c r="G5590" t="s">
        <v>1056</v>
      </c>
      <c r="H5590" s="1">
        <v>41793</v>
      </c>
      <c r="I5590" s="1">
        <v>41820</v>
      </c>
      <c r="J5590" s="1">
        <v>41820</v>
      </c>
      <c r="K5590" s="1">
        <v>41910</v>
      </c>
      <c r="N5590" s="5"/>
      <c r="O5590">
        <v>128.5</v>
      </c>
      <c r="P5590">
        <v>159</v>
      </c>
      <c r="Q5590" s="2">
        <v>20431.5</v>
      </c>
      <c r="R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 s="1">
        <v>42382</v>
      </c>
      <c r="AC5590" t="s">
        <v>53</v>
      </c>
      <c r="AD5590" t="s">
        <v>53</v>
      </c>
      <c r="AK5590">
        <v>0</v>
      </c>
      <c r="AU5590" s="6">
        <v>42069</v>
      </c>
      <c r="AV5590" s="6">
        <v>42069</v>
      </c>
      <c r="AW5590" t="s">
        <v>54</v>
      </c>
      <c r="AX5590" t="str">
        <f t="shared" si="474"/>
        <v>FOR</v>
      </c>
      <c r="AY5590" t="s">
        <v>55</v>
      </c>
    </row>
    <row r="5591" spans="1:51" hidden="1">
      <c r="A5591">
        <v>102885</v>
      </c>
      <c r="B5591" t="s">
        <v>1004</v>
      </c>
      <c r="C5591" t="str">
        <f t="shared" ref="C5591:D5610" si="475">"00488410010"</f>
        <v>00488410010</v>
      </c>
      <c r="D5591" t="str">
        <f t="shared" si="475"/>
        <v>00488410010</v>
      </c>
      <c r="E5591" t="s">
        <v>52</v>
      </c>
      <c r="F5591">
        <v>2014</v>
      </c>
      <c r="G5591" t="s">
        <v>1057</v>
      </c>
      <c r="H5591" s="1">
        <v>41793</v>
      </c>
      <c r="I5591" s="1">
        <v>41820</v>
      </c>
      <c r="J5591" s="1">
        <v>41820</v>
      </c>
      <c r="K5591" s="1">
        <v>41910</v>
      </c>
      <c r="N5591" s="5"/>
      <c r="O5591">
        <v>56.5</v>
      </c>
      <c r="P5591">
        <v>159</v>
      </c>
      <c r="Q5591" s="2">
        <v>8983.5</v>
      </c>
      <c r="R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 s="1">
        <v>42382</v>
      </c>
      <c r="AC5591" t="s">
        <v>53</v>
      </c>
      <c r="AD5591" t="s">
        <v>53</v>
      </c>
      <c r="AK5591">
        <v>0</v>
      </c>
      <c r="AU5591" s="6">
        <v>42069</v>
      </c>
      <c r="AV5591" s="6">
        <v>42069</v>
      </c>
      <c r="AW5591" t="s">
        <v>54</v>
      </c>
      <c r="AX5591" t="str">
        <f t="shared" si="474"/>
        <v>FOR</v>
      </c>
      <c r="AY5591" t="s">
        <v>55</v>
      </c>
    </row>
    <row r="5592" spans="1:51" hidden="1">
      <c r="A5592">
        <v>102885</v>
      </c>
      <c r="B5592" t="s">
        <v>1004</v>
      </c>
      <c r="C5592" t="str">
        <f t="shared" si="475"/>
        <v>00488410010</v>
      </c>
      <c r="D5592" t="str">
        <f t="shared" si="475"/>
        <v>00488410010</v>
      </c>
      <c r="E5592" t="s">
        <v>52</v>
      </c>
      <c r="F5592">
        <v>2014</v>
      </c>
      <c r="G5592" t="s">
        <v>1058</v>
      </c>
      <c r="H5592" s="1">
        <v>41857</v>
      </c>
      <c r="I5592" s="1">
        <v>41879</v>
      </c>
      <c r="J5592" s="1">
        <v>41879</v>
      </c>
      <c r="K5592" s="1">
        <v>41969</v>
      </c>
      <c r="N5592" s="5"/>
      <c r="O5592">
        <v>697</v>
      </c>
      <c r="P5592">
        <v>124</v>
      </c>
      <c r="Q5592" s="2">
        <v>86428</v>
      </c>
      <c r="R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 s="1">
        <v>42382</v>
      </c>
      <c r="AC5592" t="s">
        <v>53</v>
      </c>
      <c r="AD5592" t="s">
        <v>53</v>
      </c>
      <c r="AK5592">
        <v>0</v>
      </c>
      <c r="AU5592" s="6">
        <v>42093</v>
      </c>
      <c r="AV5592" s="6">
        <v>42093</v>
      </c>
      <c r="AW5592" t="s">
        <v>54</v>
      </c>
      <c r="AX5592" t="str">
        <f t="shared" si="474"/>
        <v>FOR</v>
      </c>
      <c r="AY5592" t="s">
        <v>55</v>
      </c>
    </row>
    <row r="5593" spans="1:51" hidden="1">
      <c r="A5593">
        <v>102885</v>
      </c>
      <c r="B5593" t="s">
        <v>1004</v>
      </c>
      <c r="C5593" t="str">
        <f t="shared" si="475"/>
        <v>00488410010</v>
      </c>
      <c r="D5593" t="str">
        <f t="shared" si="475"/>
        <v>00488410010</v>
      </c>
      <c r="E5593" t="s">
        <v>52</v>
      </c>
      <c r="F5593">
        <v>2014</v>
      </c>
      <c r="G5593" t="s">
        <v>1059</v>
      </c>
      <c r="H5593" s="1">
        <v>41857</v>
      </c>
      <c r="I5593" s="1">
        <v>41879</v>
      </c>
      <c r="J5593" s="1">
        <v>41879</v>
      </c>
      <c r="K5593" s="1">
        <v>41969</v>
      </c>
      <c r="N5593" s="5"/>
      <c r="O5593">
        <v>57</v>
      </c>
      <c r="P5593">
        <v>124</v>
      </c>
      <c r="Q5593" s="2">
        <v>7068</v>
      </c>
      <c r="R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 s="1">
        <v>42382</v>
      </c>
      <c r="AC5593" t="s">
        <v>53</v>
      </c>
      <c r="AD5593" t="s">
        <v>53</v>
      </c>
      <c r="AK5593">
        <v>0</v>
      </c>
      <c r="AU5593" s="6">
        <v>42093</v>
      </c>
      <c r="AV5593" s="6">
        <v>42093</v>
      </c>
      <c r="AW5593" t="s">
        <v>54</v>
      </c>
      <c r="AX5593" t="str">
        <f t="shared" si="474"/>
        <v>FOR</v>
      </c>
      <c r="AY5593" t="s">
        <v>55</v>
      </c>
    </row>
    <row r="5594" spans="1:51" hidden="1">
      <c r="A5594">
        <v>102885</v>
      </c>
      <c r="B5594" t="s">
        <v>1004</v>
      </c>
      <c r="C5594" t="str">
        <f t="shared" si="475"/>
        <v>00488410010</v>
      </c>
      <c r="D5594" t="str">
        <f t="shared" si="475"/>
        <v>00488410010</v>
      </c>
      <c r="E5594" t="s">
        <v>52</v>
      </c>
      <c r="F5594">
        <v>2014</v>
      </c>
      <c r="G5594" t="s">
        <v>1060</v>
      </c>
      <c r="H5594" s="1">
        <v>41857</v>
      </c>
      <c r="I5594" s="1">
        <v>41879</v>
      </c>
      <c r="J5594" s="1">
        <v>41879</v>
      </c>
      <c r="K5594" s="1">
        <v>41969</v>
      </c>
      <c r="N5594" s="5"/>
      <c r="O5594" s="2">
        <v>1595.5</v>
      </c>
      <c r="P5594">
        <v>124</v>
      </c>
      <c r="Q5594" s="2">
        <v>197842</v>
      </c>
      <c r="R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 s="1">
        <v>42382</v>
      </c>
      <c r="AC5594" t="s">
        <v>53</v>
      </c>
      <c r="AD5594" t="s">
        <v>53</v>
      </c>
      <c r="AK5594">
        <v>0</v>
      </c>
      <c r="AU5594" s="6">
        <v>42093</v>
      </c>
      <c r="AV5594" s="6">
        <v>42093</v>
      </c>
      <c r="AW5594" t="s">
        <v>54</v>
      </c>
      <c r="AX5594" t="str">
        <f t="shared" si="474"/>
        <v>FOR</v>
      </c>
      <c r="AY5594" t="s">
        <v>55</v>
      </c>
    </row>
    <row r="5595" spans="1:51" hidden="1">
      <c r="A5595">
        <v>102885</v>
      </c>
      <c r="B5595" t="s">
        <v>1004</v>
      </c>
      <c r="C5595" t="str">
        <f t="shared" si="475"/>
        <v>00488410010</v>
      </c>
      <c r="D5595" t="str">
        <f t="shared" si="475"/>
        <v>00488410010</v>
      </c>
      <c r="E5595" t="s">
        <v>52</v>
      </c>
      <c r="F5595">
        <v>2014</v>
      </c>
      <c r="G5595" t="s">
        <v>1061</v>
      </c>
      <c r="H5595" s="1">
        <v>41857</v>
      </c>
      <c r="I5595" s="1">
        <v>41879</v>
      </c>
      <c r="J5595" s="1">
        <v>41879</v>
      </c>
      <c r="K5595" s="1">
        <v>41969</v>
      </c>
      <c r="N5595" s="5"/>
      <c r="O5595">
        <v>63.5</v>
      </c>
      <c r="P5595">
        <v>124</v>
      </c>
      <c r="Q5595" s="2">
        <v>7874</v>
      </c>
      <c r="R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 s="1">
        <v>42382</v>
      </c>
      <c r="AC5595" t="s">
        <v>53</v>
      </c>
      <c r="AD5595" t="s">
        <v>53</v>
      </c>
      <c r="AK5595">
        <v>0</v>
      </c>
      <c r="AU5595" s="6">
        <v>42093</v>
      </c>
      <c r="AV5595" s="6">
        <v>42093</v>
      </c>
      <c r="AW5595" t="s">
        <v>54</v>
      </c>
      <c r="AX5595" t="str">
        <f t="shared" si="474"/>
        <v>FOR</v>
      </c>
      <c r="AY5595" t="s">
        <v>55</v>
      </c>
    </row>
    <row r="5596" spans="1:51" hidden="1">
      <c r="A5596">
        <v>102885</v>
      </c>
      <c r="B5596" t="s">
        <v>1004</v>
      </c>
      <c r="C5596" t="str">
        <f t="shared" si="475"/>
        <v>00488410010</v>
      </c>
      <c r="D5596" t="str">
        <f t="shared" si="475"/>
        <v>00488410010</v>
      </c>
      <c r="E5596" t="s">
        <v>52</v>
      </c>
      <c r="F5596">
        <v>2014</v>
      </c>
      <c r="G5596" t="s">
        <v>1062</v>
      </c>
      <c r="H5596" s="1">
        <v>41857</v>
      </c>
      <c r="I5596" s="1">
        <v>41879</v>
      </c>
      <c r="J5596" s="1">
        <v>41879</v>
      </c>
      <c r="K5596" s="1">
        <v>41969</v>
      </c>
      <c r="N5596" s="5"/>
      <c r="O5596">
        <v>57</v>
      </c>
      <c r="P5596">
        <v>124</v>
      </c>
      <c r="Q5596" s="2">
        <v>7068</v>
      </c>
      <c r="R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 s="1">
        <v>42382</v>
      </c>
      <c r="AC5596" t="s">
        <v>53</v>
      </c>
      <c r="AD5596" t="s">
        <v>53</v>
      </c>
      <c r="AK5596">
        <v>0</v>
      </c>
      <c r="AU5596" s="6">
        <v>42093</v>
      </c>
      <c r="AV5596" s="6">
        <v>42093</v>
      </c>
      <c r="AW5596" t="s">
        <v>54</v>
      </c>
      <c r="AX5596" t="str">
        <f t="shared" si="474"/>
        <v>FOR</v>
      </c>
      <c r="AY5596" t="s">
        <v>55</v>
      </c>
    </row>
    <row r="5597" spans="1:51" hidden="1">
      <c r="A5597">
        <v>102885</v>
      </c>
      <c r="B5597" t="s">
        <v>1004</v>
      </c>
      <c r="C5597" t="str">
        <f t="shared" si="475"/>
        <v>00488410010</v>
      </c>
      <c r="D5597" t="str">
        <f t="shared" si="475"/>
        <v>00488410010</v>
      </c>
      <c r="E5597" t="s">
        <v>52</v>
      </c>
      <c r="F5597">
        <v>2014</v>
      </c>
      <c r="G5597" t="s">
        <v>1063</v>
      </c>
      <c r="H5597" s="1">
        <v>41857</v>
      </c>
      <c r="I5597" s="1">
        <v>41879</v>
      </c>
      <c r="J5597" s="1">
        <v>41879</v>
      </c>
      <c r="K5597" s="1">
        <v>41969</v>
      </c>
      <c r="N5597" s="5"/>
      <c r="O5597">
        <v>281</v>
      </c>
      <c r="P5597">
        <v>124</v>
      </c>
      <c r="Q5597" s="2">
        <v>34844</v>
      </c>
      <c r="R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 s="1">
        <v>42382</v>
      </c>
      <c r="AC5597" t="s">
        <v>53</v>
      </c>
      <c r="AD5597" t="s">
        <v>53</v>
      </c>
      <c r="AK5597">
        <v>0</v>
      </c>
      <c r="AU5597" s="6">
        <v>42093</v>
      </c>
      <c r="AV5597" s="6">
        <v>42093</v>
      </c>
      <c r="AW5597" t="s">
        <v>54</v>
      </c>
      <c r="AX5597" t="str">
        <f t="shared" si="474"/>
        <v>FOR</v>
      </c>
      <c r="AY5597" t="s">
        <v>55</v>
      </c>
    </row>
    <row r="5598" spans="1:51" hidden="1">
      <c r="A5598">
        <v>102885</v>
      </c>
      <c r="B5598" t="s">
        <v>1004</v>
      </c>
      <c r="C5598" t="str">
        <f t="shared" si="475"/>
        <v>00488410010</v>
      </c>
      <c r="D5598" t="str">
        <f t="shared" si="475"/>
        <v>00488410010</v>
      </c>
      <c r="E5598" t="s">
        <v>52</v>
      </c>
      <c r="F5598">
        <v>2014</v>
      </c>
      <c r="G5598" t="s">
        <v>1064</v>
      </c>
      <c r="H5598" s="1">
        <v>41857</v>
      </c>
      <c r="I5598" s="1">
        <v>41879</v>
      </c>
      <c r="J5598" s="1">
        <v>41879</v>
      </c>
      <c r="K5598" s="1">
        <v>41969</v>
      </c>
      <c r="N5598" s="5"/>
      <c r="O5598" s="2">
        <v>1447.5</v>
      </c>
      <c r="P5598">
        <v>124</v>
      </c>
      <c r="Q5598" s="2">
        <v>179490</v>
      </c>
      <c r="R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 s="1">
        <v>42382</v>
      </c>
      <c r="AC5598" t="s">
        <v>53</v>
      </c>
      <c r="AD5598" t="s">
        <v>53</v>
      </c>
      <c r="AK5598">
        <v>0</v>
      </c>
      <c r="AU5598" s="6">
        <v>42093</v>
      </c>
      <c r="AV5598" s="6">
        <v>42093</v>
      </c>
      <c r="AW5598" t="s">
        <v>54</v>
      </c>
      <c r="AX5598" t="str">
        <f t="shared" si="474"/>
        <v>FOR</v>
      </c>
      <c r="AY5598" t="s">
        <v>55</v>
      </c>
    </row>
    <row r="5599" spans="1:51" hidden="1">
      <c r="A5599">
        <v>102885</v>
      </c>
      <c r="B5599" t="s">
        <v>1004</v>
      </c>
      <c r="C5599" t="str">
        <f t="shared" si="475"/>
        <v>00488410010</v>
      </c>
      <c r="D5599" t="str">
        <f t="shared" si="475"/>
        <v>00488410010</v>
      </c>
      <c r="E5599" t="s">
        <v>52</v>
      </c>
      <c r="F5599">
        <v>2014</v>
      </c>
      <c r="G5599" t="s">
        <v>1065</v>
      </c>
      <c r="H5599" s="1">
        <v>41857</v>
      </c>
      <c r="I5599" s="1">
        <v>41879</v>
      </c>
      <c r="J5599" s="1">
        <v>41879</v>
      </c>
      <c r="K5599" s="1">
        <v>41969</v>
      </c>
      <c r="N5599" s="5"/>
      <c r="O5599">
        <v>57</v>
      </c>
      <c r="P5599">
        <v>124</v>
      </c>
      <c r="Q5599" s="2">
        <v>7068</v>
      </c>
      <c r="R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 s="1">
        <v>42382</v>
      </c>
      <c r="AC5599" t="s">
        <v>53</v>
      </c>
      <c r="AD5599" t="s">
        <v>53</v>
      </c>
      <c r="AK5599">
        <v>0</v>
      </c>
      <c r="AU5599" s="6">
        <v>42093</v>
      </c>
      <c r="AV5599" s="6">
        <v>42093</v>
      </c>
      <c r="AW5599" t="s">
        <v>54</v>
      </c>
      <c r="AX5599" t="str">
        <f t="shared" si="474"/>
        <v>FOR</v>
      </c>
      <c r="AY5599" t="s">
        <v>55</v>
      </c>
    </row>
    <row r="5600" spans="1:51" hidden="1">
      <c r="A5600">
        <v>102885</v>
      </c>
      <c r="B5600" t="s">
        <v>1004</v>
      </c>
      <c r="C5600" t="str">
        <f t="shared" si="475"/>
        <v>00488410010</v>
      </c>
      <c r="D5600" t="str">
        <f t="shared" si="475"/>
        <v>00488410010</v>
      </c>
      <c r="E5600" t="s">
        <v>52</v>
      </c>
      <c r="F5600">
        <v>2014</v>
      </c>
      <c r="G5600" t="s">
        <v>1066</v>
      </c>
      <c r="H5600" s="1">
        <v>41857</v>
      </c>
      <c r="I5600" s="1">
        <v>41886</v>
      </c>
      <c r="J5600" s="1">
        <v>41886</v>
      </c>
      <c r="K5600" s="1">
        <v>41976</v>
      </c>
      <c r="N5600" s="5"/>
      <c r="O5600">
        <v>129</v>
      </c>
      <c r="P5600">
        <v>117</v>
      </c>
      <c r="Q5600" s="2">
        <v>15093</v>
      </c>
      <c r="R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 s="1">
        <v>42382</v>
      </c>
      <c r="AC5600" t="s">
        <v>53</v>
      </c>
      <c r="AD5600" t="s">
        <v>53</v>
      </c>
      <c r="AK5600">
        <v>0</v>
      </c>
      <c r="AU5600" s="6">
        <v>42093</v>
      </c>
      <c r="AV5600" s="6">
        <v>42093</v>
      </c>
      <c r="AW5600" t="s">
        <v>54</v>
      </c>
      <c r="AX5600" t="str">
        <f t="shared" si="474"/>
        <v>FOR</v>
      </c>
      <c r="AY5600" t="s">
        <v>55</v>
      </c>
    </row>
    <row r="5601" spans="1:51" hidden="1">
      <c r="A5601">
        <v>102885</v>
      </c>
      <c r="B5601" t="s">
        <v>1004</v>
      </c>
      <c r="C5601" t="str">
        <f t="shared" si="475"/>
        <v>00488410010</v>
      </c>
      <c r="D5601" t="str">
        <f t="shared" si="475"/>
        <v>00488410010</v>
      </c>
      <c r="E5601" t="s">
        <v>52</v>
      </c>
      <c r="F5601">
        <v>2014</v>
      </c>
      <c r="G5601" t="s">
        <v>1067</v>
      </c>
      <c r="H5601" s="1">
        <v>41918</v>
      </c>
      <c r="I5601" s="1">
        <v>41941</v>
      </c>
      <c r="J5601" s="1">
        <v>41941</v>
      </c>
      <c r="K5601" s="1">
        <v>42001</v>
      </c>
      <c r="N5601" s="5"/>
      <c r="O5601">
        <v>130.5</v>
      </c>
      <c r="P5601">
        <v>92</v>
      </c>
      <c r="Q5601" s="2">
        <v>12006</v>
      </c>
      <c r="R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 s="1">
        <v>42382</v>
      </c>
      <c r="AC5601" t="s">
        <v>53</v>
      </c>
      <c r="AD5601" t="s">
        <v>53</v>
      </c>
      <c r="AK5601">
        <v>0</v>
      </c>
      <c r="AU5601" s="6">
        <v>42093</v>
      </c>
      <c r="AV5601" s="6">
        <v>42093</v>
      </c>
      <c r="AW5601" t="s">
        <v>54</v>
      </c>
      <c r="AX5601" t="str">
        <f t="shared" si="474"/>
        <v>FOR</v>
      </c>
      <c r="AY5601" t="s">
        <v>55</v>
      </c>
    </row>
    <row r="5602" spans="1:51" hidden="1">
      <c r="A5602">
        <v>102885</v>
      </c>
      <c r="B5602" t="s">
        <v>1004</v>
      </c>
      <c r="C5602" t="str">
        <f t="shared" si="475"/>
        <v>00488410010</v>
      </c>
      <c r="D5602" t="str">
        <f t="shared" si="475"/>
        <v>00488410010</v>
      </c>
      <c r="E5602" t="s">
        <v>52</v>
      </c>
      <c r="F5602">
        <v>2014</v>
      </c>
      <c r="G5602" t="s">
        <v>1068</v>
      </c>
      <c r="H5602" s="1">
        <v>41918</v>
      </c>
      <c r="I5602" s="1">
        <v>41941</v>
      </c>
      <c r="J5602" s="1">
        <v>41941</v>
      </c>
      <c r="K5602" s="1">
        <v>42001</v>
      </c>
      <c r="N5602" s="5"/>
      <c r="O5602">
        <v>717</v>
      </c>
      <c r="P5602">
        <v>92</v>
      </c>
      <c r="Q5602" s="2">
        <v>65964</v>
      </c>
      <c r="R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 s="1">
        <v>42382</v>
      </c>
      <c r="AC5602" t="s">
        <v>53</v>
      </c>
      <c r="AD5602" t="s">
        <v>53</v>
      </c>
      <c r="AK5602">
        <v>0</v>
      </c>
      <c r="AU5602" s="6">
        <v>42093</v>
      </c>
      <c r="AV5602" s="6">
        <v>42093</v>
      </c>
      <c r="AW5602" t="s">
        <v>54</v>
      </c>
      <c r="AX5602" t="str">
        <f t="shared" si="474"/>
        <v>FOR</v>
      </c>
      <c r="AY5602" t="s">
        <v>55</v>
      </c>
    </row>
    <row r="5603" spans="1:51" hidden="1">
      <c r="A5603">
        <v>102885</v>
      </c>
      <c r="B5603" t="s">
        <v>1004</v>
      </c>
      <c r="C5603" t="str">
        <f t="shared" si="475"/>
        <v>00488410010</v>
      </c>
      <c r="D5603" t="str">
        <f t="shared" si="475"/>
        <v>00488410010</v>
      </c>
      <c r="E5603" t="s">
        <v>52</v>
      </c>
      <c r="F5603">
        <v>2014</v>
      </c>
      <c r="G5603" t="s">
        <v>1069</v>
      </c>
      <c r="H5603" s="1">
        <v>41918</v>
      </c>
      <c r="I5603" s="1">
        <v>41942</v>
      </c>
      <c r="J5603" s="1">
        <v>41942</v>
      </c>
      <c r="K5603" s="1">
        <v>42002</v>
      </c>
      <c r="N5603" s="5"/>
      <c r="O5603" s="2">
        <v>1448</v>
      </c>
      <c r="P5603">
        <v>91</v>
      </c>
      <c r="Q5603" s="2">
        <v>131768</v>
      </c>
      <c r="R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 s="1">
        <v>42382</v>
      </c>
      <c r="AC5603" t="s">
        <v>53</v>
      </c>
      <c r="AD5603" t="s">
        <v>53</v>
      </c>
      <c r="AK5603">
        <v>0</v>
      </c>
      <c r="AU5603" s="6">
        <v>42093</v>
      </c>
      <c r="AV5603" s="6">
        <v>42093</v>
      </c>
      <c r="AW5603" t="s">
        <v>54</v>
      </c>
      <c r="AX5603" t="str">
        <f t="shared" si="474"/>
        <v>FOR</v>
      </c>
      <c r="AY5603" t="s">
        <v>55</v>
      </c>
    </row>
    <row r="5604" spans="1:51" hidden="1">
      <c r="A5604">
        <v>102885</v>
      </c>
      <c r="B5604" t="s">
        <v>1004</v>
      </c>
      <c r="C5604" t="str">
        <f t="shared" si="475"/>
        <v>00488410010</v>
      </c>
      <c r="D5604" t="str">
        <f t="shared" si="475"/>
        <v>00488410010</v>
      </c>
      <c r="E5604" t="s">
        <v>52</v>
      </c>
      <c r="F5604">
        <v>2014</v>
      </c>
      <c r="G5604" t="s">
        <v>1070</v>
      </c>
      <c r="H5604" s="1">
        <v>41918</v>
      </c>
      <c r="I5604" s="1">
        <v>41942</v>
      </c>
      <c r="J5604" s="1">
        <v>41942</v>
      </c>
      <c r="K5604" s="1">
        <v>42002</v>
      </c>
      <c r="N5604" s="5"/>
      <c r="O5604" s="2">
        <v>1617</v>
      </c>
      <c r="P5604">
        <v>91</v>
      </c>
      <c r="Q5604" s="2">
        <v>147147</v>
      </c>
      <c r="R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 s="1">
        <v>42382</v>
      </c>
      <c r="AC5604" t="s">
        <v>53</v>
      </c>
      <c r="AD5604" t="s">
        <v>53</v>
      </c>
      <c r="AK5604">
        <v>0</v>
      </c>
      <c r="AU5604" s="6">
        <v>42093</v>
      </c>
      <c r="AV5604" s="6">
        <v>42093</v>
      </c>
      <c r="AW5604" t="s">
        <v>54</v>
      </c>
      <c r="AX5604" t="str">
        <f t="shared" si="474"/>
        <v>FOR</v>
      </c>
      <c r="AY5604" t="s">
        <v>55</v>
      </c>
    </row>
    <row r="5605" spans="1:51" hidden="1">
      <c r="A5605">
        <v>102885</v>
      </c>
      <c r="B5605" t="s">
        <v>1004</v>
      </c>
      <c r="C5605" t="str">
        <f t="shared" si="475"/>
        <v>00488410010</v>
      </c>
      <c r="D5605" t="str">
        <f t="shared" si="475"/>
        <v>00488410010</v>
      </c>
      <c r="E5605" t="s">
        <v>52</v>
      </c>
      <c r="F5605">
        <v>2014</v>
      </c>
      <c r="G5605" t="s">
        <v>1071</v>
      </c>
      <c r="H5605" s="1">
        <v>41918</v>
      </c>
      <c r="I5605" s="1">
        <v>41942</v>
      </c>
      <c r="J5605" s="1">
        <v>41942</v>
      </c>
      <c r="K5605" s="1">
        <v>42002</v>
      </c>
      <c r="N5605" s="5"/>
      <c r="O5605">
        <v>56.5</v>
      </c>
      <c r="P5605">
        <v>91</v>
      </c>
      <c r="Q5605" s="2">
        <v>5141.5</v>
      </c>
      <c r="R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 s="1">
        <v>42382</v>
      </c>
      <c r="AC5605" t="s">
        <v>53</v>
      </c>
      <c r="AD5605" t="s">
        <v>53</v>
      </c>
      <c r="AK5605">
        <v>0</v>
      </c>
      <c r="AU5605" s="6">
        <v>42093</v>
      </c>
      <c r="AV5605" s="6">
        <v>42093</v>
      </c>
      <c r="AW5605" t="s">
        <v>54</v>
      </c>
      <c r="AX5605" t="str">
        <f t="shared" si="474"/>
        <v>FOR</v>
      </c>
      <c r="AY5605" t="s">
        <v>55</v>
      </c>
    </row>
    <row r="5606" spans="1:51" hidden="1">
      <c r="A5606">
        <v>102885</v>
      </c>
      <c r="B5606" t="s">
        <v>1004</v>
      </c>
      <c r="C5606" t="str">
        <f t="shared" si="475"/>
        <v>00488410010</v>
      </c>
      <c r="D5606" t="str">
        <f t="shared" si="475"/>
        <v>00488410010</v>
      </c>
      <c r="E5606" t="s">
        <v>52</v>
      </c>
      <c r="F5606">
        <v>2014</v>
      </c>
      <c r="G5606" t="s">
        <v>1072</v>
      </c>
      <c r="H5606" s="1">
        <v>41918</v>
      </c>
      <c r="I5606" s="1">
        <v>41942</v>
      </c>
      <c r="J5606" s="1">
        <v>41942</v>
      </c>
      <c r="K5606" s="1">
        <v>42002</v>
      </c>
      <c r="N5606" s="5"/>
      <c r="O5606">
        <v>56.5</v>
      </c>
      <c r="P5606">
        <v>91</v>
      </c>
      <c r="Q5606" s="2">
        <v>5141.5</v>
      </c>
      <c r="R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 s="1">
        <v>42382</v>
      </c>
      <c r="AC5606" t="s">
        <v>53</v>
      </c>
      <c r="AD5606" t="s">
        <v>53</v>
      </c>
      <c r="AK5606">
        <v>0</v>
      </c>
      <c r="AU5606" s="6">
        <v>42093</v>
      </c>
      <c r="AV5606" s="6">
        <v>42093</v>
      </c>
      <c r="AW5606" t="s">
        <v>54</v>
      </c>
      <c r="AX5606" t="str">
        <f t="shared" si="474"/>
        <v>FOR</v>
      </c>
      <c r="AY5606" t="s">
        <v>55</v>
      </c>
    </row>
    <row r="5607" spans="1:51" hidden="1">
      <c r="A5607">
        <v>102885</v>
      </c>
      <c r="B5607" t="s">
        <v>1004</v>
      </c>
      <c r="C5607" t="str">
        <f t="shared" si="475"/>
        <v>00488410010</v>
      </c>
      <c r="D5607" t="str">
        <f t="shared" si="475"/>
        <v>00488410010</v>
      </c>
      <c r="E5607" t="s">
        <v>52</v>
      </c>
      <c r="F5607">
        <v>2014</v>
      </c>
      <c r="G5607" t="s">
        <v>1073</v>
      </c>
      <c r="H5607" s="1">
        <v>41918</v>
      </c>
      <c r="I5607" s="1">
        <v>41942</v>
      </c>
      <c r="J5607" s="1">
        <v>41942</v>
      </c>
      <c r="K5607" s="1">
        <v>42002</v>
      </c>
      <c r="N5607" s="5"/>
      <c r="O5607">
        <v>63</v>
      </c>
      <c r="P5607">
        <v>91</v>
      </c>
      <c r="Q5607" s="2">
        <v>5733</v>
      </c>
      <c r="R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 s="1">
        <v>42382</v>
      </c>
      <c r="AC5607" t="s">
        <v>53</v>
      </c>
      <c r="AD5607" t="s">
        <v>53</v>
      </c>
      <c r="AK5607">
        <v>0</v>
      </c>
      <c r="AU5607" s="6">
        <v>42093</v>
      </c>
      <c r="AV5607" s="6">
        <v>42093</v>
      </c>
      <c r="AW5607" t="s">
        <v>54</v>
      </c>
      <c r="AX5607" t="str">
        <f t="shared" si="474"/>
        <v>FOR</v>
      </c>
      <c r="AY5607" t="s">
        <v>55</v>
      </c>
    </row>
    <row r="5608" spans="1:51" hidden="1">
      <c r="A5608">
        <v>102885</v>
      </c>
      <c r="B5608" t="s">
        <v>1004</v>
      </c>
      <c r="C5608" t="str">
        <f t="shared" si="475"/>
        <v>00488410010</v>
      </c>
      <c r="D5608" t="str">
        <f t="shared" si="475"/>
        <v>00488410010</v>
      </c>
      <c r="E5608" t="s">
        <v>52</v>
      </c>
      <c r="F5608">
        <v>2014</v>
      </c>
      <c r="G5608" t="s">
        <v>1074</v>
      </c>
      <c r="H5608" s="1">
        <v>41918</v>
      </c>
      <c r="I5608" s="1">
        <v>41942</v>
      </c>
      <c r="J5608" s="1">
        <v>41942</v>
      </c>
      <c r="K5608" s="1">
        <v>42002</v>
      </c>
      <c r="N5608" s="5"/>
      <c r="O5608">
        <v>241.5</v>
      </c>
      <c r="P5608">
        <v>91</v>
      </c>
      <c r="Q5608" s="2">
        <v>21976.5</v>
      </c>
      <c r="R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 s="1">
        <v>42382</v>
      </c>
      <c r="AC5608" t="s">
        <v>53</v>
      </c>
      <c r="AD5608" t="s">
        <v>53</v>
      </c>
      <c r="AK5608">
        <v>0</v>
      </c>
      <c r="AU5608" s="6">
        <v>42093</v>
      </c>
      <c r="AV5608" s="6">
        <v>42093</v>
      </c>
      <c r="AW5608" t="s">
        <v>54</v>
      </c>
      <c r="AX5608" t="str">
        <f t="shared" si="474"/>
        <v>FOR</v>
      </c>
      <c r="AY5608" t="s">
        <v>55</v>
      </c>
    </row>
    <row r="5609" spans="1:51" hidden="1">
      <c r="A5609">
        <v>102885</v>
      </c>
      <c r="B5609" t="s">
        <v>1004</v>
      </c>
      <c r="C5609" t="str">
        <f t="shared" si="475"/>
        <v>00488410010</v>
      </c>
      <c r="D5609" t="str">
        <f t="shared" si="475"/>
        <v>00488410010</v>
      </c>
      <c r="E5609" t="s">
        <v>52</v>
      </c>
      <c r="F5609">
        <v>2014</v>
      </c>
      <c r="G5609" t="s">
        <v>1075</v>
      </c>
      <c r="H5609" s="1">
        <v>41918</v>
      </c>
      <c r="I5609" s="1">
        <v>41942</v>
      </c>
      <c r="J5609" s="1">
        <v>41942</v>
      </c>
      <c r="K5609" s="1">
        <v>42002</v>
      </c>
      <c r="N5609" s="5"/>
      <c r="O5609">
        <v>56.5</v>
      </c>
      <c r="P5609">
        <v>91</v>
      </c>
      <c r="Q5609" s="2">
        <v>5141.5</v>
      </c>
      <c r="R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 s="1">
        <v>42382</v>
      </c>
      <c r="AC5609" t="s">
        <v>53</v>
      </c>
      <c r="AD5609" t="s">
        <v>53</v>
      </c>
      <c r="AK5609">
        <v>0</v>
      </c>
      <c r="AU5609" s="6">
        <v>42093</v>
      </c>
      <c r="AV5609" s="6">
        <v>42093</v>
      </c>
      <c r="AW5609" t="s">
        <v>54</v>
      </c>
      <c r="AX5609" t="str">
        <f t="shared" si="474"/>
        <v>FOR</v>
      </c>
      <c r="AY5609" t="s">
        <v>55</v>
      </c>
    </row>
    <row r="5610" spans="1:51" hidden="1">
      <c r="A5610">
        <v>102885</v>
      </c>
      <c r="B5610" t="s">
        <v>1004</v>
      </c>
      <c r="C5610" t="str">
        <f t="shared" si="475"/>
        <v>00488410010</v>
      </c>
      <c r="D5610" t="str">
        <f t="shared" si="475"/>
        <v>00488410010</v>
      </c>
      <c r="E5610" t="s">
        <v>52</v>
      </c>
      <c r="F5610">
        <v>2014</v>
      </c>
      <c r="G5610" t="s">
        <v>1076</v>
      </c>
      <c r="H5610" s="1">
        <v>41978</v>
      </c>
      <c r="I5610" s="1">
        <v>42002</v>
      </c>
      <c r="J5610" s="1">
        <v>42002</v>
      </c>
      <c r="K5610" s="1">
        <v>42062</v>
      </c>
      <c r="N5610" s="5"/>
      <c r="O5610">
        <v>75</v>
      </c>
      <c r="P5610">
        <v>31</v>
      </c>
      <c r="Q5610" s="2">
        <v>2325</v>
      </c>
      <c r="R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 s="1">
        <v>42382</v>
      </c>
      <c r="AC5610" t="s">
        <v>53</v>
      </c>
      <c r="AD5610" t="s">
        <v>53</v>
      </c>
      <c r="AK5610">
        <v>0</v>
      </c>
      <c r="AU5610" s="6">
        <v>42093</v>
      </c>
      <c r="AV5610" s="6">
        <v>42093</v>
      </c>
      <c r="AW5610" t="s">
        <v>54</v>
      </c>
      <c r="AX5610" t="str">
        <f t="shared" si="474"/>
        <v>FOR</v>
      </c>
      <c r="AY5610" t="s">
        <v>55</v>
      </c>
    </row>
    <row r="5611" spans="1:51" hidden="1">
      <c r="A5611">
        <v>102885</v>
      </c>
      <c r="B5611" t="s">
        <v>1004</v>
      </c>
      <c r="C5611" t="str">
        <f t="shared" ref="C5611:D5630" si="476">"00488410010"</f>
        <v>00488410010</v>
      </c>
      <c r="D5611" t="str">
        <f t="shared" si="476"/>
        <v>00488410010</v>
      </c>
      <c r="E5611" t="s">
        <v>52</v>
      </c>
      <c r="F5611">
        <v>2014</v>
      </c>
      <c r="G5611" t="s">
        <v>1077</v>
      </c>
      <c r="H5611" s="1">
        <v>41978</v>
      </c>
      <c r="I5611" s="1">
        <v>42002</v>
      </c>
      <c r="J5611" s="1">
        <v>42002</v>
      </c>
      <c r="K5611" s="1">
        <v>42062</v>
      </c>
      <c r="N5611" s="5"/>
      <c r="O5611">
        <v>68.5</v>
      </c>
      <c r="P5611">
        <v>31</v>
      </c>
      <c r="Q5611" s="2">
        <v>2123.5</v>
      </c>
      <c r="R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 s="1">
        <v>42382</v>
      </c>
      <c r="AC5611" t="s">
        <v>53</v>
      </c>
      <c r="AD5611" t="s">
        <v>53</v>
      </c>
      <c r="AK5611">
        <v>0</v>
      </c>
      <c r="AU5611" s="6">
        <v>42093</v>
      </c>
      <c r="AV5611" s="6">
        <v>42093</v>
      </c>
      <c r="AW5611" t="s">
        <v>54</v>
      </c>
      <c r="AX5611" t="str">
        <f t="shared" si="474"/>
        <v>FOR</v>
      </c>
      <c r="AY5611" t="s">
        <v>55</v>
      </c>
    </row>
    <row r="5612" spans="1:51" hidden="1">
      <c r="A5612">
        <v>102885</v>
      </c>
      <c r="B5612" t="s">
        <v>1004</v>
      </c>
      <c r="C5612" t="str">
        <f t="shared" si="476"/>
        <v>00488410010</v>
      </c>
      <c r="D5612" t="str">
        <f t="shared" si="476"/>
        <v>00488410010</v>
      </c>
      <c r="E5612" t="s">
        <v>52</v>
      </c>
      <c r="F5612">
        <v>2014</v>
      </c>
      <c r="G5612" t="s">
        <v>1078</v>
      </c>
      <c r="H5612" s="1">
        <v>41978</v>
      </c>
      <c r="I5612" s="1">
        <v>42002</v>
      </c>
      <c r="J5612" s="1">
        <v>42002</v>
      </c>
      <c r="K5612" s="1">
        <v>42062</v>
      </c>
      <c r="N5612" s="5"/>
      <c r="O5612">
        <v>223.5</v>
      </c>
      <c r="P5612">
        <v>31</v>
      </c>
      <c r="Q5612" s="2">
        <v>6928.5</v>
      </c>
      <c r="R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 s="1">
        <v>42382</v>
      </c>
      <c r="AC5612" t="s">
        <v>53</v>
      </c>
      <c r="AD5612" t="s">
        <v>53</v>
      </c>
      <c r="AK5612">
        <v>0</v>
      </c>
      <c r="AU5612" s="6">
        <v>42093</v>
      </c>
      <c r="AV5612" s="6">
        <v>42093</v>
      </c>
      <c r="AW5612" t="s">
        <v>54</v>
      </c>
      <c r="AX5612" t="str">
        <f t="shared" si="474"/>
        <v>FOR</v>
      </c>
      <c r="AY5612" t="s">
        <v>55</v>
      </c>
    </row>
    <row r="5613" spans="1:51" hidden="1">
      <c r="A5613">
        <v>102885</v>
      </c>
      <c r="B5613" t="s">
        <v>1004</v>
      </c>
      <c r="C5613" t="str">
        <f t="shared" si="476"/>
        <v>00488410010</v>
      </c>
      <c r="D5613" t="str">
        <f t="shared" si="476"/>
        <v>00488410010</v>
      </c>
      <c r="E5613" t="s">
        <v>52</v>
      </c>
      <c r="F5613">
        <v>2014</v>
      </c>
      <c r="G5613" t="s">
        <v>1079</v>
      </c>
      <c r="H5613" s="1">
        <v>41978</v>
      </c>
      <c r="I5613" s="1">
        <v>42002</v>
      </c>
      <c r="J5613" s="1">
        <v>42002</v>
      </c>
      <c r="K5613" s="1">
        <v>42062</v>
      </c>
      <c r="N5613" s="5"/>
      <c r="O5613" s="2">
        <v>1637.5</v>
      </c>
      <c r="P5613">
        <v>31</v>
      </c>
      <c r="Q5613" s="2">
        <v>50762.5</v>
      </c>
      <c r="R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 s="1">
        <v>42382</v>
      </c>
      <c r="AC5613" t="s">
        <v>53</v>
      </c>
      <c r="AD5613" t="s">
        <v>53</v>
      </c>
      <c r="AK5613">
        <v>0</v>
      </c>
      <c r="AU5613" s="6">
        <v>42093</v>
      </c>
      <c r="AV5613" s="6">
        <v>42093</v>
      </c>
      <c r="AW5613" t="s">
        <v>54</v>
      </c>
      <c r="AX5613" t="str">
        <f t="shared" si="474"/>
        <v>FOR</v>
      </c>
      <c r="AY5613" t="s">
        <v>55</v>
      </c>
    </row>
    <row r="5614" spans="1:51" hidden="1">
      <c r="A5614">
        <v>102885</v>
      </c>
      <c r="B5614" t="s">
        <v>1004</v>
      </c>
      <c r="C5614" t="str">
        <f t="shared" si="476"/>
        <v>00488410010</v>
      </c>
      <c r="D5614" t="str">
        <f t="shared" si="476"/>
        <v>00488410010</v>
      </c>
      <c r="E5614" t="s">
        <v>52</v>
      </c>
      <c r="F5614">
        <v>2014</v>
      </c>
      <c r="G5614" t="s">
        <v>1080</v>
      </c>
      <c r="H5614" s="1">
        <v>41978</v>
      </c>
      <c r="I5614" s="1">
        <v>42002</v>
      </c>
      <c r="J5614" s="1">
        <v>42002</v>
      </c>
      <c r="K5614" s="1">
        <v>42062</v>
      </c>
      <c r="N5614" s="5"/>
      <c r="O5614">
        <v>68.5</v>
      </c>
      <c r="P5614">
        <v>31</v>
      </c>
      <c r="Q5614" s="2">
        <v>2123.5</v>
      </c>
      <c r="R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 s="1">
        <v>42382</v>
      </c>
      <c r="AC5614" t="s">
        <v>53</v>
      </c>
      <c r="AD5614" t="s">
        <v>53</v>
      </c>
      <c r="AK5614">
        <v>0</v>
      </c>
      <c r="AU5614" s="6">
        <v>42093</v>
      </c>
      <c r="AV5614" s="6">
        <v>42093</v>
      </c>
      <c r="AW5614" t="s">
        <v>54</v>
      </c>
      <c r="AX5614" t="str">
        <f t="shared" si="474"/>
        <v>FOR</v>
      </c>
      <c r="AY5614" t="s">
        <v>55</v>
      </c>
    </row>
    <row r="5615" spans="1:51" hidden="1">
      <c r="A5615">
        <v>102885</v>
      </c>
      <c r="B5615" t="s">
        <v>1004</v>
      </c>
      <c r="C5615" t="str">
        <f t="shared" si="476"/>
        <v>00488410010</v>
      </c>
      <c r="D5615" t="str">
        <f t="shared" si="476"/>
        <v>00488410010</v>
      </c>
      <c r="E5615" t="s">
        <v>52</v>
      </c>
      <c r="F5615">
        <v>2014</v>
      </c>
      <c r="G5615" t="s">
        <v>1081</v>
      </c>
      <c r="H5615" s="1">
        <v>41978</v>
      </c>
      <c r="I5615" s="1">
        <v>42002</v>
      </c>
      <c r="J5615" s="1">
        <v>42002</v>
      </c>
      <c r="K5615" s="1">
        <v>42062</v>
      </c>
      <c r="N5615" s="5"/>
      <c r="O5615">
        <v>68.5</v>
      </c>
      <c r="P5615">
        <v>31</v>
      </c>
      <c r="Q5615" s="2">
        <v>2123.5</v>
      </c>
      <c r="R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 s="1">
        <v>42382</v>
      </c>
      <c r="AC5615" t="s">
        <v>53</v>
      </c>
      <c r="AD5615" t="s">
        <v>53</v>
      </c>
      <c r="AK5615">
        <v>0</v>
      </c>
      <c r="AU5615" s="6">
        <v>42093</v>
      </c>
      <c r="AV5615" s="6">
        <v>42093</v>
      </c>
      <c r="AW5615" t="s">
        <v>54</v>
      </c>
      <c r="AX5615" t="str">
        <f t="shared" si="474"/>
        <v>FOR</v>
      </c>
      <c r="AY5615" t="s">
        <v>55</v>
      </c>
    </row>
    <row r="5616" spans="1:51" hidden="1">
      <c r="A5616">
        <v>102885</v>
      </c>
      <c r="B5616" t="s">
        <v>1004</v>
      </c>
      <c r="C5616" t="str">
        <f t="shared" si="476"/>
        <v>00488410010</v>
      </c>
      <c r="D5616" t="str">
        <f t="shared" si="476"/>
        <v>00488410010</v>
      </c>
      <c r="E5616" t="s">
        <v>52</v>
      </c>
      <c r="F5616">
        <v>2014</v>
      </c>
      <c r="G5616" t="s">
        <v>1082</v>
      </c>
      <c r="H5616" s="1">
        <v>41978</v>
      </c>
      <c r="I5616" s="1">
        <v>42002</v>
      </c>
      <c r="J5616" s="1">
        <v>42002</v>
      </c>
      <c r="K5616" s="1">
        <v>42062</v>
      </c>
      <c r="N5616" s="5"/>
      <c r="O5616" s="2">
        <v>1448.5</v>
      </c>
      <c r="P5616">
        <v>31</v>
      </c>
      <c r="Q5616" s="2">
        <v>44903.5</v>
      </c>
      <c r="R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 s="1">
        <v>42382</v>
      </c>
      <c r="AC5616" t="s">
        <v>53</v>
      </c>
      <c r="AD5616" t="s">
        <v>53</v>
      </c>
      <c r="AK5616">
        <v>0</v>
      </c>
      <c r="AU5616" s="6">
        <v>42093</v>
      </c>
      <c r="AV5616" s="6">
        <v>42093</v>
      </c>
      <c r="AW5616" t="s">
        <v>54</v>
      </c>
      <c r="AX5616" t="str">
        <f t="shared" si="474"/>
        <v>FOR</v>
      </c>
      <c r="AY5616" t="s">
        <v>55</v>
      </c>
    </row>
    <row r="5617" spans="1:51">
      <c r="A5617">
        <v>102885</v>
      </c>
      <c r="B5617" t="s">
        <v>1004</v>
      </c>
      <c r="C5617" t="str">
        <f t="shared" si="476"/>
        <v>00488410010</v>
      </c>
      <c r="D5617" t="str">
        <f t="shared" si="476"/>
        <v>00488410010</v>
      </c>
      <c r="E5617" t="s">
        <v>52</v>
      </c>
      <c r="F5617">
        <v>2014</v>
      </c>
      <c r="G5617" t="s">
        <v>1083</v>
      </c>
      <c r="H5617" s="1">
        <v>41978</v>
      </c>
      <c r="I5617" s="1">
        <v>42257</v>
      </c>
      <c r="J5617" s="1">
        <v>42257</v>
      </c>
      <c r="K5617" s="1">
        <v>42317</v>
      </c>
      <c r="L5617" s="7">
        <v>132.5</v>
      </c>
      <c r="M5617" s="5">
        <v>-34</v>
      </c>
      <c r="N5617" s="7">
        <v>-4505</v>
      </c>
      <c r="O5617">
        <v>132.5</v>
      </c>
      <c r="P5617">
        <v>-34</v>
      </c>
      <c r="Q5617" s="2">
        <v>-4505</v>
      </c>
      <c r="R5617">
        <v>0</v>
      </c>
      <c r="V5617">
        <v>0</v>
      </c>
      <c r="W5617">
        <v>0</v>
      </c>
      <c r="X5617">
        <v>0</v>
      </c>
      <c r="Y5617">
        <v>0</v>
      </c>
      <c r="Z5617">
        <v>132.5</v>
      </c>
      <c r="AA5617">
        <v>0</v>
      </c>
      <c r="AB5617" s="1">
        <v>42382</v>
      </c>
      <c r="AC5617" t="s">
        <v>53</v>
      </c>
      <c r="AD5617" t="s">
        <v>53</v>
      </c>
      <c r="AK5617">
        <v>0</v>
      </c>
      <c r="AU5617" s="6">
        <v>42283</v>
      </c>
      <c r="AV5617" s="6">
        <v>42283</v>
      </c>
      <c r="AW5617" t="s">
        <v>54</v>
      </c>
      <c r="AX5617" t="str">
        <f t="shared" si="474"/>
        <v>FOR</v>
      </c>
      <c r="AY5617" t="s">
        <v>55</v>
      </c>
    </row>
    <row r="5618" spans="1:51" hidden="1">
      <c r="A5618">
        <v>102885</v>
      </c>
      <c r="B5618" t="s">
        <v>1004</v>
      </c>
      <c r="C5618" t="str">
        <f t="shared" si="476"/>
        <v>00488410010</v>
      </c>
      <c r="D5618" t="str">
        <f t="shared" si="476"/>
        <v>00488410010</v>
      </c>
      <c r="E5618" t="s">
        <v>52</v>
      </c>
      <c r="F5618">
        <v>2014</v>
      </c>
      <c r="G5618" t="s">
        <v>1084</v>
      </c>
      <c r="H5618" s="1">
        <v>41978</v>
      </c>
      <c r="I5618" s="1">
        <v>42004</v>
      </c>
      <c r="J5618" s="1">
        <v>42004</v>
      </c>
      <c r="K5618" s="1">
        <v>42064</v>
      </c>
      <c r="N5618" s="5"/>
      <c r="O5618">
        <v>696</v>
      </c>
      <c r="P5618">
        <v>29</v>
      </c>
      <c r="Q5618" s="2">
        <v>20184</v>
      </c>
      <c r="R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 s="1">
        <v>42382</v>
      </c>
      <c r="AC5618" t="s">
        <v>53</v>
      </c>
      <c r="AD5618" t="s">
        <v>53</v>
      </c>
      <c r="AK5618">
        <v>0</v>
      </c>
      <c r="AU5618" s="6">
        <v>42093</v>
      </c>
      <c r="AV5618" s="6">
        <v>42093</v>
      </c>
      <c r="AW5618" t="s">
        <v>54</v>
      </c>
      <c r="AX5618" t="str">
        <f t="shared" si="474"/>
        <v>FOR</v>
      </c>
      <c r="AY5618" t="s">
        <v>55</v>
      </c>
    </row>
    <row r="5619" spans="1:51" hidden="1">
      <c r="A5619">
        <v>102885</v>
      </c>
      <c r="B5619" t="s">
        <v>1004</v>
      </c>
      <c r="C5619" t="str">
        <f t="shared" si="476"/>
        <v>00488410010</v>
      </c>
      <c r="D5619" t="str">
        <f t="shared" si="476"/>
        <v>00488410010</v>
      </c>
      <c r="E5619" t="s">
        <v>52</v>
      </c>
      <c r="F5619">
        <v>2015</v>
      </c>
      <c r="G5619">
        <v>2008</v>
      </c>
      <c r="H5619" s="1">
        <v>42040</v>
      </c>
      <c r="I5619" s="1">
        <v>42073</v>
      </c>
      <c r="J5619" s="1">
        <v>42073</v>
      </c>
      <c r="K5619" s="1">
        <v>42133</v>
      </c>
      <c r="N5619" s="5"/>
      <c r="O5619" s="2">
        <v>11229.69</v>
      </c>
      <c r="P5619">
        <v>-3</v>
      </c>
      <c r="Q5619" s="2">
        <v>-33689.07</v>
      </c>
      <c r="R5619">
        <v>0</v>
      </c>
      <c r="V5619">
        <v>0</v>
      </c>
      <c r="W5619">
        <v>0</v>
      </c>
      <c r="X5619">
        <v>0</v>
      </c>
      <c r="Y5619" s="2">
        <v>13579</v>
      </c>
      <c r="Z5619" s="2">
        <v>13579</v>
      </c>
      <c r="AA5619" s="2">
        <v>13579</v>
      </c>
      <c r="AB5619" s="1">
        <v>42382</v>
      </c>
      <c r="AC5619" t="s">
        <v>53</v>
      </c>
      <c r="AD5619" t="s">
        <v>53</v>
      </c>
      <c r="AK5619">
        <v>0</v>
      </c>
      <c r="AU5619" s="6">
        <v>42130</v>
      </c>
      <c r="AV5619" s="6">
        <v>42130</v>
      </c>
      <c r="AW5619" t="s">
        <v>54</v>
      </c>
      <c r="AX5619" t="str">
        <f t="shared" si="474"/>
        <v>FOR</v>
      </c>
      <c r="AY5619" t="s">
        <v>55</v>
      </c>
    </row>
    <row r="5620" spans="1:51" hidden="1">
      <c r="A5620">
        <v>102885</v>
      </c>
      <c r="B5620" t="s">
        <v>1004</v>
      </c>
      <c r="C5620" t="str">
        <f t="shared" si="476"/>
        <v>00488410010</v>
      </c>
      <c r="D5620" t="str">
        <f t="shared" si="476"/>
        <v>00488410010</v>
      </c>
      <c r="E5620" t="s">
        <v>52</v>
      </c>
      <c r="F5620">
        <v>2015</v>
      </c>
      <c r="G5620" t="s">
        <v>1085</v>
      </c>
      <c r="H5620" s="1">
        <v>42040</v>
      </c>
      <c r="I5620" s="1">
        <v>42067</v>
      </c>
      <c r="J5620" s="1">
        <v>42067</v>
      </c>
      <c r="K5620" s="1">
        <v>42127</v>
      </c>
      <c r="N5620" s="5"/>
      <c r="O5620">
        <v>2.39</v>
      </c>
      <c r="P5620">
        <v>3</v>
      </c>
      <c r="Q5620">
        <v>7.17</v>
      </c>
      <c r="R5620">
        <v>0</v>
      </c>
      <c r="V5620">
        <v>0</v>
      </c>
      <c r="W5620">
        <v>0</v>
      </c>
      <c r="X5620">
        <v>0</v>
      </c>
      <c r="Y5620">
        <v>3</v>
      </c>
      <c r="Z5620">
        <v>3</v>
      </c>
      <c r="AA5620">
        <v>3</v>
      </c>
      <c r="AB5620" s="1">
        <v>42382</v>
      </c>
      <c r="AC5620" t="s">
        <v>53</v>
      </c>
      <c r="AD5620" t="s">
        <v>53</v>
      </c>
      <c r="AK5620">
        <v>0</v>
      </c>
      <c r="AU5620" s="6">
        <v>42130</v>
      </c>
      <c r="AV5620" s="6">
        <v>42130</v>
      </c>
      <c r="AW5620" t="s">
        <v>54</v>
      </c>
      <c r="AX5620" t="str">
        <f t="shared" si="474"/>
        <v>FOR</v>
      </c>
      <c r="AY5620" t="s">
        <v>55</v>
      </c>
    </row>
    <row r="5621" spans="1:51" hidden="1">
      <c r="A5621">
        <v>102885</v>
      </c>
      <c r="B5621" t="s">
        <v>1004</v>
      </c>
      <c r="C5621" t="str">
        <f t="shared" si="476"/>
        <v>00488410010</v>
      </c>
      <c r="D5621" t="str">
        <f t="shared" si="476"/>
        <v>00488410010</v>
      </c>
      <c r="E5621" t="s">
        <v>52</v>
      </c>
      <c r="F5621">
        <v>2015</v>
      </c>
      <c r="G5621" t="s">
        <v>1086</v>
      </c>
      <c r="H5621" s="1">
        <v>42222</v>
      </c>
      <c r="I5621" s="1">
        <v>42234</v>
      </c>
      <c r="J5621" s="1">
        <v>42234</v>
      </c>
      <c r="K5621" s="1">
        <v>42294</v>
      </c>
      <c r="N5621" s="5"/>
      <c r="O5621">
        <v>4.95</v>
      </c>
      <c r="P5621">
        <v>-17</v>
      </c>
      <c r="Q5621">
        <v>-84.15</v>
      </c>
      <c r="R5621">
        <v>0</v>
      </c>
      <c r="V5621">
        <v>0</v>
      </c>
      <c r="W5621">
        <v>0</v>
      </c>
      <c r="X5621">
        <v>0</v>
      </c>
      <c r="Y5621">
        <v>4.95</v>
      </c>
      <c r="Z5621">
        <v>4.95</v>
      </c>
      <c r="AA5621">
        <v>4.95</v>
      </c>
      <c r="AB5621" s="1">
        <v>42382</v>
      </c>
      <c r="AC5621" t="s">
        <v>53</v>
      </c>
      <c r="AD5621" t="s">
        <v>53</v>
      </c>
      <c r="AK5621">
        <v>0</v>
      </c>
      <c r="AU5621" s="6">
        <v>42277</v>
      </c>
      <c r="AV5621" s="6">
        <v>42277</v>
      </c>
      <c r="AW5621" t="s">
        <v>54</v>
      </c>
      <c r="AX5621" t="str">
        <f t="shared" si="474"/>
        <v>FOR</v>
      </c>
      <c r="AY5621" t="s">
        <v>55</v>
      </c>
    </row>
    <row r="5622" spans="1:51" hidden="1">
      <c r="A5622">
        <v>102885</v>
      </c>
      <c r="B5622" t="s">
        <v>1004</v>
      </c>
      <c r="C5622" t="str">
        <f t="shared" si="476"/>
        <v>00488410010</v>
      </c>
      <c r="D5622" t="str">
        <f t="shared" si="476"/>
        <v>00488410010</v>
      </c>
      <c r="E5622" t="s">
        <v>52</v>
      </c>
      <c r="F5622">
        <v>2015</v>
      </c>
      <c r="G5622" t="s">
        <v>1087</v>
      </c>
      <c r="H5622" s="1">
        <v>42040</v>
      </c>
      <c r="I5622" s="1">
        <v>42060</v>
      </c>
      <c r="J5622" s="1">
        <v>42060</v>
      </c>
      <c r="K5622" s="1">
        <v>42120</v>
      </c>
      <c r="N5622" s="5"/>
      <c r="O5622">
        <v>46.88</v>
      </c>
      <c r="P5622">
        <v>10</v>
      </c>
      <c r="Q5622">
        <v>468.8</v>
      </c>
      <c r="R5622">
        <v>0</v>
      </c>
      <c r="V5622">
        <v>0</v>
      </c>
      <c r="W5622">
        <v>0</v>
      </c>
      <c r="X5622">
        <v>0</v>
      </c>
      <c r="Y5622">
        <v>56.5</v>
      </c>
      <c r="Z5622">
        <v>56.5</v>
      </c>
      <c r="AA5622">
        <v>56.5</v>
      </c>
      <c r="AB5622" s="1">
        <v>42382</v>
      </c>
      <c r="AC5622" t="s">
        <v>53</v>
      </c>
      <c r="AD5622" t="s">
        <v>53</v>
      </c>
      <c r="AK5622">
        <v>0</v>
      </c>
      <c r="AU5622" s="6">
        <v>42130</v>
      </c>
      <c r="AV5622" s="6">
        <v>42130</v>
      </c>
      <c r="AW5622" t="s">
        <v>54</v>
      </c>
      <c r="AX5622" t="str">
        <f t="shared" si="474"/>
        <v>FOR</v>
      </c>
      <c r="AY5622" t="s">
        <v>55</v>
      </c>
    </row>
    <row r="5623" spans="1:51" hidden="1">
      <c r="A5623">
        <v>102885</v>
      </c>
      <c r="B5623" t="s">
        <v>1004</v>
      </c>
      <c r="C5623" t="str">
        <f t="shared" si="476"/>
        <v>00488410010</v>
      </c>
      <c r="D5623" t="str">
        <f t="shared" si="476"/>
        <v>00488410010</v>
      </c>
      <c r="E5623" t="s">
        <v>52</v>
      </c>
      <c r="F5623">
        <v>2015</v>
      </c>
      <c r="G5623" t="s">
        <v>1088</v>
      </c>
      <c r="H5623" s="1">
        <v>42040</v>
      </c>
      <c r="I5623" s="1">
        <v>42060</v>
      </c>
      <c r="J5623" s="1">
        <v>42060</v>
      </c>
      <c r="K5623" s="1">
        <v>42120</v>
      </c>
      <c r="N5623" s="5"/>
      <c r="O5623" s="2">
        <v>1356.22</v>
      </c>
      <c r="P5623">
        <v>10</v>
      </c>
      <c r="Q5623" s="2">
        <v>13562.2</v>
      </c>
      <c r="R5623">
        <v>0</v>
      </c>
      <c r="V5623">
        <v>0</v>
      </c>
      <c r="W5623">
        <v>0</v>
      </c>
      <c r="X5623">
        <v>0</v>
      </c>
      <c r="Y5623" s="2">
        <v>1642.5</v>
      </c>
      <c r="Z5623" s="2">
        <v>1642.5</v>
      </c>
      <c r="AA5623" s="2">
        <v>1642.5</v>
      </c>
      <c r="AB5623" s="1">
        <v>42382</v>
      </c>
      <c r="AC5623" t="s">
        <v>53</v>
      </c>
      <c r="AD5623" t="s">
        <v>53</v>
      </c>
      <c r="AK5623">
        <v>0</v>
      </c>
      <c r="AU5623" s="6">
        <v>42130</v>
      </c>
      <c r="AV5623" s="6">
        <v>42130</v>
      </c>
      <c r="AW5623" t="s">
        <v>54</v>
      </c>
      <c r="AX5623" t="str">
        <f t="shared" si="474"/>
        <v>FOR</v>
      </c>
      <c r="AY5623" t="s">
        <v>55</v>
      </c>
    </row>
    <row r="5624" spans="1:51" hidden="1">
      <c r="A5624">
        <v>102885</v>
      </c>
      <c r="B5624" t="s">
        <v>1004</v>
      </c>
      <c r="C5624" t="str">
        <f t="shared" si="476"/>
        <v>00488410010</v>
      </c>
      <c r="D5624" t="str">
        <f t="shared" si="476"/>
        <v>00488410010</v>
      </c>
      <c r="E5624" t="s">
        <v>52</v>
      </c>
      <c r="F5624">
        <v>2015</v>
      </c>
      <c r="G5624" t="s">
        <v>1089</v>
      </c>
      <c r="H5624" s="1">
        <v>42040</v>
      </c>
      <c r="I5624" s="1">
        <v>42060</v>
      </c>
      <c r="J5624" s="1">
        <v>42060</v>
      </c>
      <c r="K5624" s="1">
        <v>42120</v>
      </c>
      <c r="N5624" s="5"/>
      <c r="O5624" s="2">
        <v>1201.6600000000001</v>
      </c>
      <c r="P5624">
        <v>10</v>
      </c>
      <c r="Q5624" s="2">
        <v>12016.6</v>
      </c>
      <c r="R5624">
        <v>0</v>
      </c>
      <c r="V5624">
        <v>0</v>
      </c>
      <c r="W5624">
        <v>0</v>
      </c>
      <c r="X5624">
        <v>0</v>
      </c>
      <c r="Y5624" s="2">
        <v>1448</v>
      </c>
      <c r="Z5624" s="2">
        <v>1448</v>
      </c>
      <c r="AA5624" s="2">
        <v>1448</v>
      </c>
      <c r="AB5624" s="1">
        <v>42382</v>
      </c>
      <c r="AC5624" t="s">
        <v>53</v>
      </c>
      <c r="AD5624" t="s">
        <v>53</v>
      </c>
      <c r="AK5624">
        <v>0</v>
      </c>
      <c r="AU5624" s="6">
        <v>42130</v>
      </c>
      <c r="AV5624" s="6">
        <v>42130</v>
      </c>
      <c r="AW5624" t="s">
        <v>54</v>
      </c>
      <c r="AX5624" t="str">
        <f t="shared" si="474"/>
        <v>FOR</v>
      </c>
      <c r="AY5624" t="s">
        <v>55</v>
      </c>
    </row>
    <row r="5625" spans="1:51" hidden="1">
      <c r="A5625">
        <v>102885</v>
      </c>
      <c r="B5625" t="s">
        <v>1004</v>
      </c>
      <c r="C5625" t="str">
        <f t="shared" si="476"/>
        <v>00488410010</v>
      </c>
      <c r="D5625" t="str">
        <f t="shared" si="476"/>
        <v>00488410010</v>
      </c>
      <c r="E5625" t="s">
        <v>52</v>
      </c>
      <c r="F5625">
        <v>2015</v>
      </c>
      <c r="G5625" t="s">
        <v>1090</v>
      </c>
      <c r="H5625" s="1">
        <v>42040</v>
      </c>
      <c r="I5625" s="1">
        <v>42060</v>
      </c>
      <c r="J5625" s="1">
        <v>42060</v>
      </c>
      <c r="K5625" s="1">
        <v>42120</v>
      </c>
      <c r="N5625" s="5"/>
      <c r="O5625">
        <v>577.16999999999996</v>
      </c>
      <c r="P5625">
        <v>10</v>
      </c>
      <c r="Q5625" s="2">
        <v>5771.7</v>
      </c>
      <c r="R5625">
        <v>0</v>
      </c>
      <c r="V5625">
        <v>0</v>
      </c>
      <c r="W5625">
        <v>0</v>
      </c>
      <c r="X5625">
        <v>0</v>
      </c>
      <c r="Y5625">
        <v>695.5</v>
      </c>
      <c r="Z5625">
        <v>695.5</v>
      </c>
      <c r="AA5625">
        <v>695.5</v>
      </c>
      <c r="AB5625" s="1">
        <v>42382</v>
      </c>
      <c r="AC5625" t="s">
        <v>53</v>
      </c>
      <c r="AD5625" t="s">
        <v>53</v>
      </c>
      <c r="AK5625">
        <v>0</v>
      </c>
      <c r="AU5625" s="6">
        <v>42130</v>
      </c>
      <c r="AV5625" s="6">
        <v>42130</v>
      </c>
      <c r="AW5625" t="s">
        <v>54</v>
      </c>
      <c r="AX5625" t="str">
        <f t="shared" si="474"/>
        <v>FOR</v>
      </c>
      <c r="AY5625" t="s">
        <v>55</v>
      </c>
    </row>
    <row r="5626" spans="1:51" hidden="1">
      <c r="A5626">
        <v>102885</v>
      </c>
      <c r="B5626" t="s">
        <v>1004</v>
      </c>
      <c r="C5626" t="str">
        <f t="shared" si="476"/>
        <v>00488410010</v>
      </c>
      <c r="D5626" t="str">
        <f t="shared" si="476"/>
        <v>00488410010</v>
      </c>
      <c r="E5626" t="s">
        <v>52</v>
      </c>
      <c r="F5626">
        <v>2015</v>
      </c>
      <c r="G5626" t="s">
        <v>1091</v>
      </c>
      <c r="H5626" s="1">
        <v>42040</v>
      </c>
      <c r="I5626" s="1">
        <v>42060</v>
      </c>
      <c r="J5626" s="1">
        <v>42060</v>
      </c>
      <c r="K5626" s="1">
        <v>42120</v>
      </c>
      <c r="N5626" s="5"/>
      <c r="O5626">
        <v>46.88</v>
      </c>
      <c r="P5626">
        <v>10</v>
      </c>
      <c r="Q5626">
        <v>468.8</v>
      </c>
      <c r="R5626">
        <v>0</v>
      </c>
      <c r="V5626">
        <v>0</v>
      </c>
      <c r="W5626">
        <v>0</v>
      </c>
      <c r="X5626">
        <v>0</v>
      </c>
      <c r="Y5626">
        <v>56.5</v>
      </c>
      <c r="Z5626">
        <v>56.5</v>
      </c>
      <c r="AA5626">
        <v>56.5</v>
      </c>
      <c r="AB5626" s="1">
        <v>42382</v>
      </c>
      <c r="AC5626" t="s">
        <v>53</v>
      </c>
      <c r="AD5626" t="s">
        <v>53</v>
      </c>
      <c r="AK5626">
        <v>0</v>
      </c>
      <c r="AU5626" s="6">
        <v>42130</v>
      </c>
      <c r="AV5626" s="6">
        <v>42130</v>
      </c>
      <c r="AW5626" t="s">
        <v>54</v>
      </c>
      <c r="AX5626" t="str">
        <f t="shared" si="474"/>
        <v>FOR</v>
      </c>
      <c r="AY5626" t="s">
        <v>55</v>
      </c>
    </row>
    <row r="5627" spans="1:51" hidden="1">
      <c r="A5627">
        <v>102885</v>
      </c>
      <c r="B5627" t="s">
        <v>1004</v>
      </c>
      <c r="C5627" t="str">
        <f t="shared" si="476"/>
        <v>00488410010</v>
      </c>
      <c r="D5627" t="str">
        <f t="shared" si="476"/>
        <v>00488410010</v>
      </c>
      <c r="E5627" t="s">
        <v>52</v>
      </c>
      <c r="F5627">
        <v>2015</v>
      </c>
      <c r="G5627" t="s">
        <v>1092</v>
      </c>
      <c r="H5627" s="1">
        <v>42040</v>
      </c>
      <c r="I5627" s="1">
        <v>42060</v>
      </c>
      <c r="J5627" s="1">
        <v>42060</v>
      </c>
      <c r="K5627" s="1">
        <v>42120</v>
      </c>
      <c r="N5627" s="5"/>
      <c r="O5627">
        <v>68.44</v>
      </c>
      <c r="P5627">
        <v>10</v>
      </c>
      <c r="Q5627">
        <v>684.4</v>
      </c>
      <c r="R5627">
        <v>0</v>
      </c>
      <c r="V5627">
        <v>0</v>
      </c>
      <c r="W5627">
        <v>0</v>
      </c>
      <c r="X5627">
        <v>0</v>
      </c>
      <c r="Y5627">
        <v>82.5</v>
      </c>
      <c r="Z5627">
        <v>82.5</v>
      </c>
      <c r="AA5627">
        <v>82.5</v>
      </c>
      <c r="AB5627" s="1">
        <v>42382</v>
      </c>
      <c r="AC5627" t="s">
        <v>53</v>
      </c>
      <c r="AD5627" t="s">
        <v>53</v>
      </c>
      <c r="AK5627">
        <v>0</v>
      </c>
      <c r="AU5627" s="6">
        <v>42130</v>
      </c>
      <c r="AV5627" s="6">
        <v>42130</v>
      </c>
      <c r="AW5627" t="s">
        <v>54</v>
      </c>
      <c r="AX5627" t="str">
        <f t="shared" si="474"/>
        <v>FOR</v>
      </c>
      <c r="AY5627" t="s">
        <v>55</v>
      </c>
    </row>
    <row r="5628" spans="1:51" hidden="1">
      <c r="A5628">
        <v>102885</v>
      </c>
      <c r="B5628" t="s">
        <v>1004</v>
      </c>
      <c r="C5628" t="str">
        <f t="shared" si="476"/>
        <v>00488410010</v>
      </c>
      <c r="D5628" t="str">
        <f t="shared" si="476"/>
        <v>00488410010</v>
      </c>
      <c r="E5628" t="s">
        <v>52</v>
      </c>
      <c r="F5628">
        <v>2015</v>
      </c>
      <c r="G5628" t="s">
        <v>1093</v>
      </c>
      <c r="H5628" s="1">
        <v>42040</v>
      </c>
      <c r="I5628" s="1">
        <v>42060</v>
      </c>
      <c r="J5628" s="1">
        <v>42060</v>
      </c>
      <c r="K5628" s="1">
        <v>42120</v>
      </c>
      <c r="N5628" s="5"/>
      <c r="O5628">
        <v>150.19</v>
      </c>
      <c r="P5628">
        <v>10</v>
      </c>
      <c r="Q5628" s="2">
        <v>1501.9</v>
      </c>
      <c r="R5628">
        <v>0</v>
      </c>
      <c r="V5628">
        <v>0</v>
      </c>
      <c r="W5628">
        <v>0</v>
      </c>
      <c r="X5628">
        <v>0</v>
      </c>
      <c r="Y5628">
        <v>180.5</v>
      </c>
      <c r="Z5628">
        <v>180.5</v>
      </c>
      <c r="AA5628">
        <v>180.5</v>
      </c>
      <c r="AB5628" s="1">
        <v>42382</v>
      </c>
      <c r="AC5628" t="s">
        <v>53</v>
      </c>
      <c r="AD5628" t="s">
        <v>53</v>
      </c>
      <c r="AK5628">
        <v>0</v>
      </c>
      <c r="AU5628" s="6">
        <v>42130</v>
      </c>
      <c r="AV5628" s="6">
        <v>42130</v>
      </c>
      <c r="AW5628" t="s">
        <v>54</v>
      </c>
      <c r="AX5628" t="str">
        <f t="shared" si="474"/>
        <v>FOR</v>
      </c>
      <c r="AY5628" t="s">
        <v>55</v>
      </c>
    </row>
    <row r="5629" spans="1:51" hidden="1">
      <c r="A5629">
        <v>102885</v>
      </c>
      <c r="B5629" t="s">
        <v>1004</v>
      </c>
      <c r="C5629" t="str">
        <f t="shared" si="476"/>
        <v>00488410010</v>
      </c>
      <c r="D5629" t="str">
        <f t="shared" si="476"/>
        <v>00488410010</v>
      </c>
      <c r="E5629" t="s">
        <v>52</v>
      </c>
      <c r="F5629">
        <v>2015</v>
      </c>
      <c r="G5629" t="s">
        <v>1094</v>
      </c>
      <c r="H5629" s="1">
        <v>42040</v>
      </c>
      <c r="I5629" s="1">
        <v>42060</v>
      </c>
      <c r="J5629" s="1">
        <v>42060</v>
      </c>
      <c r="K5629" s="1">
        <v>42120</v>
      </c>
      <c r="N5629" s="5"/>
      <c r="O5629">
        <v>46.88</v>
      </c>
      <c r="P5629">
        <v>10</v>
      </c>
      <c r="Q5629">
        <v>468.8</v>
      </c>
      <c r="R5629">
        <v>0</v>
      </c>
      <c r="V5629">
        <v>0</v>
      </c>
      <c r="W5629">
        <v>0</v>
      </c>
      <c r="X5629">
        <v>0</v>
      </c>
      <c r="Y5629">
        <v>56.5</v>
      </c>
      <c r="Z5629">
        <v>56.5</v>
      </c>
      <c r="AA5629">
        <v>56.5</v>
      </c>
      <c r="AB5629" s="1">
        <v>42382</v>
      </c>
      <c r="AC5629" t="s">
        <v>53</v>
      </c>
      <c r="AD5629" t="s">
        <v>53</v>
      </c>
      <c r="AK5629">
        <v>0</v>
      </c>
      <c r="AU5629" s="6">
        <v>42130</v>
      </c>
      <c r="AV5629" s="6">
        <v>42130</v>
      </c>
      <c r="AW5629" t="s">
        <v>54</v>
      </c>
      <c r="AX5629" t="str">
        <f t="shared" si="474"/>
        <v>FOR</v>
      </c>
      <c r="AY5629" t="s">
        <v>55</v>
      </c>
    </row>
    <row r="5630" spans="1:51" hidden="1">
      <c r="A5630">
        <v>102885</v>
      </c>
      <c r="B5630" t="s">
        <v>1004</v>
      </c>
      <c r="C5630" t="str">
        <f t="shared" si="476"/>
        <v>00488410010</v>
      </c>
      <c r="D5630" t="str">
        <f t="shared" si="476"/>
        <v>00488410010</v>
      </c>
      <c r="E5630" t="s">
        <v>52</v>
      </c>
      <c r="F5630">
        <v>2015</v>
      </c>
      <c r="G5630" t="s">
        <v>1095</v>
      </c>
      <c r="H5630" s="1">
        <v>42040</v>
      </c>
      <c r="I5630" s="1">
        <v>42067</v>
      </c>
      <c r="J5630" s="1">
        <v>42067</v>
      </c>
      <c r="K5630" s="1">
        <v>42127</v>
      </c>
      <c r="N5630" s="5"/>
      <c r="O5630">
        <v>109.37</v>
      </c>
      <c r="P5630">
        <v>3</v>
      </c>
      <c r="Q5630">
        <v>328.11</v>
      </c>
      <c r="R5630">
        <v>0</v>
      </c>
      <c r="V5630">
        <v>0</v>
      </c>
      <c r="W5630">
        <v>0</v>
      </c>
      <c r="X5630">
        <v>0</v>
      </c>
      <c r="Y5630">
        <v>132.5</v>
      </c>
      <c r="Z5630">
        <v>132.5</v>
      </c>
      <c r="AA5630">
        <v>132.5</v>
      </c>
      <c r="AB5630" s="1">
        <v>42382</v>
      </c>
      <c r="AC5630" t="s">
        <v>53</v>
      </c>
      <c r="AD5630" t="s">
        <v>53</v>
      </c>
      <c r="AK5630">
        <v>0</v>
      </c>
      <c r="AU5630" s="6">
        <v>42130</v>
      </c>
      <c r="AV5630" s="6">
        <v>42130</v>
      </c>
      <c r="AW5630" t="s">
        <v>54</v>
      </c>
      <c r="AX5630" t="str">
        <f t="shared" si="474"/>
        <v>FOR</v>
      </c>
      <c r="AY5630" t="s">
        <v>55</v>
      </c>
    </row>
    <row r="5631" spans="1:51" hidden="1">
      <c r="A5631">
        <v>102885</v>
      </c>
      <c r="B5631" t="s">
        <v>1004</v>
      </c>
      <c r="C5631" t="str">
        <f t="shared" ref="C5631:D5650" si="477">"00488410010"</f>
        <v>00488410010</v>
      </c>
      <c r="D5631" t="str">
        <f t="shared" si="477"/>
        <v>00488410010</v>
      </c>
      <c r="E5631" t="s">
        <v>52</v>
      </c>
      <c r="F5631">
        <v>2015</v>
      </c>
      <c r="G5631" t="s">
        <v>1096</v>
      </c>
      <c r="H5631" s="1">
        <v>42160</v>
      </c>
      <c r="I5631" s="1">
        <v>42181</v>
      </c>
      <c r="J5631" s="1">
        <v>42172</v>
      </c>
      <c r="K5631" s="1">
        <v>42232</v>
      </c>
      <c r="N5631" s="5"/>
      <c r="O5631" s="2">
        <v>1200.82</v>
      </c>
      <c r="P5631">
        <v>45</v>
      </c>
      <c r="Q5631" s="2">
        <v>54036.9</v>
      </c>
      <c r="R5631">
        <v>0</v>
      </c>
      <c r="V5631">
        <v>0</v>
      </c>
      <c r="W5631">
        <v>0</v>
      </c>
      <c r="X5631">
        <v>0</v>
      </c>
      <c r="Y5631" s="2">
        <v>1200.82</v>
      </c>
      <c r="Z5631" s="2">
        <v>1200.82</v>
      </c>
      <c r="AA5631" s="2">
        <v>1200.82</v>
      </c>
      <c r="AB5631" s="1">
        <v>42382</v>
      </c>
      <c r="AC5631" t="s">
        <v>53</v>
      </c>
      <c r="AD5631" t="s">
        <v>53</v>
      </c>
      <c r="AK5631">
        <v>0</v>
      </c>
      <c r="AU5631" s="6">
        <v>42277</v>
      </c>
      <c r="AV5631" s="6">
        <v>42277</v>
      </c>
      <c r="AW5631" t="s">
        <v>54</v>
      </c>
      <c r="AX5631" t="str">
        <f t="shared" si="474"/>
        <v>FOR</v>
      </c>
      <c r="AY5631" t="s">
        <v>55</v>
      </c>
    </row>
    <row r="5632" spans="1:51" hidden="1">
      <c r="A5632">
        <v>102885</v>
      </c>
      <c r="B5632" t="s">
        <v>1004</v>
      </c>
      <c r="C5632" t="str">
        <f t="shared" si="477"/>
        <v>00488410010</v>
      </c>
      <c r="D5632" t="str">
        <f t="shared" si="477"/>
        <v>00488410010</v>
      </c>
      <c r="E5632" t="s">
        <v>52</v>
      </c>
      <c r="F5632">
        <v>2015</v>
      </c>
      <c r="G5632" t="s">
        <v>1097</v>
      </c>
      <c r="H5632" s="1">
        <v>42160</v>
      </c>
      <c r="I5632" s="1">
        <v>42181</v>
      </c>
      <c r="J5632" s="1">
        <v>42172</v>
      </c>
      <c r="K5632" s="1">
        <v>42232</v>
      </c>
      <c r="N5632" s="5"/>
      <c r="O5632">
        <v>162.49</v>
      </c>
      <c r="P5632">
        <v>45</v>
      </c>
      <c r="Q5632" s="2">
        <v>7312.05</v>
      </c>
      <c r="R5632">
        <v>0</v>
      </c>
      <c r="V5632">
        <v>0</v>
      </c>
      <c r="W5632">
        <v>0</v>
      </c>
      <c r="X5632">
        <v>0</v>
      </c>
      <c r="Y5632">
        <v>162.49</v>
      </c>
      <c r="Z5632">
        <v>162.49</v>
      </c>
      <c r="AA5632">
        <v>162.49</v>
      </c>
      <c r="AB5632" s="1">
        <v>42382</v>
      </c>
      <c r="AC5632" t="s">
        <v>53</v>
      </c>
      <c r="AD5632" t="s">
        <v>53</v>
      </c>
      <c r="AK5632">
        <v>0</v>
      </c>
      <c r="AU5632" s="6">
        <v>42277</v>
      </c>
      <c r="AV5632" s="6">
        <v>42277</v>
      </c>
      <c r="AW5632" t="s">
        <v>54</v>
      </c>
      <c r="AX5632" t="str">
        <f t="shared" si="474"/>
        <v>FOR</v>
      </c>
      <c r="AY5632" t="s">
        <v>55</v>
      </c>
    </row>
    <row r="5633" spans="1:51" hidden="1">
      <c r="A5633">
        <v>102885</v>
      </c>
      <c r="B5633" t="s">
        <v>1004</v>
      </c>
      <c r="C5633" t="str">
        <f t="shared" si="477"/>
        <v>00488410010</v>
      </c>
      <c r="D5633" t="str">
        <f t="shared" si="477"/>
        <v>00488410010</v>
      </c>
      <c r="E5633" t="s">
        <v>52</v>
      </c>
      <c r="F5633">
        <v>2015</v>
      </c>
      <c r="G5633" t="s">
        <v>1098</v>
      </c>
      <c r="H5633" s="1">
        <v>42160</v>
      </c>
      <c r="I5633" s="1">
        <v>42181</v>
      </c>
      <c r="J5633" s="1">
        <v>42172</v>
      </c>
      <c r="K5633" s="1">
        <v>42232</v>
      </c>
      <c r="N5633" s="5"/>
      <c r="O5633" s="2">
        <v>1345.39</v>
      </c>
      <c r="P5633">
        <v>45</v>
      </c>
      <c r="Q5633" s="2">
        <v>60542.55</v>
      </c>
      <c r="R5633">
        <v>0</v>
      </c>
      <c r="V5633">
        <v>0</v>
      </c>
      <c r="W5633">
        <v>0</v>
      </c>
      <c r="X5633">
        <v>0</v>
      </c>
      <c r="Y5633" s="2">
        <v>1345.39</v>
      </c>
      <c r="Z5633" s="2">
        <v>1345.39</v>
      </c>
      <c r="AA5633" s="2">
        <v>1345.39</v>
      </c>
      <c r="AB5633" s="1">
        <v>42382</v>
      </c>
      <c r="AC5633" t="s">
        <v>53</v>
      </c>
      <c r="AD5633" t="s">
        <v>53</v>
      </c>
      <c r="AK5633">
        <v>0</v>
      </c>
      <c r="AU5633" s="6">
        <v>42277</v>
      </c>
      <c r="AV5633" s="6">
        <v>42277</v>
      </c>
      <c r="AW5633" t="s">
        <v>54</v>
      </c>
      <c r="AX5633" t="str">
        <f t="shared" si="474"/>
        <v>FOR</v>
      </c>
      <c r="AY5633" t="s">
        <v>55</v>
      </c>
    </row>
    <row r="5634" spans="1:51" hidden="1">
      <c r="A5634">
        <v>102885</v>
      </c>
      <c r="B5634" t="s">
        <v>1004</v>
      </c>
      <c r="C5634" t="str">
        <f t="shared" si="477"/>
        <v>00488410010</v>
      </c>
      <c r="D5634" t="str">
        <f t="shared" si="477"/>
        <v>00488410010</v>
      </c>
      <c r="E5634" t="s">
        <v>52</v>
      </c>
      <c r="F5634">
        <v>2015</v>
      </c>
      <c r="G5634" t="s">
        <v>1099</v>
      </c>
      <c r="H5634" s="1">
        <v>42160</v>
      </c>
      <c r="I5634" s="1">
        <v>42181</v>
      </c>
      <c r="J5634" s="1">
        <v>42172</v>
      </c>
      <c r="K5634" s="1">
        <v>42232</v>
      </c>
      <c r="N5634" s="5"/>
      <c r="O5634">
        <v>577.84</v>
      </c>
      <c r="P5634">
        <v>45</v>
      </c>
      <c r="Q5634" s="2">
        <v>26002.799999999999</v>
      </c>
      <c r="R5634">
        <v>0</v>
      </c>
      <c r="V5634">
        <v>0</v>
      </c>
      <c r="W5634">
        <v>0</v>
      </c>
      <c r="X5634">
        <v>0</v>
      </c>
      <c r="Y5634">
        <v>577.84</v>
      </c>
      <c r="Z5634">
        <v>577.84</v>
      </c>
      <c r="AA5634">
        <v>577.84</v>
      </c>
      <c r="AB5634" s="1">
        <v>42382</v>
      </c>
      <c r="AC5634" t="s">
        <v>53</v>
      </c>
      <c r="AD5634" t="s">
        <v>53</v>
      </c>
      <c r="AK5634">
        <v>0</v>
      </c>
      <c r="AU5634" s="6">
        <v>42277</v>
      </c>
      <c r="AV5634" s="6">
        <v>42277</v>
      </c>
      <c r="AW5634" t="s">
        <v>54</v>
      </c>
      <c r="AX5634" t="str">
        <f t="shared" si="474"/>
        <v>FOR</v>
      </c>
      <c r="AY5634" t="s">
        <v>55</v>
      </c>
    </row>
    <row r="5635" spans="1:51" hidden="1">
      <c r="A5635">
        <v>102885</v>
      </c>
      <c r="B5635" t="s">
        <v>1004</v>
      </c>
      <c r="C5635" t="str">
        <f t="shared" si="477"/>
        <v>00488410010</v>
      </c>
      <c r="D5635" t="str">
        <f t="shared" si="477"/>
        <v>00488410010</v>
      </c>
      <c r="E5635" t="s">
        <v>52</v>
      </c>
      <c r="F5635">
        <v>2015</v>
      </c>
      <c r="G5635" t="s">
        <v>1100</v>
      </c>
      <c r="H5635" s="1">
        <v>42222</v>
      </c>
      <c r="I5635" s="1">
        <v>42234</v>
      </c>
      <c r="J5635" s="1">
        <v>42234</v>
      </c>
      <c r="K5635" s="1">
        <v>42294</v>
      </c>
      <c r="N5635" s="5"/>
      <c r="O5635">
        <v>43.03</v>
      </c>
      <c r="P5635">
        <v>-17</v>
      </c>
      <c r="Q5635">
        <v>-731.51</v>
      </c>
      <c r="R5635">
        <v>0</v>
      </c>
      <c r="V5635">
        <v>0</v>
      </c>
      <c r="W5635">
        <v>0</v>
      </c>
      <c r="X5635">
        <v>0</v>
      </c>
      <c r="Y5635">
        <v>43.03</v>
      </c>
      <c r="Z5635">
        <v>43.03</v>
      </c>
      <c r="AA5635">
        <v>43.03</v>
      </c>
      <c r="AB5635" s="1">
        <v>42382</v>
      </c>
      <c r="AC5635" t="s">
        <v>53</v>
      </c>
      <c r="AD5635" t="s">
        <v>53</v>
      </c>
      <c r="AK5635">
        <v>0</v>
      </c>
      <c r="AU5635" s="6">
        <v>42277</v>
      </c>
      <c r="AV5635" s="6">
        <v>42277</v>
      </c>
      <c r="AW5635" t="s">
        <v>54</v>
      </c>
      <c r="AX5635" t="str">
        <f t="shared" ref="AX5635:AX5698" si="478">"FOR"</f>
        <v>FOR</v>
      </c>
      <c r="AY5635" t="s">
        <v>55</v>
      </c>
    </row>
    <row r="5636" spans="1:51">
      <c r="A5636">
        <v>102885</v>
      </c>
      <c r="B5636" t="s">
        <v>1004</v>
      </c>
      <c r="C5636" t="str">
        <f t="shared" si="477"/>
        <v>00488410010</v>
      </c>
      <c r="D5636" t="str">
        <f t="shared" si="477"/>
        <v>00488410010</v>
      </c>
      <c r="E5636" t="s">
        <v>52</v>
      </c>
      <c r="F5636">
        <v>2015</v>
      </c>
      <c r="G5636" t="s">
        <v>1101</v>
      </c>
      <c r="H5636" s="1">
        <v>42222</v>
      </c>
      <c r="I5636" s="1">
        <v>42234</v>
      </c>
      <c r="J5636" s="1">
        <v>42234</v>
      </c>
      <c r="K5636" s="1">
        <v>42294</v>
      </c>
      <c r="L5636" s="7">
        <v>1300.93</v>
      </c>
      <c r="M5636" s="5">
        <v>-11</v>
      </c>
      <c r="N5636" s="7">
        <v>-14310.23</v>
      </c>
      <c r="O5636" s="2">
        <v>1300.93</v>
      </c>
      <c r="P5636">
        <v>-11</v>
      </c>
      <c r="Q5636" s="2">
        <v>-14310.23</v>
      </c>
      <c r="R5636">
        <v>0</v>
      </c>
      <c r="V5636">
        <v>0</v>
      </c>
      <c r="W5636">
        <v>0</v>
      </c>
      <c r="X5636">
        <v>0</v>
      </c>
      <c r="Y5636" s="2">
        <v>1300.93</v>
      </c>
      <c r="Z5636" s="2">
        <v>1300.93</v>
      </c>
      <c r="AA5636" s="2">
        <v>1300.93</v>
      </c>
      <c r="AB5636" s="1">
        <v>42382</v>
      </c>
      <c r="AC5636" t="s">
        <v>53</v>
      </c>
      <c r="AD5636" t="s">
        <v>53</v>
      </c>
      <c r="AK5636">
        <v>0</v>
      </c>
      <c r="AU5636" s="6">
        <v>42283</v>
      </c>
      <c r="AV5636" s="6">
        <v>42283</v>
      </c>
      <c r="AW5636" t="s">
        <v>54</v>
      </c>
      <c r="AX5636" t="str">
        <f t="shared" si="478"/>
        <v>FOR</v>
      </c>
      <c r="AY5636" t="s">
        <v>55</v>
      </c>
    </row>
    <row r="5637" spans="1:51" hidden="1">
      <c r="A5637">
        <v>102885</v>
      </c>
      <c r="B5637" t="s">
        <v>1004</v>
      </c>
      <c r="C5637" t="str">
        <f t="shared" si="477"/>
        <v>00488410010</v>
      </c>
      <c r="D5637" t="str">
        <f t="shared" si="477"/>
        <v>00488410010</v>
      </c>
      <c r="E5637" t="s">
        <v>52</v>
      </c>
      <c r="F5637">
        <v>2015</v>
      </c>
      <c r="G5637" t="s">
        <v>1102</v>
      </c>
      <c r="H5637" s="1">
        <v>42222</v>
      </c>
      <c r="I5637" s="1">
        <v>42234</v>
      </c>
      <c r="J5637" s="1">
        <v>42234</v>
      </c>
      <c r="K5637" s="1">
        <v>42294</v>
      </c>
      <c r="N5637" s="5"/>
      <c r="O5637">
        <v>104.46</v>
      </c>
      <c r="P5637">
        <v>-17</v>
      </c>
      <c r="Q5637" s="2">
        <v>-1775.82</v>
      </c>
      <c r="R5637">
        <v>0</v>
      </c>
      <c r="V5637">
        <v>0</v>
      </c>
      <c r="W5637">
        <v>0</v>
      </c>
      <c r="X5637">
        <v>0</v>
      </c>
      <c r="Y5637">
        <v>104.46</v>
      </c>
      <c r="Z5637">
        <v>104.46</v>
      </c>
      <c r="AA5637">
        <v>104.46</v>
      </c>
      <c r="AB5637" s="1">
        <v>42382</v>
      </c>
      <c r="AC5637" t="s">
        <v>53</v>
      </c>
      <c r="AD5637" t="s">
        <v>53</v>
      </c>
      <c r="AK5637">
        <v>0</v>
      </c>
      <c r="AU5637" s="6">
        <v>42277</v>
      </c>
      <c r="AV5637" s="6">
        <v>42277</v>
      </c>
      <c r="AW5637" t="s">
        <v>54</v>
      </c>
      <c r="AX5637" t="str">
        <f t="shared" si="478"/>
        <v>FOR</v>
      </c>
      <c r="AY5637" t="s">
        <v>55</v>
      </c>
    </row>
    <row r="5638" spans="1:51" hidden="1">
      <c r="A5638">
        <v>102885</v>
      </c>
      <c r="B5638" t="s">
        <v>1004</v>
      </c>
      <c r="C5638" t="str">
        <f t="shared" si="477"/>
        <v>00488410010</v>
      </c>
      <c r="D5638" t="str">
        <f t="shared" si="477"/>
        <v>00488410010</v>
      </c>
      <c r="E5638" t="s">
        <v>52</v>
      </c>
      <c r="F5638">
        <v>2015</v>
      </c>
      <c r="G5638" t="s">
        <v>1103</v>
      </c>
      <c r="H5638" s="1">
        <v>42222</v>
      </c>
      <c r="I5638" s="1">
        <v>42234</v>
      </c>
      <c r="J5638" s="1">
        <v>42234</v>
      </c>
      <c r="K5638" s="1">
        <v>42294</v>
      </c>
      <c r="N5638" s="5"/>
      <c r="O5638">
        <v>43.46</v>
      </c>
      <c r="P5638">
        <v>-17</v>
      </c>
      <c r="Q5638">
        <v>-738.82</v>
      </c>
      <c r="R5638">
        <v>0</v>
      </c>
      <c r="V5638">
        <v>0</v>
      </c>
      <c r="W5638">
        <v>0</v>
      </c>
      <c r="X5638">
        <v>0</v>
      </c>
      <c r="Y5638">
        <v>43.46</v>
      </c>
      <c r="Z5638">
        <v>43.46</v>
      </c>
      <c r="AA5638">
        <v>43.46</v>
      </c>
      <c r="AB5638" s="1">
        <v>42382</v>
      </c>
      <c r="AC5638" t="s">
        <v>53</v>
      </c>
      <c r="AD5638" t="s">
        <v>53</v>
      </c>
      <c r="AK5638">
        <v>0</v>
      </c>
      <c r="AU5638" s="6">
        <v>42277</v>
      </c>
      <c r="AV5638" s="6">
        <v>42277</v>
      </c>
      <c r="AW5638" t="s">
        <v>54</v>
      </c>
      <c r="AX5638" t="str">
        <f t="shared" si="478"/>
        <v>FOR</v>
      </c>
      <c r="AY5638" t="s">
        <v>55</v>
      </c>
    </row>
    <row r="5639" spans="1:51">
      <c r="A5639">
        <v>102885</v>
      </c>
      <c r="B5639" t="s">
        <v>1004</v>
      </c>
      <c r="C5639" t="str">
        <f t="shared" si="477"/>
        <v>00488410010</v>
      </c>
      <c r="D5639" t="str">
        <f t="shared" si="477"/>
        <v>00488410010</v>
      </c>
      <c r="E5639" t="s">
        <v>52</v>
      </c>
      <c r="F5639">
        <v>2015</v>
      </c>
      <c r="G5639" t="s">
        <v>1104</v>
      </c>
      <c r="H5639" s="1">
        <v>42222</v>
      </c>
      <c r="I5639" s="1">
        <v>42234</v>
      </c>
      <c r="J5639" s="1">
        <v>42234</v>
      </c>
      <c r="K5639" s="1">
        <v>42294</v>
      </c>
      <c r="L5639" s="7">
        <v>1201.32</v>
      </c>
      <c r="M5639" s="5">
        <v>-11</v>
      </c>
      <c r="N5639" s="7">
        <v>-13214.52</v>
      </c>
      <c r="O5639" s="2">
        <v>1201.32</v>
      </c>
      <c r="P5639">
        <v>-11</v>
      </c>
      <c r="Q5639" s="2">
        <v>-13214.52</v>
      </c>
      <c r="R5639">
        <v>0</v>
      </c>
      <c r="V5639">
        <v>0</v>
      </c>
      <c r="W5639">
        <v>0</v>
      </c>
      <c r="X5639">
        <v>0</v>
      </c>
      <c r="Y5639" s="2">
        <v>1201.32</v>
      </c>
      <c r="Z5639" s="2">
        <v>1201.32</v>
      </c>
      <c r="AA5639" s="2">
        <v>1201.32</v>
      </c>
      <c r="AB5639" s="1">
        <v>42382</v>
      </c>
      <c r="AC5639" t="s">
        <v>53</v>
      </c>
      <c r="AD5639" t="s">
        <v>53</v>
      </c>
      <c r="AK5639">
        <v>0</v>
      </c>
      <c r="AU5639" s="6">
        <v>42283</v>
      </c>
      <c r="AV5639" s="6">
        <v>42283</v>
      </c>
      <c r="AW5639" t="s">
        <v>54</v>
      </c>
      <c r="AX5639" t="str">
        <f t="shared" si="478"/>
        <v>FOR</v>
      </c>
      <c r="AY5639" t="s">
        <v>55</v>
      </c>
    </row>
    <row r="5640" spans="1:51">
      <c r="A5640">
        <v>102885</v>
      </c>
      <c r="B5640" t="s">
        <v>1004</v>
      </c>
      <c r="C5640" t="str">
        <f t="shared" si="477"/>
        <v>00488410010</v>
      </c>
      <c r="D5640" t="str">
        <f t="shared" si="477"/>
        <v>00488410010</v>
      </c>
      <c r="E5640" t="s">
        <v>52</v>
      </c>
      <c r="F5640">
        <v>2015</v>
      </c>
      <c r="G5640" t="s">
        <v>1105</v>
      </c>
      <c r="H5640" s="1">
        <v>42222</v>
      </c>
      <c r="I5640" s="1">
        <v>42234</v>
      </c>
      <c r="J5640" s="1">
        <v>42234</v>
      </c>
      <c r="K5640" s="1">
        <v>42294</v>
      </c>
      <c r="L5640" s="7">
        <v>50.76</v>
      </c>
      <c r="M5640" s="5">
        <v>-11</v>
      </c>
      <c r="N5640" s="7">
        <v>-558.36</v>
      </c>
      <c r="O5640">
        <v>50.76</v>
      </c>
      <c r="P5640">
        <v>-11</v>
      </c>
      <c r="Q5640">
        <v>-558.36</v>
      </c>
      <c r="R5640">
        <v>0</v>
      </c>
      <c r="V5640">
        <v>0</v>
      </c>
      <c r="W5640">
        <v>0</v>
      </c>
      <c r="X5640">
        <v>0</v>
      </c>
      <c r="Y5640">
        <v>50.76</v>
      </c>
      <c r="Z5640">
        <v>50.76</v>
      </c>
      <c r="AA5640">
        <v>50.76</v>
      </c>
      <c r="AB5640" s="1">
        <v>42382</v>
      </c>
      <c r="AC5640" t="s">
        <v>53</v>
      </c>
      <c r="AD5640" t="s">
        <v>53</v>
      </c>
      <c r="AK5640">
        <v>0</v>
      </c>
      <c r="AU5640" s="6">
        <v>42283</v>
      </c>
      <c r="AV5640" s="6">
        <v>42283</v>
      </c>
      <c r="AW5640" t="s">
        <v>54</v>
      </c>
      <c r="AX5640" t="str">
        <f t="shared" si="478"/>
        <v>FOR</v>
      </c>
      <c r="AY5640" t="s">
        <v>55</v>
      </c>
    </row>
    <row r="5641" spans="1:51">
      <c r="A5641">
        <v>102885</v>
      </c>
      <c r="B5641" t="s">
        <v>1004</v>
      </c>
      <c r="C5641" t="str">
        <f t="shared" si="477"/>
        <v>00488410010</v>
      </c>
      <c r="D5641" t="str">
        <f t="shared" si="477"/>
        <v>00488410010</v>
      </c>
      <c r="E5641" t="s">
        <v>52</v>
      </c>
      <c r="F5641">
        <v>2015</v>
      </c>
      <c r="G5641" t="s">
        <v>1106</v>
      </c>
      <c r="H5641" s="1">
        <v>42222</v>
      </c>
      <c r="I5641" s="1">
        <v>42234</v>
      </c>
      <c r="J5641" s="1">
        <v>42234</v>
      </c>
      <c r="K5641" s="1">
        <v>42294</v>
      </c>
      <c r="L5641" s="7">
        <v>43.05</v>
      </c>
      <c r="M5641" s="5">
        <v>-11</v>
      </c>
      <c r="N5641" s="7">
        <v>-473.55</v>
      </c>
      <c r="O5641">
        <v>43.05</v>
      </c>
      <c r="P5641">
        <v>-11</v>
      </c>
      <c r="Q5641">
        <v>-473.55</v>
      </c>
      <c r="R5641">
        <v>0</v>
      </c>
      <c r="V5641">
        <v>0</v>
      </c>
      <c r="W5641">
        <v>0</v>
      </c>
      <c r="X5641">
        <v>0</v>
      </c>
      <c r="Y5641">
        <v>43.05</v>
      </c>
      <c r="Z5641">
        <v>43.05</v>
      </c>
      <c r="AA5641">
        <v>43.05</v>
      </c>
      <c r="AB5641" s="1">
        <v>42382</v>
      </c>
      <c r="AC5641" t="s">
        <v>53</v>
      </c>
      <c r="AD5641" t="s">
        <v>53</v>
      </c>
      <c r="AK5641">
        <v>0</v>
      </c>
      <c r="AU5641" s="6">
        <v>42283</v>
      </c>
      <c r="AV5641" s="6">
        <v>42283</v>
      </c>
      <c r="AW5641" t="s">
        <v>54</v>
      </c>
      <c r="AX5641" t="str">
        <f t="shared" si="478"/>
        <v>FOR</v>
      </c>
      <c r="AY5641" t="s">
        <v>55</v>
      </c>
    </row>
    <row r="5642" spans="1:51">
      <c r="A5642">
        <v>102885</v>
      </c>
      <c r="B5642" t="s">
        <v>1004</v>
      </c>
      <c r="C5642" t="str">
        <f t="shared" si="477"/>
        <v>00488410010</v>
      </c>
      <c r="D5642" t="str">
        <f t="shared" si="477"/>
        <v>00488410010</v>
      </c>
      <c r="E5642" t="s">
        <v>52</v>
      </c>
      <c r="F5642">
        <v>2015</v>
      </c>
      <c r="G5642" t="s">
        <v>1107</v>
      </c>
      <c r="H5642" s="1">
        <v>42222</v>
      </c>
      <c r="I5642" s="1">
        <v>42234</v>
      </c>
      <c r="J5642" s="1">
        <v>42234</v>
      </c>
      <c r="K5642" s="1">
        <v>42294</v>
      </c>
      <c r="L5642" s="7">
        <v>192.74</v>
      </c>
      <c r="M5642" s="5">
        <v>-11</v>
      </c>
      <c r="N5642" s="7">
        <v>-2120.14</v>
      </c>
      <c r="O5642">
        <v>192.74</v>
      </c>
      <c r="P5642">
        <v>-11</v>
      </c>
      <c r="Q5642" s="2">
        <v>-2120.14</v>
      </c>
      <c r="R5642">
        <v>0</v>
      </c>
      <c r="V5642">
        <v>0</v>
      </c>
      <c r="W5642">
        <v>0</v>
      </c>
      <c r="X5642">
        <v>0</v>
      </c>
      <c r="Y5642">
        <v>192.74</v>
      </c>
      <c r="Z5642">
        <v>192.74</v>
      </c>
      <c r="AA5642">
        <v>192.74</v>
      </c>
      <c r="AB5642" s="1">
        <v>42382</v>
      </c>
      <c r="AC5642" t="s">
        <v>53</v>
      </c>
      <c r="AD5642" t="s">
        <v>53</v>
      </c>
      <c r="AK5642">
        <v>0</v>
      </c>
      <c r="AU5642" s="6">
        <v>42283</v>
      </c>
      <c r="AV5642" s="6">
        <v>42283</v>
      </c>
      <c r="AW5642" t="s">
        <v>54</v>
      </c>
      <c r="AX5642" t="str">
        <f t="shared" si="478"/>
        <v>FOR</v>
      </c>
      <c r="AY5642" t="s">
        <v>55</v>
      </c>
    </row>
    <row r="5643" spans="1:51">
      <c r="A5643">
        <v>102885</v>
      </c>
      <c r="B5643" t="s">
        <v>1004</v>
      </c>
      <c r="C5643" t="str">
        <f t="shared" si="477"/>
        <v>00488410010</v>
      </c>
      <c r="D5643" t="str">
        <f t="shared" si="477"/>
        <v>00488410010</v>
      </c>
      <c r="E5643" t="s">
        <v>52</v>
      </c>
      <c r="F5643">
        <v>2015</v>
      </c>
      <c r="G5643" t="s">
        <v>1108</v>
      </c>
      <c r="H5643" s="1">
        <v>42222</v>
      </c>
      <c r="I5643" s="1">
        <v>42234</v>
      </c>
      <c r="J5643" s="1">
        <v>42234</v>
      </c>
      <c r="K5643" s="1">
        <v>42294</v>
      </c>
      <c r="L5643" s="7">
        <v>576.67999999999995</v>
      </c>
      <c r="M5643" s="5">
        <v>-11</v>
      </c>
      <c r="N5643" s="7">
        <v>-6343.48</v>
      </c>
      <c r="O5643">
        <v>576.67999999999995</v>
      </c>
      <c r="P5643">
        <v>-11</v>
      </c>
      <c r="Q5643" s="2">
        <v>-6343.48</v>
      </c>
      <c r="R5643">
        <v>0</v>
      </c>
      <c r="V5643">
        <v>0</v>
      </c>
      <c r="W5643">
        <v>0</v>
      </c>
      <c r="X5643">
        <v>0</v>
      </c>
      <c r="Y5643">
        <v>576.67999999999995</v>
      </c>
      <c r="Z5643">
        <v>576.67999999999995</v>
      </c>
      <c r="AA5643">
        <v>576.67999999999995</v>
      </c>
      <c r="AB5643" s="1">
        <v>42382</v>
      </c>
      <c r="AC5643" t="s">
        <v>53</v>
      </c>
      <c r="AD5643" t="s">
        <v>53</v>
      </c>
      <c r="AK5643">
        <v>0</v>
      </c>
      <c r="AU5643" s="6">
        <v>42283</v>
      </c>
      <c r="AV5643" s="6">
        <v>42283</v>
      </c>
      <c r="AW5643" t="s">
        <v>54</v>
      </c>
      <c r="AX5643" t="str">
        <f t="shared" si="478"/>
        <v>FOR</v>
      </c>
      <c r="AY5643" t="s">
        <v>55</v>
      </c>
    </row>
    <row r="5644" spans="1:51">
      <c r="A5644">
        <v>102885</v>
      </c>
      <c r="B5644" t="s">
        <v>1004</v>
      </c>
      <c r="C5644" t="str">
        <f t="shared" si="477"/>
        <v>00488410010</v>
      </c>
      <c r="D5644" t="str">
        <f t="shared" si="477"/>
        <v>00488410010</v>
      </c>
      <c r="E5644" t="s">
        <v>52</v>
      </c>
      <c r="F5644">
        <v>2015</v>
      </c>
      <c r="G5644" t="s">
        <v>1109</v>
      </c>
      <c r="H5644" s="1">
        <v>42283</v>
      </c>
      <c r="I5644" s="1">
        <v>42299</v>
      </c>
      <c r="J5644" s="1">
        <v>42298</v>
      </c>
      <c r="K5644" s="1">
        <v>42358</v>
      </c>
      <c r="L5644" s="7">
        <v>537.11</v>
      </c>
      <c r="M5644" s="5">
        <v>-20</v>
      </c>
      <c r="N5644" s="7">
        <v>-10742.2</v>
      </c>
      <c r="O5644">
        <v>537.11</v>
      </c>
      <c r="P5644">
        <v>-20</v>
      </c>
      <c r="Q5644" s="2">
        <v>-10742.2</v>
      </c>
      <c r="R5644">
        <v>0</v>
      </c>
      <c r="V5644">
        <v>537.11</v>
      </c>
      <c r="W5644">
        <v>537.11</v>
      </c>
      <c r="X5644">
        <v>537.11</v>
      </c>
      <c r="Y5644">
        <v>537.11</v>
      </c>
      <c r="Z5644">
        <v>537.11</v>
      </c>
      <c r="AA5644">
        <v>537.11</v>
      </c>
      <c r="AB5644" s="1">
        <v>42382</v>
      </c>
      <c r="AC5644" t="s">
        <v>53</v>
      </c>
      <c r="AD5644" t="s">
        <v>53</v>
      </c>
      <c r="AK5644">
        <v>0</v>
      </c>
      <c r="AU5644" s="6">
        <v>42338</v>
      </c>
      <c r="AV5644" s="6">
        <v>42338</v>
      </c>
      <c r="AW5644" t="s">
        <v>54</v>
      </c>
      <c r="AX5644" t="str">
        <f t="shared" si="478"/>
        <v>FOR</v>
      </c>
      <c r="AY5644" t="s">
        <v>55</v>
      </c>
    </row>
    <row r="5645" spans="1:51">
      <c r="A5645">
        <v>102885</v>
      </c>
      <c r="B5645" t="s">
        <v>1004</v>
      </c>
      <c r="C5645" t="str">
        <f t="shared" si="477"/>
        <v>00488410010</v>
      </c>
      <c r="D5645" t="str">
        <f t="shared" si="477"/>
        <v>00488410010</v>
      </c>
      <c r="E5645" t="s">
        <v>52</v>
      </c>
      <c r="F5645">
        <v>2015</v>
      </c>
      <c r="G5645" t="s">
        <v>1110</v>
      </c>
      <c r="H5645" s="1">
        <v>42283</v>
      </c>
      <c r="I5645" s="1">
        <v>42299</v>
      </c>
      <c r="J5645" s="1">
        <v>42298</v>
      </c>
      <c r="K5645" s="1">
        <v>42358</v>
      </c>
      <c r="L5645" s="7">
        <v>42.97</v>
      </c>
      <c r="M5645" s="5">
        <v>-20</v>
      </c>
      <c r="N5645" s="7">
        <v>-859.4</v>
      </c>
      <c r="O5645">
        <v>42.97</v>
      </c>
      <c r="P5645">
        <v>-20</v>
      </c>
      <c r="Q5645">
        <v>-859.4</v>
      </c>
      <c r="R5645">
        <v>0</v>
      </c>
      <c r="V5645">
        <v>42.97</v>
      </c>
      <c r="W5645">
        <v>42.97</v>
      </c>
      <c r="X5645">
        <v>42.97</v>
      </c>
      <c r="Y5645">
        <v>42.97</v>
      </c>
      <c r="Z5645">
        <v>42.97</v>
      </c>
      <c r="AA5645">
        <v>42.97</v>
      </c>
      <c r="AB5645" s="1">
        <v>42382</v>
      </c>
      <c r="AC5645" t="s">
        <v>53</v>
      </c>
      <c r="AD5645" t="s">
        <v>53</v>
      </c>
      <c r="AK5645">
        <v>0</v>
      </c>
      <c r="AU5645" s="6">
        <v>42338</v>
      </c>
      <c r="AV5645" s="6">
        <v>42338</v>
      </c>
      <c r="AW5645" t="s">
        <v>54</v>
      </c>
      <c r="AX5645" t="str">
        <f t="shared" si="478"/>
        <v>FOR</v>
      </c>
      <c r="AY5645" t="s">
        <v>55</v>
      </c>
    </row>
    <row r="5646" spans="1:51">
      <c r="A5646">
        <v>102885</v>
      </c>
      <c r="B5646" t="s">
        <v>1004</v>
      </c>
      <c r="C5646" t="str">
        <f t="shared" si="477"/>
        <v>00488410010</v>
      </c>
      <c r="D5646" t="str">
        <f t="shared" si="477"/>
        <v>00488410010</v>
      </c>
      <c r="E5646" t="s">
        <v>52</v>
      </c>
      <c r="F5646">
        <v>2015</v>
      </c>
      <c r="G5646" t="s">
        <v>1111</v>
      </c>
      <c r="H5646" s="1">
        <v>42283</v>
      </c>
      <c r="I5646" s="1">
        <v>42299</v>
      </c>
      <c r="J5646" s="1">
        <v>42298</v>
      </c>
      <c r="K5646" s="1">
        <v>42358</v>
      </c>
      <c r="L5646" s="7">
        <v>174.91</v>
      </c>
      <c r="M5646" s="5">
        <v>-20</v>
      </c>
      <c r="N5646" s="7">
        <v>-3498.2</v>
      </c>
      <c r="O5646">
        <v>174.91</v>
      </c>
      <c r="P5646">
        <v>-20</v>
      </c>
      <c r="Q5646" s="2">
        <v>-3498.2</v>
      </c>
      <c r="R5646">
        <v>0</v>
      </c>
      <c r="V5646">
        <v>174.91</v>
      </c>
      <c r="W5646">
        <v>174.91</v>
      </c>
      <c r="X5646">
        <v>174.91</v>
      </c>
      <c r="Y5646">
        <v>174.91</v>
      </c>
      <c r="Z5646">
        <v>174.91</v>
      </c>
      <c r="AA5646">
        <v>174.91</v>
      </c>
      <c r="AB5646" s="1">
        <v>42382</v>
      </c>
      <c r="AC5646" t="s">
        <v>53</v>
      </c>
      <c r="AD5646" t="s">
        <v>53</v>
      </c>
      <c r="AK5646">
        <v>0</v>
      </c>
      <c r="AU5646" s="6">
        <v>42338</v>
      </c>
      <c r="AV5646" s="6">
        <v>42338</v>
      </c>
      <c r="AW5646" t="s">
        <v>54</v>
      </c>
      <c r="AX5646" t="str">
        <f t="shared" si="478"/>
        <v>FOR</v>
      </c>
      <c r="AY5646" t="s">
        <v>55</v>
      </c>
    </row>
    <row r="5647" spans="1:51">
      <c r="A5647">
        <v>102885</v>
      </c>
      <c r="B5647" t="s">
        <v>1004</v>
      </c>
      <c r="C5647" t="str">
        <f t="shared" si="477"/>
        <v>00488410010</v>
      </c>
      <c r="D5647" t="str">
        <f t="shared" si="477"/>
        <v>00488410010</v>
      </c>
      <c r="E5647" t="s">
        <v>52</v>
      </c>
      <c r="F5647">
        <v>2015</v>
      </c>
      <c r="G5647" t="s">
        <v>1112</v>
      </c>
      <c r="H5647" s="1">
        <v>42283</v>
      </c>
      <c r="I5647" s="1">
        <v>42299</v>
      </c>
      <c r="J5647" s="1">
        <v>42298</v>
      </c>
      <c r="K5647" s="1">
        <v>42358</v>
      </c>
      <c r="L5647" s="7">
        <v>1118.98</v>
      </c>
      <c r="M5647" s="5">
        <v>-20</v>
      </c>
      <c r="N5647" s="7">
        <v>-22379.599999999999</v>
      </c>
      <c r="O5647" s="2">
        <v>1118.98</v>
      </c>
      <c r="P5647">
        <v>-20</v>
      </c>
      <c r="Q5647" s="2">
        <v>-22379.599999999999</v>
      </c>
      <c r="R5647">
        <v>0</v>
      </c>
      <c r="V5647" s="2">
        <v>1118.98</v>
      </c>
      <c r="W5647" s="2">
        <v>1118.98</v>
      </c>
      <c r="X5647" s="2">
        <v>1118.98</v>
      </c>
      <c r="Y5647" s="2">
        <v>1118.98</v>
      </c>
      <c r="Z5647" s="2">
        <v>1118.98</v>
      </c>
      <c r="AA5647" s="2">
        <v>1118.98</v>
      </c>
      <c r="AB5647" s="1">
        <v>42382</v>
      </c>
      <c r="AC5647" t="s">
        <v>53</v>
      </c>
      <c r="AD5647" t="s">
        <v>53</v>
      </c>
      <c r="AK5647">
        <v>0</v>
      </c>
      <c r="AU5647" s="6">
        <v>42338</v>
      </c>
      <c r="AV5647" s="6">
        <v>42338</v>
      </c>
      <c r="AW5647" t="s">
        <v>54</v>
      </c>
      <c r="AX5647" t="str">
        <f t="shared" si="478"/>
        <v>FOR</v>
      </c>
      <c r="AY5647" t="s">
        <v>55</v>
      </c>
    </row>
    <row r="5648" spans="1:51">
      <c r="A5648">
        <v>102885</v>
      </c>
      <c r="B5648" t="s">
        <v>1004</v>
      </c>
      <c r="C5648" t="str">
        <f t="shared" si="477"/>
        <v>00488410010</v>
      </c>
      <c r="D5648" t="str">
        <f t="shared" si="477"/>
        <v>00488410010</v>
      </c>
      <c r="E5648" t="s">
        <v>52</v>
      </c>
      <c r="F5648">
        <v>2015</v>
      </c>
      <c r="G5648" t="s">
        <v>1113</v>
      </c>
      <c r="H5648" s="1">
        <v>42283</v>
      </c>
      <c r="I5648" s="1">
        <v>42299</v>
      </c>
      <c r="J5648" s="1">
        <v>42298</v>
      </c>
      <c r="K5648" s="1">
        <v>42358</v>
      </c>
      <c r="L5648" s="7">
        <v>42.97</v>
      </c>
      <c r="M5648" s="5">
        <v>-20</v>
      </c>
      <c r="N5648" s="7">
        <v>-859.4</v>
      </c>
      <c r="O5648">
        <v>42.97</v>
      </c>
      <c r="P5648">
        <v>-20</v>
      </c>
      <c r="Q5648">
        <v>-859.4</v>
      </c>
      <c r="R5648">
        <v>0</v>
      </c>
      <c r="V5648">
        <v>42.97</v>
      </c>
      <c r="W5648">
        <v>42.97</v>
      </c>
      <c r="X5648">
        <v>42.97</v>
      </c>
      <c r="Y5648">
        <v>42.97</v>
      </c>
      <c r="Z5648">
        <v>42.97</v>
      </c>
      <c r="AA5648">
        <v>42.97</v>
      </c>
      <c r="AB5648" s="1">
        <v>42382</v>
      </c>
      <c r="AC5648" t="s">
        <v>53</v>
      </c>
      <c r="AD5648" t="s">
        <v>53</v>
      </c>
      <c r="AK5648">
        <v>0</v>
      </c>
      <c r="AU5648" s="6">
        <v>42338</v>
      </c>
      <c r="AV5648" s="6">
        <v>42338</v>
      </c>
      <c r="AW5648" t="s">
        <v>54</v>
      </c>
      <c r="AX5648" t="str">
        <f t="shared" si="478"/>
        <v>FOR</v>
      </c>
      <c r="AY5648" t="s">
        <v>55</v>
      </c>
    </row>
    <row r="5649" spans="1:51">
      <c r="A5649">
        <v>102885</v>
      </c>
      <c r="B5649" t="s">
        <v>1004</v>
      </c>
      <c r="C5649" t="str">
        <f t="shared" si="477"/>
        <v>00488410010</v>
      </c>
      <c r="D5649" t="str">
        <f t="shared" si="477"/>
        <v>00488410010</v>
      </c>
      <c r="E5649" t="s">
        <v>52</v>
      </c>
      <c r="F5649">
        <v>2015</v>
      </c>
      <c r="G5649" t="s">
        <v>1114</v>
      </c>
      <c r="H5649" s="1">
        <v>42283</v>
      </c>
      <c r="I5649" s="1">
        <v>42299</v>
      </c>
      <c r="J5649" s="1">
        <v>42298</v>
      </c>
      <c r="K5649" s="1">
        <v>42358</v>
      </c>
      <c r="L5649" s="7">
        <v>104.4</v>
      </c>
      <c r="M5649" s="5">
        <v>-20</v>
      </c>
      <c r="N5649" s="7">
        <v>-2088</v>
      </c>
      <c r="O5649">
        <v>104.4</v>
      </c>
      <c r="P5649">
        <v>-20</v>
      </c>
      <c r="Q5649" s="2">
        <v>-2088</v>
      </c>
      <c r="R5649">
        <v>0</v>
      </c>
      <c r="V5649">
        <v>104.4</v>
      </c>
      <c r="W5649">
        <v>104.4</v>
      </c>
      <c r="X5649">
        <v>104.4</v>
      </c>
      <c r="Y5649">
        <v>104.4</v>
      </c>
      <c r="Z5649">
        <v>104.4</v>
      </c>
      <c r="AA5649">
        <v>104.4</v>
      </c>
      <c r="AB5649" s="1">
        <v>42382</v>
      </c>
      <c r="AC5649" t="s">
        <v>53</v>
      </c>
      <c r="AD5649" t="s">
        <v>53</v>
      </c>
      <c r="AK5649">
        <v>0</v>
      </c>
      <c r="AU5649" s="6">
        <v>42338</v>
      </c>
      <c r="AV5649" s="6">
        <v>42338</v>
      </c>
      <c r="AW5649" t="s">
        <v>54</v>
      </c>
      <c r="AX5649" t="str">
        <f t="shared" si="478"/>
        <v>FOR</v>
      </c>
      <c r="AY5649" t="s">
        <v>55</v>
      </c>
    </row>
    <row r="5650" spans="1:51">
      <c r="A5650">
        <v>102885</v>
      </c>
      <c r="B5650" t="s">
        <v>1004</v>
      </c>
      <c r="C5650" t="str">
        <f t="shared" si="477"/>
        <v>00488410010</v>
      </c>
      <c r="D5650" t="str">
        <f t="shared" si="477"/>
        <v>00488410010</v>
      </c>
      <c r="E5650" t="s">
        <v>52</v>
      </c>
      <c r="F5650">
        <v>2015</v>
      </c>
      <c r="G5650" t="s">
        <v>1115</v>
      </c>
      <c r="H5650" s="1">
        <v>42283</v>
      </c>
      <c r="I5650" s="1">
        <v>42299</v>
      </c>
      <c r="J5650" s="1">
        <v>42298</v>
      </c>
      <c r="K5650" s="1">
        <v>42358</v>
      </c>
      <c r="L5650" s="7">
        <v>42.97</v>
      </c>
      <c r="M5650" s="5">
        <v>-20</v>
      </c>
      <c r="N5650" s="7">
        <v>-859.4</v>
      </c>
      <c r="O5650">
        <v>42.97</v>
      </c>
      <c r="P5650">
        <v>-20</v>
      </c>
      <c r="Q5650">
        <v>-859.4</v>
      </c>
      <c r="R5650">
        <v>0</v>
      </c>
      <c r="V5650">
        <v>42.97</v>
      </c>
      <c r="W5650">
        <v>42.97</v>
      </c>
      <c r="X5650">
        <v>42.97</v>
      </c>
      <c r="Y5650">
        <v>42.97</v>
      </c>
      <c r="Z5650">
        <v>42.97</v>
      </c>
      <c r="AA5650">
        <v>42.97</v>
      </c>
      <c r="AB5650" s="1">
        <v>42382</v>
      </c>
      <c r="AC5650" t="s">
        <v>53</v>
      </c>
      <c r="AD5650" t="s">
        <v>53</v>
      </c>
      <c r="AK5650">
        <v>0</v>
      </c>
      <c r="AU5650" s="6">
        <v>42338</v>
      </c>
      <c r="AV5650" s="6">
        <v>42338</v>
      </c>
      <c r="AW5650" t="s">
        <v>54</v>
      </c>
      <c r="AX5650" t="str">
        <f t="shared" si="478"/>
        <v>FOR</v>
      </c>
      <c r="AY5650" t="s">
        <v>55</v>
      </c>
    </row>
    <row r="5651" spans="1:51">
      <c r="A5651">
        <v>102885</v>
      </c>
      <c r="B5651" t="s">
        <v>1004</v>
      </c>
      <c r="C5651" t="str">
        <f t="shared" ref="C5651:D5667" si="479">"00488410010"</f>
        <v>00488410010</v>
      </c>
      <c r="D5651" t="str">
        <f t="shared" si="479"/>
        <v>00488410010</v>
      </c>
      <c r="E5651" t="s">
        <v>52</v>
      </c>
      <c r="F5651">
        <v>2015</v>
      </c>
      <c r="G5651" t="s">
        <v>1116</v>
      </c>
      <c r="H5651" s="1">
        <v>42283</v>
      </c>
      <c r="I5651" s="1">
        <v>42299</v>
      </c>
      <c r="J5651" s="1">
        <v>42298</v>
      </c>
      <c r="K5651" s="1">
        <v>42358</v>
      </c>
      <c r="L5651" s="7">
        <v>42.97</v>
      </c>
      <c r="M5651" s="5">
        <v>-20</v>
      </c>
      <c r="N5651" s="7">
        <v>-859.4</v>
      </c>
      <c r="O5651">
        <v>42.97</v>
      </c>
      <c r="P5651">
        <v>-20</v>
      </c>
      <c r="Q5651">
        <v>-859.4</v>
      </c>
      <c r="R5651">
        <v>0</v>
      </c>
      <c r="V5651">
        <v>42.97</v>
      </c>
      <c r="W5651">
        <v>42.97</v>
      </c>
      <c r="X5651">
        <v>42.97</v>
      </c>
      <c r="Y5651">
        <v>42.97</v>
      </c>
      <c r="Z5651">
        <v>42.97</v>
      </c>
      <c r="AA5651">
        <v>42.97</v>
      </c>
      <c r="AB5651" s="1">
        <v>42382</v>
      </c>
      <c r="AC5651" t="s">
        <v>53</v>
      </c>
      <c r="AD5651" t="s">
        <v>53</v>
      </c>
      <c r="AK5651">
        <v>0</v>
      </c>
      <c r="AU5651" s="6">
        <v>42338</v>
      </c>
      <c r="AV5651" s="6">
        <v>42338</v>
      </c>
      <c r="AW5651" t="s">
        <v>54</v>
      </c>
      <c r="AX5651" t="str">
        <f t="shared" si="478"/>
        <v>FOR</v>
      </c>
      <c r="AY5651" t="s">
        <v>55</v>
      </c>
    </row>
    <row r="5652" spans="1:51">
      <c r="A5652">
        <v>102885</v>
      </c>
      <c r="B5652" t="s">
        <v>1004</v>
      </c>
      <c r="C5652" t="str">
        <f t="shared" si="479"/>
        <v>00488410010</v>
      </c>
      <c r="D5652" t="str">
        <f t="shared" si="479"/>
        <v>00488410010</v>
      </c>
      <c r="E5652" t="s">
        <v>52</v>
      </c>
      <c r="F5652">
        <v>2015</v>
      </c>
      <c r="G5652" t="s">
        <v>1117</v>
      </c>
      <c r="H5652" s="1">
        <v>42283</v>
      </c>
      <c r="I5652" s="1">
        <v>42299</v>
      </c>
      <c r="J5652" s="1">
        <v>42298</v>
      </c>
      <c r="K5652" s="1">
        <v>42358</v>
      </c>
      <c r="L5652" s="7">
        <v>1300.51</v>
      </c>
      <c r="M5652" s="5">
        <v>-20</v>
      </c>
      <c r="N5652" s="7">
        <v>-26010.2</v>
      </c>
      <c r="O5652" s="2">
        <v>1300.51</v>
      </c>
      <c r="P5652">
        <v>-20</v>
      </c>
      <c r="Q5652" s="2">
        <v>-26010.2</v>
      </c>
      <c r="R5652">
        <v>0</v>
      </c>
      <c r="V5652" s="2">
        <v>1300.51</v>
      </c>
      <c r="W5652" s="2">
        <v>1300.51</v>
      </c>
      <c r="X5652" s="2">
        <v>1300.51</v>
      </c>
      <c r="Y5652" s="2">
        <v>1300.51</v>
      </c>
      <c r="Z5652" s="2">
        <v>1300.51</v>
      </c>
      <c r="AA5652" s="2">
        <v>1300.51</v>
      </c>
      <c r="AB5652" s="1">
        <v>42382</v>
      </c>
      <c r="AC5652" t="s">
        <v>53</v>
      </c>
      <c r="AD5652" t="s">
        <v>53</v>
      </c>
      <c r="AK5652">
        <v>0</v>
      </c>
      <c r="AU5652" s="6">
        <v>42338</v>
      </c>
      <c r="AV5652" s="6">
        <v>42338</v>
      </c>
      <c r="AW5652" t="s">
        <v>54</v>
      </c>
      <c r="AX5652" t="str">
        <f t="shared" si="478"/>
        <v>FOR</v>
      </c>
      <c r="AY5652" t="s">
        <v>55</v>
      </c>
    </row>
    <row r="5653" spans="1:51">
      <c r="A5653">
        <v>102885</v>
      </c>
      <c r="B5653" t="s">
        <v>1004</v>
      </c>
      <c r="C5653" t="str">
        <f t="shared" si="479"/>
        <v>00488410010</v>
      </c>
      <c r="D5653" t="str">
        <f t="shared" si="479"/>
        <v>00488410010</v>
      </c>
      <c r="E5653" t="s">
        <v>52</v>
      </c>
      <c r="F5653">
        <v>2015</v>
      </c>
      <c r="G5653">
        <v>220815800014875</v>
      </c>
      <c r="H5653" s="1">
        <v>42222</v>
      </c>
      <c r="I5653" s="1">
        <v>42234</v>
      </c>
      <c r="J5653" s="1">
        <v>42234</v>
      </c>
      <c r="K5653" s="1">
        <v>42294</v>
      </c>
      <c r="L5653" s="7">
        <v>10950.35</v>
      </c>
      <c r="M5653" s="5">
        <v>-11</v>
      </c>
      <c r="N5653" s="7">
        <v>-120453.85</v>
      </c>
      <c r="O5653" s="2">
        <v>10950.35</v>
      </c>
      <c r="P5653">
        <v>-11</v>
      </c>
      <c r="Q5653" s="2">
        <v>-120453.85</v>
      </c>
      <c r="R5653">
        <v>0</v>
      </c>
      <c r="V5653">
        <v>0</v>
      </c>
      <c r="W5653">
        <v>0</v>
      </c>
      <c r="X5653">
        <v>0</v>
      </c>
      <c r="Y5653" s="2">
        <v>10950.35</v>
      </c>
      <c r="Z5653" s="2">
        <v>10950.35</v>
      </c>
      <c r="AA5653" s="2">
        <v>10950.35</v>
      </c>
      <c r="AB5653" s="1">
        <v>42382</v>
      </c>
      <c r="AC5653" t="s">
        <v>53</v>
      </c>
      <c r="AD5653" t="s">
        <v>53</v>
      </c>
      <c r="AK5653">
        <v>0</v>
      </c>
      <c r="AU5653" s="6">
        <v>42283</v>
      </c>
      <c r="AV5653" s="6">
        <v>42283</v>
      </c>
      <c r="AW5653" t="s">
        <v>54</v>
      </c>
      <c r="AX5653" t="str">
        <f t="shared" si="478"/>
        <v>FOR</v>
      </c>
      <c r="AY5653" t="s">
        <v>55</v>
      </c>
    </row>
    <row r="5654" spans="1:51">
      <c r="A5654">
        <v>102885</v>
      </c>
      <c r="B5654" t="s">
        <v>1004</v>
      </c>
      <c r="C5654" t="str">
        <f t="shared" si="479"/>
        <v>00488410010</v>
      </c>
      <c r="D5654" t="str">
        <f t="shared" si="479"/>
        <v>00488410010</v>
      </c>
      <c r="E5654" t="s">
        <v>52</v>
      </c>
      <c r="F5654">
        <v>2015</v>
      </c>
      <c r="G5654">
        <v>220815800018973</v>
      </c>
      <c r="H5654" s="1">
        <v>42283</v>
      </c>
      <c r="I5654" s="1">
        <v>42299</v>
      </c>
      <c r="J5654" s="1">
        <v>42298</v>
      </c>
      <c r="K5654" s="1">
        <v>42358</v>
      </c>
      <c r="L5654" s="7">
        <v>9997.2800000000007</v>
      </c>
      <c r="M5654" s="5">
        <v>-20</v>
      </c>
      <c r="N5654" s="7">
        <v>-199945.60000000001</v>
      </c>
      <c r="O5654" s="2">
        <v>9997.2800000000007</v>
      </c>
      <c r="P5654">
        <v>-20</v>
      </c>
      <c r="Q5654" s="2">
        <v>-199945.60000000001</v>
      </c>
      <c r="R5654">
        <v>0</v>
      </c>
      <c r="V5654" s="2">
        <v>9997.2800000000007</v>
      </c>
      <c r="W5654" s="2">
        <v>9997.2800000000007</v>
      </c>
      <c r="X5654" s="2">
        <v>9997.2800000000007</v>
      </c>
      <c r="Y5654" s="2">
        <v>9997.2800000000007</v>
      </c>
      <c r="Z5654" s="2">
        <v>9997.2800000000007</v>
      </c>
      <c r="AA5654" s="2">
        <v>9997.2800000000007</v>
      </c>
      <c r="AB5654" s="1">
        <v>42382</v>
      </c>
      <c r="AC5654" t="s">
        <v>53</v>
      </c>
      <c r="AD5654" t="s">
        <v>53</v>
      </c>
      <c r="AK5654">
        <v>0</v>
      </c>
      <c r="AU5654" s="6">
        <v>42338</v>
      </c>
      <c r="AV5654" s="6">
        <v>42338</v>
      </c>
      <c r="AW5654" t="s">
        <v>54</v>
      </c>
      <c r="AX5654" t="str">
        <f t="shared" si="478"/>
        <v>FOR</v>
      </c>
      <c r="AY5654" t="s">
        <v>55</v>
      </c>
    </row>
    <row r="5655" spans="1:51">
      <c r="A5655">
        <v>102885</v>
      </c>
      <c r="B5655" t="s">
        <v>1004</v>
      </c>
      <c r="C5655" t="str">
        <f t="shared" si="479"/>
        <v>00488410010</v>
      </c>
      <c r="D5655" t="str">
        <f t="shared" si="479"/>
        <v>00488410010</v>
      </c>
      <c r="E5655" t="s">
        <v>52</v>
      </c>
      <c r="F5655">
        <v>2015</v>
      </c>
      <c r="G5655">
        <v>820150814000414</v>
      </c>
      <c r="H5655" s="1">
        <v>42240</v>
      </c>
      <c r="I5655" s="1">
        <v>42242</v>
      </c>
      <c r="J5655" s="1">
        <v>42241</v>
      </c>
      <c r="K5655" s="1">
        <v>42301</v>
      </c>
      <c r="L5655" s="7">
        <v>79.010000000000005</v>
      </c>
      <c r="M5655" s="5">
        <v>-18</v>
      </c>
      <c r="N5655" s="7">
        <v>-1422.18</v>
      </c>
      <c r="O5655">
        <v>79.010000000000005</v>
      </c>
      <c r="P5655">
        <v>-18</v>
      </c>
      <c r="Q5655" s="2">
        <v>-1422.18</v>
      </c>
      <c r="R5655">
        <v>0</v>
      </c>
      <c r="V5655">
        <v>0</v>
      </c>
      <c r="W5655">
        <v>0</v>
      </c>
      <c r="X5655">
        <v>0</v>
      </c>
      <c r="Y5655">
        <v>79.010000000000005</v>
      </c>
      <c r="Z5655">
        <v>79.010000000000005</v>
      </c>
      <c r="AA5655">
        <v>79.010000000000005</v>
      </c>
      <c r="AB5655" s="1">
        <v>42382</v>
      </c>
      <c r="AC5655" t="s">
        <v>53</v>
      </c>
      <c r="AD5655" t="s">
        <v>53</v>
      </c>
      <c r="AK5655">
        <v>0</v>
      </c>
      <c r="AU5655" s="6">
        <v>42283</v>
      </c>
      <c r="AV5655" s="6">
        <v>42283</v>
      </c>
      <c r="AW5655" t="s">
        <v>54</v>
      </c>
      <c r="AX5655" t="str">
        <f t="shared" si="478"/>
        <v>FOR</v>
      </c>
      <c r="AY5655" t="s">
        <v>55</v>
      </c>
    </row>
    <row r="5656" spans="1:51">
      <c r="A5656">
        <v>102885</v>
      </c>
      <c r="B5656" t="s">
        <v>1004</v>
      </c>
      <c r="C5656" t="str">
        <f t="shared" si="479"/>
        <v>00488410010</v>
      </c>
      <c r="D5656" t="str">
        <f t="shared" si="479"/>
        <v>00488410010</v>
      </c>
      <c r="E5656" t="s">
        <v>52</v>
      </c>
      <c r="F5656">
        <v>2015</v>
      </c>
      <c r="G5656">
        <v>820150814000415</v>
      </c>
      <c r="H5656" s="1">
        <v>42240</v>
      </c>
      <c r="I5656" s="1">
        <v>42242</v>
      </c>
      <c r="J5656" s="1">
        <v>42241</v>
      </c>
      <c r="K5656" s="1">
        <v>42301</v>
      </c>
      <c r="L5656" s="7">
        <v>287.01</v>
      </c>
      <c r="M5656" s="5">
        <v>-18</v>
      </c>
      <c r="N5656" s="7">
        <v>-5166.18</v>
      </c>
      <c r="O5656">
        <v>287.01</v>
      </c>
      <c r="P5656">
        <v>-18</v>
      </c>
      <c r="Q5656" s="2">
        <v>-5166.18</v>
      </c>
      <c r="R5656">
        <v>0</v>
      </c>
      <c r="V5656">
        <v>0</v>
      </c>
      <c r="W5656">
        <v>0</v>
      </c>
      <c r="X5656">
        <v>0</v>
      </c>
      <c r="Y5656">
        <v>287.01</v>
      </c>
      <c r="Z5656">
        <v>287.01</v>
      </c>
      <c r="AA5656">
        <v>287.01</v>
      </c>
      <c r="AB5656" s="1">
        <v>42382</v>
      </c>
      <c r="AC5656" t="s">
        <v>53</v>
      </c>
      <c r="AD5656" t="s">
        <v>53</v>
      </c>
      <c r="AK5656">
        <v>0</v>
      </c>
      <c r="AU5656" s="6">
        <v>42283</v>
      </c>
      <c r="AV5656" s="6">
        <v>42283</v>
      </c>
      <c r="AW5656" t="s">
        <v>54</v>
      </c>
      <c r="AX5656" t="str">
        <f t="shared" si="478"/>
        <v>FOR</v>
      </c>
      <c r="AY5656" t="s">
        <v>55</v>
      </c>
    </row>
    <row r="5657" spans="1:51" hidden="1">
      <c r="A5657">
        <v>102885</v>
      </c>
      <c r="B5657" t="s">
        <v>1004</v>
      </c>
      <c r="C5657" t="str">
        <f t="shared" si="479"/>
        <v>00488410010</v>
      </c>
      <c r="D5657" t="str">
        <f t="shared" si="479"/>
        <v>00488410010</v>
      </c>
      <c r="E5657" t="s">
        <v>52</v>
      </c>
      <c r="F5657">
        <v>2015</v>
      </c>
      <c r="G5657">
        <v>820150914000727</v>
      </c>
      <c r="H5657" s="1">
        <v>42263</v>
      </c>
      <c r="I5657" s="1">
        <v>42268</v>
      </c>
      <c r="J5657" s="1">
        <v>42266</v>
      </c>
      <c r="K5657" s="1">
        <v>42326</v>
      </c>
      <c r="N5657" s="5"/>
      <c r="O5657">
        <v>140.6</v>
      </c>
      <c r="P5657">
        <v>-49</v>
      </c>
      <c r="Q5657" s="2">
        <v>-6889.4</v>
      </c>
      <c r="R5657">
        <v>0</v>
      </c>
      <c r="V5657">
        <v>0</v>
      </c>
      <c r="W5657">
        <v>0</v>
      </c>
      <c r="X5657">
        <v>0</v>
      </c>
      <c r="Y5657">
        <v>140.6</v>
      </c>
      <c r="Z5657">
        <v>140.6</v>
      </c>
      <c r="AA5657">
        <v>140.6</v>
      </c>
      <c r="AB5657" s="1">
        <v>42382</v>
      </c>
      <c r="AC5657" t="s">
        <v>53</v>
      </c>
      <c r="AD5657" t="s">
        <v>53</v>
      </c>
      <c r="AK5657">
        <v>0</v>
      </c>
      <c r="AU5657" s="6">
        <v>42277</v>
      </c>
      <c r="AV5657" s="6">
        <v>42277</v>
      </c>
      <c r="AW5657" t="s">
        <v>54</v>
      </c>
      <c r="AX5657" t="str">
        <f t="shared" si="478"/>
        <v>FOR</v>
      </c>
      <c r="AY5657" t="s">
        <v>55</v>
      </c>
    </row>
    <row r="5658" spans="1:51" hidden="1">
      <c r="A5658">
        <v>102885</v>
      </c>
      <c r="B5658" t="s">
        <v>1004</v>
      </c>
      <c r="C5658" t="str">
        <f t="shared" si="479"/>
        <v>00488410010</v>
      </c>
      <c r="D5658" t="str">
        <f t="shared" si="479"/>
        <v>00488410010</v>
      </c>
      <c r="E5658" t="s">
        <v>52</v>
      </c>
      <c r="F5658">
        <v>2015</v>
      </c>
      <c r="G5658">
        <v>820150914000730</v>
      </c>
      <c r="H5658" s="1">
        <v>42263</v>
      </c>
      <c r="I5658" s="1">
        <v>42268</v>
      </c>
      <c r="J5658" s="1">
        <v>42266</v>
      </c>
      <c r="K5658" s="1">
        <v>42326</v>
      </c>
      <c r="N5658" s="5"/>
      <c r="O5658">
        <v>46.48</v>
      </c>
      <c r="P5658">
        <v>-49</v>
      </c>
      <c r="Q5658" s="2">
        <v>-2277.52</v>
      </c>
      <c r="R5658">
        <v>0</v>
      </c>
      <c r="V5658">
        <v>0</v>
      </c>
      <c r="W5658">
        <v>0</v>
      </c>
      <c r="X5658">
        <v>0</v>
      </c>
      <c r="Y5658">
        <v>46.48</v>
      </c>
      <c r="Z5658">
        <v>46.48</v>
      </c>
      <c r="AA5658">
        <v>46.48</v>
      </c>
      <c r="AB5658" s="1">
        <v>42382</v>
      </c>
      <c r="AC5658" t="s">
        <v>53</v>
      </c>
      <c r="AD5658" t="s">
        <v>53</v>
      </c>
      <c r="AK5658">
        <v>0</v>
      </c>
      <c r="AU5658" s="6">
        <v>42277</v>
      </c>
      <c r="AV5658" s="6">
        <v>42277</v>
      </c>
      <c r="AW5658" t="s">
        <v>54</v>
      </c>
      <c r="AX5658" t="str">
        <f t="shared" si="478"/>
        <v>FOR</v>
      </c>
      <c r="AY5658" t="s">
        <v>55</v>
      </c>
    </row>
    <row r="5659" spans="1:51" hidden="1">
      <c r="A5659">
        <v>102885</v>
      </c>
      <c r="B5659" t="s">
        <v>1004</v>
      </c>
      <c r="C5659" t="str">
        <f t="shared" si="479"/>
        <v>00488410010</v>
      </c>
      <c r="D5659" t="str">
        <f t="shared" si="479"/>
        <v>00488410010</v>
      </c>
      <c r="E5659" t="s">
        <v>52</v>
      </c>
      <c r="F5659">
        <v>2015</v>
      </c>
      <c r="G5659">
        <v>820150914000733</v>
      </c>
      <c r="H5659" s="1">
        <v>42263</v>
      </c>
      <c r="I5659" s="1">
        <v>42268</v>
      </c>
      <c r="J5659" s="1">
        <v>42266</v>
      </c>
      <c r="K5659" s="1">
        <v>42326</v>
      </c>
      <c r="N5659" s="5"/>
      <c r="O5659">
        <v>81.180000000000007</v>
      </c>
      <c r="P5659">
        <v>-49</v>
      </c>
      <c r="Q5659" s="2">
        <v>-3977.82</v>
      </c>
      <c r="R5659">
        <v>0</v>
      </c>
      <c r="V5659">
        <v>0</v>
      </c>
      <c r="W5659">
        <v>0</v>
      </c>
      <c r="X5659">
        <v>0</v>
      </c>
      <c r="Y5659">
        <v>81.180000000000007</v>
      </c>
      <c r="Z5659">
        <v>81.180000000000007</v>
      </c>
      <c r="AA5659">
        <v>81.180000000000007</v>
      </c>
      <c r="AB5659" s="1">
        <v>42382</v>
      </c>
      <c r="AC5659" t="s">
        <v>53</v>
      </c>
      <c r="AD5659" t="s">
        <v>53</v>
      </c>
      <c r="AK5659">
        <v>0</v>
      </c>
      <c r="AU5659" s="6">
        <v>42277</v>
      </c>
      <c r="AV5659" s="6">
        <v>42277</v>
      </c>
      <c r="AW5659" t="s">
        <v>54</v>
      </c>
      <c r="AX5659" t="str">
        <f t="shared" si="478"/>
        <v>FOR</v>
      </c>
      <c r="AY5659" t="s">
        <v>55</v>
      </c>
    </row>
    <row r="5660" spans="1:51" hidden="1">
      <c r="A5660">
        <v>102885</v>
      </c>
      <c r="B5660" t="s">
        <v>1004</v>
      </c>
      <c r="C5660" t="str">
        <f t="shared" si="479"/>
        <v>00488410010</v>
      </c>
      <c r="D5660" t="str">
        <f t="shared" si="479"/>
        <v>00488410010</v>
      </c>
      <c r="E5660" t="s">
        <v>52</v>
      </c>
      <c r="F5660">
        <v>2015</v>
      </c>
      <c r="G5660">
        <v>820150914000734</v>
      </c>
      <c r="H5660" s="1">
        <v>42263</v>
      </c>
      <c r="I5660" s="1">
        <v>42268</v>
      </c>
      <c r="J5660" s="1">
        <v>42266</v>
      </c>
      <c r="K5660" s="1">
        <v>42326</v>
      </c>
      <c r="N5660" s="5"/>
      <c r="O5660">
        <v>46.48</v>
      </c>
      <c r="P5660">
        <v>-49</v>
      </c>
      <c r="Q5660" s="2">
        <v>-2277.52</v>
      </c>
      <c r="R5660">
        <v>0</v>
      </c>
      <c r="V5660">
        <v>0</v>
      </c>
      <c r="W5660">
        <v>0</v>
      </c>
      <c r="X5660">
        <v>0</v>
      </c>
      <c r="Y5660">
        <v>46.48</v>
      </c>
      <c r="Z5660">
        <v>46.48</v>
      </c>
      <c r="AA5660">
        <v>46.48</v>
      </c>
      <c r="AB5660" s="1">
        <v>42382</v>
      </c>
      <c r="AC5660" t="s">
        <v>53</v>
      </c>
      <c r="AD5660" t="s">
        <v>53</v>
      </c>
      <c r="AK5660">
        <v>0</v>
      </c>
      <c r="AU5660" s="6">
        <v>42277</v>
      </c>
      <c r="AV5660" s="6">
        <v>42277</v>
      </c>
      <c r="AW5660" t="s">
        <v>54</v>
      </c>
      <c r="AX5660" t="str">
        <f t="shared" si="478"/>
        <v>FOR</v>
      </c>
      <c r="AY5660" t="s">
        <v>55</v>
      </c>
    </row>
    <row r="5661" spans="1:51" hidden="1">
      <c r="A5661">
        <v>102885</v>
      </c>
      <c r="B5661" t="s">
        <v>1004</v>
      </c>
      <c r="C5661" t="str">
        <f t="shared" si="479"/>
        <v>00488410010</v>
      </c>
      <c r="D5661" t="str">
        <f t="shared" si="479"/>
        <v>00488410010</v>
      </c>
      <c r="E5661" t="s">
        <v>52</v>
      </c>
      <c r="F5661">
        <v>2015</v>
      </c>
      <c r="G5661">
        <v>820150914000736</v>
      </c>
      <c r="H5661" s="1">
        <v>42263</v>
      </c>
      <c r="I5661" s="1">
        <v>42268</v>
      </c>
      <c r="J5661" s="1">
        <v>42266</v>
      </c>
      <c r="K5661" s="1">
        <v>42326</v>
      </c>
      <c r="N5661" s="5"/>
      <c r="O5661">
        <v>46.48</v>
      </c>
      <c r="P5661">
        <v>-49</v>
      </c>
      <c r="Q5661" s="2">
        <v>-2277.52</v>
      </c>
      <c r="R5661">
        <v>0</v>
      </c>
      <c r="V5661">
        <v>0</v>
      </c>
      <c r="W5661">
        <v>0</v>
      </c>
      <c r="X5661">
        <v>0</v>
      </c>
      <c r="Y5661">
        <v>46.48</v>
      </c>
      <c r="Z5661">
        <v>46.48</v>
      </c>
      <c r="AA5661">
        <v>46.48</v>
      </c>
      <c r="AB5661" s="1">
        <v>42382</v>
      </c>
      <c r="AC5661" t="s">
        <v>53</v>
      </c>
      <c r="AD5661" t="s">
        <v>53</v>
      </c>
      <c r="AK5661">
        <v>0</v>
      </c>
      <c r="AU5661" s="6">
        <v>42277</v>
      </c>
      <c r="AV5661" s="6">
        <v>42277</v>
      </c>
      <c r="AW5661" t="s">
        <v>54</v>
      </c>
      <c r="AX5661" t="str">
        <f t="shared" si="478"/>
        <v>FOR</v>
      </c>
      <c r="AY5661" t="s">
        <v>55</v>
      </c>
    </row>
    <row r="5662" spans="1:51">
      <c r="A5662">
        <v>102885</v>
      </c>
      <c r="B5662" t="s">
        <v>1004</v>
      </c>
      <c r="C5662" t="str">
        <f t="shared" si="479"/>
        <v>00488410010</v>
      </c>
      <c r="D5662" t="str">
        <f t="shared" si="479"/>
        <v>00488410010</v>
      </c>
      <c r="E5662" t="s">
        <v>52</v>
      </c>
      <c r="F5662">
        <v>2015</v>
      </c>
      <c r="G5662">
        <v>820150914000761</v>
      </c>
      <c r="H5662" s="1">
        <v>42264</v>
      </c>
      <c r="I5662" s="1">
        <v>42272</v>
      </c>
      <c r="J5662" s="1">
        <v>42269</v>
      </c>
      <c r="K5662" s="1">
        <v>42329</v>
      </c>
      <c r="L5662" s="7">
        <v>2.4900000000000002</v>
      </c>
      <c r="M5662" s="5">
        <v>-30</v>
      </c>
      <c r="N5662" s="7">
        <v>-74.7</v>
      </c>
      <c r="O5662">
        <v>2.4900000000000002</v>
      </c>
      <c r="P5662">
        <v>-30</v>
      </c>
      <c r="Q5662">
        <v>-74.7</v>
      </c>
      <c r="R5662">
        <v>0</v>
      </c>
      <c r="V5662">
        <v>0</v>
      </c>
      <c r="W5662">
        <v>0</v>
      </c>
      <c r="X5662">
        <v>0</v>
      </c>
      <c r="Y5662">
        <v>2.4900000000000002</v>
      </c>
      <c r="Z5662">
        <v>2.4900000000000002</v>
      </c>
      <c r="AA5662">
        <v>2.4900000000000002</v>
      </c>
      <c r="AB5662" s="1">
        <v>42382</v>
      </c>
      <c r="AC5662" t="s">
        <v>53</v>
      </c>
      <c r="AD5662" t="s">
        <v>53</v>
      </c>
      <c r="AK5662">
        <v>0</v>
      </c>
      <c r="AU5662" s="6">
        <v>42299</v>
      </c>
      <c r="AV5662" s="6">
        <v>42299</v>
      </c>
      <c r="AW5662" t="s">
        <v>54</v>
      </c>
      <c r="AX5662" t="str">
        <f t="shared" si="478"/>
        <v>FOR</v>
      </c>
      <c r="AY5662" t="s">
        <v>55</v>
      </c>
    </row>
    <row r="5663" spans="1:51">
      <c r="A5663">
        <v>102885</v>
      </c>
      <c r="B5663" t="s">
        <v>1004</v>
      </c>
      <c r="C5663" t="str">
        <f t="shared" si="479"/>
        <v>00488410010</v>
      </c>
      <c r="D5663" t="str">
        <f t="shared" si="479"/>
        <v>00488410010</v>
      </c>
      <c r="E5663" t="s">
        <v>52</v>
      </c>
      <c r="F5663">
        <v>2015</v>
      </c>
      <c r="G5663">
        <v>820150914000769</v>
      </c>
      <c r="H5663" s="1">
        <v>42264</v>
      </c>
      <c r="I5663" s="1">
        <v>42272</v>
      </c>
      <c r="J5663" s="1">
        <v>42269</v>
      </c>
      <c r="K5663" s="1">
        <v>42329</v>
      </c>
      <c r="L5663" s="7">
        <v>109.46</v>
      </c>
      <c r="M5663" s="5">
        <v>-30</v>
      </c>
      <c r="N5663" s="7">
        <v>-3283.8</v>
      </c>
      <c r="O5663">
        <v>109.46</v>
      </c>
      <c r="P5663">
        <v>-30</v>
      </c>
      <c r="Q5663" s="2">
        <v>-3283.8</v>
      </c>
      <c r="R5663">
        <v>0</v>
      </c>
      <c r="V5663">
        <v>0</v>
      </c>
      <c r="W5663">
        <v>0</v>
      </c>
      <c r="X5663">
        <v>0</v>
      </c>
      <c r="Y5663">
        <v>109.46</v>
      </c>
      <c r="Z5663">
        <v>109.46</v>
      </c>
      <c r="AA5663">
        <v>109.46</v>
      </c>
      <c r="AB5663" s="1">
        <v>42382</v>
      </c>
      <c r="AC5663" t="s">
        <v>53</v>
      </c>
      <c r="AD5663" t="s">
        <v>53</v>
      </c>
      <c r="AK5663">
        <v>0</v>
      </c>
      <c r="AU5663" s="6">
        <v>42299</v>
      </c>
      <c r="AV5663" s="6">
        <v>42299</v>
      </c>
      <c r="AW5663" t="s">
        <v>54</v>
      </c>
      <c r="AX5663" t="str">
        <f t="shared" si="478"/>
        <v>FOR</v>
      </c>
      <c r="AY5663" t="s">
        <v>55</v>
      </c>
    </row>
    <row r="5664" spans="1:51">
      <c r="A5664">
        <v>102885</v>
      </c>
      <c r="B5664" t="s">
        <v>1004</v>
      </c>
      <c r="C5664" t="str">
        <f t="shared" si="479"/>
        <v>00488410010</v>
      </c>
      <c r="D5664" t="str">
        <f t="shared" si="479"/>
        <v>00488410010</v>
      </c>
      <c r="E5664" t="s">
        <v>52</v>
      </c>
      <c r="F5664">
        <v>2015</v>
      </c>
      <c r="G5664">
        <v>820150914000772</v>
      </c>
      <c r="H5664" s="1">
        <v>42264</v>
      </c>
      <c r="I5664" s="1">
        <v>42272</v>
      </c>
      <c r="J5664" s="1">
        <v>42269</v>
      </c>
      <c r="K5664" s="1">
        <v>42329</v>
      </c>
      <c r="L5664" s="7">
        <v>46.55</v>
      </c>
      <c r="M5664" s="5">
        <v>-30</v>
      </c>
      <c r="N5664" s="7">
        <v>-1396.5</v>
      </c>
      <c r="O5664">
        <v>46.55</v>
      </c>
      <c r="P5664">
        <v>-30</v>
      </c>
      <c r="Q5664" s="2">
        <v>-1396.5</v>
      </c>
      <c r="R5664">
        <v>0</v>
      </c>
      <c r="V5664">
        <v>0</v>
      </c>
      <c r="W5664">
        <v>0</v>
      </c>
      <c r="X5664">
        <v>0</v>
      </c>
      <c r="Y5664">
        <v>46.55</v>
      </c>
      <c r="Z5664">
        <v>46.55</v>
      </c>
      <c r="AA5664">
        <v>46.55</v>
      </c>
      <c r="AB5664" s="1">
        <v>42382</v>
      </c>
      <c r="AC5664" t="s">
        <v>53</v>
      </c>
      <c r="AD5664" t="s">
        <v>53</v>
      </c>
      <c r="AK5664">
        <v>0</v>
      </c>
      <c r="AU5664" s="6">
        <v>42299</v>
      </c>
      <c r="AV5664" s="6">
        <v>42299</v>
      </c>
      <c r="AW5664" t="s">
        <v>54</v>
      </c>
      <c r="AX5664" t="str">
        <f t="shared" si="478"/>
        <v>FOR</v>
      </c>
      <c r="AY5664" t="s">
        <v>55</v>
      </c>
    </row>
    <row r="5665" spans="1:51">
      <c r="A5665">
        <v>102885</v>
      </c>
      <c r="B5665" t="s">
        <v>1004</v>
      </c>
      <c r="C5665" t="str">
        <f t="shared" si="479"/>
        <v>00488410010</v>
      </c>
      <c r="D5665" t="str">
        <f t="shared" si="479"/>
        <v>00488410010</v>
      </c>
      <c r="E5665" t="s">
        <v>52</v>
      </c>
      <c r="F5665">
        <v>2015</v>
      </c>
      <c r="G5665">
        <v>820150914000774</v>
      </c>
      <c r="H5665" s="1">
        <v>42264</v>
      </c>
      <c r="I5665" s="1">
        <v>42272</v>
      </c>
      <c r="J5665" s="1">
        <v>42269</v>
      </c>
      <c r="K5665" s="1">
        <v>42329</v>
      </c>
      <c r="L5665" s="7">
        <v>576.77</v>
      </c>
      <c r="M5665" s="5">
        <v>-30</v>
      </c>
      <c r="N5665" s="7">
        <v>-17303.099999999999</v>
      </c>
      <c r="O5665">
        <v>576.77</v>
      </c>
      <c r="P5665">
        <v>-30</v>
      </c>
      <c r="Q5665" s="2">
        <v>-17303.099999999999</v>
      </c>
      <c r="R5665">
        <v>0</v>
      </c>
      <c r="V5665">
        <v>0</v>
      </c>
      <c r="W5665">
        <v>0</v>
      </c>
      <c r="X5665">
        <v>0</v>
      </c>
      <c r="Y5665">
        <v>576.77</v>
      </c>
      <c r="Z5665">
        <v>576.77</v>
      </c>
      <c r="AA5665">
        <v>576.77</v>
      </c>
      <c r="AB5665" s="1">
        <v>42382</v>
      </c>
      <c r="AC5665" t="s">
        <v>53</v>
      </c>
      <c r="AD5665" t="s">
        <v>53</v>
      </c>
      <c r="AK5665">
        <v>0</v>
      </c>
      <c r="AU5665" s="6">
        <v>42299</v>
      </c>
      <c r="AV5665" s="6">
        <v>42299</v>
      </c>
      <c r="AW5665" t="s">
        <v>54</v>
      </c>
      <c r="AX5665" t="str">
        <f t="shared" si="478"/>
        <v>FOR</v>
      </c>
      <c r="AY5665" t="s">
        <v>55</v>
      </c>
    </row>
    <row r="5666" spans="1:51">
      <c r="A5666">
        <v>102885</v>
      </c>
      <c r="B5666" t="s">
        <v>1004</v>
      </c>
      <c r="C5666" t="str">
        <f t="shared" si="479"/>
        <v>00488410010</v>
      </c>
      <c r="D5666" t="str">
        <f t="shared" si="479"/>
        <v>00488410010</v>
      </c>
      <c r="E5666" t="s">
        <v>52</v>
      </c>
      <c r="F5666">
        <v>2015</v>
      </c>
      <c r="G5666">
        <v>820151014001596</v>
      </c>
      <c r="H5666" s="1">
        <v>42303</v>
      </c>
      <c r="I5666" s="1">
        <v>42305</v>
      </c>
      <c r="J5666" s="1">
        <v>42304</v>
      </c>
      <c r="K5666" s="1">
        <v>42364</v>
      </c>
      <c r="L5666" s="7">
        <v>68.17</v>
      </c>
      <c r="M5666" s="5">
        <v>-26</v>
      </c>
      <c r="N5666" s="7">
        <v>-1772.42</v>
      </c>
      <c r="O5666">
        <v>68.17</v>
      </c>
      <c r="P5666">
        <v>-26</v>
      </c>
      <c r="Q5666" s="2">
        <v>-1772.42</v>
      </c>
      <c r="R5666">
        <v>0</v>
      </c>
      <c r="V5666">
        <v>68.17</v>
      </c>
      <c r="W5666">
        <v>68.17</v>
      </c>
      <c r="X5666">
        <v>68.17</v>
      </c>
      <c r="Y5666">
        <v>68.17</v>
      </c>
      <c r="Z5666">
        <v>68.17</v>
      </c>
      <c r="AA5666">
        <v>68.17</v>
      </c>
      <c r="AB5666" s="1">
        <v>42382</v>
      </c>
      <c r="AC5666" t="s">
        <v>53</v>
      </c>
      <c r="AD5666" t="s">
        <v>53</v>
      </c>
      <c r="AK5666">
        <v>0</v>
      </c>
      <c r="AU5666" s="6">
        <v>42338</v>
      </c>
      <c r="AV5666" s="6">
        <v>42338</v>
      </c>
      <c r="AW5666" t="s">
        <v>54</v>
      </c>
      <c r="AX5666" t="str">
        <f t="shared" si="478"/>
        <v>FOR</v>
      </c>
      <c r="AY5666" t="s">
        <v>55</v>
      </c>
    </row>
    <row r="5667" spans="1:51">
      <c r="A5667">
        <v>102885</v>
      </c>
      <c r="B5667" t="s">
        <v>1004</v>
      </c>
      <c r="C5667" t="str">
        <f t="shared" si="479"/>
        <v>00488410010</v>
      </c>
      <c r="D5667" t="str">
        <f t="shared" si="479"/>
        <v>00488410010</v>
      </c>
      <c r="E5667" t="s">
        <v>52</v>
      </c>
      <c r="F5667">
        <v>2015</v>
      </c>
      <c r="G5667">
        <v>820151014001599</v>
      </c>
      <c r="H5667" s="1">
        <v>42303</v>
      </c>
      <c r="I5667" s="1">
        <v>42305</v>
      </c>
      <c r="J5667" s="1">
        <v>42304</v>
      </c>
      <c r="K5667" s="1">
        <v>42364</v>
      </c>
      <c r="L5667" s="7">
        <v>46.54</v>
      </c>
      <c r="M5667" s="5">
        <v>-26</v>
      </c>
      <c r="N5667" s="7">
        <v>-1210.04</v>
      </c>
      <c r="O5667">
        <v>46.54</v>
      </c>
      <c r="P5667">
        <v>-26</v>
      </c>
      <c r="Q5667" s="2">
        <v>-1210.04</v>
      </c>
      <c r="R5667">
        <v>0</v>
      </c>
      <c r="V5667">
        <v>46.54</v>
      </c>
      <c r="W5667">
        <v>46.54</v>
      </c>
      <c r="X5667">
        <v>46.54</v>
      </c>
      <c r="Y5667">
        <v>46.54</v>
      </c>
      <c r="Z5667">
        <v>46.54</v>
      </c>
      <c r="AA5667">
        <v>46.54</v>
      </c>
      <c r="AB5667" s="1">
        <v>42382</v>
      </c>
      <c r="AC5667" t="s">
        <v>53</v>
      </c>
      <c r="AD5667" t="s">
        <v>53</v>
      </c>
      <c r="AK5667">
        <v>0</v>
      </c>
      <c r="AU5667" s="6">
        <v>42338</v>
      </c>
      <c r="AV5667" s="6">
        <v>42338</v>
      </c>
      <c r="AW5667" t="s">
        <v>54</v>
      </c>
      <c r="AX5667" t="str">
        <f t="shared" si="478"/>
        <v>FOR</v>
      </c>
      <c r="AY5667" t="s">
        <v>55</v>
      </c>
    </row>
    <row r="5668" spans="1:51" hidden="1">
      <c r="A5668">
        <v>102916</v>
      </c>
      <c r="B5668" t="s">
        <v>1118</v>
      </c>
      <c r="C5668" t="str">
        <f t="shared" ref="C5668:D5687" si="480">"05673940630"</f>
        <v>05673940630</v>
      </c>
      <c r="D5668" t="str">
        <f t="shared" si="480"/>
        <v>05673940630</v>
      </c>
      <c r="E5668" t="s">
        <v>52</v>
      </c>
      <c r="F5668">
        <v>2009</v>
      </c>
      <c r="G5668">
        <v>364</v>
      </c>
      <c r="H5668" s="1">
        <v>40098</v>
      </c>
      <c r="I5668" s="1">
        <v>42096</v>
      </c>
      <c r="J5668" s="1">
        <v>42096</v>
      </c>
      <c r="K5668" s="1">
        <v>42156</v>
      </c>
      <c r="N5668" s="5"/>
      <c r="O5668">
        <v>132</v>
      </c>
      <c r="P5668">
        <v>-24</v>
      </c>
      <c r="Q5668" s="2">
        <v>-3168</v>
      </c>
      <c r="R5668">
        <v>0</v>
      </c>
      <c r="V5668">
        <v>0</v>
      </c>
      <c r="W5668">
        <v>0</v>
      </c>
      <c r="X5668">
        <v>0</v>
      </c>
      <c r="Y5668">
        <v>0</v>
      </c>
      <c r="Z5668">
        <v>132</v>
      </c>
      <c r="AA5668">
        <v>0</v>
      </c>
      <c r="AB5668" s="1">
        <v>42382</v>
      </c>
      <c r="AC5668" t="s">
        <v>53</v>
      </c>
      <c r="AD5668" t="s">
        <v>53</v>
      </c>
      <c r="AK5668">
        <v>0</v>
      </c>
      <c r="AU5668" s="6">
        <v>42132</v>
      </c>
      <c r="AV5668" s="6">
        <v>42132</v>
      </c>
      <c r="AW5668" t="s">
        <v>54</v>
      </c>
      <c r="AX5668" t="str">
        <f t="shared" si="478"/>
        <v>FOR</v>
      </c>
      <c r="AY5668" t="s">
        <v>55</v>
      </c>
    </row>
    <row r="5669" spans="1:51" hidden="1">
      <c r="A5669">
        <v>102916</v>
      </c>
      <c r="B5669" t="s">
        <v>1118</v>
      </c>
      <c r="C5669" t="str">
        <f t="shared" si="480"/>
        <v>05673940630</v>
      </c>
      <c r="D5669" t="str">
        <f t="shared" si="480"/>
        <v>05673940630</v>
      </c>
      <c r="E5669" t="s">
        <v>52</v>
      </c>
      <c r="F5669">
        <v>2009</v>
      </c>
      <c r="G5669">
        <v>365</v>
      </c>
      <c r="H5669" s="1">
        <v>40098</v>
      </c>
      <c r="I5669" s="1">
        <v>42096</v>
      </c>
      <c r="J5669" s="1">
        <v>42096</v>
      </c>
      <c r="K5669" s="1">
        <v>42156</v>
      </c>
      <c r="N5669" s="5"/>
      <c r="O5669">
        <v>168</v>
      </c>
      <c r="P5669">
        <v>-24</v>
      </c>
      <c r="Q5669" s="2">
        <v>-4032</v>
      </c>
      <c r="R5669">
        <v>0</v>
      </c>
      <c r="V5669">
        <v>0</v>
      </c>
      <c r="W5669">
        <v>0</v>
      </c>
      <c r="X5669">
        <v>0</v>
      </c>
      <c r="Y5669">
        <v>0</v>
      </c>
      <c r="Z5669">
        <v>168</v>
      </c>
      <c r="AA5669">
        <v>0</v>
      </c>
      <c r="AB5669" s="1">
        <v>42382</v>
      </c>
      <c r="AC5669" t="s">
        <v>53</v>
      </c>
      <c r="AD5669" t="s">
        <v>53</v>
      </c>
      <c r="AK5669">
        <v>0</v>
      </c>
      <c r="AU5669" s="6">
        <v>42132</v>
      </c>
      <c r="AV5669" s="6">
        <v>42132</v>
      </c>
      <c r="AW5669" t="s">
        <v>54</v>
      </c>
      <c r="AX5669" t="str">
        <f t="shared" si="478"/>
        <v>FOR</v>
      </c>
      <c r="AY5669" t="s">
        <v>55</v>
      </c>
    </row>
    <row r="5670" spans="1:51" hidden="1">
      <c r="A5670">
        <v>102916</v>
      </c>
      <c r="B5670" t="s">
        <v>1118</v>
      </c>
      <c r="C5670" t="str">
        <f t="shared" si="480"/>
        <v>05673940630</v>
      </c>
      <c r="D5670" t="str">
        <f t="shared" si="480"/>
        <v>05673940630</v>
      </c>
      <c r="E5670" t="s">
        <v>52</v>
      </c>
      <c r="F5670">
        <v>2009</v>
      </c>
      <c r="G5670">
        <v>400</v>
      </c>
      <c r="H5670" s="1">
        <v>40129</v>
      </c>
      <c r="I5670" s="1">
        <v>42096</v>
      </c>
      <c r="J5670" s="1">
        <v>42096</v>
      </c>
      <c r="K5670" s="1">
        <v>42156</v>
      </c>
      <c r="N5670" s="5"/>
      <c r="O5670">
        <v>870</v>
      </c>
      <c r="P5670">
        <v>-24</v>
      </c>
      <c r="Q5670" s="2">
        <v>-20880</v>
      </c>
      <c r="R5670">
        <v>0</v>
      </c>
      <c r="V5670">
        <v>0</v>
      </c>
      <c r="W5670">
        <v>0</v>
      </c>
      <c r="X5670">
        <v>0</v>
      </c>
      <c r="Y5670">
        <v>0</v>
      </c>
      <c r="Z5670">
        <v>870</v>
      </c>
      <c r="AA5670">
        <v>0</v>
      </c>
      <c r="AB5670" s="1">
        <v>42382</v>
      </c>
      <c r="AC5670" t="s">
        <v>53</v>
      </c>
      <c r="AD5670" t="s">
        <v>53</v>
      </c>
      <c r="AK5670">
        <v>0</v>
      </c>
      <c r="AU5670" s="6">
        <v>42132</v>
      </c>
      <c r="AV5670" s="6">
        <v>42132</v>
      </c>
      <c r="AW5670" t="s">
        <v>54</v>
      </c>
      <c r="AX5670" t="str">
        <f t="shared" si="478"/>
        <v>FOR</v>
      </c>
      <c r="AY5670" t="s">
        <v>55</v>
      </c>
    </row>
    <row r="5671" spans="1:51" hidden="1">
      <c r="A5671">
        <v>102916</v>
      </c>
      <c r="B5671" t="s">
        <v>1118</v>
      </c>
      <c r="C5671" t="str">
        <f t="shared" si="480"/>
        <v>05673940630</v>
      </c>
      <c r="D5671" t="str">
        <f t="shared" si="480"/>
        <v>05673940630</v>
      </c>
      <c r="E5671" t="s">
        <v>52</v>
      </c>
      <c r="F5671">
        <v>2009</v>
      </c>
      <c r="G5671">
        <v>412</v>
      </c>
      <c r="H5671" s="1">
        <v>40136</v>
      </c>
      <c r="I5671" s="1">
        <v>42096</v>
      </c>
      <c r="J5671" s="1">
        <v>42096</v>
      </c>
      <c r="K5671" s="1">
        <v>42156</v>
      </c>
      <c r="N5671" s="5"/>
      <c r="O5671" s="2">
        <v>1531.2</v>
      </c>
      <c r="P5671">
        <v>-24</v>
      </c>
      <c r="Q5671" s="2">
        <v>-36748.800000000003</v>
      </c>
      <c r="R5671">
        <v>0</v>
      </c>
      <c r="V5671">
        <v>0</v>
      </c>
      <c r="W5671">
        <v>0</v>
      </c>
      <c r="X5671">
        <v>0</v>
      </c>
      <c r="Y5671">
        <v>0</v>
      </c>
      <c r="Z5671" s="2">
        <v>1531.2</v>
      </c>
      <c r="AA5671">
        <v>0</v>
      </c>
      <c r="AB5671" s="1">
        <v>42382</v>
      </c>
      <c r="AC5671" t="s">
        <v>53</v>
      </c>
      <c r="AD5671" t="s">
        <v>53</v>
      </c>
      <c r="AK5671">
        <v>0</v>
      </c>
      <c r="AU5671" s="6">
        <v>42132</v>
      </c>
      <c r="AV5671" s="6">
        <v>42132</v>
      </c>
      <c r="AW5671" t="s">
        <v>54</v>
      </c>
      <c r="AX5671" t="str">
        <f t="shared" si="478"/>
        <v>FOR</v>
      </c>
      <c r="AY5671" t="s">
        <v>55</v>
      </c>
    </row>
    <row r="5672" spans="1:51" hidden="1">
      <c r="A5672">
        <v>102916</v>
      </c>
      <c r="B5672" t="s">
        <v>1118</v>
      </c>
      <c r="C5672" t="str">
        <f t="shared" si="480"/>
        <v>05673940630</v>
      </c>
      <c r="D5672" t="str">
        <f t="shared" si="480"/>
        <v>05673940630</v>
      </c>
      <c r="E5672" t="s">
        <v>52</v>
      </c>
      <c r="F5672">
        <v>2014</v>
      </c>
      <c r="G5672">
        <v>174</v>
      </c>
      <c r="H5672" s="1">
        <v>41690</v>
      </c>
      <c r="I5672" s="1">
        <v>41702</v>
      </c>
      <c r="J5672" s="1">
        <v>41702</v>
      </c>
      <c r="K5672" s="1">
        <v>41792</v>
      </c>
      <c r="N5672" s="5"/>
      <c r="O5672" s="2">
        <v>2415.6</v>
      </c>
      <c r="P5672">
        <v>245</v>
      </c>
      <c r="Q5672" s="2">
        <v>591822</v>
      </c>
      <c r="R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 s="1">
        <v>42382</v>
      </c>
      <c r="AC5672" t="s">
        <v>53</v>
      </c>
      <c r="AD5672" t="s">
        <v>53</v>
      </c>
      <c r="AK5672">
        <v>0</v>
      </c>
      <c r="AU5672" s="6">
        <v>42037</v>
      </c>
      <c r="AV5672" s="6">
        <v>42037</v>
      </c>
      <c r="AW5672" t="s">
        <v>54</v>
      </c>
      <c r="AX5672" t="str">
        <f t="shared" si="478"/>
        <v>FOR</v>
      </c>
      <c r="AY5672" t="s">
        <v>55</v>
      </c>
    </row>
    <row r="5673" spans="1:51" hidden="1">
      <c r="A5673">
        <v>102916</v>
      </c>
      <c r="B5673" t="s">
        <v>1118</v>
      </c>
      <c r="C5673" t="str">
        <f t="shared" si="480"/>
        <v>05673940630</v>
      </c>
      <c r="D5673" t="str">
        <f t="shared" si="480"/>
        <v>05673940630</v>
      </c>
      <c r="E5673" t="s">
        <v>52</v>
      </c>
      <c r="F5673">
        <v>2014</v>
      </c>
      <c r="G5673">
        <v>179</v>
      </c>
      <c r="H5673" s="1">
        <v>41696</v>
      </c>
      <c r="I5673" s="1">
        <v>41712</v>
      </c>
      <c r="J5673" s="1">
        <v>41712</v>
      </c>
      <c r="K5673" s="1">
        <v>41802</v>
      </c>
      <c r="N5673" s="5"/>
      <c r="O5673" s="2">
        <v>2440</v>
      </c>
      <c r="P5673">
        <v>216</v>
      </c>
      <c r="Q5673" s="2">
        <v>527040</v>
      </c>
      <c r="R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 s="1">
        <v>42382</v>
      </c>
      <c r="AC5673" t="s">
        <v>53</v>
      </c>
      <c r="AD5673" t="s">
        <v>53</v>
      </c>
      <c r="AK5673">
        <v>0</v>
      </c>
      <c r="AU5673" s="6">
        <v>42018</v>
      </c>
      <c r="AV5673" s="6">
        <v>42018</v>
      </c>
      <c r="AW5673" t="s">
        <v>54</v>
      </c>
      <c r="AX5673" t="str">
        <f t="shared" si="478"/>
        <v>FOR</v>
      </c>
      <c r="AY5673" t="s">
        <v>55</v>
      </c>
    </row>
    <row r="5674" spans="1:51" hidden="1">
      <c r="A5674">
        <v>102916</v>
      </c>
      <c r="B5674" t="s">
        <v>1118</v>
      </c>
      <c r="C5674" t="str">
        <f t="shared" si="480"/>
        <v>05673940630</v>
      </c>
      <c r="D5674" t="str">
        <f t="shared" si="480"/>
        <v>05673940630</v>
      </c>
      <c r="E5674" t="s">
        <v>52</v>
      </c>
      <c r="F5674">
        <v>2014</v>
      </c>
      <c r="G5674">
        <v>216</v>
      </c>
      <c r="H5674" s="1">
        <v>41702</v>
      </c>
      <c r="I5674" s="1">
        <v>41711</v>
      </c>
      <c r="J5674" s="1">
        <v>41711</v>
      </c>
      <c r="K5674" s="1">
        <v>41801</v>
      </c>
      <c r="N5674" s="5"/>
      <c r="O5674" s="2">
        <v>3552.64</v>
      </c>
      <c r="P5674">
        <v>329</v>
      </c>
      <c r="Q5674" s="2">
        <v>1168818.56</v>
      </c>
      <c r="R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 s="1">
        <v>42382</v>
      </c>
      <c r="AC5674" t="s">
        <v>53</v>
      </c>
      <c r="AD5674" t="s">
        <v>53</v>
      </c>
      <c r="AK5674">
        <v>0</v>
      </c>
      <c r="AU5674" s="6">
        <v>42130</v>
      </c>
      <c r="AV5674" s="6">
        <v>42130</v>
      </c>
      <c r="AW5674" t="s">
        <v>54</v>
      </c>
      <c r="AX5674" t="str">
        <f t="shared" si="478"/>
        <v>FOR</v>
      </c>
      <c r="AY5674" t="s">
        <v>55</v>
      </c>
    </row>
    <row r="5675" spans="1:51" hidden="1">
      <c r="A5675">
        <v>102916</v>
      </c>
      <c r="B5675" t="s">
        <v>1118</v>
      </c>
      <c r="C5675" t="str">
        <f t="shared" si="480"/>
        <v>05673940630</v>
      </c>
      <c r="D5675" t="str">
        <f t="shared" si="480"/>
        <v>05673940630</v>
      </c>
      <c r="E5675" t="s">
        <v>52</v>
      </c>
      <c r="F5675">
        <v>2014</v>
      </c>
      <c r="G5675">
        <v>447</v>
      </c>
      <c r="H5675" s="1">
        <v>41743</v>
      </c>
      <c r="I5675" s="1">
        <v>41771</v>
      </c>
      <c r="J5675" s="1">
        <v>41771</v>
      </c>
      <c r="K5675" s="1">
        <v>41861</v>
      </c>
      <c r="N5675" s="5"/>
      <c r="O5675" s="2">
        <v>2415.6</v>
      </c>
      <c r="P5675">
        <v>269</v>
      </c>
      <c r="Q5675" s="2">
        <v>649796.4</v>
      </c>
      <c r="R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 s="1">
        <v>42382</v>
      </c>
      <c r="AC5675" t="s">
        <v>53</v>
      </c>
      <c r="AD5675" t="s">
        <v>53</v>
      </c>
      <c r="AK5675">
        <v>0</v>
      </c>
      <c r="AU5675" s="6">
        <v>42130</v>
      </c>
      <c r="AV5675" s="6">
        <v>42130</v>
      </c>
      <c r="AW5675" t="s">
        <v>54</v>
      </c>
      <c r="AX5675" t="str">
        <f t="shared" si="478"/>
        <v>FOR</v>
      </c>
      <c r="AY5675" t="s">
        <v>55</v>
      </c>
    </row>
    <row r="5676" spans="1:51" hidden="1">
      <c r="A5676">
        <v>102916</v>
      </c>
      <c r="B5676" t="s">
        <v>1118</v>
      </c>
      <c r="C5676" t="str">
        <f t="shared" si="480"/>
        <v>05673940630</v>
      </c>
      <c r="D5676" t="str">
        <f t="shared" si="480"/>
        <v>05673940630</v>
      </c>
      <c r="E5676" t="s">
        <v>52</v>
      </c>
      <c r="F5676">
        <v>2014</v>
      </c>
      <c r="G5676">
        <v>533</v>
      </c>
      <c r="H5676" s="1">
        <v>41768</v>
      </c>
      <c r="I5676" s="1">
        <v>41779</v>
      </c>
      <c r="J5676" s="1">
        <v>41779</v>
      </c>
      <c r="K5676" s="1">
        <v>41869</v>
      </c>
      <c r="N5676" s="5"/>
      <c r="O5676" s="2">
        <v>1464</v>
      </c>
      <c r="P5676">
        <v>261</v>
      </c>
      <c r="Q5676" s="2">
        <v>382104</v>
      </c>
      <c r="R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 s="1">
        <v>42382</v>
      </c>
      <c r="AC5676" t="s">
        <v>53</v>
      </c>
      <c r="AD5676" t="s">
        <v>53</v>
      </c>
      <c r="AK5676">
        <v>0</v>
      </c>
      <c r="AU5676" s="6">
        <v>42130</v>
      </c>
      <c r="AV5676" s="6">
        <v>42130</v>
      </c>
      <c r="AW5676" t="s">
        <v>54</v>
      </c>
      <c r="AX5676" t="str">
        <f t="shared" si="478"/>
        <v>FOR</v>
      </c>
      <c r="AY5676" t="s">
        <v>55</v>
      </c>
    </row>
    <row r="5677" spans="1:51" hidden="1">
      <c r="A5677">
        <v>102916</v>
      </c>
      <c r="B5677" t="s">
        <v>1118</v>
      </c>
      <c r="C5677" t="str">
        <f t="shared" si="480"/>
        <v>05673940630</v>
      </c>
      <c r="D5677" t="str">
        <f t="shared" si="480"/>
        <v>05673940630</v>
      </c>
      <c r="E5677" t="s">
        <v>52</v>
      </c>
      <c r="F5677">
        <v>2014</v>
      </c>
      <c r="G5677">
        <v>545</v>
      </c>
      <c r="H5677" s="1">
        <v>41768</v>
      </c>
      <c r="I5677" s="1">
        <v>41778</v>
      </c>
      <c r="J5677" s="1">
        <v>41778</v>
      </c>
      <c r="K5677" s="1">
        <v>41868</v>
      </c>
      <c r="N5677" s="5"/>
      <c r="O5677" s="2">
        <v>1316.58</v>
      </c>
      <c r="P5677">
        <v>262</v>
      </c>
      <c r="Q5677" s="2">
        <v>344943.96</v>
      </c>
      <c r="R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 s="1">
        <v>42382</v>
      </c>
      <c r="AC5677" t="s">
        <v>53</v>
      </c>
      <c r="AD5677" t="s">
        <v>53</v>
      </c>
      <c r="AK5677">
        <v>0</v>
      </c>
      <c r="AU5677" s="6">
        <v>42130</v>
      </c>
      <c r="AV5677" s="6">
        <v>42130</v>
      </c>
      <c r="AW5677" t="s">
        <v>54</v>
      </c>
      <c r="AX5677" t="str">
        <f t="shared" si="478"/>
        <v>FOR</v>
      </c>
      <c r="AY5677" t="s">
        <v>55</v>
      </c>
    </row>
    <row r="5678" spans="1:51" hidden="1">
      <c r="A5678">
        <v>102916</v>
      </c>
      <c r="B5678" t="s">
        <v>1118</v>
      </c>
      <c r="C5678" t="str">
        <f t="shared" si="480"/>
        <v>05673940630</v>
      </c>
      <c r="D5678" t="str">
        <f t="shared" si="480"/>
        <v>05673940630</v>
      </c>
      <c r="E5678" t="s">
        <v>52</v>
      </c>
      <c r="F5678">
        <v>2014</v>
      </c>
      <c r="G5678">
        <v>573</v>
      </c>
      <c r="H5678" s="1">
        <v>41778</v>
      </c>
      <c r="I5678" s="1">
        <v>41789</v>
      </c>
      <c r="J5678" s="1">
        <v>41789</v>
      </c>
      <c r="K5678" s="1">
        <v>41879</v>
      </c>
      <c r="N5678" s="5"/>
      <c r="O5678" s="2">
        <v>1207.8</v>
      </c>
      <c r="P5678">
        <v>251</v>
      </c>
      <c r="Q5678" s="2">
        <v>303157.8</v>
      </c>
      <c r="R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 s="1">
        <v>42382</v>
      </c>
      <c r="AC5678" t="s">
        <v>53</v>
      </c>
      <c r="AD5678" t="s">
        <v>53</v>
      </c>
      <c r="AK5678">
        <v>0</v>
      </c>
      <c r="AU5678" s="6">
        <v>42130</v>
      </c>
      <c r="AV5678" s="6">
        <v>42130</v>
      </c>
      <c r="AW5678" t="s">
        <v>54</v>
      </c>
      <c r="AX5678" t="str">
        <f t="shared" si="478"/>
        <v>FOR</v>
      </c>
      <c r="AY5678" t="s">
        <v>55</v>
      </c>
    </row>
    <row r="5679" spans="1:51" hidden="1">
      <c r="A5679">
        <v>102916</v>
      </c>
      <c r="B5679" t="s">
        <v>1118</v>
      </c>
      <c r="C5679" t="str">
        <f t="shared" si="480"/>
        <v>05673940630</v>
      </c>
      <c r="D5679" t="str">
        <f t="shared" si="480"/>
        <v>05673940630</v>
      </c>
      <c r="E5679" t="s">
        <v>52</v>
      </c>
      <c r="F5679">
        <v>2014</v>
      </c>
      <c r="G5679">
        <v>631</v>
      </c>
      <c r="H5679" s="1">
        <v>41789</v>
      </c>
      <c r="I5679" s="1">
        <v>41803</v>
      </c>
      <c r="J5679" s="1">
        <v>41803</v>
      </c>
      <c r="K5679" s="1">
        <v>41893</v>
      </c>
      <c r="N5679" s="5"/>
      <c r="O5679" s="2">
        <v>2440</v>
      </c>
      <c r="P5679">
        <v>237</v>
      </c>
      <c r="Q5679" s="2">
        <v>578280</v>
      </c>
      <c r="R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 s="1">
        <v>42382</v>
      </c>
      <c r="AC5679" t="s">
        <v>53</v>
      </c>
      <c r="AD5679" t="s">
        <v>53</v>
      </c>
      <c r="AK5679">
        <v>0</v>
      </c>
      <c r="AU5679" s="6">
        <v>42130</v>
      </c>
      <c r="AV5679" s="6">
        <v>42130</v>
      </c>
      <c r="AW5679" t="s">
        <v>54</v>
      </c>
      <c r="AX5679" t="str">
        <f t="shared" si="478"/>
        <v>FOR</v>
      </c>
      <c r="AY5679" t="s">
        <v>55</v>
      </c>
    </row>
    <row r="5680" spans="1:51" hidden="1">
      <c r="A5680">
        <v>102916</v>
      </c>
      <c r="B5680" t="s">
        <v>1118</v>
      </c>
      <c r="C5680" t="str">
        <f t="shared" si="480"/>
        <v>05673940630</v>
      </c>
      <c r="D5680" t="str">
        <f t="shared" si="480"/>
        <v>05673940630</v>
      </c>
      <c r="E5680" t="s">
        <v>52</v>
      </c>
      <c r="F5680">
        <v>2014</v>
      </c>
      <c r="G5680">
        <v>632</v>
      </c>
      <c r="H5680" s="1">
        <v>41789</v>
      </c>
      <c r="I5680" s="1">
        <v>41803</v>
      </c>
      <c r="J5680" s="1">
        <v>41803</v>
      </c>
      <c r="K5680" s="1">
        <v>41893</v>
      </c>
      <c r="N5680" s="5"/>
      <c r="O5680">
        <v>244</v>
      </c>
      <c r="P5680">
        <v>237</v>
      </c>
      <c r="Q5680" s="2">
        <v>57828</v>
      </c>
      <c r="R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 s="1">
        <v>42382</v>
      </c>
      <c r="AC5680" t="s">
        <v>53</v>
      </c>
      <c r="AD5680" t="s">
        <v>53</v>
      </c>
      <c r="AK5680">
        <v>0</v>
      </c>
      <c r="AU5680" s="6">
        <v>42130</v>
      </c>
      <c r="AV5680" s="6">
        <v>42130</v>
      </c>
      <c r="AW5680" t="s">
        <v>54</v>
      </c>
      <c r="AX5680" t="str">
        <f t="shared" si="478"/>
        <v>FOR</v>
      </c>
      <c r="AY5680" t="s">
        <v>55</v>
      </c>
    </row>
    <row r="5681" spans="1:51" hidden="1">
      <c r="A5681">
        <v>102916</v>
      </c>
      <c r="B5681" t="s">
        <v>1118</v>
      </c>
      <c r="C5681" t="str">
        <f t="shared" si="480"/>
        <v>05673940630</v>
      </c>
      <c r="D5681" t="str">
        <f t="shared" si="480"/>
        <v>05673940630</v>
      </c>
      <c r="E5681" t="s">
        <v>52</v>
      </c>
      <c r="F5681">
        <v>2014</v>
      </c>
      <c r="G5681">
        <v>691</v>
      </c>
      <c r="H5681" s="1">
        <v>41809</v>
      </c>
      <c r="I5681" s="1">
        <v>41820</v>
      </c>
      <c r="J5681" s="1">
        <v>41820</v>
      </c>
      <c r="K5681" s="1">
        <v>41910</v>
      </c>
      <c r="N5681" s="5"/>
      <c r="O5681" s="2">
        <v>2440</v>
      </c>
      <c r="P5681">
        <v>220</v>
      </c>
      <c r="Q5681" s="2">
        <v>536800</v>
      </c>
      <c r="R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 s="1">
        <v>42382</v>
      </c>
      <c r="AC5681" t="s">
        <v>53</v>
      </c>
      <c r="AD5681" t="s">
        <v>53</v>
      </c>
      <c r="AK5681">
        <v>0</v>
      </c>
      <c r="AU5681" s="6">
        <v>42130</v>
      </c>
      <c r="AV5681" s="6">
        <v>42130</v>
      </c>
      <c r="AW5681" t="s">
        <v>54</v>
      </c>
      <c r="AX5681" t="str">
        <f t="shared" si="478"/>
        <v>FOR</v>
      </c>
      <c r="AY5681" t="s">
        <v>55</v>
      </c>
    </row>
    <row r="5682" spans="1:51" hidden="1">
      <c r="A5682">
        <v>102916</v>
      </c>
      <c r="B5682" t="s">
        <v>1118</v>
      </c>
      <c r="C5682" t="str">
        <f t="shared" si="480"/>
        <v>05673940630</v>
      </c>
      <c r="D5682" t="str">
        <f t="shared" si="480"/>
        <v>05673940630</v>
      </c>
      <c r="E5682" t="s">
        <v>52</v>
      </c>
      <c r="F5682">
        <v>2014</v>
      </c>
      <c r="G5682">
        <v>693</v>
      </c>
      <c r="H5682" s="1">
        <v>41813</v>
      </c>
      <c r="I5682" s="1">
        <v>41817</v>
      </c>
      <c r="J5682" s="1">
        <v>41817</v>
      </c>
      <c r="K5682" s="1">
        <v>41907</v>
      </c>
      <c r="N5682" s="5"/>
      <c r="O5682" s="2">
        <v>6100</v>
      </c>
      <c r="P5682">
        <v>223</v>
      </c>
      <c r="Q5682" s="2">
        <v>1360300</v>
      </c>
      <c r="R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 s="1">
        <v>42382</v>
      </c>
      <c r="AC5682" t="s">
        <v>53</v>
      </c>
      <c r="AD5682" t="s">
        <v>53</v>
      </c>
      <c r="AK5682">
        <v>0</v>
      </c>
      <c r="AU5682" s="6">
        <v>42130</v>
      </c>
      <c r="AV5682" s="6">
        <v>42130</v>
      </c>
      <c r="AW5682" t="s">
        <v>54</v>
      </c>
      <c r="AX5682" t="str">
        <f t="shared" si="478"/>
        <v>FOR</v>
      </c>
      <c r="AY5682" t="s">
        <v>55</v>
      </c>
    </row>
    <row r="5683" spans="1:51" hidden="1">
      <c r="A5683">
        <v>102916</v>
      </c>
      <c r="B5683" t="s">
        <v>1118</v>
      </c>
      <c r="C5683" t="str">
        <f t="shared" si="480"/>
        <v>05673940630</v>
      </c>
      <c r="D5683" t="str">
        <f t="shared" si="480"/>
        <v>05673940630</v>
      </c>
      <c r="E5683" t="s">
        <v>52</v>
      </c>
      <c r="F5683">
        <v>2014</v>
      </c>
      <c r="G5683">
        <v>701</v>
      </c>
      <c r="H5683" s="1">
        <v>41814</v>
      </c>
      <c r="I5683" s="1">
        <v>41821</v>
      </c>
      <c r="J5683" s="1">
        <v>41821</v>
      </c>
      <c r="K5683" s="1">
        <v>41911</v>
      </c>
      <c r="N5683" s="5"/>
      <c r="O5683" s="2">
        <v>1061.4000000000001</v>
      </c>
      <c r="P5683">
        <v>248</v>
      </c>
      <c r="Q5683" s="2">
        <v>263227.2</v>
      </c>
      <c r="R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 s="1">
        <v>42382</v>
      </c>
      <c r="AC5683" t="s">
        <v>53</v>
      </c>
      <c r="AD5683" t="s">
        <v>53</v>
      </c>
      <c r="AK5683">
        <v>0</v>
      </c>
      <c r="AU5683" s="6">
        <v>42159</v>
      </c>
      <c r="AV5683" s="6">
        <v>42159</v>
      </c>
      <c r="AW5683" t="s">
        <v>54</v>
      </c>
      <c r="AX5683" t="str">
        <f t="shared" si="478"/>
        <v>FOR</v>
      </c>
      <c r="AY5683" t="s">
        <v>55</v>
      </c>
    </row>
    <row r="5684" spans="1:51" hidden="1">
      <c r="A5684">
        <v>102916</v>
      </c>
      <c r="B5684" t="s">
        <v>1118</v>
      </c>
      <c r="C5684" t="str">
        <f t="shared" si="480"/>
        <v>05673940630</v>
      </c>
      <c r="D5684" t="str">
        <f t="shared" si="480"/>
        <v>05673940630</v>
      </c>
      <c r="E5684" t="s">
        <v>52</v>
      </c>
      <c r="F5684">
        <v>2014</v>
      </c>
      <c r="G5684">
        <v>861</v>
      </c>
      <c r="H5684" s="1">
        <v>41849</v>
      </c>
      <c r="I5684" s="1">
        <v>41872</v>
      </c>
      <c r="J5684" s="1">
        <v>41872</v>
      </c>
      <c r="K5684" s="1">
        <v>41962</v>
      </c>
      <c r="N5684" s="5"/>
      <c r="O5684">
        <v>481.9</v>
      </c>
      <c r="P5684">
        <v>224</v>
      </c>
      <c r="Q5684" s="2">
        <v>107945.60000000001</v>
      </c>
      <c r="R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 s="1">
        <v>42382</v>
      </c>
      <c r="AC5684" t="s">
        <v>53</v>
      </c>
      <c r="AD5684" t="s">
        <v>53</v>
      </c>
      <c r="AK5684">
        <v>0</v>
      </c>
      <c r="AU5684" s="6">
        <v>42186</v>
      </c>
      <c r="AV5684" s="6">
        <v>42186</v>
      </c>
      <c r="AW5684" t="s">
        <v>54</v>
      </c>
      <c r="AX5684" t="str">
        <f t="shared" si="478"/>
        <v>FOR</v>
      </c>
      <c r="AY5684" t="s">
        <v>55</v>
      </c>
    </row>
    <row r="5685" spans="1:51" hidden="1">
      <c r="A5685">
        <v>102916</v>
      </c>
      <c r="B5685" t="s">
        <v>1118</v>
      </c>
      <c r="C5685" t="str">
        <f t="shared" si="480"/>
        <v>05673940630</v>
      </c>
      <c r="D5685" t="str">
        <f t="shared" si="480"/>
        <v>05673940630</v>
      </c>
      <c r="E5685" t="s">
        <v>52</v>
      </c>
      <c r="F5685">
        <v>2014</v>
      </c>
      <c r="G5685">
        <v>862</v>
      </c>
      <c r="H5685" s="1">
        <v>41849</v>
      </c>
      <c r="I5685" s="1">
        <v>41872</v>
      </c>
      <c r="J5685" s="1">
        <v>41872</v>
      </c>
      <c r="K5685" s="1">
        <v>41962</v>
      </c>
      <c r="N5685" s="5"/>
      <c r="O5685" s="2">
        <v>1061.4000000000001</v>
      </c>
      <c r="P5685">
        <v>224</v>
      </c>
      <c r="Q5685" s="2">
        <v>237753.60000000001</v>
      </c>
      <c r="R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 s="1">
        <v>42382</v>
      </c>
      <c r="AC5685" t="s">
        <v>53</v>
      </c>
      <c r="AD5685" t="s">
        <v>53</v>
      </c>
      <c r="AK5685">
        <v>0</v>
      </c>
      <c r="AU5685" s="6">
        <v>42186</v>
      </c>
      <c r="AV5685" s="6">
        <v>42186</v>
      </c>
      <c r="AW5685" t="s">
        <v>54</v>
      </c>
      <c r="AX5685" t="str">
        <f t="shared" si="478"/>
        <v>FOR</v>
      </c>
      <c r="AY5685" t="s">
        <v>55</v>
      </c>
    </row>
    <row r="5686" spans="1:51" hidden="1">
      <c r="A5686">
        <v>102916</v>
      </c>
      <c r="B5686" t="s">
        <v>1118</v>
      </c>
      <c r="C5686" t="str">
        <f t="shared" si="480"/>
        <v>05673940630</v>
      </c>
      <c r="D5686" t="str">
        <f t="shared" si="480"/>
        <v>05673940630</v>
      </c>
      <c r="E5686" t="s">
        <v>52</v>
      </c>
      <c r="F5686">
        <v>2014</v>
      </c>
      <c r="G5686">
        <v>926</v>
      </c>
      <c r="H5686" s="1">
        <v>41858</v>
      </c>
      <c r="I5686" s="1">
        <v>41876</v>
      </c>
      <c r="J5686" s="1">
        <v>41876</v>
      </c>
      <c r="K5686" s="1">
        <v>41966</v>
      </c>
      <c r="N5686" s="5"/>
      <c r="O5686" s="2">
        <v>2418.41</v>
      </c>
      <c r="P5686">
        <v>220</v>
      </c>
      <c r="Q5686" s="2">
        <v>532050.19999999995</v>
      </c>
      <c r="R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 s="1">
        <v>42382</v>
      </c>
      <c r="AC5686" t="s">
        <v>53</v>
      </c>
      <c r="AD5686" t="s">
        <v>53</v>
      </c>
      <c r="AK5686">
        <v>0</v>
      </c>
      <c r="AU5686" s="6">
        <v>42186</v>
      </c>
      <c r="AV5686" s="6">
        <v>42186</v>
      </c>
      <c r="AW5686" t="s">
        <v>54</v>
      </c>
      <c r="AX5686" t="str">
        <f t="shared" si="478"/>
        <v>FOR</v>
      </c>
      <c r="AY5686" t="s">
        <v>55</v>
      </c>
    </row>
    <row r="5687" spans="1:51" hidden="1">
      <c r="A5687">
        <v>102916</v>
      </c>
      <c r="B5687" t="s">
        <v>1118</v>
      </c>
      <c r="C5687" t="str">
        <f t="shared" si="480"/>
        <v>05673940630</v>
      </c>
      <c r="D5687" t="str">
        <f t="shared" si="480"/>
        <v>05673940630</v>
      </c>
      <c r="E5687" t="s">
        <v>52</v>
      </c>
      <c r="F5687">
        <v>2014</v>
      </c>
      <c r="G5687">
        <v>927</v>
      </c>
      <c r="H5687" s="1">
        <v>41858</v>
      </c>
      <c r="I5687" s="1">
        <v>41877</v>
      </c>
      <c r="J5687" s="1">
        <v>41877</v>
      </c>
      <c r="K5687" s="1">
        <v>41967</v>
      </c>
      <c r="N5687" s="5"/>
      <c r="O5687" s="2">
        <v>1083.3599999999999</v>
      </c>
      <c r="P5687">
        <v>219</v>
      </c>
      <c r="Q5687" s="2">
        <v>237255.84</v>
      </c>
      <c r="R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 s="1">
        <v>42382</v>
      </c>
      <c r="AC5687" t="s">
        <v>53</v>
      </c>
      <c r="AD5687" t="s">
        <v>53</v>
      </c>
      <c r="AK5687">
        <v>0</v>
      </c>
      <c r="AU5687" s="6">
        <v>42186</v>
      </c>
      <c r="AV5687" s="6">
        <v>42186</v>
      </c>
      <c r="AW5687" t="s">
        <v>54</v>
      </c>
      <c r="AX5687" t="str">
        <f t="shared" si="478"/>
        <v>FOR</v>
      </c>
      <c r="AY5687" t="s">
        <v>55</v>
      </c>
    </row>
    <row r="5688" spans="1:51" hidden="1">
      <c r="A5688">
        <v>102916</v>
      </c>
      <c r="B5688" t="s">
        <v>1118</v>
      </c>
      <c r="C5688" t="str">
        <f t="shared" ref="C5688:D5702" si="481">"05673940630"</f>
        <v>05673940630</v>
      </c>
      <c r="D5688" t="str">
        <f t="shared" si="481"/>
        <v>05673940630</v>
      </c>
      <c r="E5688" t="s">
        <v>52</v>
      </c>
      <c r="F5688">
        <v>2014</v>
      </c>
      <c r="G5688">
        <v>928</v>
      </c>
      <c r="H5688" s="1">
        <v>41858</v>
      </c>
      <c r="I5688" s="1">
        <v>41877</v>
      </c>
      <c r="J5688" s="1">
        <v>41877</v>
      </c>
      <c r="K5688" s="1">
        <v>41967</v>
      </c>
      <c r="N5688" s="5"/>
      <c r="O5688" s="2">
        <v>2415.6</v>
      </c>
      <c r="P5688">
        <v>219</v>
      </c>
      <c r="Q5688" s="2">
        <v>529016.4</v>
      </c>
      <c r="R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 s="1">
        <v>42382</v>
      </c>
      <c r="AC5688" t="s">
        <v>53</v>
      </c>
      <c r="AD5688" t="s">
        <v>53</v>
      </c>
      <c r="AK5688">
        <v>0</v>
      </c>
      <c r="AU5688" s="6">
        <v>42186</v>
      </c>
      <c r="AV5688" s="6">
        <v>42186</v>
      </c>
      <c r="AW5688" t="s">
        <v>54</v>
      </c>
      <c r="AX5688" t="str">
        <f t="shared" si="478"/>
        <v>FOR</v>
      </c>
      <c r="AY5688" t="s">
        <v>55</v>
      </c>
    </row>
    <row r="5689" spans="1:51" hidden="1">
      <c r="A5689">
        <v>102916</v>
      </c>
      <c r="B5689" t="s">
        <v>1118</v>
      </c>
      <c r="C5689" t="str">
        <f t="shared" si="481"/>
        <v>05673940630</v>
      </c>
      <c r="D5689" t="str">
        <f t="shared" si="481"/>
        <v>05673940630</v>
      </c>
      <c r="E5689" t="s">
        <v>52</v>
      </c>
      <c r="F5689">
        <v>2014</v>
      </c>
      <c r="G5689">
        <v>929</v>
      </c>
      <c r="H5689" s="1">
        <v>41858</v>
      </c>
      <c r="I5689" s="1">
        <v>41877</v>
      </c>
      <c r="J5689" s="1">
        <v>41877</v>
      </c>
      <c r="K5689" s="1">
        <v>41967</v>
      </c>
      <c r="N5689" s="5"/>
      <c r="O5689" s="2">
        <v>1207.8</v>
      </c>
      <c r="P5689">
        <v>219</v>
      </c>
      <c r="Q5689" s="2">
        <v>264508.2</v>
      </c>
      <c r="R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 s="1">
        <v>42382</v>
      </c>
      <c r="AC5689" t="s">
        <v>53</v>
      </c>
      <c r="AD5689" t="s">
        <v>53</v>
      </c>
      <c r="AK5689">
        <v>0</v>
      </c>
      <c r="AU5689" s="6">
        <v>42186</v>
      </c>
      <c r="AV5689" s="6">
        <v>42186</v>
      </c>
      <c r="AW5689" t="s">
        <v>54</v>
      </c>
      <c r="AX5689" t="str">
        <f t="shared" si="478"/>
        <v>FOR</v>
      </c>
      <c r="AY5689" t="s">
        <v>55</v>
      </c>
    </row>
    <row r="5690" spans="1:51" hidden="1">
      <c r="A5690">
        <v>102916</v>
      </c>
      <c r="B5690" t="s">
        <v>1118</v>
      </c>
      <c r="C5690" t="str">
        <f t="shared" si="481"/>
        <v>05673940630</v>
      </c>
      <c r="D5690" t="str">
        <f t="shared" si="481"/>
        <v>05673940630</v>
      </c>
      <c r="E5690" t="s">
        <v>52</v>
      </c>
      <c r="F5690">
        <v>2014</v>
      </c>
      <c r="G5690">
        <v>931</v>
      </c>
      <c r="H5690" s="1">
        <v>41859</v>
      </c>
      <c r="I5690" s="1">
        <v>41891</v>
      </c>
      <c r="J5690" s="1">
        <v>41891</v>
      </c>
      <c r="K5690" s="1">
        <v>41981</v>
      </c>
      <c r="N5690" s="5"/>
      <c r="O5690" s="2">
        <v>2440</v>
      </c>
      <c r="P5690">
        <v>205</v>
      </c>
      <c r="Q5690" s="2">
        <v>500200</v>
      </c>
      <c r="R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 s="1">
        <v>42382</v>
      </c>
      <c r="AC5690" t="s">
        <v>53</v>
      </c>
      <c r="AD5690" t="s">
        <v>53</v>
      </c>
      <c r="AK5690">
        <v>0</v>
      </c>
      <c r="AU5690" s="6">
        <v>42186</v>
      </c>
      <c r="AV5690" s="6">
        <v>42186</v>
      </c>
      <c r="AW5690" t="s">
        <v>54</v>
      </c>
      <c r="AX5690" t="str">
        <f t="shared" si="478"/>
        <v>FOR</v>
      </c>
      <c r="AY5690" t="s">
        <v>55</v>
      </c>
    </row>
    <row r="5691" spans="1:51" hidden="1">
      <c r="A5691">
        <v>102916</v>
      </c>
      <c r="B5691" t="s">
        <v>1118</v>
      </c>
      <c r="C5691" t="str">
        <f t="shared" si="481"/>
        <v>05673940630</v>
      </c>
      <c r="D5691" t="str">
        <f t="shared" si="481"/>
        <v>05673940630</v>
      </c>
      <c r="E5691" t="s">
        <v>52</v>
      </c>
      <c r="F5691">
        <v>2014</v>
      </c>
      <c r="G5691">
        <v>1034</v>
      </c>
      <c r="H5691" s="1">
        <v>41904</v>
      </c>
      <c r="I5691" s="1">
        <v>41920</v>
      </c>
      <c r="J5691" s="1">
        <v>41920</v>
      </c>
      <c r="K5691" s="1">
        <v>42010</v>
      </c>
      <c r="N5691" s="5"/>
      <c r="O5691">
        <v>481.9</v>
      </c>
      <c r="P5691">
        <v>238</v>
      </c>
      <c r="Q5691" s="2">
        <v>114692.2</v>
      </c>
      <c r="R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 s="1">
        <v>42382</v>
      </c>
      <c r="AC5691" t="s">
        <v>53</v>
      </c>
      <c r="AD5691" t="s">
        <v>53</v>
      </c>
      <c r="AK5691">
        <v>0</v>
      </c>
      <c r="AU5691" s="6">
        <v>42248</v>
      </c>
      <c r="AV5691" s="6">
        <v>42248</v>
      </c>
      <c r="AW5691" t="s">
        <v>54</v>
      </c>
      <c r="AX5691" t="str">
        <f t="shared" si="478"/>
        <v>FOR</v>
      </c>
      <c r="AY5691" t="s">
        <v>55</v>
      </c>
    </row>
    <row r="5692" spans="1:51">
      <c r="A5692">
        <v>102916</v>
      </c>
      <c r="B5692" t="s">
        <v>1118</v>
      </c>
      <c r="C5692" t="str">
        <f t="shared" si="481"/>
        <v>05673940630</v>
      </c>
      <c r="D5692" t="str">
        <f t="shared" si="481"/>
        <v>05673940630</v>
      </c>
      <c r="E5692" t="s">
        <v>52</v>
      </c>
      <c r="F5692">
        <v>2014</v>
      </c>
      <c r="G5692">
        <v>1171</v>
      </c>
      <c r="H5692" s="1">
        <v>41935</v>
      </c>
      <c r="I5692" s="1">
        <v>41948</v>
      </c>
      <c r="J5692" s="1">
        <v>41948</v>
      </c>
      <c r="K5692" s="1">
        <v>42008</v>
      </c>
      <c r="L5692" s="7">
        <v>3123.2</v>
      </c>
      <c r="M5692" s="5">
        <v>275</v>
      </c>
      <c r="N5692" s="7">
        <v>858880</v>
      </c>
      <c r="O5692" s="2">
        <v>3123.2</v>
      </c>
      <c r="P5692">
        <v>275</v>
      </c>
      <c r="Q5692" s="2">
        <v>858880</v>
      </c>
      <c r="R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 s="1">
        <v>42382</v>
      </c>
      <c r="AC5692" t="s">
        <v>53</v>
      </c>
      <c r="AD5692" t="s">
        <v>53</v>
      </c>
      <c r="AK5692">
        <v>0</v>
      </c>
      <c r="AU5692" s="6">
        <v>42283</v>
      </c>
      <c r="AV5692" s="6">
        <v>42283</v>
      </c>
      <c r="AW5692" t="s">
        <v>54</v>
      </c>
      <c r="AX5692" t="str">
        <f t="shared" si="478"/>
        <v>FOR</v>
      </c>
      <c r="AY5692" t="s">
        <v>55</v>
      </c>
    </row>
    <row r="5693" spans="1:51">
      <c r="A5693">
        <v>102916</v>
      </c>
      <c r="B5693" t="s">
        <v>1118</v>
      </c>
      <c r="C5693" t="str">
        <f t="shared" si="481"/>
        <v>05673940630</v>
      </c>
      <c r="D5693" t="str">
        <f t="shared" si="481"/>
        <v>05673940630</v>
      </c>
      <c r="E5693" t="s">
        <v>52</v>
      </c>
      <c r="F5693">
        <v>2014</v>
      </c>
      <c r="G5693">
        <v>1227</v>
      </c>
      <c r="H5693" s="1">
        <v>41946</v>
      </c>
      <c r="I5693" s="1">
        <v>41956</v>
      </c>
      <c r="J5693" s="1">
        <v>41956</v>
      </c>
      <c r="K5693" s="1">
        <v>42016</v>
      </c>
      <c r="L5693" s="7">
        <v>2122.8000000000002</v>
      </c>
      <c r="M5693" s="5">
        <v>267</v>
      </c>
      <c r="N5693" s="7">
        <v>566787.6</v>
      </c>
      <c r="O5693" s="2">
        <v>2122.8000000000002</v>
      </c>
      <c r="P5693">
        <v>267</v>
      </c>
      <c r="Q5693" s="2">
        <v>566787.6</v>
      </c>
      <c r="R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 s="1">
        <v>42382</v>
      </c>
      <c r="AC5693" t="s">
        <v>53</v>
      </c>
      <c r="AD5693" t="s">
        <v>53</v>
      </c>
      <c r="AK5693">
        <v>0</v>
      </c>
      <c r="AU5693" s="6">
        <v>42283</v>
      </c>
      <c r="AV5693" s="6">
        <v>42283</v>
      </c>
      <c r="AW5693" t="s">
        <v>54</v>
      </c>
      <c r="AX5693" t="str">
        <f t="shared" si="478"/>
        <v>FOR</v>
      </c>
      <c r="AY5693" t="s">
        <v>55</v>
      </c>
    </row>
    <row r="5694" spans="1:51">
      <c r="A5694">
        <v>102916</v>
      </c>
      <c r="B5694" t="s">
        <v>1118</v>
      </c>
      <c r="C5694" t="str">
        <f t="shared" si="481"/>
        <v>05673940630</v>
      </c>
      <c r="D5694" t="str">
        <f t="shared" si="481"/>
        <v>05673940630</v>
      </c>
      <c r="E5694" t="s">
        <v>52</v>
      </c>
      <c r="F5694">
        <v>2014</v>
      </c>
      <c r="G5694">
        <v>1294</v>
      </c>
      <c r="H5694" s="1">
        <v>41957</v>
      </c>
      <c r="I5694" s="1">
        <v>41974</v>
      </c>
      <c r="J5694" s="1">
        <v>41974</v>
      </c>
      <c r="K5694" s="1">
        <v>42034</v>
      </c>
      <c r="L5694" s="7">
        <v>1464</v>
      </c>
      <c r="M5694" s="5">
        <v>249</v>
      </c>
      <c r="N5694" s="7">
        <v>364536</v>
      </c>
      <c r="O5694" s="2">
        <v>1464</v>
      </c>
      <c r="P5694">
        <v>249</v>
      </c>
      <c r="Q5694" s="2">
        <v>364536</v>
      </c>
      <c r="R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 s="1">
        <v>42382</v>
      </c>
      <c r="AC5694" t="s">
        <v>53</v>
      </c>
      <c r="AD5694" t="s">
        <v>53</v>
      </c>
      <c r="AK5694">
        <v>0</v>
      </c>
      <c r="AU5694" s="6">
        <v>42283</v>
      </c>
      <c r="AV5694" s="6">
        <v>42283</v>
      </c>
      <c r="AW5694" t="s">
        <v>54</v>
      </c>
      <c r="AX5694" t="str">
        <f t="shared" si="478"/>
        <v>FOR</v>
      </c>
      <c r="AY5694" t="s">
        <v>55</v>
      </c>
    </row>
    <row r="5695" spans="1:51">
      <c r="A5695">
        <v>102916</v>
      </c>
      <c r="B5695" t="s">
        <v>1118</v>
      </c>
      <c r="C5695" t="str">
        <f t="shared" si="481"/>
        <v>05673940630</v>
      </c>
      <c r="D5695" t="str">
        <f t="shared" si="481"/>
        <v>05673940630</v>
      </c>
      <c r="E5695" t="s">
        <v>52</v>
      </c>
      <c r="F5695">
        <v>2014</v>
      </c>
      <c r="G5695">
        <v>1306</v>
      </c>
      <c r="H5695" s="1">
        <v>41964</v>
      </c>
      <c r="I5695" s="1">
        <v>41971</v>
      </c>
      <c r="J5695" s="1">
        <v>41971</v>
      </c>
      <c r="K5695" s="1">
        <v>42031</v>
      </c>
      <c r="L5695" s="7">
        <v>1690.92</v>
      </c>
      <c r="M5695" s="5">
        <v>252</v>
      </c>
      <c r="N5695" s="7">
        <v>426111.84</v>
      </c>
      <c r="O5695" s="2">
        <v>1690.92</v>
      </c>
      <c r="P5695">
        <v>252</v>
      </c>
      <c r="Q5695" s="2">
        <v>426111.84</v>
      </c>
      <c r="R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 s="1">
        <v>42382</v>
      </c>
      <c r="AC5695" t="s">
        <v>53</v>
      </c>
      <c r="AD5695" t="s">
        <v>53</v>
      </c>
      <c r="AK5695">
        <v>0</v>
      </c>
      <c r="AU5695" s="6">
        <v>42283</v>
      </c>
      <c r="AV5695" s="6">
        <v>42283</v>
      </c>
      <c r="AW5695" t="s">
        <v>54</v>
      </c>
      <c r="AX5695" t="str">
        <f t="shared" si="478"/>
        <v>FOR</v>
      </c>
      <c r="AY5695" t="s">
        <v>55</v>
      </c>
    </row>
    <row r="5696" spans="1:51">
      <c r="A5696">
        <v>102916</v>
      </c>
      <c r="B5696" t="s">
        <v>1118</v>
      </c>
      <c r="C5696" t="str">
        <f t="shared" si="481"/>
        <v>05673940630</v>
      </c>
      <c r="D5696" t="str">
        <f t="shared" si="481"/>
        <v>05673940630</v>
      </c>
      <c r="E5696" t="s">
        <v>52</v>
      </c>
      <c r="F5696">
        <v>2014</v>
      </c>
      <c r="G5696">
        <v>1350</v>
      </c>
      <c r="H5696" s="1">
        <v>41977</v>
      </c>
      <c r="I5696" s="1">
        <v>41990</v>
      </c>
      <c r="J5696" s="1">
        <v>41990</v>
      </c>
      <c r="K5696" s="1">
        <v>42050</v>
      </c>
      <c r="L5696" s="7">
        <v>481.9</v>
      </c>
      <c r="M5696" s="5">
        <v>291</v>
      </c>
      <c r="N5696" s="7">
        <v>140232.9</v>
      </c>
      <c r="O5696">
        <v>481.9</v>
      </c>
      <c r="P5696">
        <v>291</v>
      </c>
      <c r="Q5696" s="2">
        <v>140232.9</v>
      </c>
      <c r="R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 s="1">
        <v>42382</v>
      </c>
      <c r="AC5696" t="s">
        <v>53</v>
      </c>
      <c r="AD5696" t="s">
        <v>53</v>
      </c>
      <c r="AK5696">
        <v>0</v>
      </c>
      <c r="AU5696" s="6">
        <v>42341</v>
      </c>
      <c r="AV5696" s="6">
        <v>42341</v>
      </c>
      <c r="AW5696" t="s">
        <v>54</v>
      </c>
      <c r="AX5696" t="str">
        <f t="shared" si="478"/>
        <v>FOR</v>
      </c>
      <c r="AY5696" t="s">
        <v>55</v>
      </c>
    </row>
    <row r="5697" spans="1:51">
      <c r="A5697">
        <v>102916</v>
      </c>
      <c r="B5697" t="s">
        <v>1118</v>
      </c>
      <c r="C5697" t="str">
        <f t="shared" si="481"/>
        <v>05673940630</v>
      </c>
      <c r="D5697" t="str">
        <f t="shared" si="481"/>
        <v>05673940630</v>
      </c>
      <c r="E5697" t="s">
        <v>52</v>
      </c>
      <c r="F5697">
        <v>2014</v>
      </c>
      <c r="G5697">
        <v>1409</v>
      </c>
      <c r="H5697" s="1">
        <v>41992</v>
      </c>
      <c r="I5697" s="1">
        <v>42002</v>
      </c>
      <c r="J5697" s="1">
        <v>42002</v>
      </c>
      <c r="K5697" s="1">
        <v>42062</v>
      </c>
      <c r="L5697" s="7">
        <v>2440</v>
      </c>
      <c r="M5697" s="5">
        <v>238</v>
      </c>
      <c r="N5697" s="7">
        <v>580720</v>
      </c>
      <c r="O5697" s="2">
        <v>2440</v>
      </c>
      <c r="P5697">
        <v>238</v>
      </c>
      <c r="Q5697" s="2">
        <v>580720</v>
      </c>
      <c r="R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 s="1">
        <v>42382</v>
      </c>
      <c r="AC5697" t="s">
        <v>53</v>
      </c>
      <c r="AD5697" t="s">
        <v>53</v>
      </c>
      <c r="AK5697">
        <v>0</v>
      </c>
      <c r="AU5697" s="6">
        <v>42300</v>
      </c>
      <c r="AV5697" s="6">
        <v>42300</v>
      </c>
      <c r="AW5697" t="s">
        <v>54</v>
      </c>
      <c r="AX5697" t="str">
        <f t="shared" si="478"/>
        <v>FOR</v>
      </c>
      <c r="AY5697" t="s">
        <v>55</v>
      </c>
    </row>
    <row r="5698" spans="1:51">
      <c r="A5698">
        <v>102916</v>
      </c>
      <c r="B5698" t="s">
        <v>1118</v>
      </c>
      <c r="C5698" t="str">
        <f t="shared" si="481"/>
        <v>05673940630</v>
      </c>
      <c r="D5698" t="str">
        <f t="shared" si="481"/>
        <v>05673940630</v>
      </c>
      <c r="E5698" t="s">
        <v>52</v>
      </c>
      <c r="F5698">
        <v>2014</v>
      </c>
      <c r="G5698">
        <v>1410</v>
      </c>
      <c r="H5698" s="1">
        <v>41992</v>
      </c>
      <c r="I5698" s="1">
        <v>42002</v>
      </c>
      <c r="J5698" s="1">
        <v>42002</v>
      </c>
      <c r="K5698" s="1">
        <v>42062</v>
      </c>
      <c r="L5698" s="7">
        <v>244</v>
      </c>
      <c r="M5698" s="5">
        <v>238</v>
      </c>
      <c r="N5698" s="7">
        <v>58072</v>
      </c>
      <c r="O5698">
        <v>244</v>
      </c>
      <c r="P5698">
        <v>238</v>
      </c>
      <c r="Q5698" s="2">
        <v>58072</v>
      </c>
      <c r="R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 s="1">
        <v>42382</v>
      </c>
      <c r="AC5698" t="s">
        <v>53</v>
      </c>
      <c r="AD5698" t="s">
        <v>53</v>
      </c>
      <c r="AK5698">
        <v>0</v>
      </c>
      <c r="AU5698" s="6">
        <v>42300</v>
      </c>
      <c r="AV5698" s="6">
        <v>42300</v>
      </c>
      <c r="AW5698" t="s">
        <v>54</v>
      </c>
      <c r="AX5698" t="str">
        <f t="shared" si="478"/>
        <v>FOR</v>
      </c>
      <c r="AY5698" t="s">
        <v>55</v>
      </c>
    </row>
    <row r="5699" spans="1:51">
      <c r="A5699">
        <v>102916</v>
      </c>
      <c r="B5699" t="s">
        <v>1118</v>
      </c>
      <c r="C5699" t="str">
        <f t="shared" si="481"/>
        <v>05673940630</v>
      </c>
      <c r="D5699" t="str">
        <f t="shared" si="481"/>
        <v>05673940630</v>
      </c>
      <c r="E5699" t="s">
        <v>52</v>
      </c>
      <c r="F5699">
        <v>2014</v>
      </c>
      <c r="G5699">
        <v>1411</v>
      </c>
      <c r="H5699" s="1">
        <v>41992</v>
      </c>
      <c r="I5699" s="1">
        <v>42002</v>
      </c>
      <c r="J5699" s="1">
        <v>42002</v>
      </c>
      <c r="K5699" s="1">
        <v>42062</v>
      </c>
      <c r="L5699" s="7">
        <v>2440</v>
      </c>
      <c r="M5699" s="5">
        <v>238</v>
      </c>
      <c r="N5699" s="7">
        <v>580720</v>
      </c>
      <c r="O5699" s="2">
        <v>2440</v>
      </c>
      <c r="P5699">
        <v>238</v>
      </c>
      <c r="Q5699" s="2">
        <v>580720</v>
      </c>
      <c r="R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 s="1">
        <v>42382</v>
      </c>
      <c r="AC5699" t="s">
        <v>53</v>
      </c>
      <c r="AD5699" t="s">
        <v>53</v>
      </c>
      <c r="AK5699">
        <v>0</v>
      </c>
      <c r="AU5699" s="6">
        <v>42300</v>
      </c>
      <c r="AV5699" s="6">
        <v>42300</v>
      </c>
      <c r="AW5699" t="s">
        <v>54</v>
      </c>
      <c r="AX5699" t="str">
        <f t="shared" ref="AX5699:AX5762" si="482">"FOR"</f>
        <v>FOR</v>
      </c>
      <c r="AY5699" t="s">
        <v>55</v>
      </c>
    </row>
    <row r="5700" spans="1:51">
      <c r="A5700">
        <v>102916</v>
      </c>
      <c r="B5700" t="s">
        <v>1118</v>
      </c>
      <c r="C5700" t="str">
        <f t="shared" si="481"/>
        <v>05673940630</v>
      </c>
      <c r="D5700" t="str">
        <f t="shared" si="481"/>
        <v>05673940630</v>
      </c>
      <c r="E5700" t="s">
        <v>52</v>
      </c>
      <c r="F5700">
        <v>2014</v>
      </c>
      <c r="G5700">
        <v>1430</v>
      </c>
      <c r="H5700" s="1">
        <v>41996</v>
      </c>
      <c r="I5700" s="1">
        <v>42019</v>
      </c>
      <c r="J5700" s="1">
        <v>42019</v>
      </c>
      <c r="K5700" s="1">
        <v>42079</v>
      </c>
      <c r="L5700" s="7">
        <v>6100</v>
      </c>
      <c r="M5700" s="5">
        <v>221</v>
      </c>
      <c r="N5700" s="7">
        <v>1348100</v>
      </c>
      <c r="O5700" s="2">
        <v>6100</v>
      </c>
      <c r="P5700">
        <v>221</v>
      </c>
      <c r="Q5700" s="2">
        <v>1348100</v>
      </c>
      <c r="R5700">
        <v>0</v>
      </c>
      <c r="V5700">
        <v>0</v>
      </c>
      <c r="W5700">
        <v>0</v>
      </c>
      <c r="X5700">
        <v>0</v>
      </c>
      <c r="Y5700">
        <v>0</v>
      </c>
      <c r="Z5700" s="2">
        <v>6100</v>
      </c>
      <c r="AA5700">
        <v>0</v>
      </c>
      <c r="AB5700" s="1">
        <v>42382</v>
      </c>
      <c r="AC5700" t="s">
        <v>53</v>
      </c>
      <c r="AD5700" t="s">
        <v>53</v>
      </c>
      <c r="AK5700">
        <v>0</v>
      </c>
      <c r="AU5700" s="6">
        <v>42300</v>
      </c>
      <c r="AV5700" s="6">
        <v>42300</v>
      </c>
      <c r="AW5700" t="s">
        <v>54</v>
      </c>
      <c r="AX5700" t="str">
        <f t="shared" si="482"/>
        <v>FOR</v>
      </c>
      <c r="AY5700" t="s">
        <v>55</v>
      </c>
    </row>
    <row r="5701" spans="1:51">
      <c r="A5701">
        <v>102916</v>
      </c>
      <c r="B5701" t="s">
        <v>1118</v>
      </c>
      <c r="C5701" t="str">
        <f t="shared" si="481"/>
        <v>05673940630</v>
      </c>
      <c r="D5701" t="str">
        <f t="shared" si="481"/>
        <v>05673940630</v>
      </c>
      <c r="E5701" t="s">
        <v>52</v>
      </c>
      <c r="F5701">
        <v>2015</v>
      </c>
      <c r="G5701">
        <v>61</v>
      </c>
      <c r="H5701" s="1">
        <v>42040</v>
      </c>
      <c r="I5701" s="1">
        <v>42052</v>
      </c>
      <c r="J5701" s="1">
        <v>42052</v>
      </c>
      <c r="K5701" s="1">
        <v>42112</v>
      </c>
      <c r="L5701" s="7">
        <v>1377.03</v>
      </c>
      <c r="M5701" s="5">
        <v>243</v>
      </c>
      <c r="N5701" s="7">
        <v>334618.28999999998</v>
      </c>
      <c r="O5701" s="2">
        <v>1377.03</v>
      </c>
      <c r="P5701">
        <v>243</v>
      </c>
      <c r="Q5701" s="2">
        <v>334618.28999999998</v>
      </c>
      <c r="R5701">
        <v>302.95</v>
      </c>
      <c r="V5701">
        <v>0</v>
      </c>
      <c r="W5701">
        <v>0</v>
      </c>
      <c r="X5701">
        <v>0</v>
      </c>
      <c r="Y5701" s="2">
        <v>1679.98</v>
      </c>
      <c r="Z5701" s="2">
        <v>1679.98</v>
      </c>
      <c r="AA5701" s="2">
        <v>1679.98</v>
      </c>
      <c r="AB5701" s="1">
        <v>42382</v>
      </c>
      <c r="AC5701" t="s">
        <v>53</v>
      </c>
      <c r="AD5701" t="s">
        <v>53</v>
      </c>
      <c r="AK5701">
        <v>302.95</v>
      </c>
      <c r="AU5701" s="6">
        <v>42355</v>
      </c>
      <c r="AV5701" s="6">
        <v>42355</v>
      </c>
      <c r="AW5701" t="s">
        <v>54</v>
      </c>
      <c r="AX5701" t="str">
        <f t="shared" si="482"/>
        <v>FOR</v>
      </c>
      <c r="AY5701" t="s">
        <v>55</v>
      </c>
    </row>
    <row r="5702" spans="1:51">
      <c r="A5702">
        <v>102916</v>
      </c>
      <c r="B5702" t="s">
        <v>1118</v>
      </c>
      <c r="C5702" t="str">
        <f t="shared" si="481"/>
        <v>05673940630</v>
      </c>
      <c r="D5702" t="str">
        <f t="shared" si="481"/>
        <v>05673940630</v>
      </c>
      <c r="E5702" t="s">
        <v>52</v>
      </c>
      <c r="F5702">
        <v>2015</v>
      </c>
      <c r="G5702">
        <v>158</v>
      </c>
      <c r="H5702" s="1">
        <v>42062</v>
      </c>
      <c r="I5702" s="1">
        <v>42088</v>
      </c>
      <c r="J5702" s="1">
        <v>42088</v>
      </c>
      <c r="K5702" s="1">
        <v>42148</v>
      </c>
      <c r="L5702" s="7">
        <v>1095.9000000000001</v>
      </c>
      <c r="M5702" s="5">
        <v>207</v>
      </c>
      <c r="N5702" s="7">
        <v>226851.3</v>
      </c>
      <c r="O5702" s="2">
        <v>1095.9000000000001</v>
      </c>
      <c r="P5702">
        <v>207</v>
      </c>
      <c r="Q5702" s="2">
        <v>226851.3</v>
      </c>
      <c r="R5702">
        <v>241.1</v>
      </c>
      <c r="V5702">
        <v>0</v>
      </c>
      <c r="W5702">
        <v>0</v>
      </c>
      <c r="X5702">
        <v>0</v>
      </c>
      <c r="Y5702" s="2">
        <v>1337</v>
      </c>
      <c r="Z5702" s="2">
        <v>1337</v>
      </c>
      <c r="AA5702" s="2">
        <v>1337</v>
      </c>
      <c r="AB5702" s="1">
        <v>42382</v>
      </c>
      <c r="AC5702" t="s">
        <v>53</v>
      </c>
      <c r="AD5702" t="s">
        <v>53</v>
      </c>
      <c r="AK5702">
        <v>241.1</v>
      </c>
      <c r="AU5702" s="6">
        <v>42355</v>
      </c>
      <c r="AV5702" s="6">
        <v>42355</v>
      </c>
      <c r="AW5702" t="s">
        <v>54</v>
      </c>
      <c r="AX5702" t="str">
        <f t="shared" si="482"/>
        <v>FOR</v>
      </c>
      <c r="AY5702" t="s">
        <v>55</v>
      </c>
    </row>
    <row r="5703" spans="1:51" hidden="1">
      <c r="A5703">
        <v>103073</v>
      </c>
      <c r="B5703" t="s">
        <v>1119</v>
      </c>
      <c r="C5703" t="str">
        <f t="shared" ref="C5703:D5709" si="483">"08763060152"</f>
        <v>08763060152</v>
      </c>
      <c r="D5703" t="str">
        <f t="shared" si="483"/>
        <v>08763060152</v>
      </c>
      <c r="E5703" t="s">
        <v>52</v>
      </c>
      <c r="F5703">
        <v>2014</v>
      </c>
      <c r="G5703">
        <v>200201</v>
      </c>
      <c r="H5703" s="1">
        <v>41684</v>
      </c>
      <c r="I5703" s="1">
        <v>41701</v>
      </c>
      <c r="J5703" s="1">
        <v>41701</v>
      </c>
      <c r="K5703" s="1">
        <v>41791</v>
      </c>
      <c r="N5703" s="5"/>
      <c r="O5703" s="2">
        <v>9333</v>
      </c>
      <c r="P5703">
        <v>246</v>
      </c>
      <c r="Q5703" s="2">
        <v>2295918</v>
      </c>
      <c r="R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 s="1">
        <v>42382</v>
      </c>
      <c r="AC5703" t="s">
        <v>53</v>
      </c>
      <c r="AD5703" t="s">
        <v>53</v>
      </c>
      <c r="AK5703">
        <v>0</v>
      </c>
      <c r="AU5703" s="6">
        <v>42037</v>
      </c>
      <c r="AV5703" s="6">
        <v>42037</v>
      </c>
      <c r="AW5703" t="s">
        <v>54</v>
      </c>
      <c r="AX5703" t="str">
        <f t="shared" si="482"/>
        <v>FOR</v>
      </c>
      <c r="AY5703" t="s">
        <v>55</v>
      </c>
    </row>
    <row r="5704" spans="1:51" hidden="1">
      <c r="A5704">
        <v>103073</v>
      </c>
      <c r="B5704" t="s">
        <v>1119</v>
      </c>
      <c r="C5704" t="str">
        <f t="shared" si="483"/>
        <v>08763060152</v>
      </c>
      <c r="D5704" t="str">
        <f t="shared" si="483"/>
        <v>08763060152</v>
      </c>
      <c r="E5704" t="s">
        <v>52</v>
      </c>
      <c r="F5704">
        <v>2014</v>
      </c>
      <c r="G5704">
        <v>200390</v>
      </c>
      <c r="H5704" s="1">
        <v>41723</v>
      </c>
      <c r="I5704" s="1">
        <v>41737</v>
      </c>
      <c r="J5704" s="1">
        <v>41737</v>
      </c>
      <c r="K5704" s="1">
        <v>41827</v>
      </c>
      <c r="N5704" s="5"/>
      <c r="O5704" s="2">
        <v>4758</v>
      </c>
      <c r="P5704">
        <v>274</v>
      </c>
      <c r="Q5704" s="2">
        <v>1303692</v>
      </c>
      <c r="R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 s="1">
        <v>42382</v>
      </c>
      <c r="AC5704" t="s">
        <v>53</v>
      </c>
      <c r="AD5704" t="s">
        <v>53</v>
      </c>
      <c r="AK5704">
        <v>0</v>
      </c>
      <c r="AU5704" s="6">
        <v>42101</v>
      </c>
      <c r="AV5704" s="6">
        <v>42101</v>
      </c>
      <c r="AW5704" t="s">
        <v>54</v>
      </c>
      <c r="AX5704" t="str">
        <f t="shared" si="482"/>
        <v>FOR</v>
      </c>
      <c r="AY5704" t="s">
        <v>55</v>
      </c>
    </row>
    <row r="5705" spans="1:51" hidden="1">
      <c r="A5705">
        <v>103073</v>
      </c>
      <c r="B5705" t="s">
        <v>1119</v>
      </c>
      <c r="C5705" t="str">
        <f t="shared" si="483"/>
        <v>08763060152</v>
      </c>
      <c r="D5705" t="str">
        <f t="shared" si="483"/>
        <v>08763060152</v>
      </c>
      <c r="E5705" t="s">
        <v>52</v>
      </c>
      <c r="F5705">
        <v>2014</v>
      </c>
      <c r="G5705">
        <v>200605</v>
      </c>
      <c r="H5705" s="1">
        <v>41759</v>
      </c>
      <c r="I5705" s="1">
        <v>41778</v>
      </c>
      <c r="J5705" s="1">
        <v>41778</v>
      </c>
      <c r="K5705" s="1">
        <v>41868</v>
      </c>
      <c r="N5705" s="5"/>
      <c r="O5705" s="2">
        <v>2318</v>
      </c>
      <c r="P5705">
        <v>233</v>
      </c>
      <c r="Q5705" s="2">
        <v>540094</v>
      </c>
      <c r="R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 s="1">
        <v>42382</v>
      </c>
      <c r="AC5705" t="s">
        <v>53</v>
      </c>
      <c r="AD5705" t="s">
        <v>53</v>
      </c>
      <c r="AK5705">
        <v>0</v>
      </c>
      <c r="AU5705" s="6">
        <v>42101</v>
      </c>
      <c r="AV5705" s="6">
        <v>42101</v>
      </c>
      <c r="AW5705" t="s">
        <v>54</v>
      </c>
      <c r="AX5705" t="str">
        <f t="shared" si="482"/>
        <v>FOR</v>
      </c>
      <c r="AY5705" t="s">
        <v>55</v>
      </c>
    </row>
    <row r="5706" spans="1:51" hidden="1">
      <c r="A5706">
        <v>103073</v>
      </c>
      <c r="B5706" t="s">
        <v>1119</v>
      </c>
      <c r="C5706" t="str">
        <f t="shared" si="483"/>
        <v>08763060152</v>
      </c>
      <c r="D5706" t="str">
        <f t="shared" si="483"/>
        <v>08763060152</v>
      </c>
      <c r="E5706" t="s">
        <v>52</v>
      </c>
      <c r="F5706">
        <v>2014</v>
      </c>
      <c r="G5706">
        <v>201046</v>
      </c>
      <c r="H5706" s="1">
        <v>41838</v>
      </c>
      <c r="I5706" s="1">
        <v>41849</v>
      </c>
      <c r="J5706" s="1">
        <v>41849</v>
      </c>
      <c r="K5706" s="1">
        <v>41939</v>
      </c>
      <c r="N5706" s="5"/>
      <c r="O5706" s="2">
        <v>4636</v>
      </c>
      <c r="P5706">
        <v>245</v>
      </c>
      <c r="Q5706" s="2">
        <v>1135820</v>
      </c>
      <c r="R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 s="1">
        <v>42382</v>
      </c>
      <c r="AC5706" t="s">
        <v>53</v>
      </c>
      <c r="AD5706" t="s">
        <v>53</v>
      </c>
      <c r="AK5706">
        <v>0</v>
      </c>
      <c r="AU5706" s="6">
        <v>42184</v>
      </c>
      <c r="AV5706" s="6">
        <v>42184</v>
      </c>
      <c r="AW5706" t="s">
        <v>54</v>
      </c>
      <c r="AX5706" t="str">
        <f t="shared" si="482"/>
        <v>FOR</v>
      </c>
      <c r="AY5706" t="s">
        <v>55</v>
      </c>
    </row>
    <row r="5707" spans="1:51">
      <c r="A5707">
        <v>103073</v>
      </c>
      <c r="B5707" t="s">
        <v>1119</v>
      </c>
      <c r="C5707" t="str">
        <f t="shared" si="483"/>
        <v>08763060152</v>
      </c>
      <c r="D5707" t="str">
        <f t="shared" si="483"/>
        <v>08763060152</v>
      </c>
      <c r="E5707" t="s">
        <v>52</v>
      </c>
      <c r="F5707">
        <v>2014</v>
      </c>
      <c r="G5707">
        <v>201510</v>
      </c>
      <c r="H5707" s="1">
        <v>41955</v>
      </c>
      <c r="I5707" s="1">
        <v>41976</v>
      </c>
      <c r="J5707" s="1">
        <v>41976</v>
      </c>
      <c r="K5707" s="1">
        <v>42036</v>
      </c>
      <c r="L5707" s="7">
        <v>4636</v>
      </c>
      <c r="M5707" s="5">
        <v>268</v>
      </c>
      <c r="N5707" s="7">
        <v>1242448</v>
      </c>
      <c r="O5707" s="2">
        <v>4636</v>
      </c>
      <c r="P5707">
        <v>268</v>
      </c>
      <c r="Q5707" s="2">
        <v>1242448</v>
      </c>
      <c r="R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 s="1">
        <v>42382</v>
      </c>
      <c r="AC5707" t="s">
        <v>53</v>
      </c>
      <c r="AD5707" t="s">
        <v>53</v>
      </c>
      <c r="AK5707">
        <v>0</v>
      </c>
      <c r="AU5707" s="6">
        <v>42304</v>
      </c>
      <c r="AV5707" s="6">
        <v>42304</v>
      </c>
      <c r="AW5707" t="s">
        <v>54</v>
      </c>
      <c r="AX5707" t="str">
        <f t="shared" si="482"/>
        <v>FOR</v>
      </c>
      <c r="AY5707" t="s">
        <v>55</v>
      </c>
    </row>
    <row r="5708" spans="1:51">
      <c r="A5708">
        <v>103073</v>
      </c>
      <c r="B5708" t="s">
        <v>1119</v>
      </c>
      <c r="C5708" t="str">
        <f t="shared" si="483"/>
        <v>08763060152</v>
      </c>
      <c r="D5708" t="str">
        <f t="shared" si="483"/>
        <v>08763060152</v>
      </c>
      <c r="E5708" t="s">
        <v>52</v>
      </c>
      <c r="F5708">
        <v>2015</v>
      </c>
      <c r="G5708" t="s">
        <v>1120</v>
      </c>
      <c r="H5708" s="1">
        <v>42034</v>
      </c>
      <c r="I5708" s="1">
        <v>42226</v>
      </c>
      <c r="J5708" s="1">
        <v>42223</v>
      </c>
      <c r="K5708" s="1">
        <v>42283</v>
      </c>
      <c r="L5708" s="7">
        <v>1950</v>
      </c>
      <c r="M5708" s="5">
        <v>72</v>
      </c>
      <c r="N5708" s="7">
        <v>140400</v>
      </c>
      <c r="O5708" s="2">
        <v>1950</v>
      </c>
      <c r="P5708">
        <v>72</v>
      </c>
      <c r="Q5708" s="2">
        <v>140400</v>
      </c>
      <c r="R5708">
        <v>429</v>
      </c>
      <c r="V5708">
        <v>0</v>
      </c>
      <c r="W5708">
        <v>0</v>
      </c>
      <c r="X5708">
        <v>0</v>
      </c>
      <c r="Y5708" s="2">
        <v>2379</v>
      </c>
      <c r="Z5708" s="2">
        <v>2379</v>
      </c>
      <c r="AA5708" s="2">
        <v>2379</v>
      </c>
      <c r="AB5708" s="1">
        <v>42382</v>
      </c>
      <c r="AC5708" t="s">
        <v>53</v>
      </c>
      <c r="AD5708" t="s">
        <v>53</v>
      </c>
      <c r="AG5708">
        <v>429</v>
      </c>
      <c r="AK5708">
        <v>0</v>
      </c>
      <c r="AU5708" s="6">
        <v>42355</v>
      </c>
      <c r="AV5708" s="6">
        <v>42355</v>
      </c>
      <c r="AW5708" t="s">
        <v>54</v>
      </c>
      <c r="AX5708" t="str">
        <f t="shared" si="482"/>
        <v>FOR</v>
      </c>
      <c r="AY5708" t="s">
        <v>55</v>
      </c>
    </row>
    <row r="5709" spans="1:51">
      <c r="A5709">
        <v>103073</v>
      </c>
      <c r="B5709" t="s">
        <v>1119</v>
      </c>
      <c r="C5709" t="str">
        <f t="shared" si="483"/>
        <v>08763060152</v>
      </c>
      <c r="D5709" t="str">
        <f t="shared" si="483"/>
        <v>08763060152</v>
      </c>
      <c r="E5709" t="s">
        <v>52</v>
      </c>
      <c r="F5709">
        <v>2015</v>
      </c>
      <c r="G5709" t="s">
        <v>1121</v>
      </c>
      <c r="H5709" s="1">
        <v>42034</v>
      </c>
      <c r="I5709" s="1">
        <v>42226</v>
      </c>
      <c r="J5709" s="1">
        <v>42223</v>
      </c>
      <c r="K5709" s="1">
        <v>42283</v>
      </c>
      <c r="L5709" s="7">
        <v>3800</v>
      </c>
      <c r="M5709" s="5">
        <v>72</v>
      </c>
      <c r="N5709" s="7">
        <v>273600</v>
      </c>
      <c r="O5709" s="2">
        <v>3800</v>
      </c>
      <c r="P5709">
        <v>72</v>
      </c>
      <c r="Q5709" s="2">
        <v>273600</v>
      </c>
      <c r="R5709">
        <v>836</v>
      </c>
      <c r="V5709">
        <v>0</v>
      </c>
      <c r="W5709">
        <v>0</v>
      </c>
      <c r="X5709">
        <v>0</v>
      </c>
      <c r="Y5709" s="2">
        <v>4636</v>
      </c>
      <c r="Z5709" s="2">
        <v>4636</v>
      </c>
      <c r="AA5709" s="2">
        <v>4636</v>
      </c>
      <c r="AB5709" s="1">
        <v>42382</v>
      </c>
      <c r="AC5709" t="s">
        <v>53</v>
      </c>
      <c r="AD5709" t="s">
        <v>53</v>
      </c>
      <c r="AG5709">
        <v>836</v>
      </c>
      <c r="AK5709">
        <v>0</v>
      </c>
      <c r="AU5709" s="6">
        <v>42355</v>
      </c>
      <c r="AV5709" s="6">
        <v>42355</v>
      </c>
      <c r="AW5709" t="s">
        <v>54</v>
      </c>
      <c r="AX5709" t="str">
        <f t="shared" si="482"/>
        <v>FOR</v>
      </c>
      <c r="AY5709" t="s">
        <v>55</v>
      </c>
    </row>
    <row r="5710" spans="1:51" hidden="1">
      <c r="A5710">
        <v>103077</v>
      </c>
      <c r="B5710" t="s">
        <v>1122</v>
      </c>
      <c r="C5710" t="str">
        <f t="shared" ref="C5710:C5717" si="484">"02707070963"</f>
        <v>02707070963</v>
      </c>
      <c r="D5710" t="str">
        <f t="shared" ref="D5710:D5717" si="485">"00962280590"</f>
        <v>00962280590</v>
      </c>
      <c r="E5710" t="s">
        <v>52</v>
      </c>
      <c r="F5710">
        <v>2013</v>
      </c>
      <c r="G5710">
        <v>13105154</v>
      </c>
      <c r="H5710" s="1">
        <v>41590</v>
      </c>
      <c r="I5710" s="1">
        <v>41598</v>
      </c>
      <c r="J5710" s="1">
        <v>41598</v>
      </c>
      <c r="K5710" s="1">
        <v>41688</v>
      </c>
      <c r="N5710" s="5"/>
      <c r="O5710" s="2">
        <v>1188</v>
      </c>
      <c r="P5710">
        <v>408</v>
      </c>
      <c r="Q5710" s="2">
        <v>484704</v>
      </c>
      <c r="R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 s="1">
        <v>42382</v>
      </c>
      <c r="AC5710" t="s">
        <v>53</v>
      </c>
      <c r="AD5710" t="s">
        <v>53</v>
      </c>
      <c r="AK5710">
        <v>0</v>
      </c>
      <c r="AU5710" s="6">
        <v>42096</v>
      </c>
      <c r="AV5710" s="6">
        <v>42096</v>
      </c>
      <c r="AW5710" t="s">
        <v>54</v>
      </c>
      <c r="AX5710" t="str">
        <f t="shared" si="482"/>
        <v>FOR</v>
      </c>
      <c r="AY5710" t="s">
        <v>55</v>
      </c>
    </row>
    <row r="5711" spans="1:51" hidden="1">
      <c r="A5711">
        <v>103077</v>
      </c>
      <c r="B5711" t="s">
        <v>1122</v>
      </c>
      <c r="C5711" t="str">
        <f t="shared" si="484"/>
        <v>02707070963</v>
      </c>
      <c r="D5711" t="str">
        <f t="shared" si="485"/>
        <v>00962280590</v>
      </c>
      <c r="E5711" t="s">
        <v>52</v>
      </c>
      <c r="F5711">
        <v>2013</v>
      </c>
      <c r="G5711">
        <v>13108980</v>
      </c>
      <c r="H5711" s="1">
        <v>41604</v>
      </c>
      <c r="I5711" s="1">
        <v>41614</v>
      </c>
      <c r="J5711" s="1">
        <v>41614</v>
      </c>
      <c r="K5711" s="1">
        <v>41704</v>
      </c>
      <c r="N5711" s="5"/>
      <c r="O5711" s="2">
        <v>7333.04</v>
      </c>
      <c r="P5711">
        <v>392</v>
      </c>
      <c r="Q5711" s="2">
        <v>2874551.68</v>
      </c>
      <c r="R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 s="1">
        <v>42382</v>
      </c>
      <c r="AC5711" t="s">
        <v>53</v>
      </c>
      <c r="AD5711" t="s">
        <v>53</v>
      </c>
      <c r="AK5711">
        <v>0</v>
      </c>
      <c r="AU5711" s="6">
        <v>42096</v>
      </c>
      <c r="AV5711" s="6">
        <v>42096</v>
      </c>
      <c r="AW5711" t="s">
        <v>54</v>
      </c>
      <c r="AX5711" t="str">
        <f t="shared" si="482"/>
        <v>FOR</v>
      </c>
      <c r="AY5711" t="s">
        <v>55</v>
      </c>
    </row>
    <row r="5712" spans="1:51" hidden="1">
      <c r="A5712">
        <v>103077</v>
      </c>
      <c r="B5712" t="s">
        <v>1122</v>
      </c>
      <c r="C5712" t="str">
        <f t="shared" si="484"/>
        <v>02707070963</v>
      </c>
      <c r="D5712" t="str">
        <f t="shared" si="485"/>
        <v>00962280590</v>
      </c>
      <c r="E5712" t="s">
        <v>52</v>
      </c>
      <c r="F5712">
        <v>2014</v>
      </c>
      <c r="G5712">
        <v>14128398</v>
      </c>
      <c r="H5712" s="1">
        <v>41751</v>
      </c>
      <c r="I5712" s="1">
        <v>41764</v>
      </c>
      <c r="J5712" s="1">
        <v>41764</v>
      </c>
      <c r="K5712" s="1">
        <v>41854</v>
      </c>
      <c r="N5712" s="5"/>
      <c r="O5712" s="2">
        <v>9424.4699999999993</v>
      </c>
      <c r="P5712">
        <v>242</v>
      </c>
      <c r="Q5712" s="2">
        <v>2280721.7400000002</v>
      </c>
      <c r="R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 s="1">
        <v>42382</v>
      </c>
      <c r="AC5712" t="s">
        <v>53</v>
      </c>
      <c r="AD5712" t="s">
        <v>53</v>
      </c>
      <c r="AK5712">
        <v>0</v>
      </c>
      <c r="AU5712" s="6">
        <v>42096</v>
      </c>
      <c r="AV5712" s="6">
        <v>42096</v>
      </c>
      <c r="AW5712" t="s">
        <v>54</v>
      </c>
      <c r="AX5712" t="str">
        <f t="shared" si="482"/>
        <v>FOR</v>
      </c>
      <c r="AY5712" t="s">
        <v>55</v>
      </c>
    </row>
    <row r="5713" spans="1:51" hidden="1">
      <c r="A5713">
        <v>103077</v>
      </c>
      <c r="B5713" t="s">
        <v>1122</v>
      </c>
      <c r="C5713" t="str">
        <f t="shared" si="484"/>
        <v>02707070963</v>
      </c>
      <c r="D5713" t="str">
        <f t="shared" si="485"/>
        <v>00962280590</v>
      </c>
      <c r="E5713" t="s">
        <v>52</v>
      </c>
      <c r="F5713">
        <v>2014</v>
      </c>
      <c r="G5713">
        <v>14131780</v>
      </c>
      <c r="H5713" s="1">
        <v>41766</v>
      </c>
      <c r="I5713" s="1">
        <v>41773</v>
      </c>
      <c r="J5713" s="1">
        <v>41773</v>
      </c>
      <c r="K5713" s="1">
        <v>41863</v>
      </c>
      <c r="N5713" s="5"/>
      <c r="O5713" s="2">
        <v>9110.32</v>
      </c>
      <c r="P5713">
        <v>269</v>
      </c>
      <c r="Q5713" s="2">
        <v>2450676.08</v>
      </c>
      <c r="R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 s="1">
        <v>42382</v>
      </c>
      <c r="AC5713" t="s">
        <v>53</v>
      </c>
      <c r="AD5713" t="s">
        <v>53</v>
      </c>
      <c r="AK5713">
        <v>0</v>
      </c>
      <c r="AU5713" s="6">
        <v>42132</v>
      </c>
      <c r="AV5713" s="6">
        <v>42132</v>
      </c>
      <c r="AW5713" t="s">
        <v>54</v>
      </c>
      <c r="AX5713" t="str">
        <f t="shared" si="482"/>
        <v>FOR</v>
      </c>
      <c r="AY5713" t="s">
        <v>55</v>
      </c>
    </row>
    <row r="5714" spans="1:51" hidden="1">
      <c r="A5714">
        <v>103077</v>
      </c>
      <c r="B5714" t="s">
        <v>1122</v>
      </c>
      <c r="C5714" t="str">
        <f t="shared" si="484"/>
        <v>02707070963</v>
      </c>
      <c r="D5714" t="str">
        <f t="shared" si="485"/>
        <v>00962280590</v>
      </c>
      <c r="E5714" t="s">
        <v>52</v>
      </c>
      <c r="F5714">
        <v>2014</v>
      </c>
      <c r="G5714">
        <v>14138052</v>
      </c>
      <c r="H5714" s="1">
        <v>41793</v>
      </c>
      <c r="I5714" s="1">
        <v>41800</v>
      </c>
      <c r="J5714" s="1">
        <v>41800</v>
      </c>
      <c r="K5714" s="1">
        <v>41890</v>
      </c>
      <c r="N5714" s="5"/>
      <c r="O5714" s="2">
        <v>6911.28</v>
      </c>
      <c r="P5714">
        <v>273</v>
      </c>
      <c r="Q5714" s="2">
        <v>1886779.44</v>
      </c>
      <c r="R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 s="1">
        <v>42382</v>
      </c>
      <c r="AC5714" t="s">
        <v>53</v>
      </c>
      <c r="AD5714" t="s">
        <v>53</v>
      </c>
      <c r="AK5714">
        <v>0</v>
      </c>
      <c r="AU5714" s="6">
        <v>42163</v>
      </c>
      <c r="AV5714" s="6">
        <v>42163</v>
      </c>
      <c r="AW5714" t="s">
        <v>54</v>
      </c>
      <c r="AX5714" t="str">
        <f t="shared" si="482"/>
        <v>FOR</v>
      </c>
      <c r="AY5714" t="s">
        <v>55</v>
      </c>
    </row>
    <row r="5715" spans="1:51" hidden="1">
      <c r="A5715">
        <v>103077</v>
      </c>
      <c r="B5715" t="s">
        <v>1122</v>
      </c>
      <c r="C5715" t="str">
        <f t="shared" si="484"/>
        <v>02707070963</v>
      </c>
      <c r="D5715" t="str">
        <f t="shared" si="485"/>
        <v>00962280590</v>
      </c>
      <c r="E5715" t="s">
        <v>52</v>
      </c>
      <c r="F5715">
        <v>2014</v>
      </c>
      <c r="G5715">
        <v>14142375</v>
      </c>
      <c r="H5715" s="1">
        <v>41809</v>
      </c>
      <c r="I5715" s="1">
        <v>41817</v>
      </c>
      <c r="J5715" s="1">
        <v>41817</v>
      </c>
      <c r="K5715" s="1">
        <v>41907</v>
      </c>
      <c r="N5715" s="5"/>
      <c r="O5715" s="2">
        <v>3019.09</v>
      </c>
      <c r="P5715">
        <v>256</v>
      </c>
      <c r="Q5715" s="2">
        <v>772887.04000000004</v>
      </c>
      <c r="R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 s="1">
        <v>42382</v>
      </c>
      <c r="AC5715" t="s">
        <v>53</v>
      </c>
      <c r="AD5715" t="s">
        <v>53</v>
      </c>
      <c r="AK5715">
        <v>0</v>
      </c>
      <c r="AU5715" s="6">
        <v>42163</v>
      </c>
      <c r="AV5715" s="6">
        <v>42163</v>
      </c>
      <c r="AW5715" t="s">
        <v>54</v>
      </c>
      <c r="AX5715" t="str">
        <f t="shared" si="482"/>
        <v>FOR</v>
      </c>
      <c r="AY5715" t="s">
        <v>55</v>
      </c>
    </row>
    <row r="5716" spans="1:51" hidden="1">
      <c r="A5716">
        <v>103077</v>
      </c>
      <c r="B5716" t="s">
        <v>1122</v>
      </c>
      <c r="C5716" t="str">
        <f t="shared" si="484"/>
        <v>02707070963</v>
      </c>
      <c r="D5716" t="str">
        <f t="shared" si="485"/>
        <v>00962280590</v>
      </c>
      <c r="E5716" t="s">
        <v>52</v>
      </c>
      <c r="F5716">
        <v>2014</v>
      </c>
      <c r="G5716">
        <v>14144711</v>
      </c>
      <c r="H5716" s="1">
        <v>41820</v>
      </c>
      <c r="I5716" s="1">
        <v>41830</v>
      </c>
      <c r="J5716" s="1">
        <v>41830</v>
      </c>
      <c r="K5716" s="1">
        <v>41920</v>
      </c>
      <c r="N5716" s="5"/>
      <c r="O5716" s="2">
        <v>3019.09</v>
      </c>
      <c r="P5716">
        <v>243</v>
      </c>
      <c r="Q5716" s="2">
        <v>733638.87</v>
      </c>
      <c r="R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 s="1">
        <v>42382</v>
      </c>
      <c r="AC5716" t="s">
        <v>53</v>
      </c>
      <c r="AD5716" t="s">
        <v>53</v>
      </c>
      <c r="AK5716">
        <v>0</v>
      </c>
      <c r="AU5716" s="6">
        <v>42163</v>
      </c>
      <c r="AV5716" s="6">
        <v>42163</v>
      </c>
      <c r="AW5716" t="s">
        <v>54</v>
      </c>
      <c r="AX5716" t="str">
        <f t="shared" si="482"/>
        <v>FOR</v>
      </c>
      <c r="AY5716" t="s">
        <v>55</v>
      </c>
    </row>
    <row r="5717" spans="1:51" hidden="1">
      <c r="A5717">
        <v>103077</v>
      </c>
      <c r="B5717" t="s">
        <v>1122</v>
      </c>
      <c r="C5717" t="str">
        <f t="shared" si="484"/>
        <v>02707070963</v>
      </c>
      <c r="D5717" t="str">
        <f t="shared" si="485"/>
        <v>00962280590</v>
      </c>
      <c r="E5717" t="s">
        <v>52</v>
      </c>
      <c r="F5717">
        <v>2014</v>
      </c>
      <c r="G5717">
        <v>14145002</v>
      </c>
      <c r="H5717" s="1">
        <v>41821</v>
      </c>
      <c r="I5717" s="1">
        <v>41830</v>
      </c>
      <c r="J5717" s="1">
        <v>41830</v>
      </c>
      <c r="K5717" s="1">
        <v>41920</v>
      </c>
      <c r="N5717" s="5"/>
      <c r="O5717" s="2">
        <v>9424.4699999999993</v>
      </c>
      <c r="P5717">
        <v>271</v>
      </c>
      <c r="Q5717" s="2">
        <v>2554031.37</v>
      </c>
      <c r="R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 s="1">
        <v>42382</v>
      </c>
      <c r="AC5717" t="s">
        <v>53</v>
      </c>
      <c r="AD5717" t="s">
        <v>53</v>
      </c>
      <c r="AK5717">
        <v>0</v>
      </c>
      <c r="AU5717" s="6">
        <v>42191</v>
      </c>
      <c r="AV5717" s="6">
        <v>42191</v>
      </c>
      <c r="AW5717" t="s">
        <v>54</v>
      </c>
      <c r="AX5717" t="str">
        <f t="shared" si="482"/>
        <v>FOR</v>
      </c>
      <c r="AY5717" t="s">
        <v>55</v>
      </c>
    </row>
    <row r="5718" spans="1:51" hidden="1">
      <c r="A5718">
        <v>103091</v>
      </c>
      <c r="B5718" t="s">
        <v>1123</v>
      </c>
      <c r="C5718" t="str">
        <f>"01520781004"</f>
        <v>01520781004</v>
      </c>
      <c r="D5718" t="str">
        <f>"06271320589"</f>
        <v>06271320589</v>
      </c>
      <c r="E5718" t="s">
        <v>52</v>
      </c>
      <c r="F5718">
        <v>2014</v>
      </c>
      <c r="G5718">
        <v>114</v>
      </c>
      <c r="H5718" s="1">
        <v>41857</v>
      </c>
      <c r="I5718" s="1">
        <v>41873</v>
      </c>
      <c r="J5718" s="1">
        <v>41873</v>
      </c>
      <c r="K5718" s="1">
        <v>41963</v>
      </c>
      <c r="N5718" s="5"/>
      <c r="O5718" s="2">
        <v>50936.29</v>
      </c>
      <c r="P5718">
        <v>71</v>
      </c>
      <c r="Q5718" s="2">
        <v>3616476.59</v>
      </c>
      <c r="R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 s="1">
        <v>42382</v>
      </c>
      <c r="AC5718" t="s">
        <v>53</v>
      </c>
      <c r="AD5718" t="s">
        <v>53</v>
      </c>
      <c r="AK5718">
        <v>0</v>
      </c>
      <c r="AU5718" s="6">
        <v>42034</v>
      </c>
      <c r="AV5718" s="6">
        <v>42034</v>
      </c>
      <c r="AW5718" t="s">
        <v>54</v>
      </c>
      <c r="AX5718" t="str">
        <f t="shared" si="482"/>
        <v>FOR</v>
      </c>
      <c r="AY5718" t="s">
        <v>55</v>
      </c>
    </row>
    <row r="5719" spans="1:51" hidden="1">
      <c r="A5719">
        <v>103165</v>
      </c>
      <c r="B5719" t="s">
        <v>1124</v>
      </c>
      <c r="C5719" t="str">
        <f t="shared" ref="C5719:D5721" si="486">"01794050151"</f>
        <v>01794050151</v>
      </c>
      <c r="D5719" t="str">
        <f t="shared" si="486"/>
        <v>01794050151</v>
      </c>
      <c r="E5719" t="s">
        <v>52</v>
      </c>
      <c r="F5719">
        <v>2014</v>
      </c>
      <c r="G5719">
        <v>1768</v>
      </c>
      <c r="H5719" s="1">
        <v>41796</v>
      </c>
      <c r="I5719" s="1">
        <v>41803</v>
      </c>
      <c r="J5719" s="1">
        <v>41803</v>
      </c>
      <c r="K5719" s="1">
        <v>41893</v>
      </c>
      <c r="N5719" s="5"/>
      <c r="O5719">
        <v>884.99</v>
      </c>
      <c r="P5719">
        <v>125</v>
      </c>
      <c r="Q5719" s="2">
        <v>110623.75</v>
      </c>
      <c r="R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 s="1">
        <v>42382</v>
      </c>
      <c r="AC5719" t="s">
        <v>53</v>
      </c>
      <c r="AD5719" t="s">
        <v>53</v>
      </c>
      <c r="AK5719">
        <v>0</v>
      </c>
      <c r="AU5719" s="6">
        <v>42018</v>
      </c>
      <c r="AV5719" s="6">
        <v>42018</v>
      </c>
      <c r="AW5719" t="s">
        <v>54</v>
      </c>
      <c r="AX5719" t="str">
        <f t="shared" si="482"/>
        <v>FOR</v>
      </c>
      <c r="AY5719" t="s">
        <v>55</v>
      </c>
    </row>
    <row r="5720" spans="1:51" hidden="1">
      <c r="A5720">
        <v>103165</v>
      </c>
      <c r="B5720" t="s">
        <v>1124</v>
      </c>
      <c r="C5720" t="str">
        <f t="shared" si="486"/>
        <v>01794050151</v>
      </c>
      <c r="D5720" t="str">
        <f t="shared" si="486"/>
        <v>01794050151</v>
      </c>
      <c r="E5720" t="s">
        <v>52</v>
      </c>
      <c r="F5720">
        <v>2014</v>
      </c>
      <c r="G5720">
        <v>2959</v>
      </c>
      <c r="H5720" s="1">
        <v>41919</v>
      </c>
      <c r="I5720" s="1">
        <v>41925</v>
      </c>
      <c r="J5720" s="1">
        <v>41925</v>
      </c>
      <c r="K5720" s="1">
        <v>42015</v>
      </c>
      <c r="N5720" s="5"/>
      <c r="O5720">
        <v>983.32</v>
      </c>
      <c r="P5720">
        <v>33</v>
      </c>
      <c r="Q5720" s="2">
        <v>32449.56</v>
      </c>
      <c r="R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 s="1">
        <v>42382</v>
      </c>
      <c r="AC5720" t="s">
        <v>53</v>
      </c>
      <c r="AD5720" t="s">
        <v>53</v>
      </c>
      <c r="AK5720">
        <v>0</v>
      </c>
      <c r="AU5720" s="6">
        <v>42048</v>
      </c>
      <c r="AV5720" s="6">
        <v>42048</v>
      </c>
      <c r="AW5720" t="s">
        <v>54</v>
      </c>
      <c r="AX5720" t="str">
        <f t="shared" si="482"/>
        <v>FOR</v>
      </c>
      <c r="AY5720" t="s">
        <v>55</v>
      </c>
    </row>
    <row r="5721" spans="1:51" hidden="1">
      <c r="A5721">
        <v>103165</v>
      </c>
      <c r="B5721" t="s">
        <v>1124</v>
      </c>
      <c r="C5721" t="str">
        <f t="shared" si="486"/>
        <v>01794050151</v>
      </c>
      <c r="D5721" t="str">
        <f t="shared" si="486"/>
        <v>01794050151</v>
      </c>
      <c r="E5721" t="s">
        <v>52</v>
      </c>
      <c r="F5721">
        <v>2015</v>
      </c>
      <c r="G5721">
        <v>1048</v>
      </c>
      <c r="H5721" s="1">
        <v>42110</v>
      </c>
      <c r="I5721" s="1">
        <v>42121</v>
      </c>
      <c r="J5721" s="1">
        <v>42120</v>
      </c>
      <c r="K5721" s="1">
        <v>42180</v>
      </c>
      <c r="N5721" s="5"/>
      <c r="O5721" s="2">
        <v>1612</v>
      </c>
      <c r="P5721">
        <v>95</v>
      </c>
      <c r="Q5721" s="2">
        <v>153140</v>
      </c>
      <c r="R5721">
        <v>0</v>
      </c>
      <c r="V5721">
        <v>0</v>
      </c>
      <c r="W5721">
        <v>0</v>
      </c>
      <c r="X5721">
        <v>0</v>
      </c>
      <c r="Y5721" s="2">
        <v>1966.64</v>
      </c>
      <c r="Z5721" s="2">
        <v>1966.64</v>
      </c>
      <c r="AA5721" s="2">
        <v>1966.64</v>
      </c>
      <c r="AB5721" s="1">
        <v>42382</v>
      </c>
      <c r="AC5721" t="s">
        <v>53</v>
      </c>
      <c r="AD5721" t="s">
        <v>53</v>
      </c>
      <c r="AK5721">
        <v>0</v>
      </c>
      <c r="AU5721" s="6">
        <v>42275</v>
      </c>
      <c r="AV5721" s="6">
        <v>42275</v>
      </c>
      <c r="AW5721" t="s">
        <v>54</v>
      </c>
      <c r="AX5721" t="str">
        <f t="shared" si="482"/>
        <v>FOR</v>
      </c>
      <c r="AY5721" t="s">
        <v>55</v>
      </c>
    </row>
    <row r="5722" spans="1:51" hidden="1">
      <c r="A5722">
        <v>103190</v>
      </c>
      <c r="B5722" t="s">
        <v>1125</v>
      </c>
      <c r="C5722" t="str">
        <f>"01135081006"</f>
        <v>01135081006</v>
      </c>
      <c r="D5722" t="str">
        <f>"02921350589"</f>
        <v>02921350589</v>
      </c>
      <c r="E5722" t="s">
        <v>52</v>
      </c>
      <c r="F5722">
        <v>2015</v>
      </c>
      <c r="G5722">
        <v>83</v>
      </c>
      <c r="H5722" s="1">
        <v>42027</v>
      </c>
      <c r="I5722" s="1">
        <v>42039</v>
      </c>
      <c r="J5722" s="1">
        <v>42039</v>
      </c>
      <c r="K5722" s="1">
        <v>42099</v>
      </c>
      <c r="N5722" s="5"/>
      <c r="O5722" s="2">
        <v>9990.18</v>
      </c>
      <c r="P5722">
        <v>-27</v>
      </c>
      <c r="Q5722" s="2">
        <v>-269734.86</v>
      </c>
      <c r="R5722">
        <v>0</v>
      </c>
      <c r="V5722">
        <v>0</v>
      </c>
      <c r="W5722">
        <v>0</v>
      </c>
      <c r="X5722">
        <v>0</v>
      </c>
      <c r="Y5722" s="2">
        <v>9990.18</v>
      </c>
      <c r="Z5722" s="2">
        <v>9990.18</v>
      </c>
      <c r="AA5722" s="2">
        <v>9990.18</v>
      </c>
      <c r="AB5722" s="1">
        <v>42382</v>
      </c>
      <c r="AC5722" t="s">
        <v>53</v>
      </c>
      <c r="AD5722" t="s">
        <v>53</v>
      </c>
      <c r="AK5722">
        <v>0</v>
      </c>
      <c r="AU5722" s="6">
        <v>42072</v>
      </c>
      <c r="AV5722" s="6">
        <v>42072</v>
      </c>
      <c r="AW5722" t="s">
        <v>54</v>
      </c>
      <c r="AX5722" t="str">
        <f t="shared" si="482"/>
        <v>FOR</v>
      </c>
      <c r="AY5722" t="s">
        <v>55</v>
      </c>
    </row>
    <row r="5723" spans="1:51" hidden="1">
      <c r="A5723">
        <v>103300</v>
      </c>
      <c r="B5723" t="s">
        <v>1126</v>
      </c>
      <c r="C5723" t="str">
        <f t="shared" ref="C5723:D5726" si="487">"02707600249"</f>
        <v>02707600249</v>
      </c>
      <c r="D5723" t="str">
        <f t="shared" si="487"/>
        <v>02707600249</v>
      </c>
      <c r="E5723" t="s">
        <v>52</v>
      </c>
      <c r="F5723">
        <v>2014</v>
      </c>
      <c r="G5723">
        <v>553</v>
      </c>
      <c r="H5723" s="1">
        <v>41787</v>
      </c>
      <c r="I5723" s="1">
        <v>41795</v>
      </c>
      <c r="J5723" s="1">
        <v>41795</v>
      </c>
      <c r="K5723" s="1">
        <v>41885</v>
      </c>
      <c r="N5723" s="5"/>
      <c r="O5723" s="2">
        <v>6041.44</v>
      </c>
      <c r="P5723">
        <v>154</v>
      </c>
      <c r="Q5723" s="2">
        <v>930381.76</v>
      </c>
      <c r="R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 s="1">
        <v>42382</v>
      </c>
      <c r="AC5723" t="s">
        <v>53</v>
      </c>
      <c r="AD5723" t="s">
        <v>53</v>
      </c>
      <c r="AK5723">
        <v>0</v>
      </c>
      <c r="AU5723" s="6">
        <v>42039</v>
      </c>
      <c r="AV5723" s="6">
        <v>42039</v>
      </c>
      <c r="AW5723" t="s">
        <v>54</v>
      </c>
      <c r="AX5723" t="str">
        <f t="shared" si="482"/>
        <v>FOR</v>
      </c>
      <c r="AY5723" t="s">
        <v>55</v>
      </c>
    </row>
    <row r="5724" spans="1:51" hidden="1">
      <c r="A5724">
        <v>103300</v>
      </c>
      <c r="B5724" t="s">
        <v>1126</v>
      </c>
      <c r="C5724" t="str">
        <f t="shared" si="487"/>
        <v>02707600249</v>
      </c>
      <c r="D5724" t="str">
        <f t="shared" si="487"/>
        <v>02707600249</v>
      </c>
      <c r="E5724" t="s">
        <v>52</v>
      </c>
      <c r="F5724">
        <v>2014</v>
      </c>
      <c r="G5724">
        <v>1190</v>
      </c>
      <c r="H5724" s="1">
        <v>41955</v>
      </c>
      <c r="I5724" s="1">
        <v>41983</v>
      </c>
      <c r="J5724" s="1">
        <v>41983</v>
      </c>
      <c r="K5724" s="1">
        <v>42043</v>
      </c>
      <c r="N5724" s="5"/>
      <c r="O5724" s="2">
        <v>4121.16</v>
      </c>
      <c r="P5724">
        <v>143</v>
      </c>
      <c r="Q5724" s="2">
        <v>589325.88</v>
      </c>
      <c r="R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 s="1">
        <v>42382</v>
      </c>
      <c r="AC5724" t="s">
        <v>53</v>
      </c>
      <c r="AD5724" t="s">
        <v>53</v>
      </c>
      <c r="AK5724">
        <v>0</v>
      </c>
      <c r="AU5724" s="6">
        <v>42186</v>
      </c>
      <c r="AV5724" s="6">
        <v>42186</v>
      </c>
      <c r="AW5724" t="s">
        <v>54</v>
      </c>
      <c r="AX5724" t="str">
        <f t="shared" si="482"/>
        <v>FOR</v>
      </c>
      <c r="AY5724" t="s">
        <v>55</v>
      </c>
    </row>
    <row r="5725" spans="1:51" hidden="1">
      <c r="A5725">
        <v>103300</v>
      </c>
      <c r="B5725" t="s">
        <v>1126</v>
      </c>
      <c r="C5725" t="str">
        <f t="shared" si="487"/>
        <v>02707600249</v>
      </c>
      <c r="D5725" t="str">
        <f t="shared" si="487"/>
        <v>02707600249</v>
      </c>
      <c r="E5725" t="s">
        <v>52</v>
      </c>
      <c r="F5725">
        <v>2014</v>
      </c>
      <c r="G5725">
        <v>1191</v>
      </c>
      <c r="H5725" s="1">
        <v>41955</v>
      </c>
      <c r="I5725" s="1">
        <v>41983</v>
      </c>
      <c r="J5725" s="1">
        <v>41983</v>
      </c>
      <c r="K5725" s="1">
        <v>42043</v>
      </c>
      <c r="N5725" s="5"/>
      <c r="O5725" s="2">
        <v>2314.34</v>
      </c>
      <c r="P5725">
        <v>143</v>
      </c>
      <c r="Q5725" s="2">
        <v>330950.62</v>
      </c>
      <c r="R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 s="1">
        <v>42382</v>
      </c>
      <c r="AC5725" t="s">
        <v>53</v>
      </c>
      <c r="AD5725" t="s">
        <v>53</v>
      </c>
      <c r="AK5725">
        <v>0</v>
      </c>
      <c r="AU5725" s="6">
        <v>42186</v>
      </c>
      <c r="AV5725" s="6">
        <v>42186</v>
      </c>
      <c r="AW5725" t="s">
        <v>54</v>
      </c>
      <c r="AX5725" t="str">
        <f t="shared" si="482"/>
        <v>FOR</v>
      </c>
      <c r="AY5725" t="s">
        <v>55</v>
      </c>
    </row>
    <row r="5726" spans="1:51" hidden="1">
      <c r="A5726">
        <v>103300</v>
      </c>
      <c r="B5726" t="s">
        <v>1126</v>
      </c>
      <c r="C5726" t="str">
        <f t="shared" si="487"/>
        <v>02707600249</v>
      </c>
      <c r="D5726" t="str">
        <f t="shared" si="487"/>
        <v>02707600249</v>
      </c>
      <c r="E5726" t="s">
        <v>52</v>
      </c>
      <c r="F5726">
        <v>2014</v>
      </c>
      <c r="G5726">
        <v>1192</v>
      </c>
      <c r="H5726" s="1">
        <v>41955</v>
      </c>
      <c r="I5726" s="1">
        <v>41983</v>
      </c>
      <c r="J5726" s="1">
        <v>41983</v>
      </c>
      <c r="K5726" s="1">
        <v>42043</v>
      </c>
      <c r="N5726" s="5"/>
      <c r="O5726" s="2">
        <v>5852.97</v>
      </c>
      <c r="P5726">
        <v>143</v>
      </c>
      <c r="Q5726" s="2">
        <v>836974.71</v>
      </c>
      <c r="R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 s="1">
        <v>42382</v>
      </c>
      <c r="AC5726" t="s">
        <v>53</v>
      </c>
      <c r="AD5726" t="s">
        <v>53</v>
      </c>
      <c r="AK5726">
        <v>0</v>
      </c>
      <c r="AU5726" s="6">
        <v>42186</v>
      </c>
      <c r="AV5726" s="6">
        <v>42186</v>
      </c>
      <c r="AW5726" t="s">
        <v>54</v>
      </c>
      <c r="AX5726" t="str">
        <f t="shared" si="482"/>
        <v>FOR</v>
      </c>
      <c r="AY5726" t="s">
        <v>55</v>
      </c>
    </row>
    <row r="5727" spans="1:51" hidden="1">
      <c r="A5727">
        <v>103365</v>
      </c>
      <c r="B5727" t="s">
        <v>1127</v>
      </c>
      <c r="C5727" t="str">
        <f t="shared" ref="C5727:D5753" si="488">"00488410010"</f>
        <v>00488410010</v>
      </c>
      <c r="D5727" t="str">
        <f t="shared" si="488"/>
        <v>00488410010</v>
      </c>
      <c r="E5727" t="s">
        <v>52</v>
      </c>
      <c r="F5727">
        <v>2013</v>
      </c>
      <c r="G5727" t="s">
        <v>1128</v>
      </c>
      <c r="H5727" s="1">
        <v>41376</v>
      </c>
      <c r="I5727" s="1">
        <v>41849</v>
      </c>
      <c r="J5727" s="1">
        <v>41849</v>
      </c>
      <c r="K5727" s="1">
        <v>41939</v>
      </c>
      <c r="N5727" s="5"/>
      <c r="O5727" s="2">
        <v>5675.8</v>
      </c>
      <c r="P5727">
        <v>95</v>
      </c>
      <c r="Q5727" s="2">
        <v>539201</v>
      </c>
      <c r="R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 s="1">
        <v>42382</v>
      </c>
      <c r="AC5727" t="s">
        <v>53</v>
      </c>
      <c r="AD5727" t="s">
        <v>53</v>
      </c>
      <c r="AK5727">
        <v>0</v>
      </c>
      <c r="AU5727" s="6">
        <v>42034</v>
      </c>
      <c r="AV5727" s="6">
        <v>42034</v>
      </c>
      <c r="AW5727" t="s">
        <v>54</v>
      </c>
      <c r="AX5727" t="str">
        <f t="shared" si="482"/>
        <v>FOR</v>
      </c>
      <c r="AY5727" t="s">
        <v>55</v>
      </c>
    </row>
    <row r="5728" spans="1:51" hidden="1">
      <c r="A5728">
        <v>103365</v>
      </c>
      <c r="B5728" t="s">
        <v>1127</v>
      </c>
      <c r="C5728" t="str">
        <f t="shared" si="488"/>
        <v>00488410010</v>
      </c>
      <c r="D5728" t="str">
        <f t="shared" si="488"/>
        <v>00488410010</v>
      </c>
      <c r="E5728" t="s">
        <v>52</v>
      </c>
      <c r="F5728">
        <v>2013</v>
      </c>
      <c r="G5728" t="s">
        <v>1129</v>
      </c>
      <c r="H5728" s="1">
        <v>41439</v>
      </c>
      <c r="I5728" s="1">
        <v>41849</v>
      </c>
      <c r="J5728" s="1">
        <v>41849</v>
      </c>
      <c r="K5728" s="1">
        <v>41939</v>
      </c>
      <c r="N5728" s="5"/>
      <c r="O5728" s="2">
        <v>6854.08</v>
      </c>
      <c r="P5728">
        <v>95</v>
      </c>
      <c r="Q5728" s="2">
        <v>651137.6</v>
      </c>
      <c r="R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 s="1">
        <v>42382</v>
      </c>
      <c r="AC5728" t="s">
        <v>53</v>
      </c>
      <c r="AD5728" t="s">
        <v>53</v>
      </c>
      <c r="AK5728">
        <v>0</v>
      </c>
      <c r="AU5728" s="6">
        <v>42034</v>
      </c>
      <c r="AV5728" s="6">
        <v>42034</v>
      </c>
      <c r="AW5728" t="s">
        <v>54</v>
      </c>
      <c r="AX5728" t="str">
        <f t="shared" si="482"/>
        <v>FOR</v>
      </c>
      <c r="AY5728" t="s">
        <v>55</v>
      </c>
    </row>
    <row r="5729" spans="1:51" hidden="1">
      <c r="A5729">
        <v>103365</v>
      </c>
      <c r="B5729" t="s">
        <v>1127</v>
      </c>
      <c r="C5729" t="str">
        <f t="shared" si="488"/>
        <v>00488410010</v>
      </c>
      <c r="D5729" t="str">
        <f t="shared" si="488"/>
        <v>00488410010</v>
      </c>
      <c r="E5729" t="s">
        <v>52</v>
      </c>
      <c r="F5729">
        <v>2013</v>
      </c>
      <c r="G5729" t="s">
        <v>1130</v>
      </c>
      <c r="H5729" s="1">
        <v>41500</v>
      </c>
      <c r="I5729" s="1">
        <v>41849</v>
      </c>
      <c r="J5729" s="1">
        <v>41849</v>
      </c>
      <c r="K5729" s="1">
        <v>41939</v>
      </c>
      <c r="N5729" s="5"/>
      <c r="O5729" s="2">
        <v>5835.6</v>
      </c>
      <c r="P5729">
        <v>95</v>
      </c>
      <c r="Q5729" s="2">
        <v>554382</v>
      </c>
      <c r="R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 s="1">
        <v>42382</v>
      </c>
      <c r="AC5729" t="s">
        <v>53</v>
      </c>
      <c r="AD5729" t="s">
        <v>53</v>
      </c>
      <c r="AK5729">
        <v>0</v>
      </c>
      <c r="AU5729" s="6">
        <v>42034</v>
      </c>
      <c r="AV5729" s="6">
        <v>42034</v>
      </c>
      <c r="AW5729" t="s">
        <v>54</v>
      </c>
      <c r="AX5729" t="str">
        <f t="shared" si="482"/>
        <v>FOR</v>
      </c>
      <c r="AY5729" t="s">
        <v>55</v>
      </c>
    </row>
    <row r="5730" spans="1:51" hidden="1">
      <c r="A5730">
        <v>103365</v>
      </c>
      <c r="B5730" t="s">
        <v>1127</v>
      </c>
      <c r="C5730" t="str">
        <f t="shared" si="488"/>
        <v>00488410010</v>
      </c>
      <c r="D5730" t="str">
        <f t="shared" si="488"/>
        <v>00488410010</v>
      </c>
      <c r="E5730" t="s">
        <v>52</v>
      </c>
      <c r="F5730">
        <v>2013</v>
      </c>
      <c r="G5730" t="s">
        <v>1131</v>
      </c>
      <c r="H5730" s="1">
        <v>41561</v>
      </c>
      <c r="I5730" s="1">
        <v>41592</v>
      </c>
      <c r="J5730" s="1">
        <v>41592</v>
      </c>
      <c r="K5730" s="1">
        <v>41682</v>
      </c>
      <c r="N5730" s="5"/>
      <c r="O5730">
        <v>103.98</v>
      </c>
      <c r="P5730">
        <v>352</v>
      </c>
      <c r="Q5730" s="2">
        <v>36600.959999999999</v>
      </c>
      <c r="R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 s="1">
        <v>42382</v>
      </c>
      <c r="AC5730" t="s">
        <v>53</v>
      </c>
      <c r="AD5730" t="s">
        <v>53</v>
      </c>
      <c r="AK5730">
        <v>0</v>
      </c>
      <c r="AU5730" s="6">
        <v>42034</v>
      </c>
      <c r="AV5730" s="6">
        <v>42034</v>
      </c>
      <c r="AW5730" t="s">
        <v>54</v>
      </c>
      <c r="AX5730" t="str">
        <f t="shared" si="482"/>
        <v>FOR</v>
      </c>
      <c r="AY5730" t="s">
        <v>55</v>
      </c>
    </row>
    <row r="5731" spans="1:51" hidden="1">
      <c r="A5731">
        <v>103365</v>
      </c>
      <c r="B5731" t="s">
        <v>1127</v>
      </c>
      <c r="C5731" t="str">
        <f t="shared" si="488"/>
        <v>00488410010</v>
      </c>
      <c r="D5731" t="str">
        <f t="shared" si="488"/>
        <v>00488410010</v>
      </c>
      <c r="E5731" t="s">
        <v>52</v>
      </c>
      <c r="F5731">
        <v>2013</v>
      </c>
      <c r="G5731" t="s">
        <v>1132</v>
      </c>
      <c r="H5731" s="1">
        <v>41561</v>
      </c>
      <c r="I5731" s="1">
        <v>41849</v>
      </c>
      <c r="J5731" s="1">
        <v>41849</v>
      </c>
      <c r="K5731" s="1">
        <v>41939</v>
      </c>
      <c r="N5731" s="5"/>
      <c r="O5731" s="2">
        <v>7307.79</v>
      </c>
      <c r="P5731">
        <v>95</v>
      </c>
      <c r="Q5731" s="2">
        <v>694240.05</v>
      </c>
      <c r="R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 s="1">
        <v>42382</v>
      </c>
      <c r="AC5731" t="s">
        <v>53</v>
      </c>
      <c r="AD5731" t="s">
        <v>53</v>
      </c>
      <c r="AK5731">
        <v>0</v>
      </c>
      <c r="AU5731" s="6">
        <v>42034</v>
      </c>
      <c r="AV5731" s="6">
        <v>42034</v>
      </c>
      <c r="AW5731" t="s">
        <v>54</v>
      </c>
      <c r="AX5731" t="str">
        <f t="shared" si="482"/>
        <v>FOR</v>
      </c>
      <c r="AY5731" t="s">
        <v>55</v>
      </c>
    </row>
    <row r="5732" spans="1:51" hidden="1">
      <c r="A5732">
        <v>103365</v>
      </c>
      <c r="B5732" t="s">
        <v>1127</v>
      </c>
      <c r="C5732" t="str">
        <f t="shared" si="488"/>
        <v>00488410010</v>
      </c>
      <c r="D5732" t="str">
        <f t="shared" si="488"/>
        <v>00488410010</v>
      </c>
      <c r="E5732" t="s">
        <v>52</v>
      </c>
      <c r="F5732">
        <v>2013</v>
      </c>
      <c r="G5732" t="s">
        <v>1133</v>
      </c>
      <c r="H5732" s="1">
        <v>41621</v>
      </c>
      <c r="I5732" s="1">
        <v>41639</v>
      </c>
      <c r="J5732" s="1">
        <v>41639</v>
      </c>
      <c r="K5732" s="1">
        <v>41729</v>
      </c>
      <c r="N5732" s="5"/>
      <c r="O5732">
        <v>74.430000000000007</v>
      </c>
      <c r="P5732">
        <v>305</v>
      </c>
      <c r="Q5732" s="2">
        <v>22701.15</v>
      </c>
      <c r="R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 s="1">
        <v>42382</v>
      </c>
      <c r="AC5732" t="s">
        <v>53</v>
      </c>
      <c r="AD5732" t="s">
        <v>53</v>
      </c>
      <c r="AK5732">
        <v>0</v>
      </c>
      <c r="AU5732" s="6">
        <v>42034</v>
      </c>
      <c r="AV5732" s="6">
        <v>42034</v>
      </c>
      <c r="AW5732" t="s">
        <v>54</v>
      </c>
      <c r="AX5732" t="str">
        <f t="shared" si="482"/>
        <v>FOR</v>
      </c>
      <c r="AY5732" t="s">
        <v>55</v>
      </c>
    </row>
    <row r="5733" spans="1:51" hidden="1">
      <c r="A5733">
        <v>103365</v>
      </c>
      <c r="B5733" t="s">
        <v>1127</v>
      </c>
      <c r="C5733" t="str">
        <f t="shared" si="488"/>
        <v>00488410010</v>
      </c>
      <c r="D5733" t="str">
        <f t="shared" si="488"/>
        <v>00488410010</v>
      </c>
      <c r="E5733" t="s">
        <v>52</v>
      </c>
      <c r="F5733">
        <v>2014</v>
      </c>
      <c r="G5733" t="s">
        <v>1134</v>
      </c>
      <c r="H5733" s="1">
        <v>41684</v>
      </c>
      <c r="I5733" s="1">
        <v>41703</v>
      </c>
      <c r="J5733" s="1">
        <v>41703</v>
      </c>
      <c r="K5733" s="1">
        <v>41793</v>
      </c>
      <c r="N5733" s="5"/>
      <c r="O5733">
        <v>82.76</v>
      </c>
      <c r="P5733">
        <v>241</v>
      </c>
      <c r="Q5733" s="2">
        <v>19945.16</v>
      </c>
      <c r="R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 s="1">
        <v>42382</v>
      </c>
      <c r="AC5733" t="s">
        <v>53</v>
      </c>
      <c r="AD5733" t="s">
        <v>53</v>
      </c>
      <c r="AK5733">
        <v>0</v>
      </c>
      <c r="AU5733" s="6">
        <v>42034</v>
      </c>
      <c r="AV5733" s="6">
        <v>42034</v>
      </c>
      <c r="AW5733" t="s">
        <v>54</v>
      </c>
      <c r="AX5733" t="str">
        <f t="shared" si="482"/>
        <v>FOR</v>
      </c>
      <c r="AY5733" t="s">
        <v>55</v>
      </c>
    </row>
    <row r="5734" spans="1:51" hidden="1">
      <c r="A5734">
        <v>103365</v>
      </c>
      <c r="B5734" t="s">
        <v>1127</v>
      </c>
      <c r="C5734" t="str">
        <f t="shared" si="488"/>
        <v>00488410010</v>
      </c>
      <c r="D5734" t="str">
        <f t="shared" si="488"/>
        <v>00488410010</v>
      </c>
      <c r="E5734" t="s">
        <v>52</v>
      </c>
      <c r="F5734">
        <v>2014</v>
      </c>
      <c r="G5734" t="s">
        <v>1135</v>
      </c>
      <c r="H5734" s="1">
        <v>41684</v>
      </c>
      <c r="I5734" s="1">
        <v>42037</v>
      </c>
      <c r="J5734" s="1">
        <v>42037</v>
      </c>
      <c r="K5734" s="1">
        <v>42097</v>
      </c>
      <c r="N5734" s="5"/>
      <c r="O5734" s="2">
        <v>7047.3</v>
      </c>
      <c r="P5734">
        <v>-56</v>
      </c>
      <c r="Q5734" s="2">
        <v>-394648.8</v>
      </c>
      <c r="R5734">
        <v>0</v>
      </c>
      <c r="V5734">
        <v>0</v>
      </c>
      <c r="W5734">
        <v>0</v>
      </c>
      <c r="X5734">
        <v>0</v>
      </c>
      <c r="Y5734">
        <v>0</v>
      </c>
      <c r="Z5734" s="2">
        <v>7047.3</v>
      </c>
      <c r="AA5734">
        <v>0</v>
      </c>
      <c r="AB5734" s="1">
        <v>42382</v>
      </c>
      <c r="AC5734" t="s">
        <v>53</v>
      </c>
      <c r="AD5734" t="s">
        <v>53</v>
      </c>
      <c r="AK5734">
        <v>0</v>
      </c>
      <c r="AU5734" s="6">
        <v>42041</v>
      </c>
      <c r="AV5734" s="6">
        <v>42041</v>
      </c>
      <c r="AW5734" t="s">
        <v>54</v>
      </c>
      <c r="AX5734" t="str">
        <f t="shared" si="482"/>
        <v>FOR</v>
      </c>
      <c r="AY5734" t="s">
        <v>55</v>
      </c>
    </row>
    <row r="5735" spans="1:51" hidden="1">
      <c r="A5735">
        <v>103365</v>
      </c>
      <c r="B5735" t="s">
        <v>1127</v>
      </c>
      <c r="C5735" t="str">
        <f t="shared" si="488"/>
        <v>00488410010</v>
      </c>
      <c r="D5735" t="str">
        <f t="shared" si="488"/>
        <v>00488410010</v>
      </c>
      <c r="E5735" t="s">
        <v>52</v>
      </c>
      <c r="F5735">
        <v>2014</v>
      </c>
      <c r="G5735" t="s">
        <v>1136</v>
      </c>
      <c r="H5735" s="1">
        <v>41743</v>
      </c>
      <c r="I5735" s="1">
        <v>41767</v>
      </c>
      <c r="J5735" s="1">
        <v>41767</v>
      </c>
      <c r="K5735" s="1">
        <v>41857</v>
      </c>
      <c r="N5735" s="5"/>
      <c r="O5735">
        <v>74.37</v>
      </c>
      <c r="P5735">
        <v>177</v>
      </c>
      <c r="Q5735" s="2">
        <v>13163.49</v>
      </c>
      <c r="R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 s="1">
        <v>42382</v>
      </c>
      <c r="AC5735" t="s">
        <v>53</v>
      </c>
      <c r="AD5735" t="s">
        <v>53</v>
      </c>
      <c r="AK5735">
        <v>0</v>
      </c>
      <c r="AU5735" s="6">
        <v>42034</v>
      </c>
      <c r="AV5735" s="6">
        <v>42034</v>
      </c>
      <c r="AW5735" t="s">
        <v>54</v>
      </c>
      <c r="AX5735" t="str">
        <f t="shared" si="482"/>
        <v>FOR</v>
      </c>
      <c r="AY5735" t="s">
        <v>55</v>
      </c>
    </row>
    <row r="5736" spans="1:51" hidden="1">
      <c r="A5736">
        <v>103365</v>
      </c>
      <c r="B5736" t="s">
        <v>1127</v>
      </c>
      <c r="C5736" t="str">
        <f t="shared" si="488"/>
        <v>00488410010</v>
      </c>
      <c r="D5736" t="str">
        <f t="shared" si="488"/>
        <v>00488410010</v>
      </c>
      <c r="E5736" t="s">
        <v>52</v>
      </c>
      <c r="F5736">
        <v>2014</v>
      </c>
      <c r="G5736" t="s">
        <v>1137</v>
      </c>
      <c r="H5736" s="1">
        <v>41743</v>
      </c>
      <c r="I5736" s="1">
        <v>42037</v>
      </c>
      <c r="J5736" s="1">
        <v>42037</v>
      </c>
      <c r="K5736" s="1">
        <v>42097</v>
      </c>
      <c r="N5736" s="5"/>
      <c r="O5736" s="2">
        <v>7254.07</v>
      </c>
      <c r="P5736">
        <v>-56</v>
      </c>
      <c r="Q5736" s="2">
        <v>-406227.92</v>
      </c>
      <c r="R5736">
        <v>0</v>
      </c>
      <c r="V5736">
        <v>0</v>
      </c>
      <c r="W5736">
        <v>0</v>
      </c>
      <c r="X5736">
        <v>0</v>
      </c>
      <c r="Y5736">
        <v>0</v>
      </c>
      <c r="Z5736" s="2">
        <v>7254.07</v>
      </c>
      <c r="AA5736">
        <v>0</v>
      </c>
      <c r="AB5736" s="1">
        <v>42382</v>
      </c>
      <c r="AC5736" t="s">
        <v>53</v>
      </c>
      <c r="AD5736" t="s">
        <v>53</v>
      </c>
      <c r="AK5736">
        <v>0</v>
      </c>
      <c r="AU5736" s="6">
        <v>42041</v>
      </c>
      <c r="AV5736" s="6">
        <v>42041</v>
      </c>
      <c r="AW5736" t="s">
        <v>54</v>
      </c>
      <c r="AX5736" t="str">
        <f t="shared" si="482"/>
        <v>FOR</v>
      </c>
      <c r="AY5736" t="s">
        <v>55</v>
      </c>
    </row>
    <row r="5737" spans="1:51" hidden="1">
      <c r="A5737">
        <v>103365</v>
      </c>
      <c r="B5737" t="s">
        <v>1127</v>
      </c>
      <c r="C5737" t="str">
        <f t="shared" si="488"/>
        <v>00488410010</v>
      </c>
      <c r="D5737" t="str">
        <f t="shared" si="488"/>
        <v>00488410010</v>
      </c>
      <c r="E5737" t="s">
        <v>52</v>
      </c>
      <c r="F5737">
        <v>2014</v>
      </c>
      <c r="G5737" t="s">
        <v>1138</v>
      </c>
      <c r="H5737" s="1">
        <v>41793</v>
      </c>
      <c r="I5737" s="1">
        <v>41821</v>
      </c>
      <c r="J5737" s="1">
        <v>41821</v>
      </c>
      <c r="K5737" s="1">
        <v>41911</v>
      </c>
      <c r="N5737" s="5"/>
      <c r="O5737">
        <v>75.12</v>
      </c>
      <c r="P5737">
        <v>123</v>
      </c>
      <c r="Q5737" s="2">
        <v>9239.76</v>
      </c>
      <c r="R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 s="1">
        <v>42382</v>
      </c>
      <c r="AC5737" t="s">
        <v>53</v>
      </c>
      <c r="AD5737" t="s">
        <v>53</v>
      </c>
      <c r="AK5737">
        <v>0</v>
      </c>
      <c r="AU5737" s="6">
        <v>42034</v>
      </c>
      <c r="AV5737" s="6">
        <v>42034</v>
      </c>
      <c r="AW5737" t="s">
        <v>54</v>
      </c>
      <c r="AX5737" t="str">
        <f t="shared" si="482"/>
        <v>FOR</v>
      </c>
      <c r="AY5737" t="s">
        <v>55</v>
      </c>
    </row>
    <row r="5738" spans="1:51" hidden="1">
      <c r="A5738">
        <v>103365</v>
      </c>
      <c r="B5738" t="s">
        <v>1127</v>
      </c>
      <c r="C5738" t="str">
        <f t="shared" si="488"/>
        <v>00488410010</v>
      </c>
      <c r="D5738" t="str">
        <f t="shared" si="488"/>
        <v>00488410010</v>
      </c>
      <c r="E5738" t="s">
        <v>52</v>
      </c>
      <c r="F5738">
        <v>2014</v>
      </c>
      <c r="G5738" t="s">
        <v>1139</v>
      </c>
      <c r="H5738" s="1">
        <v>41793</v>
      </c>
      <c r="I5738" s="1">
        <v>42037</v>
      </c>
      <c r="J5738" s="1">
        <v>42037</v>
      </c>
      <c r="K5738" s="1">
        <v>42097</v>
      </c>
      <c r="N5738" s="5"/>
      <c r="O5738" s="2">
        <v>6459.48</v>
      </c>
      <c r="P5738">
        <v>-56</v>
      </c>
      <c r="Q5738" s="2">
        <v>-361730.88</v>
      </c>
      <c r="R5738">
        <v>0</v>
      </c>
      <c r="V5738">
        <v>0</v>
      </c>
      <c r="W5738">
        <v>0</v>
      </c>
      <c r="X5738">
        <v>0</v>
      </c>
      <c r="Y5738">
        <v>0</v>
      </c>
      <c r="Z5738" s="2">
        <v>6459.48</v>
      </c>
      <c r="AA5738">
        <v>0</v>
      </c>
      <c r="AB5738" s="1">
        <v>42382</v>
      </c>
      <c r="AC5738" t="s">
        <v>53</v>
      </c>
      <c r="AD5738" t="s">
        <v>53</v>
      </c>
      <c r="AK5738">
        <v>0</v>
      </c>
      <c r="AU5738" s="6">
        <v>42041</v>
      </c>
      <c r="AV5738" s="6">
        <v>42041</v>
      </c>
      <c r="AW5738" t="s">
        <v>54</v>
      </c>
      <c r="AX5738" t="str">
        <f t="shared" si="482"/>
        <v>FOR</v>
      </c>
      <c r="AY5738" t="s">
        <v>55</v>
      </c>
    </row>
    <row r="5739" spans="1:51" hidden="1">
      <c r="A5739">
        <v>103365</v>
      </c>
      <c r="B5739" t="s">
        <v>1127</v>
      </c>
      <c r="C5739" t="str">
        <f t="shared" si="488"/>
        <v>00488410010</v>
      </c>
      <c r="D5739" t="str">
        <f t="shared" si="488"/>
        <v>00488410010</v>
      </c>
      <c r="E5739" t="s">
        <v>52</v>
      </c>
      <c r="F5739">
        <v>2014</v>
      </c>
      <c r="G5739" t="s">
        <v>1140</v>
      </c>
      <c r="H5739" s="1">
        <v>41865</v>
      </c>
      <c r="I5739" s="1">
        <v>41890</v>
      </c>
      <c r="J5739" s="1">
        <v>41890</v>
      </c>
      <c r="K5739" s="1">
        <v>41980</v>
      </c>
      <c r="N5739" s="5"/>
      <c r="O5739">
        <v>75.540000000000006</v>
      </c>
      <c r="P5739">
        <v>54</v>
      </c>
      <c r="Q5739" s="2">
        <v>4079.16</v>
      </c>
      <c r="R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 s="1">
        <v>42382</v>
      </c>
      <c r="AC5739" t="s">
        <v>53</v>
      </c>
      <c r="AD5739" t="s">
        <v>53</v>
      </c>
      <c r="AK5739">
        <v>0</v>
      </c>
      <c r="AU5739" s="6">
        <v>42034</v>
      </c>
      <c r="AV5739" s="6">
        <v>42034</v>
      </c>
      <c r="AW5739" t="s">
        <v>54</v>
      </c>
      <c r="AX5739" t="str">
        <f t="shared" si="482"/>
        <v>FOR</v>
      </c>
      <c r="AY5739" t="s">
        <v>55</v>
      </c>
    </row>
    <row r="5740" spans="1:51" hidden="1">
      <c r="A5740">
        <v>103365</v>
      </c>
      <c r="B5740" t="s">
        <v>1127</v>
      </c>
      <c r="C5740" t="str">
        <f t="shared" si="488"/>
        <v>00488410010</v>
      </c>
      <c r="D5740" t="str">
        <f t="shared" si="488"/>
        <v>00488410010</v>
      </c>
      <c r="E5740" t="s">
        <v>52</v>
      </c>
      <c r="F5740">
        <v>2014</v>
      </c>
      <c r="G5740" t="s">
        <v>1141</v>
      </c>
      <c r="H5740" s="1">
        <v>41865</v>
      </c>
      <c r="I5740" s="1">
        <v>42037</v>
      </c>
      <c r="J5740" s="1">
        <v>42037</v>
      </c>
      <c r="K5740" s="1">
        <v>42097</v>
      </c>
      <c r="N5740" s="5"/>
      <c r="O5740" s="2">
        <v>6239.63</v>
      </c>
      <c r="P5740">
        <v>-56</v>
      </c>
      <c r="Q5740" s="2">
        <v>-349419.28</v>
      </c>
      <c r="R5740">
        <v>0</v>
      </c>
      <c r="V5740">
        <v>0</v>
      </c>
      <c r="W5740">
        <v>0</v>
      </c>
      <c r="X5740">
        <v>0</v>
      </c>
      <c r="Y5740">
        <v>0</v>
      </c>
      <c r="Z5740" s="2">
        <v>6239.63</v>
      </c>
      <c r="AA5740">
        <v>0</v>
      </c>
      <c r="AB5740" s="1">
        <v>42382</v>
      </c>
      <c r="AC5740" t="s">
        <v>53</v>
      </c>
      <c r="AD5740" t="s">
        <v>53</v>
      </c>
      <c r="AK5740">
        <v>0</v>
      </c>
      <c r="AU5740" s="6">
        <v>42041</v>
      </c>
      <c r="AV5740" s="6">
        <v>42041</v>
      </c>
      <c r="AW5740" t="s">
        <v>54</v>
      </c>
      <c r="AX5740" t="str">
        <f t="shared" si="482"/>
        <v>FOR</v>
      </c>
      <c r="AY5740" t="s">
        <v>55</v>
      </c>
    </row>
    <row r="5741" spans="1:51" hidden="1">
      <c r="A5741">
        <v>103365</v>
      </c>
      <c r="B5741" t="s">
        <v>1127</v>
      </c>
      <c r="C5741" t="str">
        <f t="shared" si="488"/>
        <v>00488410010</v>
      </c>
      <c r="D5741" t="str">
        <f t="shared" si="488"/>
        <v>00488410010</v>
      </c>
      <c r="E5741" t="s">
        <v>52</v>
      </c>
      <c r="F5741">
        <v>2014</v>
      </c>
      <c r="G5741" t="s">
        <v>1142</v>
      </c>
      <c r="H5741" s="1">
        <v>41926</v>
      </c>
      <c r="I5741" s="1">
        <v>41956</v>
      </c>
      <c r="J5741" s="1">
        <v>41956</v>
      </c>
      <c r="K5741" s="1">
        <v>42016</v>
      </c>
      <c r="N5741" s="5"/>
      <c r="O5741" s="2">
        <v>3098.05</v>
      </c>
      <c r="P5741">
        <v>18</v>
      </c>
      <c r="Q5741" s="2">
        <v>55764.9</v>
      </c>
      <c r="R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 s="1">
        <v>42382</v>
      </c>
      <c r="AC5741" t="s">
        <v>53</v>
      </c>
      <c r="AD5741" t="s">
        <v>53</v>
      </c>
      <c r="AK5741">
        <v>0</v>
      </c>
      <c r="AU5741" s="6">
        <v>42034</v>
      </c>
      <c r="AV5741" s="6">
        <v>42034</v>
      </c>
      <c r="AW5741" t="s">
        <v>54</v>
      </c>
      <c r="AX5741" t="str">
        <f t="shared" si="482"/>
        <v>FOR</v>
      </c>
      <c r="AY5741" t="s">
        <v>55</v>
      </c>
    </row>
    <row r="5742" spans="1:51" hidden="1">
      <c r="A5742">
        <v>103365</v>
      </c>
      <c r="B5742" t="s">
        <v>1127</v>
      </c>
      <c r="C5742" t="str">
        <f t="shared" si="488"/>
        <v>00488410010</v>
      </c>
      <c r="D5742" t="str">
        <f t="shared" si="488"/>
        <v>00488410010</v>
      </c>
      <c r="E5742" t="s">
        <v>52</v>
      </c>
      <c r="F5742">
        <v>2014</v>
      </c>
      <c r="G5742" t="s">
        <v>1143</v>
      </c>
      <c r="H5742" s="1">
        <v>41926</v>
      </c>
      <c r="I5742" s="1">
        <v>42037</v>
      </c>
      <c r="J5742" s="1">
        <v>42037</v>
      </c>
      <c r="K5742" s="1">
        <v>42097</v>
      </c>
      <c r="N5742" s="5"/>
      <c r="O5742" s="2">
        <v>7731.85</v>
      </c>
      <c r="P5742">
        <v>-56</v>
      </c>
      <c r="Q5742" s="2">
        <v>-432983.6</v>
      </c>
      <c r="R5742">
        <v>0</v>
      </c>
      <c r="V5742">
        <v>0</v>
      </c>
      <c r="W5742">
        <v>0</v>
      </c>
      <c r="X5742">
        <v>0</v>
      </c>
      <c r="Y5742">
        <v>0</v>
      </c>
      <c r="Z5742" s="2">
        <v>7731.85</v>
      </c>
      <c r="AA5742">
        <v>0</v>
      </c>
      <c r="AB5742" s="1">
        <v>42382</v>
      </c>
      <c r="AC5742" t="s">
        <v>53</v>
      </c>
      <c r="AD5742" t="s">
        <v>53</v>
      </c>
      <c r="AK5742">
        <v>0</v>
      </c>
      <c r="AU5742" s="6">
        <v>42041</v>
      </c>
      <c r="AV5742" s="6">
        <v>42041</v>
      </c>
      <c r="AW5742" t="s">
        <v>54</v>
      </c>
      <c r="AX5742" t="str">
        <f t="shared" si="482"/>
        <v>FOR</v>
      </c>
      <c r="AY5742" t="s">
        <v>55</v>
      </c>
    </row>
    <row r="5743" spans="1:51" hidden="1">
      <c r="A5743">
        <v>103365</v>
      </c>
      <c r="B5743" t="s">
        <v>1127</v>
      </c>
      <c r="C5743" t="str">
        <f t="shared" si="488"/>
        <v>00488410010</v>
      </c>
      <c r="D5743" t="str">
        <f t="shared" si="488"/>
        <v>00488410010</v>
      </c>
      <c r="E5743" t="s">
        <v>52</v>
      </c>
      <c r="F5743">
        <v>2014</v>
      </c>
      <c r="G5743" t="s">
        <v>1144</v>
      </c>
      <c r="H5743" s="1">
        <v>41988</v>
      </c>
      <c r="I5743" s="1">
        <v>42053</v>
      </c>
      <c r="J5743" s="1">
        <v>42053</v>
      </c>
      <c r="K5743" s="1">
        <v>42113</v>
      </c>
      <c r="N5743" s="5"/>
      <c r="O5743">
        <v>77</v>
      </c>
      <c r="P5743">
        <v>-44</v>
      </c>
      <c r="Q5743" s="2">
        <v>-3388</v>
      </c>
      <c r="R5743">
        <v>0</v>
      </c>
      <c r="V5743">
        <v>0</v>
      </c>
      <c r="W5743">
        <v>0</v>
      </c>
      <c r="X5743">
        <v>0</v>
      </c>
      <c r="Y5743">
        <v>0</v>
      </c>
      <c r="Z5743">
        <v>77</v>
      </c>
      <c r="AA5743">
        <v>0</v>
      </c>
      <c r="AB5743" s="1">
        <v>42382</v>
      </c>
      <c r="AC5743" t="s">
        <v>53</v>
      </c>
      <c r="AD5743" t="s">
        <v>53</v>
      </c>
      <c r="AK5743">
        <v>0</v>
      </c>
      <c r="AU5743" s="6">
        <v>42069</v>
      </c>
      <c r="AV5743" s="6">
        <v>42069</v>
      </c>
      <c r="AW5743" t="s">
        <v>54</v>
      </c>
      <c r="AX5743" t="str">
        <f t="shared" si="482"/>
        <v>FOR</v>
      </c>
      <c r="AY5743" t="s">
        <v>55</v>
      </c>
    </row>
    <row r="5744" spans="1:51" hidden="1">
      <c r="A5744">
        <v>103365</v>
      </c>
      <c r="B5744" t="s">
        <v>1127</v>
      </c>
      <c r="C5744" t="str">
        <f t="shared" si="488"/>
        <v>00488410010</v>
      </c>
      <c r="D5744" t="str">
        <f t="shared" si="488"/>
        <v>00488410010</v>
      </c>
      <c r="E5744" t="s">
        <v>52</v>
      </c>
      <c r="F5744">
        <v>2014</v>
      </c>
      <c r="G5744" t="s">
        <v>1145</v>
      </c>
      <c r="H5744" s="1">
        <v>41988</v>
      </c>
      <c r="I5744" s="1">
        <v>42037</v>
      </c>
      <c r="J5744" s="1">
        <v>42037</v>
      </c>
      <c r="K5744" s="1">
        <v>42097</v>
      </c>
      <c r="N5744" s="5"/>
      <c r="O5744" s="2">
        <v>8462.17</v>
      </c>
      <c r="P5744">
        <v>-56</v>
      </c>
      <c r="Q5744" s="2">
        <v>-473881.52</v>
      </c>
      <c r="R5744">
        <v>0</v>
      </c>
      <c r="V5744">
        <v>0</v>
      </c>
      <c r="W5744">
        <v>0</v>
      </c>
      <c r="X5744">
        <v>0</v>
      </c>
      <c r="Y5744">
        <v>0</v>
      </c>
      <c r="Z5744" s="2">
        <v>8462.17</v>
      </c>
      <c r="AA5744">
        <v>0</v>
      </c>
      <c r="AB5744" s="1">
        <v>42382</v>
      </c>
      <c r="AC5744" t="s">
        <v>53</v>
      </c>
      <c r="AD5744" t="s">
        <v>53</v>
      </c>
      <c r="AK5744">
        <v>0</v>
      </c>
      <c r="AU5744" s="6">
        <v>42041</v>
      </c>
      <c r="AV5744" s="6">
        <v>42041</v>
      </c>
      <c r="AW5744" t="s">
        <v>54</v>
      </c>
      <c r="AX5744" t="str">
        <f t="shared" si="482"/>
        <v>FOR</v>
      </c>
      <c r="AY5744" t="s">
        <v>55</v>
      </c>
    </row>
    <row r="5745" spans="1:51" hidden="1">
      <c r="A5745">
        <v>103365</v>
      </c>
      <c r="B5745" t="s">
        <v>1127</v>
      </c>
      <c r="C5745" t="str">
        <f t="shared" si="488"/>
        <v>00488410010</v>
      </c>
      <c r="D5745" t="str">
        <f t="shared" si="488"/>
        <v>00488410010</v>
      </c>
      <c r="E5745" t="s">
        <v>52</v>
      </c>
      <c r="F5745">
        <v>2015</v>
      </c>
      <c r="G5745" t="s">
        <v>1146</v>
      </c>
      <c r="H5745" s="1">
        <v>42048</v>
      </c>
      <c r="I5745" s="1">
        <v>42069</v>
      </c>
      <c r="J5745" s="1">
        <v>42069</v>
      </c>
      <c r="K5745" s="1">
        <v>42129</v>
      </c>
      <c r="N5745" s="5"/>
      <c r="O5745">
        <v>92.09</v>
      </c>
      <c r="P5745">
        <v>1</v>
      </c>
      <c r="Q5745">
        <v>92.09</v>
      </c>
      <c r="R5745">
        <v>0</v>
      </c>
      <c r="V5745">
        <v>0</v>
      </c>
      <c r="W5745">
        <v>0</v>
      </c>
      <c r="X5745">
        <v>0</v>
      </c>
      <c r="Y5745">
        <v>105.38</v>
      </c>
      <c r="Z5745">
        <v>105.38</v>
      </c>
      <c r="AA5745">
        <v>105.38</v>
      </c>
      <c r="AB5745" s="1">
        <v>42382</v>
      </c>
      <c r="AC5745" t="s">
        <v>53</v>
      </c>
      <c r="AD5745" t="s">
        <v>53</v>
      </c>
      <c r="AK5745">
        <v>0</v>
      </c>
      <c r="AU5745" s="6">
        <v>42130</v>
      </c>
      <c r="AV5745" s="6">
        <v>42130</v>
      </c>
      <c r="AW5745" t="s">
        <v>54</v>
      </c>
      <c r="AX5745" t="str">
        <f t="shared" si="482"/>
        <v>FOR</v>
      </c>
      <c r="AY5745" t="s">
        <v>55</v>
      </c>
    </row>
    <row r="5746" spans="1:51" hidden="1">
      <c r="A5746">
        <v>103365</v>
      </c>
      <c r="B5746" t="s">
        <v>1127</v>
      </c>
      <c r="C5746" t="str">
        <f t="shared" si="488"/>
        <v>00488410010</v>
      </c>
      <c r="D5746" t="str">
        <f t="shared" si="488"/>
        <v>00488410010</v>
      </c>
      <c r="E5746" t="s">
        <v>52</v>
      </c>
      <c r="F5746">
        <v>2015</v>
      </c>
      <c r="G5746" t="s">
        <v>1147</v>
      </c>
      <c r="H5746" s="1">
        <v>42048</v>
      </c>
      <c r="I5746" s="1">
        <v>42086</v>
      </c>
      <c r="J5746" s="1">
        <v>42086</v>
      </c>
      <c r="K5746" s="1">
        <v>42146</v>
      </c>
      <c r="N5746" s="5"/>
      <c r="O5746" s="2">
        <v>2086.23</v>
      </c>
      <c r="P5746">
        <v>-16</v>
      </c>
      <c r="Q5746" s="2">
        <v>-33379.68</v>
      </c>
      <c r="R5746">
        <v>0</v>
      </c>
      <c r="V5746">
        <v>0</v>
      </c>
      <c r="W5746">
        <v>0</v>
      </c>
      <c r="X5746">
        <v>0</v>
      </c>
      <c r="Y5746" s="2">
        <v>2569.0100000000002</v>
      </c>
      <c r="Z5746" s="2">
        <v>2569.0100000000002</v>
      </c>
      <c r="AA5746" s="2">
        <v>2569.0100000000002</v>
      </c>
      <c r="AB5746" s="1">
        <v>42382</v>
      </c>
      <c r="AC5746" t="s">
        <v>53</v>
      </c>
      <c r="AD5746" t="s">
        <v>53</v>
      </c>
      <c r="AK5746">
        <v>0</v>
      </c>
      <c r="AU5746" s="6">
        <v>42130</v>
      </c>
      <c r="AV5746" s="6">
        <v>42130</v>
      </c>
      <c r="AW5746" t="s">
        <v>54</v>
      </c>
      <c r="AX5746" t="str">
        <f t="shared" si="482"/>
        <v>FOR</v>
      </c>
      <c r="AY5746" t="s">
        <v>55</v>
      </c>
    </row>
    <row r="5747" spans="1:51" hidden="1">
      <c r="A5747">
        <v>103365</v>
      </c>
      <c r="B5747" t="s">
        <v>1127</v>
      </c>
      <c r="C5747" t="str">
        <f t="shared" si="488"/>
        <v>00488410010</v>
      </c>
      <c r="D5747" t="str">
        <f t="shared" si="488"/>
        <v>00488410010</v>
      </c>
      <c r="E5747" t="s">
        <v>52</v>
      </c>
      <c r="F5747">
        <v>2015</v>
      </c>
      <c r="G5747" t="s">
        <v>1148</v>
      </c>
      <c r="H5747" s="1">
        <v>42048</v>
      </c>
      <c r="I5747" s="1">
        <v>42086</v>
      </c>
      <c r="J5747" s="1">
        <v>42086</v>
      </c>
      <c r="K5747" s="1">
        <v>42146</v>
      </c>
      <c r="N5747" s="5"/>
      <c r="O5747">
        <v>193.51</v>
      </c>
      <c r="P5747">
        <v>-16</v>
      </c>
      <c r="Q5747" s="2">
        <v>-3096.16</v>
      </c>
      <c r="R5747">
        <v>0</v>
      </c>
      <c r="V5747">
        <v>0</v>
      </c>
      <c r="W5747">
        <v>0</v>
      </c>
      <c r="X5747">
        <v>0</v>
      </c>
      <c r="Y5747">
        <v>236.08</v>
      </c>
      <c r="Z5747">
        <v>236.08</v>
      </c>
      <c r="AA5747">
        <v>236.08</v>
      </c>
      <c r="AB5747" s="1">
        <v>42382</v>
      </c>
      <c r="AC5747" t="s">
        <v>53</v>
      </c>
      <c r="AD5747" t="s">
        <v>53</v>
      </c>
      <c r="AK5747">
        <v>0</v>
      </c>
      <c r="AU5747" s="6">
        <v>42130</v>
      </c>
      <c r="AV5747" s="6">
        <v>42130</v>
      </c>
      <c r="AW5747" t="s">
        <v>54</v>
      </c>
      <c r="AX5747" t="str">
        <f t="shared" si="482"/>
        <v>FOR</v>
      </c>
      <c r="AY5747" t="s">
        <v>55</v>
      </c>
    </row>
    <row r="5748" spans="1:51" hidden="1">
      <c r="A5748">
        <v>103365</v>
      </c>
      <c r="B5748" t="s">
        <v>1127</v>
      </c>
      <c r="C5748" t="str">
        <f t="shared" si="488"/>
        <v>00488410010</v>
      </c>
      <c r="D5748" t="str">
        <f t="shared" si="488"/>
        <v>00488410010</v>
      </c>
      <c r="E5748" t="s">
        <v>52</v>
      </c>
      <c r="F5748">
        <v>2015</v>
      </c>
      <c r="G5748" t="s">
        <v>1149</v>
      </c>
      <c r="H5748" s="1">
        <v>42230</v>
      </c>
      <c r="I5748" s="1">
        <v>42248</v>
      </c>
      <c r="J5748" s="1">
        <v>42243</v>
      </c>
      <c r="K5748" s="1">
        <v>42303</v>
      </c>
      <c r="N5748" s="5"/>
      <c r="O5748">
        <v>96.89</v>
      </c>
      <c r="P5748">
        <v>-28</v>
      </c>
      <c r="Q5748" s="2">
        <v>-2712.92</v>
      </c>
      <c r="R5748">
        <v>0</v>
      </c>
      <c r="V5748">
        <v>0</v>
      </c>
      <c r="W5748">
        <v>0</v>
      </c>
      <c r="X5748">
        <v>0</v>
      </c>
      <c r="Y5748">
        <v>118.21</v>
      </c>
      <c r="Z5748">
        <v>118.21</v>
      </c>
      <c r="AA5748">
        <v>118.21</v>
      </c>
      <c r="AB5748" s="1">
        <v>42382</v>
      </c>
      <c r="AC5748" t="s">
        <v>53</v>
      </c>
      <c r="AD5748" t="s">
        <v>53</v>
      </c>
      <c r="AK5748">
        <v>0</v>
      </c>
      <c r="AU5748" s="6">
        <v>42275</v>
      </c>
      <c r="AV5748" s="6">
        <v>42275</v>
      </c>
      <c r="AW5748" t="s">
        <v>54</v>
      </c>
      <c r="AX5748" t="str">
        <f t="shared" si="482"/>
        <v>FOR</v>
      </c>
      <c r="AY5748" t="s">
        <v>55</v>
      </c>
    </row>
    <row r="5749" spans="1:51" hidden="1">
      <c r="A5749">
        <v>103365</v>
      </c>
      <c r="B5749" t="s">
        <v>1127</v>
      </c>
      <c r="C5749" t="str">
        <f t="shared" si="488"/>
        <v>00488410010</v>
      </c>
      <c r="D5749" t="str">
        <f t="shared" si="488"/>
        <v>00488410010</v>
      </c>
      <c r="E5749" t="s">
        <v>52</v>
      </c>
      <c r="F5749">
        <v>2015</v>
      </c>
      <c r="G5749" t="s">
        <v>1150</v>
      </c>
      <c r="H5749" s="1">
        <v>42230</v>
      </c>
      <c r="I5749" s="1">
        <v>42248</v>
      </c>
      <c r="J5749" s="1">
        <v>42243</v>
      </c>
      <c r="K5749" s="1">
        <v>42303</v>
      </c>
      <c r="N5749" s="5"/>
      <c r="O5749">
        <v>341.35</v>
      </c>
      <c r="P5749">
        <v>-28</v>
      </c>
      <c r="Q5749" s="2">
        <v>-9557.7999999999993</v>
      </c>
      <c r="R5749">
        <v>0</v>
      </c>
      <c r="V5749">
        <v>0</v>
      </c>
      <c r="W5749">
        <v>0</v>
      </c>
      <c r="X5749">
        <v>0</v>
      </c>
      <c r="Y5749">
        <v>416.45</v>
      </c>
      <c r="Z5749">
        <v>416.45</v>
      </c>
      <c r="AA5749">
        <v>416.45</v>
      </c>
      <c r="AB5749" s="1">
        <v>42382</v>
      </c>
      <c r="AC5749" t="s">
        <v>53</v>
      </c>
      <c r="AD5749" t="s">
        <v>53</v>
      </c>
      <c r="AK5749">
        <v>0</v>
      </c>
      <c r="AU5749" s="6">
        <v>42275</v>
      </c>
      <c r="AV5749" s="6">
        <v>42275</v>
      </c>
      <c r="AW5749" t="s">
        <v>54</v>
      </c>
      <c r="AX5749" t="str">
        <f t="shared" si="482"/>
        <v>FOR</v>
      </c>
      <c r="AY5749" t="s">
        <v>55</v>
      </c>
    </row>
    <row r="5750" spans="1:51">
      <c r="A5750">
        <v>103365</v>
      </c>
      <c r="B5750" t="s">
        <v>1127</v>
      </c>
      <c r="C5750" t="str">
        <f t="shared" si="488"/>
        <v>00488410010</v>
      </c>
      <c r="D5750" t="str">
        <f t="shared" si="488"/>
        <v>00488410010</v>
      </c>
      <c r="E5750" t="s">
        <v>52</v>
      </c>
      <c r="F5750">
        <v>2015</v>
      </c>
      <c r="G5750" t="s">
        <v>1151</v>
      </c>
      <c r="H5750" s="1">
        <v>42291</v>
      </c>
      <c r="I5750" s="1">
        <v>42307</v>
      </c>
      <c r="J5750" s="1">
        <v>42306</v>
      </c>
      <c r="K5750" s="1">
        <v>42366</v>
      </c>
      <c r="L5750" s="7">
        <v>103.55</v>
      </c>
      <c r="M5750" s="5">
        <v>-28</v>
      </c>
      <c r="N5750" s="7">
        <v>-2899.4</v>
      </c>
      <c r="O5750">
        <v>103.55</v>
      </c>
      <c r="P5750">
        <v>-28</v>
      </c>
      <c r="Q5750" s="2">
        <v>-2899.4</v>
      </c>
      <c r="R5750">
        <v>0</v>
      </c>
      <c r="V5750">
        <v>126.33</v>
      </c>
      <c r="W5750">
        <v>126.33</v>
      </c>
      <c r="X5750">
        <v>126.33</v>
      </c>
      <c r="Y5750">
        <v>126.33</v>
      </c>
      <c r="Z5750">
        <v>126.33</v>
      </c>
      <c r="AA5750">
        <v>126.33</v>
      </c>
      <c r="AB5750" s="1">
        <v>42382</v>
      </c>
      <c r="AC5750" t="s">
        <v>53</v>
      </c>
      <c r="AD5750" t="s">
        <v>53</v>
      </c>
      <c r="AK5750">
        <v>0</v>
      </c>
      <c r="AU5750" s="6">
        <v>42338</v>
      </c>
      <c r="AV5750" s="6">
        <v>42338</v>
      </c>
      <c r="AW5750" t="s">
        <v>54</v>
      </c>
      <c r="AX5750" t="str">
        <f t="shared" si="482"/>
        <v>FOR</v>
      </c>
      <c r="AY5750" t="s">
        <v>55</v>
      </c>
    </row>
    <row r="5751" spans="1:51">
      <c r="A5751">
        <v>103365</v>
      </c>
      <c r="B5751" t="s">
        <v>1127</v>
      </c>
      <c r="C5751" t="str">
        <f t="shared" si="488"/>
        <v>00488410010</v>
      </c>
      <c r="D5751" t="str">
        <f t="shared" si="488"/>
        <v>00488410010</v>
      </c>
      <c r="E5751" t="s">
        <v>52</v>
      </c>
      <c r="F5751">
        <v>2015</v>
      </c>
      <c r="G5751" t="s">
        <v>1152</v>
      </c>
      <c r="H5751" s="1">
        <v>42291</v>
      </c>
      <c r="I5751" s="1">
        <v>42307</v>
      </c>
      <c r="J5751" s="1">
        <v>42306</v>
      </c>
      <c r="K5751" s="1">
        <v>42366</v>
      </c>
      <c r="L5751" s="7">
        <v>217.58</v>
      </c>
      <c r="M5751" s="5">
        <v>-28</v>
      </c>
      <c r="N5751" s="7">
        <v>-6092.24</v>
      </c>
      <c r="O5751">
        <v>217.58</v>
      </c>
      <c r="P5751">
        <v>-28</v>
      </c>
      <c r="Q5751" s="2">
        <v>-6092.24</v>
      </c>
      <c r="R5751">
        <v>0</v>
      </c>
      <c r="V5751">
        <v>265.45</v>
      </c>
      <c r="W5751">
        <v>265.45</v>
      </c>
      <c r="X5751">
        <v>265.45</v>
      </c>
      <c r="Y5751">
        <v>265.45</v>
      </c>
      <c r="Z5751">
        <v>265.45</v>
      </c>
      <c r="AA5751">
        <v>265.45</v>
      </c>
      <c r="AB5751" s="1">
        <v>42382</v>
      </c>
      <c r="AC5751" t="s">
        <v>53</v>
      </c>
      <c r="AD5751" t="s">
        <v>53</v>
      </c>
      <c r="AK5751">
        <v>0</v>
      </c>
      <c r="AU5751" s="6">
        <v>42338</v>
      </c>
      <c r="AV5751" s="6">
        <v>42338</v>
      </c>
      <c r="AW5751" t="s">
        <v>54</v>
      </c>
      <c r="AX5751" t="str">
        <f t="shared" si="482"/>
        <v>FOR</v>
      </c>
      <c r="AY5751" t="s">
        <v>55</v>
      </c>
    </row>
    <row r="5752" spans="1:51">
      <c r="A5752">
        <v>103365</v>
      </c>
      <c r="B5752" t="s">
        <v>1127</v>
      </c>
      <c r="C5752" t="str">
        <f t="shared" si="488"/>
        <v>00488410010</v>
      </c>
      <c r="D5752" t="str">
        <f t="shared" si="488"/>
        <v>00488410010</v>
      </c>
      <c r="E5752" t="s">
        <v>52</v>
      </c>
      <c r="F5752">
        <v>2015</v>
      </c>
      <c r="G5752">
        <v>820150914001651</v>
      </c>
      <c r="H5752" s="1">
        <v>42276</v>
      </c>
      <c r="I5752" s="1">
        <v>42286</v>
      </c>
      <c r="J5752" s="1">
        <v>42278</v>
      </c>
      <c r="K5752" s="1">
        <v>42338</v>
      </c>
      <c r="L5752" s="7">
        <v>432.24</v>
      </c>
      <c r="M5752" s="5">
        <v>-39</v>
      </c>
      <c r="N5752" s="7">
        <v>-16857.36</v>
      </c>
      <c r="O5752">
        <v>432.24</v>
      </c>
      <c r="P5752">
        <v>-39</v>
      </c>
      <c r="Q5752" s="2">
        <v>-16857.36</v>
      </c>
      <c r="R5752">
        <v>0</v>
      </c>
      <c r="V5752">
        <v>0</v>
      </c>
      <c r="W5752">
        <v>527.33000000000004</v>
      </c>
      <c r="X5752">
        <v>0</v>
      </c>
      <c r="Y5752">
        <v>527.33000000000004</v>
      </c>
      <c r="Z5752">
        <v>527.33000000000004</v>
      </c>
      <c r="AA5752">
        <v>527.33000000000004</v>
      </c>
      <c r="AB5752" s="1">
        <v>42382</v>
      </c>
      <c r="AC5752" t="s">
        <v>53</v>
      </c>
      <c r="AD5752" t="s">
        <v>53</v>
      </c>
      <c r="AK5752">
        <v>0</v>
      </c>
      <c r="AU5752" s="6">
        <v>42299</v>
      </c>
      <c r="AV5752" s="6">
        <v>42299</v>
      </c>
      <c r="AW5752" t="s">
        <v>54</v>
      </c>
      <c r="AX5752" t="str">
        <f t="shared" si="482"/>
        <v>FOR</v>
      </c>
      <c r="AY5752" t="s">
        <v>55</v>
      </c>
    </row>
    <row r="5753" spans="1:51">
      <c r="A5753">
        <v>103365</v>
      </c>
      <c r="B5753" t="s">
        <v>1127</v>
      </c>
      <c r="C5753" t="str">
        <f t="shared" si="488"/>
        <v>00488410010</v>
      </c>
      <c r="D5753" t="str">
        <f t="shared" si="488"/>
        <v>00488410010</v>
      </c>
      <c r="E5753" t="s">
        <v>52</v>
      </c>
      <c r="F5753">
        <v>2015</v>
      </c>
      <c r="G5753">
        <v>820150914001680</v>
      </c>
      <c r="H5753" s="1">
        <v>42276</v>
      </c>
      <c r="I5753" s="1">
        <v>42286</v>
      </c>
      <c r="J5753" s="1">
        <v>42278</v>
      </c>
      <c r="K5753" s="1">
        <v>42338</v>
      </c>
      <c r="L5753" s="7">
        <v>223.31</v>
      </c>
      <c r="M5753" s="5">
        <v>-39</v>
      </c>
      <c r="N5753" s="7">
        <v>-8709.09</v>
      </c>
      <c r="O5753">
        <v>223.31</v>
      </c>
      <c r="P5753">
        <v>-39</v>
      </c>
      <c r="Q5753" s="2">
        <v>-8709.09</v>
      </c>
      <c r="R5753">
        <v>0</v>
      </c>
      <c r="V5753">
        <v>0</v>
      </c>
      <c r="W5753">
        <v>272.44</v>
      </c>
      <c r="X5753">
        <v>0</v>
      </c>
      <c r="Y5753">
        <v>272.44</v>
      </c>
      <c r="Z5753">
        <v>272.44</v>
      </c>
      <c r="AA5753">
        <v>272.44</v>
      </c>
      <c r="AB5753" s="1">
        <v>42382</v>
      </c>
      <c r="AC5753" t="s">
        <v>53</v>
      </c>
      <c r="AD5753" t="s">
        <v>53</v>
      </c>
      <c r="AK5753">
        <v>0</v>
      </c>
      <c r="AU5753" s="6">
        <v>42299</v>
      </c>
      <c r="AV5753" s="6">
        <v>42299</v>
      </c>
      <c r="AW5753" t="s">
        <v>54</v>
      </c>
      <c r="AX5753" t="str">
        <f t="shared" si="482"/>
        <v>FOR</v>
      </c>
      <c r="AY5753" t="s">
        <v>55</v>
      </c>
    </row>
    <row r="5754" spans="1:51" hidden="1">
      <c r="A5754">
        <v>103501</v>
      </c>
      <c r="B5754" t="s">
        <v>1153</v>
      </c>
      <c r="C5754" t="str">
        <f t="shared" ref="C5754:C5760" si="489">"02385200122"</f>
        <v>02385200122</v>
      </c>
      <c r="D5754" t="str">
        <f t="shared" ref="D5754:D5760" si="490">"07195130153"</f>
        <v>07195130153</v>
      </c>
      <c r="E5754" t="s">
        <v>52</v>
      </c>
      <c r="F5754">
        <v>2014</v>
      </c>
      <c r="G5754">
        <v>14043828</v>
      </c>
      <c r="H5754" s="1">
        <v>41774</v>
      </c>
      <c r="I5754" s="1">
        <v>41782</v>
      </c>
      <c r="J5754" s="1">
        <v>41782</v>
      </c>
      <c r="K5754" s="1">
        <v>41872</v>
      </c>
      <c r="N5754" s="5"/>
      <c r="O5754" s="2">
        <v>2112.5500000000002</v>
      </c>
      <c r="P5754">
        <v>259</v>
      </c>
      <c r="Q5754" s="2">
        <v>547150.44999999995</v>
      </c>
      <c r="R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 s="1">
        <v>42382</v>
      </c>
      <c r="AC5754" t="s">
        <v>53</v>
      </c>
      <c r="AD5754" t="s">
        <v>53</v>
      </c>
      <c r="AK5754">
        <v>0</v>
      </c>
      <c r="AU5754" s="6">
        <v>42131</v>
      </c>
      <c r="AV5754" s="6">
        <v>42131</v>
      </c>
      <c r="AW5754" t="s">
        <v>54</v>
      </c>
      <c r="AX5754" t="str">
        <f t="shared" si="482"/>
        <v>FOR</v>
      </c>
      <c r="AY5754" t="s">
        <v>55</v>
      </c>
    </row>
    <row r="5755" spans="1:51" hidden="1">
      <c r="A5755">
        <v>103501</v>
      </c>
      <c r="B5755" t="s">
        <v>1153</v>
      </c>
      <c r="C5755" t="str">
        <f t="shared" si="489"/>
        <v>02385200122</v>
      </c>
      <c r="D5755" t="str">
        <f t="shared" si="490"/>
        <v>07195130153</v>
      </c>
      <c r="E5755" t="s">
        <v>52</v>
      </c>
      <c r="F5755">
        <v>2014</v>
      </c>
      <c r="G5755">
        <v>14058290</v>
      </c>
      <c r="H5755" s="1">
        <v>41821</v>
      </c>
      <c r="I5755" s="1">
        <v>41830</v>
      </c>
      <c r="J5755" s="1">
        <v>41830</v>
      </c>
      <c r="K5755" s="1">
        <v>41920</v>
      </c>
      <c r="N5755" s="5"/>
      <c r="O5755">
        <v>523.6</v>
      </c>
      <c r="P5755">
        <v>264</v>
      </c>
      <c r="Q5755" s="2">
        <v>138230.39999999999</v>
      </c>
      <c r="R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 s="1">
        <v>42382</v>
      </c>
      <c r="AC5755" t="s">
        <v>53</v>
      </c>
      <c r="AD5755" t="s">
        <v>53</v>
      </c>
      <c r="AK5755">
        <v>0</v>
      </c>
      <c r="AU5755" s="6">
        <v>42184</v>
      </c>
      <c r="AV5755" s="6">
        <v>42184</v>
      </c>
      <c r="AW5755" t="s">
        <v>54</v>
      </c>
      <c r="AX5755" t="str">
        <f t="shared" si="482"/>
        <v>FOR</v>
      </c>
      <c r="AY5755" t="s">
        <v>55</v>
      </c>
    </row>
    <row r="5756" spans="1:51" hidden="1">
      <c r="A5756">
        <v>103501</v>
      </c>
      <c r="B5756" t="s">
        <v>1153</v>
      </c>
      <c r="C5756" t="str">
        <f t="shared" si="489"/>
        <v>02385200122</v>
      </c>
      <c r="D5756" t="str">
        <f t="shared" si="490"/>
        <v>07195130153</v>
      </c>
      <c r="E5756" t="s">
        <v>52</v>
      </c>
      <c r="F5756">
        <v>2014</v>
      </c>
      <c r="G5756">
        <v>14060275</v>
      </c>
      <c r="H5756" s="1">
        <v>41827</v>
      </c>
      <c r="I5756" s="1">
        <v>41834</v>
      </c>
      <c r="J5756" s="1">
        <v>41834</v>
      </c>
      <c r="K5756" s="1">
        <v>41924</v>
      </c>
      <c r="N5756" s="5"/>
      <c r="O5756" s="2">
        <v>2112.5500000000002</v>
      </c>
      <c r="P5756">
        <v>260</v>
      </c>
      <c r="Q5756" s="2">
        <v>549263</v>
      </c>
      <c r="R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 s="1">
        <v>42382</v>
      </c>
      <c r="AC5756" t="s">
        <v>53</v>
      </c>
      <c r="AD5756" t="s">
        <v>53</v>
      </c>
      <c r="AK5756">
        <v>0</v>
      </c>
      <c r="AU5756" s="6">
        <v>42184</v>
      </c>
      <c r="AV5756" s="6">
        <v>42184</v>
      </c>
      <c r="AW5756" t="s">
        <v>54</v>
      </c>
      <c r="AX5756" t="str">
        <f t="shared" si="482"/>
        <v>FOR</v>
      </c>
      <c r="AY5756" t="s">
        <v>55</v>
      </c>
    </row>
    <row r="5757" spans="1:51" hidden="1">
      <c r="A5757">
        <v>103501</v>
      </c>
      <c r="B5757" t="s">
        <v>1153</v>
      </c>
      <c r="C5757" t="str">
        <f t="shared" si="489"/>
        <v>02385200122</v>
      </c>
      <c r="D5757" t="str">
        <f t="shared" si="490"/>
        <v>07195130153</v>
      </c>
      <c r="E5757" t="s">
        <v>52</v>
      </c>
      <c r="F5757">
        <v>2014</v>
      </c>
      <c r="G5757">
        <v>14068843</v>
      </c>
      <c r="H5757" s="1">
        <v>41852</v>
      </c>
      <c r="I5757" s="1">
        <v>41873</v>
      </c>
      <c r="J5757" s="1">
        <v>41873</v>
      </c>
      <c r="K5757" s="1">
        <v>41963</v>
      </c>
      <c r="N5757" s="5"/>
      <c r="O5757">
        <v>845.02</v>
      </c>
      <c r="P5757">
        <v>221</v>
      </c>
      <c r="Q5757" s="2">
        <v>186749.42</v>
      </c>
      <c r="R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 s="1">
        <v>42382</v>
      </c>
      <c r="AC5757" t="s">
        <v>53</v>
      </c>
      <c r="AD5757" t="s">
        <v>53</v>
      </c>
      <c r="AK5757">
        <v>0</v>
      </c>
      <c r="AU5757" s="6">
        <v>42184</v>
      </c>
      <c r="AV5757" s="6">
        <v>42184</v>
      </c>
      <c r="AW5757" t="s">
        <v>54</v>
      </c>
      <c r="AX5757" t="str">
        <f t="shared" si="482"/>
        <v>FOR</v>
      </c>
      <c r="AY5757" t="s">
        <v>55</v>
      </c>
    </row>
    <row r="5758" spans="1:51" hidden="1">
      <c r="A5758">
        <v>103501</v>
      </c>
      <c r="B5758" t="s">
        <v>1153</v>
      </c>
      <c r="C5758" t="str">
        <f t="shared" si="489"/>
        <v>02385200122</v>
      </c>
      <c r="D5758" t="str">
        <f t="shared" si="490"/>
        <v>07195130153</v>
      </c>
      <c r="E5758" t="s">
        <v>52</v>
      </c>
      <c r="F5758">
        <v>2014</v>
      </c>
      <c r="G5758">
        <v>14072003</v>
      </c>
      <c r="H5758" s="1">
        <v>41876</v>
      </c>
      <c r="I5758" s="1">
        <v>41883</v>
      </c>
      <c r="J5758" s="1">
        <v>41883</v>
      </c>
      <c r="K5758" s="1">
        <v>41973</v>
      </c>
      <c r="N5758" s="5"/>
      <c r="O5758" s="2">
        <v>1056.28</v>
      </c>
      <c r="P5758">
        <v>211</v>
      </c>
      <c r="Q5758" s="2">
        <v>222875.08</v>
      </c>
      <c r="R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 s="1">
        <v>42382</v>
      </c>
      <c r="AC5758" t="s">
        <v>53</v>
      </c>
      <c r="AD5758" t="s">
        <v>53</v>
      </c>
      <c r="AK5758">
        <v>0</v>
      </c>
      <c r="AU5758" s="6">
        <v>42184</v>
      </c>
      <c r="AV5758" s="6">
        <v>42184</v>
      </c>
      <c r="AW5758" t="s">
        <v>54</v>
      </c>
      <c r="AX5758" t="str">
        <f t="shared" si="482"/>
        <v>FOR</v>
      </c>
      <c r="AY5758" t="s">
        <v>55</v>
      </c>
    </row>
    <row r="5759" spans="1:51">
      <c r="A5759">
        <v>103501</v>
      </c>
      <c r="B5759" t="s">
        <v>1153</v>
      </c>
      <c r="C5759" t="str">
        <f t="shared" si="489"/>
        <v>02385200122</v>
      </c>
      <c r="D5759" t="str">
        <f t="shared" si="490"/>
        <v>07195130153</v>
      </c>
      <c r="E5759" t="s">
        <v>52</v>
      </c>
      <c r="F5759">
        <v>2014</v>
      </c>
      <c r="G5759">
        <v>14073907</v>
      </c>
      <c r="H5759" s="1">
        <v>41883</v>
      </c>
      <c r="I5759" s="1">
        <v>41890</v>
      </c>
      <c r="J5759" s="1">
        <v>41890</v>
      </c>
      <c r="K5759" s="1">
        <v>41980</v>
      </c>
      <c r="L5759" s="7">
        <v>1267.53</v>
      </c>
      <c r="M5759" s="5">
        <v>303</v>
      </c>
      <c r="N5759" s="7">
        <v>384061.59</v>
      </c>
      <c r="O5759" s="2">
        <v>1267.53</v>
      </c>
      <c r="P5759">
        <v>303</v>
      </c>
      <c r="Q5759" s="2">
        <v>384061.59</v>
      </c>
      <c r="R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 s="1">
        <v>42382</v>
      </c>
      <c r="AC5759" t="s">
        <v>53</v>
      </c>
      <c r="AD5759" t="s">
        <v>53</v>
      </c>
      <c r="AK5759">
        <v>0</v>
      </c>
      <c r="AU5759" s="6">
        <v>42283</v>
      </c>
      <c r="AV5759" s="6">
        <v>42283</v>
      </c>
      <c r="AW5759" t="s">
        <v>54</v>
      </c>
      <c r="AX5759" t="str">
        <f t="shared" si="482"/>
        <v>FOR</v>
      </c>
      <c r="AY5759" t="s">
        <v>55</v>
      </c>
    </row>
    <row r="5760" spans="1:51">
      <c r="A5760">
        <v>103501</v>
      </c>
      <c r="B5760" t="s">
        <v>1153</v>
      </c>
      <c r="C5760" t="str">
        <f t="shared" si="489"/>
        <v>02385200122</v>
      </c>
      <c r="D5760" t="str">
        <f t="shared" si="490"/>
        <v>07195130153</v>
      </c>
      <c r="E5760" t="s">
        <v>52</v>
      </c>
      <c r="F5760">
        <v>2014</v>
      </c>
      <c r="G5760">
        <v>14091124</v>
      </c>
      <c r="H5760" s="1">
        <v>41941</v>
      </c>
      <c r="I5760" s="1">
        <v>41948</v>
      </c>
      <c r="J5760" s="1">
        <v>41948</v>
      </c>
      <c r="K5760" s="1">
        <v>42008</v>
      </c>
      <c r="L5760" s="7">
        <v>845.02</v>
      </c>
      <c r="M5760" s="5">
        <v>275</v>
      </c>
      <c r="N5760" s="7">
        <v>232380.5</v>
      </c>
      <c r="O5760">
        <v>845.02</v>
      </c>
      <c r="P5760">
        <v>275</v>
      </c>
      <c r="Q5760" s="2">
        <v>232380.5</v>
      </c>
      <c r="R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 s="1">
        <v>42382</v>
      </c>
      <c r="AC5760" t="s">
        <v>53</v>
      </c>
      <c r="AD5760" t="s">
        <v>53</v>
      </c>
      <c r="AK5760">
        <v>0</v>
      </c>
      <c r="AU5760" s="6">
        <v>42283</v>
      </c>
      <c r="AV5760" s="6">
        <v>42283</v>
      </c>
      <c r="AW5760" t="s">
        <v>54</v>
      </c>
      <c r="AX5760" t="str">
        <f t="shared" si="482"/>
        <v>FOR</v>
      </c>
      <c r="AY5760" t="s">
        <v>55</v>
      </c>
    </row>
    <row r="5761" spans="1:51" hidden="1">
      <c r="A5761">
        <v>103633</v>
      </c>
      <c r="B5761" t="s">
        <v>1154</v>
      </c>
      <c r="C5761" t="str">
        <f>"02002150643"</f>
        <v>02002150643</v>
      </c>
      <c r="D5761" t="str">
        <f>"02002150643"</f>
        <v>02002150643</v>
      </c>
      <c r="E5761" t="s">
        <v>52</v>
      </c>
      <c r="F5761">
        <v>2014</v>
      </c>
      <c r="G5761">
        <v>62</v>
      </c>
      <c r="H5761" s="1">
        <v>41708</v>
      </c>
      <c r="I5761" s="1">
        <v>41767</v>
      </c>
      <c r="J5761" s="1">
        <v>41767</v>
      </c>
      <c r="K5761" s="1">
        <v>41857</v>
      </c>
      <c r="N5761" s="5"/>
      <c r="O5761">
        <v>902.8</v>
      </c>
      <c r="P5761">
        <v>302</v>
      </c>
      <c r="Q5761" s="2">
        <v>272645.59999999998</v>
      </c>
      <c r="R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 s="1">
        <v>42382</v>
      </c>
      <c r="AC5761" t="s">
        <v>53</v>
      </c>
      <c r="AD5761" t="s">
        <v>53</v>
      </c>
      <c r="AK5761">
        <v>0</v>
      </c>
      <c r="AU5761" s="6">
        <v>42159</v>
      </c>
      <c r="AV5761" s="6">
        <v>42159</v>
      </c>
      <c r="AW5761" t="s">
        <v>54</v>
      </c>
      <c r="AX5761" t="str">
        <f t="shared" si="482"/>
        <v>FOR</v>
      </c>
      <c r="AY5761" t="s">
        <v>55</v>
      </c>
    </row>
    <row r="5762" spans="1:51" hidden="1">
      <c r="A5762">
        <v>103633</v>
      </c>
      <c r="B5762" t="s">
        <v>1154</v>
      </c>
      <c r="C5762" t="str">
        <f>"02002150643"</f>
        <v>02002150643</v>
      </c>
      <c r="D5762" t="str">
        <f>"02002150643"</f>
        <v>02002150643</v>
      </c>
      <c r="E5762" t="s">
        <v>52</v>
      </c>
      <c r="F5762">
        <v>2015</v>
      </c>
      <c r="G5762" t="s">
        <v>1155</v>
      </c>
      <c r="H5762" s="1">
        <v>42093</v>
      </c>
      <c r="I5762" s="1">
        <v>42104</v>
      </c>
      <c r="J5762" s="1">
        <v>42104</v>
      </c>
      <c r="K5762" s="1">
        <v>42164</v>
      </c>
      <c r="N5762" s="5"/>
      <c r="O5762">
        <v>600</v>
      </c>
      <c r="P5762">
        <v>-41</v>
      </c>
      <c r="Q5762" s="2">
        <v>-24600</v>
      </c>
      <c r="R5762">
        <v>132</v>
      </c>
      <c r="V5762">
        <v>0</v>
      </c>
      <c r="W5762">
        <v>0</v>
      </c>
      <c r="X5762">
        <v>0</v>
      </c>
      <c r="Y5762">
        <v>732</v>
      </c>
      <c r="Z5762">
        <v>732</v>
      </c>
      <c r="AA5762">
        <v>732</v>
      </c>
      <c r="AB5762" s="1">
        <v>42382</v>
      </c>
      <c r="AC5762" t="s">
        <v>53</v>
      </c>
      <c r="AD5762" t="s">
        <v>53</v>
      </c>
      <c r="AK5762">
        <v>132</v>
      </c>
      <c r="AU5762" s="6">
        <v>42123</v>
      </c>
      <c r="AV5762" s="6">
        <v>42123</v>
      </c>
      <c r="AW5762" t="s">
        <v>54</v>
      </c>
      <c r="AX5762" t="str">
        <f t="shared" si="482"/>
        <v>FOR</v>
      </c>
      <c r="AY5762" t="s">
        <v>55</v>
      </c>
    </row>
    <row r="5763" spans="1:51" hidden="1">
      <c r="A5763">
        <v>103801</v>
      </c>
      <c r="B5763" t="s">
        <v>1156</v>
      </c>
      <c r="C5763" t="str">
        <f>"05122191009"</f>
        <v>05122191009</v>
      </c>
      <c r="D5763" t="str">
        <f>"08526500155"</f>
        <v>08526500155</v>
      </c>
      <c r="E5763" t="s">
        <v>52</v>
      </c>
      <c r="F5763">
        <v>2014</v>
      </c>
      <c r="G5763">
        <v>14495</v>
      </c>
      <c r="H5763" s="1">
        <v>41759</v>
      </c>
      <c r="I5763" s="1">
        <v>41782</v>
      </c>
      <c r="J5763" s="1">
        <v>41782</v>
      </c>
      <c r="K5763" s="1">
        <v>41872</v>
      </c>
      <c r="N5763" s="5"/>
      <c r="O5763">
        <v>740.54</v>
      </c>
      <c r="P5763">
        <v>377</v>
      </c>
      <c r="Q5763" s="2">
        <v>279183.58</v>
      </c>
      <c r="R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 s="1">
        <v>42382</v>
      </c>
      <c r="AC5763" t="s">
        <v>53</v>
      </c>
      <c r="AD5763" t="s">
        <v>53</v>
      </c>
      <c r="AK5763">
        <v>0</v>
      </c>
      <c r="AU5763" s="6">
        <v>42249</v>
      </c>
      <c r="AV5763" s="6">
        <v>42249</v>
      </c>
      <c r="AW5763" t="s">
        <v>54</v>
      </c>
      <c r="AX5763" t="str">
        <f t="shared" ref="AX5763:AX5826" si="491">"FOR"</f>
        <v>FOR</v>
      </c>
      <c r="AY5763" t="s">
        <v>55</v>
      </c>
    </row>
    <row r="5764" spans="1:51" hidden="1">
      <c r="A5764">
        <v>103808</v>
      </c>
      <c r="B5764" t="s">
        <v>1157</v>
      </c>
      <c r="C5764" t="str">
        <f t="shared" ref="C5764:D5773" si="492">"02405040284"</f>
        <v>02405040284</v>
      </c>
      <c r="D5764" t="str">
        <f t="shared" si="492"/>
        <v>02405040284</v>
      </c>
      <c r="E5764" t="s">
        <v>52</v>
      </c>
      <c r="F5764">
        <v>2014</v>
      </c>
      <c r="G5764">
        <v>1210</v>
      </c>
      <c r="H5764" s="1">
        <v>41704</v>
      </c>
      <c r="I5764" s="1">
        <v>41788</v>
      </c>
      <c r="J5764" s="1">
        <v>41788</v>
      </c>
      <c r="K5764" s="1">
        <v>41878</v>
      </c>
      <c r="N5764" s="5"/>
      <c r="O5764" s="2">
        <v>7094.3</v>
      </c>
      <c r="P5764">
        <v>285</v>
      </c>
      <c r="Q5764" s="2">
        <v>2021875.5</v>
      </c>
      <c r="R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 s="1">
        <v>42382</v>
      </c>
      <c r="AC5764" t="s">
        <v>53</v>
      </c>
      <c r="AD5764" t="s">
        <v>53</v>
      </c>
      <c r="AK5764">
        <v>0</v>
      </c>
      <c r="AU5764" s="6">
        <v>42163</v>
      </c>
      <c r="AV5764" s="6">
        <v>42163</v>
      </c>
      <c r="AW5764" t="s">
        <v>54</v>
      </c>
      <c r="AX5764" t="str">
        <f t="shared" si="491"/>
        <v>FOR</v>
      </c>
      <c r="AY5764" t="s">
        <v>55</v>
      </c>
    </row>
    <row r="5765" spans="1:51" hidden="1">
      <c r="A5765">
        <v>103808</v>
      </c>
      <c r="B5765" t="s">
        <v>1157</v>
      </c>
      <c r="C5765" t="str">
        <f t="shared" si="492"/>
        <v>02405040284</v>
      </c>
      <c r="D5765" t="str">
        <f t="shared" si="492"/>
        <v>02405040284</v>
      </c>
      <c r="E5765" t="s">
        <v>52</v>
      </c>
      <c r="F5765">
        <v>2014</v>
      </c>
      <c r="G5765">
        <v>2001</v>
      </c>
      <c r="H5765" s="1">
        <v>41752</v>
      </c>
      <c r="I5765" s="1">
        <v>41788</v>
      </c>
      <c r="J5765" s="1">
        <v>41788</v>
      </c>
      <c r="K5765" s="1">
        <v>41878</v>
      </c>
      <c r="N5765" s="5"/>
      <c r="O5765">
        <v>863.15</v>
      </c>
      <c r="P5765">
        <v>285</v>
      </c>
      <c r="Q5765" s="2">
        <v>245997.75</v>
      </c>
      <c r="R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 s="1">
        <v>42382</v>
      </c>
      <c r="AC5765" t="s">
        <v>53</v>
      </c>
      <c r="AD5765" t="s">
        <v>53</v>
      </c>
      <c r="AK5765">
        <v>0</v>
      </c>
      <c r="AU5765" s="6">
        <v>42163</v>
      </c>
      <c r="AV5765" s="6">
        <v>42163</v>
      </c>
      <c r="AW5765" t="s">
        <v>54</v>
      </c>
      <c r="AX5765" t="str">
        <f t="shared" si="491"/>
        <v>FOR</v>
      </c>
      <c r="AY5765" t="s">
        <v>55</v>
      </c>
    </row>
    <row r="5766" spans="1:51" hidden="1">
      <c r="A5766">
        <v>103808</v>
      </c>
      <c r="B5766" t="s">
        <v>1157</v>
      </c>
      <c r="C5766" t="str">
        <f t="shared" si="492"/>
        <v>02405040284</v>
      </c>
      <c r="D5766" t="str">
        <f t="shared" si="492"/>
        <v>02405040284</v>
      </c>
      <c r="E5766" t="s">
        <v>52</v>
      </c>
      <c r="F5766">
        <v>2014</v>
      </c>
      <c r="G5766">
        <v>2406</v>
      </c>
      <c r="H5766" s="1">
        <v>41759</v>
      </c>
      <c r="I5766" s="1">
        <v>41796</v>
      </c>
      <c r="J5766" s="1">
        <v>41796</v>
      </c>
      <c r="K5766" s="1">
        <v>41886</v>
      </c>
      <c r="N5766" s="5"/>
      <c r="O5766" s="2">
        <v>3350.73</v>
      </c>
      <c r="P5766">
        <v>277</v>
      </c>
      <c r="Q5766" s="2">
        <v>928152.21</v>
      </c>
      <c r="R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 s="1">
        <v>42382</v>
      </c>
      <c r="AC5766" t="s">
        <v>53</v>
      </c>
      <c r="AD5766" t="s">
        <v>53</v>
      </c>
      <c r="AK5766">
        <v>0</v>
      </c>
      <c r="AU5766" s="6">
        <v>42163</v>
      </c>
      <c r="AV5766" s="6">
        <v>42163</v>
      </c>
      <c r="AW5766" t="s">
        <v>54</v>
      </c>
      <c r="AX5766" t="str">
        <f t="shared" si="491"/>
        <v>FOR</v>
      </c>
      <c r="AY5766" t="s">
        <v>55</v>
      </c>
    </row>
    <row r="5767" spans="1:51" hidden="1">
      <c r="A5767">
        <v>103808</v>
      </c>
      <c r="B5767" t="s">
        <v>1157</v>
      </c>
      <c r="C5767" t="str">
        <f t="shared" si="492"/>
        <v>02405040284</v>
      </c>
      <c r="D5767" t="str">
        <f t="shared" si="492"/>
        <v>02405040284</v>
      </c>
      <c r="E5767" t="s">
        <v>52</v>
      </c>
      <c r="F5767">
        <v>2014</v>
      </c>
      <c r="G5767">
        <v>2687</v>
      </c>
      <c r="H5767" s="1">
        <v>41785</v>
      </c>
      <c r="I5767" s="1">
        <v>42027</v>
      </c>
      <c r="J5767" s="1">
        <v>42027</v>
      </c>
      <c r="K5767" s="1">
        <v>42087</v>
      </c>
      <c r="N5767" s="5"/>
      <c r="O5767" s="2">
        <v>8982.25</v>
      </c>
      <c r="P5767">
        <v>76</v>
      </c>
      <c r="Q5767" s="2">
        <v>682651</v>
      </c>
      <c r="R5767">
        <v>0</v>
      </c>
      <c r="V5767">
        <v>0</v>
      </c>
      <c r="W5767">
        <v>0</v>
      </c>
      <c r="X5767">
        <v>0</v>
      </c>
      <c r="Y5767">
        <v>0</v>
      </c>
      <c r="Z5767" s="2">
        <v>8982.25</v>
      </c>
      <c r="AA5767">
        <v>0</v>
      </c>
      <c r="AB5767" s="1">
        <v>42382</v>
      </c>
      <c r="AC5767" t="s">
        <v>53</v>
      </c>
      <c r="AD5767" t="s">
        <v>53</v>
      </c>
      <c r="AK5767">
        <v>0</v>
      </c>
      <c r="AU5767" s="6">
        <v>42163</v>
      </c>
      <c r="AV5767" s="6">
        <v>42163</v>
      </c>
      <c r="AW5767" t="s">
        <v>54</v>
      </c>
      <c r="AX5767" t="str">
        <f t="shared" si="491"/>
        <v>FOR</v>
      </c>
      <c r="AY5767" t="s">
        <v>55</v>
      </c>
    </row>
    <row r="5768" spans="1:51" hidden="1">
      <c r="A5768">
        <v>103808</v>
      </c>
      <c r="B5768" t="s">
        <v>1157</v>
      </c>
      <c r="C5768" t="str">
        <f t="shared" si="492"/>
        <v>02405040284</v>
      </c>
      <c r="D5768" t="str">
        <f t="shared" si="492"/>
        <v>02405040284</v>
      </c>
      <c r="E5768" t="s">
        <v>52</v>
      </c>
      <c r="F5768">
        <v>2014</v>
      </c>
      <c r="G5768">
        <v>4475</v>
      </c>
      <c r="H5768" s="1">
        <v>41851</v>
      </c>
      <c r="I5768" s="1">
        <v>41877</v>
      </c>
      <c r="J5768" s="1">
        <v>41877</v>
      </c>
      <c r="K5768" s="1">
        <v>41967</v>
      </c>
      <c r="N5768" s="5"/>
      <c r="O5768" s="2">
        <v>8536.9500000000007</v>
      </c>
      <c r="P5768">
        <v>219</v>
      </c>
      <c r="Q5768" s="2">
        <v>1869592.05</v>
      </c>
      <c r="R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 s="1">
        <v>42382</v>
      </c>
      <c r="AC5768" t="s">
        <v>53</v>
      </c>
      <c r="AD5768" t="s">
        <v>53</v>
      </c>
      <c r="AK5768">
        <v>0</v>
      </c>
      <c r="AU5768" s="6">
        <v>42186</v>
      </c>
      <c r="AV5768" s="6">
        <v>42186</v>
      </c>
      <c r="AW5768" t="s">
        <v>54</v>
      </c>
      <c r="AX5768" t="str">
        <f t="shared" si="491"/>
        <v>FOR</v>
      </c>
      <c r="AY5768" t="s">
        <v>55</v>
      </c>
    </row>
    <row r="5769" spans="1:51" hidden="1">
      <c r="A5769">
        <v>103808</v>
      </c>
      <c r="B5769" t="s">
        <v>1157</v>
      </c>
      <c r="C5769" t="str">
        <f t="shared" si="492"/>
        <v>02405040284</v>
      </c>
      <c r="D5769" t="str">
        <f t="shared" si="492"/>
        <v>02405040284</v>
      </c>
      <c r="E5769" t="s">
        <v>52</v>
      </c>
      <c r="F5769">
        <v>2014</v>
      </c>
      <c r="G5769">
        <v>4476</v>
      </c>
      <c r="H5769" s="1">
        <v>41851</v>
      </c>
      <c r="I5769" s="1">
        <v>41877</v>
      </c>
      <c r="J5769" s="1">
        <v>41877</v>
      </c>
      <c r="K5769" s="1">
        <v>41967</v>
      </c>
      <c r="N5769" s="5"/>
      <c r="O5769">
        <v>640.5</v>
      </c>
      <c r="P5769">
        <v>196</v>
      </c>
      <c r="Q5769" s="2">
        <v>125538</v>
      </c>
      <c r="R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 s="1">
        <v>42382</v>
      </c>
      <c r="AC5769" t="s">
        <v>53</v>
      </c>
      <c r="AD5769" t="s">
        <v>53</v>
      </c>
      <c r="AK5769">
        <v>0</v>
      </c>
      <c r="AU5769" s="6">
        <v>42163</v>
      </c>
      <c r="AV5769" s="6">
        <v>42163</v>
      </c>
      <c r="AW5769" t="s">
        <v>54</v>
      </c>
      <c r="AX5769" t="str">
        <f t="shared" si="491"/>
        <v>FOR</v>
      </c>
      <c r="AY5769" t="s">
        <v>55</v>
      </c>
    </row>
    <row r="5770" spans="1:51" hidden="1">
      <c r="A5770">
        <v>103808</v>
      </c>
      <c r="B5770" t="s">
        <v>1157</v>
      </c>
      <c r="C5770" t="str">
        <f t="shared" si="492"/>
        <v>02405040284</v>
      </c>
      <c r="D5770" t="str">
        <f t="shared" si="492"/>
        <v>02405040284</v>
      </c>
      <c r="E5770" t="s">
        <v>52</v>
      </c>
      <c r="F5770">
        <v>2014</v>
      </c>
      <c r="G5770">
        <v>5443</v>
      </c>
      <c r="H5770" s="1">
        <v>41912</v>
      </c>
      <c r="I5770" s="1">
        <v>41946</v>
      </c>
      <c r="J5770" s="1">
        <v>41946</v>
      </c>
      <c r="K5770" s="1">
        <v>42006</v>
      </c>
      <c r="N5770" s="5"/>
      <c r="O5770" s="2">
        <v>5749.86</v>
      </c>
      <c r="P5770">
        <v>180</v>
      </c>
      <c r="Q5770" s="2">
        <v>1034974.8</v>
      </c>
      <c r="R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 s="1">
        <v>42382</v>
      </c>
      <c r="AC5770" t="s">
        <v>53</v>
      </c>
      <c r="AD5770" t="s">
        <v>53</v>
      </c>
      <c r="AK5770">
        <v>0</v>
      </c>
      <c r="AU5770" s="6">
        <v>42186</v>
      </c>
      <c r="AV5770" s="6">
        <v>42186</v>
      </c>
      <c r="AW5770" t="s">
        <v>54</v>
      </c>
      <c r="AX5770" t="str">
        <f t="shared" si="491"/>
        <v>FOR</v>
      </c>
      <c r="AY5770" t="s">
        <v>55</v>
      </c>
    </row>
    <row r="5771" spans="1:51" hidden="1">
      <c r="A5771">
        <v>103808</v>
      </c>
      <c r="B5771" t="s">
        <v>1157</v>
      </c>
      <c r="C5771" t="str">
        <f t="shared" si="492"/>
        <v>02405040284</v>
      </c>
      <c r="D5771" t="str">
        <f t="shared" si="492"/>
        <v>02405040284</v>
      </c>
      <c r="E5771" t="s">
        <v>52</v>
      </c>
      <c r="F5771">
        <v>2014</v>
      </c>
      <c r="G5771">
        <v>6133</v>
      </c>
      <c r="H5771" s="1">
        <v>41943</v>
      </c>
      <c r="I5771" s="1">
        <v>41974</v>
      </c>
      <c r="J5771" s="1">
        <v>41974</v>
      </c>
      <c r="K5771" s="1">
        <v>42034</v>
      </c>
      <c r="N5771" s="5"/>
      <c r="O5771" s="2">
        <v>7321.22</v>
      </c>
      <c r="P5771">
        <v>152</v>
      </c>
      <c r="Q5771" s="2">
        <v>1112825.44</v>
      </c>
      <c r="R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 s="1">
        <v>42382</v>
      </c>
      <c r="AC5771" t="s">
        <v>53</v>
      </c>
      <c r="AD5771" t="s">
        <v>53</v>
      </c>
      <c r="AK5771">
        <v>0</v>
      </c>
      <c r="AU5771" s="6">
        <v>42186</v>
      </c>
      <c r="AV5771" s="6">
        <v>42186</v>
      </c>
      <c r="AW5771" t="s">
        <v>54</v>
      </c>
      <c r="AX5771" t="str">
        <f t="shared" si="491"/>
        <v>FOR</v>
      </c>
      <c r="AY5771" t="s">
        <v>55</v>
      </c>
    </row>
    <row r="5772" spans="1:51" hidden="1">
      <c r="A5772">
        <v>103808</v>
      </c>
      <c r="B5772" t="s">
        <v>1157</v>
      </c>
      <c r="C5772" t="str">
        <f t="shared" si="492"/>
        <v>02405040284</v>
      </c>
      <c r="D5772" t="str">
        <f t="shared" si="492"/>
        <v>02405040284</v>
      </c>
      <c r="E5772" t="s">
        <v>52</v>
      </c>
      <c r="F5772">
        <v>2014</v>
      </c>
      <c r="G5772">
        <v>7335</v>
      </c>
      <c r="H5772" s="1">
        <v>42004</v>
      </c>
      <c r="I5772" s="1">
        <v>42039</v>
      </c>
      <c r="J5772" s="1">
        <v>42039</v>
      </c>
      <c r="K5772" s="1">
        <v>42099</v>
      </c>
      <c r="N5772" s="5"/>
      <c r="O5772" s="2">
        <v>10905.58</v>
      </c>
      <c r="P5772">
        <v>87</v>
      </c>
      <c r="Q5772" s="2">
        <v>948785.46</v>
      </c>
      <c r="R5772">
        <v>0</v>
      </c>
      <c r="V5772">
        <v>0</v>
      </c>
      <c r="W5772">
        <v>0</v>
      </c>
      <c r="X5772">
        <v>0</v>
      </c>
      <c r="Y5772">
        <v>0</v>
      </c>
      <c r="Z5772" s="2">
        <v>10905.58</v>
      </c>
      <c r="AA5772">
        <v>0</v>
      </c>
      <c r="AB5772" s="1">
        <v>42382</v>
      </c>
      <c r="AC5772" t="s">
        <v>53</v>
      </c>
      <c r="AD5772" t="s">
        <v>53</v>
      </c>
      <c r="AK5772">
        <v>0</v>
      </c>
      <c r="AU5772" s="6">
        <v>42186</v>
      </c>
      <c r="AV5772" s="6">
        <v>42186</v>
      </c>
      <c r="AW5772" t="s">
        <v>54</v>
      </c>
      <c r="AX5772" t="str">
        <f t="shared" si="491"/>
        <v>FOR</v>
      </c>
      <c r="AY5772" t="s">
        <v>55</v>
      </c>
    </row>
    <row r="5773" spans="1:51">
      <c r="A5773">
        <v>103808</v>
      </c>
      <c r="B5773" t="s">
        <v>1157</v>
      </c>
      <c r="C5773" t="str">
        <f t="shared" si="492"/>
        <v>02405040284</v>
      </c>
      <c r="D5773" t="str">
        <f t="shared" si="492"/>
        <v>02405040284</v>
      </c>
      <c r="E5773" t="s">
        <v>52</v>
      </c>
      <c r="F5773">
        <v>2015</v>
      </c>
      <c r="G5773">
        <v>502733</v>
      </c>
      <c r="H5773" s="1">
        <v>42185</v>
      </c>
      <c r="I5773" s="1">
        <v>42233</v>
      </c>
      <c r="J5773" s="1">
        <v>42233</v>
      </c>
      <c r="K5773" s="1">
        <v>42293</v>
      </c>
      <c r="L5773" s="7">
        <v>646.79999999999995</v>
      </c>
      <c r="M5773" s="5">
        <v>-9</v>
      </c>
      <c r="N5773" s="7">
        <v>-5821.2</v>
      </c>
      <c r="O5773">
        <v>646.79999999999995</v>
      </c>
      <c r="P5773">
        <v>-9</v>
      </c>
      <c r="Q5773" s="2">
        <v>-5821.2</v>
      </c>
      <c r="R5773">
        <v>142.30000000000001</v>
      </c>
      <c r="V5773">
        <v>0</v>
      </c>
      <c r="W5773">
        <v>0</v>
      </c>
      <c r="X5773">
        <v>0</v>
      </c>
      <c r="Y5773">
        <v>789.1</v>
      </c>
      <c r="Z5773">
        <v>789.1</v>
      </c>
      <c r="AA5773">
        <v>789.1</v>
      </c>
      <c r="AB5773" s="1">
        <v>42382</v>
      </c>
      <c r="AC5773" t="s">
        <v>53</v>
      </c>
      <c r="AD5773" t="s">
        <v>53</v>
      </c>
      <c r="AG5773">
        <v>142.30000000000001</v>
      </c>
      <c r="AK5773">
        <v>0</v>
      </c>
      <c r="AU5773" s="6">
        <v>42284</v>
      </c>
      <c r="AV5773" s="6">
        <v>42284</v>
      </c>
      <c r="AW5773" t="s">
        <v>54</v>
      </c>
      <c r="AX5773" t="str">
        <f t="shared" si="491"/>
        <v>FOR</v>
      </c>
      <c r="AY5773" t="s">
        <v>55</v>
      </c>
    </row>
    <row r="5774" spans="1:51" hidden="1">
      <c r="A5774">
        <v>103826</v>
      </c>
      <c r="B5774" t="s">
        <v>1158</v>
      </c>
      <c r="C5774" t="str">
        <f>"03565511007"</f>
        <v>03565511007</v>
      </c>
      <c r="D5774" t="str">
        <f>"03565511007"</f>
        <v>03565511007</v>
      </c>
      <c r="E5774" t="s">
        <v>52</v>
      </c>
      <c r="F5774">
        <v>2014</v>
      </c>
      <c r="G5774">
        <v>27</v>
      </c>
      <c r="H5774" s="1">
        <v>41660</v>
      </c>
      <c r="I5774" s="1">
        <v>41662</v>
      </c>
      <c r="J5774" s="1">
        <v>41662</v>
      </c>
      <c r="K5774" s="1">
        <v>41752</v>
      </c>
      <c r="N5774" s="5"/>
      <c r="O5774" s="2">
        <v>1577.46</v>
      </c>
      <c r="P5774">
        <v>272</v>
      </c>
      <c r="Q5774" s="2">
        <v>429069.12</v>
      </c>
      <c r="R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 s="1">
        <v>42382</v>
      </c>
      <c r="AC5774" t="s">
        <v>53</v>
      </c>
      <c r="AD5774" t="s">
        <v>53</v>
      </c>
      <c r="AK5774">
        <v>0</v>
      </c>
      <c r="AU5774" s="6">
        <v>42024</v>
      </c>
      <c r="AV5774" s="6">
        <v>42024</v>
      </c>
      <c r="AW5774" t="s">
        <v>54</v>
      </c>
      <c r="AX5774" t="str">
        <f t="shared" si="491"/>
        <v>FOR</v>
      </c>
      <c r="AY5774" t="s">
        <v>55</v>
      </c>
    </row>
    <row r="5775" spans="1:51" hidden="1">
      <c r="A5775">
        <v>103826</v>
      </c>
      <c r="B5775" t="s">
        <v>1158</v>
      </c>
      <c r="C5775" t="str">
        <f>"03565511007"</f>
        <v>03565511007</v>
      </c>
      <c r="D5775" t="str">
        <f>"03565511007"</f>
        <v>03565511007</v>
      </c>
      <c r="E5775" t="s">
        <v>52</v>
      </c>
      <c r="F5775">
        <v>2015</v>
      </c>
      <c r="G5775">
        <v>165</v>
      </c>
      <c r="H5775" s="1">
        <v>42081</v>
      </c>
      <c r="I5775" s="1">
        <v>42102</v>
      </c>
      <c r="J5775" s="1">
        <v>42102</v>
      </c>
      <c r="K5775" s="1">
        <v>42162</v>
      </c>
      <c r="N5775" s="5"/>
      <c r="O5775" s="2">
        <v>1081</v>
      </c>
      <c r="P5775">
        <v>64</v>
      </c>
      <c r="Q5775" s="2">
        <v>69184</v>
      </c>
      <c r="R5775">
        <v>0</v>
      </c>
      <c r="V5775">
        <v>0</v>
      </c>
      <c r="W5775">
        <v>0</v>
      </c>
      <c r="X5775">
        <v>0</v>
      </c>
      <c r="Y5775" s="2">
        <v>1318.82</v>
      </c>
      <c r="Z5775" s="2">
        <v>1318.82</v>
      </c>
      <c r="AA5775" s="2">
        <v>1318.82</v>
      </c>
      <c r="AB5775" s="1">
        <v>42382</v>
      </c>
      <c r="AC5775" t="s">
        <v>53</v>
      </c>
      <c r="AD5775" t="s">
        <v>53</v>
      </c>
      <c r="AK5775">
        <v>0</v>
      </c>
      <c r="AU5775" s="6">
        <v>42226</v>
      </c>
      <c r="AV5775" s="6">
        <v>42226</v>
      </c>
      <c r="AW5775" t="s">
        <v>54</v>
      </c>
      <c r="AX5775" t="str">
        <f t="shared" si="491"/>
        <v>FOR</v>
      </c>
      <c r="AY5775" t="s">
        <v>55</v>
      </c>
    </row>
    <row r="5776" spans="1:51" hidden="1">
      <c r="A5776">
        <v>103836</v>
      </c>
      <c r="B5776" t="s">
        <v>1159</v>
      </c>
      <c r="C5776" t="str">
        <f>"01331700623"</f>
        <v>01331700623</v>
      </c>
      <c r="D5776" t="str">
        <f>"CRPGPP78A22A783K"</f>
        <v>CRPGPP78A22A783K</v>
      </c>
      <c r="E5776" t="s">
        <v>52</v>
      </c>
      <c r="F5776">
        <v>2014</v>
      </c>
      <c r="G5776" t="s">
        <v>1160</v>
      </c>
      <c r="H5776" s="1">
        <v>41916</v>
      </c>
      <c r="I5776" s="1">
        <v>41920</v>
      </c>
      <c r="J5776" s="1">
        <v>41920</v>
      </c>
      <c r="K5776" s="1">
        <v>42010</v>
      </c>
      <c r="N5776" s="5"/>
      <c r="O5776" s="2">
        <v>1350</v>
      </c>
      <c r="P5776">
        <v>30</v>
      </c>
      <c r="Q5776" s="2">
        <v>40500</v>
      </c>
      <c r="R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 s="1">
        <v>42382</v>
      </c>
      <c r="AC5776" t="s">
        <v>53</v>
      </c>
      <c r="AD5776" t="s">
        <v>53</v>
      </c>
      <c r="AK5776">
        <v>0</v>
      </c>
      <c r="AU5776" s="6">
        <v>42040</v>
      </c>
      <c r="AV5776" s="6">
        <v>42040</v>
      </c>
      <c r="AW5776" t="s">
        <v>54</v>
      </c>
      <c r="AX5776" t="str">
        <f t="shared" si="491"/>
        <v>FOR</v>
      </c>
      <c r="AY5776" t="s">
        <v>55</v>
      </c>
    </row>
    <row r="5777" spans="1:51">
      <c r="A5777">
        <v>103836</v>
      </c>
      <c r="B5777" t="s">
        <v>1159</v>
      </c>
      <c r="C5777" t="str">
        <f>"01331700623"</f>
        <v>01331700623</v>
      </c>
      <c r="D5777" t="str">
        <f>"CRPGPP78A22A783K"</f>
        <v>CRPGPP78A22A783K</v>
      </c>
      <c r="E5777" t="s">
        <v>52</v>
      </c>
      <c r="F5777">
        <v>2015</v>
      </c>
      <c r="G5777">
        <v>140</v>
      </c>
      <c r="H5777" s="1">
        <v>42172</v>
      </c>
      <c r="I5777" s="1">
        <v>42198</v>
      </c>
      <c r="J5777" s="1">
        <v>42196</v>
      </c>
      <c r="K5777" s="1">
        <v>42256</v>
      </c>
      <c r="L5777" s="7">
        <v>368.47</v>
      </c>
      <c r="M5777" s="5">
        <v>28</v>
      </c>
      <c r="N5777" s="7">
        <v>10317.16</v>
      </c>
      <c r="O5777">
        <v>368.47</v>
      </c>
      <c r="P5777">
        <v>28</v>
      </c>
      <c r="Q5777" s="2">
        <v>10317.16</v>
      </c>
      <c r="R5777">
        <v>81.53</v>
      </c>
      <c r="V5777">
        <v>0</v>
      </c>
      <c r="W5777">
        <v>0</v>
      </c>
      <c r="X5777">
        <v>0</v>
      </c>
      <c r="Y5777">
        <v>450</v>
      </c>
      <c r="Z5777">
        <v>450</v>
      </c>
      <c r="AA5777">
        <v>450</v>
      </c>
      <c r="AB5777" s="1">
        <v>42382</v>
      </c>
      <c r="AC5777" t="s">
        <v>53</v>
      </c>
      <c r="AD5777" t="s">
        <v>53</v>
      </c>
      <c r="AH5777">
        <v>81.53</v>
      </c>
      <c r="AK5777">
        <v>0</v>
      </c>
      <c r="AU5777" s="6">
        <v>42284</v>
      </c>
      <c r="AV5777" s="6">
        <v>42284</v>
      </c>
      <c r="AW5777" t="s">
        <v>54</v>
      </c>
      <c r="AX5777" t="str">
        <f t="shared" si="491"/>
        <v>FOR</v>
      </c>
      <c r="AY5777" t="s">
        <v>55</v>
      </c>
    </row>
    <row r="5778" spans="1:51">
      <c r="A5778">
        <v>103836</v>
      </c>
      <c r="B5778" t="s">
        <v>1159</v>
      </c>
      <c r="C5778" t="str">
        <f>"01331700623"</f>
        <v>01331700623</v>
      </c>
      <c r="D5778" t="str">
        <f>"CRPGPP78A22A783K"</f>
        <v>CRPGPP78A22A783K</v>
      </c>
      <c r="E5778" t="s">
        <v>52</v>
      </c>
      <c r="F5778">
        <v>2015</v>
      </c>
      <c r="G5778">
        <v>153</v>
      </c>
      <c r="H5778" s="1">
        <v>42193</v>
      </c>
      <c r="I5778" s="1">
        <v>42200</v>
      </c>
      <c r="J5778" s="1">
        <v>42199</v>
      </c>
      <c r="K5778" s="1">
        <v>42259</v>
      </c>
      <c r="L5778" s="7">
        <v>124.88</v>
      </c>
      <c r="M5778" s="5">
        <v>25</v>
      </c>
      <c r="N5778" s="7">
        <v>3122</v>
      </c>
      <c r="O5778">
        <v>124.88</v>
      </c>
      <c r="P5778">
        <v>25</v>
      </c>
      <c r="Q5778" s="2">
        <v>3122</v>
      </c>
      <c r="R5778">
        <v>25.12</v>
      </c>
      <c r="V5778">
        <v>0</v>
      </c>
      <c r="W5778">
        <v>0</v>
      </c>
      <c r="X5778">
        <v>0</v>
      </c>
      <c r="Y5778">
        <v>150</v>
      </c>
      <c r="Z5778">
        <v>150</v>
      </c>
      <c r="AA5778">
        <v>150</v>
      </c>
      <c r="AB5778" s="1">
        <v>42382</v>
      </c>
      <c r="AC5778" t="s">
        <v>53</v>
      </c>
      <c r="AD5778" t="s">
        <v>53</v>
      </c>
      <c r="AH5778">
        <v>25.12</v>
      </c>
      <c r="AK5778">
        <v>0</v>
      </c>
      <c r="AU5778" s="6">
        <v>42284</v>
      </c>
      <c r="AV5778" s="6">
        <v>42284</v>
      </c>
      <c r="AW5778" t="s">
        <v>54</v>
      </c>
      <c r="AX5778" t="str">
        <f t="shared" si="491"/>
        <v>FOR</v>
      </c>
      <c r="AY5778" t="s">
        <v>55</v>
      </c>
    </row>
    <row r="5779" spans="1:51">
      <c r="A5779">
        <v>103836</v>
      </c>
      <c r="B5779" t="s">
        <v>1159</v>
      </c>
      <c r="C5779" t="str">
        <f>"01331700623"</f>
        <v>01331700623</v>
      </c>
      <c r="D5779" t="str">
        <f>"CRPGPP78A22A783K"</f>
        <v>CRPGPP78A22A783K</v>
      </c>
      <c r="E5779" t="s">
        <v>52</v>
      </c>
      <c r="F5779">
        <v>2015</v>
      </c>
      <c r="G5779">
        <v>197</v>
      </c>
      <c r="H5779" s="1">
        <v>42248</v>
      </c>
      <c r="I5779" s="1">
        <v>42249</v>
      </c>
      <c r="J5779" s="1">
        <v>42249</v>
      </c>
      <c r="K5779" s="1">
        <v>42309</v>
      </c>
      <c r="L5779" s="7">
        <v>110</v>
      </c>
      <c r="M5779" s="5">
        <v>-25</v>
      </c>
      <c r="N5779" s="7">
        <v>-2750</v>
      </c>
      <c r="O5779">
        <v>110</v>
      </c>
      <c r="P5779">
        <v>-25</v>
      </c>
      <c r="Q5779" s="2">
        <v>-2750</v>
      </c>
      <c r="R5779">
        <v>24.2</v>
      </c>
      <c r="V5779">
        <v>0</v>
      </c>
      <c r="W5779">
        <v>0</v>
      </c>
      <c r="X5779">
        <v>0</v>
      </c>
      <c r="Y5779">
        <v>134.19999999999999</v>
      </c>
      <c r="Z5779">
        <v>134.19999999999999</v>
      </c>
      <c r="AA5779">
        <v>134.19999999999999</v>
      </c>
      <c r="AB5779" s="1">
        <v>42382</v>
      </c>
      <c r="AC5779" t="s">
        <v>53</v>
      </c>
      <c r="AD5779" t="s">
        <v>53</v>
      </c>
      <c r="AF5779">
        <v>24.2</v>
      </c>
      <c r="AK5779">
        <v>0</v>
      </c>
      <c r="AU5779" s="6">
        <v>42284</v>
      </c>
      <c r="AV5779" s="6">
        <v>42284</v>
      </c>
      <c r="AW5779" t="s">
        <v>54</v>
      </c>
      <c r="AX5779" t="str">
        <f t="shared" si="491"/>
        <v>FOR</v>
      </c>
      <c r="AY5779" t="s">
        <v>55</v>
      </c>
    </row>
    <row r="5780" spans="1:51" hidden="1">
      <c r="A5780">
        <v>103845</v>
      </c>
      <c r="B5780" t="s">
        <v>1161</v>
      </c>
      <c r="C5780" t="str">
        <f>"10923790157"</f>
        <v>10923790157</v>
      </c>
      <c r="D5780" t="str">
        <f>""</f>
        <v/>
      </c>
      <c r="E5780" t="s">
        <v>52</v>
      </c>
      <c r="F5780">
        <v>2014</v>
      </c>
      <c r="G5780">
        <v>264137</v>
      </c>
      <c r="H5780" s="1">
        <v>41949</v>
      </c>
      <c r="I5780" s="1">
        <v>41976</v>
      </c>
      <c r="J5780" s="1">
        <v>41976</v>
      </c>
      <c r="K5780" s="1">
        <v>42036</v>
      </c>
      <c r="N5780" s="5"/>
      <c r="O5780">
        <v>629.03</v>
      </c>
      <c r="P5780">
        <v>95</v>
      </c>
      <c r="Q5780" s="2">
        <v>59757.85</v>
      </c>
      <c r="R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 s="1">
        <v>42382</v>
      </c>
      <c r="AC5780" t="s">
        <v>53</v>
      </c>
      <c r="AD5780" t="s">
        <v>53</v>
      </c>
      <c r="AK5780">
        <v>0</v>
      </c>
      <c r="AU5780" s="6">
        <v>42131</v>
      </c>
      <c r="AV5780" s="6">
        <v>42131</v>
      </c>
      <c r="AW5780" t="s">
        <v>54</v>
      </c>
      <c r="AX5780" t="str">
        <f t="shared" si="491"/>
        <v>FOR</v>
      </c>
      <c r="AY5780" t="s">
        <v>55</v>
      </c>
    </row>
    <row r="5781" spans="1:51" hidden="1">
      <c r="A5781">
        <v>103849</v>
      </c>
      <c r="B5781" t="s">
        <v>1162</v>
      </c>
      <c r="C5781" t="str">
        <f>"06904340632"</f>
        <v>06904340632</v>
      </c>
      <c r="D5781" t="str">
        <f>"06904340632"</f>
        <v>06904340632</v>
      </c>
      <c r="E5781" t="s">
        <v>52</v>
      </c>
      <c r="F5781">
        <v>2014</v>
      </c>
      <c r="G5781">
        <v>34</v>
      </c>
      <c r="H5781" s="1">
        <v>41906</v>
      </c>
      <c r="I5781" s="1">
        <v>41913</v>
      </c>
      <c r="J5781" s="1">
        <v>41913</v>
      </c>
      <c r="K5781" s="1">
        <v>42003</v>
      </c>
      <c r="N5781" s="5"/>
      <c r="O5781" s="2">
        <v>5856</v>
      </c>
      <c r="P5781">
        <v>128</v>
      </c>
      <c r="Q5781" s="2">
        <v>749568</v>
      </c>
      <c r="R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 s="1">
        <v>42382</v>
      </c>
      <c r="AC5781" t="s">
        <v>53</v>
      </c>
      <c r="AD5781" t="s">
        <v>53</v>
      </c>
      <c r="AK5781">
        <v>0</v>
      </c>
      <c r="AU5781" s="6">
        <v>42131</v>
      </c>
      <c r="AV5781" s="6">
        <v>42131</v>
      </c>
      <c r="AW5781" t="s">
        <v>54</v>
      </c>
      <c r="AX5781" t="str">
        <f t="shared" si="491"/>
        <v>FOR</v>
      </c>
      <c r="AY5781" t="s">
        <v>55</v>
      </c>
    </row>
    <row r="5782" spans="1:51" hidden="1">
      <c r="A5782">
        <v>103852</v>
      </c>
      <c r="B5782" t="s">
        <v>1163</v>
      </c>
      <c r="C5782" t="str">
        <f t="shared" ref="C5782:D5801" si="493">"02790240101"</f>
        <v>02790240101</v>
      </c>
      <c r="D5782" t="str">
        <f t="shared" si="493"/>
        <v>02790240101</v>
      </c>
      <c r="E5782" t="s">
        <v>52</v>
      </c>
      <c r="F5782">
        <v>2014</v>
      </c>
      <c r="G5782">
        <v>1389</v>
      </c>
      <c r="H5782" s="1">
        <v>41670</v>
      </c>
      <c r="I5782" s="1">
        <v>41675</v>
      </c>
      <c r="J5782" s="1">
        <v>41675</v>
      </c>
      <c r="K5782" s="1">
        <v>41765</v>
      </c>
      <c r="N5782" s="5"/>
      <c r="O5782" s="2">
        <v>1190.72</v>
      </c>
      <c r="P5782">
        <v>259</v>
      </c>
      <c r="Q5782" s="2">
        <v>308396.48</v>
      </c>
      <c r="R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 s="1">
        <v>42382</v>
      </c>
      <c r="AC5782" t="s">
        <v>53</v>
      </c>
      <c r="AD5782" t="s">
        <v>53</v>
      </c>
      <c r="AK5782">
        <v>0</v>
      </c>
      <c r="AU5782" s="6">
        <v>42024</v>
      </c>
      <c r="AV5782" s="6">
        <v>42024</v>
      </c>
      <c r="AW5782" t="s">
        <v>54</v>
      </c>
      <c r="AX5782" t="str">
        <f t="shared" si="491"/>
        <v>FOR</v>
      </c>
      <c r="AY5782" t="s">
        <v>55</v>
      </c>
    </row>
    <row r="5783" spans="1:51" hidden="1">
      <c r="A5783">
        <v>103852</v>
      </c>
      <c r="B5783" t="s">
        <v>1163</v>
      </c>
      <c r="C5783" t="str">
        <f t="shared" si="493"/>
        <v>02790240101</v>
      </c>
      <c r="D5783" t="str">
        <f t="shared" si="493"/>
        <v>02790240101</v>
      </c>
      <c r="E5783" t="s">
        <v>52</v>
      </c>
      <c r="F5783">
        <v>2014</v>
      </c>
      <c r="G5783">
        <v>1390</v>
      </c>
      <c r="H5783" s="1">
        <v>41670</v>
      </c>
      <c r="I5783" s="1">
        <v>41675</v>
      </c>
      <c r="J5783" s="1">
        <v>41675</v>
      </c>
      <c r="K5783" s="1">
        <v>41765</v>
      </c>
      <c r="N5783" s="5"/>
      <c r="O5783" s="2">
        <v>3572.16</v>
      </c>
      <c r="P5783">
        <v>259</v>
      </c>
      <c r="Q5783" s="2">
        <v>925189.44</v>
      </c>
      <c r="R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 s="1">
        <v>42382</v>
      </c>
      <c r="AC5783" t="s">
        <v>53</v>
      </c>
      <c r="AD5783" t="s">
        <v>53</v>
      </c>
      <c r="AK5783">
        <v>0</v>
      </c>
      <c r="AU5783" s="6">
        <v>42024</v>
      </c>
      <c r="AV5783" s="6">
        <v>42024</v>
      </c>
      <c r="AW5783" t="s">
        <v>54</v>
      </c>
      <c r="AX5783" t="str">
        <f t="shared" si="491"/>
        <v>FOR</v>
      </c>
      <c r="AY5783" t="s">
        <v>55</v>
      </c>
    </row>
    <row r="5784" spans="1:51" hidden="1">
      <c r="A5784">
        <v>103852</v>
      </c>
      <c r="B5784" t="s">
        <v>1163</v>
      </c>
      <c r="C5784" t="str">
        <f t="shared" si="493"/>
        <v>02790240101</v>
      </c>
      <c r="D5784" t="str">
        <f t="shared" si="493"/>
        <v>02790240101</v>
      </c>
      <c r="E5784" t="s">
        <v>52</v>
      </c>
      <c r="F5784">
        <v>2014</v>
      </c>
      <c r="G5784">
        <v>2440</v>
      </c>
      <c r="H5784" s="1">
        <v>41684</v>
      </c>
      <c r="I5784" s="1">
        <v>41697</v>
      </c>
      <c r="J5784" s="1">
        <v>41697</v>
      </c>
      <c r="K5784" s="1">
        <v>41787</v>
      </c>
      <c r="N5784" s="5"/>
      <c r="O5784" s="2">
        <v>1573.8</v>
      </c>
      <c r="P5784">
        <v>254</v>
      </c>
      <c r="Q5784" s="2">
        <v>399745.2</v>
      </c>
      <c r="R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 s="1">
        <v>42382</v>
      </c>
      <c r="AC5784" t="s">
        <v>53</v>
      </c>
      <c r="AD5784" t="s">
        <v>53</v>
      </c>
      <c r="AK5784">
        <v>0</v>
      </c>
      <c r="AU5784" s="6">
        <v>42041</v>
      </c>
      <c r="AV5784" s="6">
        <v>42041</v>
      </c>
      <c r="AW5784" t="s">
        <v>54</v>
      </c>
      <c r="AX5784" t="str">
        <f t="shared" si="491"/>
        <v>FOR</v>
      </c>
      <c r="AY5784" t="s">
        <v>55</v>
      </c>
    </row>
    <row r="5785" spans="1:51" hidden="1">
      <c r="A5785">
        <v>103852</v>
      </c>
      <c r="B5785" t="s">
        <v>1163</v>
      </c>
      <c r="C5785" t="str">
        <f t="shared" si="493"/>
        <v>02790240101</v>
      </c>
      <c r="D5785" t="str">
        <f t="shared" si="493"/>
        <v>02790240101</v>
      </c>
      <c r="E5785" t="s">
        <v>52</v>
      </c>
      <c r="F5785">
        <v>2014</v>
      </c>
      <c r="G5785">
        <v>2441</v>
      </c>
      <c r="H5785" s="1">
        <v>41684</v>
      </c>
      <c r="I5785" s="1">
        <v>41697</v>
      </c>
      <c r="J5785" s="1">
        <v>41697</v>
      </c>
      <c r="K5785" s="1">
        <v>41787</v>
      </c>
      <c r="N5785" s="5"/>
      <c r="O5785" s="2">
        <v>2255.7800000000002</v>
      </c>
      <c r="P5785">
        <v>254</v>
      </c>
      <c r="Q5785" s="2">
        <v>572968.12</v>
      </c>
      <c r="R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 s="1">
        <v>42382</v>
      </c>
      <c r="AC5785" t="s">
        <v>53</v>
      </c>
      <c r="AD5785" t="s">
        <v>53</v>
      </c>
      <c r="AK5785">
        <v>0</v>
      </c>
      <c r="AU5785" s="6">
        <v>42041</v>
      </c>
      <c r="AV5785" s="6">
        <v>42041</v>
      </c>
      <c r="AW5785" t="s">
        <v>54</v>
      </c>
      <c r="AX5785" t="str">
        <f t="shared" si="491"/>
        <v>FOR</v>
      </c>
      <c r="AY5785" t="s">
        <v>55</v>
      </c>
    </row>
    <row r="5786" spans="1:51" hidden="1">
      <c r="A5786">
        <v>103852</v>
      </c>
      <c r="B5786" t="s">
        <v>1163</v>
      </c>
      <c r="C5786" t="str">
        <f t="shared" si="493"/>
        <v>02790240101</v>
      </c>
      <c r="D5786" t="str">
        <f t="shared" si="493"/>
        <v>02790240101</v>
      </c>
      <c r="E5786" t="s">
        <v>52</v>
      </c>
      <c r="F5786">
        <v>2014</v>
      </c>
      <c r="G5786">
        <v>2442</v>
      </c>
      <c r="H5786" s="1">
        <v>41684</v>
      </c>
      <c r="I5786" s="1">
        <v>41697</v>
      </c>
      <c r="J5786" s="1">
        <v>41697</v>
      </c>
      <c r="K5786" s="1">
        <v>41787</v>
      </c>
      <c r="N5786" s="5"/>
      <c r="O5786">
        <v>547.29</v>
      </c>
      <c r="P5786">
        <v>254</v>
      </c>
      <c r="Q5786" s="2">
        <v>139011.66</v>
      </c>
      <c r="R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 s="1">
        <v>42382</v>
      </c>
      <c r="AC5786" t="s">
        <v>53</v>
      </c>
      <c r="AD5786" t="s">
        <v>53</v>
      </c>
      <c r="AK5786">
        <v>0</v>
      </c>
      <c r="AU5786" s="6">
        <v>42041</v>
      </c>
      <c r="AV5786" s="6">
        <v>42041</v>
      </c>
      <c r="AW5786" t="s">
        <v>54</v>
      </c>
      <c r="AX5786" t="str">
        <f t="shared" si="491"/>
        <v>FOR</v>
      </c>
      <c r="AY5786" t="s">
        <v>55</v>
      </c>
    </row>
    <row r="5787" spans="1:51" hidden="1">
      <c r="A5787">
        <v>103852</v>
      </c>
      <c r="B5787" t="s">
        <v>1163</v>
      </c>
      <c r="C5787" t="str">
        <f t="shared" si="493"/>
        <v>02790240101</v>
      </c>
      <c r="D5787" t="str">
        <f t="shared" si="493"/>
        <v>02790240101</v>
      </c>
      <c r="E5787" t="s">
        <v>52</v>
      </c>
      <c r="F5787">
        <v>2014</v>
      </c>
      <c r="G5787">
        <v>2443</v>
      </c>
      <c r="H5787" s="1">
        <v>41684</v>
      </c>
      <c r="I5787" s="1">
        <v>41697</v>
      </c>
      <c r="J5787" s="1">
        <v>41697</v>
      </c>
      <c r="K5787" s="1">
        <v>41787</v>
      </c>
      <c r="N5787" s="5"/>
      <c r="O5787" s="2">
        <v>2781.6</v>
      </c>
      <c r="P5787">
        <v>254</v>
      </c>
      <c r="Q5787" s="2">
        <v>706526.4</v>
      </c>
      <c r="R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 s="1">
        <v>42382</v>
      </c>
      <c r="AC5787" t="s">
        <v>53</v>
      </c>
      <c r="AD5787" t="s">
        <v>53</v>
      </c>
      <c r="AK5787">
        <v>0</v>
      </c>
      <c r="AU5787" s="6">
        <v>42041</v>
      </c>
      <c r="AV5787" s="6">
        <v>42041</v>
      </c>
      <c r="AW5787" t="s">
        <v>54</v>
      </c>
      <c r="AX5787" t="str">
        <f t="shared" si="491"/>
        <v>FOR</v>
      </c>
      <c r="AY5787" t="s">
        <v>55</v>
      </c>
    </row>
    <row r="5788" spans="1:51" hidden="1">
      <c r="A5788">
        <v>103852</v>
      </c>
      <c r="B5788" t="s">
        <v>1163</v>
      </c>
      <c r="C5788" t="str">
        <f t="shared" si="493"/>
        <v>02790240101</v>
      </c>
      <c r="D5788" t="str">
        <f t="shared" si="493"/>
        <v>02790240101</v>
      </c>
      <c r="E5788" t="s">
        <v>52</v>
      </c>
      <c r="F5788">
        <v>2014</v>
      </c>
      <c r="G5788">
        <v>3239</v>
      </c>
      <c r="H5788" s="1">
        <v>41698</v>
      </c>
      <c r="I5788" s="1">
        <v>41711</v>
      </c>
      <c r="J5788" s="1">
        <v>41711</v>
      </c>
      <c r="K5788" s="1">
        <v>41801</v>
      </c>
      <c r="N5788" s="5"/>
      <c r="O5788" s="2">
        <v>1035.05</v>
      </c>
      <c r="P5788">
        <v>240</v>
      </c>
      <c r="Q5788" s="2">
        <v>248412</v>
      </c>
      <c r="R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 s="1">
        <v>42382</v>
      </c>
      <c r="AC5788" t="s">
        <v>53</v>
      </c>
      <c r="AD5788" t="s">
        <v>53</v>
      </c>
      <c r="AK5788">
        <v>0</v>
      </c>
      <c r="AU5788" s="6">
        <v>42041</v>
      </c>
      <c r="AV5788" s="6">
        <v>42041</v>
      </c>
      <c r="AW5788" t="s">
        <v>54</v>
      </c>
      <c r="AX5788" t="str">
        <f t="shared" si="491"/>
        <v>FOR</v>
      </c>
      <c r="AY5788" t="s">
        <v>55</v>
      </c>
    </row>
    <row r="5789" spans="1:51" hidden="1">
      <c r="A5789">
        <v>103852</v>
      </c>
      <c r="B5789" t="s">
        <v>1163</v>
      </c>
      <c r="C5789" t="str">
        <f t="shared" si="493"/>
        <v>02790240101</v>
      </c>
      <c r="D5789" t="str">
        <f t="shared" si="493"/>
        <v>02790240101</v>
      </c>
      <c r="E5789" t="s">
        <v>52</v>
      </c>
      <c r="F5789">
        <v>2014</v>
      </c>
      <c r="G5789">
        <v>3240</v>
      </c>
      <c r="H5789" s="1">
        <v>41698</v>
      </c>
      <c r="I5789" s="1">
        <v>41711</v>
      </c>
      <c r="J5789" s="1">
        <v>41711</v>
      </c>
      <c r="K5789" s="1">
        <v>41801</v>
      </c>
      <c r="N5789" s="5"/>
      <c r="O5789" s="2">
        <v>4762.88</v>
      </c>
      <c r="P5789">
        <v>240</v>
      </c>
      <c r="Q5789" s="2">
        <v>1143091.2</v>
      </c>
      <c r="R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 s="1">
        <v>42382</v>
      </c>
      <c r="AC5789" t="s">
        <v>53</v>
      </c>
      <c r="AD5789" t="s">
        <v>53</v>
      </c>
      <c r="AK5789">
        <v>0</v>
      </c>
      <c r="AU5789" s="6">
        <v>42041</v>
      </c>
      <c r="AV5789" s="6">
        <v>42041</v>
      </c>
      <c r="AW5789" t="s">
        <v>54</v>
      </c>
      <c r="AX5789" t="str">
        <f t="shared" si="491"/>
        <v>FOR</v>
      </c>
      <c r="AY5789" t="s">
        <v>55</v>
      </c>
    </row>
    <row r="5790" spans="1:51" hidden="1">
      <c r="A5790">
        <v>103852</v>
      </c>
      <c r="B5790" t="s">
        <v>1163</v>
      </c>
      <c r="C5790" t="str">
        <f t="shared" si="493"/>
        <v>02790240101</v>
      </c>
      <c r="D5790" t="str">
        <f t="shared" si="493"/>
        <v>02790240101</v>
      </c>
      <c r="E5790" t="s">
        <v>52</v>
      </c>
      <c r="F5790">
        <v>2014</v>
      </c>
      <c r="G5790">
        <v>4107</v>
      </c>
      <c r="H5790" s="1">
        <v>41712</v>
      </c>
      <c r="I5790" s="1">
        <v>41739</v>
      </c>
      <c r="J5790" s="1">
        <v>41739</v>
      </c>
      <c r="K5790" s="1">
        <v>41829</v>
      </c>
      <c r="N5790" s="5"/>
      <c r="O5790" s="2">
        <v>1464.49</v>
      </c>
      <c r="P5790">
        <v>246</v>
      </c>
      <c r="Q5790" s="2">
        <v>360264.54</v>
      </c>
      <c r="R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 s="1">
        <v>42382</v>
      </c>
      <c r="AC5790" t="s">
        <v>53</v>
      </c>
      <c r="AD5790" t="s">
        <v>53</v>
      </c>
      <c r="AK5790">
        <v>0</v>
      </c>
      <c r="AU5790" s="6">
        <v>42075</v>
      </c>
      <c r="AV5790" s="6">
        <v>42075</v>
      </c>
      <c r="AW5790" t="s">
        <v>54</v>
      </c>
      <c r="AX5790" t="str">
        <f t="shared" si="491"/>
        <v>FOR</v>
      </c>
      <c r="AY5790" t="s">
        <v>55</v>
      </c>
    </row>
    <row r="5791" spans="1:51" hidden="1">
      <c r="A5791">
        <v>103852</v>
      </c>
      <c r="B5791" t="s">
        <v>1163</v>
      </c>
      <c r="C5791" t="str">
        <f t="shared" si="493"/>
        <v>02790240101</v>
      </c>
      <c r="D5791" t="str">
        <f t="shared" si="493"/>
        <v>02790240101</v>
      </c>
      <c r="E5791" t="s">
        <v>52</v>
      </c>
      <c r="F5791">
        <v>2014</v>
      </c>
      <c r="G5791">
        <v>4108</v>
      </c>
      <c r="H5791" s="1">
        <v>41712</v>
      </c>
      <c r="I5791" s="1">
        <v>41739</v>
      </c>
      <c r="J5791" s="1">
        <v>41739</v>
      </c>
      <c r="K5791" s="1">
        <v>41829</v>
      </c>
      <c r="N5791" s="5"/>
      <c r="O5791" s="2">
        <v>2455.0100000000002</v>
      </c>
      <c r="P5791">
        <v>246</v>
      </c>
      <c r="Q5791" s="2">
        <v>603932.46</v>
      </c>
      <c r="R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 s="1">
        <v>42382</v>
      </c>
      <c r="AC5791" t="s">
        <v>53</v>
      </c>
      <c r="AD5791" t="s">
        <v>53</v>
      </c>
      <c r="AK5791">
        <v>0</v>
      </c>
      <c r="AU5791" s="6">
        <v>42075</v>
      </c>
      <c r="AV5791" s="6">
        <v>42075</v>
      </c>
      <c r="AW5791" t="s">
        <v>54</v>
      </c>
      <c r="AX5791" t="str">
        <f t="shared" si="491"/>
        <v>FOR</v>
      </c>
      <c r="AY5791" t="s">
        <v>55</v>
      </c>
    </row>
    <row r="5792" spans="1:51" hidden="1">
      <c r="A5792">
        <v>103852</v>
      </c>
      <c r="B5792" t="s">
        <v>1163</v>
      </c>
      <c r="C5792" t="str">
        <f t="shared" si="493"/>
        <v>02790240101</v>
      </c>
      <c r="D5792" t="str">
        <f t="shared" si="493"/>
        <v>02790240101</v>
      </c>
      <c r="E5792" t="s">
        <v>52</v>
      </c>
      <c r="F5792">
        <v>2014</v>
      </c>
      <c r="G5792">
        <v>4109</v>
      </c>
      <c r="H5792" s="1">
        <v>41712</v>
      </c>
      <c r="I5792" s="1">
        <v>41739</v>
      </c>
      <c r="J5792" s="1">
        <v>41739</v>
      </c>
      <c r="K5792" s="1">
        <v>41829</v>
      </c>
      <c r="N5792" s="5"/>
      <c r="O5792">
        <v>980.48</v>
      </c>
      <c r="P5792">
        <v>246</v>
      </c>
      <c r="Q5792" s="2">
        <v>241198.07999999999</v>
      </c>
      <c r="R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 s="1">
        <v>42382</v>
      </c>
      <c r="AC5792" t="s">
        <v>53</v>
      </c>
      <c r="AD5792" t="s">
        <v>53</v>
      </c>
      <c r="AK5792">
        <v>0</v>
      </c>
      <c r="AU5792" s="6">
        <v>42075</v>
      </c>
      <c r="AV5792" s="6">
        <v>42075</v>
      </c>
      <c r="AW5792" t="s">
        <v>54</v>
      </c>
      <c r="AX5792" t="str">
        <f t="shared" si="491"/>
        <v>FOR</v>
      </c>
      <c r="AY5792" t="s">
        <v>55</v>
      </c>
    </row>
    <row r="5793" spans="1:51" hidden="1">
      <c r="A5793">
        <v>103852</v>
      </c>
      <c r="B5793" t="s">
        <v>1163</v>
      </c>
      <c r="C5793" t="str">
        <f t="shared" si="493"/>
        <v>02790240101</v>
      </c>
      <c r="D5793" t="str">
        <f t="shared" si="493"/>
        <v>02790240101</v>
      </c>
      <c r="E5793" t="s">
        <v>52</v>
      </c>
      <c r="F5793">
        <v>2014</v>
      </c>
      <c r="G5793">
        <v>4110</v>
      </c>
      <c r="H5793" s="1">
        <v>41712</v>
      </c>
      <c r="I5793" s="1">
        <v>41739</v>
      </c>
      <c r="J5793" s="1">
        <v>41739</v>
      </c>
      <c r="K5793" s="1">
        <v>41829</v>
      </c>
      <c r="N5793" s="5"/>
      <c r="O5793">
        <v>148.35</v>
      </c>
      <c r="P5793">
        <v>246</v>
      </c>
      <c r="Q5793" s="2">
        <v>36494.1</v>
      </c>
      <c r="R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 s="1">
        <v>42382</v>
      </c>
      <c r="AC5793" t="s">
        <v>53</v>
      </c>
      <c r="AD5793" t="s">
        <v>53</v>
      </c>
      <c r="AK5793">
        <v>0</v>
      </c>
      <c r="AU5793" s="6">
        <v>42075</v>
      </c>
      <c r="AV5793" s="6">
        <v>42075</v>
      </c>
      <c r="AW5793" t="s">
        <v>54</v>
      </c>
      <c r="AX5793" t="str">
        <f t="shared" si="491"/>
        <v>FOR</v>
      </c>
      <c r="AY5793" t="s">
        <v>55</v>
      </c>
    </row>
    <row r="5794" spans="1:51" hidden="1">
      <c r="A5794">
        <v>103852</v>
      </c>
      <c r="B5794" t="s">
        <v>1163</v>
      </c>
      <c r="C5794" t="str">
        <f t="shared" si="493"/>
        <v>02790240101</v>
      </c>
      <c r="D5794" t="str">
        <f t="shared" si="493"/>
        <v>02790240101</v>
      </c>
      <c r="E5794" t="s">
        <v>52</v>
      </c>
      <c r="F5794">
        <v>2014</v>
      </c>
      <c r="G5794">
        <v>4111</v>
      </c>
      <c r="H5794" s="1">
        <v>41712</v>
      </c>
      <c r="I5794" s="1">
        <v>41739</v>
      </c>
      <c r="J5794" s="1">
        <v>41739</v>
      </c>
      <c r="K5794" s="1">
        <v>41829</v>
      </c>
      <c r="N5794" s="5"/>
      <c r="O5794" s="2">
        <v>8399.7000000000007</v>
      </c>
      <c r="P5794">
        <v>246</v>
      </c>
      <c r="Q5794" s="2">
        <v>2066326.2</v>
      </c>
      <c r="R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 s="1">
        <v>42382</v>
      </c>
      <c r="AC5794" t="s">
        <v>53</v>
      </c>
      <c r="AD5794" t="s">
        <v>53</v>
      </c>
      <c r="AK5794">
        <v>0</v>
      </c>
      <c r="AU5794" s="6">
        <v>42075</v>
      </c>
      <c r="AV5794" s="6">
        <v>42075</v>
      </c>
      <c r="AW5794" t="s">
        <v>54</v>
      </c>
      <c r="AX5794" t="str">
        <f t="shared" si="491"/>
        <v>FOR</v>
      </c>
      <c r="AY5794" t="s">
        <v>55</v>
      </c>
    </row>
    <row r="5795" spans="1:51" hidden="1">
      <c r="A5795">
        <v>103852</v>
      </c>
      <c r="B5795" t="s">
        <v>1163</v>
      </c>
      <c r="C5795" t="str">
        <f t="shared" si="493"/>
        <v>02790240101</v>
      </c>
      <c r="D5795" t="str">
        <f t="shared" si="493"/>
        <v>02790240101</v>
      </c>
      <c r="E5795" t="s">
        <v>52</v>
      </c>
      <c r="F5795">
        <v>2014</v>
      </c>
      <c r="G5795">
        <v>4862</v>
      </c>
      <c r="H5795" s="1">
        <v>41729</v>
      </c>
      <c r="I5795" s="1">
        <v>41737</v>
      </c>
      <c r="J5795" s="1">
        <v>41737</v>
      </c>
      <c r="K5795" s="1">
        <v>41827</v>
      </c>
      <c r="N5795" s="5"/>
      <c r="O5795">
        <v>776.29</v>
      </c>
      <c r="P5795">
        <v>248</v>
      </c>
      <c r="Q5795" s="2">
        <v>192519.92</v>
      </c>
      <c r="R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 s="1">
        <v>42382</v>
      </c>
      <c r="AC5795" t="s">
        <v>53</v>
      </c>
      <c r="AD5795" t="s">
        <v>53</v>
      </c>
      <c r="AK5795">
        <v>0</v>
      </c>
      <c r="AU5795" s="6">
        <v>42075</v>
      </c>
      <c r="AV5795" s="6">
        <v>42075</v>
      </c>
      <c r="AW5795" t="s">
        <v>54</v>
      </c>
      <c r="AX5795" t="str">
        <f t="shared" si="491"/>
        <v>FOR</v>
      </c>
      <c r="AY5795" t="s">
        <v>55</v>
      </c>
    </row>
    <row r="5796" spans="1:51" hidden="1">
      <c r="A5796">
        <v>103852</v>
      </c>
      <c r="B5796" t="s">
        <v>1163</v>
      </c>
      <c r="C5796" t="str">
        <f t="shared" si="493"/>
        <v>02790240101</v>
      </c>
      <c r="D5796" t="str">
        <f t="shared" si="493"/>
        <v>02790240101</v>
      </c>
      <c r="E5796" t="s">
        <v>52</v>
      </c>
      <c r="F5796">
        <v>2014</v>
      </c>
      <c r="G5796">
        <v>4863</v>
      </c>
      <c r="H5796" s="1">
        <v>41729</v>
      </c>
      <c r="I5796" s="1">
        <v>41737</v>
      </c>
      <c r="J5796" s="1">
        <v>41737</v>
      </c>
      <c r="K5796" s="1">
        <v>41827</v>
      </c>
      <c r="N5796" s="5"/>
      <c r="O5796">
        <v>268.39999999999998</v>
      </c>
      <c r="P5796">
        <v>248</v>
      </c>
      <c r="Q5796" s="2">
        <v>66563.199999999997</v>
      </c>
      <c r="R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 s="1">
        <v>42382</v>
      </c>
      <c r="AC5796" t="s">
        <v>53</v>
      </c>
      <c r="AD5796" t="s">
        <v>53</v>
      </c>
      <c r="AK5796">
        <v>0</v>
      </c>
      <c r="AU5796" s="6">
        <v>42075</v>
      </c>
      <c r="AV5796" s="6">
        <v>42075</v>
      </c>
      <c r="AW5796" t="s">
        <v>54</v>
      </c>
      <c r="AX5796" t="str">
        <f t="shared" si="491"/>
        <v>FOR</v>
      </c>
      <c r="AY5796" t="s">
        <v>55</v>
      </c>
    </row>
    <row r="5797" spans="1:51" hidden="1">
      <c r="A5797">
        <v>103852</v>
      </c>
      <c r="B5797" t="s">
        <v>1163</v>
      </c>
      <c r="C5797" t="str">
        <f t="shared" si="493"/>
        <v>02790240101</v>
      </c>
      <c r="D5797" t="str">
        <f t="shared" si="493"/>
        <v>02790240101</v>
      </c>
      <c r="E5797" t="s">
        <v>52</v>
      </c>
      <c r="F5797">
        <v>2014</v>
      </c>
      <c r="G5797">
        <v>5831</v>
      </c>
      <c r="H5797" s="1">
        <v>41744</v>
      </c>
      <c r="I5797" s="1">
        <v>41752</v>
      </c>
      <c r="J5797" s="1">
        <v>41752</v>
      </c>
      <c r="K5797" s="1">
        <v>41842</v>
      </c>
      <c r="N5797" s="5"/>
      <c r="O5797">
        <v>347.7</v>
      </c>
      <c r="P5797">
        <v>233</v>
      </c>
      <c r="Q5797" s="2">
        <v>81014.100000000006</v>
      </c>
      <c r="R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 s="1">
        <v>42382</v>
      </c>
      <c r="AC5797" t="s">
        <v>53</v>
      </c>
      <c r="AD5797" t="s">
        <v>53</v>
      </c>
      <c r="AK5797">
        <v>0</v>
      </c>
      <c r="AU5797" s="6">
        <v>42075</v>
      </c>
      <c r="AV5797" s="6">
        <v>42075</v>
      </c>
      <c r="AW5797" t="s">
        <v>54</v>
      </c>
      <c r="AX5797" t="str">
        <f t="shared" si="491"/>
        <v>FOR</v>
      </c>
      <c r="AY5797" t="s">
        <v>55</v>
      </c>
    </row>
    <row r="5798" spans="1:51" hidden="1">
      <c r="A5798">
        <v>103852</v>
      </c>
      <c r="B5798" t="s">
        <v>1163</v>
      </c>
      <c r="C5798" t="str">
        <f t="shared" si="493"/>
        <v>02790240101</v>
      </c>
      <c r="D5798" t="str">
        <f t="shared" si="493"/>
        <v>02790240101</v>
      </c>
      <c r="E5798" t="s">
        <v>52</v>
      </c>
      <c r="F5798">
        <v>2014</v>
      </c>
      <c r="G5798">
        <v>5832</v>
      </c>
      <c r="H5798" s="1">
        <v>41744</v>
      </c>
      <c r="I5798" s="1">
        <v>41752</v>
      </c>
      <c r="J5798" s="1">
        <v>41752</v>
      </c>
      <c r="K5798" s="1">
        <v>41842</v>
      </c>
      <c r="N5798" s="5"/>
      <c r="O5798">
        <v>402.6</v>
      </c>
      <c r="P5798">
        <v>233</v>
      </c>
      <c r="Q5798" s="2">
        <v>93805.8</v>
      </c>
      <c r="R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 s="1">
        <v>42382</v>
      </c>
      <c r="AC5798" t="s">
        <v>53</v>
      </c>
      <c r="AD5798" t="s">
        <v>53</v>
      </c>
      <c r="AK5798">
        <v>0</v>
      </c>
      <c r="AU5798" s="6">
        <v>42075</v>
      </c>
      <c r="AV5798" s="6">
        <v>42075</v>
      </c>
      <c r="AW5798" t="s">
        <v>54</v>
      </c>
      <c r="AX5798" t="str">
        <f t="shared" si="491"/>
        <v>FOR</v>
      </c>
      <c r="AY5798" t="s">
        <v>55</v>
      </c>
    </row>
    <row r="5799" spans="1:51" hidden="1">
      <c r="A5799">
        <v>103852</v>
      </c>
      <c r="B5799" t="s">
        <v>1163</v>
      </c>
      <c r="C5799" t="str">
        <f t="shared" si="493"/>
        <v>02790240101</v>
      </c>
      <c r="D5799" t="str">
        <f t="shared" si="493"/>
        <v>02790240101</v>
      </c>
      <c r="E5799" t="s">
        <v>52</v>
      </c>
      <c r="F5799">
        <v>2014</v>
      </c>
      <c r="G5799">
        <v>5833</v>
      </c>
      <c r="H5799" s="1">
        <v>41744</v>
      </c>
      <c r="I5799" s="1">
        <v>41752</v>
      </c>
      <c r="J5799" s="1">
        <v>41752</v>
      </c>
      <c r="K5799" s="1">
        <v>41842</v>
      </c>
      <c r="N5799" s="5"/>
      <c r="O5799">
        <v>451.4</v>
      </c>
      <c r="P5799">
        <v>233</v>
      </c>
      <c r="Q5799" s="2">
        <v>105176.2</v>
      </c>
      <c r="R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 s="1">
        <v>42382</v>
      </c>
      <c r="AC5799" t="s">
        <v>53</v>
      </c>
      <c r="AD5799" t="s">
        <v>53</v>
      </c>
      <c r="AK5799">
        <v>0</v>
      </c>
      <c r="AU5799" s="6">
        <v>42075</v>
      </c>
      <c r="AV5799" s="6">
        <v>42075</v>
      </c>
      <c r="AW5799" t="s">
        <v>54</v>
      </c>
      <c r="AX5799" t="str">
        <f t="shared" si="491"/>
        <v>FOR</v>
      </c>
      <c r="AY5799" t="s">
        <v>55</v>
      </c>
    </row>
    <row r="5800" spans="1:51" hidden="1">
      <c r="A5800">
        <v>103852</v>
      </c>
      <c r="B5800" t="s">
        <v>1163</v>
      </c>
      <c r="C5800" t="str">
        <f t="shared" si="493"/>
        <v>02790240101</v>
      </c>
      <c r="D5800" t="str">
        <f t="shared" si="493"/>
        <v>02790240101</v>
      </c>
      <c r="E5800" t="s">
        <v>52</v>
      </c>
      <c r="F5800">
        <v>2014</v>
      </c>
      <c r="G5800">
        <v>5834</v>
      </c>
      <c r="H5800" s="1">
        <v>41744</v>
      </c>
      <c r="I5800" s="1">
        <v>41752</v>
      </c>
      <c r="J5800" s="1">
        <v>41752</v>
      </c>
      <c r="K5800" s="1">
        <v>41842</v>
      </c>
      <c r="N5800" s="5"/>
      <c r="O5800" s="2">
        <v>5178.17</v>
      </c>
      <c r="P5800">
        <v>233</v>
      </c>
      <c r="Q5800" s="2">
        <v>1206513.6100000001</v>
      </c>
      <c r="R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 s="1">
        <v>42382</v>
      </c>
      <c r="AC5800" t="s">
        <v>53</v>
      </c>
      <c r="AD5800" t="s">
        <v>53</v>
      </c>
      <c r="AK5800">
        <v>0</v>
      </c>
      <c r="AU5800" s="6">
        <v>42075</v>
      </c>
      <c r="AV5800" s="6">
        <v>42075</v>
      </c>
      <c r="AW5800" t="s">
        <v>54</v>
      </c>
      <c r="AX5800" t="str">
        <f t="shared" si="491"/>
        <v>FOR</v>
      </c>
      <c r="AY5800" t="s">
        <v>55</v>
      </c>
    </row>
    <row r="5801" spans="1:51" hidden="1">
      <c r="A5801">
        <v>103852</v>
      </c>
      <c r="B5801" t="s">
        <v>1163</v>
      </c>
      <c r="C5801" t="str">
        <f t="shared" si="493"/>
        <v>02790240101</v>
      </c>
      <c r="D5801" t="str">
        <f t="shared" si="493"/>
        <v>02790240101</v>
      </c>
      <c r="E5801" t="s">
        <v>52</v>
      </c>
      <c r="F5801">
        <v>2014</v>
      </c>
      <c r="G5801">
        <v>5835</v>
      </c>
      <c r="H5801" s="1">
        <v>41744</v>
      </c>
      <c r="I5801" s="1">
        <v>41752</v>
      </c>
      <c r="J5801" s="1">
        <v>41752</v>
      </c>
      <c r="K5801" s="1">
        <v>41842</v>
      </c>
      <c r="N5801" s="5"/>
      <c r="O5801" s="2">
        <v>7279.74</v>
      </c>
      <c r="P5801">
        <v>233</v>
      </c>
      <c r="Q5801" s="2">
        <v>1696179.42</v>
      </c>
      <c r="R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 s="1">
        <v>42382</v>
      </c>
      <c r="AC5801" t="s">
        <v>53</v>
      </c>
      <c r="AD5801" t="s">
        <v>53</v>
      </c>
      <c r="AK5801">
        <v>0</v>
      </c>
      <c r="AU5801" s="6">
        <v>42075</v>
      </c>
      <c r="AV5801" s="6">
        <v>42075</v>
      </c>
      <c r="AW5801" t="s">
        <v>54</v>
      </c>
      <c r="AX5801" t="str">
        <f t="shared" si="491"/>
        <v>FOR</v>
      </c>
      <c r="AY5801" t="s">
        <v>55</v>
      </c>
    </row>
    <row r="5802" spans="1:51" hidden="1">
      <c r="A5802">
        <v>103852</v>
      </c>
      <c r="B5802" t="s">
        <v>1163</v>
      </c>
      <c r="C5802" t="str">
        <f t="shared" ref="C5802:D5821" si="494">"02790240101"</f>
        <v>02790240101</v>
      </c>
      <c r="D5802" t="str">
        <f t="shared" si="494"/>
        <v>02790240101</v>
      </c>
      <c r="E5802" t="s">
        <v>52</v>
      </c>
      <c r="F5802">
        <v>2014</v>
      </c>
      <c r="G5802">
        <v>7650</v>
      </c>
      <c r="H5802" s="1">
        <v>41774</v>
      </c>
      <c r="I5802" s="1">
        <v>41800</v>
      </c>
      <c r="J5802" s="1">
        <v>41800</v>
      </c>
      <c r="K5802" s="1">
        <v>41890</v>
      </c>
      <c r="N5802" s="5"/>
      <c r="O5802" s="2">
        <v>1519.24</v>
      </c>
      <c r="P5802">
        <v>240</v>
      </c>
      <c r="Q5802" s="2">
        <v>364617.6</v>
      </c>
      <c r="R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 s="1">
        <v>42382</v>
      </c>
      <c r="AC5802" t="s">
        <v>53</v>
      </c>
      <c r="AD5802" t="s">
        <v>53</v>
      </c>
      <c r="AK5802">
        <v>0</v>
      </c>
      <c r="AU5802" s="6">
        <v>42130</v>
      </c>
      <c r="AV5802" s="6">
        <v>42130</v>
      </c>
      <c r="AW5802" t="s">
        <v>54</v>
      </c>
      <c r="AX5802" t="str">
        <f t="shared" si="491"/>
        <v>FOR</v>
      </c>
      <c r="AY5802" t="s">
        <v>55</v>
      </c>
    </row>
    <row r="5803" spans="1:51" hidden="1">
      <c r="A5803">
        <v>103852</v>
      </c>
      <c r="B5803" t="s">
        <v>1163</v>
      </c>
      <c r="C5803" t="str">
        <f t="shared" si="494"/>
        <v>02790240101</v>
      </c>
      <c r="D5803" t="str">
        <f t="shared" si="494"/>
        <v>02790240101</v>
      </c>
      <c r="E5803" t="s">
        <v>52</v>
      </c>
      <c r="F5803">
        <v>2014</v>
      </c>
      <c r="G5803">
        <v>7651</v>
      </c>
      <c r="H5803" s="1">
        <v>41774</v>
      </c>
      <c r="I5803" s="1">
        <v>41800</v>
      </c>
      <c r="J5803" s="1">
        <v>41800</v>
      </c>
      <c r="K5803" s="1">
        <v>41890</v>
      </c>
      <c r="N5803" s="5"/>
      <c r="O5803">
        <v>752.01</v>
      </c>
      <c r="P5803">
        <v>240</v>
      </c>
      <c r="Q5803" s="2">
        <v>180482.4</v>
      </c>
      <c r="R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 s="1">
        <v>42382</v>
      </c>
      <c r="AC5803" t="s">
        <v>53</v>
      </c>
      <c r="AD5803" t="s">
        <v>53</v>
      </c>
      <c r="AK5803">
        <v>0</v>
      </c>
      <c r="AU5803" s="6">
        <v>42130</v>
      </c>
      <c r="AV5803" s="6">
        <v>42130</v>
      </c>
      <c r="AW5803" t="s">
        <v>54</v>
      </c>
      <c r="AX5803" t="str">
        <f t="shared" si="491"/>
        <v>FOR</v>
      </c>
      <c r="AY5803" t="s">
        <v>55</v>
      </c>
    </row>
    <row r="5804" spans="1:51" hidden="1">
      <c r="A5804">
        <v>103852</v>
      </c>
      <c r="B5804" t="s">
        <v>1163</v>
      </c>
      <c r="C5804" t="str">
        <f t="shared" si="494"/>
        <v>02790240101</v>
      </c>
      <c r="D5804" t="str">
        <f t="shared" si="494"/>
        <v>02790240101</v>
      </c>
      <c r="E5804" t="s">
        <v>52</v>
      </c>
      <c r="F5804">
        <v>2014</v>
      </c>
      <c r="G5804">
        <v>8630</v>
      </c>
      <c r="H5804" s="1">
        <v>41789</v>
      </c>
      <c r="I5804" s="1">
        <v>41800</v>
      </c>
      <c r="J5804" s="1">
        <v>41800</v>
      </c>
      <c r="K5804" s="1">
        <v>41890</v>
      </c>
      <c r="N5804" s="5"/>
      <c r="O5804">
        <v>605.12</v>
      </c>
      <c r="P5804">
        <v>240</v>
      </c>
      <c r="Q5804" s="2">
        <v>145228.79999999999</v>
      </c>
      <c r="R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 s="1">
        <v>42382</v>
      </c>
      <c r="AC5804" t="s">
        <v>53</v>
      </c>
      <c r="AD5804" t="s">
        <v>53</v>
      </c>
      <c r="AK5804">
        <v>0</v>
      </c>
      <c r="AU5804" s="6">
        <v>42130</v>
      </c>
      <c r="AV5804" s="6">
        <v>42130</v>
      </c>
      <c r="AW5804" t="s">
        <v>54</v>
      </c>
      <c r="AX5804" t="str">
        <f t="shared" si="491"/>
        <v>FOR</v>
      </c>
      <c r="AY5804" t="s">
        <v>55</v>
      </c>
    </row>
    <row r="5805" spans="1:51" hidden="1">
      <c r="A5805">
        <v>103852</v>
      </c>
      <c r="B5805" t="s">
        <v>1163</v>
      </c>
      <c r="C5805" t="str">
        <f t="shared" si="494"/>
        <v>02790240101</v>
      </c>
      <c r="D5805" t="str">
        <f t="shared" si="494"/>
        <v>02790240101</v>
      </c>
      <c r="E5805" t="s">
        <v>52</v>
      </c>
      <c r="F5805">
        <v>2014</v>
      </c>
      <c r="G5805">
        <v>9567</v>
      </c>
      <c r="H5805" s="1">
        <v>41803</v>
      </c>
      <c r="I5805" s="1">
        <v>41814</v>
      </c>
      <c r="J5805" s="1">
        <v>41814</v>
      </c>
      <c r="K5805" s="1">
        <v>41904</v>
      </c>
      <c r="N5805" s="5"/>
      <c r="O5805">
        <v>335.5</v>
      </c>
      <c r="P5805">
        <v>259</v>
      </c>
      <c r="Q5805" s="2">
        <v>86894.5</v>
      </c>
      <c r="R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 s="1">
        <v>42382</v>
      </c>
      <c r="AC5805" t="s">
        <v>53</v>
      </c>
      <c r="AD5805" t="s">
        <v>53</v>
      </c>
      <c r="AK5805">
        <v>0</v>
      </c>
      <c r="AU5805" s="6">
        <v>42163</v>
      </c>
      <c r="AV5805" s="6">
        <v>42163</v>
      </c>
      <c r="AW5805" t="s">
        <v>54</v>
      </c>
      <c r="AX5805" t="str">
        <f t="shared" si="491"/>
        <v>FOR</v>
      </c>
      <c r="AY5805" t="s">
        <v>55</v>
      </c>
    </row>
    <row r="5806" spans="1:51" hidden="1">
      <c r="A5806">
        <v>103852</v>
      </c>
      <c r="B5806" t="s">
        <v>1163</v>
      </c>
      <c r="C5806" t="str">
        <f t="shared" si="494"/>
        <v>02790240101</v>
      </c>
      <c r="D5806" t="str">
        <f t="shared" si="494"/>
        <v>02790240101</v>
      </c>
      <c r="E5806" t="s">
        <v>52</v>
      </c>
      <c r="F5806">
        <v>2014</v>
      </c>
      <c r="G5806">
        <v>9568</v>
      </c>
      <c r="H5806" s="1">
        <v>41803</v>
      </c>
      <c r="I5806" s="1">
        <v>41814</v>
      </c>
      <c r="J5806" s="1">
        <v>41814</v>
      </c>
      <c r="K5806" s="1">
        <v>41904</v>
      </c>
      <c r="N5806" s="5"/>
      <c r="O5806">
        <v>414.46</v>
      </c>
      <c r="P5806">
        <v>259</v>
      </c>
      <c r="Q5806" s="2">
        <v>107345.14</v>
      </c>
      <c r="R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 s="1">
        <v>42382</v>
      </c>
      <c r="AC5806" t="s">
        <v>53</v>
      </c>
      <c r="AD5806" t="s">
        <v>53</v>
      </c>
      <c r="AK5806">
        <v>0</v>
      </c>
      <c r="AU5806" s="6">
        <v>42163</v>
      </c>
      <c r="AV5806" s="6">
        <v>42163</v>
      </c>
      <c r="AW5806" t="s">
        <v>54</v>
      </c>
      <c r="AX5806" t="str">
        <f t="shared" si="491"/>
        <v>FOR</v>
      </c>
      <c r="AY5806" t="s">
        <v>55</v>
      </c>
    </row>
    <row r="5807" spans="1:51" hidden="1">
      <c r="A5807">
        <v>103852</v>
      </c>
      <c r="B5807" t="s">
        <v>1163</v>
      </c>
      <c r="C5807" t="str">
        <f t="shared" si="494"/>
        <v>02790240101</v>
      </c>
      <c r="D5807" t="str">
        <f t="shared" si="494"/>
        <v>02790240101</v>
      </c>
      <c r="E5807" t="s">
        <v>52</v>
      </c>
      <c r="F5807">
        <v>2014</v>
      </c>
      <c r="G5807">
        <v>9569</v>
      </c>
      <c r="H5807" s="1">
        <v>41803</v>
      </c>
      <c r="I5807" s="1">
        <v>41814</v>
      </c>
      <c r="J5807" s="1">
        <v>41814</v>
      </c>
      <c r="K5807" s="1">
        <v>41904</v>
      </c>
      <c r="N5807" s="5"/>
      <c r="O5807" s="2">
        <v>5599.8</v>
      </c>
      <c r="P5807">
        <v>259</v>
      </c>
      <c r="Q5807" s="2">
        <v>1450348.2</v>
      </c>
      <c r="R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 s="1">
        <v>42382</v>
      </c>
      <c r="AC5807" t="s">
        <v>53</v>
      </c>
      <c r="AD5807" t="s">
        <v>53</v>
      </c>
      <c r="AK5807">
        <v>0</v>
      </c>
      <c r="AU5807" s="6">
        <v>42163</v>
      </c>
      <c r="AV5807" s="6">
        <v>42163</v>
      </c>
      <c r="AW5807" t="s">
        <v>54</v>
      </c>
      <c r="AX5807" t="str">
        <f t="shared" si="491"/>
        <v>FOR</v>
      </c>
      <c r="AY5807" t="s">
        <v>55</v>
      </c>
    </row>
    <row r="5808" spans="1:51" hidden="1">
      <c r="A5808">
        <v>103852</v>
      </c>
      <c r="B5808" t="s">
        <v>1163</v>
      </c>
      <c r="C5808" t="str">
        <f t="shared" si="494"/>
        <v>02790240101</v>
      </c>
      <c r="D5808" t="str">
        <f t="shared" si="494"/>
        <v>02790240101</v>
      </c>
      <c r="E5808" t="s">
        <v>52</v>
      </c>
      <c r="F5808">
        <v>2014</v>
      </c>
      <c r="G5808">
        <v>9570</v>
      </c>
      <c r="H5808" s="1">
        <v>41803</v>
      </c>
      <c r="I5808" s="1">
        <v>41814</v>
      </c>
      <c r="J5808" s="1">
        <v>41814</v>
      </c>
      <c r="K5808" s="1">
        <v>41904</v>
      </c>
      <c r="N5808" s="5"/>
      <c r="O5808" s="2">
        <v>2582.98</v>
      </c>
      <c r="P5808">
        <v>259</v>
      </c>
      <c r="Q5808" s="2">
        <v>668991.81999999995</v>
      </c>
      <c r="R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 s="1">
        <v>42382</v>
      </c>
      <c r="AC5808" t="s">
        <v>53</v>
      </c>
      <c r="AD5808" t="s">
        <v>53</v>
      </c>
      <c r="AK5808">
        <v>0</v>
      </c>
      <c r="AU5808" s="6">
        <v>42163</v>
      </c>
      <c r="AV5808" s="6">
        <v>42163</v>
      </c>
      <c r="AW5808" t="s">
        <v>54</v>
      </c>
      <c r="AX5808" t="str">
        <f t="shared" si="491"/>
        <v>FOR</v>
      </c>
      <c r="AY5808" t="s">
        <v>55</v>
      </c>
    </row>
    <row r="5809" spans="1:51" hidden="1">
      <c r="A5809">
        <v>103852</v>
      </c>
      <c r="B5809" t="s">
        <v>1163</v>
      </c>
      <c r="C5809" t="str">
        <f t="shared" si="494"/>
        <v>02790240101</v>
      </c>
      <c r="D5809" t="str">
        <f t="shared" si="494"/>
        <v>02790240101</v>
      </c>
      <c r="E5809" t="s">
        <v>52</v>
      </c>
      <c r="F5809">
        <v>2014</v>
      </c>
      <c r="G5809">
        <v>9571</v>
      </c>
      <c r="H5809" s="1">
        <v>41803</v>
      </c>
      <c r="I5809" s="1">
        <v>41814</v>
      </c>
      <c r="J5809" s="1">
        <v>41814</v>
      </c>
      <c r="K5809" s="1">
        <v>41904</v>
      </c>
      <c r="N5809" s="5"/>
      <c r="O5809" s="2">
        <v>1421.53</v>
      </c>
      <c r="P5809">
        <v>259</v>
      </c>
      <c r="Q5809" s="2">
        <v>368176.27</v>
      </c>
      <c r="R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 s="1">
        <v>42382</v>
      </c>
      <c r="AC5809" t="s">
        <v>53</v>
      </c>
      <c r="AD5809" t="s">
        <v>53</v>
      </c>
      <c r="AK5809">
        <v>0</v>
      </c>
      <c r="AU5809" s="6">
        <v>42163</v>
      </c>
      <c r="AV5809" s="6">
        <v>42163</v>
      </c>
      <c r="AW5809" t="s">
        <v>54</v>
      </c>
      <c r="AX5809" t="str">
        <f t="shared" si="491"/>
        <v>FOR</v>
      </c>
      <c r="AY5809" t="s">
        <v>55</v>
      </c>
    </row>
    <row r="5810" spans="1:51" hidden="1">
      <c r="A5810">
        <v>103852</v>
      </c>
      <c r="B5810" t="s">
        <v>1163</v>
      </c>
      <c r="C5810" t="str">
        <f t="shared" si="494"/>
        <v>02790240101</v>
      </c>
      <c r="D5810" t="str">
        <f t="shared" si="494"/>
        <v>02790240101</v>
      </c>
      <c r="E5810" t="s">
        <v>52</v>
      </c>
      <c r="F5810">
        <v>2014</v>
      </c>
      <c r="G5810">
        <v>9572</v>
      </c>
      <c r="H5810" s="1">
        <v>41803</v>
      </c>
      <c r="I5810" s="1">
        <v>41814</v>
      </c>
      <c r="J5810" s="1">
        <v>41814</v>
      </c>
      <c r="K5810" s="1">
        <v>41904</v>
      </c>
      <c r="N5810" s="5"/>
      <c r="O5810" s="2">
        <v>1165.71</v>
      </c>
      <c r="P5810">
        <v>259</v>
      </c>
      <c r="Q5810" s="2">
        <v>301918.89</v>
      </c>
      <c r="R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 s="1">
        <v>42382</v>
      </c>
      <c r="AC5810" t="s">
        <v>53</v>
      </c>
      <c r="AD5810" t="s">
        <v>53</v>
      </c>
      <c r="AK5810">
        <v>0</v>
      </c>
      <c r="AU5810" s="6">
        <v>42163</v>
      </c>
      <c r="AV5810" s="6">
        <v>42163</v>
      </c>
      <c r="AW5810" t="s">
        <v>54</v>
      </c>
      <c r="AX5810" t="str">
        <f t="shared" si="491"/>
        <v>FOR</v>
      </c>
      <c r="AY5810" t="s">
        <v>55</v>
      </c>
    </row>
    <row r="5811" spans="1:51" hidden="1">
      <c r="A5811">
        <v>103852</v>
      </c>
      <c r="B5811" t="s">
        <v>1163</v>
      </c>
      <c r="C5811" t="str">
        <f t="shared" si="494"/>
        <v>02790240101</v>
      </c>
      <c r="D5811" t="str">
        <f t="shared" si="494"/>
        <v>02790240101</v>
      </c>
      <c r="E5811" t="s">
        <v>52</v>
      </c>
      <c r="F5811">
        <v>2014</v>
      </c>
      <c r="G5811">
        <v>11528</v>
      </c>
      <c r="H5811" s="1">
        <v>41835</v>
      </c>
      <c r="I5811" s="1">
        <v>41872</v>
      </c>
      <c r="J5811" s="1">
        <v>41872</v>
      </c>
      <c r="K5811" s="1">
        <v>41962</v>
      </c>
      <c r="N5811" s="5"/>
      <c r="O5811" s="2">
        <v>3473.83</v>
      </c>
      <c r="P5811">
        <v>222</v>
      </c>
      <c r="Q5811" s="2">
        <v>771190.26</v>
      </c>
      <c r="R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 s="1">
        <v>42382</v>
      </c>
      <c r="AC5811" t="s">
        <v>53</v>
      </c>
      <c r="AD5811" t="s">
        <v>53</v>
      </c>
      <c r="AK5811">
        <v>0</v>
      </c>
      <c r="AU5811" s="6">
        <v>42184</v>
      </c>
      <c r="AV5811" s="6">
        <v>42184</v>
      </c>
      <c r="AW5811" t="s">
        <v>54</v>
      </c>
      <c r="AX5811" t="str">
        <f t="shared" si="491"/>
        <v>FOR</v>
      </c>
      <c r="AY5811" t="s">
        <v>55</v>
      </c>
    </row>
    <row r="5812" spans="1:51" hidden="1">
      <c r="A5812">
        <v>103852</v>
      </c>
      <c r="B5812" t="s">
        <v>1163</v>
      </c>
      <c r="C5812" t="str">
        <f t="shared" si="494"/>
        <v>02790240101</v>
      </c>
      <c r="D5812" t="str">
        <f t="shared" si="494"/>
        <v>02790240101</v>
      </c>
      <c r="E5812" t="s">
        <v>52</v>
      </c>
      <c r="F5812">
        <v>2014</v>
      </c>
      <c r="G5812">
        <v>11529</v>
      </c>
      <c r="H5812" s="1">
        <v>41835</v>
      </c>
      <c r="I5812" s="1">
        <v>41872</v>
      </c>
      <c r="J5812" s="1">
        <v>41872</v>
      </c>
      <c r="K5812" s="1">
        <v>41962</v>
      </c>
      <c r="N5812" s="5"/>
      <c r="O5812">
        <v>117.78</v>
      </c>
      <c r="P5812">
        <v>222</v>
      </c>
      <c r="Q5812" s="2">
        <v>26147.16</v>
      </c>
      <c r="R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 s="1">
        <v>42382</v>
      </c>
      <c r="AC5812" t="s">
        <v>53</v>
      </c>
      <c r="AD5812" t="s">
        <v>53</v>
      </c>
      <c r="AK5812">
        <v>0</v>
      </c>
      <c r="AU5812" s="6">
        <v>42184</v>
      </c>
      <c r="AV5812" s="6">
        <v>42184</v>
      </c>
      <c r="AW5812" t="s">
        <v>54</v>
      </c>
      <c r="AX5812" t="str">
        <f t="shared" si="491"/>
        <v>FOR</v>
      </c>
      <c r="AY5812" t="s">
        <v>55</v>
      </c>
    </row>
    <row r="5813" spans="1:51" hidden="1">
      <c r="A5813">
        <v>103852</v>
      </c>
      <c r="B5813" t="s">
        <v>1163</v>
      </c>
      <c r="C5813" t="str">
        <f t="shared" si="494"/>
        <v>02790240101</v>
      </c>
      <c r="D5813" t="str">
        <f t="shared" si="494"/>
        <v>02790240101</v>
      </c>
      <c r="E5813" t="s">
        <v>52</v>
      </c>
      <c r="F5813">
        <v>2014</v>
      </c>
      <c r="G5813">
        <v>11530</v>
      </c>
      <c r="H5813" s="1">
        <v>41835</v>
      </c>
      <c r="I5813" s="1">
        <v>41872</v>
      </c>
      <c r="J5813" s="1">
        <v>41872</v>
      </c>
      <c r="K5813" s="1">
        <v>41962</v>
      </c>
      <c r="N5813" s="5"/>
      <c r="O5813">
        <v>756.16</v>
      </c>
      <c r="P5813">
        <v>222</v>
      </c>
      <c r="Q5813" s="2">
        <v>167867.51999999999</v>
      </c>
      <c r="R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 s="1">
        <v>42382</v>
      </c>
      <c r="AC5813" t="s">
        <v>53</v>
      </c>
      <c r="AD5813" t="s">
        <v>53</v>
      </c>
      <c r="AK5813">
        <v>0</v>
      </c>
      <c r="AU5813" s="6">
        <v>42184</v>
      </c>
      <c r="AV5813" s="6">
        <v>42184</v>
      </c>
      <c r="AW5813" t="s">
        <v>54</v>
      </c>
      <c r="AX5813" t="str">
        <f t="shared" si="491"/>
        <v>FOR</v>
      </c>
      <c r="AY5813" t="s">
        <v>55</v>
      </c>
    </row>
    <row r="5814" spans="1:51" hidden="1">
      <c r="A5814">
        <v>103852</v>
      </c>
      <c r="B5814" t="s">
        <v>1163</v>
      </c>
      <c r="C5814" t="str">
        <f t="shared" si="494"/>
        <v>02790240101</v>
      </c>
      <c r="D5814" t="str">
        <f t="shared" si="494"/>
        <v>02790240101</v>
      </c>
      <c r="E5814" t="s">
        <v>52</v>
      </c>
      <c r="F5814">
        <v>2014</v>
      </c>
      <c r="G5814">
        <v>11531</v>
      </c>
      <c r="H5814" s="1">
        <v>41835</v>
      </c>
      <c r="I5814" s="1">
        <v>41872</v>
      </c>
      <c r="J5814" s="1">
        <v>41872</v>
      </c>
      <c r="K5814" s="1">
        <v>41962</v>
      </c>
      <c r="N5814" s="5"/>
      <c r="O5814">
        <v>358.68</v>
      </c>
      <c r="P5814">
        <v>222</v>
      </c>
      <c r="Q5814" s="2">
        <v>79626.960000000006</v>
      </c>
      <c r="R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 s="1">
        <v>42382</v>
      </c>
      <c r="AC5814" t="s">
        <v>53</v>
      </c>
      <c r="AD5814" t="s">
        <v>53</v>
      </c>
      <c r="AK5814">
        <v>0</v>
      </c>
      <c r="AU5814" s="6">
        <v>42184</v>
      </c>
      <c r="AV5814" s="6">
        <v>42184</v>
      </c>
      <c r="AW5814" t="s">
        <v>54</v>
      </c>
      <c r="AX5814" t="str">
        <f t="shared" si="491"/>
        <v>FOR</v>
      </c>
      <c r="AY5814" t="s">
        <v>55</v>
      </c>
    </row>
    <row r="5815" spans="1:51" hidden="1">
      <c r="A5815">
        <v>103852</v>
      </c>
      <c r="B5815" t="s">
        <v>1163</v>
      </c>
      <c r="C5815" t="str">
        <f t="shared" si="494"/>
        <v>02790240101</v>
      </c>
      <c r="D5815" t="str">
        <f t="shared" si="494"/>
        <v>02790240101</v>
      </c>
      <c r="E5815" t="s">
        <v>52</v>
      </c>
      <c r="F5815">
        <v>2014</v>
      </c>
      <c r="G5815">
        <v>11532</v>
      </c>
      <c r="H5815" s="1">
        <v>41835</v>
      </c>
      <c r="I5815" s="1">
        <v>41872</v>
      </c>
      <c r="J5815" s="1">
        <v>41872</v>
      </c>
      <c r="K5815" s="1">
        <v>41962</v>
      </c>
      <c r="N5815" s="5"/>
      <c r="O5815">
        <v>737.12</v>
      </c>
      <c r="P5815">
        <v>222</v>
      </c>
      <c r="Q5815" s="2">
        <v>163640.64000000001</v>
      </c>
      <c r="R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 s="1">
        <v>42382</v>
      </c>
      <c r="AC5815" t="s">
        <v>53</v>
      </c>
      <c r="AD5815" t="s">
        <v>53</v>
      </c>
      <c r="AK5815">
        <v>0</v>
      </c>
      <c r="AU5815" s="6">
        <v>42184</v>
      </c>
      <c r="AV5815" s="6">
        <v>42184</v>
      </c>
      <c r="AW5815" t="s">
        <v>54</v>
      </c>
      <c r="AX5815" t="str">
        <f t="shared" si="491"/>
        <v>FOR</v>
      </c>
      <c r="AY5815" t="s">
        <v>55</v>
      </c>
    </row>
    <row r="5816" spans="1:51" hidden="1">
      <c r="A5816">
        <v>103852</v>
      </c>
      <c r="B5816" t="s">
        <v>1163</v>
      </c>
      <c r="C5816" t="str">
        <f t="shared" si="494"/>
        <v>02790240101</v>
      </c>
      <c r="D5816" t="str">
        <f t="shared" si="494"/>
        <v>02790240101</v>
      </c>
      <c r="E5816" t="s">
        <v>52</v>
      </c>
      <c r="F5816">
        <v>2014</v>
      </c>
      <c r="G5816">
        <v>11533</v>
      </c>
      <c r="H5816" s="1">
        <v>41835</v>
      </c>
      <c r="I5816" s="1">
        <v>41872</v>
      </c>
      <c r="J5816" s="1">
        <v>41872</v>
      </c>
      <c r="K5816" s="1">
        <v>41962</v>
      </c>
      <c r="N5816" s="5"/>
      <c r="O5816" s="2">
        <v>2449.7600000000002</v>
      </c>
      <c r="P5816">
        <v>222</v>
      </c>
      <c r="Q5816" s="2">
        <v>543846.72</v>
      </c>
      <c r="R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 s="1">
        <v>42382</v>
      </c>
      <c r="AC5816" t="s">
        <v>53</v>
      </c>
      <c r="AD5816" t="s">
        <v>53</v>
      </c>
      <c r="AK5816">
        <v>0</v>
      </c>
      <c r="AU5816" s="6">
        <v>42184</v>
      </c>
      <c r="AV5816" s="6">
        <v>42184</v>
      </c>
      <c r="AW5816" t="s">
        <v>54</v>
      </c>
      <c r="AX5816" t="str">
        <f t="shared" si="491"/>
        <v>FOR</v>
      </c>
      <c r="AY5816" t="s">
        <v>55</v>
      </c>
    </row>
    <row r="5817" spans="1:51" hidden="1">
      <c r="A5817">
        <v>103852</v>
      </c>
      <c r="B5817" t="s">
        <v>1163</v>
      </c>
      <c r="C5817" t="str">
        <f t="shared" si="494"/>
        <v>02790240101</v>
      </c>
      <c r="D5817" t="str">
        <f t="shared" si="494"/>
        <v>02790240101</v>
      </c>
      <c r="E5817" t="s">
        <v>52</v>
      </c>
      <c r="F5817">
        <v>2014</v>
      </c>
      <c r="G5817">
        <v>11534</v>
      </c>
      <c r="H5817" s="1">
        <v>41835</v>
      </c>
      <c r="I5817" s="1">
        <v>41872</v>
      </c>
      <c r="J5817" s="1">
        <v>41872</v>
      </c>
      <c r="K5817" s="1">
        <v>41962</v>
      </c>
      <c r="N5817" s="5"/>
      <c r="O5817" s="2">
        <v>9519.66</v>
      </c>
      <c r="P5817">
        <v>222</v>
      </c>
      <c r="Q5817" s="2">
        <v>2113364.52</v>
      </c>
      <c r="R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 s="1">
        <v>42382</v>
      </c>
      <c r="AC5817" t="s">
        <v>53</v>
      </c>
      <c r="AD5817" t="s">
        <v>53</v>
      </c>
      <c r="AK5817">
        <v>0</v>
      </c>
      <c r="AU5817" s="6">
        <v>42184</v>
      </c>
      <c r="AV5817" s="6">
        <v>42184</v>
      </c>
      <c r="AW5817" t="s">
        <v>54</v>
      </c>
      <c r="AX5817" t="str">
        <f t="shared" si="491"/>
        <v>FOR</v>
      </c>
      <c r="AY5817" t="s">
        <v>55</v>
      </c>
    </row>
    <row r="5818" spans="1:51" hidden="1">
      <c r="A5818">
        <v>103852</v>
      </c>
      <c r="B5818" t="s">
        <v>1163</v>
      </c>
      <c r="C5818" t="str">
        <f t="shared" si="494"/>
        <v>02790240101</v>
      </c>
      <c r="D5818" t="str">
        <f t="shared" si="494"/>
        <v>02790240101</v>
      </c>
      <c r="E5818" t="s">
        <v>52</v>
      </c>
      <c r="F5818">
        <v>2014</v>
      </c>
      <c r="G5818">
        <v>11535</v>
      </c>
      <c r="H5818" s="1">
        <v>41835</v>
      </c>
      <c r="I5818" s="1">
        <v>41872</v>
      </c>
      <c r="J5818" s="1">
        <v>41872</v>
      </c>
      <c r="K5818" s="1">
        <v>41962</v>
      </c>
      <c r="N5818" s="5"/>
      <c r="O5818" s="2">
        <v>2541.5</v>
      </c>
      <c r="P5818">
        <v>222</v>
      </c>
      <c r="Q5818" s="2">
        <v>564213</v>
      </c>
      <c r="R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 s="1">
        <v>42382</v>
      </c>
      <c r="AC5818" t="s">
        <v>53</v>
      </c>
      <c r="AD5818" t="s">
        <v>53</v>
      </c>
      <c r="AK5818">
        <v>0</v>
      </c>
      <c r="AU5818" s="6">
        <v>42184</v>
      </c>
      <c r="AV5818" s="6">
        <v>42184</v>
      </c>
      <c r="AW5818" t="s">
        <v>54</v>
      </c>
      <c r="AX5818" t="str">
        <f t="shared" si="491"/>
        <v>FOR</v>
      </c>
      <c r="AY5818" t="s">
        <v>55</v>
      </c>
    </row>
    <row r="5819" spans="1:51" hidden="1">
      <c r="A5819">
        <v>103852</v>
      </c>
      <c r="B5819" t="s">
        <v>1163</v>
      </c>
      <c r="C5819" t="str">
        <f t="shared" si="494"/>
        <v>02790240101</v>
      </c>
      <c r="D5819" t="str">
        <f t="shared" si="494"/>
        <v>02790240101</v>
      </c>
      <c r="E5819" t="s">
        <v>52</v>
      </c>
      <c r="F5819">
        <v>2014</v>
      </c>
      <c r="G5819">
        <v>11536</v>
      </c>
      <c r="H5819" s="1">
        <v>41835</v>
      </c>
      <c r="I5819" s="1">
        <v>41872</v>
      </c>
      <c r="J5819" s="1">
        <v>41872</v>
      </c>
      <c r="K5819" s="1">
        <v>41962</v>
      </c>
      <c r="N5819" s="5"/>
      <c r="O5819">
        <v>517.52</v>
      </c>
      <c r="P5819">
        <v>222</v>
      </c>
      <c r="Q5819" s="2">
        <v>114889.44</v>
      </c>
      <c r="R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 s="1">
        <v>42382</v>
      </c>
      <c r="AC5819" t="s">
        <v>53</v>
      </c>
      <c r="AD5819" t="s">
        <v>53</v>
      </c>
      <c r="AK5819">
        <v>0</v>
      </c>
      <c r="AU5819" s="6">
        <v>42184</v>
      </c>
      <c r="AV5819" s="6">
        <v>42184</v>
      </c>
      <c r="AW5819" t="s">
        <v>54</v>
      </c>
      <c r="AX5819" t="str">
        <f t="shared" si="491"/>
        <v>FOR</v>
      </c>
      <c r="AY5819" t="s">
        <v>55</v>
      </c>
    </row>
    <row r="5820" spans="1:51" hidden="1">
      <c r="A5820">
        <v>103852</v>
      </c>
      <c r="B5820" t="s">
        <v>1163</v>
      </c>
      <c r="C5820" t="str">
        <f t="shared" si="494"/>
        <v>02790240101</v>
      </c>
      <c r="D5820" t="str">
        <f t="shared" si="494"/>
        <v>02790240101</v>
      </c>
      <c r="E5820" t="s">
        <v>52</v>
      </c>
      <c r="F5820">
        <v>2014</v>
      </c>
      <c r="G5820">
        <v>11537</v>
      </c>
      <c r="H5820" s="1">
        <v>41835</v>
      </c>
      <c r="I5820" s="1">
        <v>41872</v>
      </c>
      <c r="J5820" s="1">
        <v>41872</v>
      </c>
      <c r="K5820" s="1">
        <v>41962</v>
      </c>
      <c r="N5820" s="5"/>
      <c r="O5820" s="2">
        <v>3337.92</v>
      </c>
      <c r="P5820">
        <v>222</v>
      </c>
      <c r="Q5820" s="2">
        <v>741018.24</v>
      </c>
      <c r="R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 s="1">
        <v>42382</v>
      </c>
      <c r="AC5820" t="s">
        <v>53</v>
      </c>
      <c r="AD5820" t="s">
        <v>53</v>
      </c>
      <c r="AK5820">
        <v>0</v>
      </c>
      <c r="AU5820" s="6">
        <v>42184</v>
      </c>
      <c r="AV5820" s="6">
        <v>42184</v>
      </c>
      <c r="AW5820" t="s">
        <v>54</v>
      </c>
      <c r="AX5820" t="str">
        <f t="shared" si="491"/>
        <v>FOR</v>
      </c>
      <c r="AY5820" t="s">
        <v>55</v>
      </c>
    </row>
    <row r="5821" spans="1:51" hidden="1">
      <c r="A5821">
        <v>103852</v>
      </c>
      <c r="B5821" t="s">
        <v>1163</v>
      </c>
      <c r="C5821" t="str">
        <f t="shared" si="494"/>
        <v>02790240101</v>
      </c>
      <c r="D5821" t="str">
        <f t="shared" si="494"/>
        <v>02790240101</v>
      </c>
      <c r="E5821" t="s">
        <v>52</v>
      </c>
      <c r="F5821">
        <v>2014</v>
      </c>
      <c r="G5821">
        <v>13384</v>
      </c>
      <c r="H5821" s="1">
        <v>41880</v>
      </c>
      <c r="I5821" s="1">
        <v>41892</v>
      </c>
      <c r="J5821" s="1">
        <v>41892</v>
      </c>
      <c r="K5821" s="1">
        <v>41982</v>
      </c>
      <c r="N5821" s="5"/>
      <c r="O5821" s="2">
        <v>1552.57</v>
      </c>
      <c r="P5821">
        <v>202</v>
      </c>
      <c r="Q5821" s="2">
        <v>313619.14</v>
      </c>
      <c r="R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 s="1">
        <v>42382</v>
      </c>
      <c r="AC5821" t="s">
        <v>53</v>
      </c>
      <c r="AD5821" t="s">
        <v>53</v>
      </c>
      <c r="AK5821">
        <v>0</v>
      </c>
      <c r="AU5821" s="6">
        <v>42184</v>
      </c>
      <c r="AV5821" s="6">
        <v>42184</v>
      </c>
      <c r="AW5821" t="s">
        <v>54</v>
      </c>
      <c r="AX5821" t="str">
        <f t="shared" si="491"/>
        <v>FOR</v>
      </c>
      <c r="AY5821" t="s">
        <v>55</v>
      </c>
    </row>
    <row r="5822" spans="1:51" hidden="1">
      <c r="A5822">
        <v>103852</v>
      </c>
      <c r="B5822" t="s">
        <v>1163</v>
      </c>
      <c r="C5822" t="str">
        <f t="shared" ref="C5822:D5841" si="495">"02790240101"</f>
        <v>02790240101</v>
      </c>
      <c r="D5822" t="str">
        <f t="shared" si="495"/>
        <v>02790240101</v>
      </c>
      <c r="E5822" t="s">
        <v>52</v>
      </c>
      <c r="F5822">
        <v>2014</v>
      </c>
      <c r="G5822">
        <v>14452</v>
      </c>
      <c r="H5822" s="1">
        <v>41897</v>
      </c>
      <c r="I5822" s="1">
        <v>41901</v>
      </c>
      <c r="J5822" s="1">
        <v>41901</v>
      </c>
      <c r="K5822" s="1">
        <v>41991</v>
      </c>
      <c r="N5822" s="5"/>
      <c r="O5822">
        <v>514.84</v>
      </c>
      <c r="P5822">
        <v>259</v>
      </c>
      <c r="Q5822" s="2">
        <v>133343.56</v>
      </c>
      <c r="R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 s="1">
        <v>42382</v>
      </c>
      <c r="AC5822" t="s">
        <v>53</v>
      </c>
      <c r="AD5822" t="s">
        <v>53</v>
      </c>
      <c r="AK5822">
        <v>0</v>
      </c>
      <c r="AU5822" s="6">
        <v>42250</v>
      </c>
      <c r="AV5822" s="6">
        <v>42250</v>
      </c>
      <c r="AW5822" t="s">
        <v>54</v>
      </c>
      <c r="AX5822" t="str">
        <f t="shared" si="491"/>
        <v>FOR</v>
      </c>
      <c r="AY5822" t="s">
        <v>55</v>
      </c>
    </row>
    <row r="5823" spans="1:51" hidden="1">
      <c r="A5823">
        <v>103852</v>
      </c>
      <c r="B5823" t="s">
        <v>1163</v>
      </c>
      <c r="C5823" t="str">
        <f t="shared" si="495"/>
        <v>02790240101</v>
      </c>
      <c r="D5823" t="str">
        <f t="shared" si="495"/>
        <v>02790240101</v>
      </c>
      <c r="E5823" t="s">
        <v>52</v>
      </c>
      <c r="F5823">
        <v>2014</v>
      </c>
      <c r="G5823">
        <v>14453</v>
      </c>
      <c r="H5823" s="1">
        <v>41897</v>
      </c>
      <c r="I5823" s="1">
        <v>41901</v>
      </c>
      <c r="J5823" s="1">
        <v>41901</v>
      </c>
      <c r="K5823" s="1">
        <v>41991</v>
      </c>
      <c r="N5823" s="5"/>
      <c r="O5823">
        <v>453.74</v>
      </c>
      <c r="P5823">
        <v>259</v>
      </c>
      <c r="Q5823" s="2">
        <v>117518.66</v>
      </c>
      <c r="R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 s="1">
        <v>42382</v>
      </c>
      <c r="AC5823" t="s">
        <v>53</v>
      </c>
      <c r="AD5823" t="s">
        <v>53</v>
      </c>
      <c r="AK5823">
        <v>0</v>
      </c>
      <c r="AU5823" s="6">
        <v>42250</v>
      </c>
      <c r="AV5823" s="6">
        <v>42250</v>
      </c>
      <c r="AW5823" t="s">
        <v>54</v>
      </c>
      <c r="AX5823" t="str">
        <f t="shared" si="491"/>
        <v>FOR</v>
      </c>
      <c r="AY5823" t="s">
        <v>55</v>
      </c>
    </row>
    <row r="5824" spans="1:51" hidden="1">
      <c r="A5824">
        <v>103852</v>
      </c>
      <c r="B5824" t="s">
        <v>1163</v>
      </c>
      <c r="C5824" t="str">
        <f t="shared" si="495"/>
        <v>02790240101</v>
      </c>
      <c r="D5824" t="str">
        <f t="shared" si="495"/>
        <v>02790240101</v>
      </c>
      <c r="E5824" t="s">
        <v>52</v>
      </c>
      <c r="F5824">
        <v>2014</v>
      </c>
      <c r="G5824">
        <v>14454</v>
      </c>
      <c r="H5824" s="1">
        <v>41897</v>
      </c>
      <c r="I5824" s="1">
        <v>41901</v>
      </c>
      <c r="J5824" s="1">
        <v>41901</v>
      </c>
      <c r="K5824" s="1">
        <v>41991</v>
      </c>
      <c r="N5824" s="5"/>
      <c r="O5824" s="2">
        <v>5039.82</v>
      </c>
      <c r="P5824">
        <v>259</v>
      </c>
      <c r="Q5824" s="2">
        <v>1305313.3799999999</v>
      </c>
      <c r="R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 s="1">
        <v>42382</v>
      </c>
      <c r="AC5824" t="s">
        <v>53</v>
      </c>
      <c r="AD5824" t="s">
        <v>53</v>
      </c>
      <c r="AK5824">
        <v>0</v>
      </c>
      <c r="AU5824" s="6">
        <v>42250</v>
      </c>
      <c r="AV5824" s="6">
        <v>42250</v>
      </c>
      <c r="AW5824" t="s">
        <v>54</v>
      </c>
      <c r="AX5824" t="str">
        <f t="shared" si="491"/>
        <v>FOR</v>
      </c>
      <c r="AY5824" t="s">
        <v>55</v>
      </c>
    </row>
    <row r="5825" spans="1:51" hidden="1">
      <c r="A5825">
        <v>103852</v>
      </c>
      <c r="B5825" t="s">
        <v>1163</v>
      </c>
      <c r="C5825" t="str">
        <f t="shared" si="495"/>
        <v>02790240101</v>
      </c>
      <c r="D5825" t="str">
        <f t="shared" si="495"/>
        <v>02790240101</v>
      </c>
      <c r="E5825" t="s">
        <v>52</v>
      </c>
      <c r="F5825">
        <v>2014</v>
      </c>
      <c r="G5825">
        <v>14455</v>
      </c>
      <c r="H5825" s="1">
        <v>41897</v>
      </c>
      <c r="I5825" s="1">
        <v>42075</v>
      </c>
      <c r="J5825" s="1">
        <v>42075</v>
      </c>
      <c r="K5825" s="1">
        <v>42135</v>
      </c>
      <c r="N5825" s="5"/>
      <c r="O5825">
        <v>506.3</v>
      </c>
      <c r="P5825">
        <v>115</v>
      </c>
      <c r="Q5825" s="2">
        <v>58224.5</v>
      </c>
      <c r="R5825">
        <v>0</v>
      </c>
      <c r="V5825">
        <v>0</v>
      </c>
      <c r="W5825">
        <v>0</v>
      </c>
      <c r="X5825">
        <v>0</v>
      </c>
      <c r="Y5825">
        <v>0</v>
      </c>
      <c r="Z5825">
        <v>506.3</v>
      </c>
      <c r="AA5825">
        <v>0</v>
      </c>
      <c r="AB5825" s="1">
        <v>42382</v>
      </c>
      <c r="AC5825" t="s">
        <v>53</v>
      </c>
      <c r="AD5825" t="s">
        <v>53</v>
      </c>
      <c r="AK5825">
        <v>0</v>
      </c>
      <c r="AU5825" s="6">
        <v>42250</v>
      </c>
      <c r="AV5825" s="6">
        <v>42250</v>
      </c>
      <c r="AW5825" t="s">
        <v>54</v>
      </c>
      <c r="AX5825" t="str">
        <f t="shared" si="491"/>
        <v>FOR</v>
      </c>
      <c r="AY5825" t="s">
        <v>55</v>
      </c>
    </row>
    <row r="5826" spans="1:51">
      <c r="A5826">
        <v>103852</v>
      </c>
      <c r="B5826" t="s">
        <v>1163</v>
      </c>
      <c r="C5826" t="str">
        <f t="shared" si="495"/>
        <v>02790240101</v>
      </c>
      <c r="D5826" t="str">
        <f t="shared" si="495"/>
        <v>02790240101</v>
      </c>
      <c r="E5826" t="s">
        <v>52</v>
      </c>
      <c r="F5826">
        <v>2014</v>
      </c>
      <c r="G5826">
        <v>14456</v>
      </c>
      <c r="H5826" s="1">
        <v>41897</v>
      </c>
      <c r="I5826" s="1">
        <v>42185</v>
      </c>
      <c r="J5826" s="1">
        <v>42185</v>
      </c>
      <c r="K5826" s="1">
        <v>42245</v>
      </c>
      <c r="L5826" s="7">
        <v>253.15</v>
      </c>
      <c r="M5826" s="5">
        <v>33</v>
      </c>
      <c r="N5826" s="7">
        <v>8353.9500000000007</v>
      </c>
      <c r="O5826">
        <v>253.15</v>
      </c>
      <c r="P5826">
        <v>33</v>
      </c>
      <c r="Q5826" s="2">
        <v>8353.9500000000007</v>
      </c>
      <c r="R5826">
        <v>0</v>
      </c>
      <c r="V5826">
        <v>0</v>
      </c>
      <c r="W5826">
        <v>0</v>
      </c>
      <c r="X5826">
        <v>0</v>
      </c>
      <c r="Y5826">
        <v>0</v>
      </c>
      <c r="Z5826">
        <v>253.15</v>
      </c>
      <c r="AA5826">
        <v>0</v>
      </c>
      <c r="AB5826" s="1">
        <v>42382</v>
      </c>
      <c r="AC5826" t="s">
        <v>53</v>
      </c>
      <c r="AD5826" t="s">
        <v>53</v>
      </c>
      <c r="AK5826">
        <v>0</v>
      </c>
      <c r="AU5826" s="6">
        <v>42278</v>
      </c>
      <c r="AV5826" s="6">
        <v>42278</v>
      </c>
      <c r="AW5826" t="s">
        <v>54</v>
      </c>
      <c r="AX5826" t="str">
        <f t="shared" si="491"/>
        <v>FOR</v>
      </c>
      <c r="AY5826" t="s">
        <v>55</v>
      </c>
    </row>
    <row r="5827" spans="1:51" hidden="1">
      <c r="A5827">
        <v>103852</v>
      </c>
      <c r="B5827" t="s">
        <v>1163</v>
      </c>
      <c r="C5827" t="str">
        <f t="shared" si="495"/>
        <v>02790240101</v>
      </c>
      <c r="D5827" t="str">
        <f t="shared" si="495"/>
        <v>02790240101</v>
      </c>
      <c r="E5827" t="s">
        <v>52</v>
      </c>
      <c r="F5827">
        <v>2014</v>
      </c>
      <c r="G5827">
        <v>14457</v>
      </c>
      <c r="H5827" s="1">
        <v>41897</v>
      </c>
      <c r="I5827" s="1">
        <v>41907</v>
      </c>
      <c r="J5827" s="1">
        <v>41907</v>
      </c>
      <c r="K5827" s="1">
        <v>41997</v>
      </c>
      <c r="N5827" s="5"/>
      <c r="O5827">
        <v>61.49</v>
      </c>
      <c r="P5827">
        <v>253</v>
      </c>
      <c r="Q5827" s="2">
        <v>15556.97</v>
      </c>
      <c r="R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 s="1">
        <v>42382</v>
      </c>
      <c r="AC5827" t="s">
        <v>53</v>
      </c>
      <c r="AD5827" t="s">
        <v>53</v>
      </c>
      <c r="AK5827">
        <v>0</v>
      </c>
      <c r="AU5827" s="6">
        <v>42250</v>
      </c>
      <c r="AV5827" s="6">
        <v>42250</v>
      </c>
      <c r="AW5827" t="s">
        <v>54</v>
      </c>
      <c r="AX5827" t="str">
        <f t="shared" ref="AX5827:AX5890" si="496">"FOR"</f>
        <v>FOR</v>
      </c>
      <c r="AY5827" t="s">
        <v>55</v>
      </c>
    </row>
    <row r="5828" spans="1:51" hidden="1">
      <c r="A5828">
        <v>103852</v>
      </c>
      <c r="B5828" t="s">
        <v>1163</v>
      </c>
      <c r="C5828" t="str">
        <f t="shared" si="495"/>
        <v>02790240101</v>
      </c>
      <c r="D5828" t="str">
        <f t="shared" si="495"/>
        <v>02790240101</v>
      </c>
      <c r="E5828" t="s">
        <v>52</v>
      </c>
      <c r="F5828">
        <v>2014</v>
      </c>
      <c r="G5828">
        <v>14458</v>
      </c>
      <c r="H5828" s="1">
        <v>41897</v>
      </c>
      <c r="I5828" s="1">
        <v>41907</v>
      </c>
      <c r="J5828" s="1">
        <v>41907</v>
      </c>
      <c r="K5828" s="1">
        <v>41997</v>
      </c>
      <c r="N5828" s="5"/>
      <c r="O5828" s="2">
        <v>3202.5</v>
      </c>
      <c r="P5828">
        <v>253</v>
      </c>
      <c r="Q5828" s="2">
        <v>810232.5</v>
      </c>
      <c r="R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 s="1">
        <v>42382</v>
      </c>
      <c r="AC5828" t="s">
        <v>53</v>
      </c>
      <c r="AD5828" t="s">
        <v>53</v>
      </c>
      <c r="AK5828">
        <v>0</v>
      </c>
      <c r="AU5828" s="6">
        <v>42250</v>
      </c>
      <c r="AV5828" s="6">
        <v>42250</v>
      </c>
      <c r="AW5828" t="s">
        <v>54</v>
      </c>
      <c r="AX5828" t="str">
        <f t="shared" si="496"/>
        <v>FOR</v>
      </c>
      <c r="AY5828" t="s">
        <v>55</v>
      </c>
    </row>
    <row r="5829" spans="1:51" hidden="1">
      <c r="A5829">
        <v>103852</v>
      </c>
      <c r="B5829" t="s">
        <v>1163</v>
      </c>
      <c r="C5829" t="str">
        <f t="shared" si="495"/>
        <v>02790240101</v>
      </c>
      <c r="D5829" t="str">
        <f t="shared" si="495"/>
        <v>02790240101</v>
      </c>
      <c r="E5829" t="s">
        <v>52</v>
      </c>
      <c r="F5829">
        <v>2014</v>
      </c>
      <c r="G5829">
        <v>14459</v>
      </c>
      <c r="H5829" s="1">
        <v>41897</v>
      </c>
      <c r="I5829" s="1">
        <v>41907</v>
      </c>
      <c r="J5829" s="1">
        <v>41907</v>
      </c>
      <c r="K5829" s="1">
        <v>41997</v>
      </c>
      <c r="N5829" s="5"/>
      <c r="O5829">
        <v>453.74</v>
      </c>
      <c r="P5829">
        <v>253</v>
      </c>
      <c r="Q5829" s="2">
        <v>114796.22</v>
      </c>
      <c r="R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 s="1">
        <v>42382</v>
      </c>
      <c r="AC5829" t="s">
        <v>53</v>
      </c>
      <c r="AD5829" t="s">
        <v>53</v>
      </c>
      <c r="AK5829">
        <v>0</v>
      </c>
      <c r="AU5829" s="6">
        <v>42250</v>
      </c>
      <c r="AV5829" s="6">
        <v>42250</v>
      </c>
      <c r="AW5829" t="s">
        <v>54</v>
      </c>
      <c r="AX5829" t="str">
        <f t="shared" si="496"/>
        <v>FOR</v>
      </c>
      <c r="AY5829" t="s">
        <v>55</v>
      </c>
    </row>
    <row r="5830" spans="1:51" hidden="1">
      <c r="A5830">
        <v>103852</v>
      </c>
      <c r="B5830" t="s">
        <v>1163</v>
      </c>
      <c r="C5830" t="str">
        <f t="shared" si="495"/>
        <v>02790240101</v>
      </c>
      <c r="D5830" t="str">
        <f t="shared" si="495"/>
        <v>02790240101</v>
      </c>
      <c r="E5830" t="s">
        <v>52</v>
      </c>
      <c r="F5830">
        <v>2014</v>
      </c>
      <c r="G5830">
        <v>15358</v>
      </c>
      <c r="H5830" s="1">
        <v>41912</v>
      </c>
      <c r="I5830" s="1">
        <v>41920</v>
      </c>
      <c r="J5830" s="1">
        <v>41920</v>
      </c>
      <c r="K5830" s="1">
        <v>42010</v>
      </c>
      <c r="N5830" s="5"/>
      <c r="O5830" s="2">
        <v>1276.6099999999999</v>
      </c>
      <c r="P5830">
        <v>240</v>
      </c>
      <c r="Q5830" s="2">
        <v>306386.40000000002</v>
      </c>
      <c r="R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 s="1">
        <v>42382</v>
      </c>
      <c r="AC5830" t="s">
        <v>53</v>
      </c>
      <c r="AD5830" t="s">
        <v>53</v>
      </c>
      <c r="AK5830">
        <v>0</v>
      </c>
      <c r="AU5830" s="6">
        <v>42250</v>
      </c>
      <c r="AV5830" s="6">
        <v>42250</v>
      </c>
      <c r="AW5830" t="s">
        <v>54</v>
      </c>
      <c r="AX5830" t="str">
        <f t="shared" si="496"/>
        <v>FOR</v>
      </c>
      <c r="AY5830" t="s">
        <v>55</v>
      </c>
    </row>
    <row r="5831" spans="1:51" hidden="1">
      <c r="A5831">
        <v>103852</v>
      </c>
      <c r="B5831" t="s">
        <v>1163</v>
      </c>
      <c r="C5831" t="str">
        <f t="shared" si="495"/>
        <v>02790240101</v>
      </c>
      <c r="D5831" t="str">
        <f t="shared" si="495"/>
        <v>02790240101</v>
      </c>
      <c r="E5831" t="s">
        <v>52</v>
      </c>
      <c r="F5831">
        <v>2014</v>
      </c>
      <c r="G5831">
        <v>15359</v>
      </c>
      <c r="H5831" s="1">
        <v>41912</v>
      </c>
      <c r="I5831" s="1">
        <v>41920</v>
      </c>
      <c r="J5831" s="1">
        <v>41920</v>
      </c>
      <c r="K5831" s="1">
        <v>42010</v>
      </c>
      <c r="N5831" s="5"/>
      <c r="O5831" s="2">
        <v>1066.28</v>
      </c>
      <c r="P5831">
        <v>240</v>
      </c>
      <c r="Q5831" s="2">
        <v>255907.20000000001</v>
      </c>
      <c r="R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 s="1">
        <v>42382</v>
      </c>
      <c r="AC5831" t="s">
        <v>53</v>
      </c>
      <c r="AD5831" t="s">
        <v>53</v>
      </c>
      <c r="AK5831">
        <v>0</v>
      </c>
      <c r="AU5831" s="6">
        <v>42250</v>
      </c>
      <c r="AV5831" s="6">
        <v>42250</v>
      </c>
      <c r="AW5831" t="s">
        <v>54</v>
      </c>
      <c r="AX5831" t="str">
        <f t="shared" si="496"/>
        <v>FOR</v>
      </c>
      <c r="AY5831" t="s">
        <v>55</v>
      </c>
    </row>
    <row r="5832" spans="1:51">
      <c r="A5832">
        <v>103852</v>
      </c>
      <c r="B5832" t="s">
        <v>1163</v>
      </c>
      <c r="C5832" t="str">
        <f t="shared" si="495"/>
        <v>02790240101</v>
      </c>
      <c r="D5832" t="str">
        <f t="shared" si="495"/>
        <v>02790240101</v>
      </c>
      <c r="E5832" t="s">
        <v>52</v>
      </c>
      <c r="F5832">
        <v>2014</v>
      </c>
      <c r="G5832">
        <v>16150</v>
      </c>
      <c r="H5832" s="1">
        <v>41927</v>
      </c>
      <c r="I5832" s="1">
        <v>41935</v>
      </c>
      <c r="J5832" s="1">
        <v>41935</v>
      </c>
      <c r="K5832" s="1">
        <v>41995</v>
      </c>
      <c r="L5832" s="7">
        <v>489.22</v>
      </c>
      <c r="M5832" s="5">
        <v>283</v>
      </c>
      <c r="N5832" s="7">
        <v>138449.26</v>
      </c>
      <c r="O5832">
        <v>489.22</v>
      </c>
      <c r="P5832">
        <v>283</v>
      </c>
      <c r="Q5832" s="2">
        <v>138449.26</v>
      </c>
      <c r="R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 s="1">
        <v>42382</v>
      </c>
      <c r="AC5832" t="s">
        <v>53</v>
      </c>
      <c r="AD5832" t="s">
        <v>53</v>
      </c>
      <c r="AK5832">
        <v>0</v>
      </c>
      <c r="AU5832" s="6">
        <v>42278</v>
      </c>
      <c r="AV5832" s="6">
        <v>42278</v>
      </c>
      <c r="AW5832" t="s">
        <v>54</v>
      </c>
      <c r="AX5832" t="str">
        <f t="shared" si="496"/>
        <v>FOR</v>
      </c>
      <c r="AY5832" t="s">
        <v>55</v>
      </c>
    </row>
    <row r="5833" spans="1:51">
      <c r="A5833">
        <v>103852</v>
      </c>
      <c r="B5833" t="s">
        <v>1163</v>
      </c>
      <c r="C5833" t="str">
        <f t="shared" si="495"/>
        <v>02790240101</v>
      </c>
      <c r="D5833" t="str">
        <f t="shared" si="495"/>
        <v>02790240101</v>
      </c>
      <c r="E5833" t="s">
        <v>52</v>
      </c>
      <c r="F5833">
        <v>2014</v>
      </c>
      <c r="G5833">
        <v>16151</v>
      </c>
      <c r="H5833" s="1">
        <v>41927</v>
      </c>
      <c r="I5833" s="1">
        <v>41935</v>
      </c>
      <c r="J5833" s="1">
        <v>41935</v>
      </c>
      <c r="K5833" s="1">
        <v>41995</v>
      </c>
      <c r="L5833" s="7">
        <v>3359.88</v>
      </c>
      <c r="M5833" s="5">
        <v>283</v>
      </c>
      <c r="N5833" s="7">
        <v>950846.04</v>
      </c>
      <c r="O5833" s="2">
        <v>3359.88</v>
      </c>
      <c r="P5833">
        <v>283</v>
      </c>
      <c r="Q5833" s="2">
        <v>950846.04</v>
      </c>
      <c r="R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 s="1">
        <v>42382</v>
      </c>
      <c r="AC5833" t="s">
        <v>53</v>
      </c>
      <c r="AD5833" t="s">
        <v>53</v>
      </c>
      <c r="AK5833">
        <v>0</v>
      </c>
      <c r="AU5833" s="6">
        <v>42278</v>
      </c>
      <c r="AV5833" s="6">
        <v>42278</v>
      </c>
      <c r="AW5833" t="s">
        <v>54</v>
      </c>
      <c r="AX5833" t="str">
        <f t="shared" si="496"/>
        <v>FOR</v>
      </c>
      <c r="AY5833" t="s">
        <v>55</v>
      </c>
    </row>
    <row r="5834" spans="1:51">
      <c r="A5834">
        <v>103852</v>
      </c>
      <c r="B5834" t="s">
        <v>1163</v>
      </c>
      <c r="C5834" t="str">
        <f t="shared" si="495"/>
        <v>02790240101</v>
      </c>
      <c r="D5834" t="str">
        <f t="shared" si="495"/>
        <v>02790240101</v>
      </c>
      <c r="E5834" t="s">
        <v>52</v>
      </c>
      <c r="F5834">
        <v>2014</v>
      </c>
      <c r="G5834">
        <v>16152</v>
      </c>
      <c r="H5834" s="1">
        <v>41927</v>
      </c>
      <c r="I5834" s="1">
        <v>41935</v>
      </c>
      <c r="J5834" s="1">
        <v>41935</v>
      </c>
      <c r="K5834" s="1">
        <v>41995</v>
      </c>
      <c r="L5834" s="7">
        <v>1779.04</v>
      </c>
      <c r="M5834" s="5">
        <v>283</v>
      </c>
      <c r="N5834" s="7">
        <v>503468.32</v>
      </c>
      <c r="O5834" s="2">
        <v>1779.04</v>
      </c>
      <c r="P5834">
        <v>283</v>
      </c>
      <c r="Q5834" s="2">
        <v>503468.32</v>
      </c>
      <c r="R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 s="1">
        <v>42382</v>
      </c>
      <c r="AC5834" t="s">
        <v>53</v>
      </c>
      <c r="AD5834" t="s">
        <v>53</v>
      </c>
      <c r="AK5834">
        <v>0</v>
      </c>
      <c r="AU5834" s="6">
        <v>42278</v>
      </c>
      <c r="AV5834" s="6">
        <v>42278</v>
      </c>
      <c r="AW5834" t="s">
        <v>54</v>
      </c>
      <c r="AX5834" t="str">
        <f t="shared" si="496"/>
        <v>FOR</v>
      </c>
      <c r="AY5834" t="s">
        <v>55</v>
      </c>
    </row>
    <row r="5835" spans="1:51">
      <c r="A5835">
        <v>103852</v>
      </c>
      <c r="B5835" t="s">
        <v>1163</v>
      </c>
      <c r="C5835" t="str">
        <f t="shared" si="495"/>
        <v>02790240101</v>
      </c>
      <c r="D5835" t="str">
        <f t="shared" si="495"/>
        <v>02790240101</v>
      </c>
      <c r="E5835" t="s">
        <v>52</v>
      </c>
      <c r="F5835">
        <v>2014</v>
      </c>
      <c r="G5835">
        <v>17167</v>
      </c>
      <c r="H5835" s="1">
        <v>41943</v>
      </c>
      <c r="I5835" s="1">
        <v>41950</v>
      </c>
      <c r="J5835" s="1">
        <v>41950</v>
      </c>
      <c r="K5835" s="1">
        <v>42010</v>
      </c>
      <c r="L5835" s="7">
        <v>45.14</v>
      </c>
      <c r="M5835" s="5">
        <v>268</v>
      </c>
      <c r="N5835" s="7">
        <v>12097.52</v>
      </c>
      <c r="O5835">
        <v>45.14</v>
      </c>
      <c r="P5835">
        <v>268</v>
      </c>
      <c r="Q5835" s="2">
        <v>12097.52</v>
      </c>
      <c r="R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 s="1">
        <v>42382</v>
      </c>
      <c r="AC5835" t="s">
        <v>53</v>
      </c>
      <c r="AD5835" t="s">
        <v>53</v>
      </c>
      <c r="AK5835">
        <v>0</v>
      </c>
      <c r="AU5835" s="6">
        <v>42278</v>
      </c>
      <c r="AV5835" s="6">
        <v>42278</v>
      </c>
      <c r="AW5835" t="s">
        <v>54</v>
      </c>
      <c r="AX5835" t="str">
        <f t="shared" si="496"/>
        <v>FOR</v>
      </c>
      <c r="AY5835" t="s">
        <v>55</v>
      </c>
    </row>
    <row r="5836" spans="1:51">
      <c r="A5836">
        <v>103852</v>
      </c>
      <c r="B5836" t="s">
        <v>1163</v>
      </c>
      <c r="C5836" t="str">
        <f t="shared" si="495"/>
        <v>02790240101</v>
      </c>
      <c r="D5836" t="str">
        <f t="shared" si="495"/>
        <v>02790240101</v>
      </c>
      <c r="E5836" t="s">
        <v>52</v>
      </c>
      <c r="F5836">
        <v>2014</v>
      </c>
      <c r="G5836">
        <v>17168</v>
      </c>
      <c r="H5836" s="1">
        <v>41943</v>
      </c>
      <c r="I5836" s="1">
        <v>41950</v>
      </c>
      <c r="J5836" s="1">
        <v>41950</v>
      </c>
      <c r="K5836" s="1">
        <v>42010</v>
      </c>
      <c r="L5836" s="7">
        <v>742.98</v>
      </c>
      <c r="M5836" s="5">
        <v>268</v>
      </c>
      <c r="N5836" s="7">
        <v>199118.64</v>
      </c>
      <c r="O5836">
        <v>742.98</v>
      </c>
      <c r="P5836">
        <v>268</v>
      </c>
      <c r="Q5836" s="2">
        <v>199118.64</v>
      </c>
      <c r="R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 s="1">
        <v>42382</v>
      </c>
      <c r="AC5836" t="s">
        <v>53</v>
      </c>
      <c r="AD5836" t="s">
        <v>53</v>
      </c>
      <c r="AK5836">
        <v>0</v>
      </c>
      <c r="AU5836" s="6">
        <v>42278</v>
      </c>
      <c r="AV5836" s="6">
        <v>42278</v>
      </c>
      <c r="AW5836" t="s">
        <v>54</v>
      </c>
      <c r="AX5836" t="str">
        <f t="shared" si="496"/>
        <v>FOR</v>
      </c>
      <c r="AY5836" t="s">
        <v>55</v>
      </c>
    </row>
    <row r="5837" spans="1:51">
      <c r="A5837">
        <v>103852</v>
      </c>
      <c r="B5837" t="s">
        <v>1163</v>
      </c>
      <c r="C5837" t="str">
        <f t="shared" si="495"/>
        <v>02790240101</v>
      </c>
      <c r="D5837" t="str">
        <f t="shared" si="495"/>
        <v>02790240101</v>
      </c>
      <c r="E5837" t="s">
        <v>52</v>
      </c>
      <c r="F5837">
        <v>2014</v>
      </c>
      <c r="G5837">
        <v>17169</v>
      </c>
      <c r="H5837" s="1">
        <v>41943</v>
      </c>
      <c r="I5837" s="1">
        <v>41950</v>
      </c>
      <c r="J5837" s="1">
        <v>41950</v>
      </c>
      <c r="K5837" s="1">
        <v>42010</v>
      </c>
      <c r="L5837" s="7">
        <v>3961.58</v>
      </c>
      <c r="M5837" s="5">
        <v>268</v>
      </c>
      <c r="N5837" s="7">
        <v>1061703.44</v>
      </c>
      <c r="O5837" s="2">
        <v>3961.58</v>
      </c>
      <c r="P5837">
        <v>268</v>
      </c>
      <c r="Q5837" s="2">
        <v>1061703.44</v>
      </c>
      <c r="R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 s="1">
        <v>42382</v>
      </c>
      <c r="AC5837" t="s">
        <v>53</v>
      </c>
      <c r="AD5837" t="s">
        <v>53</v>
      </c>
      <c r="AK5837">
        <v>0</v>
      </c>
      <c r="AU5837" s="6">
        <v>42278</v>
      </c>
      <c r="AV5837" s="6">
        <v>42278</v>
      </c>
      <c r="AW5837" t="s">
        <v>54</v>
      </c>
      <c r="AX5837" t="str">
        <f t="shared" si="496"/>
        <v>FOR</v>
      </c>
      <c r="AY5837" t="s">
        <v>55</v>
      </c>
    </row>
    <row r="5838" spans="1:51">
      <c r="A5838">
        <v>103852</v>
      </c>
      <c r="B5838" t="s">
        <v>1163</v>
      </c>
      <c r="C5838" t="str">
        <f t="shared" si="495"/>
        <v>02790240101</v>
      </c>
      <c r="D5838" t="str">
        <f t="shared" si="495"/>
        <v>02790240101</v>
      </c>
      <c r="E5838" t="s">
        <v>52</v>
      </c>
      <c r="F5838">
        <v>2014</v>
      </c>
      <c r="G5838">
        <v>17170</v>
      </c>
      <c r="H5838" s="1">
        <v>41943</v>
      </c>
      <c r="I5838" s="1">
        <v>41950</v>
      </c>
      <c r="J5838" s="1">
        <v>41950</v>
      </c>
      <c r="K5838" s="1">
        <v>42010</v>
      </c>
      <c r="L5838" s="7">
        <v>426.51</v>
      </c>
      <c r="M5838" s="5">
        <v>268</v>
      </c>
      <c r="N5838" s="7">
        <v>114304.68</v>
      </c>
      <c r="O5838">
        <v>426.51</v>
      </c>
      <c r="P5838">
        <v>268</v>
      </c>
      <c r="Q5838" s="2">
        <v>114304.68</v>
      </c>
      <c r="R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 s="1">
        <v>42382</v>
      </c>
      <c r="AC5838" t="s">
        <v>53</v>
      </c>
      <c r="AD5838" t="s">
        <v>53</v>
      </c>
      <c r="AK5838">
        <v>0</v>
      </c>
      <c r="AU5838" s="6">
        <v>42278</v>
      </c>
      <c r="AV5838" s="6">
        <v>42278</v>
      </c>
      <c r="AW5838" t="s">
        <v>54</v>
      </c>
      <c r="AX5838" t="str">
        <f t="shared" si="496"/>
        <v>FOR</v>
      </c>
      <c r="AY5838" t="s">
        <v>55</v>
      </c>
    </row>
    <row r="5839" spans="1:51">
      <c r="A5839">
        <v>103852</v>
      </c>
      <c r="B5839" t="s">
        <v>1163</v>
      </c>
      <c r="C5839" t="str">
        <f t="shared" si="495"/>
        <v>02790240101</v>
      </c>
      <c r="D5839" t="str">
        <f t="shared" si="495"/>
        <v>02790240101</v>
      </c>
      <c r="E5839" t="s">
        <v>52</v>
      </c>
      <c r="F5839">
        <v>2014</v>
      </c>
      <c r="G5839">
        <v>18155</v>
      </c>
      <c r="H5839" s="1">
        <v>41957</v>
      </c>
      <c r="I5839" s="1">
        <v>41967</v>
      </c>
      <c r="J5839" s="1">
        <v>41967</v>
      </c>
      <c r="K5839" s="1">
        <v>42027</v>
      </c>
      <c r="L5839" s="7">
        <v>559.98</v>
      </c>
      <c r="M5839" s="5">
        <v>277</v>
      </c>
      <c r="N5839" s="7">
        <v>155114.46</v>
      </c>
      <c r="O5839">
        <v>559.98</v>
      </c>
      <c r="P5839">
        <v>277</v>
      </c>
      <c r="Q5839" s="2">
        <v>155114.46</v>
      </c>
      <c r="R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 s="1">
        <v>42382</v>
      </c>
      <c r="AC5839" t="s">
        <v>53</v>
      </c>
      <c r="AD5839" t="s">
        <v>53</v>
      </c>
      <c r="AK5839">
        <v>0</v>
      </c>
      <c r="AU5839" s="6">
        <v>42304</v>
      </c>
      <c r="AV5839" s="6">
        <v>42304</v>
      </c>
      <c r="AW5839" t="s">
        <v>54</v>
      </c>
      <c r="AX5839" t="str">
        <f t="shared" si="496"/>
        <v>FOR</v>
      </c>
      <c r="AY5839" t="s">
        <v>55</v>
      </c>
    </row>
    <row r="5840" spans="1:51">
      <c r="A5840">
        <v>103852</v>
      </c>
      <c r="B5840" t="s">
        <v>1163</v>
      </c>
      <c r="C5840" t="str">
        <f t="shared" si="495"/>
        <v>02790240101</v>
      </c>
      <c r="D5840" t="str">
        <f t="shared" si="495"/>
        <v>02790240101</v>
      </c>
      <c r="E5840" t="s">
        <v>52</v>
      </c>
      <c r="F5840">
        <v>2014</v>
      </c>
      <c r="G5840">
        <v>19049</v>
      </c>
      <c r="H5840" s="1">
        <v>41971</v>
      </c>
      <c r="I5840" s="1">
        <v>41984</v>
      </c>
      <c r="J5840" s="1">
        <v>41984</v>
      </c>
      <c r="K5840" s="1">
        <v>42044</v>
      </c>
      <c r="L5840" s="7">
        <v>6720.27</v>
      </c>
      <c r="M5840" s="5">
        <v>260</v>
      </c>
      <c r="N5840" s="7">
        <v>1747270.2</v>
      </c>
      <c r="O5840" s="2">
        <v>6720.27</v>
      </c>
      <c r="P5840">
        <v>260</v>
      </c>
      <c r="Q5840" s="2">
        <v>1747270.2</v>
      </c>
      <c r="R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 s="1">
        <v>42382</v>
      </c>
      <c r="AC5840" t="s">
        <v>53</v>
      </c>
      <c r="AD5840" t="s">
        <v>53</v>
      </c>
      <c r="AK5840">
        <v>0</v>
      </c>
      <c r="AU5840" s="6">
        <v>42304</v>
      </c>
      <c r="AV5840" s="6">
        <v>42304</v>
      </c>
      <c r="AW5840" t="s">
        <v>54</v>
      </c>
      <c r="AX5840" t="str">
        <f t="shared" si="496"/>
        <v>FOR</v>
      </c>
      <c r="AY5840" t="s">
        <v>55</v>
      </c>
    </row>
    <row r="5841" spans="1:51">
      <c r="A5841">
        <v>103852</v>
      </c>
      <c r="B5841" t="s">
        <v>1163</v>
      </c>
      <c r="C5841" t="str">
        <f t="shared" si="495"/>
        <v>02790240101</v>
      </c>
      <c r="D5841" t="str">
        <f t="shared" si="495"/>
        <v>02790240101</v>
      </c>
      <c r="E5841" t="s">
        <v>52</v>
      </c>
      <c r="F5841">
        <v>2014</v>
      </c>
      <c r="G5841">
        <v>19050</v>
      </c>
      <c r="H5841" s="1">
        <v>41971</v>
      </c>
      <c r="I5841" s="1">
        <v>41984</v>
      </c>
      <c r="J5841" s="1">
        <v>41984</v>
      </c>
      <c r="K5841" s="1">
        <v>42044</v>
      </c>
      <c r="L5841" s="7">
        <v>1426.79</v>
      </c>
      <c r="M5841" s="5">
        <v>260</v>
      </c>
      <c r="N5841" s="7">
        <v>370965.4</v>
      </c>
      <c r="O5841" s="2">
        <v>1426.79</v>
      </c>
      <c r="P5841">
        <v>260</v>
      </c>
      <c r="Q5841" s="2">
        <v>370965.4</v>
      </c>
      <c r="R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 s="1">
        <v>42382</v>
      </c>
      <c r="AC5841" t="s">
        <v>53</v>
      </c>
      <c r="AD5841" t="s">
        <v>53</v>
      </c>
      <c r="AK5841">
        <v>0</v>
      </c>
      <c r="AU5841" s="6">
        <v>42304</v>
      </c>
      <c r="AV5841" s="6">
        <v>42304</v>
      </c>
      <c r="AW5841" t="s">
        <v>54</v>
      </c>
      <c r="AX5841" t="str">
        <f t="shared" si="496"/>
        <v>FOR</v>
      </c>
      <c r="AY5841" t="s">
        <v>55</v>
      </c>
    </row>
    <row r="5842" spans="1:51">
      <c r="A5842">
        <v>103852</v>
      </c>
      <c r="B5842" t="s">
        <v>1163</v>
      </c>
      <c r="C5842" t="str">
        <f t="shared" ref="C5842:D5850" si="497">"02790240101"</f>
        <v>02790240101</v>
      </c>
      <c r="D5842" t="str">
        <f t="shared" si="497"/>
        <v>02790240101</v>
      </c>
      <c r="E5842" t="s">
        <v>52</v>
      </c>
      <c r="F5842">
        <v>2014</v>
      </c>
      <c r="G5842">
        <v>19051</v>
      </c>
      <c r="H5842" s="1">
        <v>41971</v>
      </c>
      <c r="I5842" s="1">
        <v>41984</v>
      </c>
      <c r="J5842" s="1">
        <v>41984</v>
      </c>
      <c r="K5842" s="1">
        <v>42044</v>
      </c>
      <c r="L5842" s="7">
        <v>952.09</v>
      </c>
      <c r="M5842" s="5">
        <v>260</v>
      </c>
      <c r="N5842" s="7">
        <v>247543.4</v>
      </c>
      <c r="O5842">
        <v>952.09</v>
      </c>
      <c r="P5842">
        <v>260</v>
      </c>
      <c r="Q5842" s="2">
        <v>247543.4</v>
      </c>
      <c r="R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 s="1">
        <v>42382</v>
      </c>
      <c r="AC5842" t="s">
        <v>53</v>
      </c>
      <c r="AD5842" t="s">
        <v>53</v>
      </c>
      <c r="AK5842">
        <v>0</v>
      </c>
      <c r="AU5842" s="6">
        <v>42304</v>
      </c>
      <c r="AV5842" s="6">
        <v>42304</v>
      </c>
      <c r="AW5842" t="s">
        <v>54</v>
      </c>
      <c r="AX5842" t="str">
        <f t="shared" si="496"/>
        <v>FOR</v>
      </c>
      <c r="AY5842" t="s">
        <v>55</v>
      </c>
    </row>
    <row r="5843" spans="1:51">
      <c r="A5843">
        <v>103852</v>
      </c>
      <c r="B5843" t="s">
        <v>1163</v>
      </c>
      <c r="C5843" t="str">
        <f t="shared" si="497"/>
        <v>02790240101</v>
      </c>
      <c r="D5843" t="str">
        <f t="shared" si="497"/>
        <v>02790240101</v>
      </c>
      <c r="E5843" t="s">
        <v>52</v>
      </c>
      <c r="F5843">
        <v>2014</v>
      </c>
      <c r="G5843">
        <v>19052</v>
      </c>
      <c r="H5843" s="1">
        <v>41971</v>
      </c>
      <c r="I5843" s="1">
        <v>41984</v>
      </c>
      <c r="J5843" s="1">
        <v>41984</v>
      </c>
      <c r="K5843" s="1">
        <v>42044</v>
      </c>
      <c r="L5843" s="7">
        <v>1724.59</v>
      </c>
      <c r="M5843" s="5">
        <v>260</v>
      </c>
      <c r="N5843" s="7">
        <v>448393.4</v>
      </c>
      <c r="O5843" s="2">
        <v>1724.59</v>
      </c>
      <c r="P5843">
        <v>260</v>
      </c>
      <c r="Q5843" s="2">
        <v>448393.4</v>
      </c>
      <c r="R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 s="1">
        <v>42382</v>
      </c>
      <c r="AC5843" t="s">
        <v>53</v>
      </c>
      <c r="AD5843" t="s">
        <v>53</v>
      </c>
      <c r="AK5843">
        <v>0</v>
      </c>
      <c r="AU5843" s="6">
        <v>42304</v>
      </c>
      <c r="AV5843" s="6">
        <v>42304</v>
      </c>
      <c r="AW5843" t="s">
        <v>54</v>
      </c>
      <c r="AX5843" t="str">
        <f t="shared" si="496"/>
        <v>FOR</v>
      </c>
      <c r="AY5843" t="s">
        <v>55</v>
      </c>
    </row>
    <row r="5844" spans="1:51">
      <c r="A5844">
        <v>103852</v>
      </c>
      <c r="B5844" t="s">
        <v>1163</v>
      </c>
      <c r="C5844" t="str">
        <f t="shared" si="497"/>
        <v>02790240101</v>
      </c>
      <c r="D5844" t="str">
        <f t="shared" si="497"/>
        <v>02790240101</v>
      </c>
      <c r="E5844" t="s">
        <v>52</v>
      </c>
      <c r="F5844">
        <v>2014</v>
      </c>
      <c r="G5844">
        <v>19053</v>
      </c>
      <c r="H5844" s="1">
        <v>41971</v>
      </c>
      <c r="I5844" s="1">
        <v>41984</v>
      </c>
      <c r="J5844" s="1">
        <v>41984</v>
      </c>
      <c r="K5844" s="1">
        <v>42044</v>
      </c>
      <c r="L5844" s="7">
        <v>347.7</v>
      </c>
      <c r="M5844" s="5">
        <v>260</v>
      </c>
      <c r="N5844" s="7">
        <v>90402</v>
      </c>
      <c r="O5844">
        <v>347.7</v>
      </c>
      <c r="P5844">
        <v>260</v>
      </c>
      <c r="Q5844" s="2">
        <v>90402</v>
      </c>
      <c r="R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 s="1">
        <v>42382</v>
      </c>
      <c r="AC5844" t="s">
        <v>53</v>
      </c>
      <c r="AD5844" t="s">
        <v>53</v>
      </c>
      <c r="AK5844">
        <v>0</v>
      </c>
      <c r="AU5844" s="6">
        <v>42304</v>
      </c>
      <c r="AV5844" s="6">
        <v>42304</v>
      </c>
      <c r="AW5844" t="s">
        <v>54</v>
      </c>
      <c r="AX5844" t="str">
        <f t="shared" si="496"/>
        <v>FOR</v>
      </c>
      <c r="AY5844" t="s">
        <v>55</v>
      </c>
    </row>
    <row r="5845" spans="1:51">
      <c r="A5845">
        <v>103852</v>
      </c>
      <c r="B5845" t="s">
        <v>1163</v>
      </c>
      <c r="C5845" t="str">
        <f t="shared" si="497"/>
        <v>02790240101</v>
      </c>
      <c r="D5845" t="str">
        <f t="shared" si="497"/>
        <v>02790240101</v>
      </c>
      <c r="E5845" t="s">
        <v>52</v>
      </c>
      <c r="F5845">
        <v>2014</v>
      </c>
      <c r="G5845">
        <v>19054</v>
      </c>
      <c r="H5845" s="1">
        <v>41971</v>
      </c>
      <c r="I5845" s="1">
        <v>41984</v>
      </c>
      <c r="J5845" s="1">
        <v>41984</v>
      </c>
      <c r="K5845" s="1">
        <v>42044</v>
      </c>
      <c r="L5845" s="7">
        <v>3919.86</v>
      </c>
      <c r="M5845" s="5">
        <v>260</v>
      </c>
      <c r="N5845" s="7">
        <v>1019163.6</v>
      </c>
      <c r="O5845" s="2">
        <v>3919.86</v>
      </c>
      <c r="P5845">
        <v>260</v>
      </c>
      <c r="Q5845" s="2">
        <v>1019163.6</v>
      </c>
      <c r="R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 s="1">
        <v>42382</v>
      </c>
      <c r="AC5845" t="s">
        <v>53</v>
      </c>
      <c r="AD5845" t="s">
        <v>53</v>
      </c>
      <c r="AK5845">
        <v>0</v>
      </c>
      <c r="AU5845" s="6">
        <v>42304</v>
      </c>
      <c r="AV5845" s="6">
        <v>42304</v>
      </c>
      <c r="AW5845" t="s">
        <v>54</v>
      </c>
      <c r="AX5845" t="str">
        <f t="shared" si="496"/>
        <v>FOR</v>
      </c>
      <c r="AY5845" t="s">
        <v>55</v>
      </c>
    </row>
    <row r="5846" spans="1:51">
      <c r="A5846">
        <v>103852</v>
      </c>
      <c r="B5846" t="s">
        <v>1163</v>
      </c>
      <c r="C5846" t="str">
        <f t="shared" si="497"/>
        <v>02790240101</v>
      </c>
      <c r="D5846" t="str">
        <f t="shared" si="497"/>
        <v>02790240101</v>
      </c>
      <c r="E5846" t="s">
        <v>52</v>
      </c>
      <c r="F5846">
        <v>2014</v>
      </c>
      <c r="G5846">
        <v>20683</v>
      </c>
      <c r="H5846" s="1">
        <v>42003</v>
      </c>
      <c r="I5846" s="1">
        <v>42004</v>
      </c>
      <c r="J5846" s="1">
        <v>42004</v>
      </c>
      <c r="K5846" s="1">
        <v>42064</v>
      </c>
      <c r="L5846" s="7">
        <v>7839.72</v>
      </c>
      <c r="M5846" s="5">
        <v>276</v>
      </c>
      <c r="N5846" s="7">
        <v>2163762.7200000002</v>
      </c>
      <c r="O5846" s="2">
        <v>7839.72</v>
      </c>
      <c r="P5846">
        <v>276</v>
      </c>
      <c r="Q5846" s="2">
        <v>2163762.7200000002</v>
      </c>
      <c r="R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 s="1">
        <v>42382</v>
      </c>
      <c r="AC5846" t="s">
        <v>53</v>
      </c>
      <c r="AD5846" t="s">
        <v>53</v>
      </c>
      <c r="AK5846">
        <v>0</v>
      </c>
      <c r="AU5846" s="6">
        <v>42340</v>
      </c>
      <c r="AV5846" s="6">
        <v>42340</v>
      </c>
      <c r="AW5846" t="s">
        <v>54</v>
      </c>
      <c r="AX5846" t="str">
        <f t="shared" si="496"/>
        <v>FOR</v>
      </c>
      <c r="AY5846" t="s">
        <v>55</v>
      </c>
    </row>
    <row r="5847" spans="1:51">
      <c r="A5847">
        <v>103852</v>
      </c>
      <c r="B5847" t="s">
        <v>1163</v>
      </c>
      <c r="C5847" t="str">
        <f t="shared" si="497"/>
        <v>02790240101</v>
      </c>
      <c r="D5847" t="str">
        <f t="shared" si="497"/>
        <v>02790240101</v>
      </c>
      <c r="E5847" t="s">
        <v>52</v>
      </c>
      <c r="F5847">
        <v>2015</v>
      </c>
      <c r="G5847">
        <v>1163</v>
      </c>
      <c r="H5847" s="1">
        <v>42034</v>
      </c>
      <c r="I5847" s="1">
        <v>42040</v>
      </c>
      <c r="J5847" s="1">
        <v>42040</v>
      </c>
      <c r="K5847" s="1">
        <v>42100</v>
      </c>
      <c r="L5847" s="7">
        <v>1608.4</v>
      </c>
      <c r="M5847" s="5">
        <v>255</v>
      </c>
      <c r="N5847" s="7">
        <v>410142</v>
      </c>
      <c r="O5847" s="2">
        <v>1608.4</v>
      </c>
      <c r="P5847">
        <v>255</v>
      </c>
      <c r="Q5847" s="2">
        <v>410142</v>
      </c>
      <c r="R5847">
        <v>353.85</v>
      </c>
      <c r="V5847">
        <v>0</v>
      </c>
      <c r="W5847">
        <v>0</v>
      </c>
      <c r="X5847">
        <v>0</v>
      </c>
      <c r="Y5847" s="2">
        <v>1962.25</v>
      </c>
      <c r="Z5847" s="2">
        <v>1962.25</v>
      </c>
      <c r="AA5847" s="2">
        <v>1962.25</v>
      </c>
      <c r="AB5847" s="1">
        <v>42382</v>
      </c>
      <c r="AC5847" t="s">
        <v>53</v>
      </c>
      <c r="AD5847" t="s">
        <v>53</v>
      </c>
      <c r="AK5847">
        <v>353.85</v>
      </c>
      <c r="AU5847" s="6">
        <v>42355</v>
      </c>
      <c r="AV5847" s="6">
        <v>42355</v>
      </c>
      <c r="AW5847" t="s">
        <v>54</v>
      </c>
      <c r="AX5847" t="str">
        <f t="shared" si="496"/>
        <v>FOR</v>
      </c>
      <c r="AY5847" t="s">
        <v>55</v>
      </c>
    </row>
    <row r="5848" spans="1:51">
      <c r="A5848">
        <v>103852</v>
      </c>
      <c r="B5848" t="s">
        <v>1163</v>
      </c>
      <c r="C5848" t="str">
        <f t="shared" si="497"/>
        <v>02790240101</v>
      </c>
      <c r="D5848" t="str">
        <f t="shared" si="497"/>
        <v>02790240101</v>
      </c>
      <c r="E5848" t="s">
        <v>52</v>
      </c>
      <c r="F5848">
        <v>2015</v>
      </c>
      <c r="G5848">
        <v>1164</v>
      </c>
      <c r="H5848" s="1">
        <v>42034</v>
      </c>
      <c r="I5848" s="1">
        <v>42040</v>
      </c>
      <c r="J5848" s="1">
        <v>42040</v>
      </c>
      <c r="K5848" s="1">
        <v>42100</v>
      </c>
      <c r="L5848" s="7">
        <v>525</v>
      </c>
      <c r="M5848" s="5">
        <v>255</v>
      </c>
      <c r="N5848" s="7">
        <v>133875</v>
      </c>
      <c r="O5848">
        <v>525</v>
      </c>
      <c r="P5848">
        <v>255</v>
      </c>
      <c r="Q5848" s="2">
        <v>133875</v>
      </c>
      <c r="R5848">
        <v>115.5</v>
      </c>
      <c r="V5848">
        <v>0</v>
      </c>
      <c r="W5848">
        <v>0</v>
      </c>
      <c r="X5848">
        <v>0</v>
      </c>
      <c r="Y5848">
        <v>640.5</v>
      </c>
      <c r="Z5848">
        <v>640.5</v>
      </c>
      <c r="AA5848">
        <v>640.5</v>
      </c>
      <c r="AB5848" s="1">
        <v>42382</v>
      </c>
      <c r="AC5848" t="s">
        <v>53</v>
      </c>
      <c r="AD5848" t="s">
        <v>53</v>
      </c>
      <c r="AK5848">
        <v>115.5</v>
      </c>
      <c r="AU5848" s="6">
        <v>42355</v>
      </c>
      <c r="AV5848" s="6">
        <v>42355</v>
      </c>
      <c r="AW5848" t="s">
        <v>54</v>
      </c>
      <c r="AX5848" t="str">
        <f t="shared" si="496"/>
        <v>FOR</v>
      </c>
      <c r="AY5848" t="s">
        <v>55</v>
      </c>
    </row>
    <row r="5849" spans="1:51">
      <c r="A5849">
        <v>103852</v>
      </c>
      <c r="B5849" t="s">
        <v>1163</v>
      </c>
      <c r="C5849" t="str">
        <f t="shared" si="497"/>
        <v>02790240101</v>
      </c>
      <c r="D5849" t="str">
        <f t="shared" si="497"/>
        <v>02790240101</v>
      </c>
      <c r="E5849" t="s">
        <v>52</v>
      </c>
      <c r="F5849">
        <v>2015</v>
      </c>
      <c r="G5849">
        <v>1165</v>
      </c>
      <c r="H5849" s="1">
        <v>42034</v>
      </c>
      <c r="I5849" s="1">
        <v>42040</v>
      </c>
      <c r="J5849" s="1">
        <v>42040</v>
      </c>
      <c r="K5849" s="1">
        <v>42100</v>
      </c>
      <c r="L5849" s="7">
        <v>406.6</v>
      </c>
      <c r="M5849" s="5">
        <v>255</v>
      </c>
      <c r="N5849" s="7">
        <v>103683</v>
      </c>
      <c r="O5849">
        <v>406.6</v>
      </c>
      <c r="P5849">
        <v>255</v>
      </c>
      <c r="Q5849" s="2">
        <v>103683</v>
      </c>
      <c r="R5849">
        <v>89.45</v>
      </c>
      <c r="V5849">
        <v>0</v>
      </c>
      <c r="W5849">
        <v>0</v>
      </c>
      <c r="X5849">
        <v>0</v>
      </c>
      <c r="Y5849">
        <v>496.05</v>
      </c>
      <c r="Z5849">
        <v>496.05</v>
      </c>
      <c r="AA5849">
        <v>496.05</v>
      </c>
      <c r="AB5849" s="1">
        <v>42382</v>
      </c>
      <c r="AC5849" t="s">
        <v>53</v>
      </c>
      <c r="AD5849" t="s">
        <v>53</v>
      </c>
      <c r="AK5849">
        <v>89.45</v>
      </c>
      <c r="AU5849" s="6">
        <v>42355</v>
      </c>
      <c r="AV5849" s="6">
        <v>42355</v>
      </c>
      <c r="AW5849" t="s">
        <v>54</v>
      </c>
      <c r="AX5849" t="str">
        <f t="shared" si="496"/>
        <v>FOR</v>
      </c>
      <c r="AY5849" t="s">
        <v>55</v>
      </c>
    </row>
    <row r="5850" spans="1:51">
      <c r="A5850">
        <v>103852</v>
      </c>
      <c r="B5850" t="s">
        <v>1163</v>
      </c>
      <c r="C5850" t="str">
        <f t="shared" si="497"/>
        <v>02790240101</v>
      </c>
      <c r="D5850" t="str">
        <f t="shared" si="497"/>
        <v>02790240101</v>
      </c>
      <c r="E5850" t="s">
        <v>52</v>
      </c>
      <c r="F5850">
        <v>2015</v>
      </c>
      <c r="G5850">
        <v>1166</v>
      </c>
      <c r="H5850" s="1">
        <v>42034</v>
      </c>
      <c r="I5850" s="1">
        <v>42040</v>
      </c>
      <c r="J5850" s="1">
        <v>42040</v>
      </c>
      <c r="K5850" s="1">
        <v>42100</v>
      </c>
      <c r="L5850" s="7">
        <v>1319.4</v>
      </c>
      <c r="M5850" s="5">
        <v>255</v>
      </c>
      <c r="N5850" s="7">
        <v>336447</v>
      </c>
      <c r="O5850" s="2">
        <v>1319.4</v>
      </c>
      <c r="P5850">
        <v>255</v>
      </c>
      <c r="Q5850" s="2">
        <v>336447</v>
      </c>
      <c r="R5850">
        <v>290.27</v>
      </c>
      <c r="V5850">
        <v>0</v>
      </c>
      <c r="W5850">
        <v>0</v>
      </c>
      <c r="X5850">
        <v>0</v>
      </c>
      <c r="Y5850" s="2">
        <v>1609.67</v>
      </c>
      <c r="Z5850" s="2">
        <v>1609.67</v>
      </c>
      <c r="AA5850" s="2">
        <v>1609.67</v>
      </c>
      <c r="AB5850" s="1">
        <v>42382</v>
      </c>
      <c r="AC5850" t="s">
        <v>53</v>
      </c>
      <c r="AD5850" t="s">
        <v>53</v>
      </c>
      <c r="AK5850">
        <v>290.27</v>
      </c>
      <c r="AU5850" s="6">
        <v>42355</v>
      </c>
      <c r="AV5850" s="6">
        <v>42355</v>
      </c>
      <c r="AW5850" t="s">
        <v>54</v>
      </c>
      <c r="AX5850" t="str">
        <f t="shared" si="496"/>
        <v>FOR</v>
      </c>
      <c r="AY5850" t="s">
        <v>55</v>
      </c>
    </row>
    <row r="5851" spans="1:51" hidden="1">
      <c r="A5851">
        <v>103853</v>
      </c>
      <c r="B5851" t="s">
        <v>1164</v>
      </c>
      <c r="C5851" t="str">
        <f>"08086280156"</f>
        <v>08086280156</v>
      </c>
      <c r="D5851" t="str">
        <f>""</f>
        <v/>
      </c>
      <c r="E5851" t="s">
        <v>52</v>
      </c>
      <c r="F5851">
        <v>2014</v>
      </c>
      <c r="G5851">
        <v>62</v>
      </c>
      <c r="H5851" s="1">
        <v>41655</v>
      </c>
      <c r="I5851" s="1">
        <v>41666</v>
      </c>
      <c r="J5851" s="1">
        <v>41666</v>
      </c>
      <c r="K5851" s="1">
        <v>41756</v>
      </c>
      <c r="N5851" s="5"/>
      <c r="O5851" s="2">
        <v>5904.8</v>
      </c>
      <c r="P5851">
        <v>402</v>
      </c>
      <c r="Q5851" s="2">
        <v>2373729.6</v>
      </c>
      <c r="R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 s="1">
        <v>42382</v>
      </c>
      <c r="AC5851" t="s">
        <v>53</v>
      </c>
      <c r="AD5851" t="s">
        <v>53</v>
      </c>
      <c r="AK5851">
        <v>0</v>
      </c>
      <c r="AU5851" s="6">
        <v>42158</v>
      </c>
      <c r="AV5851" s="6">
        <v>42158</v>
      </c>
      <c r="AW5851" t="s">
        <v>54</v>
      </c>
      <c r="AX5851" t="str">
        <f t="shared" si="496"/>
        <v>FOR</v>
      </c>
      <c r="AY5851" t="s">
        <v>55</v>
      </c>
    </row>
    <row r="5852" spans="1:51" hidden="1">
      <c r="A5852">
        <v>103853</v>
      </c>
      <c r="B5852" t="s">
        <v>1164</v>
      </c>
      <c r="C5852" t="str">
        <f>"08086280156"</f>
        <v>08086280156</v>
      </c>
      <c r="D5852" t="str">
        <f>""</f>
        <v/>
      </c>
      <c r="E5852" t="s">
        <v>52</v>
      </c>
      <c r="F5852">
        <v>2014</v>
      </c>
      <c r="G5852">
        <v>224</v>
      </c>
      <c r="H5852" s="1">
        <v>41683</v>
      </c>
      <c r="I5852" s="1">
        <v>41691</v>
      </c>
      <c r="J5852" s="1">
        <v>41691</v>
      </c>
      <c r="K5852" s="1">
        <v>41781</v>
      </c>
      <c r="N5852" s="5"/>
      <c r="O5852" s="2">
        <v>1061.4000000000001</v>
      </c>
      <c r="P5852">
        <v>377</v>
      </c>
      <c r="Q5852" s="2">
        <v>400147.8</v>
      </c>
      <c r="R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 s="1">
        <v>42382</v>
      </c>
      <c r="AC5852" t="s">
        <v>53</v>
      </c>
      <c r="AD5852" t="s">
        <v>53</v>
      </c>
      <c r="AK5852">
        <v>0</v>
      </c>
      <c r="AU5852" s="6">
        <v>42158</v>
      </c>
      <c r="AV5852" s="6">
        <v>42158</v>
      </c>
      <c r="AW5852" t="s">
        <v>54</v>
      </c>
      <c r="AX5852" t="str">
        <f t="shared" si="496"/>
        <v>FOR</v>
      </c>
      <c r="AY5852" t="s">
        <v>55</v>
      </c>
    </row>
    <row r="5853" spans="1:51" hidden="1">
      <c r="A5853">
        <v>103853</v>
      </c>
      <c r="B5853" t="s">
        <v>1164</v>
      </c>
      <c r="C5853" t="str">
        <f>"08086280156"</f>
        <v>08086280156</v>
      </c>
      <c r="D5853" t="str">
        <f>""</f>
        <v/>
      </c>
      <c r="E5853" t="s">
        <v>52</v>
      </c>
      <c r="F5853">
        <v>2014</v>
      </c>
      <c r="G5853">
        <v>266</v>
      </c>
      <c r="H5853" s="1">
        <v>41690</v>
      </c>
      <c r="I5853" s="1">
        <v>41697</v>
      </c>
      <c r="J5853" s="1">
        <v>41697</v>
      </c>
      <c r="K5853" s="1">
        <v>41787</v>
      </c>
      <c r="N5853" s="5"/>
      <c r="O5853" s="2">
        <v>3559.96</v>
      </c>
      <c r="P5853">
        <v>371</v>
      </c>
      <c r="Q5853" s="2">
        <v>1320745.1599999999</v>
      </c>
      <c r="R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 s="1">
        <v>42382</v>
      </c>
      <c r="AC5853" t="s">
        <v>53</v>
      </c>
      <c r="AD5853" t="s">
        <v>53</v>
      </c>
      <c r="AK5853">
        <v>0</v>
      </c>
      <c r="AU5853" s="6">
        <v>42158</v>
      </c>
      <c r="AV5853" s="6">
        <v>42158</v>
      </c>
      <c r="AW5853" t="s">
        <v>54</v>
      </c>
      <c r="AX5853" t="str">
        <f t="shared" si="496"/>
        <v>FOR</v>
      </c>
      <c r="AY5853" t="s">
        <v>55</v>
      </c>
    </row>
    <row r="5854" spans="1:51" hidden="1">
      <c r="A5854">
        <v>103855</v>
      </c>
      <c r="B5854" t="s">
        <v>1165</v>
      </c>
      <c r="C5854" t="str">
        <f t="shared" ref="C5854:D5856" si="498">"01740391204"</f>
        <v>01740391204</v>
      </c>
      <c r="D5854" t="str">
        <f t="shared" si="498"/>
        <v>01740391204</v>
      </c>
      <c r="E5854" t="s">
        <v>52</v>
      </c>
      <c r="F5854">
        <v>2013</v>
      </c>
      <c r="G5854">
        <v>1704</v>
      </c>
      <c r="H5854" s="1">
        <v>41589</v>
      </c>
      <c r="I5854" s="1">
        <v>41598</v>
      </c>
      <c r="J5854" s="1">
        <v>41598</v>
      </c>
      <c r="K5854" s="1">
        <v>41688</v>
      </c>
      <c r="N5854" s="5"/>
      <c r="O5854" s="2">
        <v>2613.81</v>
      </c>
      <c r="P5854">
        <v>330</v>
      </c>
      <c r="Q5854" s="2">
        <v>862557.3</v>
      </c>
      <c r="R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 s="1">
        <v>42382</v>
      </c>
      <c r="AC5854" t="s">
        <v>53</v>
      </c>
      <c r="AD5854" t="s">
        <v>53</v>
      </c>
      <c r="AK5854">
        <v>0</v>
      </c>
      <c r="AU5854" s="6">
        <v>42018</v>
      </c>
      <c r="AV5854" s="6">
        <v>42018</v>
      </c>
      <c r="AW5854" t="s">
        <v>54</v>
      </c>
      <c r="AX5854" t="str">
        <f t="shared" si="496"/>
        <v>FOR</v>
      </c>
      <c r="AY5854" t="s">
        <v>55</v>
      </c>
    </row>
    <row r="5855" spans="1:51" hidden="1">
      <c r="A5855">
        <v>103855</v>
      </c>
      <c r="B5855" t="s">
        <v>1165</v>
      </c>
      <c r="C5855" t="str">
        <f t="shared" si="498"/>
        <v>01740391204</v>
      </c>
      <c r="D5855" t="str">
        <f t="shared" si="498"/>
        <v>01740391204</v>
      </c>
      <c r="E5855" t="s">
        <v>52</v>
      </c>
      <c r="F5855">
        <v>2014</v>
      </c>
      <c r="G5855">
        <v>764</v>
      </c>
      <c r="H5855" s="1">
        <v>41778</v>
      </c>
      <c r="I5855" s="1">
        <v>41800</v>
      </c>
      <c r="J5855" s="1">
        <v>41800</v>
      </c>
      <c r="K5855" s="1">
        <v>41890</v>
      </c>
      <c r="N5855" s="5"/>
      <c r="O5855" s="2">
        <v>3920.72</v>
      </c>
      <c r="P5855">
        <v>204</v>
      </c>
      <c r="Q5855" s="2">
        <v>799826.88</v>
      </c>
      <c r="R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 s="1">
        <v>42382</v>
      </c>
      <c r="AC5855" t="s">
        <v>53</v>
      </c>
      <c r="AD5855" t="s">
        <v>53</v>
      </c>
      <c r="AK5855">
        <v>0</v>
      </c>
      <c r="AU5855" s="6">
        <v>42094</v>
      </c>
      <c r="AV5855" s="6">
        <v>42094</v>
      </c>
      <c r="AW5855" t="s">
        <v>54</v>
      </c>
      <c r="AX5855" t="str">
        <f t="shared" si="496"/>
        <v>FOR</v>
      </c>
      <c r="AY5855" t="s">
        <v>55</v>
      </c>
    </row>
    <row r="5856" spans="1:51" hidden="1">
      <c r="A5856">
        <v>103855</v>
      </c>
      <c r="B5856" t="s">
        <v>1165</v>
      </c>
      <c r="C5856" t="str">
        <f t="shared" si="498"/>
        <v>01740391204</v>
      </c>
      <c r="D5856" t="str">
        <f t="shared" si="498"/>
        <v>01740391204</v>
      </c>
      <c r="E5856" t="s">
        <v>52</v>
      </c>
      <c r="F5856">
        <v>2014</v>
      </c>
      <c r="G5856">
        <v>1474</v>
      </c>
      <c r="H5856" s="1">
        <v>41911</v>
      </c>
      <c r="I5856" s="1">
        <v>41921</v>
      </c>
      <c r="J5856" s="1">
        <v>41921</v>
      </c>
      <c r="K5856" s="1">
        <v>42011</v>
      </c>
      <c r="N5856" s="5"/>
      <c r="O5856" s="2">
        <v>6534.53</v>
      </c>
      <c r="P5856">
        <v>83</v>
      </c>
      <c r="Q5856" s="2">
        <v>542365.99</v>
      </c>
      <c r="R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 s="1">
        <v>42382</v>
      </c>
      <c r="AC5856" t="s">
        <v>53</v>
      </c>
      <c r="AD5856" t="s">
        <v>53</v>
      </c>
      <c r="AK5856">
        <v>0</v>
      </c>
      <c r="AU5856" s="6">
        <v>42094</v>
      </c>
      <c r="AV5856" s="6">
        <v>42094</v>
      </c>
      <c r="AW5856" t="s">
        <v>54</v>
      </c>
      <c r="AX5856" t="str">
        <f t="shared" si="496"/>
        <v>FOR</v>
      </c>
      <c r="AY5856" t="s">
        <v>55</v>
      </c>
    </row>
    <row r="5857" spans="1:51" hidden="1">
      <c r="A5857">
        <v>104007</v>
      </c>
      <c r="B5857" t="s">
        <v>1166</v>
      </c>
      <c r="C5857" t="str">
        <f t="shared" ref="C5857:D5864" si="499">"12693140159"</f>
        <v>12693140159</v>
      </c>
      <c r="D5857" t="str">
        <f t="shared" si="499"/>
        <v>12693140159</v>
      </c>
      <c r="E5857" t="s">
        <v>52</v>
      </c>
      <c r="F5857">
        <v>2013</v>
      </c>
      <c r="G5857">
        <v>2794</v>
      </c>
      <c r="H5857" s="1">
        <v>41522</v>
      </c>
      <c r="I5857" s="1">
        <v>41529</v>
      </c>
      <c r="J5857" s="1">
        <v>41529</v>
      </c>
      <c r="K5857" s="1">
        <v>41619</v>
      </c>
      <c r="N5857" s="5"/>
      <c r="O5857" s="2">
        <v>1905.75</v>
      </c>
      <c r="P5857">
        <v>399</v>
      </c>
      <c r="Q5857" s="2">
        <v>760394.25</v>
      </c>
      <c r="R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 s="1">
        <v>42382</v>
      </c>
      <c r="AC5857" t="s">
        <v>53</v>
      </c>
      <c r="AD5857" t="s">
        <v>53</v>
      </c>
      <c r="AK5857">
        <v>0</v>
      </c>
      <c r="AU5857" s="6">
        <v>42018</v>
      </c>
      <c r="AV5857" s="6">
        <v>42018</v>
      </c>
      <c r="AW5857" t="s">
        <v>54</v>
      </c>
      <c r="AX5857" t="str">
        <f t="shared" si="496"/>
        <v>FOR</v>
      </c>
      <c r="AY5857" t="s">
        <v>55</v>
      </c>
    </row>
    <row r="5858" spans="1:51" hidden="1">
      <c r="A5858">
        <v>104007</v>
      </c>
      <c r="B5858" t="s">
        <v>1166</v>
      </c>
      <c r="C5858" t="str">
        <f t="shared" si="499"/>
        <v>12693140159</v>
      </c>
      <c r="D5858" t="str">
        <f t="shared" si="499"/>
        <v>12693140159</v>
      </c>
      <c r="E5858" t="s">
        <v>52</v>
      </c>
      <c r="F5858">
        <v>2013</v>
      </c>
      <c r="G5858">
        <v>3520</v>
      </c>
      <c r="H5858" s="1">
        <v>41590</v>
      </c>
      <c r="I5858" s="1">
        <v>41598</v>
      </c>
      <c r="J5858" s="1">
        <v>41598</v>
      </c>
      <c r="K5858" s="1">
        <v>41688</v>
      </c>
      <c r="N5858" s="5"/>
      <c r="O5858" s="2">
        <v>1537.2</v>
      </c>
      <c r="P5858">
        <v>330</v>
      </c>
      <c r="Q5858" s="2">
        <v>507276</v>
      </c>
      <c r="R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 s="1">
        <v>42382</v>
      </c>
      <c r="AC5858" t="s">
        <v>53</v>
      </c>
      <c r="AD5858" t="s">
        <v>53</v>
      </c>
      <c r="AK5858">
        <v>0</v>
      </c>
      <c r="AU5858" s="6">
        <v>42018</v>
      </c>
      <c r="AV5858" s="6">
        <v>42018</v>
      </c>
      <c r="AW5858" t="s">
        <v>54</v>
      </c>
      <c r="AX5858" t="str">
        <f t="shared" si="496"/>
        <v>FOR</v>
      </c>
      <c r="AY5858" t="s">
        <v>55</v>
      </c>
    </row>
    <row r="5859" spans="1:51" hidden="1">
      <c r="A5859">
        <v>104007</v>
      </c>
      <c r="B5859" t="s">
        <v>1166</v>
      </c>
      <c r="C5859" t="str">
        <f t="shared" si="499"/>
        <v>12693140159</v>
      </c>
      <c r="D5859" t="str">
        <f t="shared" si="499"/>
        <v>12693140159</v>
      </c>
      <c r="E5859" t="s">
        <v>52</v>
      </c>
      <c r="F5859">
        <v>2013</v>
      </c>
      <c r="G5859">
        <v>3757</v>
      </c>
      <c r="H5859" s="1">
        <v>41614</v>
      </c>
      <c r="I5859" s="1">
        <v>41621</v>
      </c>
      <c r="J5859" s="1">
        <v>41621</v>
      </c>
      <c r="K5859" s="1">
        <v>41711</v>
      </c>
      <c r="N5859" s="5"/>
      <c r="O5859" s="2">
        <v>1537.2</v>
      </c>
      <c r="P5859">
        <v>307</v>
      </c>
      <c r="Q5859" s="2">
        <v>471920.4</v>
      </c>
      <c r="R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 s="1">
        <v>42382</v>
      </c>
      <c r="AC5859" t="s">
        <v>53</v>
      </c>
      <c r="AD5859" t="s">
        <v>53</v>
      </c>
      <c r="AK5859">
        <v>0</v>
      </c>
      <c r="AU5859" s="6">
        <v>42018</v>
      </c>
      <c r="AV5859" s="6">
        <v>42018</v>
      </c>
      <c r="AW5859" t="s">
        <v>54</v>
      </c>
      <c r="AX5859" t="str">
        <f t="shared" si="496"/>
        <v>FOR</v>
      </c>
      <c r="AY5859" t="s">
        <v>55</v>
      </c>
    </row>
    <row r="5860" spans="1:51" hidden="1">
      <c r="A5860">
        <v>104007</v>
      </c>
      <c r="B5860" t="s">
        <v>1166</v>
      </c>
      <c r="C5860" t="str">
        <f t="shared" si="499"/>
        <v>12693140159</v>
      </c>
      <c r="D5860" t="str">
        <f t="shared" si="499"/>
        <v>12693140159</v>
      </c>
      <c r="E5860" t="s">
        <v>52</v>
      </c>
      <c r="F5860">
        <v>2014</v>
      </c>
      <c r="G5860">
        <v>835</v>
      </c>
      <c r="H5860" s="1">
        <v>41711</v>
      </c>
      <c r="I5860" s="1">
        <v>41716</v>
      </c>
      <c r="J5860" s="1">
        <v>41716</v>
      </c>
      <c r="K5860" s="1">
        <v>41806</v>
      </c>
      <c r="N5860" s="5"/>
      <c r="O5860" s="2">
        <v>1921.5</v>
      </c>
      <c r="P5860">
        <v>266</v>
      </c>
      <c r="Q5860" s="2">
        <v>511119</v>
      </c>
      <c r="R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 s="1">
        <v>42382</v>
      </c>
      <c r="AC5860" t="s">
        <v>53</v>
      </c>
      <c r="AD5860" t="s">
        <v>53</v>
      </c>
      <c r="AK5860">
        <v>0</v>
      </c>
      <c r="AU5860" s="6">
        <v>42072</v>
      </c>
      <c r="AV5860" s="6">
        <v>42072</v>
      </c>
      <c r="AW5860" t="s">
        <v>54</v>
      </c>
      <c r="AX5860" t="str">
        <f t="shared" si="496"/>
        <v>FOR</v>
      </c>
      <c r="AY5860" t="s">
        <v>55</v>
      </c>
    </row>
    <row r="5861" spans="1:51" hidden="1">
      <c r="A5861">
        <v>104007</v>
      </c>
      <c r="B5861" t="s">
        <v>1166</v>
      </c>
      <c r="C5861" t="str">
        <f t="shared" si="499"/>
        <v>12693140159</v>
      </c>
      <c r="D5861" t="str">
        <f t="shared" si="499"/>
        <v>12693140159</v>
      </c>
      <c r="E5861" t="s">
        <v>52</v>
      </c>
      <c r="F5861">
        <v>2014</v>
      </c>
      <c r="G5861">
        <v>1572</v>
      </c>
      <c r="H5861" s="1">
        <v>41775</v>
      </c>
      <c r="I5861" s="1">
        <v>41788</v>
      </c>
      <c r="J5861" s="1">
        <v>41788</v>
      </c>
      <c r="K5861" s="1">
        <v>41878</v>
      </c>
      <c r="N5861" s="5"/>
      <c r="O5861" s="2">
        <v>1921.5</v>
      </c>
      <c r="P5861">
        <v>252</v>
      </c>
      <c r="Q5861" s="2">
        <v>484218</v>
      </c>
      <c r="R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 s="1">
        <v>42382</v>
      </c>
      <c r="AC5861" t="s">
        <v>53</v>
      </c>
      <c r="AD5861" t="s">
        <v>53</v>
      </c>
      <c r="AK5861">
        <v>0</v>
      </c>
      <c r="AU5861" s="6">
        <v>42130</v>
      </c>
      <c r="AV5861" s="6">
        <v>42130</v>
      </c>
      <c r="AW5861" t="s">
        <v>54</v>
      </c>
      <c r="AX5861" t="str">
        <f t="shared" si="496"/>
        <v>FOR</v>
      </c>
      <c r="AY5861" t="s">
        <v>55</v>
      </c>
    </row>
    <row r="5862" spans="1:51" hidden="1">
      <c r="A5862">
        <v>104007</v>
      </c>
      <c r="B5862" t="s">
        <v>1166</v>
      </c>
      <c r="C5862" t="str">
        <f t="shared" si="499"/>
        <v>12693140159</v>
      </c>
      <c r="D5862" t="str">
        <f t="shared" si="499"/>
        <v>12693140159</v>
      </c>
      <c r="E5862" t="s">
        <v>52</v>
      </c>
      <c r="F5862">
        <v>2014</v>
      </c>
      <c r="G5862">
        <v>2235</v>
      </c>
      <c r="H5862" s="1">
        <v>41836</v>
      </c>
      <c r="I5862" s="1">
        <v>41842</v>
      </c>
      <c r="J5862" s="1">
        <v>41842</v>
      </c>
      <c r="K5862" s="1">
        <v>41932</v>
      </c>
      <c r="N5862" s="5"/>
      <c r="O5862" s="2">
        <v>2305.8000000000002</v>
      </c>
      <c r="P5862">
        <v>259</v>
      </c>
      <c r="Q5862" s="2">
        <v>597202.19999999995</v>
      </c>
      <c r="R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 s="1">
        <v>42382</v>
      </c>
      <c r="AC5862" t="s">
        <v>53</v>
      </c>
      <c r="AD5862" t="s">
        <v>53</v>
      </c>
      <c r="AK5862">
        <v>0</v>
      </c>
      <c r="AU5862" s="6">
        <v>42191</v>
      </c>
      <c r="AV5862" s="6">
        <v>42191</v>
      </c>
      <c r="AW5862" t="s">
        <v>54</v>
      </c>
      <c r="AX5862" t="str">
        <f t="shared" si="496"/>
        <v>FOR</v>
      </c>
      <c r="AY5862" t="s">
        <v>55</v>
      </c>
    </row>
    <row r="5863" spans="1:51">
      <c r="A5863">
        <v>104007</v>
      </c>
      <c r="B5863" t="s">
        <v>1166</v>
      </c>
      <c r="C5863" t="str">
        <f t="shared" si="499"/>
        <v>12693140159</v>
      </c>
      <c r="D5863" t="str">
        <f t="shared" si="499"/>
        <v>12693140159</v>
      </c>
      <c r="E5863" t="s">
        <v>52</v>
      </c>
      <c r="F5863">
        <v>2014</v>
      </c>
      <c r="G5863">
        <v>3096</v>
      </c>
      <c r="H5863" s="1">
        <v>41919</v>
      </c>
      <c r="I5863" s="1">
        <v>41929</v>
      </c>
      <c r="J5863" s="1">
        <v>41929</v>
      </c>
      <c r="K5863" s="1">
        <v>41989</v>
      </c>
      <c r="L5863" s="7">
        <v>2305.8000000000002</v>
      </c>
      <c r="M5863" s="5">
        <v>294</v>
      </c>
      <c r="N5863" s="7">
        <v>677905.2</v>
      </c>
      <c r="O5863" s="2">
        <v>2305.8000000000002</v>
      </c>
      <c r="P5863">
        <v>294</v>
      </c>
      <c r="Q5863" s="2">
        <v>677905.2</v>
      </c>
      <c r="R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 s="1">
        <v>42382</v>
      </c>
      <c r="AC5863" t="s">
        <v>53</v>
      </c>
      <c r="AD5863" t="s">
        <v>53</v>
      </c>
      <c r="AK5863">
        <v>0</v>
      </c>
      <c r="AU5863" s="6">
        <v>42283</v>
      </c>
      <c r="AV5863" s="6">
        <v>42283</v>
      </c>
      <c r="AW5863" t="s">
        <v>54</v>
      </c>
      <c r="AX5863" t="str">
        <f t="shared" si="496"/>
        <v>FOR</v>
      </c>
      <c r="AY5863" t="s">
        <v>55</v>
      </c>
    </row>
    <row r="5864" spans="1:51">
      <c r="A5864">
        <v>104007</v>
      </c>
      <c r="B5864" t="s">
        <v>1166</v>
      </c>
      <c r="C5864" t="str">
        <f t="shared" si="499"/>
        <v>12693140159</v>
      </c>
      <c r="D5864" t="str">
        <f t="shared" si="499"/>
        <v>12693140159</v>
      </c>
      <c r="E5864" t="s">
        <v>52</v>
      </c>
      <c r="F5864">
        <v>2014</v>
      </c>
      <c r="G5864">
        <v>3559</v>
      </c>
      <c r="H5864" s="1">
        <v>41956</v>
      </c>
      <c r="I5864" s="1">
        <v>41967</v>
      </c>
      <c r="J5864" s="1">
        <v>41967</v>
      </c>
      <c r="K5864" s="1">
        <v>42027</v>
      </c>
      <c r="L5864" s="7">
        <v>576.45000000000005</v>
      </c>
      <c r="M5864" s="5">
        <v>256</v>
      </c>
      <c r="N5864" s="7">
        <v>147571.20000000001</v>
      </c>
      <c r="O5864">
        <v>576.45000000000005</v>
      </c>
      <c r="P5864">
        <v>256</v>
      </c>
      <c r="Q5864" s="2">
        <v>147571.20000000001</v>
      </c>
      <c r="R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 s="1">
        <v>42382</v>
      </c>
      <c r="AC5864" t="s">
        <v>53</v>
      </c>
      <c r="AD5864" t="s">
        <v>53</v>
      </c>
      <c r="AK5864">
        <v>0</v>
      </c>
      <c r="AU5864" s="6">
        <v>42283</v>
      </c>
      <c r="AV5864" s="6">
        <v>42283</v>
      </c>
      <c r="AW5864" t="s">
        <v>54</v>
      </c>
      <c r="AX5864" t="str">
        <f t="shared" si="496"/>
        <v>FOR</v>
      </c>
      <c r="AY5864" t="s">
        <v>55</v>
      </c>
    </row>
    <row r="5865" spans="1:51" hidden="1">
      <c r="A5865">
        <v>104009</v>
      </c>
      <c r="B5865" t="s">
        <v>1167</v>
      </c>
      <c r="C5865" t="str">
        <f t="shared" ref="C5865:D5884" si="500">"08641790152"</f>
        <v>08641790152</v>
      </c>
      <c r="D5865" t="str">
        <f t="shared" si="500"/>
        <v>08641790152</v>
      </c>
      <c r="E5865" t="s">
        <v>52</v>
      </c>
      <c r="F5865">
        <v>2013</v>
      </c>
      <c r="G5865">
        <v>208185</v>
      </c>
      <c r="H5865" s="1">
        <v>41534</v>
      </c>
      <c r="I5865" s="1">
        <v>41547</v>
      </c>
      <c r="J5865" s="1">
        <v>41547</v>
      </c>
      <c r="K5865" s="1">
        <v>41637</v>
      </c>
      <c r="N5865" s="5"/>
      <c r="O5865">
        <v>104</v>
      </c>
      <c r="P5865">
        <v>640</v>
      </c>
      <c r="Q5865" s="2">
        <v>66560</v>
      </c>
      <c r="R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 s="1">
        <v>42382</v>
      </c>
      <c r="AC5865" t="s">
        <v>53</v>
      </c>
      <c r="AD5865" t="s">
        <v>53</v>
      </c>
      <c r="AK5865">
        <v>0</v>
      </c>
      <c r="AU5865" s="6">
        <v>42277</v>
      </c>
      <c r="AV5865" s="6">
        <v>42277</v>
      </c>
      <c r="AW5865" t="s">
        <v>54</v>
      </c>
      <c r="AX5865" t="str">
        <f t="shared" si="496"/>
        <v>FOR</v>
      </c>
      <c r="AY5865" t="s">
        <v>55</v>
      </c>
    </row>
    <row r="5866" spans="1:51" hidden="1">
      <c r="A5866">
        <v>104009</v>
      </c>
      <c r="B5866" t="s">
        <v>1167</v>
      </c>
      <c r="C5866" t="str">
        <f t="shared" si="500"/>
        <v>08641790152</v>
      </c>
      <c r="D5866" t="str">
        <f t="shared" si="500"/>
        <v>08641790152</v>
      </c>
      <c r="E5866" t="s">
        <v>52</v>
      </c>
      <c r="F5866">
        <v>2013</v>
      </c>
      <c r="G5866">
        <v>245226</v>
      </c>
      <c r="H5866" s="1">
        <v>41621</v>
      </c>
      <c r="I5866" s="1">
        <v>42128</v>
      </c>
      <c r="J5866" s="1">
        <v>42128</v>
      </c>
      <c r="K5866" s="1">
        <v>42188</v>
      </c>
      <c r="N5866" s="5"/>
      <c r="O5866">
        <v>692.96</v>
      </c>
      <c r="P5866">
        <v>-30</v>
      </c>
      <c r="Q5866" s="2">
        <v>-20788.8</v>
      </c>
      <c r="R5866">
        <v>0</v>
      </c>
      <c r="V5866">
        <v>0</v>
      </c>
      <c r="W5866">
        <v>0</v>
      </c>
      <c r="X5866">
        <v>0</v>
      </c>
      <c r="Y5866">
        <v>0</v>
      </c>
      <c r="Z5866">
        <v>692.96</v>
      </c>
      <c r="AA5866">
        <v>0</v>
      </c>
      <c r="AB5866" s="1">
        <v>42382</v>
      </c>
      <c r="AC5866" t="s">
        <v>53</v>
      </c>
      <c r="AD5866" t="s">
        <v>53</v>
      </c>
      <c r="AK5866">
        <v>0</v>
      </c>
      <c r="AU5866" s="6">
        <v>42158</v>
      </c>
      <c r="AV5866" s="6">
        <v>42158</v>
      </c>
      <c r="AW5866" t="s">
        <v>54</v>
      </c>
      <c r="AX5866" t="str">
        <f t="shared" si="496"/>
        <v>FOR</v>
      </c>
      <c r="AY5866" t="s">
        <v>55</v>
      </c>
    </row>
    <row r="5867" spans="1:51" hidden="1">
      <c r="A5867">
        <v>104009</v>
      </c>
      <c r="B5867" t="s">
        <v>1167</v>
      </c>
      <c r="C5867" t="str">
        <f t="shared" si="500"/>
        <v>08641790152</v>
      </c>
      <c r="D5867" t="str">
        <f t="shared" si="500"/>
        <v>08641790152</v>
      </c>
      <c r="E5867" t="s">
        <v>52</v>
      </c>
      <c r="F5867">
        <v>2014</v>
      </c>
      <c r="G5867">
        <v>104629</v>
      </c>
      <c r="H5867" s="1">
        <v>41654</v>
      </c>
      <c r="I5867" s="1">
        <v>41663</v>
      </c>
      <c r="J5867" s="1">
        <v>41663</v>
      </c>
      <c r="K5867" s="1">
        <v>41753</v>
      </c>
      <c r="N5867" s="5"/>
      <c r="O5867" s="2">
        <v>10888.5</v>
      </c>
      <c r="P5867">
        <v>286</v>
      </c>
      <c r="Q5867" s="2">
        <v>3114111</v>
      </c>
      <c r="R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 s="1">
        <v>42382</v>
      </c>
      <c r="AC5867" t="s">
        <v>53</v>
      </c>
      <c r="AD5867" t="s">
        <v>53</v>
      </c>
      <c r="AK5867">
        <v>0</v>
      </c>
      <c r="AU5867" s="6">
        <v>42039</v>
      </c>
      <c r="AV5867" s="6">
        <v>42039</v>
      </c>
      <c r="AW5867" t="s">
        <v>54</v>
      </c>
      <c r="AX5867" t="str">
        <f t="shared" si="496"/>
        <v>FOR</v>
      </c>
      <c r="AY5867" t="s">
        <v>55</v>
      </c>
    </row>
    <row r="5868" spans="1:51" hidden="1">
      <c r="A5868">
        <v>104009</v>
      </c>
      <c r="B5868" t="s">
        <v>1167</v>
      </c>
      <c r="C5868" t="str">
        <f t="shared" si="500"/>
        <v>08641790152</v>
      </c>
      <c r="D5868" t="str">
        <f t="shared" si="500"/>
        <v>08641790152</v>
      </c>
      <c r="E5868" t="s">
        <v>52</v>
      </c>
      <c r="F5868">
        <v>2014</v>
      </c>
      <c r="G5868">
        <v>104748</v>
      </c>
      <c r="H5868" s="1">
        <v>41654</v>
      </c>
      <c r="I5868" s="1">
        <v>41663</v>
      </c>
      <c r="J5868" s="1">
        <v>41663</v>
      </c>
      <c r="K5868" s="1">
        <v>41753</v>
      </c>
      <c r="N5868" s="5"/>
      <c r="O5868" s="2">
        <v>11407</v>
      </c>
      <c r="P5868">
        <v>286</v>
      </c>
      <c r="Q5868" s="2">
        <v>3262402</v>
      </c>
      <c r="R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 s="1">
        <v>42382</v>
      </c>
      <c r="AC5868" t="s">
        <v>53</v>
      </c>
      <c r="AD5868" t="s">
        <v>53</v>
      </c>
      <c r="AK5868">
        <v>0</v>
      </c>
      <c r="AU5868" s="6">
        <v>42039</v>
      </c>
      <c r="AV5868" s="6">
        <v>42039</v>
      </c>
      <c r="AW5868" t="s">
        <v>54</v>
      </c>
      <c r="AX5868" t="str">
        <f t="shared" si="496"/>
        <v>FOR</v>
      </c>
      <c r="AY5868" t="s">
        <v>55</v>
      </c>
    </row>
    <row r="5869" spans="1:51" hidden="1">
      <c r="A5869">
        <v>104009</v>
      </c>
      <c r="B5869" t="s">
        <v>1167</v>
      </c>
      <c r="C5869" t="str">
        <f t="shared" si="500"/>
        <v>08641790152</v>
      </c>
      <c r="D5869" t="str">
        <f t="shared" si="500"/>
        <v>08641790152</v>
      </c>
      <c r="E5869" t="s">
        <v>52</v>
      </c>
      <c r="F5869">
        <v>2014</v>
      </c>
      <c r="G5869">
        <v>105915</v>
      </c>
      <c r="H5869" s="1">
        <v>41656</v>
      </c>
      <c r="I5869" s="1">
        <v>41675</v>
      </c>
      <c r="J5869" s="1">
        <v>41675</v>
      </c>
      <c r="K5869" s="1">
        <v>41765</v>
      </c>
      <c r="N5869" s="5"/>
      <c r="O5869" s="2">
        <v>4626.24</v>
      </c>
      <c r="P5869">
        <v>274</v>
      </c>
      <c r="Q5869" s="2">
        <v>1267589.76</v>
      </c>
      <c r="R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 s="1">
        <v>42382</v>
      </c>
      <c r="AC5869" t="s">
        <v>53</v>
      </c>
      <c r="AD5869" t="s">
        <v>53</v>
      </c>
      <c r="AK5869">
        <v>0</v>
      </c>
      <c r="AU5869" s="6">
        <v>42039</v>
      </c>
      <c r="AV5869" s="6">
        <v>42039</v>
      </c>
      <c r="AW5869" t="s">
        <v>54</v>
      </c>
      <c r="AX5869" t="str">
        <f t="shared" si="496"/>
        <v>FOR</v>
      </c>
      <c r="AY5869" t="s">
        <v>55</v>
      </c>
    </row>
    <row r="5870" spans="1:51" hidden="1">
      <c r="A5870">
        <v>104009</v>
      </c>
      <c r="B5870" t="s">
        <v>1167</v>
      </c>
      <c r="C5870" t="str">
        <f t="shared" si="500"/>
        <v>08641790152</v>
      </c>
      <c r="D5870" t="str">
        <f t="shared" si="500"/>
        <v>08641790152</v>
      </c>
      <c r="E5870" t="s">
        <v>52</v>
      </c>
      <c r="F5870">
        <v>2014</v>
      </c>
      <c r="G5870">
        <v>106469</v>
      </c>
      <c r="H5870" s="1">
        <v>41659</v>
      </c>
      <c r="I5870" s="1">
        <v>41673</v>
      </c>
      <c r="J5870" s="1">
        <v>41673</v>
      </c>
      <c r="K5870" s="1">
        <v>41763</v>
      </c>
      <c r="N5870" s="5"/>
      <c r="O5870" s="2">
        <v>11224</v>
      </c>
      <c r="P5870">
        <v>276</v>
      </c>
      <c r="Q5870" s="2">
        <v>3097824</v>
      </c>
      <c r="R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 s="1">
        <v>42382</v>
      </c>
      <c r="AC5870" t="s">
        <v>53</v>
      </c>
      <c r="AD5870" t="s">
        <v>53</v>
      </c>
      <c r="AK5870">
        <v>0</v>
      </c>
      <c r="AU5870" s="6">
        <v>42039</v>
      </c>
      <c r="AV5870" s="6">
        <v>42039</v>
      </c>
      <c r="AW5870" t="s">
        <v>54</v>
      </c>
      <c r="AX5870" t="str">
        <f t="shared" si="496"/>
        <v>FOR</v>
      </c>
      <c r="AY5870" t="s">
        <v>55</v>
      </c>
    </row>
    <row r="5871" spans="1:51" hidden="1">
      <c r="A5871">
        <v>104009</v>
      </c>
      <c r="B5871" t="s">
        <v>1167</v>
      </c>
      <c r="C5871" t="str">
        <f t="shared" si="500"/>
        <v>08641790152</v>
      </c>
      <c r="D5871" t="str">
        <f t="shared" si="500"/>
        <v>08641790152</v>
      </c>
      <c r="E5871" t="s">
        <v>52</v>
      </c>
      <c r="F5871">
        <v>2014</v>
      </c>
      <c r="G5871">
        <v>107583</v>
      </c>
      <c r="H5871" s="1">
        <v>41660</v>
      </c>
      <c r="I5871" s="1">
        <v>41673</v>
      </c>
      <c r="J5871" s="1">
        <v>41673</v>
      </c>
      <c r="K5871" s="1">
        <v>41763</v>
      </c>
      <c r="N5871" s="5"/>
      <c r="O5871">
        <v>843.27</v>
      </c>
      <c r="P5871">
        <v>276</v>
      </c>
      <c r="Q5871" s="2">
        <v>232742.52</v>
      </c>
      <c r="R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 s="1">
        <v>42382</v>
      </c>
      <c r="AC5871" t="s">
        <v>53</v>
      </c>
      <c r="AD5871" t="s">
        <v>53</v>
      </c>
      <c r="AK5871">
        <v>0</v>
      </c>
      <c r="AU5871" s="6">
        <v>42039</v>
      </c>
      <c r="AV5871" s="6">
        <v>42039</v>
      </c>
      <c r="AW5871" t="s">
        <v>54</v>
      </c>
      <c r="AX5871" t="str">
        <f t="shared" si="496"/>
        <v>FOR</v>
      </c>
      <c r="AY5871" t="s">
        <v>55</v>
      </c>
    </row>
    <row r="5872" spans="1:51" hidden="1">
      <c r="A5872">
        <v>104009</v>
      </c>
      <c r="B5872" t="s">
        <v>1167</v>
      </c>
      <c r="C5872" t="str">
        <f t="shared" si="500"/>
        <v>08641790152</v>
      </c>
      <c r="D5872" t="str">
        <f t="shared" si="500"/>
        <v>08641790152</v>
      </c>
      <c r="E5872" t="s">
        <v>52</v>
      </c>
      <c r="F5872">
        <v>2014</v>
      </c>
      <c r="G5872">
        <v>109712</v>
      </c>
      <c r="H5872" s="1">
        <v>41663</v>
      </c>
      <c r="I5872" s="1">
        <v>41681</v>
      </c>
      <c r="J5872" s="1">
        <v>41681</v>
      </c>
      <c r="K5872" s="1">
        <v>41771</v>
      </c>
      <c r="N5872" s="5"/>
      <c r="O5872" s="2">
        <v>7777.5</v>
      </c>
      <c r="P5872">
        <v>268</v>
      </c>
      <c r="Q5872" s="2">
        <v>2084370</v>
      </c>
      <c r="R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 s="1">
        <v>42382</v>
      </c>
      <c r="AC5872" t="s">
        <v>53</v>
      </c>
      <c r="AD5872" t="s">
        <v>53</v>
      </c>
      <c r="AK5872">
        <v>0</v>
      </c>
      <c r="AU5872" s="6">
        <v>42039</v>
      </c>
      <c r="AV5872" s="6">
        <v>42039</v>
      </c>
      <c r="AW5872" t="s">
        <v>54</v>
      </c>
      <c r="AX5872" t="str">
        <f t="shared" si="496"/>
        <v>FOR</v>
      </c>
      <c r="AY5872" t="s">
        <v>55</v>
      </c>
    </row>
    <row r="5873" spans="1:51" hidden="1">
      <c r="A5873">
        <v>104009</v>
      </c>
      <c r="B5873" t="s">
        <v>1167</v>
      </c>
      <c r="C5873" t="str">
        <f t="shared" si="500"/>
        <v>08641790152</v>
      </c>
      <c r="D5873" t="str">
        <f t="shared" si="500"/>
        <v>08641790152</v>
      </c>
      <c r="E5873" t="s">
        <v>52</v>
      </c>
      <c r="F5873">
        <v>2014</v>
      </c>
      <c r="G5873">
        <v>109728</v>
      </c>
      <c r="H5873" s="1">
        <v>41663</v>
      </c>
      <c r="I5873" s="1">
        <v>41681</v>
      </c>
      <c r="J5873" s="1">
        <v>41681</v>
      </c>
      <c r="K5873" s="1">
        <v>41771</v>
      </c>
      <c r="N5873" s="5"/>
      <c r="O5873" s="2">
        <v>4026</v>
      </c>
      <c r="P5873">
        <v>268</v>
      </c>
      <c r="Q5873" s="2">
        <v>1078968</v>
      </c>
      <c r="R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 s="1">
        <v>42382</v>
      </c>
      <c r="AC5873" t="s">
        <v>53</v>
      </c>
      <c r="AD5873" t="s">
        <v>53</v>
      </c>
      <c r="AK5873">
        <v>0</v>
      </c>
      <c r="AU5873" s="6">
        <v>42039</v>
      </c>
      <c r="AV5873" s="6">
        <v>42039</v>
      </c>
      <c r="AW5873" t="s">
        <v>54</v>
      </c>
      <c r="AX5873" t="str">
        <f t="shared" si="496"/>
        <v>FOR</v>
      </c>
      <c r="AY5873" t="s">
        <v>55</v>
      </c>
    </row>
    <row r="5874" spans="1:51" hidden="1">
      <c r="A5874">
        <v>104009</v>
      </c>
      <c r="B5874" t="s">
        <v>1167</v>
      </c>
      <c r="C5874" t="str">
        <f t="shared" si="500"/>
        <v>08641790152</v>
      </c>
      <c r="D5874" t="str">
        <f t="shared" si="500"/>
        <v>08641790152</v>
      </c>
      <c r="E5874" t="s">
        <v>52</v>
      </c>
      <c r="F5874">
        <v>2014</v>
      </c>
      <c r="G5874">
        <v>109773</v>
      </c>
      <c r="H5874" s="1">
        <v>41663</v>
      </c>
      <c r="I5874" s="1">
        <v>41681</v>
      </c>
      <c r="J5874" s="1">
        <v>41681</v>
      </c>
      <c r="K5874" s="1">
        <v>41771</v>
      </c>
      <c r="N5874" s="5"/>
      <c r="O5874" s="2">
        <v>5185</v>
      </c>
      <c r="P5874">
        <v>268</v>
      </c>
      <c r="Q5874" s="2">
        <v>1389580</v>
      </c>
      <c r="R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 s="1">
        <v>42382</v>
      </c>
      <c r="AC5874" t="s">
        <v>53</v>
      </c>
      <c r="AD5874" t="s">
        <v>53</v>
      </c>
      <c r="AK5874">
        <v>0</v>
      </c>
      <c r="AU5874" s="6">
        <v>42039</v>
      </c>
      <c r="AV5874" s="6">
        <v>42039</v>
      </c>
      <c r="AW5874" t="s">
        <v>54</v>
      </c>
      <c r="AX5874" t="str">
        <f t="shared" si="496"/>
        <v>FOR</v>
      </c>
      <c r="AY5874" t="s">
        <v>55</v>
      </c>
    </row>
    <row r="5875" spans="1:51" hidden="1">
      <c r="A5875">
        <v>104009</v>
      </c>
      <c r="B5875" t="s">
        <v>1167</v>
      </c>
      <c r="C5875" t="str">
        <f t="shared" si="500"/>
        <v>08641790152</v>
      </c>
      <c r="D5875" t="str">
        <f t="shared" si="500"/>
        <v>08641790152</v>
      </c>
      <c r="E5875" t="s">
        <v>52</v>
      </c>
      <c r="F5875">
        <v>2014</v>
      </c>
      <c r="G5875">
        <v>109867</v>
      </c>
      <c r="H5875" s="1">
        <v>41663</v>
      </c>
      <c r="I5875" s="1">
        <v>41681</v>
      </c>
      <c r="J5875" s="1">
        <v>41681</v>
      </c>
      <c r="K5875" s="1">
        <v>41771</v>
      </c>
      <c r="N5875" s="5"/>
      <c r="O5875">
        <v>505.96</v>
      </c>
      <c r="P5875">
        <v>268</v>
      </c>
      <c r="Q5875" s="2">
        <v>135597.28</v>
      </c>
      <c r="R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 s="1">
        <v>42382</v>
      </c>
      <c r="AC5875" t="s">
        <v>53</v>
      </c>
      <c r="AD5875" t="s">
        <v>53</v>
      </c>
      <c r="AK5875">
        <v>0</v>
      </c>
      <c r="AU5875" s="6">
        <v>42039</v>
      </c>
      <c r="AV5875" s="6">
        <v>42039</v>
      </c>
      <c r="AW5875" t="s">
        <v>54</v>
      </c>
      <c r="AX5875" t="str">
        <f t="shared" si="496"/>
        <v>FOR</v>
      </c>
      <c r="AY5875" t="s">
        <v>55</v>
      </c>
    </row>
    <row r="5876" spans="1:51" hidden="1">
      <c r="A5876">
        <v>104009</v>
      </c>
      <c r="B5876" t="s">
        <v>1167</v>
      </c>
      <c r="C5876" t="str">
        <f t="shared" si="500"/>
        <v>08641790152</v>
      </c>
      <c r="D5876" t="str">
        <f t="shared" si="500"/>
        <v>08641790152</v>
      </c>
      <c r="E5876" t="s">
        <v>52</v>
      </c>
      <c r="F5876">
        <v>2014</v>
      </c>
      <c r="G5876">
        <v>109887</v>
      </c>
      <c r="H5876" s="1">
        <v>41663</v>
      </c>
      <c r="I5876" s="1">
        <v>41681</v>
      </c>
      <c r="J5876" s="1">
        <v>41681</v>
      </c>
      <c r="K5876" s="1">
        <v>41771</v>
      </c>
      <c r="N5876" s="5"/>
      <c r="O5876">
        <v>618.4</v>
      </c>
      <c r="P5876">
        <v>268</v>
      </c>
      <c r="Q5876" s="2">
        <v>165731.20000000001</v>
      </c>
      <c r="R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 s="1">
        <v>42382</v>
      </c>
      <c r="AC5876" t="s">
        <v>53</v>
      </c>
      <c r="AD5876" t="s">
        <v>53</v>
      </c>
      <c r="AK5876">
        <v>0</v>
      </c>
      <c r="AU5876" s="6">
        <v>42039</v>
      </c>
      <c r="AV5876" s="6">
        <v>42039</v>
      </c>
      <c r="AW5876" t="s">
        <v>54</v>
      </c>
      <c r="AX5876" t="str">
        <f t="shared" si="496"/>
        <v>FOR</v>
      </c>
      <c r="AY5876" t="s">
        <v>55</v>
      </c>
    </row>
    <row r="5877" spans="1:51" hidden="1">
      <c r="A5877">
        <v>104009</v>
      </c>
      <c r="B5877" t="s">
        <v>1167</v>
      </c>
      <c r="C5877" t="str">
        <f t="shared" si="500"/>
        <v>08641790152</v>
      </c>
      <c r="D5877" t="str">
        <f t="shared" si="500"/>
        <v>08641790152</v>
      </c>
      <c r="E5877" t="s">
        <v>52</v>
      </c>
      <c r="F5877">
        <v>2014</v>
      </c>
      <c r="G5877">
        <v>110032</v>
      </c>
      <c r="H5877" s="1">
        <v>41666</v>
      </c>
      <c r="I5877" s="1">
        <v>41681</v>
      </c>
      <c r="J5877" s="1">
        <v>41681</v>
      </c>
      <c r="K5877" s="1">
        <v>41771</v>
      </c>
      <c r="N5877" s="5"/>
      <c r="O5877">
        <v>505.96</v>
      </c>
      <c r="P5877">
        <v>268</v>
      </c>
      <c r="Q5877" s="2">
        <v>135597.28</v>
      </c>
      <c r="R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 s="1">
        <v>42382</v>
      </c>
      <c r="AC5877" t="s">
        <v>53</v>
      </c>
      <c r="AD5877" t="s">
        <v>53</v>
      </c>
      <c r="AK5877">
        <v>0</v>
      </c>
      <c r="AU5877" s="6">
        <v>42039</v>
      </c>
      <c r="AV5877" s="6">
        <v>42039</v>
      </c>
      <c r="AW5877" t="s">
        <v>54</v>
      </c>
      <c r="AX5877" t="str">
        <f t="shared" si="496"/>
        <v>FOR</v>
      </c>
      <c r="AY5877" t="s">
        <v>55</v>
      </c>
    </row>
    <row r="5878" spans="1:51" hidden="1">
      <c r="A5878">
        <v>104009</v>
      </c>
      <c r="B5878" t="s">
        <v>1167</v>
      </c>
      <c r="C5878" t="str">
        <f t="shared" si="500"/>
        <v>08641790152</v>
      </c>
      <c r="D5878" t="str">
        <f t="shared" si="500"/>
        <v>08641790152</v>
      </c>
      <c r="E5878" t="s">
        <v>52</v>
      </c>
      <c r="F5878">
        <v>2014</v>
      </c>
      <c r="G5878">
        <v>110141</v>
      </c>
      <c r="H5878" s="1">
        <v>41666</v>
      </c>
      <c r="I5878" s="1">
        <v>41681</v>
      </c>
      <c r="J5878" s="1">
        <v>41681</v>
      </c>
      <c r="K5878" s="1">
        <v>41771</v>
      </c>
      <c r="N5878" s="5"/>
      <c r="O5878" s="2">
        <v>16372.4</v>
      </c>
      <c r="P5878">
        <v>268</v>
      </c>
      <c r="Q5878" s="2">
        <v>4387803.2</v>
      </c>
      <c r="R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 s="1">
        <v>42382</v>
      </c>
      <c r="AC5878" t="s">
        <v>53</v>
      </c>
      <c r="AD5878" t="s">
        <v>53</v>
      </c>
      <c r="AK5878">
        <v>0</v>
      </c>
      <c r="AU5878" s="6">
        <v>42039</v>
      </c>
      <c r="AV5878" s="6">
        <v>42039</v>
      </c>
      <c r="AW5878" t="s">
        <v>54</v>
      </c>
      <c r="AX5878" t="str">
        <f t="shared" si="496"/>
        <v>FOR</v>
      </c>
      <c r="AY5878" t="s">
        <v>55</v>
      </c>
    </row>
    <row r="5879" spans="1:51" hidden="1">
      <c r="A5879">
        <v>104009</v>
      </c>
      <c r="B5879" t="s">
        <v>1167</v>
      </c>
      <c r="C5879" t="str">
        <f t="shared" si="500"/>
        <v>08641790152</v>
      </c>
      <c r="D5879" t="str">
        <f t="shared" si="500"/>
        <v>08641790152</v>
      </c>
      <c r="E5879" t="s">
        <v>52</v>
      </c>
      <c r="F5879">
        <v>2014</v>
      </c>
      <c r="G5879">
        <v>113444</v>
      </c>
      <c r="H5879" s="1">
        <v>41673</v>
      </c>
      <c r="I5879" s="1">
        <v>41684</v>
      </c>
      <c r="J5879" s="1">
        <v>41684</v>
      </c>
      <c r="K5879" s="1">
        <v>41774</v>
      </c>
      <c r="N5879" s="5"/>
      <c r="O5879">
        <v>441.17</v>
      </c>
      <c r="P5879">
        <v>265</v>
      </c>
      <c r="Q5879" s="2">
        <v>116910.05</v>
      </c>
      <c r="R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 s="1">
        <v>42382</v>
      </c>
      <c r="AC5879" t="s">
        <v>53</v>
      </c>
      <c r="AD5879" t="s">
        <v>53</v>
      </c>
      <c r="AK5879">
        <v>0</v>
      </c>
      <c r="AU5879" s="6">
        <v>42039</v>
      </c>
      <c r="AV5879" s="6">
        <v>42039</v>
      </c>
      <c r="AW5879" t="s">
        <v>54</v>
      </c>
      <c r="AX5879" t="str">
        <f t="shared" si="496"/>
        <v>FOR</v>
      </c>
      <c r="AY5879" t="s">
        <v>55</v>
      </c>
    </row>
    <row r="5880" spans="1:51" hidden="1">
      <c r="A5880">
        <v>104009</v>
      </c>
      <c r="B5880" t="s">
        <v>1167</v>
      </c>
      <c r="C5880" t="str">
        <f t="shared" si="500"/>
        <v>08641790152</v>
      </c>
      <c r="D5880" t="str">
        <f t="shared" si="500"/>
        <v>08641790152</v>
      </c>
      <c r="E5880" t="s">
        <v>52</v>
      </c>
      <c r="F5880">
        <v>2014</v>
      </c>
      <c r="G5880">
        <v>115316</v>
      </c>
      <c r="H5880" s="1">
        <v>41676</v>
      </c>
      <c r="I5880" s="1">
        <v>41691</v>
      </c>
      <c r="J5880" s="1">
        <v>41691</v>
      </c>
      <c r="K5880" s="1">
        <v>41781</v>
      </c>
      <c r="N5880" s="5"/>
      <c r="O5880" s="2">
        <v>2799.61</v>
      </c>
      <c r="P5880">
        <v>258</v>
      </c>
      <c r="Q5880" s="2">
        <v>722299.38</v>
      </c>
      <c r="R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 s="1">
        <v>42382</v>
      </c>
      <c r="AC5880" t="s">
        <v>53</v>
      </c>
      <c r="AD5880" t="s">
        <v>53</v>
      </c>
      <c r="AK5880">
        <v>0</v>
      </c>
      <c r="AU5880" s="6">
        <v>42039</v>
      </c>
      <c r="AV5880" s="6">
        <v>42039</v>
      </c>
      <c r="AW5880" t="s">
        <v>54</v>
      </c>
      <c r="AX5880" t="str">
        <f t="shared" si="496"/>
        <v>FOR</v>
      </c>
      <c r="AY5880" t="s">
        <v>55</v>
      </c>
    </row>
    <row r="5881" spans="1:51" hidden="1">
      <c r="A5881">
        <v>104009</v>
      </c>
      <c r="B5881" t="s">
        <v>1167</v>
      </c>
      <c r="C5881" t="str">
        <f t="shared" si="500"/>
        <v>08641790152</v>
      </c>
      <c r="D5881" t="str">
        <f t="shared" si="500"/>
        <v>08641790152</v>
      </c>
      <c r="E5881" t="s">
        <v>52</v>
      </c>
      <c r="F5881">
        <v>2014</v>
      </c>
      <c r="G5881">
        <v>115879</v>
      </c>
      <c r="H5881" s="1">
        <v>41677</v>
      </c>
      <c r="I5881" s="1">
        <v>41691</v>
      </c>
      <c r="J5881" s="1">
        <v>41691</v>
      </c>
      <c r="K5881" s="1">
        <v>41781</v>
      </c>
      <c r="N5881" s="5"/>
      <c r="O5881">
        <v>965.36</v>
      </c>
      <c r="P5881">
        <v>258</v>
      </c>
      <c r="Q5881" s="2">
        <v>249062.88</v>
      </c>
      <c r="R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 s="1">
        <v>42382</v>
      </c>
      <c r="AC5881" t="s">
        <v>53</v>
      </c>
      <c r="AD5881" t="s">
        <v>53</v>
      </c>
      <c r="AK5881">
        <v>0</v>
      </c>
      <c r="AU5881" s="6">
        <v>42039</v>
      </c>
      <c r="AV5881" s="6">
        <v>42039</v>
      </c>
      <c r="AW5881" t="s">
        <v>54</v>
      </c>
      <c r="AX5881" t="str">
        <f t="shared" si="496"/>
        <v>FOR</v>
      </c>
      <c r="AY5881" t="s">
        <v>55</v>
      </c>
    </row>
    <row r="5882" spans="1:51" hidden="1">
      <c r="A5882">
        <v>104009</v>
      </c>
      <c r="B5882" t="s">
        <v>1167</v>
      </c>
      <c r="C5882" t="str">
        <f t="shared" si="500"/>
        <v>08641790152</v>
      </c>
      <c r="D5882" t="str">
        <f t="shared" si="500"/>
        <v>08641790152</v>
      </c>
      <c r="E5882" t="s">
        <v>52</v>
      </c>
      <c r="F5882">
        <v>2014</v>
      </c>
      <c r="G5882">
        <v>116518</v>
      </c>
      <c r="H5882" s="1">
        <v>41680</v>
      </c>
      <c r="I5882" s="1">
        <v>41691</v>
      </c>
      <c r="J5882" s="1">
        <v>41691</v>
      </c>
      <c r="K5882" s="1">
        <v>41781</v>
      </c>
      <c r="N5882" s="5"/>
      <c r="O5882" s="2">
        <v>1171.2</v>
      </c>
      <c r="P5882">
        <v>258</v>
      </c>
      <c r="Q5882" s="2">
        <v>302169.59999999998</v>
      </c>
      <c r="R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 s="1">
        <v>42382</v>
      </c>
      <c r="AC5882" t="s">
        <v>53</v>
      </c>
      <c r="AD5882" t="s">
        <v>53</v>
      </c>
      <c r="AK5882">
        <v>0</v>
      </c>
      <c r="AU5882" s="6">
        <v>42039</v>
      </c>
      <c r="AV5882" s="6">
        <v>42039</v>
      </c>
      <c r="AW5882" t="s">
        <v>54</v>
      </c>
      <c r="AX5882" t="str">
        <f t="shared" si="496"/>
        <v>FOR</v>
      </c>
      <c r="AY5882" t="s">
        <v>55</v>
      </c>
    </row>
    <row r="5883" spans="1:51" hidden="1">
      <c r="A5883">
        <v>104009</v>
      </c>
      <c r="B5883" t="s">
        <v>1167</v>
      </c>
      <c r="C5883" t="str">
        <f t="shared" si="500"/>
        <v>08641790152</v>
      </c>
      <c r="D5883" t="str">
        <f t="shared" si="500"/>
        <v>08641790152</v>
      </c>
      <c r="E5883" t="s">
        <v>52</v>
      </c>
      <c r="F5883">
        <v>2014</v>
      </c>
      <c r="G5883">
        <v>116825</v>
      </c>
      <c r="H5883" s="1">
        <v>41681</v>
      </c>
      <c r="I5883" s="1">
        <v>41695</v>
      </c>
      <c r="J5883" s="1">
        <v>41695</v>
      </c>
      <c r="K5883" s="1">
        <v>41785</v>
      </c>
      <c r="N5883" s="5"/>
      <c r="O5883" s="2">
        <v>2825.13</v>
      </c>
      <c r="P5883">
        <v>254</v>
      </c>
      <c r="Q5883" s="2">
        <v>717583.02</v>
      </c>
      <c r="R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 s="1">
        <v>42382</v>
      </c>
      <c r="AC5883" t="s">
        <v>53</v>
      </c>
      <c r="AD5883" t="s">
        <v>53</v>
      </c>
      <c r="AK5883">
        <v>0</v>
      </c>
      <c r="AU5883" s="6">
        <v>42039</v>
      </c>
      <c r="AV5883" s="6">
        <v>42039</v>
      </c>
      <c r="AW5883" t="s">
        <v>54</v>
      </c>
      <c r="AX5883" t="str">
        <f t="shared" si="496"/>
        <v>FOR</v>
      </c>
      <c r="AY5883" t="s">
        <v>55</v>
      </c>
    </row>
    <row r="5884" spans="1:51" hidden="1">
      <c r="A5884">
        <v>104009</v>
      </c>
      <c r="B5884" t="s">
        <v>1167</v>
      </c>
      <c r="C5884" t="str">
        <f t="shared" si="500"/>
        <v>08641790152</v>
      </c>
      <c r="D5884" t="str">
        <f t="shared" si="500"/>
        <v>08641790152</v>
      </c>
      <c r="E5884" t="s">
        <v>52</v>
      </c>
      <c r="F5884">
        <v>2014</v>
      </c>
      <c r="G5884">
        <v>116961</v>
      </c>
      <c r="H5884" s="1">
        <v>41681</v>
      </c>
      <c r="I5884" s="1">
        <v>41695</v>
      </c>
      <c r="J5884" s="1">
        <v>41695</v>
      </c>
      <c r="K5884" s="1">
        <v>41785</v>
      </c>
      <c r="N5884" s="5"/>
      <c r="O5884">
        <v>988</v>
      </c>
      <c r="P5884">
        <v>254</v>
      </c>
      <c r="Q5884" s="2">
        <v>250952</v>
      </c>
      <c r="R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 s="1">
        <v>42382</v>
      </c>
      <c r="AC5884" t="s">
        <v>53</v>
      </c>
      <c r="AD5884" t="s">
        <v>53</v>
      </c>
      <c r="AK5884">
        <v>0</v>
      </c>
      <c r="AU5884" s="6">
        <v>42039</v>
      </c>
      <c r="AV5884" s="6">
        <v>42039</v>
      </c>
      <c r="AW5884" t="s">
        <v>54</v>
      </c>
      <c r="AX5884" t="str">
        <f t="shared" si="496"/>
        <v>FOR</v>
      </c>
      <c r="AY5884" t="s">
        <v>55</v>
      </c>
    </row>
    <row r="5885" spans="1:51" hidden="1">
      <c r="A5885">
        <v>104009</v>
      </c>
      <c r="B5885" t="s">
        <v>1167</v>
      </c>
      <c r="C5885" t="str">
        <f t="shared" ref="C5885:D5904" si="501">"08641790152"</f>
        <v>08641790152</v>
      </c>
      <c r="D5885" t="str">
        <f t="shared" si="501"/>
        <v>08641790152</v>
      </c>
      <c r="E5885" t="s">
        <v>52</v>
      </c>
      <c r="F5885">
        <v>2014</v>
      </c>
      <c r="G5885">
        <v>117302</v>
      </c>
      <c r="H5885" s="1">
        <v>41681</v>
      </c>
      <c r="I5885" s="1">
        <v>41695</v>
      </c>
      <c r="J5885" s="1">
        <v>41695</v>
      </c>
      <c r="K5885" s="1">
        <v>41785</v>
      </c>
      <c r="N5885" s="5"/>
      <c r="O5885" s="2">
        <v>3035.36</v>
      </c>
      <c r="P5885">
        <v>254</v>
      </c>
      <c r="Q5885" s="2">
        <v>770981.44</v>
      </c>
      <c r="R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 s="1">
        <v>42382</v>
      </c>
      <c r="AC5885" t="s">
        <v>53</v>
      </c>
      <c r="AD5885" t="s">
        <v>53</v>
      </c>
      <c r="AK5885">
        <v>0</v>
      </c>
      <c r="AU5885" s="6">
        <v>42039</v>
      </c>
      <c r="AV5885" s="6">
        <v>42039</v>
      </c>
      <c r="AW5885" t="s">
        <v>54</v>
      </c>
      <c r="AX5885" t="str">
        <f t="shared" si="496"/>
        <v>FOR</v>
      </c>
      <c r="AY5885" t="s">
        <v>55</v>
      </c>
    </row>
    <row r="5886" spans="1:51" hidden="1">
      <c r="A5886">
        <v>104009</v>
      </c>
      <c r="B5886" t="s">
        <v>1167</v>
      </c>
      <c r="C5886" t="str">
        <f t="shared" si="501"/>
        <v>08641790152</v>
      </c>
      <c r="D5886" t="str">
        <f t="shared" si="501"/>
        <v>08641790152</v>
      </c>
      <c r="E5886" t="s">
        <v>52</v>
      </c>
      <c r="F5886">
        <v>2014</v>
      </c>
      <c r="G5886">
        <v>117355</v>
      </c>
      <c r="H5886" s="1">
        <v>41681</v>
      </c>
      <c r="I5886" s="1">
        <v>41695</v>
      </c>
      <c r="J5886" s="1">
        <v>41695</v>
      </c>
      <c r="K5886" s="1">
        <v>41785</v>
      </c>
      <c r="N5886" s="5"/>
      <c r="O5886" s="2">
        <v>2042.28</v>
      </c>
      <c r="P5886">
        <v>254</v>
      </c>
      <c r="Q5886" s="2">
        <v>518739.12</v>
      </c>
      <c r="R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 s="1">
        <v>42382</v>
      </c>
      <c r="AC5886" t="s">
        <v>53</v>
      </c>
      <c r="AD5886" t="s">
        <v>53</v>
      </c>
      <c r="AK5886">
        <v>0</v>
      </c>
      <c r="AU5886" s="6">
        <v>42039</v>
      </c>
      <c r="AV5886" s="6">
        <v>42039</v>
      </c>
      <c r="AW5886" t="s">
        <v>54</v>
      </c>
      <c r="AX5886" t="str">
        <f t="shared" si="496"/>
        <v>FOR</v>
      </c>
      <c r="AY5886" t="s">
        <v>55</v>
      </c>
    </row>
    <row r="5887" spans="1:51" hidden="1">
      <c r="A5887">
        <v>104009</v>
      </c>
      <c r="B5887" t="s">
        <v>1167</v>
      </c>
      <c r="C5887" t="str">
        <f t="shared" si="501"/>
        <v>08641790152</v>
      </c>
      <c r="D5887" t="str">
        <f t="shared" si="501"/>
        <v>08641790152</v>
      </c>
      <c r="E5887" t="s">
        <v>52</v>
      </c>
      <c r="F5887">
        <v>2014</v>
      </c>
      <c r="G5887">
        <v>117421</v>
      </c>
      <c r="H5887" s="1">
        <v>41682</v>
      </c>
      <c r="I5887" s="1">
        <v>41695</v>
      </c>
      <c r="J5887" s="1">
        <v>41695</v>
      </c>
      <c r="K5887" s="1">
        <v>41785</v>
      </c>
      <c r="N5887" s="5"/>
      <c r="O5887">
        <v>346.48</v>
      </c>
      <c r="P5887">
        <v>254</v>
      </c>
      <c r="Q5887" s="2">
        <v>88005.92</v>
      </c>
      <c r="R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 s="1">
        <v>42382</v>
      </c>
      <c r="AC5887" t="s">
        <v>53</v>
      </c>
      <c r="AD5887" t="s">
        <v>53</v>
      </c>
      <c r="AK5887">
        <v>0</v>
      </c>
      <c r="AU5887" s="6">
        <v>42039</v>
      </c>
      <c r="AV5887" s="6">
        <v>42039</v>
      </c>
      <c r="AW5887" t="s">
        <v>54</v>
      </c>
      <c r="AX5887" t="str">
        <f t="shared" si="496"/>
        <v>FOR</v>
      </c>
      <c r="AY5887" t="s">
        <v>55</v>
      </c>
    </row>
    <row r="5888" spans="1:51" hidden="1">
      <c r="A5888">
        <v>104009</v>
      </c>
      <c r="B5888" t="s">
        <v>1167</v>
      </c>
      <c r="C5888" t="str">
        <f t="shared" si="501"/>
        <v>08641790152</v>
      </c>
      <c r="D5888" t="str">
        <f t="shared" si="501"/>
        <v>08641790152</v>
      </c>
      <c r="E5888" t="s">
        <v>52</v>
      </c>
      <c r="F5888">
        <v>2014</v>
      </c>
      <c r="G5888">
        <v>117935</v>
      </c>
      <c r="H5888" s="1">
        <v>41682</v>
      </c>
      <c r="I5888" s="1">
        <v>41695</v>
      </c>
      <c r="J5888" s="1">
        <v>41695</v>
      </c>
      <c r="K5888" s="1">
        <v>41785</v>
      </c>
      <c r="N5888" s="5"/>
      <c r="O5888">
        <v>224.87</v>
      </c>
      <c r="P5888">
        <v>254</v>
      </c>
      <c r="Q5888" s="2">
        <v>57116.98</v>
      </c>
      <c r="R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 s="1">
        <v>42382</v>
      </c>
      <c r="AC5888" t="s">
        <v>53</v>
      </c>
      <c r="AD5888" t="s">
        <v>53</v>
      </c>
      <c r="AK5888">
        <v>0</v>
      </c>
      <c r="AU5888" s="6">
        <v>42039</v>
      </c>
      <c r="AV5888" s="6">
        <v>42039</v>
      </c>
      <c r="AW5888" t="s">
        <v>54</v>
      </c>
      <c r="AX5888" t="str">
        <f t="shared" si="496"/>
        <v>FOR</v>
      </c>
      <c r="AY5888" t="s">
        <v>55</v>
      </c>
    </row>
    <row r="5889" spans="1:51" hidden="1">
      <c r="A5889">
        <v>104009</v>
      </c>
      <c r="B5889" t="s">
        <v>1167</v>
      </c>
      <c r="C5889" t="str">
        <f t="shared" si="501"/>
        <v>08641790152</v>
      </c>
      <c r="D5889" t="str">
        <f t="shared" si="501"/>
        <v>08641790152</v>
      </c>
      <c r="E5889" t="s">
        <v>52</v>
      </c>
      <c r="F5889">
        <v>2014</v>
      </c>
      <c r="G5889">
        <v>117968</v>
      </c>
      <c r="H5889" s="1">
        <v>41682</v>
      </c>
      <c r="I5889" s="1">
        <v>41695</v>
      </c>
      <c r="J5889" s="1">
        <v>41695</v>
      </c>
      <c r="K5889" s="1">
        <v>41785</v>
      </c>
      <c r="N5889" s="5"/>
      <c r="O5889">
        <v>224.87</v>
      </c>
      <c r="P5889">
        <v>254</v>
      </c>
      <c r="Q5889" s="2">
        <v>57116.98</v>
      </c>
      <c r="R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 s="1">
        <v>42382</v>
      </c>
      <c r="AC5889" t="s">
        <v>53</v>
      </c>
      <c r="AD5889" t="s">
        <v>53</v>
      </c>
      <c r="AK5889">
        <v>0</v>
      </c>
      <c r="AU5889" s="6">
        <v>42039</v>
      </c>
      <c r="AV5889" s="6">
        <v>42039</v>
      </c>
      <c r="AW5889" t="s">
        <v>54</v>
      </c>
      <c r="AX5889" t="str">
        <f t="shared" si="496"/>
        <v>FOR</v>
      </c>
      <c r="AY5889" t="s">
        <v>55</v>
      </c>
    </row>
    <row r="5890" spans="1:51" hidden="1">
      <c r="A5890">
        <v>104009</v>
      </c>
      <c r="B5890" t="s">
        <v>1167</v>
      </c>
      <c r="C5890" t="str">
        <f t="shared" si="501"/>
        <v>08641790152</v>
      </c>
      <c r="D5890" t="str">
        <f t="shared" si="501"/>
        <v>08641790152</v>
      </c>
      <c r="E5890" t="s">
        <v>52</v>
      </c>
      <c r="F5890">
        <v>2014</v>
      </c>
      <c r="G5890">
        <v>118085</v>
      </c>
      <c r="H5890" s="1">
        <v>41682</v>
      </c>
      <c r="I5890" s="1">
        <v>41695</v>
      </c>
      <c r="J5890" s="1">
        <v>41695</v>
      </c>
      <c r="K5890" s="1">
        <v>41785</v>
      </c>
      <c r="N5890" s="5"/>
      <c r="O5890" s="2">
        <v>3818.6</v>
      </c>
      <c r="P5890">
        <v>254</v>
      </c>
      <c r="Q5890" s="2">
        <v>969924.4</v>
      </c>
      <c r="R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 s="1">
        <v>42382</v>
      </c>
      <c r="AC5890" t="s">
        <v>53</v>
      </c>
      <c r="AD5890" t="s">
        <v>53</v>
      </c>
      <c r="AK5890">
        <v>0</v>
      </c>
      <c r="AU5890" s="6">
        <v>42039</v>
      </c>
      <c r="AV5890" s="6">
        <v>42039</v>
      </c>
      <c r="AW5890" t="s">
        <v>54</v>
      </c>
      <c r="AX5890" t="str">
        <f t="shared" si="496"/>
        <v>FOR</v>
      </c>
      <c r="AY5890" t="s">
        <v>55</v>
      </c>
    </row>
    <row r="5891" spans="1:51" hidden="1">
      <c r="A5891">
        <v>104009</v>
      </c>
      <c r="B5891" t="s">
        <v>1167</v>
      </c>
      <c r="C5891" t="str">
        <f t="shared" si="501"/>
        <v>08641790152</v>
      </c>
      <c r="D5891" t="str">
        <f t="shared" si="501"/>
        <v>08641790152</v>
      </c>
      <c r="E5891" t="s">
        <v>52</v>
      </c>
      <c r="F5891">
        <v>2014</v>
      </c>
      <c r="G5891">
        <v>118493</v>
      </c>
      <c r="H5891" s="1">
        <v>41683</v>
      </c>
      <c r="I5891" s="1">
        <v>41701</v>
      </c>
      <c r="J5891" s="1">
        <v>41701</v>
      </c>
      <c r="K5891" s="1">
        <v>41791</v>
      </c>
      <c r="N5891" s="5"/>
      <c r="O5891" s="2">
        <v>1037</v>
      </c>
      <c r="P5891">
        <v>248</v>
      </c>
      <c r="Q5891" s="2">
        <v>257176</v>
      </c>
      <c r="R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 s="1">
        <v>42382</v>
      </c>
      <c r="AC5891" t="s">
        <v>53</v>
      </c>
      <c r="AD5891" t="s">
        <v>53</v>
      </c>
      <c r="AK5891">
        <v>0</v>
      </c>
      <c r="AU5891" s="6">
        <v>42039</v>
      </c>
      <c r="AV5891" s="6">
        <v>42039</v>
      </c>
      <c r="AW5891" t="s">
        <v>54</v>
      </c>
      <c r="AX5891" t="str">
        <f t="shared" ref="AX5891:AX5954" si="502">"FOR"</f>
        <v>FOR</v>
      </c>
      <c r="AY5891" t="s">
        <v>55</v>
      </c>
    </row>
    <row r="5892" spans="1:51" hidden="1">
      <c r="A5892">
        <v>104009</v>
      </c>
      <c r="B5892" t="s">
        <v>1167</v>
      </c>
      <c r="C5892" t="str">
        <f t="shared" si="501"/>
        <v>08641790152</v>
      </c>
      <c r="D5892" t="str">
        <f t="shared" si="501"/>
        <v>08641790152</v>
      </c>
      <c r="E5892" t="s">
        <v>52</v>
      </c>
      <c r="F5892">
        <v>2014</v>
      </c>
      <c r="G5892">
        <v>118509</v>
      </c>
      <c r="H5892" s="1">
        <v>41683</v>
      </c>
      <c r="I5892" s="1">
        <v>41701</v>
      </c>
      <c r="J5892" s="1">
        <v>41701</v>
      </c>
      <c r="K5892" s="1">
        <v>41791</v>
      </c>
      <c r="N5892" s="5"/>
      <c r="O5892">
        <v>305</v>
      </c>
      <c r="P5892">
        <v>248</v>
      </c>
      <c r="Q5892" s="2">
        <v>75640</v>
      </c>
      <c r="R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 s="1">
        <v>42382</v>
      </c>
      <c r="AC5892" t="s">
        <v>53</v>
      </c>
      <c r="AD5892" t="s">
        <v>53</v>
      </c>
      <c r="AK5892">
        <v>0</v>
      </c>
      <c r="AU5892" s="6">
        <v>42039</v>
      </c>
      <c r="AV5892" s="6">
        <v>42039</v>
      </c>
      <c r="AW5892" t="s">
        <v>54</v>
      </c>
      <c r="AX5892" t="str">
        <f t="shared" si="502"/>
        <v>FOR</v>
      </c>
      <c r="AY5892" t="s">
        <v>55</v>
      </c>
    </row>
    <row r="5893" spans="1:51" hidden="1">
      <c r="A5893">
        <v>104009</v>
      </c>
      <c r="B5893" t="s">
        <v>1167</v>
      </c>
      <c r="C5893" t="str">
        <f t="shared" si="501"/>
        <v>08641790152</v>
      </c>
      <c r="D5893" t="str">
        <f t="shared" si="501"/>
        <v>08641790152</v>
      </c>
      <c r="E5893" t="s">
        <v>52</v>
      </c>
      <c r="F5893">
        <v>2014</v>
      </c>
      <c r="G5893">
        <v>118915</v>
      </c>
      <c r="H5893" s="1">
        <v>41684</v>
      </c>
      <c r="I5893" s="1">
        <v>41701</v>
      </c>
      <c r="J5893" s="1">
        <v>41701</v>
      </c>
      <c r="K5893" s="1">
        <v>41791</v>
      </c>
      <c r="N5893" s="5"/>
      <c r="O5893" s="2">
        <v>2074</v>
      </c>
      <c r="P5893">
        <v>248</v>
      </c>
      <c r="Q5893" s="2">
        <v>514352</v>
      </c>
      <c r="R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 s="1">
        <v>42382</v>
      </c>
      <c r="AC5893" t="s">
        <v>53</v>
      </c>
      <c r="AD5893" t="s">
        <v>53</v>
      </c>
      <c r="AK5893">
        <v>0</v>
      </c>
      <c r="AU5893" s="6">
        <v>42039</v>
      </c>
      <c r="AV5893" s="6">
        <v>42039</v>
      </c>
      <c r="AW5893" t="s">
        <v>54</v>
      </c>
      <c r="AX5893" t="str">
        <f t="shared" si="502"/>
        <v>FOR</v>
      </c>
      <c r="AY5893" t="s">
        <v>55</v>
      </c>
    </row>
    <row r="5894" spans="1:51" hidden="1">
      <c r="A5894">
        <v>104009</v>
      </c>
      <c r="B5894" t="s">
        <v>1167</v>
      </c>
      <c r="C5894" t="str">
        <f t="shared" si="501"/>
        <v>08641790152</v>
      </c>
      <c r="D5894" t="str">
        <f t="shared" si="501"/>
        <v>08641790152</v>
      </c>
      <c r="E5894" t="s">
        <v>52</v>
      </c>
      <c r="F5894">
        <v>2014</v>
      </c>
      <c r="G5894">
        <v>119044</v>
      </c>
      <c r="H5894" s="1">
        <v>41684</v>
      </c>
      <c r="I5894" s="1">
        <v>41701</v>
      </c>
      <c r="J5894" s="1">
        <v>41701</v>
      </c>
      <c r="K5894" s="1">
        <v>41791</v>
      </c>
      <c r="N5894" s="5"/>
      <c r="O5894">
        <v>305</v>
      </c>
      <c r="P5894">
        <v>248</v>
      </c>
      <c r="Q5894" s="2">
        <v>75640</v>
      </c>
      <c r="R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 s="1">
        <v>42382</v>
      </c>
      <c r="AC5894" t="s">
        <v>53</v>
      </c>
      <c r="AD5894" t="s">
        <v>53</v>
      </c>
      <c r="AK5894">
        <v>0</v>
      </c>
      <c r="AU5894" s="6">
        <v>42039</v>
      </c>
      <c r="AV5894" s="6">
        <v>42039</v>
      </c>
      <c r="AW5894" t="s">
        <v>54</v>
      </c>
      <c r="AX5894" t="str">
        <f t="shared" si="502"/>
        <v>FOR</v>
      </c>
      <c r="AY5894" t="s">
        <v>55</v>
      </c>
    </row>
    <row r="5895" spans="1:51" hidden="1">
      <c r="A5895">
        <v>104009</v>
      </c>
      <c r="B5895" t="s">
        <v>1167</v>
      </c>
      <c r="C5895" t="str">
        <f t="shared" si="501"/>
        <v>08641790152</v>
      </c>
      <c r="D5895" t="str">
        <f t="shared" si="501"/>
        <v>08641790152</v>
      </c>
      <c r="E5895" t="s">
        <v>52</v>
      </c>
      <c r="F5895">
        <v>2014</v>
      </c>
      <c r="G5895">
        <v>119060</v>
      </c>
      <c r="H5895" s="1">
        <v>41684</v>
      </c>
      <c r="I5895" s="1">
        <v>41701</v>
      </c>
      <c r="J5895" s="1">
        <v>41701</v>
      </c>
      <c r="K5895" s="1">
        <v>41791</v>
      </c>
      <c r="N5895" s="5"/>
      <c r="O5895">
        <v>622.20000000000005</v>
      </c>
      <c r="P5895">
        <v>248</v>
      </c>
      <c r="Q5895" s="2">
        <v>154305.60000000001</v>
      </c>
      <c r="R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 s="1">
        <v>42382</v>
      </c>
      <c r="AC5895" t="s">
        <v>53</v>
      </c>
      <c r="AD5895" t="s">
        <v>53</v>
      </c>
      <c r="AK5895">
        <v>0</v>
      </c>
      <c r="AU5895" s="6">
        <v>42039</v>
      </c>
      <c r="AV5895" s="6">
        <v>42039</v>
      </c>
      <c r="AW5895" t="s">
        <v>54</v>
      </c>
      <c r="AX5895" t="str">
        <f t="shared" si="502"/>
        <v>FOR</v>
      </c>
      <c r="AY5895" t="s">
        <v>55</v>
      </c>
    </row>
    <row r="5896" spans="1:51" hidden="1">
      <c r="A5896">
        <v>104009</v>
      </c>
      <c r="B5896" t="s">
        <v>1167</v>
      </c>
      <c r="C5896" t="str">
        <f t="shared" si="501"/>
        <v>08641790152</v>
      </c>
      <c r="D5896" t="str">
        <f t="shared" si="501"/>
        <v>08641790152</v>
      </c>
      <c r="E5896" t="s">
        <v>52</v>
      </c>
      <c r="F5896">
        <v>2014</v>
      </c>
      <c r="G5896">
        <v>120473</v>
      </c>
      <c r="H5896" s="1">
        <v>41688</v>
      </c>
      <c r="I5896" s="1">
        <v>41701</v>
      </c>
      <c r="J5896" s="1">
        <v>41701</v>
      </c>
      <c r="K5896" s="1">
        <v>41791</v>
      </c>
      <c r="N5896" s="5"/>
      <c r="O5896">
        <v>173.24</v>
      </c>
      <c r="P5896">
        <v>248</v>
      </c>
      <c r="Q5896" s="2">
        <v>42963.519999999997</v>
      </c>
      <c r="R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 s="1">
        <v>42382</v>
      </c>
      <c r="AC5896" t="s">
        <v>53</v>
      </c>
      <c r="AD5896" t="s">
        <v>53</v>
      </c>
      <c r="AK5896">
        <v>0</v>
      </c>
      <c r="AU5896" s="6">
        <v>42039</v>
      </c>
      <c r="AV5896" s="6">
        <v>42039</v>
      </c>
      <c r="AW5896" t="s">
        <v>54</v>
      </c>
      <c r="AX5896" t="str">
        <f t="shared" si="502"/>
        <v>FOR</v>
      </c>
      <c r="AY5896" t="s">
        <v>55</v>
      </c>
    </row>
    <row r="5897" spans="1:51" hidden="1">
      <c r="A5897">
        <v>104009</v>
      </c>
      <c r="B5897" t="s">
        <v>1167</v>
      </c>
      <c r="C5897" t="str">
        <f t="shared" si="501"/>
        <v>08641790152</v>
      </c>
      <c r="D5897" t="str">
        <f t="shared" si="501"/>
        <v>08641790152</v>
      </c>
      <c r="E5897" t="s">
        <v>52</v>
      </c>
      <c r="F5897">
        <v>2014</v>
      </c>
      <c r="G5897">
        <v>120764</v>
      </c>
      <c r="H5897" s="1">
        <v>41688</v>
      </c>
      <c r="I5897" s="1">
        <v>41701</v>
      </c>
      <c r="J5897" s="1">
        <v>41701</v>
      </c>
      <c r="K5897" s="1">
        <v>41791</v>
      </c>
      <c r="N5897" s="5"/>
      <c r="O5897" s="2">
        <v>1493.28</v>
      </c>
      <c r="P5897">
        <v>248</v>
      </c>
      <c r="Q5897" s="2">
        <v>370333.44</v>
      </c>
      <c r="R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 s="1">
        <v>42382</v>
      </c>
      <c r="AC5897" t="s">
        <v>53</v>
      </c>
      <c r="AD5897" t="s">
        <v>53</v>
      </c>
      <c r="AK5897">
        <v>0</v>
      </c>
      <c r="AU5897" s="6">
        <v>42039</v>
      </c>
      <c r="AV5897" s="6">
        <v>42039</v>
      </c>
      <c r="AW5897" t="s">
        <v>54</v>
      </c>
      <c r="AX5897" t="str">
        <f t="shared" si="502"/>
        <v>FOR</v>
      </c>
      <c r="AY5897" t="s">
        <v>55</v>
      </c>
    </row>
    <row r="5898" spans="1:51" hidden="1">
      <c r="A5898">
        <v>104009</v>
      </c>
      <c r="B5898" t="s">
        <v>1167</v>
      </c>
      <c r="C5898" t="str">
        <f t="shared" si="501"/>
        <v>08641790152</v>
      </c>
      <c r="D5898" t="str">
        <f t="shared" si="501"/>
        <v>08641790152</v>
      </c>
      <c r="E5898" t="s">
        <v>52</v>
      </c>
      <c r="F5898">
        <v>2014</v>
      </c>
      <c r="G5898">
        <v>120910</v>
      </c>
      <c r="H5898" s="1">
        <v>41689</v>
      </c>
      <c r="I5898" s="1">
        <v>41701</v>
      </c>
      <c r="J5898" s="1">
        <v>41701</v>
      </c>
      <c r="K5898" s="1">
        <v>41791</v>
      </c>
      <c r="N5898" s="5"/>
      <c r="O5898">
        <v>512.4</v>
      </c>
      <c r="P5898">
        <v>248</v>
      </c>
      <c r="Q5898" s="2">
        <v>127075.2</v>
      </c>
      <c r="R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 s="1">
        <v>42382</v>
      </c>
      <c r="AC5898" t="s">
        <v>53</v>
      </c>
      <c r="AD5898" t="s">
        <v>53</v>
      </c>
      <c r="AK5898">
        <v>0</v>
      </c>
      <c r="AU5898" s="6">
        <v>42039</v>
      </c>
      <c r="AV5898" s="6">
        <v>42039</v>
      </c>
      <c r="AW5898" t="s">
        <v>54</v>
      </c>
      <c r="AX5898" t="str">
        <f t="shared" si="502"/>
        <v>FOR</v>
      </c>
      <c r="AY5898" t="s">
        <v>55</v>
      </c>
    </row>
    <row r="5899" spans="1:51" hidden="1">
      <c r="A5899">
        <v>104009</v>
      </c>
      <c r="B5899" t="s">
        <v>1167</v>
      </c>
      <c r="C5899" t="str">
        <f t="shared" si="501"/>
        <v>08641790152</v>
      </c>
      <c r="D5899" t="str">
        <f t="shared" si="501"/>
        <v>08641790152</v>
      </c>
      <c r="E5899" t="s">
        <v>52</v>
      </c>
      <c r="F5899">
        <v>2014</v>
      </c>
      <c r="G5899">
        <v>122916</v>
      </c>
      <c r="H5899" s="1">
        <v>41692</v>
      </c>
      <c r="I5899" s="1">
        <v>41703</v>
      </c>
      <c r="J5899" s="1">
        <v>41703</v>
      </c>
      <c r="K5899" s="1">
        <v>41793</v>
      </c>
      <c r="N5899" s="5"/>
      <c r="O5899" s="2">
        <v>3690.5</v>
      </c>
      <c r="P5899">
        <v>246</v>
      </c>
      <c r="Q5899" s="2">
        <v>907863</v>
      </c>
      <c r="R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 s="1">
        <v>42382</v>
      </c>
      <c r="AC5899" t="s">
        <v>53</v>
      </c>
      <c r="AD5899" t="s">
        <v>53</v>
      </c>
      <c r="AK5899">
        <v>0</v>
      </c>
      <c r="AU5899" s="6">
        <v>42039</v>
      </c>
      <c r="AV5899" s="6">
        <v>42039</v>
      </c>
      <c r="AW5899" t="s">
        <v>54</v>
      </c>
      <c r="AX5899" t="str">
        <f t="shared" si="502"/>
        <v>FOR</v>
      </c>
      <c r="AY5899" t="s">
        <v>55</v>
      </c>
    </row>
    <row r="5900" spans="1:51" hidden="1">
      <c r="A5900">
        <v>104009</v>
      </c>
      <c r="B5900" t="s">
        <v>1167</v>
      </c>
      <c r="C5900" t="str">
        <f t="shared" si="501"/>
        <v>08641790152</v>
      </c>
      <c r="D5900" t="str">
        <f t="shared" si="501"/>
        <v>08641790152</v>
      </c>
      <c r="E5900" t="s">
        <v>52</v>
      </c>
      <c r="F5900">
        <v>2014</v>
      </c>
      <c r="G5900">
        <v>123716</v>
      </c>
      <c r="H5900" s="1">
        <v>41695</v>
      </c>
      <c r="I5900" s="1">
        <v>41712</v>
      </c>
      <c r="J5900" s="1">
        <v>41712</v>
      </c>
      <c r="K5900" s="1">
        <v>41802</v>
      </c>
      <c r="N5900" s="5"/>
      <c r="O5900" s="2">
        <v>2306.67</v>
      </c>
      <c r="P5900">
        <v>237</v>
      </c>
      <c r="Q5900" s="2">
        <v>546680.79</v>
      </c>
      <c r="R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 s="1">
        <v>42382</v>
      </c>
      <c r="AC5900" t="s">
        <v>53</v>
      </c>
      <c r="AD5900" t="s">
        <v>53</v>
      </c>
      <c r="AK5900">
        <v>0</v>
      </c>
      <c r="AU5900" s="6">
        <v>42039</v>
      </c>
      <c r="AV5900" s="6">
        <v>42039</v>
      </c>
      <c r="AW5900" t="s">
        <v>54</v>
      </c>
      <c r="AX5900" t="str">
        <f t="shared" si="502"/>
        <v>FOR</v>
      </c>
      <c r="AY5900" t="s">
        <v>55</v>
      </c>
    </row>
    <row r="5901" spans="1:51" hidden="1">
      <c r="A5901">
        <v>104009</v>
      </c>
      <c r="B5901" t="s">
        <v>1167</v>
      </c>
      <c r="C5901" t="str">
        <f t="shared" si="501"/>
        <v>08641790152</v>
      </c>
      <c r="D5901" t="str">
        <f t="shared" si="501"/>
        <v>08641790152</v>
      </c>
      <c r="E5901" t="s">
        <v>52</v>
      </c>
      <c r="F5901">
        <v>2014</v>
      </c>
      <c r="G5901">
        <v>124131</v>
      </c>
      <c r="H5901" s="1">
        <v>41695</v>
      </c>
      <c r="I5901" s="1">
        <v>41712</v>
      </c>
      <c r="J5901" s="1">
        <v>41712</v>
      </c>
      <c r="K5901" s="1">
        <v>41802</v>
      </c>
      <c r="N5901" s="5"/>
      <c r="O5901" s="2">
        <v>6075.6</v>
      </c>
      <c r="P5901">
        <v>237</v>
      </c>
      <c r="Q5901" s="2">
        <v>1439917.2</v>
      </c>
      <c r="R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 s="1">
        <v>42382</v>
      </c>
      <c r="AC5901" t="s">
        <v>53</v>
      </c>
      <c r="AD5901" t="s">
        <v>53</v>
      </c>
      <c r="AK5901">
        <v>0</v>
      </c>
      <c r="AU5901" s="6">
        <v>42039</v>
      </c>
      <c r="AV5901" s="6">
        <v>42039</v>
      </c>
      <c r="AW5901" t="s">
        <v>54</v>
      </c>
      <c r="AX5901" t="str">
        <f t="shared" si="502"/>
        <v>FOR</v>
      </c>
      <c r="AY5901" t="s">
        <v>55</v>
      </c>
    </row>
    <row r="5902" spans="1:51" hidden="1">
      <c r="A5902">
        <v>104009</v>
      </c>
      <c r="B5902" t="s">
        <v>1167</v>
      </c>
      <c r="C5902" t="str">
        <f t="shared" si="501"/>
        <v>08641790152</v>
      </c>
      <c r="D5902" t="str">
        <f t="shared" si="501"/>
        <v>08641790152</v>
      </c>
      <c r="E5902" t="s">
        <v>52</v>
      </c>
      <c r="F5902">
        <v>2014</v>
      </c>
      <c r="G5902">
        <v>127021</v>
      </c>
      <c r="H5902" s="1">
        <v>41702</v>
      </c>
      <c r="I5902" s="1">
        <v>41715</v>
      </c>
      <c r="J5902" s="1">
        <v>41715</v>
      </c>
      <c r="K5902" s="1">
        <v>41805</v>
      </c>
      <c r="N5902" s="5"/>
      <c r="O5902">
        <v>454.31</v>
      </c>
      <c r="P5902">
        <v>256</v>
      </c>
      <c r="Q5902" s="2">
        <v>116303.36</v>
      </c>
      <c r="R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 s="1">
        <v>42382</v>
      </c>
      <c r="AC5902" t="s">
        <v>53</v>
      </c>
      <c r="AD5902" t="s">
        <v>53</v>
      </c>
      <c r="AK5902">
        <v>0</v>
      </c>
      <c r="AU5902" s="6">
        <v>42061</v>
      </c>
      <c r="AV5902" s="6">
        <v>42061</v>
      </c>
      <c r="AW5902" t="s">
        <v>54</v>
      </c>
      <c r="AX5902" t="str">
        <f t="shared" si="502"/>
        <v>FOR</v>
      </c>
      <c r="AY5902" t="s">
        <v>55</v>
      </c>
    </row>
    <row r="5903" spans="1:51" hidden="1">
      <c r="A5903">
        <v>104009</v>
      </c>
      <c r="B5903" t="s">
        <v>1167</v>
      </c>
      <c r="C5903" t="str">
        <f t="shared" si="501"/>
        <v>08641790152</v>
      </c>
      <c r="D5903" t="str">
        <f t="shared" si="501"/>
        <v>08641790152</v>
      </c>
      <c r="E5903" t="s">
        <v>52</v>
      </c>
      <c r="F5903">
        <v>2014</v>
      </c>
      <c r="G5903">
        <v>127930</v>
      </c>
      <c r="H5903" s="1">
        <v>41703</v>
      </c>
      <c r="I5903" s="1">
        <v>41715</v>
      </c>
      <c r="J5903" s="1">
        <v>41715</v>
      </c>
      <c r="K5903" s="1">
        <v>41805</v>
      </c>
      <c r="N5903" s="5"/>
      <c r="O5903" s="2">
        <v>1075.1600000000001</v>
      </c>
      <c r="P5903">
        <v>256</v>
      </c>
      <c r="Q5903" s="2">
        <v>275240.96000000002</v>
      </c>
      <c r="R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 s="1">
        <v>42382</v>
      </c>
      <c r="AC5903" t="s">
        <v>53</v>
      </c>
      <c r="AD5903" t="s">
        <v>53</v>
      </c>
      <c r="AK5903">
        <v>0</v>
      </c>
      <c r="AU5903" s="6">
        <v>42061</v>
      </c>
      <c r="AV5903" s="6">
        <v>42061</v>
      </c>
      <c r="AW5903" t="s">
        <v>54</v>
      </c>
      <c r="AX5903" t="str">
        <f t="shared" si="502"/>
        <v>FOR</v>
      </c>
      <c r="AY5903" t="s">
        <v>55</v>
      </c>
    </row>
    <row r="5904" spans="1:51" hidden="1">
      <c r="A5904">
        <v>104009</v>
      </c>
      <c r="B5904" t="s">
        <v>1167</v>
      </c>
      <c r="C5904" t="str">
        <f t="shared" si="501"/>
        <v>08641790152</v>
      </c>
      <c r="D5904" t="str">
        <f t="shared" si="501"/>
        <v>08641790152</v>
      </c>
      <c r="E5904" t="s">
        <v>52</v>
      </c>
      <c r="F5904">
        <v>2014</v>
      </c>
      <c r="G5904">
        <v>128764</v>
      </c>
      <c r="H5904" s="1">
        <v>41705</v>
      </c>
      <c r="I5904" s="1">
        <v>41722</v>
      </c>
      <c r="J5904" s="1">
        <v>41722</v>
      </c>
      <c r="K5904" s="1">
        <v>41812</v>
      </c>
      <c r="N5904" s="5"/>
      <c r="O5904" s="2">
        <v>1737.03</v>
      </c>
      <c r="P5904">
        <v>249</v>
      </c>
      <c r="Q5904" s="2">
        <v>432520.47</v>
      </c>
      <c r="R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 s="1">
        <v>42382</v>
      </c>
      <c r="AC5904" t="s">
        <v>53</v>
      </c>
      <c r="AD5904" t="s">
        <v>53</v>
      </c>
      <c r="AK5904">
        <v>0</v>
      </c>
      <c r="AU5904" s="6">
        <v>42061</v>
      </c>
      <c r="AV5904" s="6">
        <v>42061</v>
      </c>
      <c r="AW5904" t="s">
        <v>54</v>
      </c>
      <c r="AX5904" t="str">
        <f t="shared" si="502"/>
        <v>FOR</v>
      </c>
      <c r="AY5904" t="s">
        <v>55</v>
      </c>
    </row>
    <row r="5905" spans="1:51" hidden="1">
      <c r="A5905">
        <v>104009</v>
      </c>
      <c r="B5905" t="s">
        <v>1167</v>
      </c>
      <c r="C5905" t="str">
        <f t="shared" ref="C5905:D5924" si="503">"08641790152"</f>
        <v>08641790152</v>
      </c>
      <c r="D5905" t="str">
        <f t="shared" si="503"/>
        <v>08641790152</v>
      </c>
      <c r="E5905" t="s">
        <v>52</v>
      </c>
      <c r="F5905">
        <v>2014</v>
      </c>
      <c r="G5905">
        <v>128792</v>
      </c>
      <c r="H5905" s="1">
        <v>41705</v>
      </c>
      <c r="I5905" s="1">
        <v>41722</v>
      </c>
      <c r="J5905" s="1">
        <v>41722</v>
      </c>
      <c r="K5905" s="1">
        <v>41812</v>
      </c>
      <c r="N5905" s="5"/>
      <c r="O5905" s="2">
        <v>1941.02</v>
      </c>
      <c r="P5905">
        <v>249</v>
      </c>
      <c r="Q5905" s="2">
        <v>483313.98</v>
      </c>
      <c r="R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 s="1">
        <v>42382</v>
      </c>
      <c r="AC5905" t="s">
        <v>53</v>
      </c>
      <c r="AD5905" t="s">
        <v>53</v>
      </c>
      <c r="AK5905">
        <v>0</v>
      </c>
      <c r="AU5905" s="6">
        <v>42061</v>
      </c>
      <c r="AV5905" s="6">
        <v>42061</v>
      </c>
      <c r="AW5905" t="s">
        <v>54</v>
      </c>
      <c r="AX5905" t="str">
        <f t="shared" si="502"/>
        <v>FOR</v>
      </c>
      <c r="AY5905" t="s">
        <v>55</v>
      </c>
    </row>
    <row r="5906" spans="1:51" hidden="1">
      <c r="A5906">
        <v>104009</v>
      </c>
      <c r="B5906" t="s">
        <v>1167</v>
      </c>
      <c r="C5906" t="str">
        <f t="shared" si="503"/>
        <v>08641790152</v>
      </c>
      <c r="D5906" t="str">
        <f t="shared" si="503"/>
        <v>08641790152</v>
      </c>
      <c r="E5906" t="s">
        <v>52</v>
      </c>
      <c r="F5906">
        <v>2014</v>
      </c>
      <c r="G5906">
        <v>129839</v>
      </c>
      <c r="H5906" s="1">
        <v>41708</v>
      </c>
      <c r="I5906" s="1">
        <v>41722</v>
      </c>
      <c r="J5906" s="1">
        <v>41722</v>
      </c>
      <c r="K5906" s="1">
        <v>41812</v>
      </c>
      <c r="N5906" s="5"/>
      <c r="O5906" s="2">
        <v>2108.16</v>
      </c>
      <c r="P5906">
        <v>249</v>
      </c>
      <c r="Q5906" s="2">
        <v>524931.83999999997</v>
      </c>
      <c r="R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 s="1">
        <v>42382</v>
      </c>
      <c r="AC5906" t="s">
        <v>53</v>
      </c>
      <c r="AD5906" t="s">
        <v>53</v>
      </c>
      <c r="AK5906">
        <v>0</v>
      </c>
      <c r="AU5906" s="6">
        <v>42061</v>
      </c>
      <c r="AV5906" s="6">
        <v>42061</v>
      </c>
      <c r="AW5906" t="s">
        <v>54</v>
      </c>
      <c r="AX5906" t="str">
        <f t="shared" si="502"/>
        <v>FOR</v>
      </c>
      <c r="AY5906" t="s">
        <v>55</v>
      </c>
    </row>
    <row r="5907" spans="1:51" hidden="1">
      <c r="A5907">
        <v>104009</v>
      </c>
      <c r="B5907" t="s">
        <v>1167</v>
      </c>
      <c r="C5907" t="str">
        <f t="shared" si="503"/>
        <v>08641790152</v>
      </c>
      <c r="D5907" t="str">
        <f t="shared" si="503"/>
        <v>08641790152</v>
      </c>
      <c r="E5907" t="s">
        <v>52</v>
      </c>
      <c r="F5907">
        <v>2014</v>
      </c>
      <c r="G5907">
        <v>129862</v>
      </c>
      <c r="H5907" s="1">
        <v>41708</v>
      </c>
      <c r="I5907" s="1">
        <v>41722</v>
      </c>
      <c r="J5907" s="1">
        <v>41722</v>
      </c>
      <c r="K5907" s="1">
        <v>41812</v>
      </c>
      <c r="N5907" s="5"/>
      <c r="O5907" s="2">
        <v>2076.44</v>
      </c>
      <c r="P5907">
        <v>249</v>
      </c>
      <c r="Q5907" s="2">
        <v>517033.56</v>
      </c>
      <c r="R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 s="1">
        <v>42382</v>
      </c>
      <c r="AC5907" t="s">
        <v>53</v>
      </c>
      <c r="AD5907" t="s">
        <v>53</v>
      </c>
      <c r="AK5907">
        <v>0</v>
      </c>
      <c r="AU5907" s="6">
        <v>42061</v>
      </c>
      <c r="AV5907" s="6">
        <v>42061</v>
      </c>
      <c r="AW5907" t="s">
        <v>54</v>
      </c>
      <c r="AX5907" t="str">
        <f t="shared" si="502"/>
        <v>FOR</v>
      </c>
      <c r="AY5907" t="s">
        <v>55</v>
      </c>
    </row>
    <row r="5908" spans="1:51" hidden="1">
      <c r="A5908">
        <v>104009</v>
      </c>
      <c r="B5908" t="s">
        <v>1167</v>
      </c>
      <c r="C5908" t="str">
        <f t="shared" si="503"/>
        <v>08641790152</v>
      </c>
      <c r="D5908" t="str">
        <f t="shared" si="503"/>
        <v>08641790152</v>
      </c>
      <c r="E5908" t="s">
        <v>52</v>
      </c>
      <c r="F5908">
        <v>2014</v>
      </c>
      <c r="G5908">
        <v>129866</v>
      </c>
      <c r="H5908" s="1">
        <v>41708</v>
      </c>
      <c r="I5908" s="1">
        <v>41722</v>
      </c>
      <c r="J5908" s="1">
        <v>41722</v>
      </c>
      <c r="K5908" s="1">
        <v>41812</v>
      </c>
      <c r="N5908" s="5"/>
      <c r="O5908">
        <v>267.18</v>
      </c>
      <c r="P5908">
        <v>249</v>
      </c>
      <c r="Q5908" s="2">
        <v>66527.820000000007</v>
      </c>
      <c r="R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 s="1">
        <v>42382</v>
      </c>
      <c r="AC5908" t="s">
        <v>53</v>
      </c>
      <c r="AD5908" t="s">
        <v>53</v>
      </c>
      <c r="AK5908">
        <v>0</v>
      </c>
      <c r="AU5908" s="6">
        <v>42061</v>
      </c>
      <c r="AV5908" s="6">
        <v>42061</v>
      </c>
      <c r="AW5908" t="s">
        <v>54</v>
      </c>
      <c r="AX5908" t="str">
        <f t="shared" si="502"/>
        <v>FOR</v>
      </c>
      <c r="AY5908" t="s">
        <v>55</v>
      </c>
    </row>
    <row r="5909" spans="1:51" hidden="1">
      <c r="A5909">
        <v>104009</v>
      </c>
      <c r="B5909" t="s">
        <v>1167</v>
      </c>
      <c r="C5909" t="str">
        <f t="shared" si="503"/>
        <v>08641790152</v>
      </c>
      <c r="D5909" t="str">
        <f t="shared" si="503"/>
        <v>08641790152</v>
      </c>
      <c r="E5909" t="s">
        <v>52</v>
      </c>
      <c r="F5909">
        <v>2014</v>
      </c>
      <c r="G5909">
        <v>129888</v>
      </c>
      <c r="H5909" s="1">
        <v>41709</v>
      </c>
      <c r="I5909" s="1">
        <v>41722</v>
      </c>
      <c r="J5909" s="1">
        <v>41722</v>
      </c>
      <c r="K5909" s="1">
        <v>41812</v>
      </c>
      <c r="N5909" s="5"/>
      <c r="O5909">
        <v>519.72</v>
      </c>
      <c r="P5909">
        <v>249</v>
      </c>
      <c r="Q5909" s="2">
        <v>129410.28</v>
      </c>
      <c r="R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 s="1">
        <v>42382</v>
      </c>
      <c r="AC5909" t="s">
        <v>53</v>
      </c>
      <c r="AD5909" t="s">
        <v>53</v>
      </c>
      <c r="AK5909">
        <v>0</v>
      </c>
      <c r="AU5909" s="6">
        <v>42061</v>
      </c>
      <c r="AV5909" s="6">
        <v>42061</v>
      </c>
      <c r="AW5909" t="s">
        <v>54</v>
      </c>
      <c r="AX5909" t="str">
        <f t="shared" si="502"/>
        <v>FOR</v>
      </c>
      <c r="AY5909" t="s">
        <v>55</v>
      </c>
    </row>
    <row r="5910" spans="1:51" hidden="1">
      <c r="A5910">
        <v>104009</v>
      </c>
      <c r="B5910" t="s">
        <v>1167</v>
      </c>
      <c r="C5910" t="str">
        <f t="shared" si="503"/>
        <v>08641790152</v>
      </c>
      <c r="D5910" t="str">
        <f t="shared" si="503"/>
        <v>08641790152</v>
      </c>
      <c r="E5910" t="s">
        <v>52</v>
      </c>
      <c r="F5910">
        <v>2014</v>
      </c>
      <c r="G5910">
        <v>130343</v>
      </c>
      <c r="H5910" s="1">
        <v>41709</v>
      </c>
      <c r="I5910" s="1">
        <v>41722</v>
      </c>
      <c r="J5910" s="1">
        <v>41722</v>
      </c>
      <c r="K5910" s="1">
        <v>41812</v>
      </c>
      <c r="N5910" s="5"/>
      <c r="O5910">
        <v>341.6</v>
      </c>
      <c r="P5910">
        <v>249</v>
      </c>
      <c r="Q5910" s="2">
        <v>85058.4</v>
      </c>
      <c r="R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 s="1">
        <v>42382</v>
      </c>
      <c r="AC5910" t="s">
        <v>53</v>
      </c>
      <c r="AD5910" t="s">
        <v>53</v>
      </c>
      <c r="AK5910">
        <v>0</v>
      </c>
      <c r="AU5910" s="6">
        <v>42061</v>
      </c>
      <c r="AV5910" s="6">
        <v>42061</v>
      </c>
      <c r="AW5910" t="s">
        <v>54</v>
      </c>
      <c r="AX5910" t="str">
        <f t="shared" si="502"/>
        <v>FOR</v>
      </c>
      <c r="AY5910" t="s">
        <v>55</v>
      </c>
    </row>
    <row r="5911" spans="1:51" hidden="1">
      <c r="A5911">
        <v>104009</v>
      </c>
      <c r="B5911" t="s">
        <v>1167</v>
      </c>
      <c r="C5911" t="str">
        <f t="shared" si="503"/>
        <v>08641790152</v>
      </c>
      <c r="D5911" t="str">
        <f t="shared" si="503"/>
        <v>08641790152</v>
      </c>
      <c r="E5911" t="s">
        <v>52</v>
      </c>
      <c r="F5911">
        <v>2014</v>
      </c>
      <c r="G5911">
        <v>132397</v>
      </c>
      <c r="H5911" s="1">
        <v>41712</v>
      </c>
      <c r="I5911" s="1">
        <v>41736</v>
      </c>
      <c r="J5911" s="1">
        <v>41736</v>
      </c>
      <c r="K5911" s="1">
        <v>41826</v>
      </c>
      <c r="N5911" s="5"/>
      <c r="O5911">
        <v>78.08</v>
      </c>
      <c r="P5911">
        <v>235</v>
      </c>
      <c r="Q5911" s="2">
        <v>18348.8</v>
      </c>
      <c r="R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 s="1">
        <v>42382</v>
      </c>
      <c r="AC5911" t="s">
        <v>53</v>
      </c>
      <c r="AD5911" t="s">
        <v>53</v>
      </c>
      <c r="AK5911">
        <v>0</v>
      </c>
      <c r="AU5911" s="6">
        <v>42061</v>
      </c>
      <c r="AV5911" s="6">
        <v>42061</v>
      </c>
      <c r="AW5911" t="s">
        <v>54</v>
      </c>
      <c r="AX5911" t="str">
        <f t="shared" si="502"/>
        <v>FOR</v>
      </c>
      <c r="AY5911" t="s">
        <v>55</v>
      </c>
    </row>
    <row r="5912" spans="1:51" hidden="1">
      <c r="A5912">
        <v>104009</v>
      </c>
      <c r="B5912" t="s">
        <v>1167</v>
      </c>
      <c r="C5912" t="str">
        <f t="shared" si="503"/>
        <v>08641790152</v>
      </c>
      <c r="D5912" t="str">
        <f t="shared" si="503"/>
        <v>08641790152</v>
      </c>
      <c r="E5912" t="s">
        <v>52</v>
      </c>
      <c r="F5912">
        <v>2014</v>
      </c>
      <c r="G5912">
        <v>133061</v>
      </c>
      <c r="H5912" s="1">
        <v>41715</v>
      </c>
      <c r="I5912" s="1">
        <v>41736</v>
      </c>
      <c r="J5912" s="1">
        <v>41736</v>
      </c>
      <c r="K5912" s="1">
        <v>41826</v>
      </c>
      <c r="N5912" s="5"/>
      <c r="O5912">
        <v>803.74</v>
      </c>
      <c r="P5912">
        <v>235</v>
      </c>
      <c r="Q5912" s="2">
        <v>188878.9</v>
      </c>
      <c r="R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 s="1">
        <v>42382</v>
      </c>
      <c r="AC5912" t="s">
        <v>53</v>
      </c>
      <c r="AD5912" t="s">
        <v>53</v>
      </c>
      <c r="AK5912">
        <v>0</v>
      </c>
      <c r="AU5912" s="6">
        <v>42061</v>
      </c>
      <c r="AV5912" s="6">
        <v>42061</v>
      </c>
      <c r="AW5912" t="s">
        <v>54</v>
      </c>
      <c r="AX5912" t="str">
        <f t="shared" si="502"/>
        <v>FOR</v>
      </c>
      <c r="AY5912" t="s">
        <v>55</v>
      </c>
    </row>
    <row r="5913" spans="1:51" hidden="1">
      <c r="A5913">
        <v>104009</v>
      </c>
      <c r="B5913" t="s">
        <v>1167</v>
      </c>
      <c r="C5913" t="str">
        <f t="shared" si="503"/>
        <v>08641790152</v>
      </c>
      <c r="D5913" t="str">
        <f t="shared" si="503"/>
        <v>08641790152</v>
      </c>
      <c r="E5913" t="s">
        <v>52</v>
      </c>
      <c r="F5913">
        <v>2014</v>
      </c>
      <c r="G5913">
        <v>133637</v>
      </c>
      <c r="H5913" s="1">
        <v>41716</v>
      </c>
      <c r="I5913" s="1">
        <v>41736</v>
      </c>
      <c r="J5913" s="1">
        <v>41736</v>
      </c>
      <c r="K5913" s="1">
        <v>41826</v>
      </c>
      <c r="N5913" s="5"/>
      <c r="O5913" s="2">
        <v>10370</v>
      </c>
      <c r="P5913">
        <v>235</v>
      </c>
      <c r="Q5913" s="2">
        <v>2436950</v>
      </c>
      <c r="R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 s="1">
        <v>42382</v>
      </c>
      <c r="AC5913" t="s">
        <v>53</v>
      </c>
      <c r="AD5913" t="s">
        <v>53</v>
      </c>
      <c r="AK5913">
        <v>0</v>
      </c>
      <c r="AU5913" s="6">
        <v>42061</v>
      </c>
      <c r="AV5913" s="6">
        <v>42061</v>
      </c>
      <c r="AW5913" t="s">
        <v>54</v>
      </c>
      <c r="AX5913" t="str">
        <f t="shared" si="502"/>
        <v>FOR</v>
      </c>
      <c r="AY5913" t="s">
        <v>55</v>
      </c>
    </row>
    <row r="5914" spans="1:51" hidden="1">
      <c r="A5914">
        <v>104009</v>
      </c>
      <c r="B5914" t="s">
        <v>1167</v>
      </c>
      <c r="C5914" t="str">
        <f t="shared" si="503"/>
        <v>08641790152</v>
      </c>
      <c r="D5914" t="str">
        <f t="shared" si="503"/>
        <v>08641790152</v>
      </c>
      <c r="E5914" t="s">
        <v>52</v>
      </c>
      <c r="F5914">
        <v>2014</v>
      </c>
      <c r="G5914">
        <v>136116</v>
      </c>
      <c r="H5914" s="1">
        <v>41722</v>
      </c>
      <c r="I5914" s="1">
        <v>41736</v>
      </c>
      <c r="J5914" s="1">
        <v>41736</v>
      </c>
      <c r="K5914" s="1">
        <v>41826</v>
      </c>
      <c r="N5914" s="5"/>
      <c r="O5914" s="2">
        <v>1361.52</v>
      </c>
      <c r="P5914">
        <v>235</v>
      </c>
      <c r="Q5914" s="2">
        <v>319957.2</v>
      </c>
      <c r="R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 s="1">
        <v>42382</v>
      </c>
      <c r="AC5914" t="s">
        <v>53</v>
      </c>
      <c r="AD5914" t="s">
        <v>53</v>
      </c>
      <c r="AK5914">
        <v>0</v>
      </c>
      <c r="AU5914" s="6">
        <v>42061</v>
      </c>
      <c r="AV5914" s="6">
        <v>42061</v>
      </c>
      <c r="AW5914" t="s">
        <v>54</v>
      </c>
      <c r="AX5914" t="str">
        <f t="shared" si="502"/>
        <v>FOR</v>
      </c>
      <c r="AY5914" t="s">
        <v>55</v>
      </c>
    </row>
    <row r="5915" spans="1:51" hidden="1">
      <c r="A5915">
        <v>104009</v>
      </c>
      <c r="B5915" t="s">
        <v>1167</v>
      </c>
      <c r="C5915" t="str">
        <f t="shared" si="503"/>
        <v>08641790152</v>
      </c>
      <c r="D5915" t="str">
        <f t="shared" si="503"/>
        <v>08641790152</v>
      </c>
      <c r="E5915" t="s">
        <v>52</v>
      </c>
      <c r="F5915">
        <v>2014</v>
      </c>
      <c r="G5915">
        <v>136586</v>
      </c>
      <c r="H5915" s="1">
        <v>41722</v>
      </c>
      <c r="I5915" s="1">
        <v>41736</v>
      </c>
      <c r="J5915" s="1">
        <v>41736</v>
      </c>
      <c r="K5915" s="1">
        <v>41826</v>
      </c>
      <c r="N5915" s="5"/>
      <c r="O5915">
        <v>102.99</v>
      </c>
      <c r="P5915">
        <v>235</v>
      </c>
      <c r="Q5915" s="2">
        <v>24202.65</v>
      </c>
      <c r="R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 s="1">
        <v>42382</v>
      </c>
      <c r="AC5915" t="s">
        <v>53</v>
      </c>
      <c r="AD5915" t="s">
        <v>53</v>
      </c>
      <c r="AK5915">
        <v>0</v>
      </c>
      <c r="AU5915" s="6">
        <v>42061</v>
      </c>
      <c r="AV5915" s="6">
        <v>42061</v>
      </c>
      <c r="AW5915" t="s">
        <v>54</v>
      </c>
      <c r="AX5915" t="str">
        <f t="shared" si="502"/>
        <v>FOR</v>
      </c>
      <c r="AY5915" t="s">
        <v>55</v>
      </c>
    </row>
    <row r="5916" spans="1:51" hidden="1">
      <c r="A5916">
        <v>104009</v>
      </c>
      <c r="B5916" t="s">
        <v>1167</v>
      </c>
      <c r="C5916" t="str">
        <f t="shared" si="503"/>
        <v>08641790152</v>
      </c>
      <c r="D5916" t="str">
        <f t="shared" si="503"/>
        <v>08641790152</v>
      </c>
      <c r="E5916" t="s">
        <v>52</v>
      </c>
      <c r="F5916">
        <v>2014</v>
      </c>
      <c r="G5916">
        <v>137879</v>
      </c>
      <c r="H5916" s="1">
        <v>41724</v>
      </c>
      <c r="I5916" s="1">
        <v>41737</v>
      </c>
      <c r="J5916" s="1">
        <v>41737</v>
      </c>
      <c r="K5916" s="1">
        <v>41827</v>
      </c>
      <c r="N5916" s="5"/>
      <c r="O5916" s="2">
        <v>2177.6999999999998</v>
      </c>
      <c r="P5916">
        <v>234</v>
      </c>
      <c r="Q5916" s="2">
        <v>509581.8</v>
      </c>
      <c r="R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 s="1">
        <v>42382</v>
      </c>
      <c r="AC5916" t="s">
        <v>53</v>
      </c>
      <c r="AD5916" t="s">
        <v>53</v>
      </c>
      <c r="AK5916">
        <v>0</v>
      </c>
      <c r="AU5916" s="6">
        <v>42061</v>
      </c>
      <c r="AV5916" s="6">
        <v>42061</v>
      </c>
      <c r="AW5916" t="s">
        <v>54</v>
      </c>
      <c r="AX5916" t="str">
        <f t="shared" si="502"/>
        <v>FOR</v>
      </c>
      <c r="AY5916" t="s">
        <v>55</v>
      </c>
    </row>
    <row r="5917" spans="1:51" hidden="1">
      <c r="A5917">
        <v>104009</v>
      </c>
      <c r="B5917" t="s">
        <v>1167</v>
      </c>
      <c r="C5917" t="str">
        <f t="shared" si="503"/>
        <v>08641790152</v>
      </c>
      <c r="D5917" t="str">
        <f t="shared" si="503"/>
        <v>08641790152</v>
      </c>
      <c r="E5917" t="s">
        <v>52</v>
      </c>
      <c r="F5917">
        <v>2014</v>
      </c>
      <c r="G5917">
        <v>138662</v>
      </c>
      <c r="H5917" s="1">
        <v>41725</v>
      </c>
      <c r="I5917" s="1">
        <v>41736</v>
      </c>
      <c r="J5917" s="1">
        <v>41736</v>
      </c>
      <c r="K5917" s="1">
        <v>41826</v>
      </c>
      <c r="N5917" s="5"/>
      <c r="O5917" s="2">
        <v>1647</v>
      </c>
      <c r="P5917">
        <v>213</v>
      </c>
      <c r="Q5917" s="2">
        <v>350811</v>
      </c>
      <c r="R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 s="1">
        <v>42382</v>
      </c>
      <c r="AC5917" t="s">
        <v>53</v>
      </c>
      <c r="AD5917" t="s">
        <v>53</v>
      </c>
      <c r="AK5917">
        <v>0</v>
      </c>
      <c r="AU5917" s="6">
        <v>42039</v>
      </c>
      <c r="AV5917" s="6">
        <v>42039</v>
      </c>
      <c r="AW5917" t="s">
        <v>54</v>
      </c>
      <c r="AX5917" t="str">
        <f t="shared" si="502"/>
        <v>FOR</v>
      </c>
      <c r="AY5917" t="s">
        <v>55</v>
      </c>
    </row>
    <row r="5918" spans="1:51" hidden="1">
      <c r="A5918">
        <v>104009</v>
      </c>
      <c r="B5918" t="s">
        <v>1167</v>
      </c>
      <c r="C5918" t="str">
        <f t="shared" si="503"/>
        <v>08641790152</v>
      </c>
      <c r="D5918" t="str">
        <f t="shared" si="503"/>
        <v>08641790152</v>
      </c>
      <c r="E5918" t="s">
        <v>52</v>
      </c>
      <c r="F5918">
        <v>2014</v>
      </c>
      <c r="G5918">
        <v>141517</v>
      </c>
      <c r="H5918" s="1">
        <v>41731</v>
      </c>
      <c r="I5918" s="1">
        <v>41743</v>
      </c>
      <c r="J5918" s="1">
        <v>41743</v>
      </c>
      <c r="K5918" s="1">
        <v>41833</v>
      </c>
      <c r="N5918" s="5"/>
      <c r="O5918" s="2">
        <v>3894.48</v>
      </c>
      <c r="P5918">
        <v>263</v>
      </c>
      <c r="Q5918" s="2">
        <v>1024248.24</v>
      </c>
      <c r="R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 s="1">
        <v>42382</v>
      </c>
      <c r="AC5918" t="s">
        <v>53</v>
      </c>
      <c r="AD5918" t="s">
        <v>53</v>
      </c>
      <c r="AK5918">
        <v>0</v>
      </c>
      <c r="AU5918" s="6">
        <v>42096</v>
      </c>
      <c r="AV5918" s="6">
        <v>42096</v>
      </c>
      <c r="AW5918" t="s">
        <v>54</v>
      </c>
      <c r="AX5918" t="str">
        <f t="shared" si="502"/>
        <v>FOR</v>
      </c>
      <c r="AY5918" t="s">
        <v>55</v>
      </c>
    </row>
    <row r="5919" spans="1:51" hidden="1">
      <c r="A5919">
        <v>104009</v>
      </c>
      <c r="B5919" t="s">
        <v>1167</v>
      </c>
      <c r="C5919" t="str">
        <f t="shared" si="503"/>
        <v>08641790152</v>
      </c>
      <c r="D5919" t="str">
        <f t="shared" si="503"/>
        <v>08641790152</v>
      </c>
      <c r="E5919" t="s">
        <v>52</v>
      </c>
      <c r="F5919">
        <v>2014</v>
      </c>
      <c r="G5919">
        <v>141549</v>
      </c>
      <c r="H5919" s="1">
        <v>41731</v>
      </c>
      <c r="I5919" s="1">
        <v>41743</v>
      </c>
      <c r="J5919" s="1">
        <v>41743</v>
      </c>
      <c r="K5919" s="1">
        <v>41833</v>
      </c>
      <c r="N5919" s="5"/>
      <c r="O5919" s="2">
        <v>2252.12</v>
      </c>
      <c r="P5919">
        <v>263</v>
      </c>
      <c r="Q5919" s="2">
        <v>592307.56000000006</v>
      </c>
      <c r="R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 s="1">
        <v>42382</v>
      </c>
      <c r="AC5919" t="s">
        <v>53</v>
      </c>
      <c r="AD5919" t="s">
        <v>53</v>
      </c>
      <c r="AK5919">
        <v>0</v>
      </c>
      <c r="AU5919" s="6">
        <v>42096</v>
      </c>
      <c r="AV5919" s="6">
        <v>42096</v>
      </c>
      <c r="AW5919" t="s">
        <v>54</v>
      </c>
      <c r="AX5919" t="str">
        <f t="shared" si="502"/>
        <v>FOR</v>
      </c>
      <c r="AY5919" t="s">
        <v>55</v>
      </c>
    </row>
    <row r="5920" spans="1:51" hidden="1">
      <c r="A5920">
        <v>104009</v>
      </c>
      <c r="B5920" t="s">
        <v>1167</v>
      </c>
      <c r="C5920" t="str">
        <f t="shared" si="503"/>
        <v>08641790152</v>
      </c>
      <c r="D5920" t="str">
        <f t="shared" si="503"/>
        <v>08641790152</v>
      </c>
      <c r="E5920" t="s">
        <v>52</v>
      </c>
      <c r="F5920">
        <v>2014</v>
      </c>
      <c r="G5920">
        <v>141788</v>
      </c>
      <c r="H5920" s="1">
        <v>41731</v>
      </c>
      <c r="I5920" s="1">
        <v>41743</v>
      </c>
      <c r="J5920" s="1">
        <v>41743</v>
      </c>
      <c r="K5920" s="1">
        <v>41833</v>
      </c>
      <c r="N5920" s="5"/>
      <c r="O5920">
        <v>633.17999999999995</v>
      </c>
      <c r="P5920">
        <v>263</v>
      </c>
      <c r="Q5920" s="2">
        <v>166526.34</v>
      </c>
      <c r="R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 s="1">
        <v>42382</v>
      </c>
      <c r="AC5920" t="s">
        <v>53</v>
      </c>
      <c r="AD5920" t="s">
        <v>53</v>
      </c>
      <c r="AK5920">
        <v>0</v>
      </c>
      <c r="AU5920" s="6">
        <v>42096</v>
      </c>
      <c r="AV5920" s="6">
        <v>42096</v>
      </c>
      <c r="AW5920" t="s">
        <v>54</v>
      </c>
      <c r="AX5920" t="str">
        <f t="shared" si="502"/>
        <v>FOR</v>
      </c>
      <c r="AY5920" t="s">
        <v>55</v>
      </c>
    </row>
    <row r="5921" spans="1:51" hidden="1">
      <c r="A5921">
        <v>104009</v>
      </c>
      <c r="B5921" t="s">
        <v>1167</v>
      </c>
      <c r="C5921" t="str">
        <f t="shared" si="503"/>
        <v>08641790152</v>
      </c>
      <c r="D5921" t="str">
        <f t="shared" si="503"/>
        <v>08641790152</v>
      </c>
      <c r="E5921" t="s">
        <v>52</v>
      </c>
      <c r="F5921">
        <v>2014</v>
      </c>
      <c r="G5921">
        <v>142043</v>
      </c>
      <c r="H5921" s="1">
        <v>41732</v>
      </c>
      <c r="I5921" s="1">
        <v>41745</v>
      </c>
      <c r="J5921" s="1">
        <v>41745</v>
      </c>
      <c r="K5921" s="1">
        <v>41835</v>
      </c>
      <c r="N5921" s="5"/>
      <c r="O5921" s="2">
        <v>1952</v>
      </c>
      <c r="P5921">
        <v>261</v>
      </c>
      <c r="Q5921" s="2">
        <v>509472</v>
      </c>
      <c r="R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 s="1">
        <v>42382</v>
      </c>
      <c r="AC5921" t="s">
        <v>53</v>
      </c>
      <c r="AD5921" t="s">
        <v>53</v>
      </c>
      <c r="AK5921">
        <v>0</v>
      </c>
      <c r="AU5921" s="6">
        <v>42096</v>
      </c>
      <c r="AV5921" s="6">
        <v>42096</v>
      </c>
      <c r="AW5921" t="s">
        <v>54</v>
      </c>
      <c r="AX5921" t="str">
        <f t="shared" si="502"/>
        <v>FOR</v>
      </c>
      <c r="AY5921" t="s">
        <v>55</v>
      </c>
    </row>
    <row r="5922" spans="1:51" hidden="1">
      <c r="A5922">
        <v>104009</v>
      </c>
      <c r="B5922" t="s">
        <v>1167</v>
      </c>
      <c r="C5922" t="str">
        <f t="shared" si="503"/>
        <v>08641790152</v>
      </c>
      <c r="D5922" t="str">
        <f t="shared" si="503"/>
        <v>08641790152</v>
      </c>
      <c r="E5922" t="s">
        <v>52</v>
      </c>
      <c r="F5922">
        <v>2014</v>
      </c>
      <c r="G5922">
        <v>143705</v>
      </c>
      <c r="H5922" s="1">
        <v>41736</v>
      </c>
      <c r="I5922" s="1">
        <v>41745</v>
      </c>
      <c r="J5922" s="1">
        <v>41745</v>
      </c>
      <c r="K5922" s="1">
        <v>41835</v>
      </c>
      <c r="N5922" s="5"/>
      <c r="O5922" s="2">
        <v>1112.6400000000001</v>
      </c>
      <c r="P5922">
        <v>261</v>
      </c>
      <c r="Q5922" s="2">
        <v>290399.03999999998</v>
      </c>
      <c r="R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 s="1">
        <v>42382</v>
      </c>
      <c r="AC5922" t="s">
        <v>53</v>
      </c>
      <c r="AD5922" t="s">
        <v>53</v>
      </c>
      <c r="AK5922">
        <v>0</v>
      </c>
      <c r="AU5922" s="6">
        <v>42096</v>
      </c>
      <c r="AV5922" s="6">
        <v>42096</v>
      </c>
      <c r="AW5922" t="s">
        <v>54</v>
      </c>
      <c r="AX5922" t="str">
        <f t="shared" si="502"/>
        <v>FOR</v>
      </c>
      <c r="AY5922" t="s">
        <v>55</v>
      </c>
    </row>
    <row r="5923" spans="1:51" hidden="1">
      <c r="A5923">
        <v>104009</v>
      </c>
      <c r="B5923" t="s">
        <v>1167</v>
      </c>
      <c r="C5923" t="str">
        <f t="shared" si="503"/>
        <v>08641790152</v>
      </c>
      <c r="D5923" t="str">
        <f t="shared" si="503"/>
        <v>08641790152</v>
      </c>
      <c r="E5923" t="s">
        <v>52</v>
      </c>
      <c r="F5923">
        <v>2014</v>
      </c>
      <c r="G5923">
        <v>146100</v>
      </c>
      <c r="H5923" s="1">
        <v>41740</v>
      </c>
      <c r="I5923" s="1">
        <v>41757</v>
      </c>
      <c r="J5923" s="1">
        <v>41757</v>
      </c>
      <c r="K5923" s="1">
        <v>41847</v>
      </c>
      <c r="N5923" s="5"/>
      <c r="O5923">
        <v>134.19999999999999</v>
      </c>
      <c r="P5923">
        <v>249</v>
      </c>
      <c r="Q5923" s="2">
        <v>33415.800000000003</v>
      </c>
      <c r="R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 s="1">
        <v>42382</v>
      </c>
      <c r="AC5923" t="s">
        <v>53</v>
      </c>
      <c r="AD5923" t="s">
        <v>53</v>
      </c>
      <c r="AK5923">
        <v>0</v>
      </c>
      <c r="AU5923" s="6">
        <v>42096</v>
      </c>
      <c r="AV5923" s="6">
        <v>42096</v>
      </c>
      <c r="AW5923" t="s">
        <v>54</v>
      </c>
      <c r="AX5923" t="str">
        <f t="shared" si="502"/>
        <v>FOR</v>
      </c>
      <c r="AY5923" t="s">
        <v>55</v>
      </c>
    </row>
    <row r="5924" spans="1:51" hidden="1">
      <c r="A5924">
        <v>104009</v>
      </c>
      <c r="B5924" t="s">
        <v>1167</v>
      </c>
      <c r="C5924" t="str">
        <f t="shared" si="503"/>
        <v>08641790152</v>
      </c>
      <c r="D5924" t="str">
        <f t="shared" si="503"/>
        <v>08641790152</v>
      </c>
      <c r="E5924" t="s">
        <v>52</v>
      </c>
      <c r="F5924">
        <v>2014</v>
      </c>
      <c r="G5924">
        <v>146499</v>
      </c>
      <c r="H5924" s="1">
        <v>41740</v>
      </c>
      <c r="I5924" s="1">
        <v>41757</v>
      </c>
      <c r="J5924" s="1">
        <v>41757</v>
      </c>
      <c r="K5924" s="1">
        <v>41847</v>
      </c>
      <c r="N5924" s="5"/>
      <c r="O5924">
        <v>267.18</v>
      </c>
      <c r="P5924">
        <v>249</v>
      </c>
      <c r="Q5924" s="2">
        <v>66527.820000000007</v>
      </c>
      <c r="R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 s="1">
        <v>42382</v>
      </c>
      <c r="AC5924" t="s">
        <v>53</v>
      </c>
      <c r="AD5924" t="s">
        <v>53</v>
      </c>
      <c r="AK5924">
        <v>0</v>
      </c>
      <c r="AU5924" s="6">
        <v>42096</v>
      </c>
      <c r="AV5924" s="6">
        <v>42096</v>
      </c>
      <c r="AW5924" t="s">
        <v>54</v>
      </c>
      <c r="AX5924" t="str">
        <f t="shared" si="502"/>
        <v>FOR</v>
      </c>
      <c r="AY5924" t="s">
        <v>55</v>
      </c>
    </row>
    <row r="5925" spans="1:51" hidden="1">
      <c r="A5925">
        <v>104009</v>
      </c>
      <c r="B5925" t="s">
        <v>1167</v>
      </c>
      <c r="C5925" t="str">
        <f t="shared" ref="C5925:D5944" si="504">"08641790152"</f>
        <v>08641790152</v>
      </c>
      <c r="D5925" t="str">
        <f t="shared" si="504"/>
        <v>08641790152</v>
      </c>
      <c r="E5925" t="s">
        <v>52</v>
      </c>
      <c r="F5925">
        <v>2014</v>
      </c>
      <c r="G5925">
        <v>147908</v>
      </c>
      <c r="H5925" s="1">
        <v>41744</v>
      </c>
      <c r="I5925" s="1">
        <v>41764</v>
      </c>
      <c r="J5925" s="1">
        <v>41764</v>
      </c>
      <c r="K5925" s="1">
        <v>41854</v>
      </c>
      <c r="N5925" s="5"/>
      <c r="O5925">
        <v>337.31</v>
      </c>
      <c r="P5925">
        <v>242</v>
      </c>
      <c r="Q5925" s="2">
        <v>81629.02</v>
      </c>
      <c r="R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 s="1">
        <v>42382</v>
      </c>
      <c r="AC5925" t="s">
        <v>53</v>
      </c>
      <c r="AD5925" t="s">
        <v>53</v>
      </c>
      <c r="AK5925">
        <v>0</v>
      </c>
      <c r="AU5925" s="6">
        <v>42096</v>
      </c>
      <c r="AV5925" s="6">
        <v>42096</v>
      </c>
      <c r="AW5925" t="s">
        <v>54</v>
      </c>
      <c r="AX5925" t="str">
        <f t="shared" si="502"/>
        <v>FOR</v>
      </c>
      <c r="AY5925" t="s">
        <v>55</v>
      </c>
    </row>
    <row r="5926" spans="1:51" hidden="1">
      <c r="A5926">
        <v>104009</v>
      </c>
      <c r="B5926" t="s">
        <v>1167</v>
      </c>
      <c r="C5926" t="str">
        <f t="shared" si="504"/>
        <v>08641790152</v>
      </c>
      <c r="D5926" t="str">
        <f t="shared" si="504"/>
        <v>08641790152</v>
      </c>
      <c r="E5926" t="s">
        <v>52</v>
      </c>
      <c r="F5926">
        <v>2014</v>
      </c>
      <c r="G5926">
        <v>148170</v>
      </c>
      <c r="H5926" s="1">
        <v>41745</v>
      </c>
      <c r="I5926" s="1">
        <v>41764</v>
      </c>
      <c r="J5926" s="1">
        <v>41764</v>
      </c>
      <c r="K5926" s="1">
        <v>41854</v>
      </c>
      <c r="N5926" s="5"/>
      <c r="O5926">
        <v>648.26</v>
      </c>
      <c r="P5926">
        <v>242</v>
      </c>
      <c r="Q5926" s="2">
        <v>156878.92000000001</v>
      </c>
      <c r="R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 s="1">
        <v>42382</v>
      </c>
      <c r="AC5926" t="s">
        <v>53</v>
      </c>
      <c r="AD5926" t="s">
        <v>53</v>
      </c>
      <c r="AK5926">
        <v>0</v>
      </c>
      <c r="AU5926" s="6">
        <v>42096</v>
      </c>
      <c r="AV5926" s="6">
        <v>42096</v>
      </c>
      <c r="AW5926" t="s">
        <v>54</v>
      </c>
      <c r="AX5926" t="str">
        <f t="shared" si="502"/>
        <v>FOR</v>
      </c>
      <c r="AY5926" t="s">
        <v>55</v>
      </c>
    </row>
    <row r="5927" spans="1:51" hidden="1">
      <c r="A5927">
        <v>104009</v>
      </c>
      <c r="B5927" t="s">
        <v>1167</v>
      </c>
      <c r="C5927" t="str">
        <f t="shared" si="504"/>
        <v>08641790152</v>
      </c>
      <c r="D5927" t="str">
        <f t="shared" si="504"/>
        <v>08641790152</v>
      </c>
      <c r="E5927" t="s">
        <v>52</v>
      </c>
      <c r="F5927">
        <v>2014</v>
      </c>
      <c r="G5927">
        <v>149033</v>
      </c>
      <c r="H5927" s="1">
        <v>41746</v>
      </c>
      <c r="I5927" s="1">
        <v>41765</v>
      </c>
      <c r="J5927" s="1">
        <v>41765</v>
      </c>
      <c r="K5927" s="1">
        <v>41855</v>
      </c>
      <c r="N5927" s="5"/>
      <c r="O5927">
        <v>168.65</v>
      </c>
      <c r="P5927">
        <v>241</v>
      </c>
      <c r="Q5927" s="2">
        <v>40644.65</v>
      </c>
      <c r="R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 s="1">
        <v>42382</v>
      </c>
      <c r="AC5927" t="s">
        <v>53</v>
      </c>
      <c r="AD5927" t="s">
        <v>53</v>
      </c>
      <c r="AK5927">
        <v>0</v>
      </c>
      <c r="AU5927" s="6">
        <v>42096</v>
      </c>
      <c r="AV5927" s="6">
        <v>42096</v>
      </c>
      <c r="AW5927" t="s">
        <v>54</v>
      </c>
      <c r="AX5927" t="str">
        <f t="shared" si="502"/>
        <v>FOR</v>
      </c>
      <c r="AY5927" t="s">
        <v>55</v>
      </c>
    </row>
    <row r="5928" spans="1:51" hidden="1">
      <c r="A5928">
        <v>104009</v>
      </c>
      <c r="B5928" t="s">
        <v>1167</v>
      </c>
      <c r="C5928" t="str">
        <f t="shared" si="504"/>
        <v>08641790152</v>
      </c>
      <c r="D5928" t="str">
        <f t="shared" si="504"/>
        <v>08641790152</v>
      </c>
      <c r="E5928" t="s">
        <v>52</v>
      </c>
      <c r="F5928">
        <v>2014</v>
      </c>
      <c r="G5928">
        <v>149037</v>
      </c>
      <c r="H5928" s="1">
        <v>41746</v>
      </c>
      <c r="I5928" s="1">
        <v>41765</v>
      </c>
      <c r="J5928" s="1">
        <v>41765</v>
      </c>
      <c r="K5928" s="1">
        <v>41855</v>
      </c>
      <c r="N5928" s="5"/>
      <c r="O5928">
        <v>168.65</v>
      </c>
      <c r="P5928">
        <v>241</v>
      </c>
      <c r="Q5928" s="2">
        <v>40644.65</v>
      </c>
      <c r="R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 s="1">
        <v>42382</v>
      </c>
      <c r="AC5928" t="s">
        <v>53</v>
      </c>
      <c r="AD5928" t="s">
        <v>53</v>
      </c>
      <c r="AK5928">
        <v>0</v>
      </c>
      <c r="AU5928" s="6">
        <v>42096</v>
      </c>
      <c r="AV5928" s="6">
        <v>42096</v>
      </c>
      <c r="AW5928" t="s">
        <v>54</v>
      </c>
      <c r="AX5928" t="str">
        <f t="shared" si="502"/>
        <v>FOR</v>
      </c>
      <c r="AY5928" t="s">
        <v>55</v>
      </c>
    </row>
    <row r="5929" spans="1:51" hidden="1">
      <c r="A5929">
        <v>104009</v>
      </c>
      <c r="B5929" t="s">
        <v>1167</v>
      </c>
      <c r="C5929" t="str">
        <f t="shared" si="504"/>
        <v>08641790152</v>
      </c>
      <c r="D5929" t="str">
        <f t="shared" si="504"/>
        <v>08641790152</v>
      </c>
      <c r="E5929" t="s">
        <v>52</v>
      </c>
      <c r="F5929">
        <v>2014</v>
      </c>
      <c r="G5929">
        <v>150962</v>
      </c>
      <c r="H5929" s="1">
        <v>41752</v>
      </c>
      <c r="I5929" s="1">
        <v>41765</v>
      </c>
      <c r="J5929" s="1">
        <v>41765</v>
      </c>
      <c r="K5929" s="1">
        <v>41855</v>
      </c>
      <c r="N5929" s="5"/>
      <c r="O5929" s="2">
        <v>2440</v>
      </c>
      <c r="P5929">
        <v>277</v>
      </c>
      <c r="Q5929" s="2">
        <v>675880</v>
      </c>
      <c r="R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 s="1">
        <v>42382</v>
      </c>
      <c r="AC5929" t="s">
        <v>53</v>
      </c>
      <c r="AD5929" t="s">
        <v>53</v>
      </c>
      <c r="AK5929">
        <v>0</v>
      </c>
      <c r="AU5929" s="6">
        <v>42132</v>
      </c>
      <c r="AV5929" s="6">
        <v>42132</v>
      </c>
      <c r="AW5929" t="s">
        <v>54</v>
      </c>
      <c r="AX5929" t="str">
        <f t="shared" si="502"/>
        <v>FOR</v>
      </c>
      <c r="AY5929" t="s">
        <v>55</v>
      </c>
    </row>
    <row r="5930" spans="1:51" hidden="1">
      <c r="A5930">
        <v>104009</v>
      </c>
      <c r="B5930" t="s">
        <v>1167</v>
      </c>
      <c r="C5930" t="str">
        <f t="shared" si="504"/>
        <v>08641790152</v>
      </c>
      <c r="D5930" t="str">
        <f t="shared" si="504"/>
        <v>08641790152</v>
      </c>
      <c r="E5930" t="s">
        <v>52</v>
      </c>
      <c r="F5930">
        <v>2014</v>
      </c>
      <c r="G5930">
        <v>151361</v>
      </c>
      <c r="H5930" s="1">
        <v>41753</v>
      </c>
      <c r="I5930" s="1">
        <v>41767</v>
      </c>
      <c r="J5930" s="1">
        <v>41767</v>
      </c>
      <c r="K5930" s="1">
        <v>41857</v>
      </c>
      <c r="N5930" s="5"/>
      <c r="O5930" s="2">
        <v>3952</v>
      </c>
      <c r="P5930">
        <v>239</v>
      </c>
      <c r="Q5930" s="2">
        <v>944528</v>
      </c>
      <c r="R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 s="1">
        <v>42382</v>
      </c>
      <c r="AC5930" t="s">
        <v>53</v>
      </c>
      <c r="AD5930" t="s">
        <v>53</v>
      </c>
      <c r="AK5930">
        <v>0</v>
      </c>
      <c r="AU5930" s="6">
        <v>42096</v>
      </c>
      <c r="AV5930" s="6">
        <v>42096</v>
      </c>
      <c r="AW5930" t="s">
        <v>54</v>
      </c>
      <c r="AX5930" t="str">
        <f t="shared" si="502"/>
        <v>FOR</v>
      </c>
      <c r="AY5930" t="s">
        <v>55</v>
      </c>
    </row>
    <row r="5931" spans="1:51" hidden="1">
      <c r="A5931">
        <v>104009</v>
      </c>
      <c r="B5931" t="s">
        <v>1167</v>
      </c>
      <c r="C5931" t="str">
        <f t="shared" si="504"/>
        <v>08641790152</v>
      </c>
      <c r="D5931" t="str">
        <f t="shared" si="504"/>
        <v>08641790152</v>
      </c>
      <c r="E5931" t="s">
        <v>52</v>
      </c>
      <c r="F5931">
        <v>2014</v>
      </c>
      <c r="G5931">
        <v>151781</v>
      </c>
      <c r="H5931" s="1">
        <v>41753</v>
      </c>
      <c r="I5931" s="1">
        <v>41767</v>
      </c>
      <c r="J5931" s="1">
        <v>41767</v>
      </c>
      <c r="K5931" s="1">
        <v>41857</v>
      </c>
      <c r="N5931" s="5"/>
      <c r="O5931" s="2">
        <v>3952</v>
      </c>
      <c r="P5931">
        <v>239</v>
      </c>
      <c r="Q5931" s="2">
        <v>944528</v>
      </c>
      <c r="R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 s="1">
        <v>42382</v>
      </c>
      <c r="AC5931" t="s">
        <v>53</v>
      </c>
      <c r="AD5931" t="s">
        <v>53</v>
      </c>
      <c r="AK5931">
        <v>0</v>
      </c>
      <c r="AU5931" s="6">
        <v>42096</v>
      </c>
      <c r="AV5931" s="6">
        <v>42096</v>
      </c>
      <c r="AW5931" t="s">
        <v>54</v>
      </c>
      <c r="AX5931" t="str">
        <f t="shared" si="502"/>
        <v>FOR</v>
      </c>
      <c r="AY5931" t="s">
        <v>55</v>
      </c>
    </row>
    <row r="5932" spans="1:51" hidden="1">
      <c r="A5932">
        <v>104009</v>
      </c>
      <c r="B5932" t="s">
        <v>1167</v>
      </c>
      <c r="C5932" t="str">
        <f t="shared" si="504"/>
        <v>08641790152</v>
      </c>
      <c r="D5932" t="str">
        <f t="shared" si="504"/>
        <v>08641790152</v>
      </c>
      <c r="E5932" t="s">
        <v>52</v>
      </c>
      <c r="F5932">
        <v>2014</v>
      </c>
      <c r="G5932">
        <v>154834</v>
      </c>
      <c r="H5932" s="1">
        <v>41764</v>
      </c>
      <c r="I5932" s="1">
        <v>41773</v>
      </c>
      <c r="J5932" s="1">
        <v>41773</v>
      </c>
      <c r="K5932" s="1">
        <v>41863</v>
      </c>
      <c r="N5932" s="5"/>
      <c r="O5932">
        <v>610</v>
      </c>
      <c r="P5932">
        <v>269</v>
      </c>
      <c r="Q5932" s="2">
        <v>164090</v>
      </c>
      <c r="R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 s="1">
        <v>42382</v>
      </c>
      <c r="AC5932" t="s">
        <v>53</v>
      </c>
      <c r="AD5932" t="s">
        <v>53</v>
      </c>
      <c r="AK5932">
        <v>0</v>
      </c>
      <c r="AU5932" s="6">
        <v>42132</v>
      </c>
      <c r="AV5932" s="6">
        <v>42132</v>
      </c>
      <c r="AW5932" t="s">
        <v>54</v>
      </c>
      <c r="AX5932" t="str">
        <f t="shared" si="502"/>
        <v>FOR</v>
      </c>
      <c r="AY5932" t="s">
        <v>55</v>
      </c>
    </row>
    <row r="5933" spans="1:51" hidden="1">
      <c r="A5933">
        <v>104009</v>
      </c>
      <c r="B5933" t="s">
        <v>1167</v>
      </c>
      <c r="C5933" t="str">
        <f t="shared" si="504"/>
        <v>08641790152</v>
      </c>
      <c r="D5933" t="str">
        <f t="shared" si="504"/>
        <v>08641790152</v>
      </c>
      <c r="E5933" t="s">
        <v>52</v>
      </c>
      <c r="F5933">
        <v>2014</v>
      </c>
      <c r="G5933">
        <v>154943</v>
      </c>
      <c r="H5933" s="1">
        <v>41764</v>
      </c>
      <c r="I5933" s="1">
        <v>41773</v>
      </c>
      <c r="J5933" s="1">
        <v>41773</v>
      </c>
      <c r="K5933" s="1">
        <v>41863</v>
      </c>
      <c r="N5933" s="5"/>
      <c r="O5933">
        <v>652.21</v>
      </c>
      <c r="P5933">
        <v>269</v>
      </c>
      <c r="Q5933" s="2">
        <v>175444.49</v>
      </c>
      <c r="R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 s="1">
        <v>42382</v>
      </c>
      <c r="AC5933" t="s">
        <v>53</v>
      </c>
      <c r="AD5933" t="s">
        <v>53</v>
      </c>
      <c r="AK5933">
        <v>0</v>
      </c>
      <c r="AU5933" s="6">
        <v>42132</v>
      </c>
      <c r="AV5933" s="6">
        <v>42132</v>
      </c>
      <c r="AW5933" t="s">
        <v>54</v>
      </c>
      <c r="AX5933" t="str">
        <f t="shared" si="502"/>
        <v>FOR</v>
      </c>
      <c r="AY5933" t="s">
        <v>55</v>
      </c>
    </row>
    <row r="5934" spans="1:51" hidden="1">
      <c r="A5934">
        <v>104009</v>
      </c>
      <c r="B5934" t="s">
        <v>1167</v>
      </c>
      <c r="C5934" t="str">
        <f t="shared" si="504"/>
        <v>08641790152</v>
      </c>
      <c r="D5934" t="str">
        <f t="shared" si="504"/>
        <v>08641790152</v>
      </c>
      <c r="E5934" t="s">
        <v>52</v>
      </c>
      <c r="F5934">
        <v>2014</v>
      </c>
      <c r="G5934">
        <v>155001</v>
      </c>
      <c r="H5934" s="1">
        <v>41764</v>
      </c>
      <c r="I5934" s="1">
        <v>41773</v>
      </c>
      <c r="J5934" s="1">
        <v>41773</v>
      </c>
      <c r="K5934" s="1">
        <v>41863</v>
      </c>
      <c r="N5934" s="5"/>
      <c r="O5934" s="2">
        <v>2316.0500000000002</v>
      </c>
      <c r="P5934">
        <v>269</v>
      </c>
      <c r="Q5934" s="2">
        <v>623017.44999999995</v>
      </c>
      <c r="R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 s="1">
        <v>42382</v>
      </c>
      <c r="AC5934" t="s">
        <v>53</v>
      </c>
      <c r="AD5934" t="s">
        <v>53</v>
      </c>
      <c r="AK5934">
        <v>0</v>
      </c>
      <c r="AU5934" s="6">
        <v>42132</v>
      </c>
      <c r="AV5934" s="6">
        <v>42132</v>
      </c>
      <c r="AW5934" t="s">
        <v>54</v>
      </c>
      <c r="AX5934" t="str">
        <f t="shared" si="502"/>
        <v>FOR</v>
      </c>
      <c r="AY5934" t="s">
        <v>55</v>
      </c>
    </row>
    <row r="5935" spans="1:51" hidden="1">
      <c r="A5935">
        <v>104009</v>
      </c>
      <c r="B5935" t="s">
        <v>1167</v>
      </c>
      <c r="C5935" t="str">
        <f t="shared" si="504"/>
        <v>08641790152</v>
      </c>
      <c r="D5935" t="str">
        <f t="shared" si="504"/>
        <v>08641790152</v>
      </c>
      <c r="E5935" t="s">
        <v>52</v>
      </c>
      <c r="F5935">
        <v>2014</v>
      </c>
      <c r="G5935">
        <v>155469</v>
      </c>
      <c r="H5935" s="1">
        <v>41765</v>
      </c>
      <c r="I5935" s="1">
        <v>41773</v>
      </c>
      <c r="J5935" s="1">
        <v>41773</v>
      </c>
      <c r="K5935" s="1">
        <v>41863</v>
      </c>
      <c r="N5935" s="5"/>
      <c r="O5935" s="2">
        <v>6112.2</v>
      </c>
      <c r="P5935">
        <v>269</v>
      </c>
      <c r="Q5935" s="2">
        <v>1644181.8</v>
      </c>
      <c r="R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 s="1">
        <v>42382</v>
      </c>
      <c r="AC5935" t="s">
        <v>53</v>
      </c>
      <c r="AD5935" t="s">
        <v>53</v>
      </c>
      <c r="AK5935">
        <v>0</v>
      </c>
      <c r="AU5935" s="6">
        <v>42132</v>
      </c>
      <c r="AV5935" s="6">
        <v>42132</v>
      </c>
      <c r="AW5935" t="s">
        <v>54</v>
      </c>
      <c r="AX5935" t="str">
        <f t="shared" si="502"/>
        <v>FOR</v>
      </c>
      <c r="AY5935" t="s">
        <v>55</v>
      </c>
    </row>
    <row r="5936" spans="1:51" hidden="1">
      <c r="A5936">
        <v>104009</v>
      </c>
      <c r="B5936" t="s">
        <v>1167</v>
      </c>
      <c r="C5936" t="str">
        <f t="shared" si="504"/>
        <v>08641790152</v>
      </c>
      <c r="D5936" t="str">
        <f t="shared" si="504"/>
        <v>08641790152</v>
      </c>
      <c r="E5936" t="s">
        <v>52</v>
      </c>
      <c r="F5936">
        <v>2014</v>
      </c>
      <c r="G5936">
        <v>156189</v>
      </c>
      <c r="H5936" s="1">
        <v>41766</v>
      </c>
      <c r="I5936" s="1">
        <v>41778</v>
      </c>
      <c r="J5936" s="1">
        <v>41778</v>
      </c>
      <c r="K5936" s="1">
        <v>41868</v>
      </c>
      <c r="N5936" s="5"/>
      <c r="O5936">
        <v>951.6</v>
      </c>
      <c r="P5936">
        <v>264</v>
      </c>
      <c r="Q5936" s="2">
        <v>251222.39999999999</v>
      </c>
      <c r="R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 s="1">
        <v>42382</v>
      </c>
      <c r="AC5936" t="s">
        <v>53</v>
      </c>
      <c r="AD5936" t="s">
        <v>53</v>
      </c>
      <c r="AK5936">
        <v>0</v>
      </c>
      <c r="AU5936" s="6">
        <v>42132</v>
      </c>
      <c r="AV5936" s="6">
        <v>42132</v>
      </c>
      <c r="AW5936" t="s">
        <v>54</v>
      </c>
      <c r="AX5936" t="str">
        <f t="shared" si="502"/>
        <v>FOR</v>
      </c>
      <c r="AY5936" t="s">
        <v>55</v>
      </c>
    </row>
    <row r="5937" spans="1:51" hidden="1">
      <c r="A5937">
        <v>104009</v>
      </c>
      <c r="B5937" t="s">
        <v>1167</v>
      </c>
      <c r="C5937" t="str">
        <f t="shared" si="504"/>
        <v>08641790152</v>
      </c>
      <c r="D5937" t="str">
        <f t="shared" si="504"/>
        <v>08641790152</v>
      </c>
      <c r="E5937" t="s">
        <v>52</v>
      </c>
      <c r="F5937">
        <v>2014</v>
      </c>
      <c r="G5937">
        <v>156677</v>
      </c>
      <c r="H5937" s="1">
        <v>41767</v>
      </c>
      <c r="I5937" s="1">
        <v>41778</v>
      </c>
      <c r="J5937" s="1">
        <v>41778</v>
      </c>
      <c r="K5937" s="1">
        <v>41868</v>
      </c>
      <c r="N5937" s="5"/>
      <c r="O5937">
        <v>341.6</v>
      </c>
      <c r="P5937">
        <v>264</v>
      </c>
      <c r="Q5937" s="2">
        <v>90182.399999999994</v>
      </c>
      <c r="R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 s="1">
        <v>42382</v>
      </c>
      <c r="AC5937" t="s">
        <v>53</v>
      </c>
      <c r="AD5937" t="s">
        <v>53</v>
      </c>
      <c r="AK5937">
        <v>0</v>
      </c>
      <c r="AU5937" s="6">
        <v>42132</v>
      </c>
      <c r="AV5937" s="6">
        <v>42132</v>
      </c>
      <c r="AW5937" t="s">
        <v>54</v>
      </c>
      <c r="AX5937" t="str">
        <f t="shared" si="502"/>
        <v>FOR</v>
      </c>
      <c r="AY5937" t="s">
        <v>55</v>
      </c>
    </row>
    <row r="5938" spans="1:51" hidden="1">
      <c r="A5938">
        <v>104009</v>
      </c>
      <c r="B5938" t="s">
        <v>1167</v>
      </c>
      <c r="C5938" t="str">
        <f t="shared" si="504"/>
        <v>08641790152</v>
      </c>
      <c r="D5938" t="str">
        <f t="shared" si="504"/>
        <v>08641790152</v>
      </c>
      <c r="E5938" t="s">
        <v>52</v>
      </c>
      <c r="F5938">
        <v>2014</v>
      </c>
      <c r="G5938">
        <v>156975</v>
      </c>
      <c r="H5938" s="1">
        <v>41767</v>
      </c>
      <c r="I5938" s="1">
        <v>41778</v>
      </c>
      <c r="J5938" s="1">
        <v>41778</v>
      </c>
      <c r="K5938" s="1">
        <v>41868</v>
      </c>
      <c r="N5938" s="5"/>
      <c r="O5938" s="2">
        <v>1947.12</v>
      </c>
      <c r="P5938">
        <v>264</v>
      </c>
      <c r="Q5938" s="2">
        <v>514039.68</v>
      </c>
      <c r="R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 s="1">
        <v>42382</v>
      </c>
      <c r="AC5938" t="s">
        <v>53</v>
      </c>
      <c r="AD5938" t="s">
        <v>53</v>
      </c>
      <c r="AK5938">
        <v>0</v>
      </c>
      <c r="AU5938" s="6">
        <v>42132</v>
      </c>
      <c r="AV5938" s="6">
        <v>42132</v>
      </c>
      <c r="AW5938" t="s">
        <v>54</v>
      </c>
      <c r="AX5938" t="str">
        <f t="shared" si="502"/>
        <v>FOR</v>
      </c>
      <c r="AY5938" t="s">
        <v>55</v>
      </c>
    </row>
    <row r="5939" spans="1:51" hidden="1">
      <c r="A5939">
        <v>104009</v>
      </c>
      <c r="B5939" t="s">
        <v>1167</v>
      </c>
      <c r="C5939" t="str">
        <f t="shared" si="504"/>
        <v>08641790152</v>
      </c>
      <c r="D5939" t="str">
        <f t="shared" si="504"/>
        <v>08641790152</v>
      </c>
      <c r="E5939" t="s">
        <v>52</v>
      </c>
      <c r="F5939">
        <v>2014</v>
      </c>
      <c r="G5939">
        <v>157049</v>
      </c>
      <c r="H5939" s="1">
        <v>41768</v>
      </c>
      <c r="I5939" s="1">
        <v>41789</v>
      </c>
      <c r="J5939" s="1">
        <v>41789</v>
      </c>
      <c r="K5939" s="1">
        <v>41879</v>
      </c>
      <c r="N5939" s="5"/>
      <c r="O5939">
        <v>51.24</v>
      </c>
      <c r="P5939">
        <v>253</v>
      </c>
      <c r="Q5939" s="2">
        <v>12963.72</v>
      </c>
      <c r="R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 s="1">
        <v>42382</v>
      </c>
      <c r="AC5939" t="s">
        <v>53</v>
      </c>
      <c r="AD5939" t="s">
        <v>53</v>
      </c>
      <c r="AK5939">
        <v>0</v>
      </c>
      <c r="AU5939" s="6">
        <v>42132</v>
      </c>
      <c r="AV5939" s="6">
        <v>42132</v>
      </c>
      <c r="AW5939" t="s">
        <v>54</v>
      </c>
      <c r="AX5939" t="str">
        <f t="shared" si="502"/>
        <v>FOR</v>
      </c>
      <c r="AY5939" t="s">
        <v>55</v>
      </c>
    </row>
    <row r="5940" spans="1:51" hidden="1">
      <c r="A5940">
        <v>104009</v>
      </c>
      <c r="B5940" t="s">
        <v>1167</v>
      </c>
      <c r="C5940" t="str">
        <f t="shared" si="504"/>
        <v>08641790152</v>
      </c>
      <c r="D5940" t="str">
        <f t="shared" si="504"/>
        <v>08641790152</v>
      </c>
      <c r="E5940" t="s">
        <v>52</v>
      </c>
      <c r="F5940">
        <v>2014</v>
      </c>
      <c r="G5940">
        <v>157783</v>
      </c>
      <c r="H5940" s="1">
        <v>41771</v>
      </c>
      <c r="I5940" s="1">
        <v>41782</v>
      </c>
      <c r="J5940" s="1">
        <v>41782</v>
      </c>
      <c r="K5940" s="1">
        <v>41872</v>
      </c>
      <c r="N5940" s="5"/>
      <c r="O5940">
        <v>778.85</v>
      </c>
      <c r="P5940">
        <v>260</v>
      </c>
      <c r="Q5940" s="2">
        <v>202501</v>
      </c>
      <c r="R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 s="1">
        <v>42382</v>
      </c>
      <c r="AC5940" t="s">
        <v>53</v>
      </c>
      <c r="AD5940" t="s">
        <v>53</v>
      </c>
      <c r="AK5940">
        <v>0</v>
      </c>
      <c r="AU5940" s="6">
        <v>42132</v>
      </c>
      <c r="AV5940" s="6">
        <v>42132</v>
      </c>
      <c r="AW5940" t="s">
        <v>54</v>
      </c>
      <c r="AX5940" t="str">
        <f t="shared" si="502"/>
        <v>FOR</v>
      </c>
      <c r="AY5940" t="s">
        <v>55</v>
      </c>
    </row>
    <row r="5941" spans="1:51" hidden="1">
      <c r="A5941">
        <v>104009</v>
      </c>
      <c r="B5941" t="s">
        <v>1167</v>
      </c>
      <c r="C5941" t="str">
        <f t="shared" si="504"/>
        <v>08641790152</v>
      </c>
      <c r="D5941" t="str">
        <f t="shared" si="504"/>
        <v>08641790152</v>
      </c>
      <c r="E5941" t="s">
        <v>52</v>
      </c>
      <c r="F5941">
        <v>2014</v>
      </c>
      <c r="G5941">
        <v>158068</v>
      </c>
      <c r="H5941" s="1">
        <v>41771</v>
      </c>
      <c r="I5941" s="1">
        <v>41809</v>
      </c>
      <c r="J5941" s="1">
        <v>41809</v>
      </c>
      <c r="K5941" s="1">
        <v>41899</v>
      </c>
      <c r="N5941" s="5"/>
      <c r="O5941">
        <v>-103.7</v>
      </c>
      <c r="P5941">
        <v>197</v>
      </c>
      <c r="Q5941" s="2">
        <v>-20428.900000000001</v>
      </c>
      <c r="R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 s="1">
        <v>42382</v>
      </c>
      <c r="AC5941" t="s">
        <v>53</v>
      </c>
      <c r="AD5941" t="s">
        <v>53</v>
      </c>
      <c r="AK5941">
        <v>0</v>
      </c>
      <c r="AU5941" s="6">
        <v>42096</v>
      </c>
      <c r="AV5941" s="6">
        <v>42096</v>
      </c>
      <c r="AW5941" t="s">
        <v>54</v>
      </c>
      <c r="AX5941" t="str">
        <f t="shared" si="502"/>
        <v>FOR</v>
      </c>
      <c r="AY5941" t="s">
        <v>55</v>
      </c>
    </row>
    <row r="5942" spans="1:51" hidden="1">
      <c r="A5942">
        <v>104009</v>
      </c>
      <c r="B5942" t="s">
        <v>1167</v>
      </c>
      <c r="C5942" t="str">
        <f t="shared" si="504"/>
        <v>08641790152</v>
      </c>
      <c r="D5942" t="str">
        <f t="shared" si="504"/>
        <v>08641790152</v>
      </c>
      <c r="E5942" t="s">
        <v>52</v>
      </c>
      <c r="F5942">
        <v>2014</v>
      </c>
      <c r="G5942">
        <v>158108</v>
      </c>
      <c r="H5942" s="1">
        <v>41771</v>
      </c>
      <c r="I5942" s="1">
        <v>41782</v>
      </c>
      <c r="J5942" s="1">
        <v>41782</v>
      </c>
      <c r="K5942" s="1">
        <v>41872</v>
      </c>
      <c r="N5942" s="5"/>
      <c r="O5942">
        <v>947.94</v>
      </c>
      <c r="P5942">
        <v>260</v>
      </c>
      <c r="Q5942" s="2">
        <v>246464.4</v>
      </c>
      <c r="R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 s="1">
        <v>42382</v>
      </c>
      <c r="AC5942" t="s">
        <v>53</v>
      </c>
      <c r="AD5942" t="s">
        <v>53</v>
      </c>
      <c r="AK5942">
        <v>0</v>
      </c>
      <c r="AU5942" s="6">
        <v>42132</v>
      </c>
      <c r="AV5942" s="6">
        <v>42132</v>
      </c>
      <c r="AW5942" t="s">
        <v>54</v>
      </c>
      <c r="AX5942" t="str">
        <f t="shared" si="502"/>
        <v>FOR</v>
      </c>
      <c r="AY5942" t="s">
        <v>55</v>
      </c>
    </row>
    <row r="5943" spans="1:51" hidden="1">
      <c r="A5943">
        <v>104009</v>
      </c>
      <c r="B5943" t="s">
        <v>1167</v>
      </c>
      <c r="C5943" t="str">
        <f t="shared" si="504"/>
        <v>08641790152</v>
      </c>
      <c r="D5943" t="str">
        <f t="shared" si="504"/>
        <v>08641790152</v>
      </c>
      <c r="E5943" t="s">
        <v>52</v>
      </c>
      <c r="F5943">
        <v>2014</v>
      </c>
      <c r="G5943">
        <v>158322</v>
      </c>
      <c r="H5943" s="1">
        <v>41772</v>
      </c>
      <c r="I5943" s="1">
        <v>41779</v>
      </c>
      <c r="J5943" s="1">
        <v>41779</v>
      </c>
      <c r="K5943" s="1">
        <v>41869</v>
      </c>
      <c r="N5943" s="5"/>
      <c r="O5943">
        <v>225.7</v>
      </c>
      <c r="P5943">
        <v>263</v>
      </c>
      <c r="Q5943" s="2">
        <v>59359.1</v>
      </c>
      <c r="R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 s="1">
        <v>42382</v>
      </c>
      <c r="AC5943" t="s">
        <v>53</v>
      </c>
      <c r="AD5943" t="s">
        <v>53</v>
      </c>
      <c r="AK5943">
        <v>0</v>
      </c>
      <c r="AU5943" s="6">
        <v>42132</v>
      </c>
      <c r="AV5943" s="6">
        <v>42132</v>
      </c>
      <c r="AW5943" t="s">
        <v>54</v>
      </c>
      <c r="AX5943" t="str">
        <f t="shared" si="502"/>
        <v>FOR</v>
      </c>
      <c r="AY5943" t="s">
        <v>55</v>
      </c>
    </row>
    <row r="5944" spans="1:51" hidden="1">
      <c r="A5944">
        <v>104009</v>
      </c>
      <c r="B5944" t="s">
        <v>1167</v>
      </c>
      <c r="C5944" t="str">
        <f t="shared" si="504"/>
        <v>08641790152</v>
      </c>
      <c r="D5944" t="str">
        <f t="shared" si="504"/>
        <v>08641790152</v>
      </c>
      <c r="E5944" t="s">
        <v>52</v>
      </c>
      <c r="F5944">
        <v>2014</v>
      </c>
      <c r="G5944">
        <v>158726</v>
      </c>
      <c r="H5944" s="1">
        <v>41772</v>
      </c>
      <c r="I5944" s="1">
        <v>41779</v>
      </c>
      <c r="J5944" s="1">
        <v>41779</v>
      </c>
      <c r="K5944" s="1">
        <v>41869</v>
      </c>
      <c r="N5944" s="5"/>
      <c r="O5944" s="2">
        <v>3904</v>
      </c>
      <c r="P5944">
        <v>263</v>
      </c>
      <c r="Q5944" s="2">
        <v>1026752</v>
      </c>
      <c r="R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 s="1">
        <v>42382</v>
      </c>
      <c r="AC5944" t="s">
        <v>53</v>
      </c>
      <c r="AD5944" t="s">
        <v>53</v>
      </c>
      <c r="AK5944">
        <v>0</v>
      </c>
      <c r="AU5944" s="6">
        <v>42132</v>
      </c>
      <c r="AV5944" s="6">
        <v>42132</v>
      </c>
      <c r="AW5944" t="s">
        <v>54</v>
      </c>
      <c r="AX5944" t="str">
        <f t="shared" si="502"/>
        <v>FOR</v>
      </c>
      <c r="AY5944" t="s">
        <v>55</v>
      </c>
    </row>
    <row r="5945" spans="1:51" hidden="1">
      <c r="A5945">
        <v>104009</v>
      </c>
      <c r="B5945" t="s">
        <v>1167</v>
      </c>
      <c r="C5945" t="str">
        <f t="shared" ref="C5945:D5964" si="505">"08641790152"</f>
        <v>08641790152</v>
      </c>
      <c r="D5945" t="str">
        <f t="shared" si="505"/>
        <v>08641790152</v>
      </c>
      <c r="E5945" t="s">
        <v>52</v>
      </c>
      <c r="F5945">
        <v>2014</v>
      </c>
      <c r="G5945">
        <v>158746</v>
      </c>
      <c r="H5945" s="1">
        <v>41772</v>
      </c>
      <c r="I5945" s="1">
        <v>41779</v>
      </c>
      <c r="J5945" s="1">
        <v>41779</v>
      </c>
      <c r="K5945" s="1">
        <v>41869</v>
      </c>
      <c r="N5945" s="5"/>
      <c r="O5945" s="2">
        <v>4880</v>
      </c>
      <c r="P5945">
        <v>263</v>
      </c>
      <c r="Q5945" s="2">
        <v>1283440</v>
      </c>
      <c r="R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 s="1">
        <v>42382</v>
      </c>
      <c r="AC5945" t="s">
        <v>53</v>
      </c>
      <c r="AD5945" t="s">
        <v>53</v>
      </c>
      <c r="AK5945">
        <v>0</v>
      </c>
      <c r="AU5945" s="6">
        <v>42132</v>
      </c>
      <c r="AV5945" s="6">
        <v>42132</v>
      </c>
      <c r="AW5945" t="s">
        <v>54</v>
      </c>
      <c r="AX5945" t="str">
        <f t="shared" si="502"/>
        <v>FOR</v>
      </c>
      <c r="AY5945" t="s">
        <v>55</v>
      </c>
    </row>
    <row r="5946" spans="1:51" hidden="1">
      <c r="A5946">
        <v>104009</v>
      </c>
      <c r="B5946" t="s">
        <v>1167</v>
      </c>
      <c r="C5946" t="str">
        <f t="shared" si="505"/>
        <v>08641790152</v>
      </c>
      <c r="D5946" t="str">
        <f t="shared" si="505"/>
        <v>08641790152</v>
      </c>
      <c r="E5946" t="s">
        <v>52</v>
      </c>
      <c r="F5946">
        <v>2014</v>
      </c>
      <c r="G5946">
        <v>159319</v>
      </c>
      <c r="H5946" s="1">
        <v>41773</v>
      </c>
      <c r="I5946" s="1">
        <v>41788</v>
      </c>
      <c r="J5946" s="1">
        <v>41788</v>
      </c>
      <c r="K5946" s="1">
        <v>41878</v>
      </c>
      <c r="N5946" s="5"/>
      <c r="O5946" s="2">
        <v>1793.4</v>
      </c>
      <c r="P5946">
        <v>254</v>
      </c>
      <c r="Q5946" s="2">
        <v>455523.6</v>
      </c>
      <c r="R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 s="1">
        <v>42382</v>
      </c>
      <c r="AC5946" t="s">
        <v>53</v>
      </c>
      <c r="AD5946" t="s">
        <v>53</v>
      </c>
      <c r="AK5946">
        <v>0</v>
      </c>
      <c r="AU5946" s="6">
        <v>42132</v>
      </c>
      <c r="AV5946" s="6">
        <v>42132</v>
      </c>
      <c r="AW5946" t="s">
        <v>54</v>
      </c>
      <c r="AX5946" t="str">
        <f t="shared" si="502"/>
        <v>FOR</v>
      </c>
      <c r="AY5946" t="s">
        <v>55</v>
      </c>
    </row>
    <row r="5947" spans="1:51" hidden="1">
      <c r="A5947">
        <v>104009</v>
      </c>
      <c r="B5947" t="s">
        <v>1167</v>
      </c>
      <c r="C5947" t="str">
        <f t="shared" si="505"/>
        <v>08641790152</v>
      </c>
      <c r="D5947" t="str">
        <f t="shared" si="505"/>
        <v>08641790152</v>
      </c>
      <c r="E5947" t="s">
        <v>52</v>
      </c>
      <c r="F5947">
        <v>2014</v>
      </c>
      <c r="G5947">
        <v>159761</v>
      </c>
      <c r="H5947" s="1">
        <v>41774</v>
      </c>
      <c r="I5947" s="1">
        <v>41788</v>
      </c>
      <c r="J5947" s="1">
        <v>41788</v>
      </c>
      <c r="K5947" s="1">
        <v>41878</v>
      </c>
      <c r="N5947" s="5"/>
      <c r="O5947">
        <v>45.14</v>
      </c>
      <c r="P5947">
        <v>254</v>
      </c>
      <c r="Q5947" s="2">
        <v>11465.56</v>
      </c>
      <c r="R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 s="1">
        <v>42382</v>
      </c>
      <c r="AC5947" t="s">
        <v>53</v>
      </c>
      <c r="AD5947" t="s">
        <v>53</v>
      </c>
      <c r="AK5947">
        <v>0</v>
      </c>
      <c r="AU5947" s="6">
        <v>42132</v>
      </c>
      <c r="AV5947" s="6">
        <v>42132</v>
      </c>
      <c r="AW5947" t="s">
        <v>54</v>
      </c>
      <c r="AX5947" t="str">
        <f t="shared" si="502"/>
        <v>FOR</v>
      </c>
      <c r="AY5947" t="s">
        <v>55</v>
      </c>
    </row>
    <row r="5948" spans="1:51" hidden="1">
      <c r="A5948">
        <v>104009</v>
      </c>
      <c r="B5948" t="s">
        <v>1167</v>
      </c>
      <c r="C5948" t="str">
        <f t="shared" si="505"/>
        <v>08641790152</v>
      </c>
      <c r="D5948" t="str">
        <f t="shared" si="505"/>
        <v>08641790152</v>
      </c>
      <c r="E5948" t="s">
        <v>52</v>
      </c>
      <c r="F5948">
        <v>2014</v>
      </c>
      <c r="G5948">
        <v>159848</v>
      </c>
      <c r="H5948" s="1">
        <v>41774</v>
      </c>
      <c r="I5948" s="1">
        <v>41788</v>
      </c>
      <c r="J5948" s="1">
        <v>41788</v>
      </c>
      <c r="K5948" s="1">
        <v>41878</v>
      </c>
      <c r="N5948" s="5"/>
      <c r="O5948" s="2">
        <v>2324.1</v>
      </c>
      <c r="P5948">
        <v>254</v>
      </c>
      <c r="Q5948" s="2">
        <v>590321.4</v>
      </c>
      <c r="R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 s="1">
        <v>42382</v>
      </c>
      <c r="AC5948" t="s">
        <v>53</v>
      </c>
      <c r="AD5948" t="s">
        <v>53</v>
      </c>
      <c r="AK5948">
        <v>0</v>
      </c>
      <c r="AU5948" s="6">
        <v>42132</v>
      </c>
      <c r="AV5948" s="6">
        <v>42132</v>
      </c>
      <c r="AW5948" t="s">
        <v>54</v>
      </c>
      <c r="AX5948" t="str">
        <f t="shared" si="502"/>
        <v>FOR</v>
      </c>
      <c r="AY5948" t="s">
        <v>55</v>
      </c>
    </row>
    <row r="5949" spans="1:51" hidden="1">
      <c r="A5949">
        <v>104009</v>
      </c>
      <c r="B5949" t="s">
        <v>1167</v>
      </c>
      <c r="C5949" t="str">
        <f t="shared" si="505"/>
        <v>08641790152</v>
      </c>
      <c r="D5949" t="str">
        <f t="shared" si="505"/>
        <v>08641790152</v>
      </c>
      <c r="E5949" t="s">
        <v>52</v>
      </c>
      <c r="F5949">
        <v>2014</v>
      </c>
      <c r="G5949">
        <v>159852</v>
      </c>
      <c r="H5949" s="1">
        <v>41774</v>
      </c>
      <c r="I5949" s="1">
        <v>41788</v>
      </c>
      <c r="J5949" s="1">
        <v>41788</v>
      </c>
      <c r="K5949" s="1">
        <v>41878</v>
      </c>
      <c r="N5949" s="5"/>
      <c r="O5949" s="2">
        <v>2108.16</v>
      </c>
      <c r="P5949">
        <v>254</v>
      </c>
      <c r="Q5949" s="2">
        <v>535472.64000000001</v>
      </c>
      <c r="R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 s="1">
        <v>42382</v>
      </c>
      <c r="AC5949" t="s">
        <v>53</v>
      </c>
      <c r="AD5949" t="s">
        <v>53</v>
      </c>
      <c r="AK5949">
        <v>0</v>
      </c>
      <c r="AU5949" s="6">
        <v>42132</v>
      </c>
      <c r="AV5949" s="6">
        <v>42132</v>
      </c>
      <c r="AW5949" t="s">
        <v>54</v>
      </c>
      <c r="AX5949" t="str">
        <f t="shared" si="502"/>
        <v>FOR</v>
      </c>
      <c r="AY5949" t="s">
        <v>55</v>
      </c>
    </row>
    <row r="5950" spans="1:51" hidden="1">
      <c r="A5950">
        <v>104009</v>
      </c>
      <c r="B5950" t="s">
        <v>1167</v>
      </c>
      <c r="C5950" t="str">
        <f t="shared" si="505"/>
        <v>08641790152</v>
      </c>
      <c r="D5950" t="str">
        <f t="shared" si="505"/>
        <v>08641790152</v>
      </c>
      <c r="E5950" t="s">
        <v>52</v>
      </c>
      <c r="F5950">
        <v>2014</v>
      </c>
      <c r="G5950">
        <v>161146</v>
      </c>
      <c r="H5950" s="1">
        <v>41778</v>
      </c>
      <c r="I5950" s="1">
        <v>41788</v>
      </c>
      <c r="J5950" s="1">
        <v>41788</v>
      </c>
      <c r="K5950" s="1">
        <v>41878</v>
      </c>
      <c r="N5950" s="5"/>
      <c r="O5950">
        <v>68.319999999999993</v>
      </c>
      <c r="P5950">
        <v>254</v>
      </c>
      <c r="Q5950" s="2">
        <v>17353.28</v>
      </c>
      <c r="R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 s="1">
        <v>42382</v>
      </c>
      <c r="AC5950" t="s">
        <v>53</v>
      </c>
      <c r="AD5950" t="s">
        <v>53</v>
      </c>
      <c r="AK5950">
        <v>0</v>
      </c>
      <c r="AU5950" s="6">
        <v>42132</v>
      </c>
      <c r="AV5950" s="6">
        <v>42132</v>
      </c>
      <c r="AW5950" t="s">
        <v>54</v>
      </c>
      <c r="AX5950" t="str">
        <f t="shared" si="502"/>
        <v>FOR</v>
      </c>
      <c r="AY5950" t="s">
        <v>55</v>
      </c>
    </row>
    <row r="5951" spans="1:51" hidden="1">
      <c r="A5951">
        <v>104009</v>
      </c>
      <c r="B5951" t="s">
        <v>1167</v>
      </c>
      <c r="C5951" t="str">
        <f t="shared" si="505"/>
        <v>08641790152</v>
      </c>
      <c r="D5951" t="str">
        <f t="shared" si="505"/>
        <v>08641790152</v>
      </c>
      <c r="E5951" t="s">
        <v>52</v>
      </c>
      <c r="F5951">
        <v>2014</v>
      </c>
      <c r="G5951">
        <v>161342</v>
      </c>
      <c r="H5951" s="1">
        <v>41778</v>
      </c>
      <c r="I5951" s="1">
        <v>41788</v>
      </c>
      <c r="J5951" s="1">
        <v>41788</v>
      </c>
      <c r="K5951" s="1">
        <v>41878</v>
      </c>
      <c r="N5951" s="5"/>
      <c r="O5951">
        <v>51.24</v>
      </c>
      <c r="P5951">
        <v>254</v>
      </c>
      <c r="Q5951" s="2">
        <v>13014.96</v>
      </c>
      <c r="R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 s="1">
        <v>42382</v>
      </c>
      <c r="AC5951" t="s">
        <v>53</v>
      </c>
      <c r="AD5951" t="s">
        <v>53</v>
      </c>
      <c r="AK5951">
        <v>0</v>
      </c>
      <c r="AU5951" s="6">
        <v>42132</v>
      </c>
      <c r="AV5951" s="6">
        <v>42132</v>
      </c>
      <c r="AW5951" t="s">
        <v>54</v>
      </c>
      <c r="AX5951" t="str">
        <f t="shared" si="502"/>
        <v>FOR</v>
      </c>
      <c r="AY5951" t="s">
        <v>55</v>
      </c>
    </row>
    <row r="5952" spans="1:51" hidden="1">
      <c r="A5952">
        <v>104009</v>
      </c>
      <c r="B5952" t="s">
        <v>1167</v>
      </c>
      <c r="C5952" t="str">
        <f t="shared" si="505"/>
        <v>08641790152</v>
      </c>
      <c r="D5952" t="str">
        <f t="shared" si="505"/>
        <v>08641790152</v>
      </c>
      <c r="E5952" t="s">
        <v>52</v>
      </c>
      <c r="F5952">
        <v>2014</v>
      </c>
      <c r="G5952">
        <v>163845</v>
      </c>
      <c r="H5952" s="1">
        <v>41782</v>
      </c>
      <c r="I5952" s="1">
        <v>41799</v>
      </c>
      <c r="J5952" s="1">
        <v>41799</v>
      </c>
      <c r="K5952" s="1">
        <v>41889</v>
      </c>
      <c r="N5952" s="5"/>
      <c r="O5952">
        <v>644.16</v>
      </c>
      <c r="P5952">
        <v>207</v>
      </c>
      <c r="Q5952" s="2">
        <v>133341.12</v>
      </c>
      <c r="R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 s="1">
        <v>42382</v>
      </c>
      <c r="AC5952" t="s">
        <v>53</v>
      </c>
      <c r="AD5952" t="s">
        <v>53</v>
      </c>
      <c r="AK5952">
        <v>0</v>
      </c>
      <c r="AU5952" s="6">
        <v>42096</v>
      </c>
      <c r="AV5952" s="6">
        <v>42096</v>
      </c>
      <c r="AW5952" t="s">
        <v>54</v>
      </c>
      <c r="AX5952" t="str">
        <f t="shared" si="502"/>
        <v>FOR</v>
      </c>
      <c r="AY5952" t="s">
        <v>55</v>
      </c>
    </row>
    <row r="5953" spans="1:51" hidden="1">
      <c r="A5953">
        <v>104009</v>
      </c>
      <c r="B5953" t="s">
        <v>1167</v>
      </c>
      <c r="C5953" t="str">
        <f t="shared" si="505"/>
        <v>08641790152</v>
      </c>
      <c r="D5953" t="str">
        <f t="shared" si="505"/>
        <v>08641790152</v>
      </c>
      <c r="E5953" t="s">
        <v>52</v>
      </c>
      <c r="F5953">
        <v>2014</v>
      </c>
      <c r="G5953">
        <v>164199</v>
      </c>
      <c r="H5953" s="1">
        <v>41785</v>
      </c>
      <c r="I5953" s="1">
        <v>41796</v>
      </c>
      <c r="J5953" s="1">
        <v>41796</v>
      </c>
      <c r="K5953" s="1">
        <v>41886</v>
      </c>
      <c r="N5953" s="5"/>
      <c r="O5953" s="2">
        <v>7777.5</v>
      </c>
      <c r="P5953">
        <v>246</v>
      </c>
      <c r="Q5953" s="2">
        <v>1913265</v>
      </c>
      <c r="R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 s="1">
        <v>42382</v>
      </c>
      <c r="AC5953" t="s">
        <v>53</v>
      </c>
      <c r="AD5953" t="s">
        <v>53</v>
      </c>
      <c r="AK5953">
        <v>0</v>
      </c>
      <c r="AU5953" s="6">
        <v>42132</v>
      </c>
      <c r="AV5953" s="6">
        <v>42132</v>
      </c>
      <c r="AW5953" t="s">
        <v>54</v>
      </c>
      <c r="AX5953" t="str">
        <f t="shared" si="502"/>
        <v>FOR</v>
      </c>
      <c r="AY5953" t="s">
        <v>55</v>
      </c>
    </row>
    <row r="5954" spans="1:51" hidden="1">
      <c r="A5954">
        <v>104009</v>
      </c>
      <c r="B5954" t="s">
        <v>1167</v>
      </c>
      <c r="C5954" t="str">
        <f t="shared" si="505"/>
        <v>08641790152</v>
      </c>
      <c r="D5954" t="str">
        <f t="shared" si="505"/>
        <v>08641790152</v>
      </c>
      <c r="E5954" t="s">
        <v>52</v>
      </c>
      <c r="F5954">
        <v>2014</v>
      </c>
      <c r="G5954">
        <v>168257</v>
      </c>
      <c r="H5954" s="1">
        <v>41793</v>
      </c>
      <c r="I5954" s="1">
        <v>41800</v>
      </c>
      <c r="J5954" s="1">
        <v>41800</v>
      </c>
      <c r="K5954" s="1">
        <v>41890</v>
      </c>
      <c r="N5954" s="5"/>
      <c r="O5954" s="2">
        <v>8052</v>
      </c>
      <c r="P5954">
        <v>268</v>
      </c>
      <c r="Q5954" s="2">
        <v>2157936</v>
      </c>
      <c r="R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 s="1">
        <v>42382</v>
      </c>
      <c r="AC5954" t="s">
        <v>53</v>
      </c>
      <c r="AD5954" t="s">
        <v>53</v>
      </c>
      <c r="AK5954">
        <v>0</v>
      </c>
      <c r="AU5954" s="6">
        <v>42158</v>
      </c>
      <c r="AV5954" s="6">
        <v>42158</v>
      </c>
      <c r="AW5954" t="s">
        <v>54</v>
      </c>
      <c r="AX5954" t="str">
        <f t="shared" si="502"/>
        <v>FOR</v>
      </c>
      <c r="AY5954" t="s">
        <v>55</v>
      </c>
    </row>
    <row r="5955" spans="1:51" hidden="1">
      <c r="A5955">
        <v>104009</v>
      </c>
      <c r="B5955" t="s">
        <v>1167</v>
      </c>
      <c r="C5955" t="str">
        <f t="shared" si="505"/>
        <v>08641790152</v>
      </c>
      <c r="D5955" t="str">
        <f t="shared" si="505"/>
        <v>08641790152</v>
      </c>
      <c r="E5955" t="s">
        <v>52</v>
      </c>
      <c r="F5955">
        <v>2014</v>
      </c>
      <c r="G5955">
        <v>168329</v>
      </c>
      <c r="H5955" s="1">
        <v>41794</v>
      </c>
      <c r="I5955" s="1">
        <v>41808</v>
      </c>
      <c r="J5955" s="1">
        <v>41808</v>
      </c>
      <c r="K5955" s="1">
        <v>41898</v>
      </c>
      <c r="N5955" s="5"/>
      <c r="O5955">
        <v>988</v>
      </c>
      <c r="P5955">
        <v>260</v>
      </c>
      <c r="Q5955" s="2">
        <v>256880</v>
      </c>
      <c r="R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 s="1">
        <v>42382</v>
      </c>
      <c r="AC5955" t="s">
        <v>53</v>
      </c>
      <c r="AD5955" t="s">
        <v>53</v>
      </c>
      <c r="AK5955">
        <v>0</v>
      </c>
      <c r="AU5955" s="6">
        <v>42158</v>
      </c>
      <c r="AV5955" s="6">
        <v>42158</v>
      </c>
      <c r="AW5955" t="s">
        <v>54</v>
      </c>
      <c r="AX5955" t="str">
        <f t="shared" ref="AX5955:AX6018" si="506">"FOR"</f>
        <v>FOR</v>
      </c>
      <c r="AY5955" t="s">
        <v>55</v>
      </c>
    </row>
    <row r="5956" spans="1:51" hidden="1">
      <c r="A5956">
        <v>104009</v>
      </c>
      <c r="B5956" t="s">
        <v>1167</v>
      </c>
      <c r="C5956" t="str">
        <f t="shared" si="505"/>
        <v>08641790152</v>
      </c>
      <c r="D5956" t="str">
        <f t="shared" si="505"/>
        <v>08641790152</v>
      </c>
      <c r="E5956" t="s">
        <v>52</v>
      </c>
      <c r="F5956">
        <v>2014</v>
      </c>
      <c r="G5956">
        <v>168595</v>
      </c>
      <c r="H5956" s="1">
        <v>41794</v>
      </c>
      <c r="I5956" s="1">
        <v>41808</v>
      </c>
      <c r="J5956" s="1">
        <v>41808</v>
      </c>
      <c r="K5956" s="1">
        <v>41898</v>
      </c>
      <c r="N5956" s="5"/>
      <c r="O5956" s="2">
        <v>1112.6400000000001</v>
      </c>
      <c r="P5956">
        <v>260</v>
      </c>
      <c r="Q5956" s="2">
        <v>289286.40000000002</v>
      </c>
      <c r="R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 s="1">
        <v>42382</v>
      </c>
      <c r="AC5956" t="s">
        <v>53</v>
      </c>
      <c r="AD5956" t="s">
        <v>53</v>
      </c>
      <c r="AK5956">
        <v>0</v>
      </c>
      <c r="AU5956" s="6">
        <v>42158</v>
      </c>
      <c r="AV5956" s="6">
        <v>42158</v>
      </c>
      <c r="AW5956" t="s">
        <v>54</v>
      </c>
      <c r="AX5956" t="str">
        <f t="shared" si="506"/>
        <v>FOR</v>
      </c>
      <c r="AY5956" t="s">
        <v>55</v>
      </c>
    </row>
    <row r="5957" spans="1:51" hidden="1">
      <c r="A5957">
        <v>104009</v>
      </c>
      <c r="B5957" t="s">
        <v>1167</v>
      </c>
      <c r="C5957" t="str">
        <f t="shared" si="505"/>
        <v>08641790152</v>
      </c>
      <c r="D5957" t="str">
        <f t="shared" si="505"/>
        <v>08641790152</v>
      </c>
      <c r="E5957" t="s">
        <v>52</v>
      </c>
      <c r="F5957">
        <v>2014</v>
      </c>
      <c r="G5957">
        <v>169202</v>
      </c>
      <c r="H5957" s="1">
        <v>41795</v>
      </c>
      <c r="I5957" s="1">
        <v>41808</v>
      </c>
      <c r="J5957" s="1">
        <v>41808</v>
      </c>
      <c r="K5957" s="1">
        <v>41898</v>
      </c>
      <c r="N5957" s="5"/>
      <c r="O5957" s="2">
        <v>1371.28</v>
      </c>
      <c r="P5957">
        <v>260</v>
      </c>
      <c r="Q5957" s="2">
        <v>356532.8</v>
      </c>
      <c r="R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 s="1">
        <v>42382</v>
      </c>
      <c r="AC5957" t="s">
        <v>53</v>
      </c>
      <c r="AD5957" t="s">
        <v>53</v>
      </c>
      <c r="AK5957">
        <v>0</v>
      </c>
      <c r="AU5957" s="6">
        <v>42158</v>
      </c>
      <c r="AV5957" s="6">
        <v>42158</v>
      </c>
      <c r="AW5957" t="s">
        <v>54</v>
      </c>
      <c r="AX5957" t="str">
        <f t="shared" si="506"/>
        <v>FOR</v>
      </c>
      <c r="AY5957" t="s">
        <v>55</v>
      </c>
    </row>
    <row r="5958" spans="1:51" hidden="1">
      <c r="A5958">
        <v>104009</v>
      </c>
      <c r="B5958" t="s">
        <v>1167</v>
      </c>
      <c r="C5958" t="str">
        <f t="shared" si="505"/>
        <v>08641790152</v>
      </c>
      <c r="D5958" t="str">
        <f t="shared" si="505"/>
        <v>08641790152</v>
      </c>
      <c r="E5958" t="s">
        <v>52</v>
      </c>
      <c r="F5958">
        <v>2014</v>
      </c>
      <c r="G5958">
        <v>169233</v>
      </c>
      <c r="H5958" s="1">
        <v>41795</v>
      </c>
      <c r="I5958" s="1">
        <v>41808</v>
      </c>
      <c r="J5958" s="1">
        <v>41808</v>
      </c>
      <c r="K5958" s="1">
        <v>41898</v>
      </c>
      <c r="N5958" s="5"/>
      <c r="O5958" s="2">
        <v>1821.46</v>
      </c>
      <c r="P5958">
        <v>260</v>
      </c>
      <c r="Q5958" s="2">
        <v>473579.6</v>
      </c>
      <c r="R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 s="1">
        <v>42382</v>
      </c>
      <c r="AC5958" t="s">
        <v>53</v>
      </c>
      <c r="AD5958" t="s">
        <v>53</v>
      </c>
      <c r="AK5958">
        <v>0</v>
      </c>
      <c r="AU5958" s="6">
        <v>42158</v>
      </c>
      <c r="AV5958" s="6">
        <v>42158</v>
      </c>
      <c r="AW5958" t="s">
        <v>54</v>
      </c>
      <c r="AX5958" t="str">
        <f t="shared" si="506"/>
        <v>FOR</v>
      </c>
      <c r="AY5958" t="s">
        <v>55</v>
      </c>
    </row>
    <row r="5959" spans="1:51" hidden="1">
      <c r="A5959">
        <v>104009</v>
      </c>
      <c r="B5959" t="s">
        <v>1167</v>
      </c>
      <c r="C5959" t="str">
        <f t="shared" si="505"/>
        <v>08641790152</v>
      </c>
      <c r="D5959" t="str">
        <f t="shared" si="505"/>
        <v>08641790152</v>
      </c>
      <c r="E5959" t="s">
        <v>52</v>
      </c>
      <c r="F5959">
        <v>2014</v>
      </c>
      <c r="G5959">
        <v>169478</v>
      </c>
      <c r="H5959" s="1">
        <v>41795</v>
      </c>
      <c r="I5959" s="1">
        <v>41808</v>
      </c>
      <c r="J5959" s="1">
        <v>41808</v>
      </c>
      <c r="K5959" s="1">
        <v>41898</v>
      </c>
      <c r="N5959" s="5"/>
      <c r="O5959">
        <v>938.18</v>
      </c>
      <c r="P5959">
        <v>260</v>
      </c>
      <c r="Q5959" s="2">
        <v>243926.8</v>
      </c>
      <c r="R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 s="1">
        <v>42382</v>
      </c>
      <c r="AC5959" t="s">
        <v>53</v>
      </c>
      <c r="AD5959" t="s">
        <v>53</v>
      </c>
      <c r="AK5959">
        <v>0</v>
      </c>
      <c r="AU5959" s="6">
        <v>42158</v>
      </c>
      <c r="AV5959" s="6">
        <v>42158</v>
      </c>
      <c r="AW5959" t="s">
        <v>54</v>
      </c>
      <c r="AX5959" t="str">
        <f t="shared" si="506"/>
        <v>FOR</v>
      </c>
      <c r="AY5959" t="s">
        <v>55</v>
      </c>
    </row>
    <row r="5960" spans="1:51" hidden="1">
      <c r="A5960">
        <v>104009</v>
      </c>
      <c r="B5960" t="s">
        <v>1167</v>
      </c>
      <c r="C5960" t="str">
        <f t="shared" si="505"/>
        <v>08641790152</v>
      </c>
      <c r="D5960" t="str">
        <f t="shared" si="505"/>
        <v>08641790152</v>
      </c>
      <c r="E5960" t="s">
        <v>52</v>
      </c>
      <c r="F5960">
        <v>2014</v>
      </c>
      <c r="G5960">
        <v>169659</v>
      </c>
      <c r="H5960" s="1">
        <v>41796</v>
      </c>
      <c r="I5960" s="1">
        <v>41808</v>
      </c>
      <c r="J5960" s="1">
        <v>41808</v>
      </c>
      <c r="K5960" s="1">
        <v>41898</v>
      </c>
      <c r="N5960" s="5"/>
      <c r="O5960">
        <v>544.61</v>
      </c>
      <c r="P5960">
        <v>260</v>
      </c>
      <c r="Q5960" s="2">
        <v>141598.6</v>
      </c>
      <c r="R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 s="1">
        <v>42382</v>
      </c>
      <c r="AC5960" t="s">
        <v>53</v>
      </c>
      <c r="AD5960" t="s">
        <v>53</v>
      </c>
      <c r="AK5960">
        <v>0</v>
      </c>
      <c r="AU5960" s="6">
        <v>42158</v>
      </c>
      <c r="AV5960" s="6">
        <v>42158</v>
      </c>
      <c r="AW5960" t="s">
        <v>54</v>
      </c>
      <c r="AX5960" t="str">
        <f t="shared" si="506"/>
        <v>FOR</v>
      </c>
      <c r="AY5960" t="s">
        <v>55</v>
      </c>
    </row>
    <row r="5961" spans="1:51" hidden="1">
      <c r="A5961">
        <v>104009</v>
      </c>
      <c r="B5961" t="s">
        <v>1167</v>
      </c>
      <c r="C5961" t="str">
        <f t="shared" si="505"/>
        <v>08641790152</v>
      </c>
      <c r="D5961" t="str">
        <f t="shared" si="505"/>
        <v>08641790152</v>
      </c>
      <c r="E5961" t="s">
        <v>52</v>
      </c>
      <c r="F5961">
        <v>2014</v>
      </c>
      <c r="G5961">
        <v>169660</v>
      </c>
      <c r="H5961" s="1">
        <v>41796</v>
      </c>
      <c r="I5961" s="1">
        <v>41808</v>
      </c>
      <c r="J5961" s="1">
        <v>41808</v>
      </c>
      <c r="K5961" s="1">
        <v>41898</v>
      </c>
      <c r="N5961" s="5"/>
      <c r="O5961">
        <v>210.82</v>
      </c>
      <c r="P5961">
        <v>260</v>
      </c>
      <c r="Q5961" s="2">
        <v>54813.2</v>
      </c>
      <c r="R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 s="1">
        <v>42382</v>
      </c>
      <c r="AC5961" t="s">
        <v>53</v>
      </c>
      <c r="AD5961" t="s">
        <v>53</v>
      </c>
      <c r="AK5961">
        <v>0</v>
      </c>
      <c r="AU5961" s="6">
        <v>42158</v>
      </c>
      <c r="AV5961" s="6">
        <v>42158</v>
      </c>
      <c r="AW5961" t="s">
        <v>54</v>
      </c>
      <c r="AX5961" t="str">
        <f t="shared" si="506"/>
        <v>FOR</v>
      </c>
      <c r="AY5961" t="s">
        <v>55</v>
      </c>
    </row>
    <row r="5962" spans="1:51" hidden="1">
      <c r="A5962">
        <v>104009</v>
      </c>
      <c r="B5962" t="s">
        <v>1167</v>
      </c>
      <c r="C5962" t="str">
        <f t="shared" si="505"/>
        <v>08641790152</v>
      </c>
      <c r="D5962" t="str">
        <f t="shared" si="505"/>
        <v>08641790152</v>
      </c>
      <c r="E5962" t="s">
        <v>52</v>
      </c>
      <c r="F5962">
        <v>2014</v>
      </c>
      <c r="G5962">
        <v>169982</v>
      </c>
      <c r="H5962" s="1">
        <v>41796</v>
      </c>
      <c r="I5962" s="1">
        <v>41808</v>
      </c>
      <c r="J5962" s="1">
        <v>41808</v>
      </c>
      <c r="K5962" s="1">
        <v>41898</v>
      </c>
      <c r="N5962" s="5"/>
      <c r="O5962">
        <v>843.26</v>
      </c>
      <c r="P5962">
        <v>260</v>
      </c>
      <c r="Q5962" s="2">
        <v>219247.6</v>
      </c>
      <c r="R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 s="1">
        <v>42382</v>
      </c>
      <c r="AC5962" t="s">
        <v>53</v>
      </c>
      <c r="AD5962" t="s">
        <v>53</v>
      </c>
      <c r="AK5962">
        <v>0</v>
      </c>
      <c r="AU5962" s="6">
        <v>42158</v>
      </c>
      <c r="AV5962" s="6">
        <v>42158</v>
      </c>
      <c r="AW5962" t="s">
        <v>54</v>
      </c>
      <c r="AX5962" t="str">
        <f t="shared" si="506"/>
        <v>FOR</v>
      </c>
      <c r="AY5962" t="s">
        <v>55</v>
      </c>
    </row>
    <row r="5963" spans="1:51" hidden="1">
      <c r="A5963">
        <v>104009</v>
      </c>
      <c r="B5963" t="s">
        <v>1167</v>
      </c>
      <c r="C5963" t="str">
        <f t="shared" si="505"/>
        <v>08641790152</v>
      </c>
      <c r="D5963" t="str">
        <f t="shared" si="505"/>
        <v>08641790152</v>
      </c>
      <c r="E5963" t="s">
        <v>52</v>
      </c>
      <c r="F5963">
        <v>2014</v>
      </c>
      <c r="G5963">
        <v>170602</v>
      </c>
      <c r="H5963" s="1">
        <v>41799</v>
      </c>
      <c r="I5963" s="1">
        <v>41814</v>
      </c>
      <c r="J5963" s="1">
        <v>41814</v>
      </c>
      <c r="K5963" s="1">
        <v>41904</v>
      </c>
      <c r="N5963" s="5"/>
      <c r="O5963" s="2">
        <v>2178.4299999999998</v>
      </c>
      <c r="P5963">
        <v>254</v>
      </c>
      <c r="Q5963" s="2">
        <v>553321.22</v>
      </c>
      <c r="R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 s="1">
        <v>42382</v>
      </c>
      <c r="AC5963" t="s">
        <v>53</v>
      </c>
      <c r="AD5963" t="s">
        <v>53</v>
      </c>
      <c r="AK5963">
        <v>0</v>
      </c>
      <c r="AU5963" s="6">
        <v>42158</v>
      </c>
      <c r="AV5963" s="6">
        <v>42158</v>
      </c>
      <c r="AW5963" t="s">
        <v>54</v>
      </c>
      <c r="AX5963" t="str">
        <f t="shared" si="506"/>
        <v>FOR</v>
      </c>
      <c r="AY5963" t="s">
        <v>55</v>
      </c>
    </row>
    <row r="5964" spans="1:51" hidden="1">
      <c r="A5964">
        <v>104009</v>
      </c>
      <c r="B5964" t="s">
        <v>1167</v>
      </c>
      <c r="C5964" t="str">
        <f t="shared" si="505"/>
        <v>08641790152</v>
      </c>
      <c r="D5964" t="str">
        <f t="shared" si="505"/>
        <v>08641790152</v>
      </c>
      <c r="E5964" t="s">
        <v>52</v>
      </c>
      <c r="F5964">
        <v>2014</v>
      </c>
      <c r="G5964">
        <v>170606</v>
      </c>
      <c r="H5964" s="1">
        <v>41799</v>
      </c>
      <c r="I5964" s="1">
        <v>41814</v>
      </c>
      <c r="J5964" s="1">
        <v>41814</v>
      </c>
      <c r="K5964" s="1">
        <v>41904</v>
      </c>
      <c r="N5964" s="5"/>
      <c r="O5964" s="2">
        <v>4053.08</v>
      </c>
      <c r="P5964">
        <v>254</v>
      </c>
      <c r="Q5964" s="2">
        <v>1029482.32</v>
      </c>
      <c r="R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 s="1">
        <v>42382</v>
      </c>
      <c r="AC5964" t="s">
        <v>53</v>
      </c>
      <c r="AD5964" t="s">
        <v>53</v>
      </c>
      <c r="AK5964">
        <v>0</v>
      </c>
      <c r="AU5964" s="6">
        <v>42158</v>
      </c>
      <c r="AV5964" s="6">
        <v>42158</v>
      </c>
      <c r="AW5964" t="s">
        <v>54</v>
      </c>
      <c r="AX5964" t="str">
        <f t="shared" si="506"/>
        <v>FOR</v>
      </c>
      <c r="AY5964" t="s">
        <v>55</v>
      </c>
    </row>
    <row r="5965" spans="1:51" hidden="1">
      <c r="A5965">
        <v>104009</v>
      </c>
      <c r="B5965" t="s">
        <v>1167</v>
      </c>
      <c r="C5965" t="str">
        <f t="shared" ref="C5965:D5984" si="507">"08641790152"</f>
        <v>08641790152</v>
      </c>
      <c r="D5965" t="str">
        <f t="shared" si="507"/>
        <v>08641790152</v>
      </c>
      <c r="E5965" t="s">
        <v>52</v>
      </c>
      <c r="F5965">
        <v>2014</v>
      </c>
      <c r="G5965">
        <v>173827</v>
      </c>
      <c r="H5965" s="1">
        <v>41806</v>
      </c>
      <c r="I5965" s="1">
        <v>41816</v>
      </c>
      <c r="J5965" s="1">
        <v>41816</v>
      </c>
      <c r="K5965" s="1">
        <v>41906</v>
      </c>
      <c r="N5965" s="5"/>
      <c r="O5965">
        <v>761.28</v>
      </c>
      <c r="P5965">
        <v>252</v>
      </c>
      <c r="Q5965" s="2">
        <v>191842.56</v>
      </c>
      <c r="R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 s="1">
        <v>42382</v>
      </c>
      <c r="AC5965" t="s">
        <v>53</v>
      </c>
      <c r="AD5965" t="s">
        <v>53</v>
      </c>
      <c r="AK5965">
        <v>0</v>
      </c>
      <c r="AU5965" s="6">
        <v>42158</v>
      </c>
      <c r="AV5965" s="6">
        <v>42158</v>
      </c>
      <c r="AW5965" t="s">
        <v>54</v>
      </c>
      <c r="AX5965" t="str">
        <f t="shared" si="506"/>
        <v>FOR</v>
      </c>
      <c r="AY5965" t="s">
        <v>55</v>
      </c>
    </row>
    <row r="5966" spans="1:51" hidden="1">
      <c r="A5966">
        <v>104009</v>
      </c>
      <c r="B5966" t="s">
        <v>1167</v>
      </c>
      <c r="C5966" t="str">
        <f t="shared" si="507"/>
        <v>08641790152</v>
      </c>
      <c r="D5966" t="str">
        <f t="shared" si="507"/>
        <v>08641790152</v>
      </c>
      <c r="E5966" t="s">
        <v>52</v>
      </c>
      <c r="F5966">
        <v>2014</v>
      </c>
      <c r="G5966">
        <v>174206</v>
      </c>
      <c r="H5966" s="1">
        <v>41807</v>
      </c>
      <c r="I5966" s="1">
        <v>41817</v>
      </c>
      <c r="J5966" s="1">
        <v>41817</v>
      </c>
      <c r="K5966" s="1">
        <v>41907</v>
      </c>
      <c r="N5966" s="5"/>
      <c r="O5966">
        <v>190.32</v>
      </c>
      <c r="P5966">
        <v>251</v>
      </c>
      <c r="Q5966" s="2">
        <v>47770.32</v>
      </c>
      <c r="R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 s="1">
        <v>42382</v>
      </c>
      <c r="AC5966" t="s">
        <v>53</v>
      </c>
      <c r="AD5966" t="s">
        <v>53</v>
      </c>
      <c r="AK5966">
        <v>0</v>
      </c>
      <c r="AU5966" s="6">
        <v>42158</v>
      </c>
      <c r="AV5966" s="6">
        <v>42158</v>
      </c>
      <c r="AW5966" t="s">
        <v>54</v>
      </c>
      <c r="AX5966" t="str">
        <f t="shared" si="506"/>
        <v>FOR</v>
      </c>
      <c r="AY5966" t="s">
        <v>55</v>
      </c>
    </row>
    <row r="5967" spans="1:51" hidden="1">
      <c r="A5967">
        <v>104009</v>
      </c>
      <c r="B5967" t="s">
        <v>1167</v>
      </c>
      <c r="C5967" t="str">
        <f t="shared" si="507"/>
        <v>08641790152</v>
      </c>
      <c r="D5967" t="str">
        <f t="shared" si="507"/>
        <v>08641790152</v>
      </c>
      <c r="E5967" t="s">
        <v>52</v>
      </c>
      <c r="F5967">
        <v>2014</v>
      </c>
      <c r="G5967">
        <v>175440</v>
      </c>
      <c r="H5967" s="1">
        <v>41809</v>
      </c>
      <c r="I5967" s="1">
        <v>41817</v>
      </c>
      <c r="J5967" s="1">
        <v>41817</v>
      </c>
      <c r="K5967" s="1">
        <v>41907</v>
      </c>
      <c r="N5967" s="5"/>
      <c r="O5967" s="2">
        <v>19398</v>
      </c>
      <c r="P5967">
        <v>225</v>
      </c>
      <c r="Q5967" s="2">
        <v>4364550</v>
      </c>
      <c r="R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 s="1">
        <v>42382</v>
      </c>
      <c r="AC5967" t="s">
        <v>53</v>
      </c>
      <c r="AD5967" t="s">
        <v>53</v>
      </c>
      <c r="AK5967">
        <v>0</v>
      </c>
      <c r="AU5967" s="6">
        <v>42132</v>
      </c>
      <c r="AV5967" s="6">
        <v>42132</v>
      </c>
      <c r="AW5967" t="s">
        <v>54</v>
      </c>
      <c r="AX5967" t="str">
        <f t="shared" si="506"/>
        <v>FOR</v>
      </c>
      <c r="AY5967" t="s">
        <v>55</v>
      </c>
    </row>
    <row r="5968" spans="1:51" hidden="1">
      <c r="A5968">
        <v>104009</v>
      </c>
      <c r="B5968" t="s">
        <v>1167</v>
      </c>
      <c r="C5968" t="str">
        <f t="shared" si="507"/>
        <v>08641790152</v>
      </c>
      <c r="D5968" t="str">
        <f t="shared" si="507"/>
        <v>08641790152</v>
      </c>
      <c r="E5968" t="s">
        <v>52</v>
      </c>
      <c r="F5968">
        <v>2014</v>
      </c>
      <c r="G5968">
        <v>175587</v>
      </c>
      <c r="H5968" s="1">
        <v>41809</v>
      </c>
      <c r="I5968" s="1">
        <v>41820</v>
      </c>
      <c r="J5968" s="1">
        <v>41820</v>
      </c>
      <c r="K5968" s="1">
        <v>41910</v>
      </c>
      <c r="N5968" s="5"/>
      <c r="O5968">
        <v>416</v>
      </c>
      <c r="P5968">
        <v>248</v>
      </c>
      <c r="Q5968" s="2">
        <v>103168</v>
      </c>
      <c r="R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 s="1">
        <v>42382</v>
      </c>
      <c r="AC5968" t="s">
        <v>53</v>
      </c>
      <c r="AD5968" t="s">
        <v>53</v>
      </c>
      <c r="AK5968">
        <v>0</v>
      </c>
      <c r="AU5968" s="6">
        <v>42158</v>
      </c>
      <c r="AV5968" s="6">
        <v>42158</v>
      </c>
      <c r="AW5968" t="s">
        <v>54</v>
      </c>
      <c r="AX5968" t="str">
        <f t="shared" si="506"/>
        <v>FOR</v>
      </c>
      <c r="AY5968" t="s">
        <v>55</v>
      </c>
    </row>
    <row r="5969" spans="1:51" hidden="1">
      <c r="A5969">
        <v>104009</v>
      </c>
      <c r="B5969" t="s">
        <v>1167</v>
      </c>
      <c r="C5969" t="str">
        <f t="shared" si="507"/>
        <v>08641790152</v>
      </c>
      <c r="D5969" t="str">
        <f t="shared" si="507"/>
        <v>08641790152</v>
      </c>
      <c r="E5969" t="s">
        <v>52</v>
      </c>
      <c r="F5969">
        <v>2014</v>
      </c>
      <c r="G5969">
        <v>175612</v>
      </c>
      <c r="H5969" s="1">
        <v>41809</v>
      </c>
      <c r="I5969" s="1">
        <v>41820</v>
      </c>
      <c r="J5969" s="1">
        <v>41820</v>
      </c>
      <c r="K5969" s="1">
        <v>41910</v>
      </c>
      <c r="N5969" s="5"/>
      <c r="O5969" s="2">
        <v>2135</v>
      </c>
      <c r="P5969">
        <v>248</v>
      </c>
      <c r="Q5969" s="2">
        <v>529480</v>
      </c>
      <c r="R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 s="1">
        <v>42382</v>
      </c>
      <c r="AC5969" t="s">
        <v>53</v>
      </c>
      <c r="AD5969" t="s">
        <v>53</v>
      </c>
      <c r="AK5969">
        <v>0</v>
      </c>
      <c r="AU5969" s="6">
        <v>42158</v>
      </c>
      <c r="AV5969" s="6">
        <v>42158</v>
      </c>
      <c r="AW5969" t="s">
        <v>54</v>
      </c>
      <c r="AX5969" t="str">
        <f t="shared" si="506"/>
        <v>FOR</v>
      </c>
      <c r="AY5969" t="s">
        <v>55</v>
      </c>
    </row>
    <row r="5970" spans="1:51" hidden="1">
      <c r="A5970">
        <v>104009</v>
      </c>
      <c r="B5970" t="s">
        <v>1167</v>
      </c>
      <c r="C5970" t="str">
        <f t="shared" si="507"/>
        <v>08641790152</v>
      </c>
      <c r="D5970" t="str">
        <f t="shared" si="507"/>
        <v>08641790152</v>
      </c>
      <c r="E5970" t="s">
        <v>52</v>
      </c>
      <c r="F5970">
        <v>2014</v>
      </c>
      <c r="G5970">
        <v>175752</v>
      </c>
      <c r="H5970" s="1">
        <v>41809</v>
      </c>
      <c r="I5970" s="1">
        <v>41820</v>
      </c>
      <c r="J5970" s="1">
        <v>41820</v>
      </c>
      <c r="K5970" s="1">
        <v>41910</v>
      </c>
      <c r="N5970" s="5"/>
      <c r="O5970">
        <v>497.76</v>
      </c>
      <c r="P5970">
        <v>248</v>
      </c>
      <c r="Q5970" s="2">
        <v>123444.48</v>
      </c>
      <c r="R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 s="1">
        <v>42382</v>
      </c>
      <c r="AC5970" t="s">
        <v>53</v>
      </c>
      <c r="AD5970" t="s">
        <v>53</v>
      </c>
      <c r="AK5970">
        <v>0</v>
      </c>
      <c r="AU5970" s="6">
        <v>42158</v>
      </c>
      <c r="AV5970" s="6">
        <v>42158</v>
      </c>
      <c r="AW5970" t="s">
        <v>54</v>
      </c>
      <c r="AX5970" t="str">
        <f t="shared" si="506"/>
        <v>FOR</v>
      </c>
      <c r="AY5970" t="s">
        <v>55</v>
      </c>
    </row>
    <row r="5971" spans="1:51" hidden="1">
      <c r="A5971">
        <v>104009</v>
      </c>
      <c r="B5971" t="s">
        <v>1167</v>
      </c>
      <c r="C5971" t="str">
        <f t="shared" si="507"/>
        <v>08641790152</v>
      </c>
      <c r="D5971" t="str">
        <f t="shared" si="507"/>
        <v>08641790152</v>
      </c>
      <c r="E5971" t="s">
        <v>52</v>
      </c>
      <c r="F5971">
        <v>2014</v>
      </c>
      <c r="G5971">
        <v>176626</v>
      </c>
      <c r="H5971" s="1">
        <v>41813</v>
      </c>
      <c r="I5971" s="1">
        <v>41821</v>
      </c>
      <c r="J5971" s="1">
        <v>41821</v>
      </c>
      <c r="K5971" s="1">
        <v>41911</v>
      </c>
      <c r="N5971" s="5"/>
      <c r="O5971">
        <v>915</v>
      </c>
      <c r="P5971">
        <v>247</v>
      </c>
      <c r="Q5971" s="2">
        <v>226005</v>
      </c>
      <c r="R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 s="1">
        <v>42382</v>
      </c>
      <c r="AC5971" t="s">
        <v>53</v>
      </c>
      <c r="AD5971" t="s">
        <v>53</v>
      </c>
      <c r="AK5971">
        <v>0</v>
      </c>
      <c r="AU5971" s="6">
        <v>42158</v>
      </c>
      <c r="AV5971" s="6">
        <v>42158</v>
      </c>
      <c r="AW5971" t="s">
        <v>54</v>
      </c>
      <c r="AX5971" t="str">
        <f t="shared" si="506"/>
        <v>FOR</v>
      </c>
      <c r="AY5971" t="s">
        <v>55</v>
      </c>
    </row>
    <row r="5972" spans="1:51" hidden="1">
      <c r="A5972">
        <v>104009</v>
      </c>
      <c r="B5972" t="s">
        <v>1167</v>
      </c>
      <c r="C5972" t="str">
        <f t="shared" si="507"/>
        <v>08641790152</v>
      </c>
      <c r="D5972" t="str">
        <f t="shared" si="507"/>
        <v>08641790152</v>
      </c>
      <c r="E5972" t="s">
        <v>52</v>
      </c>
      <c r="F5972">
        <v>2014</v>
      </c>
      <c r="G5972">
        <v>176708</v>
      </c>
      <c r="H5972" s="1">
        <v>41813</v>
      </c>
      <c r="I5972" s="1">
        <v>41821</v>
      </c>
      <c r="J5972" s="1">
        <v>41821</v>
      </c>
      <c r="K5972" s="1">
        <v>41911</v>
      </c>
      <c r="N5972" s="5"/>
      <c r="O5972">
        <v>683.2</v>
      </c>
      <c r="P5972">
        <v>247</v>
      </c>
      <c r="Q5972" s="2">
        <v>168750.4</v>
      </c>
      <c r="R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 s="1">
        <v>42382</v>
      </c>
      <c r="AC5972" t="s">
        <v>53</v>
      </c>
      <c r="AD5972" t="s">
        <v>53</v>
      </c>
      <c r="AK5972">
        <v>0</v>
      </c>
      <c r="AU5972" s="6">
        <v>42158</v>
      </c>
      <c r="AV5972" s="6">
        <v>42158</v>
      </c>
      <c r="AW5972" t="s">
        <v>54</v>
      </c>
      <c r="AX5972" t="str">
        <f t="shared" si="506"/>
        <v>FOR</v>
      </c>
      <c r="AY5972" t="s">
        <v>55</v>
      </c>
    </row>
    <row r="5973" spans="1:51" hidden="1">
      <c r="A5973">
        <v>104009</v>
      </c>
      <c r="B5973" t="s">
        <v>1167</v>
      </c>
      <c r="C5973" t="str">
        <f t="shared" si="507"/>
        <v>08641790152</v>
      </c>
      <c r="D5973" t="str">
        <f t="shared" si="507"/>
        <v>08641790152</v>
      </c>
      <c r="E5973" t="s">
        <v>52</v>
      </c>
      <c r="F5973">
        <v>2014</v>
      </c>
      <c r="G5973">
        <v>176830</v>
      </c>
      <c r="H5973" s="1">
        <v>41813</v>
      </c>
      <c r="I5973" s="1">
        <v>41821</v>
      </c>
      <c r="J5973" s="1">
        <v>41821</v>
      </c>
      <c r="K5973" s="1">
        <v>41911</v>
      </c>
      <c r="N5973" s="5"/>
      <c r="O5973">
        <v>361.12</v>
      </c>
      <c r="P5973">
        <v>247</v>
      </c>
      <c r="Q5973" s="2">
        <v>89196.64</v>
      </c>
      <c r="R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 s="1">
        <v>42382</v>
      </c>
      <c r="AC5973" t="s">
        <v>53</v>
      </c>
      <c r="AD5973" t="s">
        <v>53</v>
      </c>
      <c r="AK5973">
        <v>0</v>
      </c>
      <c r="AU5973" s="6">
        <v>42158</v>
      </c>
      <c r="AV5973" s="6">
        <v>42158</v>
      </c>
      <c r="AW5973" t="s">
        <v>54</v>
      </c>
      <c r="AX5973" t="str">
        <f t="shared" si="506"/>
        <v>FOR</v>
      </c>
      <c r="AY5973" t="s">
        <v>55</v>
      </c>
    </row>
    <row r="5974" spans="1:51" hidden="1">
      <c r="A5974">
        <v>104009</v>
      </c>
      <c r="B5974" t="s">
        <v>1167</v>
      </c>
      <c r="C5974" t="str">
        <f t="shared" si="507"/>
        <v>08641790152</v>
      </c>
      <c r="D5974" t="str">
        <f t="shared" si="507"/>
        <v>08641790152</v>
      </c>
      <c r="E5974" t="s">
        <v>52</v>
      </c>
      <c r="F5974">
        <v>2014</v>
      </c>
      <c r="G5974">
        <v>176904</v>
      </c>
      <c r="H5974" s="1">
        <v>41813</v>
      </c>
      <c r="I5974" s="1">
        <v>41821</v>
      </c>
      <c r="J5974" s="1">
        <v>41821</v>
      </c>
      <c r="K5974" s="1">
        <v>41911</v>
      </c>
      <c r="N5974" s="5"/>
      <c r="O5974">
        <v>341.6</v>
      </c>
      <c r="P5974">
        <v>247</v>
      </c>
      <c r="Q5974" s="2">
        <v>84375.2</v>
      </c>
      <c r="R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 s="1">
        <v>42382</v>
      </c>
      <c r="AC5974" t="s">
        <v>53</v>
      </c>
      <c r="AD5974" t="s">
        <v>53</v>
      </c>
      <c r="AK5974">
        <v>0</v>
      </c>
      <c r="AU5974" s="6">
        <v>42158</v>
      </c>
      <c r="AV5974" s="6">
        <v>42158</v>
      </c>
      <c r="AW5974" t="s">
        <v>54</v>
      </c>
      <c r="AX5974" t="str">
        <f t="shared" si="506"/>
        <v>FOR</v>
      </c>
      <c r="AY5974" t="s">
        <v>55</v>
      </c>
    </row>
    <row r="5975" spans="1:51" hidden="1">
      <c r="A5975">
        <v>104009</v>
      </c>
      <c r="B5975" t="s">
        <v>1167</v>
      </c>
      <c r="C5975" t="str">
        <f t="shared" si="507"/>
        <v>08641790152</v>
      </c>
      <c r="D5975" t="str">
        <f t="shared" si="507"/>
        <v>08641790152</v>
      </c>
      <c r="E5975" t="s">
        <v>52</v>
      </c>
      <c r="F5975">
        <v>2014</v>
      </c>
      <c r="G5975">
        <v>177758</v>
      </c>
      <c r="H5975" s="1">
        <v>41814</v>
      </c>
      <c r="I5975" s="1">
        <v>41821</v>
      </c>
      <c r="J5975" s="1">
        <v>41821</v>
      </c>
      <c r="K5975" s="1">
        <v>41911</v>
      </c>
      <c r="N5975" s="5"/>
      <c r="O5975">
        <v>506.3</v>
      </c>
      <c r="P5975">
        <v>247</v>
      </c>
      <c r="Q5975" s="2">
        <v>125056.1</v>
      </c>
      <c r="R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 s="1">
        <v>42382</v>
      </c>
      <c r="AC5975" t="s">
        <v>53</v>
      </c>
      <c r="AD5975" t="s">
        <v>53</v>
      </c>
      <c r="AK5975">
        <v>0</v>
      </c>
      <c r="AU5975" s="6">
        <v>42158</v>
      </c>
      <c r="AV5975" s="6">
        <v>42158</v>
      </c>
      <c r="AW5975" t="s">
        <v>54</v>
      </c>
      <c r="AX5975" t="str">
        <f t="shared" si="506"/>
        <v>FOR</v>
      </c>
      <c r="AY5975" t="s">
        <v>55</v>
      </c>
    </row>
    <row r="5976" spans="1:51" hidden="1">
      <c r="A5976">
        <v>104009</v>
      </c>
      <c r="B5976" t="s">
        <v>1167</v>
      </c>
      <c r="C5976" t="str">
        <f t="shared" si="507"/>
        <v>08641790152</v>
      </c>
      <c r="D5976" t="str">
        <f t="shared" si="507"/>
        <v>08641790152</v>
      </c>
      <c r="E5976" t="s">
        <v>52</v>
      </c>
      <c r="F5976">
        <v>2014</v>
      </c>
      <c r="G5976">
        <v>177981</v>
      </c>
      <c r="H5976" s="1">
        <v>41815</v>
      </c>
      <c r="I5976" s="1">
        <v>41827</v>
      </c>
      <c r="J5976" s="1">
        <v>41827</v>
      </c>
      <c r="K5976" s="1">
        <v>41917</v>
      </c>
      <c r="N5976" s="5"/>
      <c r="O5976" s="2">
        <v>1012.6</v>
      </c>
      <c r="P5976">
        <v>241</v>
      </c>
      <c r="Q5976" s="2">
        <v>244036.6</v>
      </c>
      <c r="R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 s="1">
        <v>42382</v>
      </c>
      <c r="AC5976" t="s">
        <v>53</v>
      </c>
      <c r="AD5976" t="s">
        <v>53</v>
      </c>
      <c r="AK5976">
        <v>0</v>
      </c>
      <c r="AU5976" s="6">
        <v>42158</v>
      </c>
      <c r="AV5976" s="6">
        <v>42158</v>
      </c>
      <c r="AW5976" t="s">
        <v>54</v>
      </c>
      <c r="AX5976" t="str">
        <f t="shared" si="506"/>
        <v>FOR</v>
      </c>
      <c r="AY5976" t="s">
        <v>55</v>
      </c>
    </row>
    <row r="5977" spans="1:51" hidden="1">
      <c r="A5977">
        <v>104009</v>
      </c>
      <c r="B5977" t="s">
        <v>1167</v>
      </c>
      <c r="C5977" t="str">
        <f t="shared" si="507"/>
        <v>08641790152</v>
      </c>
      <c r="D5977" t="str">
        <f t="shared" si="507"/>
        <v>08641790152</v>
      </c>
      <c r="E5977" t="s">
        <v>52</v>
      </c>
      <c r="F5977">
        <v>2014</v>
      </c>
      <c r="G5977">
        <v>179393</v>
      </c>
      <c r="H5977" s="1">
        <v>41816</v>
      </c>
      <c r="I5977" s="1">
        <v>41829</v>
      </c>
      <c r="J5977" s="1">
        <v>41829</v>
      </c>
      <c r="K5977" s="1">
        <v>41919</v>
      </c>
      <c r="N5977" s="5"/>
      <c r="O5977" s="2">
        <v>2440</v>
      </c>
      <c r="P5977">
        <v>239</v>
      </c>
      <c r="Q5977" s="2">
        <v>583160</v>
      </c>
      <c r="R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 s="1">
        <v>42382</v>
      </c>
      <c r="AC5977" t="s">
        <v>53</v>
      </c>
      <c r="AD5977" t="s">
        <v>53</v>
      </c>
      <c r="AK5977">
        <v>0</v>
      </c>
      <c r="AU5977" s="6">
        <v>42158</v>
      </c>
      <c r="AV5977" s="6">
        <v>42158</v>
      </c>
      <c r="AW5977" t="s">
        <v>54</v>
      </c>
      <c r="AX5977" t="str">
        <f t="shared" si="506"/>
        <v>FOR</v>
      </c>
      <c r="AY5977" t="s">
        <v>55</v>
      </c>
    </row>
    <row r="5978" spans="1:51" hidden="1">
      <c r="A5978">
        <v>104009</v>
      </c>
      <c r="B5978" t="s">
        <v>1167</v>
      </c>
      <c r="C5978" t="str">
        <f t="shared" si="507"/>
        <v>08641790152</v>
      </c>
      <c r="D5978" t="str">
        <f t="shared" si="507"/>
        <v>08641790152</v>
      </c>
      <c r="E5978" t="s">
        <v>52</v>
      </c>
      <c r="F5978">
        <v>2014</v>
      </c>
      <c r="G5978">
        <v>179549</v>
      </c>
      <c r="H5978" s="1">
        <v>41817</v>
      </c>
      <c r="I5978" s="1">
        <v>41829</v>
      </c>
      <c r="J5978" s="1">
        <v>41829</v>
      </c>
      <c r="K5978" s="1">
        <v>41919</v>
      </c>
      <c r="N5978" s="5"/>
      <c r="O5978" s="2">
        <v>4392</v>
      </c>
      <c r="P5978">
        <v>239</v>
      </c>
      <c r="Q5978" s="2">
        <v>1049688</v>
      </c>
      <c r="R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 s="1">
        <v>42382</v>
      </c>
      <c r="AC5978" t="s">
        <v>53</v>
      </c>
      <c r="AD5978" t="s">
        <v>53</v>
      </c>
      <c r="AK5978">
        <v>0</v>
      </c>
      <c r="AU5978" s="6">
        <v>42158</v>
      </c>
      <c r="AV5978" s="6">
        <v>42158</v>
      </c>
      <c r="AW5978" t="s">
        <v>54</v>
      </c>
      <c r="AX5978" t="str">
        <f t="shared" si="506"/>
        <v>FOR</v>
      </c>
      <c r="AY5978" t="s">
        <v>55</v>
      </c>
    </row>
    <row r="5979" spans="1:51" hidden="1">
      <c r="A5979">
        <v>104009</v>
      </c>
      <c r="B5979" t="s">
        <v>1167</v>
      </c>
      <c r="C5979" t="str">
        <f t="shared" si="507"/>
        <v>08641790152</v>
      </c>
      <c r="D5979" t="str">
        <f t="shared" si="507"/>
        <v>08641790152</v>
      </c>
      <c r="E5979" t="s">
        <v>52</v>
      </c>
      <c r="F5979">
        <v>2014</v>
      </c>
      <c r="G5979">
        <v>181801</v>
      </c>
      <c r="H5979" s="1">
        <v>41822</v>
      </c>
      <c r="I5979" s="1">
        <v>41834</v>
      </c>
      <c r="J5979" s="1">
        <v>41834</v>
      </c>
      <c r="K5979" s="1">
        <v>41924</v>
      </c>
      <c r="N5979" s="5"/>
      <c r="O5979" s="2">
        <v>1525.78</v>
      </c>
      <c r="P5979">
        <v>264</v>
      </c>
      <c r="Q5979" s="2">
        <v>402805.92</v>
      </c>
      <c r="R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 s="1">
        <v>42382</v>
      </c>
      <c r="AC5979" t="s">
        <v>53</v>
      </c>
      <c r="AD5979" t="s">
        <v>53</v>
      </c>
      <c r="AK5979">
        <v>0</v>
      </c>
      <c r="AU5979" s="6">
        <v>42188</v>
      </c>
      <c r="AV5979" s="6">
        <v>42188</v>
      </c>
      <c r="AW5979" t="s">
        <v>54</v>
      </c>
      <c r="AX5979" t="str">
        <f t="shared" si="506"/>
        <v>FOR</v>
      </c>
      <c r="AY5979" t="s">
        <v>55</v>
      </c>
    </row>
    <row r="5980" spans="1:51" hidden="1">
      <c r="A5980">
        <v>104009</v>
      </c>
      <c r="B5980" t="s">
        <v>1167</v>
      </c>
      <c r="C5980" t="str">
        <f t="shared" si="507"/>
        <v>08641790152</v>
      </c>
      <c r="D5980" t="str">
        <f t="shared" si="507"/>
        <v>08641790152</v>
      </c>
      <c r="E5980" t="s">
        <v>52</v>
      </c>
      <c r="F5980">
        <v>2014</v>
      </c>
      <c r="G5980">
        <v>181806</v>
      </c>
      <c r="H5980" s="1">
        <v>41822</v>
      </c>
      <c r="I5980" s="1">
        <v>41834</v>
      </c>
      <c r="J5980" s="1">
        <v>41834</v>
      </c>
      <c r="K5980" s="1">
        <v>41924</v>
      </c>
      <c r="N5980" s="5"/>
      <c r="O5980" s="2">
        <v>2504.4899999999998</v>
      </c>
      <c r="P5980">
        <v>264</v>
      </c>
      <c r="Q5980" s="2">
        <v>661185.36</v>
      </c>
      <c r="R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 s="1">
        <v>42382</v>
      </c>
      <c r="AC5980" t="s">
        <v>53</v>
      </c>
      <c r="AD5980" t="s">
        <v>53</v>
      </c>
      <c r="AK5980">
        <v>0</v>
      </c>
      <c r="AU5980" s="6">
        <v>42188</v>
      </c>
      <c r="AV5980" s="6">
        <v>42188</v>
      </c>
      <c r="AW5980" t="s">
        <v>54</v>
      </c>
      <c r="AX5980" t="str">
        <f t="shared" si="506"/>
        <v>FOR</v>
      </c>
      <c r="AY5980" t="s">
        <v>55</v>
      </c>
    </row>
    <row r="5981" spans="1:51" hidden="1">
      <c r="A5981">
        <v>104009</v>
      </c>
      <c r="B5981" t="s">
        <v>1167</v>
      </c>
      <c r="C5981" t="str">
        <f t="shared" si="507"/>
        <v>08641790152</v>
      </c>
      <c r="D5981" t="str">
        <f t="shared" si="507"/>
        <v>08641790152</v>
      </c>
      <c r="E5981" t="s">
        <v>52</v>
      </c>
      <c r="F5981">
        <v>2014</v>
      </c>
      <c r="G5981">
        <v>183602</v>
      </c>
      <c r="H5981" s="1">
        <v>41827</v>
      </c>
      <c r="I5981" s="1">
        <v>41836</v>
      </c>
      <c r="J5981" s="1">
        <v>41836</v>
      </c>
      <c r="K5981" s="1">
        <v>41926</v>
      </c>
      <c r="N5981" s="5"/>
      <c r="O5981">
        <v>358.68</v>
      </c>
      <c r="P5981">
        <v>262</v>
      </c>
      <c r="Q5981" s="2">
        <v>93974.16</v>
      </c>
      <c r="R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 s="1">
        <v>42382</v>
      </c>
      <c r="AC5981" t="s">
        <v>53</v>
      </c>
      <c r="AD5981" t="s">
        <v>53</v>
      </c>
      <c r="AK5981">
        <v>0</v>
      </c>
      <c r="AU5981" s="6">
        <v>42188</v>
      </c>
      <c r="AV5981" s="6">
        <v>42188</v>
      </c>
      <c r="AW5981" t="s">
        <v>54</v>
      </c>
      <c r="AX5981" t="str">
        <f t="shared" si="506"/>
        <v>FOR</v>
      </c>
      <c r="AY5981" t="s">
        <v>55</v>
      </c>
    </row>
    <row r="5982" spans="1:51" hidden="1">
      <c r="A5982">
        <v>104009</v>
      </c>
      <c r="B5982" t="s">
        <v>1167</v>
      </c>
      <c r="C5982" t="str">
        <f t="shared" si="507"/>
        <v>08641790152</v>
      </c>
      <c r="D5982" t="str">
        <f t="shared" si="507"/>
        <v>08641790152</v>
      </c>
      <c r="E5982" t="s">
        <v>52</v>
      </c>
      <c r="F5982">
        <v>2014</v>
      </c>
      <c r="G5982">
        <v>183660</v>
      </c>
      <c r="H5982" s="1">
        <v>41827</v>
      </c>
      <c r="I5982" s="1">
        <v>41836</v>
      </c>
      <c r="J5982" s="1">
        <v>41836</v>
      </c>
      <c r="K5982" s="1">
        <v>41926</v>
      </c>
      <c r="N5982" s="5"/>
      <c r="O5982" s="2">
        <v>1647</v>
      </c>
      <c r="P5982">
        <v>262</v>
      </c>
      <c r="Q5982" s="2">
        <v>431514</v>
      </c>
      <c r="R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 s="1">
        <v>42382</v>
      </c>
      <c r="AC5982" t="s">
        <v>53</v>
      </c>
      <c r="AD5982" t="s">
        <v>53</v>
      </c>
      <c r="AK5982">
        <v>0</v>
      </c>
      <c r="AU5982" s="6">
        <v>42188</v>
      </c>
      <c r="AV5982" s="6">
        <v>42188</v>
      </c>
      <c r="AW5982" t="s">
        <v>54</v>
      </c>
      <c r="AX5982" t="str">
        <f t="shared" si="506"/>
        <v>FOR</v>
      </c>
      <c r="AY5982" t="s">
        <v>55</v>
      </c>
    </row>
    <row r="5983" spans="1:51" hidden="1">
      <c r="A5983">
        <v>104009</v>
      </c>
      <c r="B5983" t="s">
        <v>1167</v>
      </c>
      <c r="C5983" t="str">
        <f t="shared" si="507"/>
        <v>08641790152</v>
      </c>
      <c r="D5983" t="str">
        <f t="shared" si="507"/>
        <v>08641790152</v>
      </c>
      <c r="E5983" t="s">
        <v>52</v>
      </c>
      <c r="F5983">
        <v>2014</v>
      </c>
      <c r="G5983">
        <v>183673</v>
      </c>
      <c r="H5983" s="1">
        <v>41827</v>
      </c>
      <c r="I5983" s="1">
        <v>41836</v>
      </c>
      <c r="J5983" s="1">
        <v>41836</v>
      </c>
      <c r="K5983" s="1">
        <v>41926</v>
      </c>
      <c r="N5983" s="5"/>
      <c r="O5983" s="2">
        <v>2810.88</v>
      </c>
      <c r="P5983">
        <v>262</v>
      </c>
      <c r="Q5983" s="2">
        <v>736450.56000000006</v>
      </c>
      <c r="R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 s="1">
        <v>42382</v>
      </c>
      <c r="AC5983" t="s">
        <v>53</v>
      </c>
      <c r="AD5983" t="s">
        <v>53</v>
      </c>
      <c r="AK5983">
        <v>0</v>
      </c>
      <c r="AU5983" s="6">
        <v>42188</v>
      </c>
      <c r="AV5983" s="6">
        <v>42188</v>
      </c>
      <c r="AW5983" t="s">
        <v>54</v>
      </c>
      <c r="AX5983" t="str">
        <f t="shared" si="506"/>
        <v>FOR</v>
      </c>
      <c r="AY5983" t="s">
        <v>55</v>
      </c>
    </row>
    <row r="5984" spans="1:51" hidden="1">
      <c r="A5984">
        <v>104009</v>
      </c>
      <c r="B5984" t="s">
        <v>1167</v>
      </c>
      <c r="C5984" t="str">
        <f t="shared" si="507"/>
        <v>08641790152</v>
      </c>
      <c r="D5984" t="str">
        <f t="shared" si="507"/>
        <v>08641790152</v>
      </c>
      <c r="E5984" t="s">
        <v>52</v>
      </c>
      <c r="F5984">
        <v>2014</v>
      </c>
      <c r="G5984">
        <v>183722</v>
      </c>
      <c r="H5984" s="1">
        <v>41827</v>
      </c>
      <c r="I5984" s="1">
        <v>41836</v>
      </c>
      <c r="J5984" s="1">
        <v>41836</v>
      </c>
      <c r="K5984" s="1">
        <v>41926</v>
      </c>
      <c r="N5984" s="5"/>
      <c r="O5984" s="2">
        <v>2283.84</v>
      </c>
      <c r="P5984">
        <v>262</v>
      </c>
      <c r="Q5984" s="2">
        <v>598366.07999999996</v>
      </c>
      <c r="R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 s="1">
        <v>42382</v>
      </c>
      <c r="AC5984" t="s">
        <v>53</v>
      </c>
      <c r="AD5984" t="s">
        <v>53</v>
      </c>
      <c r="AK5984">
        <v>0</v>
      </c>
      <c r="AU5984" s="6">
        <v>42188</v>
      </c>
      <c r="AV5984" s="6">
        <v>42188</v>
      </c>
      <c r="AW5984" t="s">
        <v>54</v>
      </c>
      <c r="AX5984" t="str">
        <f t="shared" si="506"/>
        <v>FOR</v>
      </c>
      <c r="AY5984" t="s">
        <v>55</v>
      </c>
    </row>
    <row r="5985" spans="1:51" hidden="1">
      <c r="A5985">
        <v>104009</v>
      </c>
      <c r="B5985" t="s">
        <v>1167</v>
      </c>
      <c r="C5985" t="str">
        <f t="shared" ref="C5985:D6004" si="508">"08641790152"</f>
        <v>08641790152</v>
      </c>
      <c r="D5985" t="str">
        <f t="shared" si="508"/>
        <v>08641790152</v>
      </c>
      <c r="E5985" t="s">
        <v>52</v>
      </c>
      <c r="F5985">
        <v>2014</v>
      </c>
      <c r="G5985">
        <v>183745</v>
      </c>
      <c r="H5985" s="1">
        <v>41827</v>
      </c>
      <c r="I5985" s="1">
        <v>41836</v>
      </c>
      <c r="J5985" s="1">
        <v>41836</v>
      </c>
      <c r="K5985" s="1">
        <v>41926</v>
      </c>
      <c r="N5985" s="5"/>
      <c r="O5985" s="2">
        <v>4938.5600000000004</v>
      </c>
      <c r="P5985">
        <v>262</v>
      </c>
      <c r="Q5985" s="2">
        <v>1293902.72</v>
      </c>
      <c r="R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 s="1">
        <v>42382</v>
      </c>
      <c r="AC5985" t="s">
        <v>53</v>
      </c>
      <c r="AD5985" t="s">
        <v>53</v>
      </c>
      <c r="AK5985">
        <v>0</v>
      </c>
      <c r="AU5985" s="6">
        <v>42188</v>
      </c>
      <c r="AV5985" s="6">
        <v>42188</v>
      </c>
      <c r="AW5985" t="s">
        <v>54</v>
      </c>
      <c r="AX5985" t="str">
        <f t="shared" si="506"/>
        <v>FOR</v>
      </c>
      <c r="AY5985" t="s">
        <v>55</v>
      </c>
    </row>
    <row r="5986" spans="1:51" hidden="1">
      <c r="A5986">
        <v>104009</v>
      </c>
      <c r="B5986" t="s">
        <v>1167</v>
      </c>
      <c r="C5986" t="str">
        <f t="shared" si="508"/>
        <v>08641790152</v>
      </c>
      <c r="D5986" t="str">
        <f t="shared" si="508"/>
        <v>08641790152</v>
      </c>
      <c r="E5986" t="s">
        <v>52</v>
      </c>
      <c r="F5986">
        <v>2014</v>
      </c>
      <c r="G5986">
        <v>183767</v>
      </c>
      <c r="H5986" s="1">
        <v>41827</v>
      </c>
      <c r="I5986" s="1">
        <v>41836</v>
      </c>
      <c r="J5986" s="1">
        <v>41836</v>
      </c>
      <c r="K5986" s="1">
        <v>41926</v>
      </c>
      <c r="N5986" s="5"/>
      <c r="O5986">
        <v>170.8</v>
      </c>
      <c r="P5986">
        <v>262</v>
      </c>
      <c r="Q5986" s="2">
        <v>44749.599999999999</v>
      </c>
      <c r="R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 s="1">
        <v>42382</v>
      </c>
      <c r="AC5986" t="s">
        <v>53</v>
      </c>
      <c r="AD5986" t="s">
        <v>53</v>
      </c>
      <c r="AK5986">
        <v>0</v>
      </c>
      <c r="AU5986" s="6">
        <v>42188</v>
      </c>
      <c r="AV5986" s="6">
        <v>42188</v>
      </c>
      <c r="AW5986" t="s">
        <v>54</v>
      </c>
      <c r="AX5986" t="str">
        <f t="shared" si="506"/>
        <v>FOR</v>
      </c>
      <c r="AY5986" t="s">
        <v>55</v>
      </c>
    </row>
    <row r="5987" spans="1:51" hidden="1">
      <c r="A5987">
        <v>104009</v>
      </c>
      <c r="B5987" t="s">
        <v>1167</v>
      </c>
      <c r="C5987" t="str">
        <f t="shared" si="508"/>
        <v>08641790152</v>
      </c>
      <c r="D5987" t="str">
        <f t="shared" si="508"/>
        <v>08641790152</v>
      </c>
      <c r="E5987" t="s">
        <v>52</v>
      </c>
      <c r="F5987">
        <v>2014</v>
      </c>
      <c r="G5987">
        <v>183799</v>
      </c>
      <c r="H5987" s="1">
        <v>41827</v>
      </c>
      <c r="I5987" s="1">
        <v>41836</v>
      </c>
      <c r="J5987" s="1">
        <v>41836</v>
      </c>
      <c r="K5987" s="1">
        <v>41926</v>
      </c>
      <c r="N5987" s="5"/>
      <c r="O5987" s="2">
        <v>2074</v>
      </c>
      <c r="P5987">
        <v>262</v>
      </c>
      <c r="Q5987" s="2">
        <v>543388</v>
      </c>
      <c r="R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 s="1">
        <v>42382</v>
      </c>
      <c r="AC5987" t="s">
        <v>53</v>
      </c>
      <c r="AD5987" t="s">
        <v>53</v>
      </c>
      <c r="AK5987">
        <v>0</v>
      </c>
      <c r="AU5987" s="6">
        <v>42188</v>
      </c>
      <c r="AV5987" s="6">
        <v>42188</v>
      </c>
      <c r="AW5987" t="s">
        <v>54</v>
      </c>
      <c r="AX5987" t="str">
        <f t="shared" si="506"/>
        <v>FOR</v>
      </c>
      <c r="AY5987" t="s">
        <v>55</v>
      </c>
    </row>
    <row r="5988" spans="1:51" hidden="1">
      <c r="A5988">
        <v>104009</v>
      </c>
      <c r="B5988" t="s">
        <v>1167</v>
      </c>
      <c r="C5988" t="str">
        <f t="shared" si="508"/>
        <v>08641790152</v>
      </c>
      <c r="D5988" t="str">
        <f t="shared" si="508"/>
        <v>08641790152</v>
      </c>
      <c r="E5988" t="s">
        <v>52</v>
      </c>
      <c r="F5988">
        <v>2014</v>
      </c>
      <c r="G5988">
        <v>184140</v>
      </c>
      <c r="H5988" s="1">
        <v>41828</v>
      </c>
      <c r="I5988" s="1">
        <v>41836</v>
      </c>
      <c r="J5988" s="1">
        <v>41836</v>
      </c>
      <c r="K5988" s="1">
        <v>41926</v>
      </c>
      <c r="N5988" s="5"/>
      <c r="O5988" s="2">
        <v>1037</v>
      </c>
      <c r="P5988">
        <v>262</v>
      </c>
      <c r="Q5988" s="2">
        <v>271694</v>
      </c>
      <c r="R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 s="1">
        <v>42382</v>
      </c>
      <c r="AC5988" t="s">
        <v>53</v>
      </c>
      <c r="AD5988" t="s">
        <v>53</v>
      </c>
      <c r="AK5988">
        <v>0</v>
      </c>
      <c r="AU5988" s="6">
        <v>42188</v>
      </c>
      <c r="AV5988" s="6">
        <v>42188</v>
      </c>
      <c r="AW5988" t="s">
        <v>54</v>
      </c>
      <c r="AX5988" t="str">
        <f t="shared" si="506"/>
        <v>FOR</v>
      </c>
      <c r="AY5988" t="s">
        <v>55</v>
      </c>
    </row>
    <row r="5989" spans="1:51" hidden="1">
      <c r="A5989">
        <v>104009</v>
      </c>
      <c r="B5989" t="s">
        <v>1167</v>
      </c>
      <c r="C5989" t="str">
        <f t="shared" si="508"/>
        <v>08641790152</v>
      </c>
      <c r="D5989" t="str">
        <f t="shared" si="508"/>
        <v>08641790152</v>
      </c>
      <c r="E5989" t="s">
        <v>52</v>
      </c>
      <c r="F5989">
        <v>2014</v>
      </c>
      <c r="G5989">
        <v>185357</v>
      </c>
      <c r="H5989" s="1">
        <v>41829</v>
      </c>
      <c r="I5989" s="1">
        <v>41841</v>
      </c>
      <c r="J5989" s="1">
        <v>41841</v>
      </c>
      <c r="K5989" s="1">
        <v>41931</v>
      </c>
      <c r="N5989" s="5"/>
      <c r="O5989">
        <v>887.25</v>
      </c>
      <c r="P5989">
        <v>257</v>
      </c>
      <c r="Q5989" s="2">
        <v>228023.25</v>
      </c>
      <c r="R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 s="1">
        <v>42382</v>
      </c>
      <c r="AC5989" t="s">
        <v>53</v>
      </c>
      <c r="AD5989" t="s">
        <v>53</v>
      </c>
      <c r="AK5989">
        <v>0</v>
      </c>
      <c r="AU5989" s="6">
        <v>42188</v>
      </c>
      <c r="AV5989" s="6">
        <v>42188</v>
      </c>
      <c r="AW5989" t="s">
        <v>54</v>
      </c>
      <c r="AX5989" t="str">
        <f t="shared" si="506"/>
        <v>FOR</v>
      </c>
      <c r="AY5989" t="s">
        <v>55</v>
      </c>
    </row>
    <row r="5990" spans="1:51" hidden="1">
      <c r="A5990">
        <v>104009</v>
      </c>
      <c r="B5990" t="s">
        <v>1167</v>
      </c>
      <c r="C5990" t="str">
        <f t="shared" si="508"/>
        <v>08641790152</v>
      </c>
      <c r="D5990" t="str">
        <f t="shared" si="508"/>
        <v>08641790152</v>
      </c>
      <c r="E5990" t="s">
        <v>52</v>
      </c>
      <c r="F5990">
        <v>2014</v>
      </c>
      <c r="G5990">
        <v>185505</v>
      </c>
      <c r="H5990" s="1">
        <v>41830</v>
      </c>
      <c r="I5990" s="1">
        <v>41841</v>
      </c>
      <c r="J5990" s="1">
        <v>41841</v>
      </c>
      <c r="K5990" s="1">
        <v>41931</v>
      </c>
      <c r="N5990" s="5"/>
      <c r="O5990" s="2">
        <v>1647</v>
      </c>
      <c r="P5990">
        <v>227</v>
      </c>
      <c r="Q5990" s="2">
        <v>373869</v>
      </c>
      <c r="R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 s="1">
        <v>42382</v>
      </c>
      <c r="AC5990" t="s">
        <v>53</v>
      </c>
      <c r="AD5990" t="s">
        <v>53</v>
      </c>
      <c r="AK5990">
        <v>0</v>
      </c>
      <c r="AU5990" s="6">
        <v>42158</v>
      </c>
      <c r="AV5990" s="6">
        <v>42158</v>
      </c>
      <c r="AW5990" t="s">
        <v>54</v>
      </c>
      <c r="AX5990" t="str">
        <f t="shared" si="506"/>
        <v>FOR</v>
      </c>
      <c r="AY5990" t="s">
        <v>55</v>
      </c>
    </row>
    <row r="5991" spans="1:51" hidden="1">
      <c r="A5991">
        <v>104009</v>
      </c>
      <c r="B5991" t="s">
        <v>1167</v>
      </c>
      <c r="C5991" t="str">
        <f t="shared" si="508"/>
        <v>08641790152</v>
      </c>
      <c r="D5991" t="str">
        <f t="shared" si="508"/>
        <v>08641790152</v>
      </c>
      <c r="E5991" t="s">
        <v>52</v>
      </c>
      <c r="F5991">
        <v>2014</v>
      </c>
      <c r="G5991">
        <v>185751</v>
      </c>
      <c r="H5991" s="1">
        <v>41830</v>
      </c>
      <c r="I5991" s="1">
        <v>41842</v>
      </c>
      <c r="J5991" s="1">
        <v>41842</v>
      </c>
      <c r="K5991" s="1">
        <v>41932</v>
      </c>
      <c r="N5991" s="5"/>
      <c r="O5991">
        <v>397.72</v>
      </c>
      <c r="P5991">
        <v>256</v>
      </c>
      <c r="Q5991" s="2">
        <v>101816.32000000001</v>
      </c>
      <c r="R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 s="1">
        <v>42382</v>
      </c>
      <c r="AC5991" t="s">
        <v>53</v>
      </c>
      <c r="AD5991" t="s">
        <v>53</v>
      </c>
      <c r="AK5991">
        <v>0</v>
      </c>
      <c r="AU5991" s="6">
        <v>42188</v>
      </c>
      <c r="AV5991" s="6">
        <v>42188</v>
      </c>
      <c r="AW5991" t="s">
        <v>54</v>
      </c>
      <c r="AX5991" t="str">
        <f t="shared" si="506"/>
        <v>FOR</v>
      </c>
      <c r="AY5991" t="s">
        <v>55</v>
      </c>
    </row>
    <row r="5992" spans="1:51" hidden="1">
      <c r="A5992">
        <v>104009</v>
      </c>
      <c r="B5992" t="s">
        <v>1167</v>
      </c>
      <c r="C5992" t="str">
        <f t="shared" si="508"/>
        <v>08641790152</v>
      </c>
      <c r="D5992" t="str">
        <f t="shared" si="508"/>
        <v>08641790152</v>
      </c>
      <c r="E5992" t="s">
        <v>52</v>
      </c>
      <c r="F5992">
        <v>2014</v>
      </c>
      <c r="G5992">
        <v>186081</v>
      </c>
      <c r="H5992" s="1">
        <v>41831</v>
      </c>
      <c r="I5992" s="1">
        <v>41842</v>
      </c>
      <c r="J5992" s="1">
        <v>41842</v>
      </c>
      <c r="K5992" s="1">
        <v>41932</v>
      </c>
      <c r="N5992" s="5"/>
      <c r="O5992" s="2">
        <v>3111</v>
      </c>
      <c r="P5992">
        <v>256</v>
      </c>
      <c r="Q5992" s="2">
        <v>796416</v>
      </c>
      <c r="R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 s="1">
        <v>42382</v>
      </c>
      <c r="AC5992" t="s">
        <v>53</v>
      </c>
      <c r="AD5992" t="s">
        <v>53</v>
      </c>
      <c r="AK5992">
        <v>0</v>
      </c>
      <c r="AU5992" s="6">
        <v>42188</v>
      </c>
      <c r="AV5992" s="6">
        <v>42188</v>
      </c>
      <c r="AW5992" t="s">
        <v>54</v>
      </c>
      <c r="AX5992" t="str">
        <f t="shared" si="506"/>
        <v>FOR</v>
      </c>
      <c r="AY5992" t="s">
        <v>55</v>
      </c>
    </row>
    <row r="5993" spans="1:51" hidden="1">
      <c r="A5993">
        <v>104009</v>
      </c>
      <c r="B5993" t="s">
        <v>1167</v>
      </c>
      <c r="C5993" t="str">
        <f t="shared" si="508"/>
        <v>08641790152</v>
      </c>
      <c r="D5993" t="str">
        <f t="shared" si="508"/>
        <v>08641790152</v>
      </c>
      <c r="E5993" t="s">
        <v>52</v>
      </c>
      <c r="F5993">
        <v>2014</v>
      </c>
      <c r="G5993">
        <v>186806</v>
      </c>
      <c r="H5993" s="1">
        <v>41834</v>
      </c>
      <c r="I5993" s="1">
        <v>41843</v>
      </c>
      <c r="J5993" s="1">
        <v>41843</v>
      </c>
      <c r="K5993" s="1">
        <v>41932</v>
      </c>
      <c r="N5993" s="5"/>
      <c r="O5993">
        <v>779.58</v>
      </c>
      <c r="P5993">
        <v>256</v>
      </c>
      <c r="Q5993" s="2">
        <v>199572.48000000001</v>
      </c>
      <c r="R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 s="1">
        <v>42382</v>
      </c>
      <c r="AC5993" t="s">
        <v>53</v>
      </c>
      <c r="AD5993" t="s">
        <v>53</v>
      </c>
      <c r="AK5993">
        <v>0</v>
      </c>
      <c r="AU5993" s="6">
        <v>42188</v>
      </c>
      <c r="AV5993" s="6">
        <v>42188</v>
      </c>
      <c r="AW5993" t="s">
        <v>54</v>
      </c>
      <c r="AX5993" t="str">
        <f t="shared" si="506"/>
        <v>FOR</v>
      </c>
      <c r="AY5993" t="s">
        <v>55</v>
      </c>
    </row>
    <row r="5994" spans="1:51" hidden="1">
      <c r="A5994">
        <v>104009</v>
      </c>
      <c r="B5994" t="s">
        <v>1167</v>
      </c>
      <c r="C5994" t="str">
        <f t="shared" si="508"/>
        <v>08641790152</v>
      </c>
      <c r="D5994" t="str">
        <f t="shared" si="508"/>
        <v>08641790152</v>
      </c>
      <c r="E5994" t="s">
        <v>52</v>
      </c>
      <c r="F5994">
        <v>2014</v>
      </c>
      <c r="G5994">
        <v>187032</v>
      </c>
      <c r="H5994" s="1">
        <v>41834</v>
      </c>
      <c r="I5994" s="1">
        <v>41843</v>
      </c>
      <c r="J5994" s="1">
        <v>41843</v>
      </c>
      <c r="K5994" s="1">
        <v>41933</v>
      </c>
      <c r="N5994" s="5"/>
      <c r="O5994" s="2">
        <v>5599.8</v>
      </c>
      <c r="P5994">
        <v>255</v>
      </c>
      <c r="Q5994" s="2">
        <v>1427949</v>
      </c>
      <c r="R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 s="1">
        <v>42382</v>
      </c>
      <c r="AC5994" t="s">
        <v>53</v>
      </c>
      <c r="AD5994" t="s">
        <v>53</v>
      </c>
      <c r="AK5994">
        <v>0</v>
      </c>
      <c r="AU5994" s="6">
        <v>42188</v>
      </c>
      <c r="AV5994" s="6">
        <v>42188</v>
      </c>
      <c r="AW5994" t="s">
        <v>54</v>
      </c>
      <c r="AX5994" t="str">
        <f t="shared" si="506"/>
        <v>FOR</v>
      </c>
      <c r="AY5994" t="s">
        <v>55</v>
      </c>
    </row>
    <row r="5995" spans="1:51" hidden="1">
      <c r="A5995">
        <v>104009</v>
      </c>
      <c r="B5995" t="s">
        <v>1167</v>
      </c>
      <c r="C5995" t="str">
        <f t="shared" si="508"/>
        <v>08641790152</v>
      </c>
      <c r="D5995" t="str">
        <f t="shared" si="508"/>
        <v>08641790152</v>
      </c>
      <c r="E5995" t="s">
        <v>52</v>
      </c>
      <c r="F5995">
        <v>2014</v>
      </c>
      <c r="G5995">
        <v>188064</v>
      </c>
      <c r="H5995" s="1">
        <v>41836</v>
      </c>
      <c r="I5995" s="1">
        <v>41845</v>
      </c>
      <c r="J5995" s="1">
        <v>41845</v>
      </c>
      <c r="K5995" s="1">
        <v>41935</v>
      </c>
      <c r="N5995" s="5"/>
      <c r="O5995">
        <v>86.62</v>
      </c>
      <c r="P5995">
        <v>253</v>
      </c>
      <c r="Q5995" s="2">
        <v>21914.86</v>
      </c>
      <c r="R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 s="1">
        <v>42382</v>
      </c>
      <c r="AC5995" t="s">
        <v>53</v>
      </c>
      <c r="AD5995" t="s">
        <v>53</v>
      </c>
      <c r="AK5995">
        <v>0</v>
      </c>
      <c r="AU5995" s="6">
        <v>42188</v>
      </c>
      <c r="AV5995" s="6">
        <v>42188</v>
      </c>
      <c r="AW5995" t="s">
        <v>54</v>
      </c>
      <c r="AX5995" t="str">
        <f t="shared" si="506"/>
        <v>FOR</v>
      </c>
      <c r="AY5995" t="s">
        <v>55</v>
      </c>
    </row>
    <row r="5996" spans="1:51" hidden="1">
      <c r="A5996">
        <v>104009</v>
      </c>
      <c r="B5996" t="s">
        <v>1167</v>
      </c>
      <c r="C5996" t="str">
        <f t="shared" si="508"/>
        <v>08641790152</v>
      </c>
      <c r="D5996" t="str">
        <f t="shared" si="508"/>
        <v>08641790152</v>
      </c>
      <c r="E5996" t="s">
        <v>52</v>
      </c>
      <c r="F5996">
        <v>2014</v>
      </c>
      <c r="G5996">
        <v>189224</v>
      </c>
      <c r="H5996" s="1">
        <v>41837</v>
      </c>
      <c r="I5996" s="1">
        <v>41849</v>
      </c>
      <c r="J5996" s="1">
        <v>41849</v>
      </c>
      <c r="K5996" s="1">
        <v>41939</v>
      </c>
      <c r="N5996" s="5"/>
      <c r="O5996" s="2">
        <v>1164.76</v>
      </c>
      <c r="P5996">
        <v>249</v>
      </c>
      <c r="Q5996" s="2">
        <v>290025.24</v>
      </c>
      <c r="R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 s="1">
        <v>42382</v>
      </c>
      <c r="AC5996" t="s">
        <v>53</v>
      </c>
      <c r="AD5996" t="s">
        <v>53</v>
      </c>
      <c r="AK5996">
        <v>0</v>
      </c>
      <c r="AU5996" s="6">
        <v>42188</v>
      </c>
      <c r="AV5996" s="6">
        <v>42188</v>
      </c>
      <c r="AW5996" t="s">
        <v>54</v>
      </c>
      <c r="AX5996" t="str">
        <f t="shared" si="506"/>
        <v>FOR</v>
      </c>
      <c r="AY5996" t="s">
        <v>55</v>
      </c>
    </row>
    <row r="5997" spans="1:51" hidden="1">
      <c r="A5997">
        <v>104009</v>
      </c>
      <c r="B5997" t="s">
        <v>1167</v>
      </c>
      <c r="C5997" t="str">
        <f t="shared" si="508"/>
        <v>08641790152</v>
      </c>
      <c r="D5997" t="str">
        <f t="shared" si="508"/>
        <v>08641790152</v>
      </c>
      <c r="E5997" t="s">
        <v>52</v>
      </c>
      <c r="F5997">
        <v>2014</v>
      </c>
      <c r="G5997">
        <v>189459</v>
      </c>
      <c r="H5997" s="1">
        <v>41838</v>
      </c>
      <c r="I5997" s="1">
        <v>41849</v>
      </c>
      <c r="J5997" s="1">
        <v>41849</v>
      </c>
      <c r="K5997" s="1">
        <v>41939</v>
      </c>
      <c r="N5997" s="5"/>
      <c r="O5997">
        <v>170.8</v>
      </c>
      <c r="P5997">
        <v>249</v>
      </c>
      <c r="Q5997" s="2">
        <v>42529.2</v>
      </c>
      <c r="R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 s="1">
        <v>42382</v>
      </c>
      <c r="AC5997" t="s">
        <v>53</v>
      </c>
      <c r="AD5997" t="s">
        <v>53</v>
      </c>
      <c r="AK5997">
        <v>0</v>
      </c>
      <c r="AU5997" s="6">
        <v>42188</v>
      </c>
      <c r="AV5997" s="6">
        <v>42188</v>
      </c>
      <c r="AW5997" t="s">
        <v>54</v>
      </c>
      <c r="AX5997" t="str">
        <f t="shared" si="506"/>
        <v>FOR</v>
      </c>
      <c r="AY5997" t="s">
        <v>55</v>
      </c>
    </row>
    <row r="5998" spans="1:51" hidden="1">
      <c r="A5998">
        <v>104009</v>
      </c>
      <c r="B5998" t="s">
        <v>1167</v>
      </c>
      <c r="C5998" t="str">
        <f t="shared" si="508"/>
        <v>08641790152</v>
      </c>
      <c r="D5998" t="str">
        <f t="shared" si="508"/>
        <v>08641790152</v>
      </c>
      <c r="E5998" t="s">
        <v>52</v>
      </c>
      <c r="F5998">
        <v>2014</v>
      </c>
      <c r="G5998">
        <v>189980</v>
      </c>
      <c r="H5998" s="1">
        <v>41841</v>
      </c>
      <c r="I5998" s="1">
        <v>41849</v>
      </c>
      <c r="J5998" s="1">
        <v>41849</v>
      </c>
      <c r="K5998" s="1">
        <v>41939</v>
      </c>
      <c r="N5998" s="5"/>
      <c r="O5998">
        <v>244</v>
      </c>
      <c r="P5998">
        <v>249</v>
      </c>
      <c r="Q5998" s="2">
        <v>60756</v>
      </c>
      <c r="R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 s="1">
        <v>42382</v>
      </c>
      <c r="AC5998" t="s">
        <v>53</v>
      </c>
      <c r="AD5998" t="s">
        <v>53</v>
      </c>
      <c r="AK5998">
        <v>0</v>
      </c>
      <c r="AU5998" s="6">
        <v>42188</v>
      </c>
      <c r="AV5998" s="6">
        <v>42188</v>
      </c>
      <c r="AW5998" t="s">
        <v>54</v>
      </c>
      <c r="AX5998" t="str">
        <f t="shared" si="506"/>
        <v>FOR</v>
      </c>
      <c r="AY5998" t="s">
        <v>55</v>
      </c>
    </row>
    <row r="5999" spans="1:51" hidden="1">
      <c r="A5999">
        <v>104009</v>
      </c>
      <c r="B5999" t="s">
        <v>1167</v>
      </c>
      <c r="C5999" t="str">
        <f t="shared" si="508"/>
        <v>08641790152</v>
      </c>
      <c r="D5999" t="str">
        <f t="shared" si="508"/>
        <v>08641790152</v>
      </c>
      <c r="E5999" t="s">
        <v>52</v>
      </c>
      <c r="F5999">
        <v>2014</v>
      </c>
      <c r="G5999">
        <v>190110</v>
      </c>
      <c r="H5999" s="1">
        <v>41841</v>
      </c>
      <c r="I5999" s="1">
        <v>41849</v>
      </c>
      <c r="J5999" s="1">
        <v>41849</v>
      </c>
      <c r="K5999" s="1">
        <v>41939</v>
      </c>
      <c r="N5999" s="5"/>
      <c r="O5999">
        <v>442.71</v>
      </c>
      <c r="P5999">
        <v>249</v>
      </c>
      <c r="Q5999" s="2">
        <v>110234.79</v>
      </c>
      <c r="R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 s="1">
        <v>42382</v>
      </c>
      <c r="AC5999" t="s">
        <v>53</v>
      </c>
      <c r="AD5999" t="s">
        <v>53</v>
      </c>
      <c r="AK5999">
        <v>0</v>
      </c>
      <c r="AU5999" s="6">
        <v>42188</v>
      </c>
      <c r="AV5999" s="6">
        <v>42188</v>
      </c>
      <c r="AW5999" t="s">
        <v>54</v>
      </c>
      <c r="AX5999" t="str">
        <f t="shared" si="506"/>
        <v>FOR</v>
      </c>
      <c r="AY5999" t="s">
        <v>55</v>
      </c>
    </row>
    <row r="6000" spans="1:51" hidden="1">
      <c r="A6000">
        <v>104009</v>
      </c>
      <c r="B6000" t="s">
        <v>1167</v>
      </c>
      <c r="C6000" t="str">
        <f t="shared" si="508"/>
        <v>08641790152</v>
      </c>
      <c r="D6000" t="str">
        <f t="shared" si="508"/>
        <v>08641790152</v>
      </c>
      <c r="E6000" t="s">
        <v>52</v>
      </c>
      <c r="F6000">
        <v>2014</v>
      </c>
      <c r="G6000">
        <v>190232</v>
      </c>
      <c r="H6000" s="1">
        <v>41841</v>
      </c>
      <c r="I6000" s="1">
        <v>41849</v>
      </c>
      <c r="J6000" s="1">
        <v>41849</v>
      </c>
      <c r="K6000" s="1">
        <v>41939</v>
      </c>
      <c r="N6000" s="5"/>
      <c r="O6000">
        <v>562.17999999999995</v>
      </c>
      <c r="P6000">
        <v>249</v>
      </c>
      <c r="Q6000" s="2">
        <v>139982.82</v>
      </c>
      <c r="R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 s="1">
        <v>42382</v>
      </c>
      <c r="AC6000" t="s">
        <v>53</v>
      </c>
      <c r="AD6000" t="s">
        <v>53</v>
      </c>
      <c r="AK6000">
        <v>0</v>
      </c>
      <c r="AU6000" s="6">
        <v>42188</v>
      </c>
      <c r="AV6000" s="6">
        <v>42188</v>
      </c>
      <c r="AW6000" t="s">
        <v>54</v>
      </c>
      <c r="AX6000" t="str">
        <f t="shared" si="506"/>
        <v>FOR</v>
      </c>
      <c r="AY6000" t="s">
        <v>55</v>
      </c>
    </row>
    <row r="6001" spans="1:51" hidden="1">
      <c r="A6001">
        <v>104009</v>
      </c>
      <c r="B6001" t="s">
        <v>1167</v>
      </c>
      <c r="C6001" t="str">
        <f t="shared" si="508"/>
        <v>08641790152</v>
      </c>
      <c r="D6001" t="str">
        <f t="shared" si="508"/>
        <v>08641790152</v>
      </c>
      <c r="E6001" t="s">
        <v>52</v>
      </c>
      <c r="F6001">
        <v>2014</v>
      </c>
      <c r="G6001">
        <v>190640</v>
      </c>
      <c r="H6001" s="1">
        <v>41842</v>
      </c>
      <c r="I6001" s="1">
        <v>41872</v>
      </c>
      <c r="J6001" s="1">
        <v>41872</v>
      </c>
      <c r="K6001" s="1">
        <v>41962</v>
      </c>
      <c r="N6001" s="5"/>
      <c r="O6001">
        <v>839.97</v>
      </c>
      <c r="P6001">
        <v>226</v>
      </c>
      <c r="Q6001" s="2">
        <v>189833.22</v>
      </c>
      <c r="R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 s="1">
        <v>42382</v>
      </c>
      <c r="AC6001" t="s">
        <v>53</v>
      </c>
      <c r="AD6001" t="s">
        <v>53</v>
      </c>
      <c r="AK6001">
        <v>0</v>
      </c>
      <c r="AU6001" s="6">
        <v>42188</v>
      </c>
      <c r="AV6001" s="6">
        <v>42188</v>
      </c>
      <c r="AW6001" t="s">
        <v>54</v>
      </c>
      <c r="AX6001" t="str">
        <f t="shared" si="506"/>
        <v>FOR</v>
      </c>
      <c r="AY6001" t="s">
        <v>55</v>
      </c>
    </row>
    <row r="6002" spans="1:51" hidden="1">
      <c r="A6002">
        <v>104009</v>
      </c>
      <c r="B6002" t="s">
        <v>1167</v>
      </c>
      <c r="C6002" t="str">
        <f t="shared" si="508"/>
        <v>08641790152</v>
      </c>
      <c r="D6002" t="str">
        <f t="shared" si="508"/>
        <v>08641790152</v>
      </c>
      <c r="E6002" t="s">
        <v>52</v>
      </c>
      <c r="F6002">
        <v>2014</v>
      </c>
      <c r="G6002">
        <v>190665</v>
      </c>
      <c r="H6002" s="1">
        <v>41842</v>
      </c>
      <c r="I6002" s="1">
        <v>41872</v>
      </c>
      <c r="J6002" s="1">
        <v>41872</v>
      </c>
      <c r="K6002" s="1">
        <v>41962</v>
      </c>
      <c r="N6002" s="5"/>
      <c r="O6002">
        <v>308.98</v>
      </c>
      <c r="P6002">
        <v>226</v>
      </c>
      <c r="Q6002" s="2">
        <v>69829.48</v>
      </c>
      <c r="R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 s="1">
        <v>42382</v>
      </c>
      <c r="AC6002" t="s">
        <v>53</v>
      </c>
      <c r="AD6002" t="s">
        <v>53</v>
      </c>
      <c r="AK6002">
        <v>0</v>
      </c>
      <c r="AU6002" s="6">
        <v>42188</v>
      </c>
      <c r="AV6002" s="6">
        <v>42188</v>
      </c>
      <c r="AW6002" t="s">
        <v>54</v>
      </c>
      <c r="AX6002" t="str">
        <f t="shared" si="506"/>
        <v>FOR</v>
      </c>
      <c r="AY6002" t="s">
        <v>55</v>
      </c>
    </row>
    <row r="6003" spans="1:51" hidden="1">
      <c r="A6003">
        <v>104009</v>
      </c>
      <c r="B6003" t="s">
        <v>1167</v>
      </c>
      <c r="C6003" t="str">
        <f t="shared" si="508"/>
        <v>08641790152</v>
      </c>
      <c r="D6003" t="str">
        <f t="shared" si="508"/>
        <v>08641790152</v>
      </c>
      <c r="E6003" t="s">
        <v>52</v>
      </c>
      <c r="F6003">
        <v>2014</v>
      </c>
      <c r="G6003">
        <v>191173</v>
      </c>
      <c r="H6003" s="1">
        <v>41842</v>
      </c>
      <c r="I6003" s="1">
        <v>41872</v>
      </c>
      <c r="J6003" s="1">
        <v>41872</v>
      </c>
      <c r="K6003" s="1">
        <v>41962</v>
      </c>
      <c r="N6003" s="5"/>
      <c r="O6003">
        <v>559.98</v>
      </c>
      <c r="P6003">
        <v>226</v>
      </c>
      <c r="Q6003" s="2">
        <v>126555.48</v>
      </c>
      <c r="R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 s="1">
        <v>42382</v>
      </c>
      <c r="AC6003" t="s">
        <v>53</v>
      </c>
      <c r="AD6003" t="s">
        <v>53</v>
      </c>
      <c r="AK6003">
        <v>0</v>
      </c>
      <c r="AU6003" s="6">
        <v>42188</v>
      </c>
      <c r="AV6003" s="6">
        <v>42188</v>
      </c>
      <c r="AW6003" t="s">
        <v>54</v>
      </c>
      <c r="AX6003" t="str">
        <f t="shared" si="506"/>
        <v>FOR</v>
      </c>
      <c r="AY6003" t="s">
        <v>55</v>
      </c>
    </row>
    <row r="6004" spans="1:51" hidden="1">
      <c r="A6004">
        <v>104009</v>
      </c>
      <c r="B6004" t="s">
        <v>1167</v>
      </c>
      <c r="C6004" t="str">
        <f t="shared" si="508"/>
        <v>08641790152</v>
      </c>
      <c r="D6004" t="str">
        <f t="shared" si="508"/>
        <v>08641790152</v>
      </c>
      <c r="E6004" t="s">
        <v>52</v>
      </c>
      <c r="F6004">
        <v>2014</v>
      </c>
      <c r="G6004">
        <v>191380</v>
      </c>
      <c r="H6004" s="1">
        <v>41843</v>
      </c>
      <c r="I6004" s="1">
        <v>41872</v>
      </c>
      <c r="J6004" s="1">
        <v>41872</v>
      </c>
      <c r="K6004" s="1">
        <v>41962</v>
      </c>
      <c r="N6004" s="5"/>
      <c r="O6004">
        <v>279.99</v>
      </c>
      <c r="P6004">
        <v>226</v>
      </c>
      <c r="Q6004" s="2">
        <v>63277.74</v>
      </c>
      <c r="R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 s="1">
        <v>42382</v>
      </c>
      <c r="AC6004" t="s">
        <v>53</v>
      </c>
      <c r="AD6004" t="s">
        <v>53</v>
      </c>
      <c r="AK6004">
        <v>0</v>
      </c>
      <c r="AU6004" s="6">
        <v>42188</v>
      </c>
      <c r="AV6004" s="6">
        <v>42188</v>
      </c>
      <c r="AW6004" t="s">
        <v>54</v>
      </c>
      <c r="AX6004" t="str">
        <f t="shared" si="506"/>
        <v>FOR</v>
      </c>
      <c r="AY6004" t="s">
        <v>55</v>
      </c>
    </row>
    <row r="6005" spans="1:51" hidden="1">
      <c r="A6005">
        <v>104009</v>
      </c>
      <c r="B6005" t="s">
        <v>1167</v>
      </c>
      <c r="C6005" t="str">
        <f t="shared" ref="C6005:D6024" si="509">"08641790152"</f>
        <v>08641790152</v>
      </c>
      <c r="D6005" t="str">
        <f t="shared" si="509"/>
        <v>08641790152</v>
      </c>
      <c r="E6005" t="s">
        <v>52</v>
      </c>
      <c r="F6005">
        <v>2014</v>
      </c>
      <c r="G6005">
        <v>191664</v>
      </c>
      <c r="H6005" s="1">
        <v>41843</v>
      </c>
      <c r="I6005" s="1">
        <v>41872</v>
      </c>
      <c r="J6005" s="1">
        <v>41872</v>
      </c>
      <c r="K6005" s="1">
        <v>41962</v>
      </c>
      <c r="N6005" s="5"/>
      <c r="O6005" s="2">
        <v>2025.2</v>
      </c>
      <c r="P6005">
        <v>226</v>
      </c>
      <c r="Q6005" s="2">
        <v>457695.2</v>
      </c>
      <c r="R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 s="1">
        <v>42382</v>
      </c>
      <c r="AC6005" t="s">
        <v>53</v>
      </c>
      <c r="AD6005" t="s">
        <v>53</v>
      </c>
      <c r="AK6005">
        <v>0</v>
      </c>
      <c r="AU6005" s="6">
        <v>42188</v>
      </c>
      <c r="AV6005" s="6">
        <v>42188</v>
      </c>
      <c r="AW6005" t="s">
        <v>54</v>
      </c>
      <c r="AX6005" t="str">
        <f t="shared" si="506"/>
        <v>FOR</v>
      </c>
      <c r="AY6005" t="s">
        <v>55</v>
      </c>
    </row>
    <row r="6006" spans="1:51" hidden="1">
      <c r="A6006">
        <v>104009</v>
      </c>
      <c r="B6006" t="s">
        <v>1167</v>
      </c>
      <c r="C6006" t="str">
        <f t="shared" si="509"/>
        <v>08641790152</v>
      </c>
      <c r="D6006" t="str">
        <f t="shared" si="509"/>
        <v>08641790152</v>
      </c>
      <c r="E6006" t="s">
        <v>52</v>
      </c>
      <c r="F6006">
        <v>2014</v>
      </c>
      <c r="G6006">
        <v>191891</v>
      </c>
      <c r="H6006" s="1">
        <v>41843</v>
      </c>
      <c r="I6006" s="1">
        <v>41872</v>
      </c>
      <c r="J6006" s="1">
        <v>41872</v>
      </c>
      <c r="K6006" s="1">
        <v>41962</v>
      </c>
      <c r="N6006" s="5"/>
      <c r="O6006" s="2">
        <v>4977.6000000000004</v>
      </c>
      <c r="P6006">
        <v>226</v>
      </c>
      <c r="Q6006" s="2">
        <v>1124937.6000000001</v>
      </c>
      <c r="R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 s="1">
        <v>42382</v>
      </c>
      <c r="AC6006" t="s">
        <v>53</v>
      </c>
      <c r="AD6006" t="s">
        <v>53</v>
      </c>
      <c r="AK6006">
        <v>0</v>
      </c>
      <c r="AU6006" s="6">
        <v>42188</v>
      </c>
      <c r="AV6006" s="6">
        <v>42188</v>
      </c>
      <c r="AW6006" t="s">
        <v>54</v>
      </c>
      <c r="AX6006" t="str">
        <f t="shared" si="506"/>
        <v>FOR</v>
      </c>
      <c r="AY6006" t="s">
        <v>55</v>
      </c>
    </row>
    <row r="6007" spans="1:51" hidden="1">
      <c r="A6007">
        <v>104009</v>
      </c>
      <c r="B6007" t="s">
        <v>1167</v>
      </c>
      <c r="C6007" t="str">
        <f t="shared" si="509"/>
        <v>08641790152</v>
      </c>
      <c r="D6007" t="str">
        <f t="shared" si="509"/>
        <v>08641790152</v>
      </c>
      <c r="E6007" t="s">
        <v>52</v>
      </c>
      <c r="F6007">
        <v>2014</v>
      </c>
      <c r="G6007">
        <v>191933</v>
      </c>
      <c r="H6007" s="1">
        <v>41843</v>
      </c>
      <c r="I6007" s="1">
        <v>41872</v>
      </c>
      <c r="J6007" s="1">
        <v>41872</v>
      </c>
      <c r="K6007" s="1">
        <v>41962</v>
      </c>
      <c r="N6007" s="5"/>
      <c r="O6007" s="2">
        <v>2347.2800000000002</v>
      </c>
      <c r="P6007">
        <v>226</v>
      </c>
      <c r="Q6007" s="2">
        <v>530485.28</v>
      </c>
      <c r="R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 s="1">
        <v>42382</v>
      </c>
      <c r="AC6007" t="s">
        <v>53</v>
      </c>
      <c r="AD6007" t="s">
        <v>53</v>
      </c>
      <c r="AK6007">
        <v>0</v>
      </c>
      <c r="AU6007" s="6">
        <v>42188</v>
      </c>
      <c r="AV6007" s="6">
        <v>42188</v>
      </c>
      <c r="AW6007" t="s">
        <v>54</v>
      </c>
      <c r="AX6007" t="str">
        <f t="shared" si="506"/>
        <v>FOR</v>
      </c>
      <c r="AY6007" t="s">
        <v>55</v>
      </c>
    </row>
    <row r="6008" spans="1:51" hidden="1">
      <c r="A6008">
        <v>104009</v>
      </c>
      <c r="B6008" t="s">
        <v>1167</v>
      </c>
      <c r="C6008" t="str">
        <f t="shared" si="509"/>
        <v>08641790152</v>
      </c>
      <c r="D6008" t="str">
        <f t="shared" si="509"/>
        <v>08641790152</v>
      </c>
      <c r="E6008" t="s">
        <v>52</v>
      </c>
      <c r="F6008">
        <v>2014</v>
      </c>
      <c r="G6008">
        <v>192450</v>
      </c>
      <c r="H6008" s="1">
        <v>41844</v>
      </c>
      <c r="I6008" s="1">
        <v>41872</v>
      </c>
      <c r="J6008" s="1">
        <v>41872</v>
      </c>
      <c r="K6008" s="1">
        <v>41962</v>
      </c>
      <c r="N6008" s="5"/>
      <c r="O6008" s="2">
        <v>5200</v>
      </c>
      <c r="P6008">
        <v>226</v>
      </c>
      <c r="Q6008" s="2">
        <v>1175200</v>
      </c>
      <c r="R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 s="1">
        <v>42382</v>
      </c>
      <c r="AC6008" t="s">
        <v>53</v>
      </c>
      <c r="AD6008" t="s">
        <v>53</v>
      </c>
      <c r="AK6008">
        <v>0</v>
      </c>
      <c r="AU6008" s="6">
        <v>42188</v>
      </c>
      <c r="AV6008" s="6">
        <v>42188</v>
      </c>
      <c r="AW6008" t="s">
        <v>54</v>
      </c>
      <c r="AX6008" t="str">
        <f t="shared" si="506"/>
        <v>FOR</v>
      </c>
      <c r="AY6008" t="s">
        <v>55</v>
      </c>
    </row>
    <row r="6009" spans="1:51" hidden="1">
      <c r="A6009">
        <v>104009</v>
      </c>
      <c r="B6009" t="s">
        <v>1167</v>
      </c>
      <c r="C6009" t="str">
        <f t="shared" si="509"/>
        <v>08641790152</v>
      </c>
      <c r="D6009" t="str">
        <f t="shared" si="509"/>
        <v>08641790152</v>
      </c>
      <c r="E6009" t="s">
        <v>52</v>
      </c>
      <c r="F6009">
        <v>2014</v>
      </c>
      <c r="G6009">
        <v>193335</v>
      </c>
      <c r="H6009" s="1">
        <v>41848</v>
      </c>
      <c r="I6009" s="1">
        <v>41872</v>
      </c>
      <c r="J6009" s="1">
        <v>41872</v>
      </c>
      <c r="K6009" s="1">
        <v>41962</v>
      </c>
      <c r="N6009" s="5"/>
      <c r="O6009" s="2">
        <v>1012.6</v>
      </c>
      <c r="P6009">
        <v>226</v>
      </c>
      <c r="Q6009" s="2">
        <v>228847.6</v>
      </c>
      <c r="R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 s="1">
        <v>42382</v>
      </c>
      <c r="AC6009" t="s">
        <v>53</v>
      </c>
      <c r="AD6009" t="s">
        <v>53</v>
      </c>
      <c r="AK6009">
        <v>0</v>
      </c>
      <c r="AU6009" s="6">
        <v>42188</v>
      </c>
      <c r="AV6009" s="6">
        <v>42188</v>
      </c>
      <c r="AW6009" t="s">
        <v>54</v>
      </c>
      <c r="AX6009" t="str">
        <f t="shared" si="506"/>
        <v>FOR</v>
      </c>
      <c r="AY6009" t="s">
        <v>55</v>
      </c>
    </row>
    <row r="6010" spans="1:51" hidden="1">
      <c r="A6010">
        <v>104009</v>
      </c>
      <c r="B6010" t="s">
        <v>1167</v>
      </c>
      <c r="C6010" t="str">
        <f t="shared" si="509"/>
        <v>08641790152</v>
      </c>
      <c r="D6010" t="str">
        <f t="shared" si="509"/>
        <v>08641790152</v>
      </c>
      <c r="E6010" t="s">
        <v>52</v>
      </c>
      <c r="F6010">
        <v>2014</v>
      </c>
      <c r="G6010">
        <v>193373</v>
      </c>
      <c r="H6010" s="1">
        <v>41848</v>
      </c>
      <c r="I6010" s="1">
        <v>41872</v>
      </c>
      <c r="J6010" s="1">
        <v>41872</v>
      </c>
      <c r="K6010" s="1">
        <v>41962</v>
      </c>
      <c r="N6010" s="5"/>
      <c r="O6010">
        <v>717.36</v>
      </c>
      <c r="P6010">
        <v>226</v>
      </c>
      <c r="Q6010" s="2">
        <v>162123.35999999999</v>
      </c>
      <c r="R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 s="1">
        <v>42382</v>
      </c>
      <c r="AC6010" t="s">
        <v>53</v>
      </c>
      <c r="AD6010" t="s">
        <v>53</v>
      </c>
      <c r="AK6010">
        <v>0</v>
      </c>
      <c r="AU6010" s="6">
        <v>42188</v>
      </c>
      <c r="AV6010" s="6">
        <v>42188</v>
      </c>
      <c r="AW6010" t="s">
        <v>54</v>
      </c>
      <c r="AX6010" t="str">
        <f t="shared" si="506"/>
        <v>FOR</v>
      </c>
      <c r="AY6010" t="s">
        <v>55</v>
      </c>
    </row>
    <row r="6011" spans="1:51" hidden="1">
      <c r="A6011">
        <v>104009</v>
      </c>
      <c r="B6011" t="s">
        <v>1167</v>
      </c>
      <c r="C6011" t="str">
        <f t="shared" si="509"/>
        <v>08641790152</v>
      </c>
      <c r="D6011" t="str">
        <f t="shared" si="509"/>
        <v>08641790152</v>
      </c>
      <c r="E6011" t="s">
        <v>52</v>
      </c>
      <c r="F6011">
        <v>2014</v>
      </c>
      <c r="G6011">
        <v>193861</v>
      </c>
      <c r="H6011" s="1">
        <v>41848</v>
      </c>
      <c r="I6011" s="1">
        <v>41872</v>
      </c>
      <c r="J6011" s="1">
        <v>41872</v>
      </c>
      <c r="K6011" s="1">
        <v>41962</v>
      </c>
      <c r="N6011" s="5"/>
      <c r="O6011">
        <v>102.99</v>
      </c>
      <c r="P6011">
        <v>226</v>
      </c>
      <c r="Q6011" s="2">
        <v>23275.74</v>
      </c>
      <c r="R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 s="1">
        <v>42382</v>
      </c>
      <c r="AC6011" t="s">
        <v>53</v>
      </c>
      <c r="AD6011" t="s">
        <v>53</v>
      </c>
      <c r="AK6011">
        <v>0</v>
      </c>
      <c r="AU6011" s="6">
        <v>42188</v>
      </c>
      <c r="AV6011" s="6">
        <v>42188</v>
      </c>
      <c r="AW6011" t="s">
        <v>54</v>
      </c>
      <c r="AX6011" t="str">
        <f t="shared" si="506"/>
        <v>FOR</v>
      </c>
      <c r="AY6011" t="s">
        <v>55</v>
      </c>
    </row>
    <row r="6012" spans="1:51" hidden="1">
      <c r="A6012">
        <v>104009</v>
      </c>
      <c r="B6012" t="s">
        <v>1167</v>
      </c>
      <c r="C6012" t="str">
        <f t="shared" si="509"/>
        <v>08641790152</v>
      </c>
      <c r="D6012" t="str">
        <f t="shared" si="509"/>
        <v>08641790152</v>
      </c>
      <c r="E6012" t="s">
        <v>52</v>
      </c>
      <c r="F6012">
        <v>2014</v>
      </c>
      <c r="G6012">
        <v>194273</v>
      </c>
      <c r="H6012" s="1">
        <v>41849</v>
      </c>
      <c r="I6012" s="1">
        <v>41873</v>
      </c>
      <c r="J6012" s="1">
        <v>41873</v>
      </c>
      <c r="K6012" s="1">
        <v>41963</v>
      </c>
      <c r="N6012" s="5"/>
      <c r="O6012">
        <v>988</v>
      </c>
      <c r="P6012">
        <v>225</v>
      </c>
      <c r="Q6012" s="2">
        <v>222300</v>
      </c>
      <c r="R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 s="1">
        <v>42382</v>
      </c>
      <c r="AC6012" t="s">
        <v>53</v>
      </c>
      <c r="AD6012" t="s">
        <v>53</v>
      </c>
      <c r="AK6012">
        <v>0</v>
      </c>
      <c r="AU6012" s="6">
        <v>42188</v>
      </c>
      <c r="AV6012" s="6">
        <v>42188</v>
      </c>
      <c r="AW6012" t="s">
        <v>54</v>
      </c>
      <c r="AX6012" t="str">
        <f t="shared" si="506"/>
        <v>FOR</v>
      </c>
      <c r="AY6012" t="s">
        <v>55</v>
      </c>
    </row>
    <row r="6013" spans="1:51" hidden="1">
      <c r="A6013">
        <v>104009</v>
      </c>
      <c r="B6013" t="s">
        <v>1167</v>
      </c>
      <c r="C6013" t="str">
        <f t="shared" si="509"/>
        <v>08641790152</v>
      </c>
      <c r="D6013" t="str">
        <f t="shared" si="509"/>
        <v>08641790152</v>
      </c>
      <c r="E6013" t="s">
        <v>52</v>
      </c>
      <c r="F6013">
        <v>2014</v>
      </c>
      <c r="G6013">
        <v>195364</v>
      </c>
      <c r="H6013" s="1">
        <v>41851</v>
      </c>
      <c r="I6013" s="1">
        <v>41873</v>
      </c>
      <c r="J6013" s="1">
        <v>41873</v>
      </c>
      <c r="K6013" s="1">
        <v>41963</v>
      </c>
      <c r="N6013" s="5"/>
      <c r="O6013">
        <v>573.4</v>
      </c>
      <c r="P6013">
        <v>225</v>
      </c>
      <c r="Q6013" s="2">
        <v>129015</v>
      </c>
      <c r="R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 s="1">
        <v>42382</v>
      </c>
      <c r="AC6013" t="s">
        <v>53</v>
      </c>
      <c r="AD6013" t="s">
        <v>53</v>
      </c>
      <c r="AK6013">
        <v>0</v>
      </c>
      <c r="AU6013" s="6">
        <v>42188</v>
      </c>
      <c r="AV6013" s="6">
        <v>42188</v>
      </c>
      <c r="AW6013" t="s">
        <v>54</v>
      </c>
      <c r="AX6013" t="str">
        <f t="shared" si="506"/>
        <v>FOR</v>
      </c>
      <c r="AY6013" t="s">
        <v>55</v>
      </c>
    </row>
    <row r="6014" spans="1:51" hidden="1">
      <c r="A6014">
        <v>104009</v>
      </c>
      <c r="B6014" t="s">
        <v>1167</v>
      </c>
      <c r="C6014" t="str">
        <f t="shared" si="509"/>
        <v>08641790152</v>
      </c>
      <c r="D6014" t="str">
        <f t="shared" si="509"/>
        <v>08641790152</v>
      </c>
      <c r="E6014" t="s">
        <v>52</v>
      </c>
      <c r="F6014">
        <v>2014</v>
      </c>
      <c r="G6014">
        <v>195413</v>
      </c>
      <c r="H6014" s="1">
        <v>41851</v>
      </c>
      <c r="I6014" s="1">
        <v>41873</v>
      </c>
      <c r="J6014" s="1">
        <v>41873</v>
      </c>
      <c r="K6014" s="1">
        <v>41963</v>
      </c>
      <c r="N6014" s="5"/>
      <c r="O6014" s="2">
        <v>4053.08</v>
      </c>
      <c r="P6014">
        <v>225</v>
      </c>
      <c r="Q6014" s="2">
        <v>911943</v>
      </c>
      <c r="R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 s="1">
        <v>42382</v>
      </c>
      <c r="AC6014" t="s">
        <v>53</v>
      </c>
      <c r="AD6014" t="s">
        <v>53</v>
      </c>
      <c r="AK6014">
        <v>0</v>
      </c>
      <c r="AU6014" s="6">
        <v>42188</v>
      </c>
      <c r="AV6014" s="6">
        <v>42188</v>
      </c>
      <c r="AW6014" t="s">
        <v>54</v>
      </c>
      <c r="AX6014" t="str">
        <f t="shared" si="506"/>
        <v>FOR</v>
      </c>
      <c r="AY6014" t="s">
        <v>55</v>
      </c>
    </row>
    <row r="6015" spans="1:51" hidden="1">
      <c r="A6015">
        <v>104009</v>
      </c>
      <c r="B6015" t="s">
        <v>1167</v>
      </c>
      <c r="C6015" t="str">
        <f t="shared" si="509"/>
        <v>08641790152</v>
      </c>
      <c r="D6015" t="str">
        <f t="shared" si="509"/>
        <v>08641790152</v>
      </c>
      <c r="E6015" t="s">
        <v>52</v>
      </c>
      <c r="F6015">
        <v>2014</v>
      </c>
      <c r="G6015">
        <v>195432</v>
      </c>
      <c r="H6015" s="1">
        <v>41851</v>
      </c>
      <c r="I6015" s="1">
        <v>41873</v>
      </c>
      <c r="J6015" s="1">
        <v>41873</v>
      </c>
      <c r="K6015" s="1">
        <v>41963</v>
      </c>
      <c r="N6015" s="5"/>
      <c r="O6015" s="2">
        <v>2042.28</v>
      </c>
      <c r="P6015">
        <v>225</v>
      </c>
      <c r="Q6015" s="2">
        <v>459513</v>
      </c>
      <c r="R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 s="1">
        <v>42382</v>
      </c>
      <c r="AC6015" t="s">
        <v>53</v>
      </c>
      <c r="AD6015" t="s">
        <v>53</v>
      </c>
      <c r="AK6015">
        <v>0</v>
      </c>
      <c r="AU6015" s="6">
        <v>42188</v>
      </c>
      <c r="AV6015" s="6">
        <v>42188</v>
      </c>
      <c r="AW6015" t="s">
        <v>54</v>
      </c>
      <c r="AX6015" t="str">
        <f t="shared" si="506"/>
        <v>FOR</v>
      </c>
      <c r="AY6015" t="s">
        <v>55</v>
      </c>
    </row>
    <row r="6016" spans="1:51" hidden="1">
      <c r="A6016">
        <v>104009</v>
      </c>
      <c r="B6016" t="s">
        <v>1167</v>
      </c>
      <c r="C6016" t="str">
        <f t="shared" si="509"/>
        <v>08641790152</v>
      </c>
      <c r="D6016" t="str">
        <f t="shared" si="509"/>
        <v>08641790152</v>
      </c>
      <c r="E6016" t="s">
        <v>52</v>
      </c>
      <c r="F6016">
        <v>2014</v>
      </c>
      <c r="G6016">
        <v>195450</v>
      </c>
      <c r="H6016" s="1">
        <v>41851</v>
      </c>
      <c r="I6016" s="1">
        <v>41873</v>
      </c>
      <c r="J6016" s="1">
        <v>41873</v>
      </c>
      <c r="K6016" s="1">
        <v>41963</v>
      </c>
      <c r="N6016" s="5"/>
      <c r="O6016">
        <v>178.12</v>
      </c>
      <c r="P6016">
        <v>225</v>
      </c>
      <c r="Q6016" s="2">
        <v>40077</v>
      </c>
      <c r="R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 s="1">
        <v>42382</v>
      </c>
      <c r="AC6016" t="s">
        <v>53</v>
      </c>
      <c r="AD6016" t="s">
        <v>53</v>
      </c>
      <c r="AK6016">
        <v>0</v>
      </c>
      <c r="AU6016" s="6">
        <v>42188</v>
      </c>
      <c r="AV6016" s="6">
        <v>42188</v>
      </c>
      <c r="AW6016" t="s">
        <v>54</v>
      </c>
      <c r="AX6016" t="str">
        <f t="shared" si="506"/>
        <v>FOR</v>
      </c>
      <c r="AY6016" t="s">
        <v>55</v>
      </c>
    </row>
    <row r="6017" spans="1:51" hidden="1">
      <c r="A6017">
        <v>104009</v>
      </c>
      <c r="B6017" t="s">
        <v>1167</v>
      </c>
      <c r="C6017" t="str">
        <f t="shared" si="509"/>
        <v>08641790152</v>
      </c>
      <c r="D6017" t="str">
        <f t="shared" si="509"/>
        <v>08641790152</v>
      </c>
      <c r="E6017" t="s">
        <v>52</v>
      </c>
      <c r="F6017">
        <v>2014</v>
      </c>
      <c r="G6017">
        <v>195497</v>
      </c>
      <c r="H6017" s="1">
        <v>41851</v>
      </c>
      <c r="I6017" s="1">
        <v>41873</v>
      </c>
      <c r="J6017" s="1">
        <v>41873</v>
      </c>
      <c r="K6017" s="1">
        <v>41963</v>
      </c>
      <c r="N6017" s="5"/>
      <c r="O6017" s="2">
        <v>4392</v>
      </c>
      <c r="P6017">
        <v>225</v>
      </c>
      <c r="Q6017" s="2">
        <v>988200</v>
      </c>
      <c r="R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 s="1">
        <v>42382</v>
      </c>
      <c r="AC6017" t="s">
        <v>53</v>
      </c>
      <c r="AD6017" t="s">
        <v>53</v>
      </c>
      <c r="AK6017">
        <v>0</v>
      </c>
      <c r="AU6017" s="6">
        <v>42188</v>
      </c>
      <c r="AV6017" s="6">
        <v>42188</v>
      </c>
      <c r="AW6017" t="s">
        <v>54</v>
      </c>
      <c r="AX6017" t="str">
        <f t="shared" si="506"/>
        <v>FOR</v>
      </c>
      <c r="AY6017" t="s">
        <v>55</v>
      </c>
    </row>
    <row r="6018" spans="1:51" hidden="1">
      <c r="A6018">
        <v>104009</v>
      </c>
      <c r="B6018" t="s">
        <v>1167</v>
      </c>
      <c r="C6018" t="str">
        <f t="shared" si="509"/>
        <v>08641790152</v>
      </c>
      <c r="D6018" t="str">
        <f t="shared" si="509"/>
        <v>08641790152</v>
      </c>
      <c r="E6018" t="s">
        <v>52</v>
      </c>
      <c r="F6018">
        <v>2014</v>
      </c>
      <c r="G6018">
        <v>196695</v>
      </c>
      <c r="H6018" s="1">
        <v>41856</v>
      </c>
      <c r="I6018" s="1">
        <v>41876</v>
      </c>
      <c r="J6018" s="1">
        <v>41876</v>
      </c>
      <c r="K6018" s="1">
        <v>41966</v>
      </c>
      <c r="N6018" s="5"/>
      <c r="O6018" s="2">
        <v>8052</v>
      </c>
      <c r="P6018">
        <v>222</v>
      </c>
      <c r="Q6018" s="2">
        <v>1787544</v>
      </c>
      <c r="R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 s="1">
        <v>42382</v>
      </c>
      <c r="AC6018" t="s">
        <v>53</v>
      </c>
      <c r="AD6018" t="s">
        <v>53</v>
      </c>
      <c r="AK6018">
        <v>0</v>
      </c>
      <c r="AU6018" s="6">
        <v>42188</v>
      </c>
      <c r="AV6018" s="6">
        <v>42188</v>
      </c>
      <c r="AW6018" t="s">
        <v>54</v>
      </c>
      <c r="AX6018" t="str">
        <f t="shared" si="506"/>
        <v>FOR</v>
      </c>
      <c r="AY6018" t="s">
        <v>55</v>
      </c>
    </row>
    <row r="6019" spans="1:51" hidden="1">
      <c r="A6019">
        <v>104009</v>
      </c>
      <c r="B6019" t="s">
        <v>1167</v>
      </c>
      <c r="C6019" t="str">
        <f t="shared" si="509"/>
        <v>08641790152</v>
      </c>
      <c r="D6019" t="str">
        <f t="shared" si="509"/>
        <v>08641790152</v>
      </c>
      <c r="E6019" t="s">
        <v>52</v>
      </c>
      <c r="F6019">
        <v>2014</v>
      </c>
      <c r="G6019">
        <v>196753</v>
      </c>
      <c r="H6019" s="1">
        <v>41856</v>
      </c>
      <c r="I6019" s="1">
        <v>41876</v>
      </c>
      <c r="J6019" s="1">
        <v>41876</v>
      </c>
      <c r="K6019" s="1">
        <v>41966</v>
      </c>
      <c r="N6019" s="5"/>
      <c r="O6019" s="2">
        <v>5185</v>
      </c>
      <c r="P6019">
        <v>222</v>
      </c>
      <c r="Q6019" s="2">
        <v>1151070</v>
      </c>
      <c r="R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 s="1">
        <v>42382</v>
      </c>
      <c r="AC6019" t="s">
        <v>53</v>
      </c>
      <c r="AD6019" t="s">
        <v>53</v>
      </c>
      <c r="AK6019">
        <v>0</v>
      </c>
      <c r="AU6019" s="6">
        <v>42188</v>
      </c>
      <c r="AV6019" s="6">
        <v>42188</v>
      </c>
      <c r="AW6019" t="s">
        <v>54</v>
      </c>
      <c r="AX6019" t="str">
        <f t="shared" ref="AX6019:AX6082" si="510">"FOR"</f>
        <v>FOR</v>
      </c>
      <c r="AY6019" t="s">
        <v>55</v>
      </c>
    </row>
    <row r="6020" spans="1:51" hidden="1">
      <c r="A6020">
        <v>104009</v>
      </c>
      <c r="B6020" t="s">
        <v>1167</v>
      </c>
      <c r="C6020" t="str">
        <f t="shared" si="509"/>
        <v>08641790152</v>
      </c>
      <c r="D6020" t="str">
        <f t="shared" si="509"/>
        <v>08641790152</v>
      </c>
      <c r="E6020" t="s">
        <v>52</v>
      </c>
      <c r="F6020">
        <v>2014</v>
      </c>
      <c r="G6020">
        <v>198131</v>
      </c>
      <c r="H6020" s="1">
        <v>41859</v>
      </c>
      <c r="I6020" s="1">
        <v>41877</v>
      </c>
      <c r="J6020" s="1">
        <v>41877</v>
      </c>
      <c r="K6020" s="1">
        <v>41967</v>
      </c>
      <c r="N6020" s="5"/>
      <c r="O6020">
        <v>58.56</v>
      </c>
      <c r="P6020">
        <v>221</v>
      </c>
      <c r="Q6020" s="2">
        <v>12941.76</v>
      </c>
      <c r="R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 s="1">
        <v>42382</v>
      </c>
      <c r="AC6020" t="s">
        <v>53</v>
      </c>
      <c r="AD6020" t="s">
        <v>53</v>
      </c>
      <c r="AK6020">
        <v>0</v>
      </c>
      <c r="AU6020" s="6">
        <v>42188</v>
      </c>
      <c r="AV6020" s="6">
        <v>42188</v>
      </c>
      <c r="AW6020" t="s">
        <v>54</v>
      </c>
      <c r="AX6020" t="str">
        <f t="shared" si="510"/>
        <v>FOR</v>
      </c>
      <c r="AY6020" t="s">
        <v>55</v>
      </c>
    </row>
    <row r="6021" spans="1:51" hidden="1">
      <c r="A6021">
        <v>104009</v>
      </c>
      <c r="B6021" t="s">
        <v>1167</v>
      </c>
      <c r="C6021" t="str">
        <f t="shared" si="509"/>
        <v>08641790152</v>
      </c>
      <c r="D6021" t="str">
        <f t="shared" si="509"/>
        <v>08641790152</v>
      </c>
      <c r="E6021" t="s">
        <v>52</v>
      </c>
      <c r="F6021">
        <v>2014</v>
      </c>
      <c r="G6021">
        <v>198815</v>
      </c>
      <c r="H6021" s="1">
        <v>41863</v>
      </c>
      <c r="I6021" s="1">
        <v>41877</v>
      </c>
      <c r="J6021" s="1">
        <v>41877</v>
      </c>
      <c r="K6021" s="1">
        <v>41967</v>
      </c>
      <c r="N6021" s="5"/>
      <c r="O6021">
        <v>208</v>
      </c>
      <c r="P6021">
        <v>221</v>
      </c>
      <c r="Q6021" s="2">
        <v>45968</v>
      </c>
      <c r="R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 s="1">
        <v>42382</v>
      </c>
      <c r="AC6021" t="s">
        <v>53</v>
      </c>
      <c r="AD6021" t="s">
        <v>53</v>
      </c>
      <c r="AK6021">
        <v>0</v>
      </c>
      <c r="AU6021" s="6">
        <v>42188</v>
      </c>
      <c r="AV6021" s="6">
        <v>42188</v>
      </c>
      <c r="AW6021" t="s">
        <v>54</v>
      </c>
      <c r="AX6021" t="str">
        <f t="shared" si="510"/>
        <v>FOR</v>
      </c>
      <c r="AY6021" t="s">
        <v>55</v>
      </c>
    </row>
    <row r="6022" spans="1:51" hidden="1">
      <c r="A6022">
        <v>104009</v>
      </c>
      <c r="B6022" t="s">
        <v>1167</v>
      </c>
      <c r="C6022" t="str">
        <f t="shared" si="509"/>
        <v>08641790152</v>
      </c>
      <c r="D6022" t="str">
        <f t="shared" si="509"/>
        <v>08641790152</v>
      </c>
      <c r="E6022" t="s">
        <v>52</v>
      </c>
      <c r="F6022">
        <v>2014</v>
      </c>
      <c r="G6022">
        <v>198822</v>
      </c>
      <c r="H6022" s="1">
        <v>41863</v>
      </c>
      <c r="I6022" s="1">
        <v>41877</v>
      </c>
      <c r="J6022" s="1">
        <v>41877</v>
      </c>
      <c r="K6022" s="1">
        <v>41967</v>
      </c>
      <c r="N6022" s="5"/>
      <c r="O6022">
        <v>312</v>
      </c>
      <c r="P6022">
        <v>221</v>
      </c>
      <c r="Q6022" s="2">
        <v>68952</v>
      </c>
      <c r="R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 s="1">
        <v>42382</v>
      </c>
      <c r="AC6022" t="s">
        <v>53</v>
      </c>
      <c r="AD6022" t="s">
        <v>53</v>
      </c>
      <c r="AK6022">
        <v>0</v>
      </c>
      <c r="AU6022" s="6">
        <v>42188</v>
      </c>
      <c r="AV6022" s="6">
        <v>42188</v>
      </c>
      <c r="AW6022" t="s">
        <v>54</v>
      </c>
      <c r="AX6022" t="str">
        <f t="shared" si="510"/>
        <v>FOR</v>
      </c>
      <c r="AY6022" t="s">
        <v>55</v>
      </c>
    </row>
    <row r="6023" spans="1:51" hidden="1">
      <c r="A6023">
        <v>104009</v>
      </c>
      <c r="B6023" t="s">
        <v>1167</v>
      </c>
      <c r="C6023" t="str">
        <f t="shared" si="509"/>
        <v>08641790152</v>
      </c>
      <c r="D6023" t="str">
        <f t="shared" si="509"/>
        <v>08641790152</v>
      </c>
      <c r="E6023" t="s">
        <v>52</v>
      </c>
      <c r="F6023">
        <v>2014</v>
      </c>
      <c r="G6023">
        <v>200456</v>
      </c>
      <c r="H6023" s="1">
        <v>41871</v>
      </c>
      <c r="I6023" s="1">
        <v>41879</v>
      </c>
      <c r="J6023" s="1">
        <v>41879</v>
      </c>
      <c r="K6023" s="1">
        <v>41969</v>
      </c>
      <c r="N6023" s="5"/>
      <c r="O6023" s="2">
        <v>1830</v>
      </c>
      <c r="P6023">
        <v>219</v>
      </c>
      <c r="Q6023" s="2">
        <v>400770</v>
      </c>
      <c r="R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 s="1">
        <v>42382</v>
      </c>
      <c r="AC6023" t="s">
        <v>53</v>
      </c>
      <c r="AD6023" t="s">
        <v>53</v>
      </c>
      <c r="AK6023">
        <v>0</v>
      </c>
      <c r="AU6023" s="6">
        <v>42188</v>
      </c>
      <c r="AV6023" s="6">
        <v>42188</v>
      </c>
      <c r="AW6023" t="s">
        <v>54</v>
      </c>
      <c r="AX6023" t="str">
        <f t="shared" si="510"/>
        <v>FOR</v>
      </c>
      <c r="AY6023" t="s">
        <v>55</v>
      </c>
    </row>
    <row r="6024" spans="1:51" hidden="1">
      <c r="A6024">
        <v>104009</v>
      </c>
      <c r="B6024" t="s">
        <v>1167</v>
      </c>
      <c r="C6024" t="str">
        <f t="shared" si="509"/>
        <v>08641790152</v>
      </c>
      <c r="D6024" t="str">
        <f t="shared" si="509"/>
        <v>08641790152</v>
      </c>
      <c r="E6024" t="s">
        <v>52</v>
      </c>
      <c r="F6024">
        <v>2014</v>
      </c>
      <c r="G6024">
        <v>201583</v>
      </c>
      <c r="H6024" s="1">
        <v>41877</v>
      </c>
      <c r="I6024" s="1">
        <v>41886</v>
      </c>
      <c r="J6024" s="1">
        <v>41886</v>
      </c>
      <c r="K6024" s="1">
        <v>41976</v>
      </c>
      <c r="N6024" s="5"/>
      <c r="O6024" s="2">
        <v>1110.2</v>
      </c>
      <c r="P6024">
        <v>212</v>
      </c>
      <c r="Q6024" s="2">
        <v>235362.4</v>
      </c>
      <c r="R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 s="1">
        <v>42382</v>
      </c>
      <c r="AC6024" t="s">
        <v>53</v>
      </c>
      <c r="AD6024" t="s">
        <v>53</v>
      </c>
      <c r="AK6024">
        <v>0</v>
      </c>
      <c r="AU6024" s="6">
        <v>42188</v>
      </c>
      <c r="AV6024" s="6">
        <v>42188</v>
      </c>
      <c r="AW6024" t="s">
        <v>54</v>
      </c>
      <c r="AX6024" t="str">
        <f t="shared" si="510"/>
        <v>FOR</v>
      </c>
      <c r="AY6024" t="s">
        <v>55</v>
      </c>
    </row>
    <row r="6025" spans="1:51" hidden="1">
      <c r="A6025">
        <v>104009</v>
      </c>
      <c r="B6025" t="s">
        <v>1167</v>
      </c>
      <c r="C6025" t="str">
        <f t="shared" ref="C6025:D6044" si="511">"08641790152"</f>
        <v>08641790152</v>
      </c>
      <c r="D6025" t="str">
        <f t="shared" si="511"/>
        <v>08641790152</v>
      </c>
      <c r="E6025" t="s">
        <v>52</v>
      </c>
      <c r="F6025">
        <v>2014</v>
      </c>
      <c r="G6025">
        <v>201601</v>
      </c>
      <c r="H6025" s="1">
        <v>41877</v>
      </c>
      <c r="I6025" s="1">
        <v>41886</v>
      </c>
      <c r="J6025" s="1">
        <v>41886</v>
      </c>
      <c r="K6025" s="1">
        <v>41976</v>
      </c>
      <c r="N6025" s="5"/>
      <c r="O6025" s="2">
        <v>11297.2</v>
      </c>
      <c r="P6025">
        <v>212</v>
      </c>
      <c r="Q6025" s="2">
        <v>2395006.4</v>
      </c>
      <c r="R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 s="1">
        <v>42382</v>
      </c>
      <c r="AC6025" t="s">
        <v>53</v>
      </c>
      <c r="AD6025" t="s">
        <v>53</v>
      </c>
      <c r="AK6025">
        <v>0</v>
      </c>
      <c r="AU6025" s="6">
        <v>42188</v>
      </c>
      <c r="AV6025" s="6">
        <v>42188</v>
      </c>
      <c r="AW6025" t="s">
        <v>54</v>
      </c>
      <c r="AX6025" t="str">
        <f t="shared" si="510"/>
        <v>FOR</v>
      </c>
      <c r="AY6025" t="s">
        <v>55</v>
      </c>
    </row>
    <row r="6026" spans="1:51" hidden="1">
      <c r="A6026">
        <v>104009</v>
      </c>
      <c r="B6026" t="s">
        <v>1167</v>
      </c>
      <c r="C6026" t="str">
        <f t="shared" si="511"/>
        <v>08641790152</v>
      </c>
      <c r="D6026" t="str">
        <f t="shared" si="511"/>
        <v>08641790152</v>
      </c>
      <c r="E6026" t="s">
        <v>52</v>
      </c>
      <c r="F6026">
        <v>2014</v>
      </c>
      <c r="G6026">
        <v>202087</v>
      </c>
      <c r="H6026" s="1">
        <v>41878</v>
      </c>
      <c r="I6026" s="1">
        <v>41890</v>
      </c>
      <c r="J6026" s="1">
        <v>41890</v>
      </c>
      <c r="K6026" s="1">
        <v>41980</v>
      </c>
      <c r="N6026" s="5"/>
      <c r="O6026" s="2">
        <v>1698.24</v>
      </c>
      <c r="P6026">
        <v>208</v>
      </c>
      <c r="Q6026" s="2">
        <v>353233.91999999998</v>
      </c>
      <c r="R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 s="1">
        <v>42382</v>
      </c>
      <c r="AC6026" t="s">
        <v>53</v>
      </c>
      <c r="AD6026" t="s">
        <v>53</v>
      </c>
      <c r="AK6026">
        <v>0</v>
      </c>
      <c r="AU6026" s="6">
        <v>42188</v>
      </c>
      <c r="AV6026" s="6">
        <v>42188</v>
      </c>
      <c r="AW6026" t="s">
        <v>54</v>
      </c>
      <c r="AX6026" t="str">
        <f t="shared" si="510"/>
        <v>FOR</v>
      </c>
      <c r="AY6026" t="s">
        <v>55</v>
      </c>
    </row>
    <row r="6027" spans="1:51" hidden="1">
      <c r="A6027">
        <v>104009</v>
      </c>
      <c r="B6027" t="s">
        <v>1167</v>
      </c>
      <c r="C6027" t="str">
        <f t="shared" si="511"/>
        <v>08641790152</v>
      </c>
      <c r="D6027" t="str">
        <f t="shared" si="511"/>
        <v>08641790152</v>
      </c>
      <c r="E6027" t="s">
        <v>52</v>
      </c>
      <c r="F6027">
        <v>2014</v>
      </c>
      <c r="G6027">
        <v>202114</v>
      </c>
      <c r="H6027" s="1">
        <v>41878</v>
      </c>
      <c r="I6027" s="1">
        <v>41890</v>
      </c>
      <c r="J6027" s="1">
        <v>41890</v>
      </c>
      <c r="K6027" s="1">
        <v>41980</v>
      </c>
      <c r="N6027" s="5"/>
      <c r="O6027">
        <v>341.6</v>
      </c>
      <c r="P6027">
        <v>208</v>
      </c>
      <c r="Q6027" s="2">
        <v>71052.800000000003</v>
      </c>
      <c r="R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 s="1">
        <v>42382</v>
      </c>
      <c r="AC6027" t="s">
        <v>53</v>
      </c>
      <c r="AD6027" t="s">
        <v>53</v>
      </c>
      <c r="AK6027">
        <v>0</v>
      </c>
      <c r="AU6027" s="6">
        <v>42188</v>
      </c>
      <c r="AV6027" s="6">
        <v>42188</v>
      </c>
      <c r="AW6027" t="s">
        <v>54</v>
      </c>
      <c r="AX6027" t="str">
        <f t="shared" si="510"/>
        <v>FOR</v>
      </c>
      <c r="AY6027" t="s">
        <v>55</v>
      </c>
    </row>
    <row r="6028" spans="1:51" hidden="1">
      <c r="A6028">
        <v>104009</v>
      </c>
      <c r="B6028" t="s">
        <v>1167</v>
      </c>
      <c r="C6028" t="str">
        <f t="shared" si="511"/>
        <v>08641790152</v>
      </c>
      <c r="D6028" t="str">
        <f t="shared" si="511"/>
        <v>08641790152</v>
      </c>
      <c r="E6028" t="s">
        <v>52</v>
      </c>
      <c r="F6028">
        <v>2014</v>
      </c>
      <c r="G6028">
        <v>202169</v>
      </c>
      <c r="H6028" s="1">
        <v>41878</v>
      </c>
      <c r="I6028" s="1">
        <v>41890</v>
      </c>
      <c r="J6028" s="1">
        <v>41890</v>
      </c>
      <c r="K6028" s="1">
        <v>41980</v>
      </c>
      <c r="N6028" s="5"/>
      <c r="O6028" s="2">
        <v>1361.52</v>
      </c>
      <c r="P6028">
        <v>208</v>
      </c>
      <c r="Q6028" s="2">
        <v>283196.15999999997</v>
      </c>
      <c r="R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 s="1">
        <v>42382</v>
      </c>
      <c r="AC6028" t="s">
        <v>53</v>
      </c>
      <c r="AD6028" t="s">
        <v>53</v>
      </c>
      <c r="AK6028">
        <v>0</v>
      </c>
      <c r="AU6028" s="6">
        <v>42188</v>
      </c>
      <c r="AV6028" s="6">
        <v>42188</v>
      </c>
      <c r="AW6028" t="s">
        <v>54</v>
      </c>
      <c r="AX6028" t="str">
        <f t="shared" si="510"/>
        <v>FOR</v>
      </c>
      <c r="AY6028" t="s">
        <v>55</v>
      </c>
    </row>
    <row r="6029" spans="1:51" hidden="1">
      <c r="A6029">
        <v>104009</v>
      </c>
      <c r="B6029" t="s">
        <v>1167</v>
      </c>
      <c r="C6029" t="str">
        <f t="shared" si="511"/>
        <v>08641790152</v>
      </c>
      <c r="D6029" t="str">
        <f t="shared" si="511"/>
        <v>08641790152</v>
      </c>
      <c r="E6029" t="s">
        <v>52</v>
      </c>
      <c r="F6029">
        <v>2014</v>
      </c>
      <c r="G6029">
        <v>203776</v>
      </c>
      <c r="H6029" s="1">
        <v>41884</v>
      </c>
      <c r="I6029" s="1">
        <v>41892</v>
      </c>
      <c r="J6029" s="1">
        <v>41892</v>
      </c>
      <c r="K6029" s="1">
        <v>41982</v>
      </c>
      <c r="N6029" s="5"/>
      <c r="O6029" s="2">
        <v>4251.7</v>
      </c>
      <c r="P6029">
        <v>268</v>
      </c>
      <c r="Q6029" s="2">
        <v>1139455.6000000001</v>
      </c>
      <c r="R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 s="1">
        <v>42382</v>
      </c>
      <c r="AC6029" t="s">
        <v>53</v>
      </c>
      <c r="AD6029" t="s">
        <v>53</v>
      </c>
      <c r="AK6029">
        <v>0</v>
      </c>
      <c r="AU6029" s="6">
        <v>42250</v>
      </c>
      <c r="AV6029" s="6">
        <v>42250</v>
      </c>
      <c r="AW6029" t="s">
        <v>54</v>
      </c>
      <c r="AX6029" t="str">
        <f t="shared" si="510"/>
        <v>FOR</v>
      </c>
      <c r="AY6029" t="s">
        <v>55</v>
      </c>
    </row>
    <row r="6030" spans="1:51" hidden="1">
      <c r="A6030">
        <v>104009</v>
      </c>
      <c r="B6030" t="s">
        <v>1167</v>
      </c>
      <c r="C6030" t="str">
        <f t="shared" si="511"/>
        <v>08641790152</v>
      </c>
      <c r="D6030" t="str">
        <f t="shared" si="511"/>
        <v>08641790152</v>
      </c>
      <c r="E6030" t="s">
        <v>52</v>
      </c>
      <c r="F6030">
        <v>2014</v>
      </c>
      <c r="G6030">
        <v>205957</v>
      </c>
      <c r="H6030" s="1">
        <v>41891</v>
      </c>
      <c r="I6030" s="1">
        <v>41904</v>
      </c>
      <c r="J6030" s="1">
        <v>41904</v>
      </c>
      <c r="K6030" s="1">
        <v>41994</v>
      </c>
      <c r="N6030" s="5"/>
      <c r="O6030" s="2">
        <v>5185</v>
      </c>
      <c r="P6030">
        <v>256</v>
      </c>
      <c r="Q6030" s="2">
        <v>1327360</v>
      </c>
      <c r="R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 s="1">
        <v>42382</v>
      </c>
      <c r="AC6030" t="s">
        <v>53</v>
      </c>
      <c r="AD6030" t="s">
        <v>53</v>
      </c>
      <c r="AK6030">
        <v>0</v>
      </c>
      <c r="AU6030" s="6">
        <v>42250</v>
      </c>
      <c r="AV6030" s="6">
        <v>42250</v>
      </c>
      <c r="AW6030" t="s">
        <v>54</v>
      </c>
      <c r="AX6030" t="str">
        <f t="shared" si="510"/>
        <v>FOR</v>
      </c>
      <c r="AY6030" t="s">
        <v>55</v>
      </c>
    </row>
    <row r="6031" spans="1:51" hidden="1">
      <c r="A6031">
        <v>104009</v>
      </c>
      <c r="B6031" t="s">
        <v>1167</v>
      </c>
      <c r="C6031" t="str">
        <f t="shared" si="511"/>
        <v>08641790152</v>
      </c>
      <c r="D6031" t="str">
        <f t="shared" si="511"/>
        <v>08641790152</v>
      </c>
      <c r="E6031" t="s">
        <v>52</v>
      </c>
      <c r="F6031">
        <v>2014</v>
      </c>
      <c r="G6031">
        <v>206589</v>
      </c>
      <c r="H6031" s="1">
        <v>41892</v>
      </c>
      <c r="I6031" s="1">
        <v>41904</v>
      </c>
      <c r="J6031" s="1">
        <v>41904</v>
      </c>
      <c r="K6031" s="1">
        <v>41994</v>
      </c>
      <c r="N6031" s="5"/>
      <c r="O6031">
        <v>451.4</v>
      </c>
      <c r="P6031">
        <v>256</v>
      </c>
      <c r="Q6031" s="2">
        <v>115558.39999999999</v>
      </c>
      <c r="R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 s="1">
        <v>42382</v>
      </c>
      <c r="AC6031" t="s">
        <v>53</v>
      </c>
      <c r="AD6031" t="s">
        <v>53</v>
      </c>
      <c r="AK6031">
        <v>0</v>
      </c>
      <c r="AU6031" s="6">
        <v>42250</v>
      </c>
      <c r="AV6031" s="6">
        <v>42250</v>
      </c>
      <c r="AW6031" t="s">
        <v>54</v>
      </c>
      <c r="AX6031" t="str">
        <f t="shared" si="510"/>
        <v>FOR</v>
      </c>
      <c r="AY6031" t="s">
        <v>55</v>
      </c>
    </row>
    <row r="6032" spans="1:51" hidden="1">
      <c r="A6032">
        <v>104009</v>
      </c>
      <c r="B6032" t="s">
        <v>1167</v>
      </c>
      <c r="C6032" t="str">
        <f t="shared" si="511"/>
        <v>08641790152</v>
      </c>
      <c r="D6032" t="str">
        <f t="shared" si="511"/>
        <v>08641790152</v>
      </c>
      <c r="E6032" t="s">
        <v>52</v>
      </c>
      <c r="F6032">
        <v>2014</v>
      </c>
      <c r="G6032">
        <v>206993</v>
      </c>
      <c r="H6032" s="1">
        <v>41893</v>
      </c>
      <c r="I6032" s="1">
        <v>41904</v>
      </c>
      <c r="J6032" s="1">
        <v>41904</v>
      </c>
      <c r="K6032" s="1">
        <v>41994</v>
      </c>
      <c r="N6032" s="5"/>
      <c r="O6032">
        <v>556.32000000000005</v>
      </c>
      <c r="P6032">
        <v>256</v>
      </c>
      <c r="Q6032" s="2">
        <v>142417.92000000001</v>
      </c>
      <c r="R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 s="1">
        <v>42382</v>
      </c>
      <c r="AC6032" t="s">
        <v>53</v>
      </c>
      <c r="AD6032" t="s">
        <v>53</v>
      </c>
      <c r="AK6032">
        <v>0</v>
      </c>
      <c r="AU6032" s="6">
        <v>42250</v>
      </c>
      <c r="AV6032" s="6">
        <v>42250</v>
      </c>
      <c r="AW6032" t="s">
        <v>54</v>
      </c>
      <c r="AX6032" t="str">
        <f t="shared" si="510"/>
        <v>FOR</v>
      </c>
      <c r="AY6032" t="s">
        <v>55</v>
      </c>
    </row>
    <row r="6033" spans="1:51" hidden="1">
      <c r="A6033">
        <v>104009</v>
      </c>
      <c r="B6033" t="s">
        <v>1167</v>
      </c>
      <c r="C6033" t="str">
        <f t="shared" si="511"/>
        <v>08641790152</v>
      </c>
      <c r="D6033" t="str">
        <f t="shared" si="511"/>
        <v>08641790152</v>
      </c>
      <c r="E6033" t="s">
        <v>52</v>
      </c>
      <c r="F6033">
        <v>2014</v>
      </c>
      <c r="G6033">
        <v>209736</v>
      </c>
      <c r="H6033" s="1">
        <v>41900</v>
      </c>
      <c r="I6033" s="1">
        <v>41911</v>
      </c>
      <c r="J6033" s="1">
        <v>41911</v>
      </c>
      <c r="K6033" s="1">
        <v>42001</v>
      </c>
      <c r="N6033" s="5"/>
      <c r="O6033" s="2">
        <v>1647</v>
      </c>
      <c r="P6033">
        <v>249</v>
      </c>
      <c r="Q6033" s="2">
        <v>410103</v>
      </c>
      <c r="R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 s="1">
        <v>42382</v>
      </c>
      <c r="AC6033" t="s">
        <v>53</v>
      </c>
      <c r="AD6033" t="s">
        <v>53</v>
      </c>
      <c r="AK6033">
        <v>0</v>
      </c>
      <c r="AU6033" s="6">
        <v>42250</v>
      </c>
      <c r="AV6033" s="6">
        <v>42250</v>
      </c>
      <c r="AW6033" t="s">
        <v>54</v>
      </c>
      <c r="AX6033" t="str">
        <f t="shared" si="510"/>
        <v>FOR</v>
      </c>
      <c r="AY6033" t="s">
        <v>55</v>
      </c>
    </row>
    <row r="6034" spans="1:51" hidden="1">
      <c r="A6034">
        <v>104009</v>
      </c>
      <c r="B6034" t="s">
        <v>1167</v>
      </c>
      <c r="C6034" t="str">
        <f t="shared" si="511"/>
        <v>08641790152</v>
      </c>
      <c r="D6034" t="str">
        <f t="shared" si="511"/>
        <v>08641790152</v>
      </c>
      <c r="E6034" t="s">
        <v>52</v>
      </c>
      <c r="F6034">
        <v>2014</v>
      </c>
      <c r="G6034">
        <v>210379</v>
      </c>
      <c r="H6034" s="1">
        <v>41901</v>
      </c>
      <c r="I6034" s="1">
        <v>41915</v>
      </c>
      <c r="J6034" s="1">
        <v>41915</v>
      </c>
      <c r="K6034" s="1">
        <v>42005</v>
      </c>
      <c r="N6034" s="5"/>
      <c r="O6034" s="2">
        <v>1124.3599999999999</v>
      </c>
      <c r="P6034">
        <v>245</v>
      </c>
      <c r="Q6034" s="2">
        <v>275468.2</v>
      </c>
      <c r="R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 s="1">
        <v>42382</v>
      </c>
      <c r="AC6034" t="s">
        <v>53</v>
      </c>
      <c r="AD6034" t="s">
        <v>53</v>
      </c>
      <c r="AK6034">
        <v>0</v>
      </c>
      <c r="AU6034" s="6">
        <v>42250</v>
      </c>
      <c r="AV6034" s="6">
        <v>42250</v>
      </c>
      <c r="AW6034" t="s">
        <v>54</v>
      </c>
      <c r="AX6034" t="str">
        <f t="shared" si="510"/>
        <v>FOR</v>
      </c>
      <c r="AY6034" t="s">
        <v>55</v>
      </c>
    </row>
    <row r="6035" spans="1:51" hidden="1">
      <c r="A6035">
        <v>104009</v>
      </c>
      <c r="B6035" t="s">
        <v>1167</v>
      </c>
      <c r="C6035" t="str">
        <f t="shared" si="511"/>
        <v>08641790152</v>
      </c>
      <c r="D6035" t="str">
        <f t="shared" si="511"/>
        <v>08641790152</v>
      </c>
      <c r="E6035" t="s">
        <v>52</v>
      </c>
      <c r="F6035">
        <v>2014</v>
      </c>
      <c r="G6035">
        <v>210388</v>
      </c>
      <c r="H6035" s="1">
        <v>41901</v>
      </c>
      <c r="I6035" s="1">
        <v>41915</v>
      </c>
      <c r="J6035" s="1">
        <v>41915</v>
      </c>
      <c r="K6035" s="1">
        <v>42005</v>
      </c>
      <c r="N6035" s="5"/>
      <c r="O6035">
        <v>894.65</v>
      </c>
      <c r="P6035">
        <v>245</v>
      </c>
      <c r="Q6035" s="2">
        <v>219189.25</v>
      </c>
      <c r="R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 s="1">
        <v>42382</v>
      </c>
      <c r="AC6035" t="s">
        <v>53</v>
      </c>
      <c r="AD6035" t="s">
        <v>53</v>
      </c>
      <c r="AK6035">
        <v>0</v>
      </c>
      <c r="AU6035" s="6">
        <v>42250</v>
      </c>
      <c r="AV6035" s="6">
        <v>42250</v>
      </c>
      <c r="AW6035" t="s">
        <v>54</v>
      </c>
      <c r="AX6035" t="str">
        <f t="shared" si="510"/>
        <v>FOR</v>
      </c>
      <c r="AY6035" t="s">
        <v>55</v>
      </c>
    </row>
    <row r="6036" spans="1:51" hidden="1">
      <c r="A6036">
        <v>104009</v>
      </c>
      <c r="B6036" t="s">
        <v>1167</v>
      </c>
      <c r="C6036" t="str">
        <f t="shared" si="511"/>
        <v>08641790152</v>
      </c>
      <c r="D6036" t="str">
        <f t="shared" si="511"/>
        <v>08641790152</v>
      </c>
      <c r="E6036" t="s">
        <v>52</v>
      </c>
      <c r="F6036">
        <v>2014</v>
      </c>
      <c r="G6036">
        <v>210703</v>
      </c>
      <c r="H6036" s="1">
        <v>41904</v>
      </c>
      <c r="I6036" s="1">
        <v>41915</v>
      </c>
      <c r="J6036" s="1">
        <v>41915</v>
      </c>
      <c r="K6036" s="1">
        <v>42005</v>
      </c>
      <c r="N6036" s="5"/>
      <c r="O6036" s="2">
        <v>2440</v>
      </c>
      <c r="P6036">
        <v>245</v>
      </c>
      <c r="Q6036" s="2">
        <v>597800</v>
      </c>
      <c r="R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 s="1">
        <v>42382</v>
      </c>
      <c r="AC6036" t="s">
        <v>53</v>
      </c>
      <c r="AD6036" t="s">
        <v>53</v>
      </c>
      <c r="AK6036">
        <v>0</v>
      </c>
      <c r="AU6036" s="6">
        <v>42250</v>
      </c>
      <c r="AV6036" s="6">
        <v>42250</v>
      </c>
      <c r="AW6036" t="s">
        <v>54</v>
      </c>
      <c r="AX6036" t="str">
        <f t="shared" si="510"/>
        <v>FOR</v>
      </c>
      <c r="AY6036" t="s">
        <v>55</v>
      </c>
    </row>
    <row r="6037" spans="1:51" hidden="1">
      <c r="A6037">
        <v>104009</v>
      </c>
      <c r="B6037" t="s">
        <v>1167</v>
      </c>
      <c r="C6037" t="str">
        <f t="shared" si="511"/>
        <v>08641790152</v>
      </c>
      <c r="D6037" t="str">
        <f t="shared" si="511"/>
        <v>08641790152</v>
      </c>
      <c r="E6037" t="s">
        <v>52</v>
      </c>
      <c r="F6037">
        <v>2014</v>
      </c>
      <c r="G6037">
        <v>211113</v>
      </c>
      <c r="H6037" s="1">
        <v>41905</v>
      </c>
      <c r="I6037" s="1">
        <v>41915</v>
      </c>
      <c r="J6037" s="1">
        <v>41915</v>
      </c>
      <c r="K6037" s="1">
        <v>42005</v>
      </c>
      <c r="N6037" s="5"/>
      <c r="O6037" s="2">
        <v>2025.2</v>
      </c>
      <c r="P6037">
        <v>245</v>
      </c>
      <c r="Q6037" s="2">
        <v>496174</v>
      </c>
      <c r="R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 s="1">
        <v>42382</v>
      </c>
      <c r="AC6037" t="s">
        <v>53</v>
      </c>
      <c r="AD6037" t="s">
        <v>53</v>
      </c>
      <c r="AK6037">
        <v>0</v>
      </c>
      <c r="AU6037" s="6">
        <v>42250</v>
      </c>
      <c r="AV6037" s="6">
        <v>42250</v>
      </c>
      <c r="AW6037" t="s">
        <v>54</v>
      </c>
      <c r="AX6037" t="str">
        <f t="shared" si="510"/>
        <v>FOR</v>
      </c>
      <c r="AY6037" t="s">
        <v>55</v>
      </c>
    </row>
    <row r="6038" spans="1:51" hidden="1">
      <c r="A6038">
        <v>104009</v>
      </c>
      <c r="B6038" t="s">
        <v>1167</v>
      </c>
      <c r="C6038" t="str">
        <f t="shared" si="511"/>
        <v>08641790152</v>
      </c>
      <c r="D6038" t="str">
        <f t="shared" si="511"/>
        <v>08641790152</v>
      </c>
      <c r="E6038" t="s">
        <v>52</v>
      </c>
      <c r="F6038">
        <v>2014</v>
      </c>
      <c r="G6038">
        <v>211136</v>
      </c>
      <c r="H6038" s="1">
        <v>41905</v>
      </c>
      <c r="I6038" s="1">
        <v>41915</v>
      </c>
      <c r="J6038" s="1">
        <v>41915</v>
      </c>
      <c r="K6038" s="1">
        <v>42005</v>
      </c>
      <c r="N6038" s="5"/>
      <c r="O6038" s="2">
        <v>1405.44</v>
      </c>
      <c r="P6038">
        <v>245</v>
      </c>
      <c r="Q6038" s="2">
        <v>344332.79999999999</v>
      </c>
      <c r="R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 s="1">
        <v>42382</v>
      </c>
      <c r="AC6038" t="s">
        <v>53</v>
      </c>
      <c r="AD6038" t="s">
        <v>53</v>
      </c>
      <c r="AK6038">
        <v>0</v>
      </c>
      <c r="AU6038" s="6">
        <v>42250</v>
      </c>
      <c r="AV6038" s="6">
        <v>42250</v>
      </c>
      <c r="AW6038" t="s">
        <v>54</v>
      </c>
      <c r="AX6038" t="str">
        <f t="shared" si="510"/>
        <v>FOR</v>
      </c>
      <c r="AY6038" t="s">
        <v>55</v>
      </c>
    </row>
    <row r="6039" spans="1:51" hidden="1">
      <c r="A6039">
        <v>104009</v>
      </c>
      <c r="B6039" t="s">
        <v>1167</v>
      </c>
      <c r="C6039" t="str">
        <f t="shared" si="511"/>
        <v>08641790152</v>
      </c>
      <c r="D6039" t="str">
        <f t="shared" si="511"/>
        <v>08641790152</v>
      </c>
      <c r="E6039" t="s">
        <v>52</v>
      </c>
      <c r="F6039">
        <v>2014</v>
      </c>
      <c r="G6039">
        <v>211151</v>
      </c>
      <c r="H6039" s="1">
        <v>41905</v>
      </c>
      <c r="I6039" s="1">
        <v>41915</v>
      </c>
      <c r="J6039" s="1">
        <v>41915</v>
      </c>
      <c r="K6039" s="1">
        <v>42005</v>
      </c>
      <c r="N6039" s="5"/>
      <c r="O6039" s="2">
        <v>2497.34</v>
      </c>
      <c r="P6039">
        <v>245</v>
      </c>
      <c r="Q6039" s="2">
        <v>611848.30000000005</v>
      </c>
      <c r="R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 s="1">
        <v>42382</v>
      </c>
      <c r="AC6039" t="s">
        <v>53</v>
      </c>
      <c r="AD6039" t="s">
        <v>53</v>
      </c>
      <c r="AK6039">
        <v>0</v>
      </c>
      <c r="AU6039" s="6">
        <v>42250</v>
      </c>
      <c r="AV6039" s="6">
        <v>42250</v>
      </c>
      <c r="AW6039" t="s">
        <v>54</v>
      </c>
      <c r="AX6039" t="str">
        <f t="shared" si="510"/>
        <v>FOR</v>
      </c>
      <c r="AY6039" t="s">
        <v>55</v>
      </c>
    </row>
    <row r="6040" spans="1:51" hidden="1">
      <c r="A6040">
        <v>104009</v>
      </c>
      <c r="B6040" t="s">
        <v>1167</v>
      </c>
      <c r="C6040" t="str">
        <f t="shared" si="511"/>
        <v>08641790152</v>
      </c>
      <c r="D6040" t="str">
        <f t="shared" si="511"/>
        <v>08641790152</v>
      </c>
      <c r="E6040" t="s">
        <v>52</v>
      </c>
      <c r="F6040">
        <v>2014</v>
      </c>
      <c r="G6040">
        <v>211179</v>
      </c>
      <c r="H6040" s="1">
        <v>41905</v>
      </c>
      <c r="I6040" s="1">
        <v>41915</v>
      </c>
      <c r="J6040" s="1">
        <v>41915</v>
      </c>
      <c r="K6040" s="1">
        <v>42005</v>
      </c>
      <c r="N6040" s="5"/>
      <c r="O6040" s="2">
        <v>1361.52</v>
      </c>
      <c r="P6040">
        <v>245</v>
      </c>
      <c r="Q6040" s="2">
        <v>333572.40000000002</v>
      </c>
      <c r="R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 s="1">
        <v>42382</v>
      </c>
      <c r="AC6040" t="s">
        <v>53</v>
      </c>
      <c r="AD6040" t="s">
        <v>53</v>
      </c>
      <c r="AK6040">
        <v>0</v>
      </c>
      <c r="AU6040" s="6">
        <v>42250</v>
      </c>
      <c r="AV6040" s="6">
        <v>42250</v>
      </c>
      <c r="AW6040" t="s">
        <v>54</v>
      </c>
      <c r="AX6040" t="str">
        <f t="shared" si="510"/>
        <v>FOR</v>
      </c>
      <c r="AY6040" t="s">
        <v>55</v>
      </c>
    </row>
    <row r="6041" spans="1:51" hidden="1">
      <c r="A6041">
        <v>104009</v>
      </c>
      <c r="B6041" t="s">
        <v>1167</v>
      </c>
      <c r="C6041" t="str">
        <f t="shared" si="511"/>
        <v>08641790152</v>
      </c>
      <c r="D6041" t="str">
        <f t="shared" si="511"/>
        <v>08641790152</v>
      </c>
      <c r="E6041" t="s">
        <v>52</v>
      </c>
      <c r="F6041">
        <v>2014</v>
      </c>
      <c r="G6041">
        <v>214165</v>
      </c>
      <c r="H6041" s="1">
        <v>41911</v>
      </c>
      <c r="I6041" s="1">
        <v>41921</v>
      </c>
      <c r="J6041" s="1">
        <v>41921</v>
      </c>
      <c r="K6041" s="1">
        <v>42011</v>
      </c>
      <c r="N6041" s="5"/>
      <c r="O6041" s="2">
        <v>4562.8</v>
      </c>
      <c r="P6041">
        <v>239</v>
      </c>
      <c r="Q6041" s="2">
        <v>1090509.2</v>
      </c>
      <c r="R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 s="1">
        <v>42382</v>
      </c>
      <c r="AC6041" t="s">
        <v>53</v>
      </c>
      <c r="AD6041" t="s">
        <v>53</v>
      </c>
      <c r="AK6041">
        <v>0</v>
      </c>
      <c r="AU6041" s="6">
        <v>42250</v>
      </c>
      <c r="AV6041" s="6">
        <v>42250</v>
      </c>
      <c r="AW6041" t="s">
        <v>54</v>
      </c>
      <c r="AX6041" t="str">
        <f t="shared" si="510"/>
        <v>FOR</v>
      </c>
      <c r="AY6041" t="s">
        <v>55</v>
      </c>
    </row>
    <row r="6042" spans="1:51" hidden="1">
      <c r="A6042">
        <v>104009</v>
      </c>
      <c r="B6042" t="s">
        <v>1167</v>
      </c>
      <c r="C6042" t="str">
        <f t="shared" si="511"/>
        <v>08641790152</v>
      </c>
      <c r="D6042" t="str">
        <f t="shared" si="511"/>
        <v>08641790152</v>
      </c>
      <c r="E6042" t="s">
        <v>52</v>
      </c>
      <c r="F6042">
        <v>2014</v>
      </c>
      <c r="G6042">
        <v>214569</v>
      </c>
      <c r="H6042" s="1">
        <v>41912</v>
      </c>
      <c r="I6042" s="1">
        <v>41928</v>
      </c>
      <c r="J6042" s="1">
        <v>41928</v>
      </c>
      <c r="K6042" s="1">
        <v>41988</v>
      </c>
      <c r="N6042" s="5"/>
      <c r="O6042" s="2">
        <v>2725.97</v>
      </c>
      <c r="P6042">
        <v>262</v>
      </c>
      <c r="Q6042" s="2">
        <v>714204.14</v>
      </c>
      <c r="R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 s="1">
        <v>42382</v>
      </c>
      <c r="AC6042" t="s">
        <v>53</v>
      </c>
      <c r="AD6042" t="s">
        <v>53</v>
      </c>
      <c r="AK6042">
        <v>0</v>
      </c>
      <c r="AU6042" s="6">
        <v>42250</v>
      </c>
      <c r="AV6042" s="6">
        <v>42250</v>
      </c>
      <c r="AW6042" t="s">
        <v>54</v>
      </c>
      <c r="AX6042" t="str">
        <f t="shared" si="510"/>
        <v>FOR</v>
      </c>
      <c r="AY6042" t="s">
        <v>55</v>
      </c>
    </row>
    <row r="6043" spans="1:51" hidden="1">
      <c r="A6043">
        <v>104009</v>
      </c>
      <c r="B6043" t="s">
        <v>1167</v>
      </c>
      <c r="C6043" t="str">
        <f t="shared" si="511"/>
        <v>08641790152</v>
      </c>
      <c r="D6043" t="str">
        <f t="shared" si="511"/>
        <v>08641790152</v>
      </c>
      <c r="E6043" t="s">
        <v>52</v>
      </c>
      <c r="F6043">
        <v>2014</v>
      </c>
      <c r="G6043">
        <v>215023</v>
      </c>
      <c r="H6043" s="1">
        <v>41913</v>
      </c>
      <c r="I6043" s="1">
        <v>41929</v>
      </c>
      <c r="J6043" s="1">
        <v>41929</v>
      </c>
      <c r="K6043" s="1">
        <v>41989</v>
      </c>
      <c r="N6043" s="5"/>
      <c r="O6043">
        <v>451.4</v>
      </c>
      <c r="P6043">
        <v>261</v>
      </c>
      <c r="Q6043" s="2">
        <v>117815.4</v>
      </c>
      <c r="R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 s="1">
        <v>42382</v>
      </c>
      <c r="AC6043" t="s">
        <v>53</v>
      </c>
      <c r="AD6043" t="s">
        <v>53</v>
      </c>
      <c r="AK6043">
        <v>0</v>
      </c>
      <c r="AU6043" s="6">
        <v>42250</v>
      </c>
      <c r="AV6043" s="6">
        <v>42250</v>
      </c>
      <c r="AW6043" t="s">
        <v>54</v>
      </c>
      <c r="AX6043" t="str">
        <f t="shared" si="510"/>
        <v>FOR</v>
      </c>
      <c r="AY6043" t="s">
        <v>55</v>
      </c>
    </row>
    <row r="6044" spans="1:51" hidden="1">
      <c r="A6044">
        <v>104009</v>
      </c>
      <c r="B6044" t="s">
        <v>1167</v>
      </c>
      <c r="C6044" t="str">
        <f t="shared" si="511"/>
        <v>08641790152</v>
      </c>
      <c r="D6044" t="str">
        <f t="shared" si="511"/>
        <v>08641790152</v>
      </c>
      <c r="E6044" t="s">
        <v>52</v>
      </c>
      <c r="F6044">
        <v>2014</v>
      </c>
      <c r="G6044">
        <v>215065</v>
      </c>
      <c r="H6044" s="1">
        <v>41913</v>
      </c>
      <c r="I6044" s="1">
        <v>41929</v>
      </c>
      <c r="J6044" s="1">
        <v>41929</v>
      </c>
      <c r="K6044" s="1">
        <v>41989</v>
      </c>
      <c r="N6044" s="5"/>
      <c r="O6044">
        <v>139.08000000000001</v>
      </c>
      <c r="P6044">
        <v>261</v>
      </c>
      <c r="Q6044" s="2">
        <v>36299.879999999997</v>
      </c>
      <c r="R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 s="1">
        <v>42382</v>
      </c>
      <c r="AC6044" t="s">
        <v>53</v>
      </c>
      <c r="AD6044" t="s">
        <v>53</v>
      </c>
      <c r="AK6044">
        <v>0</v>
      </c>
      <c r="AU6044" s="6">
        <v>42250</v>
      </c>
      <c r="AV6044" s="6">
        <v>42250</v>
      </c>
      <c r="AW6044" t="s">
        <v>54</v>
      </c>
      <c r="AX6044" t="str">
        <f t="shared" si="510"/>
        <v>FOR</v>
      </c>
      <c r="AY6044" t="s">
        <v>55</v>
      </c>
    </row>
    <row r="6045" spans="1:51" hidden="1">
      <c r="A6045">
        <v>104009</v>
      </c>
      <c r="B6045" t="s">
        <v>1167</v>
      </c>
      <c r="C6045" t="str">
        <f t="shared" ref="C6045:D6064" si="512">"08641790152"</f>
        <v>08641790152</v>
      </c>
      <c r="D6045" t="str">
        <f t="shared" si="512"/>
        <v>08641790152</v>
      </c>
      <c r="E6045" t="s">
        <v>52</v>
      </c>
      <c r="F6045">
        <v>2014</v>
      </c>
      <c r="G6045">
        <v>215486</v>
      </c>
      <c r="H6045" s="1">
        <v>41914</v>
      </c>
      <c r="I6045" s="1">
        <v>41929</v>
      </c>
      <c r="J6045" s="1">
        <v>41929</v>
      </c>
      <c r="K6045" s="1">
        <v>41989</v>
      </c>
      <c r="N6045" s="5"/>
      <c r="O6045">
        <v>225.7</v>
      </c>
      <c r="P6045">
        <v>261</v>
      </c>
      <c r="Q6045" s="2">
        <v>58907.7</v>
      </c>
      <c r="R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 s="1">
        <v>42382</v>
      </c>
      <c r="AC6045" t="s">
        <v>53</v>
      </c>
      <c r="AD6045" t="s">
        <v>53</v>
      </c>
      <c r="AK6045">
        <v>0</v>
      </c>
      <c r="AU6045" s="6">
        <v>42250</v>
      </c>
      <c r="AV6045" s="6">
        <v>42250</v>
      </c>
      <c r="AW6045" t="s">
        <v>54</v>
      </c>
      <c r="AX6045" t="str">
        <f t="shared" si="510"/>
        <v>FOR</v>
      </c>
      <c r="AY6045" t="s">
        <v>55</v>
      </c>
    </row>
    <row r="6046" spans="1:51" hidden="1">
      <c r="A6046">
        <v>104009</v>
      </c>
      <c r="B6046" t="s">
        <v>1167</v>
      </c>
      <c r="C6046" t="str">
        <f t="shared" si="512"/>
        <v>08641790152</v>
      </c>
      <c r="D6046" t="str">
        <f t="shared" si="512"/>
        <v>08641790152</v>
      </c>
      <c r="E6046" t="s">
        <v>52</v>
      </c>
      <c r="F6046">
        <v>2014</v>
      </c>
      <c r="G6046">
        <v>215874</v>
      </c>
      <c r="H6046" s="1">
        <v>41914</v>
      </c>
      <c r="I6046" s="1">
        <v>41929</v>
      </c>
      <c r="J6046" s="1">
        <v>41929</v>
      </c>
      <c r="K6046" s="1">
        <v>41989</v>
      </c>
      <c r="N6046" s="5"/>
      <c r="O6046">
        <v>506.3</v>
      </c>
      <c r="P6046">
        <v>261</v>
      </c>
      <c r="Q6046" s="2">
        <v>132144.29999999999</v>
      </c>
      <c r="R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 s="1">
        <v>42382</v>
      </c>
      <c r="AC6046" t="s">
        <v>53</v>
      </c>
      <c r="AD6046" t="s">
        <v>53</v>
      </c>
      <c r="AK6046">
        <v>0</v>
      </c>
      <c r="AU6046" s="6">
        <v>42250</v>
      </c>
      <c r="AV6046" s="6">
        <v>42250</v>
      </c>
      <c r="AW6046" t="s">
        <v>54</v>
      </c>
      <c r="AX6046" t="str">
        <f t="shared" si="510"/>
        <v>FOR</v>
      </c>
      <c r="AY6046" t="s">
        <v>55</v>
      </c>
    </row>
    <row r="6047" spans="1:51" hidden="1">
      <c r="A6047">
        <v>104009</v>
      </c>
      <c r="B6047" t="s">
        <v>1167</v>
      </c>
      <c r="C6047" t="str">
        <f t="shared" si="512"/>
        <v>08641790152</v>
      </c>
      <c r="D6047" t="str">
        <f t="shared" si="512"/>
        <v>08641790152</v>
      </c>
      <c r="E6047" t="s">
        <v>52</v>
      </c>
      <c r="F6047">
        <v>2014</v>
      </c>
      <c r="G6047">
        <v>215969</v>
      </c>
      <c r="H6047" s="1">
        <v>41915</v>
      </c>
      <c r="I6047" s="1">
        <v>41929</v>
      </c>
      <c r="J6047" s="1">
        <v>41929</v>
      </c>
      <c r="K6047" s="1">
        <v>41989</v>
      </c>
      <c r="N6047" s="5"/>
      <c r="O6047">
        <v>284.60000000000002</v>
      </c>
      <c r="P6047">
        <v>261</v>
      </c>
      <c r="Q6047" s="2">
        <v>74280.600000000006</v>
      </c>
      <c r="R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 s="1">
        <v>42382</v>
      </c>
      <c r="AC6047" t="s">
        <v>53</v>
      </c>
      <c r="AD6047" t="s">
        <v>53</v>
      </c>
      <c r="AK6047">
        <v>0</v>
      </c>
      <c r="AU6047" s="6">
        <v>42250</v>
      </c>
      <c r="AV6047" s="6">
        <v>42250</v>
      </c>
      <c r="AW6047" t="s">
        <v>54</v>
      </c>
      <c r="AX6047" t="str">
        <f t="shared" si="510"/>
        <v>FOR</v>
      </c>
      <c r="AY6047" t="s">
        <v>55</v>
      </c>
    </row>
    <row r="6048" spans="1:51" hidden="1">
      <c r="A6048">
        <v>104009</v>
      </c>
      <c r="B6048" t="s">
        <v>1167</v>
      </c>
      <c r="C6048" t="str">
        <f t="shared" si="512"/>
        <v>08641790152</v>
      </c>
      <c r="D6048" t="str">
        <f t="shared" si="512"/>
        <v>08641790152</v>
      </c>
      <c r="E6048" t="s">
        <v>52</v>
      </c>
      <c r="F6048">
        <v>2014</v>
      </c>
      <c r="G6048">
        <v>216041</v>
      </c>
      <c r="H6048" s="1">
        <v>41915</v>
      </c>
      <c r="I6048" s="1">
        <v>41929</v>
      </c>
      <c r="J6048" s="1">
        <v>41929</v>
      </c>
      <c r="K6048" s="1">
        <v>41989</v>
      </c>
      <c r="N6048" s="5"/>
      <c r="O6048">
        <v>426.9</v>
      </c>
      <c r="P6048">
        <v>261</v>
      </c>
      <c r="Q6048" s="2">
        <v>111420.9</v>
      </c>
      <c r="R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 s="1">
        <v>42382</v>
      </c>
      <c r="AC6048" t="s">
        <v>53</v>
      </c>
      <c r="AD6048" t="s">
        <v>53</v>
      </c>
      <c r="AK6048">
        <v>0</v>
      </c>
      <c r="AU6048" s="6">
        <v>42250</v>
      </c>
      <c r="AV6048" s="6">
        <v>42250</v>
      </c>
      <c r="AW6048" t="s">
        <v>54</v>
      </c>
      <c r="AX6048" t="str">
        <f t="shared" si="510"/>
        <v>FOR</v>
      </c>
      <c r="AY6048" t="s">
        <v>55</v>
      </c>
    </row>
    <row r="6049" spans="1:51" hidden="1">
      <c r="A6049">
        <v>104009</v>
      </c>
      <c r="B6049" t="s">
        <v>1167</v>
      </c>
      <c r="C6049" t="str">
        <f t="shared" si="512"/>
        <v>08641790152</v>
      </c>
      <c r="D6049" t="str">
        <f t="shared" si="512"/>
        <v>08641790152</v>
      </c>
      <c r="E6049" t="s">
        <v>52</v>
      </c>
      <c r="F6049">
        <v>2014</v>
      </c>
      <c r="G6049">
        <v>217259</v>
      </c>
      <c r="H6049" s="1">
        <v>41919</v>
      </c>
      <c r="I6049" s="1">
        <v>41929</v>
      </c>
      <c r="J6049" s="1">
        <v>41929</v>
      </c>
      <c r="K6049" s="1">
        <v>41989</v>
      </c>
      <c r="N6049" s="5"/>
      <c r="O6049">
        <v>823.94</v>
      </c>
      <c r="P6049">
        <v>261</v>
      </c>
      <c r="Q6049" s="2">
        <v>215048.34</v>
      </c>
      <c r="R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 s="1">
        <v>42382</v>
      </c>
      <c r="AC6049" t="s">
        <v>53</v>
      </c>
      <c r="AD6049" t="s">
        <v>53</v>
      </c>
      <c r="AK6049">
        <v>0</v>
      </c>
      <c r="AU6049" s="6">
        <v>42250</v>
      </c>
      <c r="AV6049" s="6">
        <v>42250</v>
      </c>
      <c r="AW6049" t="s">
        <v>54</v>
      </c>
      <c r="AX6049" t="str">
        <f t="shared" si="510"/>
        <v>FOR</v>
      </c>
      <c r="AY6049" t="s">
        <v>55</v>
      </c>
    </row>
    <row r="6050" spans="1:51" hidden="1">
      <c r="A6050">
        <v>104009</v>
      </c>
      <c r="B6050" t="s">
        <v>1167</v>
      </c>
      <c r="C6050" t="str">
        <f t="shared" si="512"/>
        <v>08641790152</v>
      </c>
      <c r="D6050" t="str">
        <f t="shared" si="512"/>
        <v>08641790152</v>
      </c>
      <c r="E6050" t="s">
        <v>52</v>
      </c>
      <c r="F6050">
        <v>2014</v>
      </c>
      <c r="G6050">
        <v>218924</v>
      </c>
      <c r="H6050" s="1">
        <v>41922</v>
      </c>
      <c r="I6050" s="1">
        <v>41935</v>
      </c>
      <c r="J6050" s="1">
        <v>41935</v>
      </c>
      <c r="K6050" s="1">
        <v>41995</v>
      </c>
      <c r="N6050" s="5"/>
      <c r="O6050" s="2">
        <v>5703.5</v>
      </c>
      <c r="P6050">
        <v>255</v>
      </c>
      <c r="Q6050" s="2">
        <v>1454392.5</v>
      </c>
      <c r="R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 s="1">
        <v>42382</v>
      </c>
      <c r="AC6050" t="s">
        <v>53</v>
      </c>
      <c r="AD6050" t="s">
        <v>53</v>
      </c>
      <c r="AK6050">
        <v>0</v>
      </c>
      <c r="AU6050" s="6">
        <v>42250</v>
      </c>
      <c r="AV6050" s="6">
        <v>42250</v>
      </c>
      <c r="AW6050" t="s">
        <v>54</v>
      </c>
      <c r="AX6050" t="str">
        <f t="shared" si="510"/>
        <v>FOR</v>
      </c>
      <c r="AY6050" t="s">
        <v>55</v>
      </c>
    </row>
    <row r="6051" spans="1:51" hidden="1">
      <c r="A6051">
        <v>104009</v>
      </c>
      <c r="B6051" t="s">
        <v>1167</v>
      </c>
      <c r="C6051" t="str">
        <f t="shared" si="512"/>
        <v>08641790152</v>
      </c>
      <c r="D6051" t="str">
        <f t="shared" si="512"/>
        <v>08641790152</v>
      </c>
      <c r="E6051" t="s">
        <v>52</v>
      </c>
      <c r="F6051">
        <v>2014</v>
      </c>
      <c r="G6051">
        <v>220429</v>
      </c>
      <c r="H6051" s="1">
        <v>41926</v>
      </c>
      <c r="I6051" s="1">
        <v>41936</v>
      </c>
      <c r="J6051" s="1">
        <v>41936</v>
      </c>
      <c r="K6051" s="1">
        <v>41996</v>
      </c>
      <c r="N6051" s="5"/>
      <c r="O6051" s="2">
        <v>2752.32</v>
      </c>
      <c r="P6051">
        <v>254</v>
      </c>
      <c r="Q6051" s="2">
        <v>699089.28</v>
      </c>
      <c r="R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 s="1">
        <v>42382</v>
      </c>
      <c r="AC6051" t="s">
        <v>53</v>
      </c>
      <c r="AD6051" t="s">
        <v>53</v>
      </c>
      <c r="AK6051">
        <v>0</v>
      </c>
      <c r="AU6051" s="6">
        <v>42250</v>
      </c>
      <c r="AV6051" s="6">
        <v>42250</v>
      </c>
      <c r="AW6051" t="s">
        <v>54</v>
      </c>
      <c r="AX6051" t="str">
        <f t="shared" si="510"/>
        <v>FOR</v>
      </c>
      <c r="AY6051" t="s">
        <v>55</v>
      </c>
    </row>
    <row r="6052" spans="1:51" hidden="1">
      <c r="A6052">
        <v>104009</v>
      </c>
      <c r="B6052" t="s">
        <v>1167</v>
      </c>
      <c r="C6052" t="str">
        <f t="shared" si="512"/>
        <v>08641790152</v>
      </c>
      <c r="D6052" t="str">
        <f t="shared" si="512"/>
        <v>08641790152</v>
      </c>
      <c r="E6052" t="s">
        <v>52</v>
      </c>
      <c r="F6052">
        <v>2014</v>
      </c>
      <c r="G6052">
        <v>222477</v>
      </c>
      <c r="H6052" s="1">
        <v>41932</v>
      </c>
      <c r="I6052" s="1">
        <v>41941</v>
      </c>
      <c r="J6052" s="1">
        <v>41941</v>
      </c>
      <c r="K6052" s="1">
        <v>42001</v>
      </c>
      <c r="N6052" s="5"/>
      <c r="O6052" s="2">
        <v>1164.76</v>
      </c>
      <c r="P6052">
        <v>249</v>
      </c>
      <c r="Q6052" s="2">
        <v>290025.24</v>
      </c>
      <c r="R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 s="1">
        <v>42382</v>
      </c>
      <c r="AC6052" t="s">
        <v>53</v>
      </c>
      <c r="AD6052" t="s">
        <v>53</v>
      </c>
      <c r="AK6052">
        <v>0</v>
      </c>
      <c r="AU6052" s="6">
        <v>42250</v>
      </c>
      <c r="AV6052" s="6">
        <v>42250</v>
      </c>
      <c r="AW6052" t="s">
        <v>54</v>
      </c>
      <c r="AX6052" t="str">
        <f t="shared" si="510"/>
        <v>FOR</v>
      </c>
      <c r="AY6052" t="s">
        <v>55</v>
      </c>
    </row>
    <row r="6053" spans="1:51" hidden="1">
      <c r="A6053">
        <v>104009</v>
      </c>
      <c r="B6053" t="s">
        <v>1167</v>
      </c>
      <c r="C6053" t="str">
        <f t="shared" si="512"/>
        <v>08641790152</v>
      </c>
      <c r="D6053" t="str">
        <f t="shared" si="512"/>
        <v>08641790152</v>
      </c>
      <c r="E6053" t="s">
        <v>52</v>
      </c>
      <c r="F6053">
        <v>2014</v>
      </c>
      <c r="G6053">
        <v>223049</v>
      </c>
      <c r="H6053" s="1">
        <v>41933</v>
      </c>
      <c r="I6053" s="1">
        <v>41941</v>
      </c>
      <c r="J6053" s="1">
        <v>41941</v>
      </c>
      <c r="K6053" s="1">
        <v>42001</v>
      </c>
      <c r="N6053" s="5"/>
      <c r="O6053">
        <v>266.16000000000003</v>
      </c>
      <c r="P6053">
        <v>276</v>
      </c>
      <c r="Q6053" s="2">
        <v>73460.160000000003</v>
      </c>
      <c r="R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 s="1">
        <v>42382</v>
      </c>
      <c r="AC6053" t="s">
        <v>53</v>
      </c>
      <c r="AD6053" t="s">
        <v>53</v>
      </c>
      <c r="AK6053">
        <v>0</v>
      </c>
      <c r="AU6053" s="6">
        <v>42277</v>
      </c>
      <c r="AV6053" s="6">
        <v>42277</v>
      </c>
      <c r="AW6053" t="s">
        <v>54</v>
      </c>
      <c r="AX6053" t="str">
        <f t="shared" si="510"/>
        <v>FOR</v>
      </c>
      <c r="AY6053" t="s">
        <v>55</v>
      </c>
    </row>
    <row r="6054" spans="1:51" hidden="1">
      <c r="A6054">
        <v>104009</v>
      </c>
      <c r="B6054" t="s">
        <v>1167</v>
      </c>
      <c r="C6054" t="str">
        <f t="shared" si="512"/>
        <v>08641790152</v>
      </c>
      <c r="D6054" t="str">
        <f t="shared" si="512"/>
        <v>08641790152</v>
      </c>
      <c r="E6054" t="s">
        <v>52</v>
      </c>
      <c r="F6054">
        <v>2014</v>
      </c>
      <c r="G6054">
        <v>223176</v>
      </c>
      <c r="H6054" s="1">
        <v>41933</v>
      </c>
      <c r="I6054" s="1">
        <v>41941</v>
      </c>
      <c r="J6054" s="1">
        <v>41941</v>
      </c>
      <c r="K6054" s="1">
        <v>42001</v>
      </c>
      <c r="N6054" s="5"/>
      <c r="O6054">
        <v>988</v>
      </c>
      <c r="P6054">
        <v>249</v>
      </c>
      <c r="Q6054" s="2">
        <v>246012</v>
      </c>
      <c r="R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 s="1">
        <v>42382</v>
      </c>
      <c r="AC6054" t="s">
        <v>53</v>
      </c>
      <c r="AD6054" t="s">
        <v>53</v>
      </c>
      <c r="AK6054">
        <v>0</v>
      </c>
      <c r="AU6054" s="6">
        <v>42250</v>
      </c>
      <c r="AV6054" s="6">
        <v>42250</v>
      </c>
      <c r="AW6054" t="s">
        <v>54</v>
      </c>
      <c r="AX6054" t="str">
        <f t="shared" si="510"/>
        <v>FOR</v>
      </c>
      <c r="AY6054" t="s">
        <v>55</v>
      </c>
    </row>
    <row r="6055" spans="1:51" hidden="1">
      <c r="A6055">
        <v>104009</v>
      </c>
      <c r="B6055" t="s">
        <v>1167</v>
      </c>
      <c r="C6055" t="str">
        <f t="shared" si="512"/>
        <v>08641790152</v>
      </c>
      <c r="D6055" t="str">
        <f t="shared" si="512"/>
        <v>08641790152</v>
      </c>
      <c r="E6055" t="s">
        <v>52</v>
      </c>
      <c r="F6055">
        <v>2014</v>
      </c>
      <c r="G6055">
        <v>223241</v>
      </c>
      <c r="H6055" s="1">
        <v>41933</v>
      </c>
      <c r="I6055" s="1">
        <v>41941</v>
      </c>
      <c r="J6055" s="1">
        <v>41941</v>
      </c>
      <c r="K6055" s="1">
        <v>42001</v>
      </c>
      <c r="N6055" s="5"/>
      <c r="O6055">
        <v>100.65</v>
      </c>
      <c r="P6055">
        <v>249</v>
      </c>
      <c r="Q6055" s="2">
        <v>25061.85</v>
      </c>
      <c r="R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 s="1">
        <v>42382</v>
      </c>
      <c r="AC6055" t="s">
        <v>53</v>
      </c>
      <c r="AD6055" t="s">
        <v>53</v>
      </c>
      <c r="AK6055">
        <v>0</v>
      </c>
      <c r="AU6055" s="6">
        <v>42250</v>
      </c>
      <c r="AV6055" s="6">
        <v>42250</v>
      </c>
      <c r="AW6055" t="s">
        <v>54</v>
      </c>
      <c r="AX6055" t="str">
        <f t="shared" si="510"/>
        <v>FOR</v>
      </c>
      <c r="AY6055" t="s">
        <v>55</v>
      </c>
    </row>
    <row r="6056" spans="1:51" hidden="1">
      <c r="A6056">
        <v>104009</v>
      </c>
      <c r="B6056" t="s">
        <v>1167</v>
      </c>
      <c r="C6056" t="str">
        <f t="shared" si="512"/>
        <v>08641790152</v>
      </c>
      <c r="D6056" t="str">
        <f t="shared" si="512"/>
        <v>08641790152</v>
      </c>
      <c r="E6056" t="s">
        <v>52</v>
      </c>
      <c r="F6056">
        <v>2014</v>
      </c>
      <c r="G6056">
        <v>223402</v>
      </c>
      <c r="H6056" s="1">
        <v>41934</v>
      </c>
      <c r="I6056" s="1">
        <v>41946</v>
      </c>
      <c r="J6056" s="1">
        <v>41946</v>
      </c>
      <c r="K6056" s="1">
        <v>42006</v>
      </c>
      <c r="N6056" s="5"/>
      <c r="O6056">
        <v>380.64</v>
      </c>
      <c r="P6056">
        <v>244</v>
      </c>
      <c r="Q6056" s="2">
        <v>92876.160000000003</v>
      </c>
      <c r="R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 s="1">
        <v>42382</v>
      </c>
      <c r="AC6056" t="s">
        <v>53</v>
      </c>
      <c r="AD6056" t="s">
        <v>53</v>
      </c>
      <c r="AK6056">
        <v>0</v>
      </c>
      <c r="AU6056" s="6">
        <v>42250</v>
      </c>
      <c r="AV6056" s="6">
        <v>42250</v>
      </c>
      <c r="AW6056" t="s">
        <v>54</v>
      </c>
      <c r="AX6056" t="str">
        <f t="shared" si="510"/>
        <v>FOR</v>
      </c>
      <c r="AY6056" t="s">
        <v>55</v>
      </c>
    </row>
    <row r="6057" spans="1:51" hidden="1">
      <c r="A6057">
        <v>104009</v>
      </c>
      <c r="B6057" t="s">
        <v>1167</v>
      </c>
      <c r="C6057" t="str">
        <f t="shared" si="512"/>
        <v>08641790152</v>
      </c>
      <c r="D6057" t="str">
        <f t="shared" si="512"/>
        <v>08641790152</v>
      </c>
      <c r="E6057" t="s">
        <v>52</v>
      </c>
      <c r="F6057">
        <v>2014</v>
      </c>
      <c r="G6057">
        <v>223533</v>
      </c>
      <c r="H6057" s="1">
        <v>41934</v>
      </c>
      <c r="I6057" s="1">
        <v>41946</v>
      </c>
      <c r="J6057" s="1">
        <v>41946</v>
      </c>
      <c r="K6057" s="1">
        <v>42006</v>
      </c>
      <c r="N6057" s="5"/>
      <c r="O6057">
        <v>844.24</v>
      </c>
      <c r="P6057">
        <v>244</v>
      </c>
      <c r="Q6057" s="2">
        <v>205994.56</v>
      </c>
      <c r="R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 s="1">
        <v>42382</v>
      </c>
      <c r="AC6057" t="s">
        <v>53</v>
      </c>
      <c r="AD6057" t="s">
        <v>53</v>
      </c>
      <c r="AK6057">
        <v>0</v>
      </c>
      <c r="AU6057" s="6">
        <v>42250</v>
      </c>
      <c r="AV6057" s="6">
        <v>42250</v>
      </c>
      <c r="AW6057" t="s">
        <v>54</v>
      </c>
      <c r="AX6057" t="str">
        <f t="shared" si="510"/>
        <v>FOR</v>
      </c>
      <c r="AY6057" t="s">
        <v>55</v>
      </c>
    </row>
    <row r="6058" spans="1:51" hidden="1">
      <c r="A6058">
        <v>104009</v>
      </c>
      <c r="B6058" t="s">
        <v>1167</v>
      </c>
      <c r="C6058" t="str">
        <f t="shared" si="512"/>
        <v>08641790152</v>
      </c>
      <c r="D6058" t="str">
        <f t="shared" si="512"/>
        <v>08641790152</v>
      </c>
      <c r="E6058" t="s">
        <v>52</v>
      </c>
      <c r="F6058">
        <v>2014</v>
      </c>
      <c r="G6058">
        <v>225760</v>
      </c>
      <c r="H6058" s="1">
        <v>41939</v>
      </c>
      <c r="I6058" s="1">
        <v>41950</v>
      </c>
      <c r="J6058" s="1">
        <v>41950</v>
      </c>
      <c r="K6058" s="1">
        <v>42010</v>
      </c>
      <c r="N6058" s="5"/>
      <c r="O6058">
        <v>610</v>
      </c>
      <c r="P6058">
        <v>240</v>
      </c>
      <c r="Q6058" s="2">
        <v>146400</v>
      </c>
      <c r="R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 s="1">
        <v>42382</v>
      </c>
      <c r="AC6058" t="s">
        <v>53</v>
      </c>
      <c r="AD6058" t="s">
        <v>53</v>
      </c>
      <c r="AK6058">
        <v>0</v>
      </c>
      <c r="AU6058" s="6">
        <v>42250</v>
      </c>
      <c r="AV6058" s="6">
        <v>42250</v>
      </c>
      <c r="AW6058" t="s">
        <v>54</v>
      </c>
      <c r="AX6058" t="str">
        <f t="shared" si="510"/>
        <v>FOR</v>
      </c>
      <c r="AY6058" t="s">
        <v>55</v>
      </c>
    </row>
    <row r="6059" spans="1:51" hidden="1">
      <c r="A6059">
        <v>104009</v>
      </c>
      <c r="B6059" t="s">
        <v>1167</v>
      </c>
      <c r="C6059" t="str">
        <f t="shared" si="512"/>
        <v>08641790152</v>
      </c>
      <c r="D6059" t="str">
        <f t="shared" si="512"/>
        <v>08641790152</v>
      </c>
      <c r="E6059" t="s">
        <v>52</v>
      </c>
      <c r="F6059">
        <v>2014</v>
      </c>
      <c r="G6059">
        <v>225933</v>
      </c>
      <c r="H6059" s="1">
        <v>41939</v>
      </c>
      <c r="I6059" s="1">
        <v>41950</v>
      </c>
      <c r="J6059" s="1">
        <v>41950</v>
      </c>
      <c r="K6059" s="1">
        <v>42010</v>
      </c>
      <c r="N6059" s="5"/>
      <c r="O6059" s="2">
        <v>3904</v>
      </c>
      <c r="P6059">
        <v>240</v>
      </c>
      <c r="Q6059" s="2">
        <v>936960</v>
      </c>
      <c r="R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 s="1">
        <v>42382</v>
      </c>
      <c r="AC6059" t="s">
        <v>53</v>
      </c>
      <c r="AD6059" t="s">
        <v>53</v>
      </c>
      <c r="AK6059">
        <v>0</v>
      </c>
      <c r="AU6059" s="6">
        <v>42250</v>
      </c>
      <c r="AV6059" s="6">
        <v>42250</v>
      </c>
      <c r="AW6059" t="s">
        <v>54</v>
      </c>
      <c r="AX6059" t="str">
        <f t="shared" si="510"/>
        <v>FOR</v>
      </c>
      <c r="AY6059" t="s">
        <v>55</v>
      </c>
    </row>
    <row r="6060" spans="1:51" hidden="1">
      <c r="A6060">
        <v>104009</v>
      </c>
      <c r="B6060" t="s">
        <v>1167</v>
      </c>
      <c r="C6060" t="str">
        <f t="shared" si="512"/>
        <v>08641790152</v>
      </c>
      <c r="D6060" t="str">
        <f t="shared" si="512"/>
        <v>08641790152</v>
      </c>
      <c r="E6060" t="s">
        <v>52</v>
      </c>
      <c r="F6060">
        <v>2014</v>
      </c>
      <c r="G6060">
        <v>225968</v>
      </c>
      <c r="H6060" s="1">
        <v>41939</v>
      </c>
      <c r="I6060" s="1">
        <v>41950</v>
      </c>
      <c r="J6060" s="1">
        <v>41950</v>
      </c>
      <c r="K6060" s="1">
        <v>42010</v>
      </c>
      <c r="N6060" s="5"/>
      <c r="O6060" s="2">
        <v>5856</v>
      </c>
      <c r="P6060">
        <v>240</v>
      </c>
      <c r="Q6060" s="2">
        <v>1405440</v>
      </c>
      <c r="R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 s="1">
        <v>42382</v>
      </c>
      <c r="AC6060" t="s">
        <v>53</v>
      </c>
      <c r="AD6060" t="s">
        <v>53</v>
      </c>
      <c r="AK6060">
        <v>0</v>
      </c>
      <c r="AU6060" s="6">
        <v>42250</v>
      </c>
      <c r="AV6060" s="6">
        <v>42250</v>
      </c>
      <c r="AW6060" t="s">
        <v>54</v>
      </c>
      <c r="AX6060" t="str">
        <f t="shared" si="510"/>
        <v>FOR</v>
      </c>
      <c r="AY6060" t="s">
        <v>55</v>
      </c>
    </row>
    <row r="6061" spans="1:51" hidden="1">
      <c r="A6061">
        <v>104009</v>
      </c>
      <c r="B6061" t="s">
        <v>1167</v>
      </c>
      <c r="C6061" t="str">
        <f t="shared" si="512"/>
        <v>08641790152</v>
      </c>
      <c r="D6061" t="str">
        <f t="shared" si="512"/>
        <v>08641790152</v>
      </c>
      <c r="E6061" t="s">
        <v>52</v>
      </c>
      <c r="F6061">
        <v>2014</v>
      </c>
      <c r="G6061">
        <v>226224</v>
      </c>
      <c r="H6061" s="1">
        <v>41940</v>
      </c>
      <c r="I6061" s="1">
        <v>41955</v>
      </c>
      <c r="J6061" s="1">
        <v>41955</v>
      </c>
      <c r="K6061" s="1">
        <v>42015</v>
      </c>
      <c r="N6061" s="5"/>
      <c r="O6061">
        <v>988</v>
      </c>
      <c r="P6061">
        <v>235</v>
      </c>
      <c r="Q6061" s="2">
        <v>232180</v>
      </c>
      <c r="R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 s="1">
        <v>42382</v>
      </c>
      <c r="AC6061" t="s">
        <v>53</v>
      </c>
      <c r="AD6061" t="s">
        <v>53</v>
      </c>
      <c r="AK6061">
        <v>0</v>
      </c>
      <c r="AU6061" s="6">
        <v>42250</v>
      </c>
      <c r="AV6061" s="6">
        <v>42250</v>
      </c>
      <c r="AW6061" t="s">
        <v>54</v>
      </c>
      <c r="AX6061" t="str">
        <f t="shared" si="510"/>
        <v>FOR</v>
      </c>
      <c r="AY6061" t="s">
        <v>55</v>
      </c>
    </row>
    <row r="6062" spans="1:51" hidden="1">
      <c r="A6062">
        <v>104009</v>
      </c>
      <c r="B6062" t="s">
        <v>1167</v>
      </c>
      <c r="C6062" t="str">
        <f t="shared" si="512"/>
        <v>08641790152</v>
      </c>
      <c r="D6062" t="str">
        <f t="shared" si="512"/>
        <v>08641790152</v>
      </c>
      <c r="E6062" t="s">
        <v>52</v>
      </c>
      <c r="F6062">
        <v>2014</v>
      </c>
      <c r="G6062">
        <v>226295</v>
      </c>
      <c r="H6062" s="1">
        <v>41940</v>
      </c>
      <c r="I6062" s="1">
        <v>41955</v>
      </c>
      <c r="J6062" s="1">
        <v>41955</v>
      </c>
      <c r="K6062" s="1">
        <v>42015</v>
      </c>
      <c r="N6062" s="5"/>
      <c r="O6062">
        <v>988</v>
      </c>
      <c r="P6062">
        <v>235</v>
      </c>
      <c r="Q6062" s="2">
        <v>232180</v>
      </c>
      <c r="R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 s="1">
        <v>42382</v>
      </c>
      <c r="AC6062" t="s">
        <v>53</v>
      </c>
      <c r="AD6062" t="s">
        <v>53</v>
      </c>
      <c r="AK6062">
        <v>0</v>
      </c>
      <c r="AU6062" s="6">
        <v>42250</v>
      </c>
      <c r="AV6062" s="6">
        <v>42250</v>
      </c>
      <c r="AW6062" t="s">
        <v>54</v>
      </c>
      <c r="AX6062" t="str">
        <f t="shared" si="510"/>
        <v>FOR</v>
      </c>
      <c r="AY6062" t="s">
        <v>55</v>
      </c>
    </row>
    <row r="6063" spans="1:51" hidden="1">
      <c r="A6063">
        <v>104009</v>
      </c>
      <c r="B6063" t="s">
        <v>1167</v>
      </c>
      <c r="C6063" t="str">
        <f t="shared" si="512"/>
        <v>08641790152</v>
      </c>
      <c r="D6063" t="str">
        <f t="shared" si="512"/>
        <v>08641790152</v>
      </c>
      <c r="E6063" t="s">
        <v>52</v>
      </c>
      <c r="F6063">
        <v>2014</v>
      </c>
      <c r="G6063">
        <v>226353</v>
      </c>
      <c r="H6063" s="1">
        <v>41940</v>
      </c>
      <c r="I6063" s="1">
        <v>41955</v>
      </c>
      <c r="J6063" s="1">
        <v>41955</v>
      </c>
      <c r="K6063" s="1">
        <v>42015</v>
      </c>
      <c r="N6063" s="5"/>
      <c r="O6063">
        <v>570.96</v>
      </c>
      <c r="P6063">
        <v>235</v>
      </c>
      <c r="Q6063" s="2">
        <v>134175.6</v>
      </c>
      <c r="R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 s="1">
        <v>42382</v>
      </c>
      <c r="AC6063" t="s">
        <v>53</v>
      </c>
      <c r="AD6063" t="s">
        <v>53</v>
      </c>
      <c r="AK6063">
        <v>0</v>
      </c>
      <c r="AU6063" s="6">
        <v>42250</v>
      </c>
      <c r="AV6063" s="6">
        <v>42250</v>
      </c>
      <c r="AW6063" t="s">
        <v>54</v>
      </c>
      <c r="AX6063" t="str">
        <f t="shared" si="510"/>
        <v>FOR</v>
      </c>
      <c r="AY6063" t="s">
        <v>55</v>
      </c>
    </row>
    <row r="6064" spans="1:51" hidden="1">
      <c r="A6064">
        <v>104009</v>
      </c>
      <c r="B6064" t="s">
        <v>1167</v>
      </c>
      <c r="C6064" t="str">
        <f t="shared" si="512"/>
        <v>08641790152</v>
      </c>
      <c r="D6064" t="str">
        <f t="shared" si="512"/>
        <v>08641790152</v>
      </c>
      <c r="E6064" t="s">
        <v>52</v>
      </c>
      <c r="F6064">
        <v>2014</v>
      </c>
      <c r="G6064">
        <v>229816</v>
      </c>
      <c r="H6064" s="1">
        <v>41948</v>
      </c>
      <c r="I6064" s="1">
        <v>41964</v>
      </c>
      <c r="J6064" s="1">
        <v>41964</v>
      </c>
      <c r="K6064" s="1">
        <v>42024</v>
      </c>
      <c r="N6064" s="5"/>
      <c r="O6064" s="2">
        <v>1158.02</v>
      </c>
      <c r="P6064">
        <v>253</v>
      </c>
      <c r="Q6064" s="2">
        <v>292979.06</v>
      </c>
      <c r="R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 s="1">
        <v>42382</v>
      </c>
      <c r="AC6064" t="s">
        <v>53</v>
      </c>
      <c r="AD6064" t="s">
        <v>53</v>
      </c>
      <c r="AK6064">
        <v>0</v>
      </c>
      <c r="AU6064" s="6">
        <v>42277</v>
      </c>
      <c r="AV6064" s="6">
        <v>42277</v>
      </c>
      <c r="AW6064" t="s">
        <v>54</v>
      </c>
      <c r="AX6064" t="str">
        <f t="shared" si="510"/>
        <v>FOR</v>
      </c>
      <c r="AY6064" t="s">
        <v>55</v>
      </c>
    </row>
    <row r="6065" spans="1:51" hidden="1">
      <c r="A6065">
        <v>104009</v>
      </c>
      <c r="B6065" t="s">
        <v>1167</v>
      </c>
      <c r="C6065" t="str">
        <f t="shared" ref="C6065:D6084" si="513">"08641790152"</f>
        <v>08641790152</v>
      </c>
      <c r="D6065" t="str">
        <f t="shared" si="513"/>
        <v>08641790152</v>
      </c>
      <c r="E6065" t="s">
        <v>52</v>
      </c>
      <c r="F6065">
        <v>2014</v>
      </c>
      <c r="G6065">
        <v>232881</v>
      </c>
      <c r="H6065" s="1">
        <v>41955</v>
      </c>
      <c r="I6065" s="1">
        <v>41976</v>
      </c>
      <c r="J6065" s="1">
        <v>41976</v>
      </c>
      <c r="K6065" s="1">
        <v>42036</v>
      </c>
      <c r="N6065" s="5"/>
      <c r="O6065">
        <v>276.69</v>
      </c>
      <c r="P6065">
        <v>241</v>
      </c>
      <c r="Q6065" s="2">
        <v>66682.289999999994</v>
      </c>
      <c r="R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 s="1">
        <v>42382</v>
      </c>
      <c r="AC6065" t="s">
        <v>53</v>
      </c>
      <c r="AD6065" t="s">
        <v>53</v>
      </c>
      <c r="AK6065">
        <v>0</v>
      </c>
      <c r="AU6065" s="6">
        <v>42277</v>
      </c>
      <c r="AV6065" s="6">
        <v>42277</v>
      </c>
      <c r="AW6065" t="s">
        <v>54</v>
      </c>
      <c r="AX6065" t="str">
        <f t="shared" si="510"/>
        <v>FOR</v>
      </c>
      <c r="AY6065" t="s">
        <v>55</v>
      </c>
    </row>
    <row r="6066" spans="1:51" hidden="1">
      <c r="A6066">
        <v>104009</v>
      </c>
      <c r="B6066" t="s">
        <v>1167</v>
      </c>
      <c r="C6066" t="str">
        <f t="shared" si="513"/>
        <v>08641790152</v>
      </c>
      <c r="D6066" t="str">
        <f t="shared" si="513"/>
        <v>08641790152</v>
      </c>
      <c r="E6066" t="s">
        <v>52</v>
      </c>
      <c r="F6066">
        <v>2014</v>
      </c>
      <c r="G6066">
        <v>232944</v>
      </c>
      <c r="H6066" s="1">
        <v>41955</v>
      </c>
      <c r="I6066" s="1">
        <v>41976</v>
      </c>
      <c r="J6066" s="1">
        <v>41976</v>
      </c>
      <c r="K6066" s="1">
        <v>42036</v>
      </c>
      <c r="N6066" s="5"/>
      <c r="O6066" s="2">
        <v>2723.04</v>
      </c>
      <c r="P6066">
        <v>241</v>
      </c>
      <c r="Q6066" s="2">
        <v>656252.64</v>
      </c>
      <c r="R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 s="1">
        <v>42382</v>
      </c>
      <c r="AC6066" t="s">
        <v>53</v>
      </c>
      <c r="AD6066" t="s">
        <v>53</v>
      </c>
      <c r="AK6066">
        <v>0</v>
      </c>
      <c r="AU6066" s="6">
        <v>42277</v>
      </c>
      <c r="AV6066" s="6">
        <v>42277</v>
      </c>
      <c r="AW6066" t="s">
        <v>54</v>
      </c>
      <c r="AX6066" t="str">
        <f t="shared" si="510"/>
        <v>FOR</v>
      </c>
      <c r="AY6066" t="s">
        <v>55</v>
      </c>
    </row>
    <row r="6067" spans="1:51" hidden="1">
      <c r="A6067">
        <v>104009</v>
      </c>
      <c r="B6067" t="s">
        <v>1167</v>
      </c>
      <c r="C6067" t="str">
        <f t="shared" si="513"/>
        <v>08641790152</v>
      </c>
      <c r="D6067" t="str">
        <f t="shared" si="513"/>
        <v>08641790152</v>
      </c>
      <c r="E6067" t="s">
        <v>52</v>
      </c>
      <c r="F6067">
        <v>2014</v>
      </c>
      <c r="G6067">
        <v>233183</v>
      </c>
      <c r="H6067" s="1">
        <v>41955</v>
      </c>
      <c r="I6067" s="1">
        <v>41976</v>
      </c>
      <c r="J6067" s="1">
        <v>41976</v>
      </c>
      <c r="K6067" s="1">
        <v>42036</v>
      </c>
      <c r="N6067" s="5"/>
      <c r="O6067" s="2">
        <v>3513.6</v>
      </c>
      <c r="P6067">
        <v>241</v>
      </c>
      <c r="Q6067" s="2">
        <v>846777.6</v>
      </c>
      <c r="R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 s="1">
        <v>42382</v>
      </c>
      <c r="AC6067" t="s">
        <v>53</v>
      </c>
      <c r="AD6067" t="s">
        <v>53</v>
      </c>
      <c r="AK6067">
        <v>0</v>
      </c>
      <c r="AU6067" s="6">
        <v>42277</v>
      </c>
      <c r="AV6067" s="6">
        <v>42277</v>
      </c>
      <c r="AW6067" t="s">
        <v>54</v>
      </c>
      <c r="AX6067" t="str">
        <f t="shared" si="510"/>
        <v>FOR</v>
      </c>
      <c r="AY6067" t="s">
        <v>55</v>
      </c>
    </row>
    <row r="6068" spans="1:51" hidden="1">
      <c r="A6068">
        <v>104009</v>
      </c>
      <c r="B6068" t="s">
        <v>1167</v>
      </c>
      <c r="C6068" t="str">
        <f t="shared" si="513"/>
        <v>08641790152</v>
      </c>
      <c r="D6068" t="str">
        <f t="shared" si="513"/>
        <v>08641790152</v>
      </c>
      <c r="E6068" t="s">
        <v>52</v>
      </c>
      <c r="F6068">
        <v>2014</v>
      </c>
      <c r="G6068">
        <v>233318</v>
      </c>
      <c r="H6068" s="1">
        <v>41955</v>
      </c>
      <c r="I6068" s="1">
        <v>41976</v>
      </c>
      <c r="J6068" s="1">
        <v>41976</v>
      </c>
      <c r="K6068" s="1">
        <v>42036</v>
      </c>
      <c r="N6068" s="5"/>
      <c r="O6068">
        <v>387.37</v>
      </c>
      <c r="P6068">
        <v>241</v>
      </c>
      <c r="Q6068" s="2">
        <v>93356.17</v>
      </c>
      <c r="R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 s="1">
        <v>42382</v>
      </c>
      <c r="AC6068" t="s">
        <v>53</v>
      </c>
      <c r="AD6068" t="s">
        <v>53</v>
      </c>
      <c r="AK6068">
        <v>0</v>
      </c>
      <c r="AU6068" s="6">
        <v>42277</v>
      </c>
      <c r="AV6068" s="6">
        <v>42277</v>
      </c>
      <c r="AW6068" t="s">
        <v>54</v>
      </c>
      <c r="AX6068" t="str">
        <f t="shared" si="510"/>
        <v>FOR</v>
      </c>
      <c r="AY6068" t="s">
        <v>55</v>
      </c>
    </row>
    <row r="6069" spans="1:51" hidden="1">
      <c r="A6069">
        <v>104009</v>
      </c>
      <c r="B6069" t="s">
        <v>1167</v>
      </c>
      <c r="C6069" t="str">
        <f t="shared" si="513"/>
        <v>08641790152</v>
      </c>
      <c r="D6069" t="str">
        <f t="shared" si="513"/>
        <v>08641790152</v>
      </c>
      <c r="E6069" t="s">
        <v>52</v>
      </c>
      <c r="F6069">
        <v>2014</v>
      </c>
      <c r="G6069">
        <v>233733</v>
      </c>
      <c r="H6069" s="1">
        <v>41956</v>
      </c>
      <c r="I6069" s="1">
        <v>41978</v>
      </c>
      <c r="J6069" s="1">
        <v>41978</v>
      </c>
      <c r="K6069" s="1">
        <v>42038</v>
      </c>
      <c r="N6069" s="5"/>
      <c r="O6069">
        <v>759.45</v>
      </c>
      <c r="P6069">
        <v>239</v>
      </c>
      <c r="Q6069" s="2">
        <v>181508.55</v>
      </c>
      <c r="R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 s="1">
        <v>42382</v>
      </c>
      <c r="AC6069" t="s">
        <v>53</v>
      </c>
      <c r="AD6069" t="s">
        <v>53</v>
      </c>
      <c r="AK6069">
        <v>0</v>
      </c>
      <c r="AU6069" s="6">
        <v>42277</v>
      </c>
      <c r="AV6069" s="6">
        <v>42277</v>
      </c>
      <c r="AW6069" t="s">
        <v>54</v>
      </c>
      <c r="AX6069" t="str">
        <f t="shared" si="510"/>
        <v>FOR</v>
      </c>
      <c r="AY6069" t="s">
        <v>55</v>
      </c>
    </row>
    <row r="6070" spans="1:51" hidden="1">
      <c r="A6070">
        <v>104009</v>
      </c>
      <c r="B6070" t="s">
        <v>1167</v>
      </c>
      <c r="C6070" t="str">
        <f t="shared" si="513"/>
        <v>08641790152</v>
      </c>
      <c r="D6070" t="str">
        <f t="shared" si="513"/>
        <v>08641790152</v>
      </c>
      <c r="E6070" t="s">
        <v>52</v>
      </c>
      <c r="F6070">
        <v>2014</v>
      </c>
      <c r="G6070">
        <v>233866</v>
      </c>
      <c r="H6070" s="1">
        <v>41956</v>
      </c>
      <c r="I6070" s="1">
        <v>41978</v>
      </c>
      <c r="J6070" s="1">
        <v>41978</v>
      </c>
      <c r="K6070" s="1">
        <v>42038</v>
      </c>
      <c r="N6070" s="5"/>
      <c r="O6070" s="2">
        <v>1903.2</v>
      </c>
      <c r="P6070">
        <v>239</v>
      </c>
      <c r="Q6070" s="2">
        <v>454864.8</v>
      </c>
      <c r="R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 s="1">
        <v>42382</v>
      </c>
      <c r="AC6070" t="s">
        <v>53</v>
      </c>
      <c r="AD6070" t="s">
        <v>53</v>
      </c>
      <c r="AK6070">
        <v>0</v>
      </c>
      <c r="AU6070" s="6">
        <v>42277</v>
      </c>
      <c r="AV6070" s="6">
        <v>42277</v>
      </c>
      <c r="AW6070" t="s">
        <v>54</v>
      </c>
      <c r="AX6070" t="str">
        <f t="shared" si="510"/>
        <v>FOR</v>
      </c>
      <c r="AY6070" t="s">
        <v>55</v>
      </c>
    </row>
    <row r="6071" spans="1:51" hidden="1">
      <c r="A6071">
        <v>104009</v>
      </c>
      <c r="B6071" t="s">
        <v>1167</v>
      </c>
      <c r="C6071" t="str">
        <f t="shared" si="513"/>
        <v>08641790152</v>
      </c>
      <c r="D6071" t="str">
        <f t="shared" si="513"/>
        <v>08641790152</v>
      </c>
      <c r="E6071" t="s">
        <v>52</v>
      </c>
      <c r="F6071">
        <v>2014</v>
      </c>
      <c r="G6071">
        <v>235169</v>
      </c>
      <c r="H6071" s="1">
        <v>41960</v>
      </c>
      <c r="I6071" s="1">
        <v>41971</v>
      </c>
      <c r="J6071" s="1">
        <v>41971</v>
      </c>
      <c r="K6071" s="1">
        <v>42031</v>
      </c>
      <c r="N6071" s="5"/>
      <c r="O6071">
        <v>253.15</v>
      </c>
      <c r="P6071">
        <v>246</v>
      </c>
      <c r="Q6071" s="2">
        <v>62274.9</v>
      </c>
      <c r="R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 s="1">
        <v>42382</v>
      </c>
      <c r="AC6071" t="s">
        <v>53</v>
      </c>
      <c r="AD6071" t="s">
        <v>53</v>
      </c>
      <c r="AK6071">
        <v>0</v>
      </c>
      <c r="AU6071" s="6">
        <v>42277</v>
      </c>
      <c r="AV6071" s="6">
        <v>42277</v>
      </c>
      <c r="AW6071" t="s">
        <v>54</v>
      </c>
      <c r="AX6071" t="str">
        <f t="shared" si="510"/>
        <v>FOR</v>
      </c>
      <c r="AY6071" t="s">
        <v>55</v>
      </c>
    </row>
    <row r="6072" spans="1:51" hidden="1">
      <c r="A6072">
        <v>104009</v>
      </c>
      <c r="B6072" t="s">
        <v>1167</v>
      </c>
      <c r="C6072" t="str">
        <f t="shared" si="513"/>
        <v>08641790152</v>
      </c>
      <c r="D6072" t="str">
        <f t="shared" si="513"/>
        <v>08641790152</v>
      </c>
      <c r="E6072" t="s">
        <v>52</v>
      </c>
      <c r="F6072">
        <v>2014</v>
      </c>
      <c r="G6072">
        <v>235353</v>
      </c>
      <c r="H6072" s="1">
        <v>41961</v>
      </c>
      <c r="I6072" s="1">
        <v>41971</v>
      </c>
      <c r="J6072" s="1">
        <v>41971</v>
      </c>
      <c r="K6072" s="1">
        <v>42031</v>
      </c>
      <c r="N6072" s="5"/>
      <c r="O6072">
        <v>988</v>
      </c>
      <c r="P6072">
        <v>246</v>
      </c>
      <c r="Q6072" s="2">
        <v>243048</v>
      </c>
      <c r="R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 s="1">
        <v>42382</v>
      </c>
      <c r="AC6072" t="s">
        <v>53</v>
      </c>
      <c r="AD6072" t="s">
        <v>53</v>
      </c>
      <c r="AK6072">
        <v>0</v>
      </c>
      <c r="AU6072" s="6">
        <v>42277</v>
      </c>
      <c r="AV6072" s="6">
        <v>42277</v>
      </c>
      <c r="AW6072" t="s">
        <v>54</v>
      </c>
      <c r="AX6072" t="str">
        <f t="shared" si="510"/>
        <v>FOR</v>
      </c>
      <c r="AY6072" t="s">
        <v>55</v>
      </c>
    </row>
    <row r="6073" spans="1:51" hidden="1">
      <c r="A6073">
        <v>104009</v>
      </c>
      <c r="B6073" t="s">
        <v>1167</v>
      </c>
      <c r="C6073" t="str">
        <f t="shared" si="513"/>
        <v>08641790152</v>
      </c>
      <c r="D6073" t="str">
        <f t="shared" si="513"/>
        <v>08641790152</v>
      </c>
      <c r="E6073" t="s">
        <v>52</v>
      </c>
      <c r="F6073">
        <v>2014</v>
      </c>
      <c r="G6073">
        <v>237982</v>
      </c>
      <c r="H6073" s="1">
        <v>41967</v>
      </c>
      <c r="I6073" s="1">
        <v>41976</v>
      </c>
      <c r="J6073" s="1">
        <v>41976</v>
      </c>
      <c r="K6073" s="1">
        <v>42036</v>
      </c>
      <c r="N6073" s="5"/>
      <c r="O6073" s="2">
        <v>2523.1999999999998</v>
      </c>
      <c r="P6073">
        <v>241</v>
      </c>
      <c r="Q6073" s="2">
        <v>608091.19999999995</v>
      </c>
      <c r="R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 s="1">
        <v>42382</v>
      </c>
      <c r="AC6073" t="s">
        <v>53</v>
      </c>
      <c r="AD6073" t="s">
        <v>53</v>
      </c>
      <c r="AK6073">
        <v>0</v>
      </c>
      <c r="AU6073" s="6">
        <v>42277</v>
      </c>
      <c r="AV6073" s="6">
        <v>42277</v>
      </c>
      <c r="AW6073" t="s">
        <v>54</v>
      </c>
      <c r="AX6073" t="str">
        <f t="shared" si="510"/>
        <v>FOR</v>
      </c>
      <c r="AY6073" t="s">
        <v>55</v>
      </c>
    </row>
    <row r="6074" spans="1:51" hidden="1">
      <c r="A6074">
        <v>104009</v>
      </c>
      <c r="B6074" t="s">
        <v>1167</v>
      </c>
      <c r="C6074" t="str">
        <f t="shared" si="513"/>
        <v>08641790152</v>
      </c>
      <c r="D6074" t="str">
        <f t="shared" si="513"/>
        <v>08641790152</v>
      </c>
      <c r="E6074" t="s">
        <v>52</v>
      </c>
      <c r="F6074">
        <v>2014</v>
      </c>
      <c r="G6074">
        <v>238023</v>
      </c>
      <c r="H6074" s="1">
        <v>41967</v>
      </c>
      <c r="I6074" s="1">
        <v>41976</v>
      </c>
      <c r="J6074" s="1">
        <v>41976</v>
      </c>
      <c r="K6074" s="1">
        <v>42036</v>
      </c>
      <c r="N6074" s="5"/>
      <c r="O6074" s="2">
        <v>3511.16</v>
      </c>
      <c r="P6074">
        <v>241</v>
      </c>
      <c r="Q6074" s="2">
        <v>846189.56</v>
      </c>
      <c r="R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 s="1">
        <v>42382</v>
      </c>
      <c r="AC6074" t="s">
        <v>53</v>
      </c>
      <c r="AD6074" t="s">
        <v>53</v>
      </c>
      <c r="AK6074">
        <v>0</v>
      </c>
      <c r="AU6074" s="6">
        <v>42277</v>
      </c>
      <c r="AV6074" s="6">
        <v>42277</v>
      </c>
      <c r="AW6074" t="s">
        <v>54</v>
      </c>
      <c r="AX6074" t="str">
        <f t="shared" si="510"/>
        <v>FOR</v>
      </c>
      <c r="AY6074" t="s">
        <v>55</v>
      </c>
    </row>
    <row r="6075" spans="1:51" hidden="1">
      <c r="A6075">
        <v>104009</v>
      </c>
      <c r="B6075" t="s">
        <v>1167</v>
      </c>
      <c r="C6075" t="str">
        <f t="shared" si="513"/>
        <v>08641790152</v>
      </c>
      <c r="D6075" t="str">
        <f t="shared" si="513"/>
        <v>08641790152</v>
      </c>
      <c r="E6075" t="s">
        <v>52</v>
      </c>
      <c r="F6075">
        <v>2014</v>
      </c>
      <c r="G6075">
        <v>238053</v>
      </c>
      <c r="H6075" s="1">
        <v>41967</v>
      </c>
      <c r="I6075" s="1">
        <v>41976</v>
      </c>
      <c r="J6075" s="1">
        <v>41976</v>
      </c>
      <c r="K6075" s="1">
        <v>42036</v>
      </c>
      <c r="N6075" s="5"/>
      <c r="O6075">
        <v>692.96</v>
      </c>
      <c r="P6075">
        <v>241</v>
      </c>
      <c r="Q6075" s="2">
        <v>167003.35999999999</v>
      </c>
      <c r="R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 s="1">
        <v>42382</v>
      </c>
      <c r="AC6075" t="s">
        <v>53</v>
      </c>
      <c r="AD6075" t="s">
        <v>53</v>
      </c>
      <c r="AK6075">
        <v>0</v>
      </c>
      <c r="AU6075" s="6">
        <v>42277</v>
      </c>
      <c r="AV6075" s="6">
        <v>42277</v>
      </c>
      <c r="AW6075" t="s">
        <v>54</v>
      </c>
      <c r="AX6075" t="str">
        <f t="shared" si="510"/>
        <v>FOR</v>
      </c>
      <c r="AY6075" t="s">
        <v>55</v>
      </c>
    </row>
    <row r="6076" spans="1:51" hidden="1">
      <c r="A6076">
        <v>104009</v>
      </c>
      <c r="B6076" t="s">
        <v>1167</v>
      </c>
      <c r="C6076" t="str">
        <f t="shared" si="513"/>
        <v>08641790152</v>
      </c>
      <c r="D6076" t="str">
        <f t="shared" si="513"/>
        <v>08641790152</v>
      </c>
      <c r="E6076" t="s">
        <v>52</v>
      </c>
      <c r="F6076">
        <v>2014</v>
      </c>
      <c r="G6076">
        <v>238084</v>
      </c>
      <c r="H6076" s="1">
        <v>41967</v>
      </c>
      <c r="I6076" s="1">
        <v>41976</v>
      </c>
      <c r="J6076" s="1">
        <v>41976</v>
      </c>
      <c r="K6076" s="1">
        <v>42036</v>
      </c>
      <c r="N6076" s="5"/>
      <c r="O6076">
        <v>677.1</v>
      </c>
      <c r="P6076">
        <v>241</v>
      </c>
      <c r="Q6076" s="2">
        <v>163181.1</v>
      </c>
      <c r="R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 s="1">
        <v>42382</v>
      </c>
      <c r="AC6076" t="s">
        <v>53</v>
      </c>
      <c r="AD6076" t="s">
        <v>53</v>
      </c>
      <c r="AK6076">
        <v>0</v>
      </c>
      <c r="AU6076" s="6">
        <v>42277</v>
      </c>
      <c r="AV6076" s="6">
        <v>42277</v>
      </c>
      <c r="AW6076" t="s">
        <v>54</v>
      </c>
      <c r="AX6076" t="str">
        <f t="shared" si="510"/>
        <v>FOR</v>
      </c>
      <c r="AY6076" t="s">
        <v>55</v>
      </c>
    </row>
    <row r="6077" spans="1:51" hidden="1">
      <c r="A6077">
        <v>104009</v>
      </c>
      <c r="B6077" t="s">
        <v>1167</v>
      </c>
      <c r="C6077" t="str">
        <f t="shared" si="513"/>
        <v>08641790152</v>
      </c>
      <c r="D6077" t="str">
        <f t="shared" si="513"/>
        <v>08641790152</v>
      </c>
      <c r="E6077" t="s">
        <v>52</v>
      </c>
      <c r="F6077">
        <v>2014</v>
      </c>
      <c r="G6077">
        <v>238939</v>
      </c>
      <c r="H6077" s="1">
        <v>41968</v>
      </c>
      <c r="I6077" s="1">
        <v>41976</v>
      </c>
      <c r="J6077" s="1">
        <v>41976</v>
      </c>
      <c r="K6077" s="1">
        <v>42036</v>
      </c>
      <c r="N6077" s="5"/>
      <c r="O6077">
        <v>488</v>
      </c>
      <c r="P6077">
        <v>241</v>
      </c>
      <c r="Q6077" s="2">
        <v>117608</v>
      </c>
      <c r="R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 s="1">
        <v>42382</v>
      </c>
      <c r="AC6077" t="s">
        <v>53</v>
      </c>
      <c r="AD6077" t="s">
        <v>53</v>
      </c>
      <c r="AK6077">
        <v>0</v>
      </c>
      <c r="AU6077" s="6">
        <v>42277</v>
      </c>
      <c r="AV6077" s="6">
        <v>42277</v>
      </c>
      <c r="AW6077" t="s">
        <v>54</v>
      </c>
      <c r="AX6077" t="str">
        <f t="shared" si="510"/>
        <v>FOR</v>
      </c>
      <c r="AY6077" t="s">
        <v>55</v>
      </c>
    </row>
    <row r="6078" spans="1:51" hidden="1">
      <c r="A6078">
        <v>104009</v>
      </c>
      <c r="B6078" t="s">
        <v>1167</v>
      </c>
      <c r="C6078" t="str">
        <f t="shared" si="513"/>
        <v>08641790152</v>
      </c>
      <c r="D6078" t="str">
        <f t="shared" si="513"/>
        <v>08641790152</v>
      </c>
      <c r="E6078" t="s">
        <v>52</v>
      </c>
      <c r="F6078">
        <v>2014</v>
      </c>
      <c r="G6078">
        <v>239283</v>
      </c>
      <c r="H6078" s="1">
        <v>41969</v>
      </c>
      <c r="I6078" s="1">
        <v>41984</v>
      </c>
      <c r="J6078" s="1">
        <v>41984</v>
      </c>
      <c r="K6078" s="1">
        <v>42044</v>
      </c>
      <c r="N6078" s="5"/>
      <c r="O6078" s="2">
        <v>1830</v>
      </c>
      <c r="P6078">
        <v>233</v>
      </c>
      <c r="Q6078" s="2">
        <v>426390</v>
      </c>
      <c r="R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 s="1">
        <v>42382</v>
      </c>
      <c r="AC6078" t="s">
        <v>53</v>
      </c>
      <c r="AD6078" t="s">
        <v>53</v>
      </c>
      <c r="AK6078">
        <v>0</v>
      </c>
      <c r="AU6078" s="6">
        <v>42277</v>
      </c>
      <c r="AV6078" s="6">
        <v>42277</v>
      </c>
      <c r="AW6078" t="s">
        <v>54</v>
      </c>
      <c r="AX6078" t="str">
        <f t="shared" si="510"/>
        <v>FOR</v>
      </c>
      <c r="AY6078" t="s">
        <v>55</v>
      </c>
    </row>
    <row r="6079" spans="1:51" hidden="1">
      <c r="A6079">
        <v>104009</v>
      </c>
      <c r="B6079" t="s">
        <v>1167</v>
      </c>
      <c r="C6079" t="str">
        <f t="shared" si="513"/>
        <v>08641790152</v>
      </c>
      <c r="D6079" t="str">
        <f t="shared" si="513"/>
        <v>08641790152</v>
      </c>
      <c r="E6079" t="s">
        <v>52</v>
      </c>
      <c r="F6079">
        <v>2014</v>
      </c>
      <c r="G6079">
        <v>241550</v>
      </c>
      <c r="H6079" s="1">
        <v>41975</v>
      </c>
      <c r="I6079" s="1">
        <v>41988</v>
      </c>
      <c r="J6079" s="1">
        <v>41988</v>
      </c>
      <c r="K6079" s="1">
        <v>42048</v>
      </c>
      <c r="N6079" s="5"/>
      <c r="O6079" s="2">
        <v>7155.3</v>
      </c>
      <c r="P6079">
        <v>229</v>
      </c>
      <c r="Q6079" s="2">
        <v>1638563.7</v>
      </c>
      <c r="R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 s="1">
        <v>42382</v>
      </c>
      <c r="AC6079" t="s">
        <v>53</v>
      </c>
      <c r="AD6079" t="s">
        <v>53</v>
      </c>
      <c r="AK6079">
        <v>0</v>
      </c>
      <c r="AU6079" s="6">
        <v>42277</v>
      </c>
      <c r="AV6079" s="6">
        <v>42277</v>
      </c>
      <c r="AW6079" t="s">
        <v>54</v>
      </c>
      <c r="AX6079" t="str">
        <f t="shared" si="510"/>
        <v>FOR</v>
      </c>
      <c r="AY6079" t="s">
        <v>55</v>
      </c>
    </row>
    <row r="6080" spans="1:51" hidden="1">
      <c r="A6080">
        <v>104009</v>
      </c>
      <c r="B6080" t="s">
        <v>1167</v>
      </c>
      <c r="C6080" t="str">
        <f t="shared" si="513"/>
        <v>08641790152</v>
      </c>
      <c r="D6080" t="str">
        <f t="shared" si="513"/>
        <v>08641790152</v>
      </c>
      <c r="E6080" t="s">
        <v>52</v>
      </c>
      <c r="F6080">
        <v>2014</v>
      </c>
      <c r="G6080">
        <v>246203</v>
      </c>
      <c r="H6080" s="1">
        <v>41985</v>
      </c>
      <c r="I6080" s="1">
        <v>42004</v>
      </c>
      <c r="J6080" s="1">
        <v>42004</v>
      </c>
      <c r="K6080" s="1">
        <v>42064</v>
      </c>
      <c r="N6080" s="5"/>
      <c r="O6080">
        <v>267.18</v>
      </c>
      <c r="P6080">
        <v>213</v>
      </c>
      <c r="Q6080" s="2">
        <v>56909.34</v>
      </c>
      <c r="R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 s="1">
        <v>42382</v>
      </c>
      <c r="AC6080" t="s">
        <v>53</v>
      </c>
      <c r="AD6080" t="s">
        <v>53</v>
      </c>
      <c r="AK6080">
        <v>0</v>
      </c>
      <c r="AU6080" s="6">
        <v>42277</v>
      </c>
      <c r="AV6080" s="6">
        <v>42277</v>
      </c>
      <c r="AW6080" t="s">
        <v>54</v>
      </c>
      <c r="AX6080" t="str">
        <f t="shared" si="510"/>
        <v>FOR</v>
      </c>
      <c r="AY6080" t="s">
        <v>55</v>
      </c>
    </row>
    <row r="6081" spans="1:51" hidden="1">
      <c r="A6081">
        <v>104009</v>
      </c>
      <c r="B6081" t="s">
        <v>1167</v>
      </c>
      <c r="C6081" t="str">
        <f t="shared" si="513"/>
        <v>08641790152</v>
      </c>
      <c r="D6081" t="str">
        <f t="shared" si="513"/>
        <v>08641790152</v>
      </c>
      <c r="E6081" t="s">
        <v>52</v>
      </c>
      <c r="F6081">
        <v>2014</v>
      </c>
      <c r="G6081">
        <v>246706</v>
      </c>
      <c r="H6081" s="1">
        <v>41988</v>
      </c>
      <c r="I6081" s="1">
        <v>42004</v>
      </c>
      <c r="J6081" s="1">
        <v>42004</v>
      </c>
      <c r="K6081" s="1">
        <v>42064</v>
      </c>
      <c r="N6081" s="5"/>
      <c r="O6081">
        <v>341.6</v>
      </c>
      <c r="P6081">
        <v>213</v>
      </c>
      <c r="Q6081" s="2">
        <v>72760.800000000003</v>
      </c>
      <c r="R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 s="1">
        <v>42382</v>
      </c>
      <c r="AC6081" t="s">
        <v>53</v>
      </c>
      <c r="AD6081" t="s">
        <v>53</v>
      </c>
      <c r="AK6081">
        <v>0</v>
      </c>
      <c r="AU6081" s="6">
        <v>42277</v>
      </c>
      <c r="AV6081" s="6">
        <v>42277</v>
      </c>
      <c r="AW6081" t="s">
        <v>54</v>
      </c>
      <c r="AX6081" t="str">
        <f t="shared" si="510"/>
        <v>FOR</v>
      </c>
      <c r="AY6081" t="s">
        <v>55</v>
      </c>
    </row>
    <row r="6082" spans="1:51" hidden="1">
      <c r="A6082">
        <v>104009</v>
      </c>
      <c r="B6082" t="s">
        <v>1167</v>
      </c>
      <c r="C6082" t="str">
        <f t="shared" si="513"/>
        <v>08641790152</v>
      </c>
      <c r="D6082" t="str">
        <f t="shared" si="513"/>
        <v>08641790152</v>
      </c>
      <c r="E6082" t="s">
        <v>52</v>
      </c>
      <c r="F6082">
        <v>2014</v>
      </c>
      <c r="G6082">
        <v>249412</v>
      </c>
      <c r="H6082" s="1">
        <v>41995</v>
      </c>
      <c r="I6082" s="1">
        <v>42004</v>
      </c>
      <c r="J6082" s="1">
        <v>42004</v>
      </c>
      <c r="K6082" s="1">
        <v>42064</v>
      </c>
      <c r="N6082" s="5"/>
      <c r="O6082">
        <v>85.4</v>
      </c>
      <c r="P6082">
        <v>213</v>
      </c>
      <c r="Q6082" s="2">
        <v>18190.2</v>
      </c>
      <c r="R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 s="1">
        <v>42382</v>
      </c>
      <c r="AC6082" t="s">
        <v>53</v>
      </c>
      <c r="AD6082" t="s">
        <v>53</v>
      </c>
      <c r="AK6082">
        <v>0</v>
      </c>
      <c r="AU6082" s="6">
        <v>42277</v>
      </c>
      <c r="AV6082" s="6">
        <v>42277</v>
      </c>
      <c r="AW6082" t="s">
        <v>54</v>
      </c>
      <c r="AX6082" t="str">
        <f t="shared" si="510"/>
        <v>FOR</v>
      </c>
      <c r="AY6082" t="s">
        <v>55</v>
      </c>
    </row>
    <row r="6083" spans="1:51" hidden="1">
      <c r="A6083">
        <v>104009</v>
      </c>
      <c r="B6083" t="s">
        <v>1167</v>
      </c>
      <c r="C6083" t="str">
        <f t="shared" si="513"/>
        <v>08641790152</v>
      </c>
      <c r="D6083" t="str">
        <f t="shared" si="513"/>
        <v>08641790152</v>
      </c>
      <c r="E6083" t="s">
        <v>52</v>
      </c>
      <c r="F6083">
        <v>2014</v>
      </c>
      <c r="G6083">
        <v>250290</v>
      </c>
      <c r="H6083" s="1">
        <v>41996</v>
      </c>
      <c r="I6083" s="1">
        <v>42018</v>
      </c>
      <c r="J6083" s="1">
        <v>42018</v>
      </c>
      <c r="K6083" s="1">
        <v>42078</v>
      </c>
      <c r="N6083" s="5"/>
      <c r="O6083">
        <v>610</v>
      </c>
      <c r="P6083">
        <v>199</v>
      </c>
      <c r="Q6083" s="2">
        <v>121390</v>
      </c>
      <c r="R6083">
        <v>0</v>
      </c>
      <c r="V6083">
        <v>0</v>
      </c>
      <c r="W6083">
        <v>0</v>
      </c>
      <c r="X6083">
        <v>0</v>
      </c>
      <c r="Y6083">
        <v>0</v>
      </c>
      <c r="Z6083">
        <v>610</v>
      </c>
      <c r="AA6083">
        <v>0</v>
      </c>
      <c r="AB6083" s="1">
        <v>42382</v>
      </c>
      <c r="AC6083" t="s">
        <v>53</v>
      </c>
      <c r="AD6083" t="s">
        <v>53</v>
      </c>
      <c r="AK6083">
        <v>0</v>
      </c>
      <c r="AU6083" s="6">
        <v>42277</v>
      </c>
      <c r="AV6083" s="6">
        <v>42277</v>
      </c>
      <c r="AW6083" t="s">
        <v>54</v>
      </c>
      <c r="AX6083" t="str">
        <f t="shared" ref="AX6083:AX6146" si="514">"FOR"</f>
        <v>FOR</v>
      </c>
      <c r="AY6083" t="s">
        <v>55</v>
      </c>
    </row>
    <row r="6084" spans="1:51" hidden="1">
      <c r="A6084">
        <v>104009</v>
      </c>
      <c r="B6084" t="s">
        <v>1167</v>
      </c>
      <c r="C6084" t="str">
        <f t="shared" si="513"/>
        <v>08641790152</v>
      </c>
      <c r="D6084" t="str">
        <f t="shared" si="513"/>
        <v>08641790152</v>
      </c>
      <c r="E6084" t="s">
        <v>52</v>
      </c>
      <c r="F6084">
        <v>2014</v>
      </c>
      <c r="G6084">
        <v>250492</v>
      </c>
      <c r="H6084" s="1">
        <v>41996</v>
      </c>
      <c r="I6084" s="1">
        <v>42018</v>
      </c>
      <c r="J6084" s="1">
        <v>42018</v>
      </c>
      <c r="K6084" s="1">
        <v>42078</v>
      </c>
      <c r="N6084" s="5"/>
      <c r="O6084">
        <v>844.24</v>
      </c>
      <c r="P6084">
        <v>199</v>
      </c>
      <c r="Q6084" s="2">
        <v>168003.76</v>
      </c>
      <c r="R6084">
        <v>0</v>
      </c>
      <c r="V6084">
        <v>0</v>
      </c>
      <c r="W6084">
        <v>0</v>
      </c>
      <c r="X6084">
        <v>0</v>
      </c>
      <c r="Y6084">
        <v>0</v>
      </c>
      <c r="Z6084">
        <v>844.24</v>
      </c>
      <c r="AA6084">
        <v>0</v>
      </c>
      <c r="AB6084" s="1">
        <v>42382</v>
      </c>
      <c r="AC6084" t="s">
        <v>53</v>
      </c>
      <c r="AD6084" t="s">
        <v>53</v>
      </c>
      <c r="AK6084">
        <v>0</v>
      </c>
      <c r="AU6084" s="6">
        <v>42277</v>
      </c>
      <c r="AV6084" s="6">
        <v>42277</v>
      </c>
      <c r="AW6084" t="s">
        <v>54</v>
      </c>
      <c r="AX6084" t="str">
        <f t="shared" si="514"/>
        <v>FOR</v>
      </c>
      <c r="AY6084" t="s">
        <v>55</v>
      </c>
    </row>
    <row r="6085" spans="1:51" hidden="1">
      <c r="A6085">
        <v>104009</v>
      </c>
      <c r="B6085" t="s">
        <v>1167</v>
      </c>
      <c r="C6085" t="str">
        <f t="shared" ref="C6085:D6104" si="515">"08641790152"</f>
        <v>08641790152</v>
      </c>
      <c r="D6085" t="str">
        <f t="shared" si="515"/>
        <v>08641790152</v>
      </c>
      <c r="E6085" t="s">
        <v>52</v>
      </c>
      <c r="F6085">
        <v>2014</v>
      </c>
      <c r="G6085" t="s">
        <v>1168</v>
      </c>
      <c r="H6085" s="1">
        <v>41992</v>
      </c>
      <c r="I6085" s="1">
        <v>42004</v>
      </c>
      <c r="J6085" s="1">
        <v>42004</v>
      </c>
      <c r="K6085" s="1">
        <v>42064</v>
      </c>
      <c r="N6085" s="5"/>
      <c r="O6085">
        <v>790.56</v>
      </c>
      <c r="P6085">
        <v>59</v>
      </c>
      <c r="Q6085" s="2">
        <v>46643.040000000001</v>
      </c>
      <c r="R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 s="1">
        <v>42382</v>
      </c>
      <c r="AC6085" t="s">
        <v>53</v>
      </c>
      <c r="AD6085" t="s">
        <v>53</v>
      </c>
      <c r="AK6085">
        <v>0</v>
      </c>
      <c r="AU6085" s="6">
        <v>42123</v>
      </c>
      <c r="AV6085" s="6">
        <v>42123</v>
      </c>
      <c r="AW6085" t="s">
        <v>54</v>
      </c>
      <c r="AX6085" t="str">
        <f t="shared" si="514"/>
        <v>FOR</v>
      </c>
      <c r="AY6085" t="s">
        <v>55</v>
      </c>
    </row>
    <row r="6086" spans="1:51">
      <c r="A6086">
        <v>104009</v>
      </c>
      <c r="B6086" t="s">
        <v>1167</v>
      </c>
      <c r="C6086" t="str">
        <f t="shared" si="515"/>
        <v>08641790152</v>
      </c>
      <c r="D6086" t="str">
        <f t="shared" si="515"/>
        <v>08641790152</v>
      </c>
      <c r="E6086" t="s">
        <v>52</v>
      </c>
      <c r="F6086">
        <v>2015</v>
      </c>
      <c r="G6086">
        <v>1986</v>
      </c>
      <c r="H6086" s="1">
        <v>42013</v>
      </c>
      <c r="I6086" s="1">
        <v>42025</v>
      </c>
      <c r="J6086" s="1">
        <v>42025</v>
      </c>
      <c r="K6086" s="1">
        <v>42085</v>
      </c>
      <c r="L6086" s="7">
        <v>12000</v>
      </c>
      <c r="M6086" s="5">
        <v>215</v>
      </c>
      <c r="N6086" s="7">
        <v>2580000</v>
      </c>
      <c r="O6086" s="2">
        <v>12000</v>
      </c>
      <c r="P6086">
        <v>215</v>
      </c>
      <c r="Q6086" s="2">
        <v>2580000</v>
      </c>
      <c r="R6086">
        <v>0</v>
      </c>
      <c r="V6086">
        <v>0</v>
      </c>
      <c r="W6086">
        <v>0</v>
      </c>
      <c r="X6086">
        <v>0</v>
      </c>
      <c r="Y6086" s="2">
        <v>14640</v>
      </c>
      <c r="Z6086" s="2">
        <v>14640</v>
      </c>
      <c r="AA6086" s="2">
        <v>14640</v>
      </c>
      <c r="AB6086" s="1">
        <v>42382</v>
      </c>
      <c r="AC6086" t="s">
        <v>53</v>
      </c>
      <c r="AD6086" t="s">
        <v>53</v>
      </c>
      <c r="AK6086">
        <v>0</v>
      </c>
      <c r="AU6086" s="6">
        <v>42300</v>
      </c>
      <c r="AV6086" s="6">
        <v>42300</v>
      </c>
      <c r="AW6086" t="s">
        <v>54</v>
      </c>
      <c r="AX6086" t="str">
        <f t="shared" si="514"/>
        <v>FOR</v>
      </c>
      <c r="AY6086" t="s">
        <v>55</v>
      </c>
    </row>
    <row r="6087" spans="1:51">
      <c r="A6087">
        <v>104009</v>
      </c>
      <c r="B6087" t="s">
        <v>1167</v>
      </c>
      <c r="C6087" t="str">
        <f t="shared" si="515"/>
        <v>08641790152</v>
      </c>
      <c r="D6087" t="str">
        <f t="shared" si="515"/>
        <v>08641790152</v>
      </c>
      <c r="E6087" t="s">
        <v>52</v>
      </c>
      <c r="F6087">
        <v>2015</v>
      </c>
      <c r="G6087">
        <v>2041</v>
      </c>
      <c r="H6087" s="1">
        <v>42013</v>
      </c>
      <c r="I6087" s="1">
        <v>42025</v>
      </c>
      <c r="J6087" s="1">
        <v>42025</v>
      </c>
      <c r="K6087" s="1">
        <v>42085</v>
      </c>
      <c r="L6087" s="7">
        <v>2000</v>
      </c>
      <c r="M6087" s="5">
        <v>215</v>
      </c>
      <c r="N6087" s="7">
        <v>430000</v>
      </c>
      <c r="O6087" s="2">
        <v>2000</v>
      </c>
      <c r="P6087">
        <v>215</v>
      </c>
      <c r="Q6087" s="2">
        <v>430000</v>
      </c>
      <c r="R6087">
        <v>0</v>
      </c>
      <c r="V6087">
        <v>0</v>
      </c>
      <c r="W6087">
        <v>0</v>
      </c>
      <c r="X6087">
        <v>0</v>
      </c>
      <c r="Y6087" s="2">
        <v>2440</v>
      </c>
      <c r="Z6087" s="2">
        <v>2440</v>
      </c>
      <c r="AA6087" s="2">
        <v>2440</v>
      </c>
      <c r="AB6087" s="1">
        <v>42382</v>
      </c>
      <c r="AC6087" t="s">
        <v>53</v>
      </c>
      <c r="AD6087" t="s">
        <v>53</v>
      </c>
      <c r="AK6087">
        <v>0</v>
      </c>
      <c r="AU6087" s="6">
        <v>42300</v>
      </c>
      <c r="AV6087" s="6">
        <v>42300</v>
      </c>
      <c r="AW6087" t="s">
        <v>54</v>
      </c>
      <c r="AX6087" t="str">
        <f t="shared" si="514"/>
        <v>FOR</v>
      </c>
      <c r="AY6087" t="s">
        <v>55</v>
      </c>
    </row>
    <row r="6088" spans="1:51">
      <c r="A6088">
        <v>104009</v>
      </c>
      <c r="B6088" t="s">
        <v>1167</v>
      </c>
      <c r="C6088" t="str">
        <f t="shared" si="515"/>
        <v>08641790152</v>
      </c>
      <c r="D6088" t="str">
        <f t="shared" si="515"/>
        <v>08641790152</v>
      </c>
      <c r="E6088" t="s">
        <v>52</v>
      </c>
      <c r="F6088">
        <v>2015</v>
      </c>
      <c r="G6088">
        <v>4600</v>
      </c>
      <c r="H6088" s="1">
        <v>42020</v>
      </c>
      <c r="I6088" s="1">
        <v>42037</v>
      </c>
      <c r="J6088" s="1">
        <v>42037</v>
      </c>
      <c r="K6088" s="1">
        <v>42097</v>
      </c>
      <c r="L6088" s="7">
        <v>2232</v>
      </c>
      <c r="M6088" s="5">
        <v>203</v>
      </c>
      <c r="N6088" s="7">
        <v>453096</v>
      </c>
      <c r="O6088" s="2">
        <v>2232</v>
      </c>
      <c r="P6088">
        <v>203</v>
      </c>
      <c r="Q6088" s="2">
        <v>453096</v>
      </c>
      <c r="R6088">
        <v>0</v>
      </c>
      <c r="V6088">
        <v>0</v>
      </c>
      <c r="W6088">
        <v>0</v>
      </c>
      <c r="X6088">
        <v>0</v>
      </c>
      <c r="Y6088" s="2">
        <v>2723.04</v>
      </c>
      <c r="Z6088" s="2">
        <v>2723.04</v>
      </c>
      <c r="AA6088" s="2">
        <v>2723.04</v>
      </c>
      <c r="AB6088" s="1">
        <v>42382</v>
      </c>
      <c r="AC6088" t="s">
        <v>53</v>
      </c>
      <c r="AD6088" t="s">
        <v>53</v>
      </c>
      <c r="AK6088">
        <v>0</v>
      </c>
      <c r="AU6088" s="6">
        <v>42300</v>
      </c>
      <c r="AV6088" s="6">
        <v>42300</v>
      </c>
      <c r="AW6088" t="s">
        <v>54</v>
      </c>
      <c r="AX6088" t="str">
        <f t="shared" si="514"/>
        <v>FOR</v>
      </c>
      <c r="AY6088" t="s">
        <v>55</v>
      </c>
    </row>
    <row r="6089" spans="1:51">
      <c r="A6089">
        <v>104009</v>
      </c>
      <c r="B6089" t="s">
        <v>1167</v>
      </c>
      <c r="C6089" t="str">
        <f t="shared" si="515"/>
        <v>08641790152</v>
      </c>
      <c r="D6089" t="str">
        <f t="shared" si="515"/>
        <v>08641790152</v>
      </c>
      <c r="E6089" t="s">
        <v>52</v>
      </c>
      <c r="F6089">
        <v>2015</v>
      </c>
      <c r="G6089">
        <v>5483</v>
      </c>
      <c r="H6089" s="1">
        <v>42023</v>
      </c>
      <c r="I6089" s="1">
        <v>42044</v>
      </c>
      <c r="J6089" s="1">
        <v>42044</v>
      </c>
      <c r="K6089" s="1">
        <v>42104</v>
      </c>
      <c r="L6089" s="7">
        <v>7715</v>
      </c>
      <c r="M6089" s="5">
        <v>196</v>
      </c>
      <c r="N6089" s="7">
        <v>1512140</v>
      </c>
      <c r="O6089" s="2">
        <v>7715</v>
      </c>
      <c r="P6089">
        <v>196</v>
      </c>
      <c r="Q6089" s="2">
        <v>1512140</v>
      </c>
      <c r="R6089">
        <v>0</v>
      </c>
      <c r="V6089">
        <v>0</v>
      </c>
      <c r="W6089">
        <v>0</v>
      </c>
      <c r="X6089">
        <v>0</v>
      </c>
      <c r="Y6089" s="2">
        <v>9412.2999999999993</v>
      </c>
      <c r="Z6089" s="2">
        <v>9412.2999999999993</v>
      </c>
      <c r="AA6089" s="2">
        <v>9412.2999999999993</v>
      </c>
      <c r="AB6089" s="1">
        <v>42382</v>
      </c>
      <c r="AC6089" t="s">
        <v>53</v>
      </c>
      <c r="AD6089" t="s">
        <v>53</v>
      </c>
      <c r="AK6089">
        <v>0</v>
      </c>
      <c r="AU6089" s="6">
        <v>42300</v>
      </c>
      <c r="AV6089" s="6">
        <v>42300</v>
      </c>
      <c r="AW6089" t="s">
        <v>54</v>
      </c>
      <c r="AX6089" t="str">
        <f t="shared" si="514"/>
        <v>FOR</v>
      </c>
      <c r="AY6089" t="s">
        <v>55</v>
      </c>
    </row>
    <row r="6090" spans="1:51">
      <c r="A6090">
        <v>104009</v>
      </c>
      <c r="B6090" t="s">
        <v>1167</v>
      </c>
      <c r="C6090" t="str">
        <f t="shared" si="515"/>
        <v>08641790152</v>
      </c>
      <c r="D6090" t="str">
        <f t="shared" si="515"/>
        <v>08641790152</v>
      </c>
      <c r="E6090" t="s">
        <v>52</v>
      </c>
      <c r="F6090">
        <v>2015</v>
      </c>
      <c r="G6090">
        <v>6897</v>
      </c>
      <c r="H6090" s="1">
        <v>42025</v>
      </c>
      <c r="I6090" s="1">
        <v>42047</v>
      </c>
      <c r="J6090" s="1">
        <v>42047</v>
      </c>
      <c r="K6090" s="1">
        <v>42107</v>
      </c>
      <c r="L6090" s="7">
        <v>5610</v>
      </c>
      <c r="M6090" s="5">
        <v>193</v>
      </c>
      <c r="N6090" s="7">
        <v>1082730</v>
      </c>
      <c r="O6090" s="2">
        <v>5610</v>
      </c>
      <c r="P6090">
        <v>193</v>
      </c>
      <c r="Q6090" s="2">
        <v>1082730</v>
      </c>
      <c r="R6090">
        <v>0</v>
      </c>
      <c r="V6090">
        <v>0</v>
      </c>
      <c r="W6090">
        <v>0</v>
      </c>
      <c r="X6090">
        <v>0</v>
      </c>
      <c r="Y6090" s="2">
        <v>6844.2</v>
      </c>
      <c r="Z6090" s="2">
        <v>6844.2</v>
      </c>
      <c r="AA6090" s="2">
        <v>6844.2</v>
      </c>
      <c r="AB6090" s="1">
        <v>42382</v>
      </c>
      <c r="AC6090" t="s">
        <v>53</v>
      </c>
      <c r="AD6090" t="s">
        <v>53</v>
      </c>
      <c r="AK6090">
        <v>0</v>
      </c>
      <c r="AU6090" s="6">
        <v>42300</v>
      </c>
      <c r="AV6090" s="6">
        <v>42300</v>
      </c>
      <c r="AW6090" t="s">
        <v>54</v>
      </c>
      <c r="AX6090" t="str">
        <f t="shared" si="514"/>
        <v>FOR</v>
      </c>
      <c r="AY6090" t="s">
        <v>55</v>
      </c>
    </row>
    <row r="6091" spans="1:51">
      <c r="A6091">
        <v>104009</v>
      </c>
      <c r="B6091" t="s">
        <v>1167</v>
      </c>
      <c r="C6091" t="str">
        <f t="shared" si="515"/>
        <v>08641790152</v>
      </c>
      <c r="D6091" t="str">
        <f t="shared" si="515"/>
        <v>08641790152</v>
      </c>
      <c r="E6091" t="s">
        <v>52</v>
      </c>
      <c r="F6091">
        <v>2015</v>
      </c>
      <c r="G6091">
        <v>8027</v>
      </c>
      <c r="H6091" s="1">
        <v>42026</v>
      </c>
      <c r="I6091" s="1">
        <v>42044</v>
      </c>
      <c r="J6091" s="1">
        <v>42044</v>
      </c>
      <c r="K6091" s="1">
        <v>42104</v>
      </c>
      <c r="L6091" s="7">
        <v>230.4</v>
      </c>
      <c r="M6091" s="5">
        <v>196</v>
      </c>
      <c r="N6091" s="7">
        <v>45158.400000000001</v>
      </c>
      <c r="O6091">
        <v>230.4</v>
      </c>
      <c r="P6091">
        <v>196</v>
      </c>
      <c r="Q6091" s="2">
        <v>45158.400000000001</v>
      </c>
      <c r="R6091">
        <v>0</v>
      </c>
      <c r="V6091">
        <v>0</v>
      </c>
      <c r="W6091">
        <v>0</v>
      </c>
      <c r="X6091">
        <v>0</v>
      </c>
      <c r="Y6091">
        <v>281.08999999999997</v>
      </c>
      <c r="Z6091">
        <v>281.08999999999997</v>
      </c>
      <c r="AA6091">
        <v>281.08999999999997</v>
      </c>
      <c r="AB6091" s="1">
        <v>42382</v>
      </c>
      <c r="AC6091" t="s">
        <v>53</v>
      </c>
      <c r="AD6091" t="s">
        <v>53</v>
      </c>
      <c r="AK6091">
        <v>0</v>
      </c>
      <c r="AU6091" s="6">
        <v>42300</v>
      </c>
      <c r="AV6091" s="6">
        <v>42300</v>
      </c>
      <c r="AW6091" t="s">
        <v>54</v>
      </c>
      <c r="AX6091" t="str">
        <f t="shared" si="514"/>
        <v>FOR</v>
      </c>
      <c r="AY6091" t="s">
        <v>55</v>
      </c>
    </row>
    <row r="6092" spans="1:51">
      <c r="A6092">
        <v>104009</v>
      </c>
      <c r="B6092" t="s">
        <v>1167</v>
      </c>
      <c r="C6092" t="str">
        <f t="shared" si="515"/>
        <v>08641790152</v>
      </c>
      <c r="D6092" t="str">
        <f t="shared" si="515"/>
        <v>08641790152</v>
      </c>
      <c r="E6092" t="s">
        <v>52</v>
      </c>
      <c r="F6092">
        <v>2015</v>
      </c>
      <c r="G6092">
        <v>8053</v>
      </c>
      <c r="H6092" s="1">
        <v>42026</v>
      </c>
      <c r="I6092" s="1">
        <v>42044</v>
      </c>
      <c r="J6092" s="1">
        <v>42044</v>
      </c>
      <c r="K6092" s="1">
        <v>42104</v>
      </c>
      <c r="L6092" s="7">
        <v>107.52</v>
      </c>
      <c r="M6092" s="5">
        <v>196</v>
      </c>
      <c r="N6092" s="7">
        <v>21073.919999999998</v>
      </c>
      <c r="O6092">
        <v>107.52</v>
      </c>
      <c r="P6092">
        <v>196</v>
      </c>
      <c r="Q6092" s="2">
        <v>21073.919999999998</v>
      </c>
      <c r="R6092">
        <v>0</v>
      </c>
      <c r="V6092">
        <v>0</v>
      </c>
      <c r="W6092">
        <v>0</v>
      </c>
      <c r="X6092">
        <v>0</v>
      </c>
      <c r="Y6092">
        <v>131.16999999999999</v>
      </c>
      <c r="Z6092">
        <v>131.16999999999999</v>
      </c>
      <c r="AA6092">
        <v>131.16999999999999</v>
      </c>
      <c r="AB6092" s="1">
        <v>42382</v>
      </c>
      <c r="AC6092" t="s">
        <v>53</v>
      </c>
      <c r="AD6092" t="s">
        <v>53</v>
      </c>
      <c r="AK6092">
        <v>0</v>
      </c>
      <c r="AU6092" s="6">
        <v>42300</v>
      </c>
      <c r="AV6092" s="6">
        <v>42300</v>
      </c>
      <c r="AW6092" t="s">
        <v>54</v>
      </c>
      <c r="AX6092" t="str">
        <f t="shared" si="514"/>
        <v>FOR</v>
      </c>
      <c r="AY6092" t="s">
        <v>55</v>
      </c>
    </row>
    <row r="6093" spans="1:51">
      <c r="A6093">
        <v>104009</v>
      </c>
      <c r="B6093" t="s">
        <v>1167</v>
      </c>
      <c r="C6093" t="str">
        <f t="shared" si="515"/>
        <v>08641790152</v>
      </c>
      <c r="D6093" t="str">
        <f t="shared" si="515"/>
        <v>08641790152</v>
      </c>
      <c r="E6093" t="s">
        <v>52</v>
      </c>
      <c r="F6093">
        <v>2015</v>
      </c>
      <c r="G6093">
        <v>8258</v>
      </c>
      <c r="H6093" s="1">
        <v>42027</v>
      </c>
      <c r="I6093" s="1">
        <v>42041</v>
      </c>
      <c r="J6093" s="1">
        <v>42041</v>
      </c>
      <c r="K6093" s="1">
        <v>42101</v>
      </c>
      <c r="L6093" s="7">
        <v>490.32</v>
      </c>
      <c r="M6093" s="5">
        <v>199</v>
      </c>
      <c r="N6093" s="7">
        <v>97573.68</v>
      </c>
      <c r="O6093">
        <v>490.32</v>
      </c>
      <c r="P6093">
        <v>199</v>
      </c>
      <c r="Q6093" s="2">
        <v>97573.68</v>
      </c>
      <c r="R6093">
        <v>0</v>
      </c>
      <c r="V6093">
        <v>0</v>
      </c>
      <c r="W6093">
        <v>0</v>
      </c>
      <c r="X6093">
        <v>0</v>
      </c>
      <c r="Y6093">
        <v>598.19000000000005</v>
      </c>
      <c r="Z6093">
        <v>598.19000000000005</v>
      </c>
      <c r="AA6093">
        <v>598.19000000000005</v>
      </c>
      <c r="AB6093" s="1">
        <v>42382</v>
      </c>
      <c r="AC6093" t="s">
        <v>53</v>
      </c>
      <c r="AD6093" t="s">
        <v>53</v>
      </c>
      <c r="AK6093">
        <v>0</v>
      </c>
      <c r="AU6093" s="6">
        <v>42300</v>
      </c>
      <c r="AV6093" s="6">
        <v>42300</v>
      </c>
      <c r="AW6093" t="s">
        <v>54</v>
      </c>
      <c r="AX6093" t="str">
        <f t="shared" si="514"/>
        <v>FOR</v>
      </c>
      <c r="AY6093" t="s">
        <v>55</v>
      </c>
    </row>
    <row r="6094" spans="1:51">
      <c r="A6094">
        <v>104009</v>
      </c>
      <c r="B6094" t="s">
        <v>1167</v>
      </c>
      <c r="C6094" t="str">
        <f t="shared" si="515"/>
        <v>08641790152</v>
      </c>
      <c r="D6094" t="str">
        <f t="shared" si="515"/>
        <v>08641790152</v>
      </c>
      <c r="E6094" t="s">
        <v>52</v>
      </c>
      <c r="F6094">
        <v>2015</v>
      </c>
      <c r="G6094">
        <v>8405</v>
      </c>
      <c r="H6094" s="1">
        <v>42027</v>
      </c>
      <c r="I6094" s="1">
        <v>42041</v>
      </c>
      <c r="J6094" s="1">
        <v>42041</v>
      </c>
      <c r="K6094" s="1">
        <v>42101</v>
      </c>
      <c r="L6094" s="7">
        <v>704</v>
      </c>
      <c r="M6094" s="5">
        <v>199</v>
      </c>
      <c r="N6094" s="7">
        <v>140096</v>
      </c>
      <c r="O6094">
        <v>704</v>
      </c>
      <c r="P6094">
        <v>199</v>
      </c>
      <c r="Q6094" s="2">
        <v>140096</v>
      </c>
      <c r="R6094">
        <v>0</v>
      </c>
      <c r="V6094">
        <v>0</v>
      </c>
      <c r="W6094">
        <v>0</v>
      </c>
      <c r="X6094">
        <v>0</v>
      </c>
      <c r="Y6094">
        <v>858.88</v>
      </c>
      <c r="Z6094">
        <v>858.88</v>
      </c>
      <c r="AA6094">
        <v>858.88</v>
      </c>
      <c r="AB6094" s="1">
        <v>42382</v>
      </c>
      <c r="AC6094" t="s">
        <v>53</v>
      </c>
      <c r="AD6094" t="s">
        <v>53</v>
      </c>
      <c r="AK6094">
        <v>0</v>
      </c>
      <c r="AU6094" s="6">
        <v>42300</v>
      </c>
      <c r="AV6094" s="6">
        <v>42300</v>
      </c>
      <c r="AW6094" t="s">
        <v>54</v>
      </c>
      <c r="AX6094" t="str">
        <f t="shared" si="514"/>
        <v>FOR</v>
      </c>
      <c r="AY6094" t="s">
        <v>55</v>
      </c>
    </row>
    <row r="6095" spans="1:51">
      <c r="A6095">
        <v>104009</v>
      </c>
      <c r="B6095" t="s">
        <v>1167</v>
      </c>
      <c r="C6095" t="str">
        <f t="shared" si="515"/>
        <v>08641790152</v>
      </c>
      <c r="D6095" t="str">
        <f t="shared" si="515"/>
        <v>08641790152</v>
      </c>
      <c r="E6095" t="s">
        <v>52</v>
      </c>
      <c r="F6095">
        <v>2015</v>
      </c>
      <c r="G6095">
        <v>8427</v>
      </c>
      <c r="H6095" s="1">
        <v>42027</v>
      </c>
      <c r="I6095" s="1">
        <v>42041</v>
      </c>
      <c r="J6095" s="1">
        <v>42041</v>
      </c>
      <c r="K6095" s="1">
        <v>42101</v>
      </c>
      <c r="L6095" s="7">
        <v>888</v>
      </c>
      <c r="M6095" s="5">
        <v>199</v>
      </c>
      <c r="N6095" s="7">
        <v>176712</v>
      </c>
      <c r="O6095">
        <v>888</v>
      </c>
      <c r="P6095">
        <v>199</v>
      </c>
      <c r="Q6095" s="2">
        <v>176712</v>
      </c>
      <c r="R6095">
        <v>0</v>
      </c>
      <c r="V6095">
        <v>0</v>
      </c>
      <c r="W6095">
        <v>0</v>
      </c>
      <c r="X6095">
        <v>0</v>
      </c>
      <c r="Y6095" s="2">
        <v>1083.3599999999999</v>
      </c>
      <c r="Z6095" s="2">
        <v>1083.3599999999999</v>
      </c>
      <c r="AA6095" s="2">
        <v>1083.3599999999999</v>
      </c>
      <c r="AB6095" s="1">
        <v>42382</v>
      </c>
      <c r="AC6095" t="s">
        <v>53</v>
      </c>
      <c r="AD6095" t="s">
        <v>53</v>
      </c>
      <c r="AK6095">
        <v>0</v>
      </c>
      <c r="AU6095" s="6">
        <v>42300</v>
      </c>
      <c r="AV6095" s="6">
        <v>42300</v>
      </c>
      <c r="AW6095" t="s">
        <v>54</v>
      </c>
      <c r="AX6095" t="str">
        <f t="shared" si="514"/>
        <v>FOR</v>
      </c>
      <c r="AY6095" t="s">
        <v>55</v>
      </c>
    </row>
    <row r="6096" spans="1:51">
      <c r="A6096">
        <v>104009</v>
      </c>
      <c r="B6096" t="s">
        <v>1167</v>
      </c>
      <c r="C6096" t="str">
        <f t="shared" si="515"/>
        <v>08641790152</v>
      </c>
      <c r="D6096" t="str">
        <f t="shared" si="515"/>
        <v>08641790152</v>
      </c>
      <c r="E6096" t="s">
        <v>52</v>
      </c>
      <c r="F6096">
        <v>2015</v>
      </c>
      <c r="G6096">
        <v>8446</v>
      </c>
      <c r="H6096" s="1">
        <v>42027</v>
      </c>
      <c r="I6096" s="1">
        <v>42041</v>
      </c>
      <c r="J6096" s="1">
        <v>42041</v>
      </c>
      <c r="K6096" s="1">
        <v>42101</v>
      </c>
      <c r="L6096" s="7">
        <v>1450</v>
      </c>
      <c r="M6096" s="5">
        <v>199</v>
      </c>
      <c r="N6096" s="7">
        <v>288550</v>
      </c>
      <c r="O6096" s="2">
        <v>1450</v>
      </c>
      <c r="P6096">
        <v>199</v>
      </c>
      <c r="Q6096" s="2">
        <v>288550</v>
      </c>
      <c r="R6096">
        <v>0</v>
      </c>
      <c r="V6096">
        <v>0</v>
      </c>
      <c r="W6096">
        <v>0</v>
      </c>
      <c r="X6096">
        <v>0</v>
      </c>
      <c r="Y6096" s="2">
        <v>1508</v>
      </c>
      <c r="Z6096" s="2">
        <v>1508</v>
      </c>
      <c r="AA6096" s="2">
        <v>1508</v>
      </c>
      <c r="AB6096" s="1">
        <v>42382</v>
      </c>
      <c r="AC6096" t="s">
        <v>53</v>
      </c>
      <c r="AD6096" t="s">
        <v>53</v>
      </c>
      <c r="AK6096">
        <v>0</v>
      </c>
      <c r="AU6096" s="6">
        <v>42300</v>
      </c>
      <c r="AV6096" s="6">
        <v>42300</v>
      </c>
      <c r="AW6096" t="s">
        <v>54</v>
      </c>
      <c r="AX6096" t="str">
        <f t="shared" si="514"/>
        <v>FOR</v>
      </c>
      <c r="AY6096" t="s">
        <v>55</v>
      </c>
    </row>
    <row r="6097" spans="1:51">
      <c r="A6097">
        <v>104009</v>
      </c>
      <c r="B6097" t="s">
        <v>1167</v>
      </c>
      <c r="C6097" t="str">
        <f t="shared" si="515"/>
        <v>08641790152</v>
      </c>
      <c r="D6097" t="str">
        <f t="shared" si="515"/>
        <v>08641790152</v>
      </c>
      <c r="E6097" t="s">
        <v>52</v>
      </c>
      <c r="F6097">
        <v>2015</v>
      </c>
      <c r="G6097">
        <v>8956</v>
      </c>
      <c r="H6097" s="1">
        <v>42027</v>
      </c>
      <c r="I6097" s="1">
        <v>42041</v>
      </c>
      <c r="J6097" s="1">
        <v>42041</v>
      </c>
      <c r="K6097" s="1">
        <v>42101</v>
      </c>
      <c r="L6097" s="7">
        <v>1701.6</v>
      </c>
      <c r="M6097" s="5">
        <v>199</v>
      </c>
      <c r="N6097" s="7">
        <v>338618.4</v>
      </c>
      <c r="O6097" s="2">
        <v>1701.6</v>
      </c>
      <c r="P6097">
        <v>199</v>
      </c>
      <c r="Q6097" s="2">
        <v>338618.4</v>
      </c>
      <c r="R6097">
        <v>0</v>
      </c>
      <c r="V6097">
        <v>0</v>
      </c>
      <c r="W6097">
        <v>0</v>
      </c>
      <c r="X6097">
        <v>0</v>
      </c>
      <c r="Y6097" s="2">
        <v>2075.9499999999998</v>
      </c>
      <c r="Z6097" s="2">
        <v>2075.9499999999998</v>
      </c>
      <c r="AA6097" s="2">
        <v>2075.9499999999998</v>
      </c>
      <c r="AB6097" s="1">
        <v>42382</v>
      </c>
      <c r="AC6097" t="s">
        <v>53</v>
      </c>
      <c r="AD6097" t="s">
        <v>53</v>
      </c>
      <c r="AK6097">
        <v>0</v>
      </c>
      <c r="AU6097" s="6">
        <v>42300</v>
      </c>
      <c r="AV6097" s="6">
        <v>42300</v>
      </c>
      <c r="AW6097" t="s">
        <v>54</v>
      </c>
      <c r="AX6097" t="str">
        <f t="shared" si="514"/>
        <v>FOR</v>
      </c>
      <c r="AY6097" t="s">
        <v>55</v>
      </c>
    </row>
    <row r="6098" spans="1:51">
      <c r="A6098">
        <v>104009</v>
      </c>
      <c r="B6098" t="s">
        <v>1167</v>
      </c>
      <c r="C6098" t="str">
        <f t="shared" si="515"/>
        <v>08641790152</v>
      </c>
      <c r="D6098" t="str">
        <f t="shared" si="515"/>
        <v>08641790152</v>
      </c>
      <c r="E6098" t="s">
        <v>52</v>
      </c>
      <c r="F6098">
        <v>2015</v>
      </c>
      <c r="G6098">
        <v>9066</v>
      </c>
      <c r="H6098" s="1">
        <v>42030</v>
      </c>
      <c r="I6098" s="1">
        <v>42044</v>
      </c>
      <c r="J6098" s="1">
        <v>42044</v>
      </c>
      <c r="K6098" s="1">
        <v>42104</v>
      </c>
      <c r="L6098" s="7">
        <v>111</v>
      </c>
      <c r="M6098" s="5">
        <v>196</v>
      </c>
      <c r="N6098" s="7">
        <v>21756</v>
      </c>
      <c r="O6098">
        <v>111</v>
      </c>
      <c r="P6098">
        <v>196</v>
      </c>
      <c r="Q6098" s="2">
        <v>21756</v>
      </c>
      <c r="R6098">
        <v>0</v>
      </c>
      <c r="V6098">
        <v>0</v>
      </c>
      <c r="W6098">
        <v>0</v>
      </c>
      <c r="X6098">
        <v>0</v>
      </c>
      <c r="Y6098">
        <v>135.41999999999999</v>
      </c>
      <c r="Z6098">
        <v>135.41999999999999</v>
      </c>
      <c r="AA6098">
        <v>135.41999999999999</v>
      </c>
      <c r="AB6098" s="1">
        <v>42382</v>
      </c>
      <c r="AC6098" t="s">
        <v>53</v>
      </c>
      <c r="AD6098" t="s">
        <v>53</v>
      </c>
      <c r="AK6098">
        <v>0</v>
      </c>
      <c r="AU6098" s="6">
        <v>42300</v>
      </c>
      <c r="AV6098" s="6">
        <v>42300</v>
      </c>
      <c r="AW6098" t="s">
        <v>54</v>
      </c>
      <c r="AX6098" t="str">
        <f t="shared" si="514"/>
        <v>FOR</v>
      </c>
      <c r="AY6098" t="s">
        <v>55</v>
      </c>
    </row>
    <row r="6099" spans="1:51">
      <c r="A6099">
        <v>104009</v>
      </c>
      <c r="B6099" t="s">
        <v>1167</v>
      </c>
      <c r="C6099" t="str">
        <f t="shared" si="515"/>
        <v>08641790152</v>
      </c>
      <c r="D6099" t="str">
        <f t="shared" si="515"/>
        <v>08641790152</v>
      </c>
      <c r="E6099" t="s">
        <v>52</v>
      </c>
      <c r="F6099">
        <v>2015</v>
      </c>
      <c r="G6099">
        <v>9439</v>
      </c>
      <c r="H6099" s="1">
        <v>42030</v>
      </c>
      <c r="I6099" s="1">
        <v>42044</v>
      </c>
      <c r="J6099" s="1">
        <v>42044</v>
      </c>
      <c r="K6099" s="1">
        <v>42104</v>
      </c>
      <c r="L6099" s="7">
        <v>74</v>
      </c>
      <c r="M6099" s="5">
        <v>196</v>
      </c>
      <c r="N6099" s="7">
        <v>14504</v>
      </c>
      <c r="O6099">
        <v>74</v>
      </c>
      <c r="P6099">
        <v>196</v>
      </c>
      <c r="Q6099" s="2">
        <v>14504</v>
      </c>
      <c r="R6099">
        <v>0</v>
      </c>
      <c r="V6099">
        <v>0</v>
      </c>
      <c r="W6099">
        <v>0</v>
      </c>
      <c r="X6099">
        <v>0</v>
      </c>
      <c r="Y6099">
        <v>90.28</v>
      </c>
      <c r="Z6099">
        <v>90.28</v>
      </c>
      <c r="AA6099">
        <v>90.28</v>
      </c>
      <c r="AB6099" s="1">
        <v>42382</v>
      </c>
      <c r="AC6099" t="s">
        <v>53</v>
      </c>
      <c r="AD6099" t="s">
        <v>53</v>
      </c>
      <c r="AK6099">
        <v>0</v>
      </c>
      <c r="AU6099" s="6">
        <v>42300</v>
      </c>
      <c r="AV6099" s="6">
        <v>42300</v>
      </c>
      <c r="AW6099" t="s">
        <v>54</v>
      </c>
      <c r="AX6099" t="str">
        <f t="shared" si="514"/>
        <v>FOR</v>
      </c>
      <c r="AY6099" t="s">
        <v>55</v>
      </c>
    </row>
    <row r="6100" spans="1:51">
      <c r="A6100">
        <v>104009</v>
      </c>
      <c r="B6100" t="s">
        <v>1167</v>
      </c>
      <c r="C6100" t="str">
        <f t="shared" si="515"/>
        <v>08641790152</v>
      </c>
      <c r="D6100" t="str">
        <f t="shared" si="515"/>
        <v>08641790152</v>
      </c>
      <c r="E6100" t="s">
        <v>52</v>
      </c>
      <c r="F6100">
        <v>2015</v>
      </c>
      <c r="G6100">
        <v>9633</v>
      </c>
      <c r="H6100" s="1">
        <v>42031</v>
      </c>
      <c r="I6100" s="1">
        <v>42044</v>
      </c>
      <c r="J6100" s="1">
        <v>42044</v>
      </c>
      <c r="K6100" s="1">
        <v>42104</v>
      </c>
      <c r="L6100" s="7">
        <v>1423.8</v>
      </c>
      <c r="M6100" s="5">
        <v>196</v>
      </c>
      <c r="N6100" s="7">
        <v>279064.8</v>
      </c>
      <c r="O6100" s="2">
        <v>1423.8</v>
      </c>
      <c r="P6100">
        <v>196</v>
      </c>
      <c r="Q6100" s="2">
        <v>279064.8</v>
      </c>
      <c r="R6100">
        <v>0</v>
      </c>
      <c r="V6100">
        <v>0</v>
      </c>
      <c r="W6100">
        <v>0</v>
      </c>
      <c r="X6100">
        <v>0</v>
      </c>
      <c r="Y6100" s="2">
        <v>1737.03</v>
      </c>
      <c r="Z6100" s="2">
        <v>1737.03</v>
      </c>
      <c r="AA6100" s="2">
        <v>1737.03</v>
      </c>
      <c r="AB6100" s="1">
        <v>42382</v>
      </c>
      <c r="AC6100" t="s">
        <v>53</v>
      </c>
      <c r="AD6100" t="s">
        <v>53</v>
      </c>
      <c r="AK6100">
        <v>0</v>
      </c>
      <c r="AU6100" s="6">
        <v>42300</v>
      </c>
      <c r="AV6100" s="6">
        <v>42300</v>
      </c>
      <c r="AW6100" t="s">
        <v>54</v>
      </c>
      <c r="AX6100" t="str">
        <f t="shared" si="514"/>
        <v>FOR</v>
      </c>
      <c r="AY6100" t="s">
        <v>55</v>
      </c>
    </row>
    <row r="6101" spans="1:51">
      <c r="A6101">
        <v>104009</v>
      </c>
      <c r="B6101" t="s">
        <v>1167</v>
      </c>
      <c r="C6101" t="str">
        <f t="shared" si="515"/>
        <v>08641790152</v>
      </c>
      <c r="D6101" t="str">
        <f t="shared" si="515"/>
        <v>08641790152</v>
      </c>
      <c r="E6101" t="s">
        <v>52</v>
      </c>
      <c r="F6101">
        <v>2015</v>
      </c>
      <c r="G6101">
        <v>9860</v>
      </c>
      <c r="H6101" s="1">
        <v>42031</v>
      </c>
      <c r="I6101" s="1">
        <v>42044</v>
      </c>
      <c r="J6101" s="1">
        <v>42044</v>
      </c>
      <c r="K6101" s="1">
        <v>42104</v>
      </c>
      <c r="L6101" s="7">
        <v>5270</v>
      </c>
      <c r="M6101" s="5">
        <v>196</v>
      </c>
      <c r="N6101" s="7">
        <v>1032920</v>
      </c>
      <c r="O6101" s="2">
        <v>5270</v>
      </c>
      <c r="P6101">
        <v>196</v>
      </c>
      <c r="Q6101" s="2">
        <v>1032920</v>
      </c>
      <c r="R6101">
        <v>0</v>
      </c>
      <c r="V6101">
        <v>0</v>
      </c>
      <c r="W6101">
        <v>0</v>
      </c>
      <c r="X6101">
        <v>0</v>
      </c>
      <c r="Y6101" s="2">
        <v>6429.4</v>
      </c>
      <c r="Z6101" s="2">
        <v>6429.4</v>
      </c>
      <c r="AA6101" s="2">
        <v>6429.4</v>
      </c>
      <c r="AB6101" s="1">
        <v>42382</v>
      </c>
      <c r="AC6101" t="s">
        <v>53</v>
      </c>
      <c r="AD6101" t="s">
        <v>53</v>
      </c>
      <c r="AK6101">
        <v>0</v>
      </c>
      <c r="AU6101" s="6">
        <v>42300</v>
      </c>
      <c r="AV6101" s="6">
        <v>42300</v>
      </c>
      <c r="AW6101" t="s">
        <v>54</v>
      </c>
      <c r="AX6101" t="str">
        <f t="shared" si="514"/>
        <v>FOR</v>
      </c>
      <c r="AY6101" t="s">
        <v>55</v>
      </c>
    </row>
    <row r="6102" spans="1:51">
      <c r="A6102">
        <v>104009</v>
      </c>
      <c r="B6102" t="s">
        <v>1167</v>
      </c>
      <c r="C6102" t="str">
        <f t="shared" si="515"/>
        <v>08641790152</v>
      </c>
      <c r="D6102" t="str">
        <f t="shared" si="515"/>
        <v>08641790152</v>
      </c>
      <c r="E6102" t="s">
        <v>52</v>
      </c>
      <c r="F6102">
        <v>2015</v>
      </c>
      <c r="G6102">
        <v>11503</v>
      </c>
      <c r="H6102" s="1">
        <v>42034</v>
      </c>
      <c r="I6102" s="1">
        <v>42047</v>
      </c>
      <c r="J6102" s="1">
        <v>42047</v>
      </c>
      <c r="K6102" s="1">
        <v>42107</v>
      </c>
      <c r="L6102" s="7">
        <v>511</v>
      </c>
      <c r="M6102" s="5">
        <v>193</v>
      </c>
      <c r="N6102" s="7">
        <v>98623</v>
      </c>
      <c r="O6102">
        <v>511</v>
      </c>
      <c r="P6102">
        <v>193</v>
      </c>
      <c r="Q6102" s="2">
        <v>98623</v>
      </c>
      <c r="R6102">
        <v>0</v>
      </c>
      <c r="V6102">
        <v>0</v>
      </c>
      <c r="W6102">
        <v>0</v>
      </c>
      <c r="X6102">
        <v>0</v>
      </c>
      <c r="Y6102">
        <v>623.41999999999996</v>
      </c>
      <c r="Z6102">
        <v>623.41999999999996</v>
      </c>
      <c r="AA6102">
        <v>623.41999999999996</v>
      </c>
      <c r="AB6102" s="1">
        <v>42382</v>
      </c>
      <c r="AC6102" t="s">
        <v>53</v>
      </c>
      <c r="AD6102" t="s">
        <v>53</v>
      </c>
      <c r="AK6102">
        <v>0</v>
      </c>
      <c r="AU6102" s="6">
        <v>42300</v>
      </c>
      <c r="AV6102" s="6">
        <v>42300</v>
      </c>
      <c r="AW6102" t="s">
        <v>54</v>
      </c>
      <c r="AX6102" t="str">
        <f t="shared" si="514"/>
        <v>FOR</v>
      </c>
      <c r="AY6102" t="s">
        <v>55</v>
      </c>
    </row>
    <row r="6103" spans="1:51">
      <c r="A6103">
        <v>104009</v>
      </c>
      <c r="B6103" t="s">
        <v>1167</v>
      </c>
      <c r="C6103" t="str">
        <f t="shared" si="515"/>
        <v>08641790152</v>
      </c>
      <c r="D6103" t="str">
        <f t="shared" si="515"/>
        <v>08641790152</v>
      </c>
      <c r="E6103" t="s">
        <v>52</v>
      </c>
      <c r="F6103">
        <v>2015</v>
      </c>
      <c r="G6103">
        <v>11517</v>
      </c>
      <c r="H6103" s="1">
        <v>42034</v>
      </c>
      <c r="I6103" s="1">
        <v>42047</v>
      </c>
      <c r="J6103" s="1">
        <v>42047</v>
      </c>
      <c r="K6103" s="1">
        <v>42107</v>
      </c>
      <c r="L6103" s="7">
        <v>1392</v>
      </c>
      <c r="M6103" s="5">
        <v>193</v>
      </c>
      <c r="N6103" s="7">
        <v>268656</v>
      </c>
      <c r="O6103" s="2">
        <v>1392</v>
      </c>
      <c r="P6103">
        <v>193</v>
      </c>
      <c r="Q6103" s="2">
        <v>268656</v>
      </c>
      <c r="R6103">
        <v>0</v>
      </c>
      <c r="V6103">
        <v>0</v>
      </c>
      <c r="W6103">
        <v>0</v>
      </c>
      <c r="X6103">
        <v>0</v>
      </c>
      <c r="Y6103" s="2">
        <v>1698.24</v>
      </c>
      <c r="Z6103" s="2">
        <v>1698.24</v>
      </c>
      <c r="AA6103" s="2">
        <v>1698.24</v>
      </c>
      <c r="AB6103" s="1">
        <v>42382</v>
      </c>
      <c r="AC6103" t="s">
        <v>53</v>
      </c>
      <c r="AD6103" t="s">
        <v>53</v>
      </c>
      <c r="AK6103">
        <v>0</v>
      </c>
      <c r="AU6103" s="6">
        <v>42300</v>
      </c>
      <c r="AV6103" s="6">
        <v>42300</v>
      </c>
      <c r="AW6103" t="s">
        <v>54</v>
      </c>
      <c r="AX6103" t="str">
        <f t="shared" si="514"/>
        <v>FOR</v>
      </c>
      <c r="AY6103" t="s">
        <v>55</v>
      </c>
    </row>
    <row r="6104" spans="1:51">
      <c r="A6104">
        <v>104009</v>
      </c>
      <c r="B6104" t="s">
        <v>1167</v>
      </c>
      <c r="C6104" t="str">
        <f t="shared" si="515"/>
        <v>08641790152</v>
      </c>
      <c r="D6104" t="str">
        <f t="shared" si="515"/>
        <v>08641790152</v>
      </c>
      <c r="E6104" t="s">
        <v>52</v>
      </c>
      <c r="F6104">
        <v>2015</v>
      </c>
      <c r="G6104">
        <v>11525</v>
      </c>
      <c r="H6104" s="1">
        <v>42034</v>
      </c>
      <c r="I6104" s="1">
        <v>42047</v>
      </c>
      <c r="J6104" s="1">
        <v>42047</v>
      </c>
      <c r="K6104" s="1">
        <v>42107</v>
      </c>
      <c r="L6104" s="7">
        <v>1152</v>
      </c>
      <c r="M6104" s="5">
        <v>193</v>
      </c>
      <c r="N6104" s="7">
        <v>222336</v>
      </c>
      <c r="O6104" s="2">
        <v>1152</v>
      </c>
      <c r="P6104">
        <v>193</v>
      </c>
      <c r="Q6104" s="2">
        <v>222336</v>
      </c>
      <c r="R6104">
        <v>0</v>
      </c>
      <c r="V6104">
        <v>0</v>
      </c>
      <c r="W6104">
        <v>0</v>
      </c>
      <c r="X6104">
        <v>0</v>
      </c>
      <c r="Y6104" s="2">
        <v>1405.44</v>
      </c>
      <c r="Z6104" s="2">
        <v>1405.44</v>
      </c>
      <c r="AA6104" s="2">
        <v>1405.44</v>
      </c>
      <c r="AB6104" s="1">
        <v>42382</v>
      </c>
      <c r="AC6104" t="s">
        <v>53</v>
      </c>
      <c r="AD6104" t="s">
        <v>53</v>
      </c>
      <c r="AK6104">
        <v>0</v>
      </c>
      <c r="AU6104" s="6">
        <v>42300</v>
      </c>
      <c r="AV6104" s="6">
        <v>42300</v>
      </c>
      <c r="AW6104" t="s">
        <v>54</v>
      </c>
      <c r="AX6104" t="str">
        <f t="shared" si="514"/>
        <v>FOR</v>
      </c>
      <c r="AY6104" t="s">
        <v>55</v>
      </c>
    </row>
    <row r="6105" spans="1:51">
      <c r="A6105">
        <v>104009</v>
      </c>
      <c r="B6105" t="s">
        <v>1167</v>
      </c>
      <c r="C6105" t="str">
        <f t="shared" ref="C6105:D6124" si="516">"08641790152"</f>
        <v>08641790152</v>
      </c>
      <c r="D6105" t="str">
        <f t="shared" si="516"/>
        <v>08641790152</v>
      </c>
      <c r="E6105" t="s">
        <v>52</v>
      </c>
      <c r="F6105">
        <v>2015</v>
      </c>
      <c r="G6105">
        <v>11542</v>
      </c>
      <c r="H6105" s="1">
        <v>42034</v>
      </c>
      <c r="I6105" s="1">
        <v>42047</v>
      </c>
      <c r="J6105" s="1">
        <v>42047</v>
      </c>
      <c r="K6105" s="1">
        <v>42107</v>
      </c>
      <c r="L6105" s="7">
        <v>780</v>
      </c>
      <c r="M6105" s="5">
        <v>193</v>
      </c>
      <c r="N6105" s="7">
        <v>150540</v>
      </c>
      <c r="O6105">
        <v>780</v>
      </c>
      <c r="P6105">
        <v>193</v>
      </c>
      <c r="Q6105" s="2">
        <v>150540</v>
      </c>
      <c r="R6105">
        <v>0</v>
      </c>
      <c r="V6105">
        <v>0</v>
      </c>
      <c r="W6105">
        <v>0</v>
      </c>
      <c r="X6105">
        <v>0</v>
      </c>
      <c r="Y6105">
        <v>951.6</v>
      </c>
      <c r="Z6105">
        <v>951.6</v>
      </c>
      <c r="AA6105">
        <v>951.6</v>
      </c>
      <c r="AB6105" s="1">
        <v>42382</v>
      </c>
      <c r="AC6105" t="s">
        <v>53</v>
      </c>
      <c r="AD6105" t="s">
        <v>53</v>
      </c>
      <c r="AK6105">
        <v>0</v>
      </c>
      <c r="AU6105" s="6">
        <v>42300</v>
      </c>
      <c r="AV6105" s="6">
        <v>42300</v>
      </c>
      <c r="AW6105" t="s">
        <v>54</v>
      </c>
      <c r="AX6105" t="str">
        <f t="shared" si="514"/>
        <v>FOR</v>
      </c>
      <c r="AY6105" t="s">
        <v>55</v>
      </c>
    </row>
    <row r="6106" spans="1:51">
      <c r="A6106">
        <v>104009</v>
      </c>
      <c r="B6106" t="s">
        <v>1167</v>
      </c>
      <c r="C6106" t="str">
        <f t="shared" si="516"/>
        <v>08641790152</v>
      </c>
      <c r="D6106" t="str">
        <f t="shared" si="516"/>
        <v>08641790152</v>
      </c>
      <c r="E6106" t="s">
        <v>52</v>
      </c>
      <c r="F6106">
        <v>2015</v>
      </c>
      <c r="G6106">
        <v>11867</v>
      </c>
      <c r="H6106" s="1">
        <v>42034</v>
      </c>
      <c r="I6106" s="1">
        <v>42047</v>
      </c>
      <c r="J6106" s="1">
        <v>42047</v>
      </c>
      <c r="K6106" s="1">
        <v>42107</v>
      </c>
      <c r="L6106" s="7">
        <v>2029.26</v>
      </c>
      <c r="M6106" s="5">
        <v>193</v>
      </c>
      <c r="N6106" s="7">
        <v>391647.18</v>
      </c>
      <c r="O6106" s="2">
        <v>2029.26</v>
      </c>
      <c r="P6106">
        <v>193</v>
      </c>
      <c r="Q6106" s="2">
        <v>391647.18</v>
      </c>
      <c r="R6106">
        <v>0</v>
      </c>
      <c r="V6106">
        <v>0</v>
      </c>
      <c r="W6106">
        <v>0</v>
      </c>
      <c r="X6106">
        <v>0</v>
      </c>
      <c r="Y6106" s="2">
        <v>2475.6999999999998</v>
      </c>
      <c r="Z6106" s="2">
        <v>2475.6999999999998</v>
      </c>
      <c r="AA6106" s="2">
        <v>2475.6999999999998</v>
      </c>
      <c r="AB6106" s="1">
        <v>42382</v>
      </c>
      <c r="AC6106" t="s">
        <v>53</v>
      </c>
      <c r="AD6106" t="s">
        <v>53</v>
      </c>
      <c r="AK6106">
        <v>0</v>
      </c>
      <c r="AU6106" s="6">
        <v>42300</v>
      </c>
      <c r="AV6106" s="6">
        <v>42300</v>
      </c>
      <c r="AW6106" t="s">
        <v>54</v>
      </c>
      <c r="AX6106" t="str">
        <f t="shared" si="514"/>
        <v>FOR</v>
      </c>
      <c r="AY6106" t="s">
        <v>55</v>
      </c>
    </row>
    <row r="6107" spans="1:51">
      <c r="A6107">
        <v>104009</v>
      </c>
      <c r="B6107" t="s">
        <v>1167</v>
      </c>
      <c r="C6107" t="str">
        <f t="shared" si="516"/>
        <v>08641790152</v>
      </c>
      <c r="D6107" t="str">
        <f t="shared" si="516"/>
        <v>08641790152</v>
      </c>
      <c r="E6107" t="s">
        <v>52</v>
      </c>
      <c r="F6107">
        <v>2015</v>
      </c>
      <c r="G6107">
        <v>12086</v>
      </c>
      <c r="H6107" s="1">
        <v>42037</v>
      </c>
      <c r="I6107" s="1">
        <v>42047</v>
      </c>
      <c r="J6107" s="1">
        <v>42047</v>
      </c>
      <c r="K6107" s="1">
        <v>42107</v>
      </c>
      <c r="L6107" s="7">
        <v>595</v>
      </c>
      <c r="M6107" s="5">
        <v>233</v>
      </c>
      <c r="N6107" s="7">
        <v>138635</v>
      </c>
      <c r="O6107">
        <v>595</v>
      </c>
      <c r="P6107">
        <v>233</v>
      </c>
      <c r="Q6107" s="2">
        <v>138635</v>
      </c>
      <c r="R6107">
        <v>130.9</v>
      </c>
      <c r="V6107">
        <v>0</v>
      </c>
      <c r="W6107">
        <v>0</v>
      </c>
      <c r="X6107">
        <v>0</v>
      </c>
      <c r="Y6107">
        <v>725.9</v>
      </c>
      <c r="Z6107">
        <v>725.9</v>
      </c>
      <c r="AA6107">
        <v>725.9</v>
      </c>
      <c r="AB6107" s="1">
        <v>42382</v>
      </c>
      <c r="AC6107" t="s">
        <v>53</v>
      </c>
      <c r="AD6107" t="s">
        <v>53</v>
      </c>
      <c r="AK6107">
        <v>130.9</v>
      </c>
      <c r="AU6107" s="6">
        <v>42340</v>
      </c>
      <c r="AV6107" s="6">
        <v>42340</v>
      </c>
      <c r="AW6107" t="s">
        <v>54</v>
      </c>
      <c r="AX6107" t="str">
        <f t="shared" si="514"/>
        <v>FOR</v>
      </c>
      <c r="AY6107" t="s">
        <v>55</v>
      </c>
    </row>
    <row r="6108" spans="1:51">
      <c r="A6108">
        <v>104009</v>
      </c>
      <c r="B6108" t="s">
        <v>1167</v>
      </c>
      <c r="C6108" t="str">
        <f t="shared" si="516"/>
        <v>08641790152</v>
      </c>
      <c r="D6108" t="str">
        <f t="shared" si="516"/>
        <v>08641790152</v>
      </c>
      <c r="E6108" t="s">
        <v>52</v>
      </c>
      <c r="F6108">
        <v>2015</v>
      </c>
      <c r="G6108">
        <v>12198</v>
      </c>
      <c r="H6108" s="1">
        <v>42037</v>
      </c>
      <c r="I6108" s="1">
        <v>42047</v>
      </c>
      <c r="J6108" s="1">
        <v>42047</v>
      </c>
      <c r="K6108" s="1">
        <v>42107</v>
      </c>
      <c r="L6108" s="7">
        <v>7600</v>
      </c>
      <c r="M6108" s="5">
        <v>233</v>
      </c>
      <c r="N6108" s="7">
        <v>1770800</v>
      </c>
      <c r="O6108" s="2">
        <v>7600</v>
      </c>
      <c r="P6108">
        <v>233</v>
      </c>
      <c r="Q6108" s="2">
        <v>1770800</v>
      </c>
      <c r="R6108">
        <v>304</v>
      </c>
      <c r="V6108">
        <v>0</v>
      </c>
      <c r="W6108">
        <v>0</v>
      </c>
      <c r="X6108">
        <v>0</v>
      </c>
      <c r="Y6108" s="2">
        <v>7904</v>
      </c>
      <c r="Z6108" s="2">
        <v>7904</v>
      </c>
      <c r="AA6108" s="2">
        <v>7904</v>
      </c>
      <c r="AB6108" s="1">
        <v>42382</v>
      </c>
      <c r="AC6108" t="s">
        <v>53</v>
      </c>
      <c r="AD6108" t="s">
        <v>53</v>
      </c>
      <c r="AK6108">
        <v>304</v>
      </c>
      <c r="AU6108" s="6">
        <v>42340</v>
      </c>
      <c r="AV6108" s="6">
        <v>42340</v>
      </c>
      <c r="AW6108" t="s">
        <v>54</v>
      </c>
      <c r="AX6108" t="str">
        <f t="shared" si="514"/>
        <v>FOR</v>
      </c>
      <c r="AY6108" t="s">
        <v>55</v>
      </c>
    </row>
    <row r="6109" spans="1:51">
      <c r="A6109">
        <v>104009</v>
      </c>
      <c r="B6109" t="s">
        <v>1167</v>
      </c>
      <c r="C6109" t="str">
        <f t="shared" si="516"/>
        <v>08641790152</v>
      </c>
      <c r="D6109" t="str">
        <f t="shared" si="516"/>
        <v>08641790152</v>
      </c>
      <c r="E6109" t="s">
        <v>52</v>
      </c>
      <c r="F6109">
        <v>2015</v>
      </c>
      <c r="G6109">
        <v>12449</v>
      </c>
      <c r="H6109" s="1">
        <v>42037</v>
      </c>
      <c r="I6109" s="1">
        <v>42047</v>
      </c>
      <c r="J6109" s="1">
        <v>42047</v>
      </c>
      <c r="K6109" s="1">
        <v>42107</v>
      </c>
      <c r="L6109" s="7">
        <v>197.64</v>
      </c>
      <c r="M6109" s="5">
        <v>233</v>
      </c>
      <c r="N6109" s="7">
        <v>46050.12</v>
      </c>
      <c r="O6109">
        <v>197.64</v>
      </c>
      <c r="P6109">
        <v>233</v>
      </c>
      <c r="Q6109" s="2">
        <v>46050.12</v>
      </c>
      <c r="R6109">
        <v>43.48</v>
      </c>
      <c r="V6109">
        <v>0</v>
      </c>
      <c r="W6109">
        <v>0</v>
      </c>
      <c r="X6109">
        <v>0</v>
      </c>
      <c r="Y6109">
        <v>241.12</v>
      </c>
      <c r="Z6109">
        <v>241.12</v>
      </c>
      <c r="AA6109">
        <v>241.12</v>
      </c>
      <c r="AB6109" s="1">
        <v>42382</v>
      </c>
      <c r="AC6109" t="s">
        <v>53</v>
      </c>
      <c r="AD6109" t="s">
        <v>53</v>
      </c>
      <c r="AK6109">
        <v>43.48</v>
      </c>
      <c r="AU6109" s="6">
        <v>42340</v>
      </c>
      <c r="AV6109" s="6">
        <v>42340</v>
      </c>
      <c r="AW6109" t="s">
        <v>54</v>
      </c>
      <c r="AX6109" t="str">
        <f t="shared" si="514"/>
        <v>FOR</v>
      </c>
      <c r="AY6109" t="s">
        <v>55</v>
      </c>
    </row>
    <row r="6110" spans="1:51">
      <c r="A6110">
        <v>104009</v>
      </c>
      <c r="B6110" t="s">
        <v>1167</v>
      </c>
      <c r="C6110" t="str">
        <f t="shared" si="516"/>
        <v>08641790152</v>
      </c>
      <c r="D6110" t="str">
        <f t="shared" si="516"/>
        <v>08641790152</v>
      </c>
      <c r="E6110" t="s">
        <v>52</v>
      </c>
      <c r="F6110">
        <v>2015</v>
      </c>
      <c r="G6110">
        <v>13460</v>
      </c>
      <c r="H6110" s="1">
        <v>42039</v>
      </c>
      <c r="I6110" s="1">
        <v>42048</v>
      </c>
      <c r="J6110" s="1">
        <v>42048</v>
      </c>
      <c r="K6110" s="1">
        <v>42108</v>
      </c>
      <c r="L6110" s="7">
        <v>255</v>
      </c>
      <c r="M6110" s="5">
        <v>232</v>
      </c>
      <c r="N6110" s="7">
        <v>59160</v>
      </c>
      <c r="O6110">
        <v>255</v>
      </c>
      <c r="P6110">
        <v>232</v>
      </c>
      <c r="Q6110" s="2">
        <v>59160</v>
      </c>
      <c r="R6110">
        <v>56.1</v>
      </c>
      <c r="V6110">
        <v>0</v>
      </c>
      <c r="W6110">
        <v>0</v>
      </c>
      <c r="X6110">
        <v>0</v>
      </c>
      <c r="Y6110">
        <v>311.10000000000002</v>
      </c>
      <c r="Z6110">
        <v>311.10000000000002</v>
      </c>
      <c r="AA6110">
        <v>311.10000000000002</v>
      </c>
      <c r="AB6110" s="1">
        <v>42382</v>
      </c>
      <c r="AC6110" t="s">
        <v>53</v>
      </c>
      <c r="AD6110" t="s">
        <v>53</v>
      </c>
      <c r="AK6110">
        <v>56.1</v>
      </c>
      <c r="AU6110" s="6">
        <v>42340</v>
      </c>
      <c r="AV6110" s="6">
        <v>42340</v>
      </c>
      <c r="AW6110" t="s">
        <v>54</v>
      </c>
      <c r="AX6110" t="str">
        <f t="shared" si="514"/>
        <v>FOR</v>
      </c>
      <c r="AY6110" t="s">
        <v>55</v>
      </c>
    </row>
    <row r="6111" spans="1:51">
      <c r="A6111">
        <v>104009</v>
      </c>
      <c r="B6111" t="s">
        <v>1167</v>
      </c>
      <c r="C6111" t="str">
        <f t="shared" si="516"/>
        <v>08641790152</v>
      </c>
      <c r="D6111" t="str">
        <f t="shared" si="516"/>
        <v>08641790152</v>
      </c>
      <c r="E6111" t="s">
        <v>52</v>
      </c>
      <c r="F6111">
        <v>2015</v>
      </c>
      <c r="G6111">
        <v>15958</v>
      </c>
      <c r="H6111" s="1">
        <v>42045</v>
      </c>
      <c r="I6111" s="1">
        <v>42054</v>
      </c>
      <c r="J6111" s="1">
        <v>42054</v>
      </c>
      <c r="K6111" s="1">
        <v>42114</v>
      </c>
      <c r="L6111" s="7">
        <v>480</v>
      </c>
      <c r="M6111" s="5">
        <v>226</v>
      </c>
      <c r="N6111" s="7">
        <v>108480</v>
      </c>
      <c r="O6111">
        <v>480</v>
      </c>
      <c r="P6111">
        <v>226</v>
      </c>
      <c r="Q6111" s="2">
        <v>108480</v>
      </c>
      <c r="R6111">
        <v>105.6</v>
      </c>
      <c r="V6111">
        <v>0</v>
      </c>
      <c r="W6111">
        <v>0</v>
      </c>
      <c r="X6111">
        <v>0</v>
      </c>
      <c r="Y6111">
        <v>585.6</v>
      </c>
      <c r="Z6111">
        <v>585.6</v>
      </c>
      <c r="AA6111">
        <v>585.6</v>
      </c>
      <c r="AB6111" s="1">
        <v>42382</v>
      </c>
      <c r="AC6111" t="s">
        <v>53</v>
      </c>
      <c r="AD6111" t="s">
        <v>53</v>
      </c>
      <c r="AK6111">
        <v>105.6</v>
      </c>
      <c r="AU6111" s="6">
        <v>42340</v>
      </c>
      <c r="AV6111" s="6">
        <v>42340</v>
      </c>
      <c r="AW6111" t="s">
        <v>54</v>
      </c>
      <c r="AX6111" t="str">
        <f t="shared" si="514"/>
        <v>FOR</v>
      </c>
      <c r="AY6111" t="s">
        <v>55</v>
      </c>
    </row>
    <row r="6112" spans="1:51">
      <c r="A6112">
        <v>104009</v>
      </c>
      <c r="B6112" t="s">
        <v>1167</v>
      </c>
      <c r="C6112" t="str">
        <f t="shared" si="516"/>
        <v>08641790152</v>
      </c>
      <c r="D6112" t="str">
        <f t="shared" si="516"/>
        <v>08641790152</v>
      </c>
      <c r="E6112" t="s">
        <v>52</v>
      </c>
      <c r="F6112">
        <v>2015</v>
      </c>
      <c r="G6112">
        <v>16109</v>
      </c>
      <c r="H6112" s="1">
        <v>42045</v>
      </c>
      <c r="I6112" s="1">
        <v>42054</v>
      </c>
      <c r="J6112" s="1">
        <v>42054</v>
      </c>
      <c r="K6112" s="1">
        <v>42114</v>
      </c>
      <c r="L6112" s="7">
        <v>1349</v>
      </c>
      <c r="M6112" s="5">
        <v>226</v>
      </c>
      <c r="N6112" s="7">
        <v>304874</v>
      </c>
      <c r="O6112" s="2">
        <v>1349</v>
      </c>
      <c r="P6112">
        <v>226</v>
      </c>
      <c r="Q6112" s="2">
        <v>304874</v>
      </c>
      <c r="R6112">
        <v>296.77999999999997</v>
      </c>
      <c r="V6112">
        <v>0</v>
      </c>
      <c r="W6112">
        <v>0</v>
      </c>
      <c r="X6112">
        <v>0</v>
      </c>
      <c r="Y6112" s="2">
        <v>1645.78</v>
      </c>
      <c r="Z6112" s="2">
        <v>1645.78</v>
      </c>
      <c r="AA6112" s="2">
        <v>1645.78</v>
      </c>
      <c r="AB6112" s="1">
        <v>42382</v>
      </c>
      <c r="AC6112" t="s">
        <v>53</v>
      </c>
      <c r="AD6112" t="s">
        <v>53</v>
      </c>
      <c r="AK6112">
        <v>296.77999999999997</v>
      </c>
      <c r="AU6112" s="6">
        <v>42340</v>
      </c>
      <c r="AV6112" s="6">
        <v>42340</v>
      </c>
      <c r="AW6112" t="s">
        <v>54</v>
      </c>
      <c r="AX6112" t="str">
        <f t="shared" si="514"/>
        <v>FOR</v>
      </c>
      <c r="AY6112" t="s">
        <v>55</v>
      </c>
    </row>
    <row r="6113" spans="1:51">
      <c r="A6113">
        <v>104009</v>
      </c>
      <c r="B6113" t="s">
        <v>1167</v>
      </c>
      <c r="C6113" t="str">
        <f t="shared" si="516"/>
        <v>08641790152</v>
      </c>
      <c r="D6113" t="str">
        <f t="shared" si="516"/>
        <v>08641790152</v>
      </c>
      <c r="E6113" t="s">
        <v>52</v>
      </c>
      <c r="F6113">
        <v>2015</v>
      </c>
      <c r="G6113">
        <v>18434</v>
      </c>
      <c r="H6113" s="1">
        <v>42051</v>
      </c>
      <c r="I6113" s="1">
        <v>42066</v>
      </c>
      <c r="J6113" s="1">
        <v>42066</v>
      </c>
      <c r="K6113" s="1">
        <v>42126</v>
      </c>
      <c r="L6113" s="7">
        <v>5616</v>
      </c>
      <c r="M6113" s="5">
        <v>214</v>
      </c>
      <c r="N6113" s="7">
        <v>1201824</v>
      </c>
      <c r="O6113" s="2">
        <v>5616</v>
      </c>
      <c r="P6113">
        <v>214</v>
      </c>
      <c r="Q6113" s="2">
        <v>1201824</v>
      </c>
      <c r="R6113" s="2">
        <v>1235.52</v>
      </c>
      <c r="V6113">
        <v>0</v>
      </c>
      <c r="W6113">
        <v>0</v>
      </c>
      <c r="X6113">
        <v>0</v>
      </c>
      <c r="Y6113" s="2">
        <v>6851.52</v>
      </c>
      <c r="Z6113" s="2">
        <v>6851.52</v>
      </c>
      <c r="AA6113" s="2">
        <v>6851.52</v>
      </c>
      <c r="AB6113" s="1">
        <v>42382</v>
      </c>
      <c r="AC6113" t="s">
        <v>53</v>
      </c>
      <c r="AD6113" t="s">
        <v>53</v>
      </c>
      <c r="AK6113" s="2">
        <v>1235.52</v>
      </c>
      <c r="AU6113" s="6">
        <v>42340</v>
      </c>
      <c r="AV6113" s="6">
        <v>42340</v>
      </c>
      <c r="AW6113" t="s">
        <v>54</v>
      </c>
      <c r="AX6113" t="str">
        <f t="shared" si="514"/>
        <v>FOR</v>
      </c>
      <c r="AY6113" t="s">
        <v>55</v>
      </c>
    </row>
    <row r="6114" spans="1:51">
      <c r="A6114">
        <v>104009</v>
      </c>
      <c r="B6114" t="s">
        <v>1167</v>
      </c>
      <c r="C6114" t="str">
        <f t="shared" si="516"/>
        <v>08641790152</v>
      </c>
      <c r="D6114" t="str">
        <f t="shared" si="516"/>
        <v>08641790152</v>
      </c>
      <c r="E6114" t="s">
        <v>52</v>
      </c>
      <c r="F6114">
        <v>2015</v>
      </c>
      <c r="G6114">
        <v>18454</v>
      </c>
      <c r="H6114" s="1">
        <v>42051</v>
      </c>
      <c r="I6114" s="1">
        <v>42066</v>
      </c>
      <c r="J6114" s="1">
        <v>42066</v>
      </c>
      <c r="K6114" s="1">
        <v>42126</v>
      </c>
      <c r="L6114" s="7">
        <v>528</v>
      </c>
      <c r="M6114" s="5">
        <v>214</v>
      </c>
      <c r="N6114" s="7">
        <v>112992</v>
      </c>
      <c r="O6114">
        <v>528</v>
      </c>
      <c r="P6114">
        <v>214</v>
      </c>
      <c r="Q6114" s="2">
        <v>112992</v>
      </c>
      <c r="R6114">
        <v>116.16</v>
      </c>
      <c r="V6114">
        <v>0</v>
      </c>
      <c r="W6114">
        <v>0</v>
      </c>
      <c r="X6114">
        <v>0</v>
      </c>
      <c r="Y6114">
        <v>644.16</v>
      </c>
      <c r="Z6114">
        <v>644.16</v>
      </c>
      <c r="AA6114">
        <v>644.16</v>
      </c>
      <c r="AB6114" s="1">
        <v>42382</v>
      </c>
      <c r="AC6114" t="s">
        <v>53</v>
      </c>
      <c r="AD6114" t="s">
        <v>53</v>
      </c>
      <c r="AK6114">
        <v>116.16</v>
      </c>
      <c r="AU6114" s="6">
        <v>42340</v>
      </c>
      <c r="AV6114" s="6">
        <v>42340</v>
      </c>
      <c r="AW6114" t="s">
        <v>54</v>
      </c>
      <c r="AX6114" t="str">
        <f t="shared" si="514"/>
        <v>FOR</v>
      </c>
      <c r="AY6114" t="s">
        <v>55</v>
      </c>
    </row>
    <row r="6115" spans="1:51">
      <c r="A6115">
        <v>104009</v>
      </c>
      <c r="B6115" t="s">
        <v>1167</v>
      </c>
      <c r="C6115" t="str">
        <f t="shared" si="516"/>
        <v>08641790152</v>
      </c>
      <c r="D6115" t="str">
        <f t="shared" si="516"/>
        <v>08641790152</v>
      </c>
      <c r="E6115" t="s">
        <v>52</v>
      </c>
      <c r="F6115">
        <v>2015</v>
      </c>
      <c r="G6115">
        <v>18517</v>
      </c>
      <c r="H6115" s="1">
        <v>42051</v>
      </c>
      <c r="I6115" s="1">
        <v>42066</v>
      </c>
      <c r="J6115" s="1">
        <v>42066</v>
      </c>
      <c r="K6115" s="1">
        <v>42126</v>
      </c>
      <c r="L6115" s="7">
        <v>2847.6</v>
      </c>
      <c r="M6115" s="5">
        <v>214</v>
      </c>
      <c r="N6115" s="7">
        <v>609386.4</v>
      </c>
      <c r="O6115" s="2">
        <v>2847.6</v>
      </c>
      <c r="P6115">
        <v>214</v>
      </c>
      <c r="Q6115" s="2">
        <v>609386.4</v>
      </c>
      <c r="R6115">
        <v>626.47</v>
      </c>
      <c r="V6115">
        <v>0</v>
      </c>
      <c r="W6115">
        <v>0</v>
      </c>
      <c r="X6115">
        <v>0</v>
      </c>
      <c r="Y6115" s="2">
        <v>3474.07</v>
      </c>
      <c r="Z6115" s="2">
        <v>3474.07</v>
      </c>
      <c r="AA6115" s="2">
        <v>3474.07</v>
      </c>
      <c r="AB6115" s="1">
        <v>42382</v>
      </c>
      <c r="AC6115" t="s">
        <v>53</v>
      </c>
      <c r="AD6115" t="s">
        <v>53</v>
      </c>
      <c r="AK6115">
        <v>626.47</v>
      </c>
      <c r="AU6115" s="6">
        <v>42340</v>
      </c>
      <c r="AV6115" s="6">
        <v>42340</v>
      </c>
      <c r="AW6115" t="s">
        <v>54</v>
      </c>
      <c r="AX6115" t="str">
        <f t="shared" si="514"/>
        <v>FOR</v>
      </c>
      <c r="AY6115" t="s">
        <v>55</v>
      </c>
    </row>
    <row r="6116" spans="1:51">
      <c r="A6116">
        <v>104009</v>
      </c>
      <c r="B6116" t="s">
        <v>1167</v>
      </c>
      <c r="C6116" t="str">
        <f t="shared" si="516"/>
        <v>08641790152</v>
      </c>
      <c r="D6116" t="str">
        <f t="shared" si="516"/>
        <v>08641790152</v>
      </c>
      <c r="E6116" t="s">
        <v>52</v>
      </c>
      <c r="F6116">
        <v>2015</v>
      </c>
      <c r="G6116">
        <v>18688</v>
      </c>
      <c r="H6116" s="1">
        <v>42051</v>
      </c>
      <c r="I6116" s="1">
        <v>42066</v>
      </c>
      <c r="J6116" s="1">
        <v>42066</v>
      </c>
      <c r="K6116" s="1">
        <v>42126</v>
      </c>
      <c r="L6116" s="7">
        <v>1344</v>
      </c>
      <c r="M6116" s="5">
        <v>214</v>
      </c>
      <c r="N6116" s="7">
        <v>287616</v>
      </c>
      <c r="O6116" s="2">
        <v>1344</v>
      </c>
      <c r="P6116">
        <v>214</v>
      </c>
      <c r="Q6116" s="2">
        <v>287616</v>
      </c>
      <c r="R6116">
        <v>295.68</v>
      </c>
      <c r="V6116">
        <v>0</v>
      </c>
      <c r="W6116">
        <v>0</v>
      </c>
      <c r="X6116">
        <v>0</v>
      </c>
      <c r="Y6116" s="2">
        <v>1639.68</v>
      </c>
      <c r="Z6116" s="2">
        <v>1639.68</v>
      </c>
      <c r="AA6116" s="2">
        <v>1639.68</v>
      </c>
      <c r="AB6116" s="1">
        <v>42382</v>
      </c>
      <c r="AC6116" t="s">
        <v>53</v>
      </c>
      <c r="AD6116" t="s">
        <v>53</v>
      </c>
      <c r="AK6116">
        <v>295.68</v>
      </c>
      <c r="AU6116" s="6">
        <v>42340</v>
      </c>
      <c r="AV6116" s="6">
        <v>42340</v>
      </c>
      <c r="AW6116" t="s">
        <v>54</v>
      </c>
      <c r="AX6116" t="str">
        <f t="shared" si="514"/>
        <v>FOR</v>
      </c>
      <c r="AY6116" t="s">
        <v>55</v>
      </c>
    </row>
    <row r="6117" spans="1:51">
      <c r="A6117">
        <v>104009</v>
      </c>
      <c r="B6117" t="s">
        <v>1167</v>
      </c>
      <c r="C6117" t="str">
        <f t="shared" si="516"/>
        <v>08641790152</v>
      </c>
      <c r="D6117" t="str">
        <f t="shared" si="516"/>
        <v>08641790152</v>
      </c>
      <c r="E6117" t="s">
        <v>52</v>
      </c>
      <c r="F6117">
        <v>2015</v>
      </c>
      <c r="G6117">
        <v>18993</v>
      </c>
      <c r="H6117" s="1">
        <v>42051</v>
      </c>
      <c r="I6117" s="1">
        <v>42066</v>
      </c>
      <c r="J6117" s="1">
        <v>42066</v>
      </c>
      <c r="K6117" s="1">
        <v>42126</v>
      </c>
      <c r="L6117" s="7">
        <v>320.76</v>
      </c>
      <c r="M6117" s="5">
        <v>214</v>
      </c>
      <c r="N6117" s="7">
        <v>68642.64</v>
      </c>
      <c r="O6117">
        <v>320.76</v>
      </c>
      <c r="P6117">
        <v>214</v>
      </c>
      <c r="Q6117" s="2">
        <v>68642.64</v>
      </c>
      <c r="R6117">
        <v>70.569999999999993</v>
      </c>
      <c r="V6117">
        <v>0</v>
      </c>
      <c r="W6117">
        <v>0</v>
      </c>
      <c r="X6117">
        <v>0</v>
      </c>
      <c r="Y6117">
        <v>391.33</v>
      </c>
      <c r="Z6117">
        <v>391.33</v>
      </c>
      <c r="AA6117">
        <v>391.33</v>
      </c>
      <c r="AB6117" s="1">
        <v>42382</v>
      </c>
      <c r="AC6117" t="s">
        <v>53</v>
      </c>
      <c r="AD6117" t="s">
        <v>53</v>
      </c>
      <c r="AK6117">
        <v>70.569999999999993</v>
      </c>
      <c r="AU6117" s="6">
        <v>42340</v>
      </c>
      <c r="AV6117" s="6">
        <v>42340</v>
      </c>
      <c r="AW6117" t="s">
        <v>54</v>
      </c>
      <c r="AX6117" t="str">
        <f t="shared" si="514"/>
        <v>FOR</v>
      </c>
      <c r="AY6117" t="s">
        <v>55</v>
      </c>
    </row>
    <row r="6118" spans="1:51">
      <c r="A6118">
        <v>104009</v>
      </c>
      <c r="B6118" t="s">
        <v>1167</v>
      </c>
      <c r="C6118" t="str">
        <f t="shared" si="516"/>
        <v>08641790152</v>
      </c>
      <c r="D6118" t="str">
        <f t="shared" si="516"/>
        <v>08641790152</v>
      </c>
      <c r="E6118" t="s">
        <v>52</v>
      </c>
      <c r="F6118">
        <v>2015</v>
      </c>
      <c r="G6118">
        <v>19098</v>
      </c>
      <c r="H6118" s="1">
        <v>42052</v>
      </c>
      <c r="I6118" s="1">
        <v>42066</v>
      </c>
      <c r="J6118" s="1">
        <v>42066</v>
      </c>
      <c r="K6118" s="1">
        <v>42126</v>
      </c>
      <c r="L6118" s="7">
        <v>176.4</v>
      </c>
      <c r="M6118" s="5">
        <v>214</v>
      </c>
      <c r="N6118" s="7">
        <v>37749.599999999999</v>
      </c>
      <c r="O6118">
        <v>176.4</v>
      </c>
      <c r="P6118">
        <v>214</v>
      </c>
      <c r="Q6118" s="2">
        <v>37749.599999999999</v>
      </c>
      <c r="R6118">
        <v>38.81</v>
      </c>
      <c r="V6118">
        <v>0</v>
      </c>
      <c r="W6118">
        <v>0</v>
      </c>
      <c r="X6118">
        <v>0</v>
      </c>
      <c r="Y6118">
        <v>215.21</v>
      </c>
      <c r="Z6118">
        <v>215.21</v>
      </c>
      <c r="AA6118">
        <v>215.21</v>
      </c>
      <c r="AB6118" s="1">
        <v>42382</v>
      </c>
      <c r="AC6118" t="s">
        <v>53</v>
      </c>
      <c r="AD6118" t="s">
        <v>53</v>
      </c>
      <c r="AK6118">
        <v>38.81</v>
      </c>
      <c r="AU6118" s="6">
        <v>42340</v>
      </c>
      <c r="AV6118" s="6">
        <v>42340</v>
      </c>
      <c r="AW6118" t="s">
        <v>54</v>
      </c>
      <c r="AX6118" t="str">
        <f t="shared" si="514"/>
        <v>FOR</v>
      </c>
      <c r="AY6118" t="s">
        <v>55</v>
      </c>
    </row>
    <row r="6119" spans="1:51">
      <c r="A6119">
        <v>104009</v>
      </c>
      <c r="B6119" t="s">
        <v>1167</v>
      </c>
      <c r="C6119" t="str">
        <f t="shared" si="516"/>
        <v>08641790152</v>
      </c>
      <c r="D6119" t="str">
        <f t="shared" si="516"/>
        <v>08641790152</v>
      </c>
      <c r="E6119" t="s">
        <v>52</v>
      </c>
      <c r="F6119">
        <v>2015</v>
      </c>
      <c r="G6119">
        <v>21293</v>
      </c>
      <c r="H6119" s="1">
        <v>42055</v>
      </c>
      <c r="I6119" s="1">
        <v>42068</v>
      </c>
      <c r="J6119" s="1">
        <v>42068</v>
      </c>
      <c r="K6119" s="1">
        <v>42128</v>
      </c>
      <c r="L6119" s="7">
        <v>420</v>
      </c>
      <c r="M6119" s="5">
        <v>212</v>
      </c>
      <c r="N6119" s="7">
        <v>89040</v>
      </c>
      <c r="O6119">
        <v>420</v>
      </c>
      <c r="P6119">
        <v>212</v>
      </c>
      <c r="Q6119" s="2">
        <v>89040</v>
      </c>
      <c r="R6119">
        <v>92.4</v>
      </c>
      <c r="V6119">
        <v>0</v>
      </c>
      <c r="W6119">
        <v>0</v>
      </c>
      <c r="X6119">
        <v>0</v>
      </c>
      <c r="Y6119">
        <v>512.4</v>
      </c>
      <c r="Z6119">
        <v>512.4</v>
      </c>
      <c r="AA6119">
        <v>512.4</v>
      </c>
      <c r="AB6119" s="1">
        <v>42382</v>
      </c>
      <c r="AC6119" t="s">
        <v>53</v>
      </c>
      <c r="AD6119" t="s">
        <v>53</v>
      </c>
      <c r="AK6119">
        <v>92.4</v>
      </c>
      <c r="AU6119" s="6">
        <v>42340</v>
      </c>
      <c r="AV6119" s="6">
        <v>42340</v>
      </c>
      <c r="AW6119" t="s">
        <v>54</v>
      </c>
      <c r="AX6119" t="str">
        <f t="shared" si="514"/>
        <v>FOR</v>
      </c>
      <c r="AY6119" t="s">
        <v>55</v>
      </c>
    </row>
    <row r="6120" spans="1:51">
      <c r="A6120">
        <v>104009</v>
      </c>
      <c r="B6120" t="s">
        <v>1167</v>
      </c>
      <c r="C6120" t="str">
        <f t="shared" si="516"/>
        <v>08641790152</v>
      </c>
      <c r="D6120" t="str">
        <f t="shared" si="516"/>
        <v>08641790152</v>
      </c>
      <c r="E6120" t="s">
        <v>52</v>
      </c>
      <c r="F6120">
        <v>2015</v>
      </c>
      <c r="G6120">
        <v>21301</v>
      </c>
      <c r="H6120" s="1">
        <v>42055</v>
      </c>
      <c r="I6120" s="1">
        <v>42068</v>
      </c>
      <c r="J6120" s="1">
        <v>42068</v>
      </c>
      <c r="K6120" s="1">
        <v>42128</v>
      </c>
      <c r="L6120" s="7">
        <v>1116</v>
      </c>
      <c r="M6120" s="5">
        <v>212</v>
      </c>
      <c r="N6120" s="7">
        <v>236592</v>
      </c>
      <c r="O6120" s="2">
        <v>1116</v>
      </c>
      <c r="P6120">
        <v>212</v>
      </c>
      <c r="Q6120" s="2">
        <v>236592</v>
      </c>
      <c r="R6120">
        <v>245.52</v>
      </c>
      <c r="V6120">
        <v>0</v>
      </c>
      <c r="W6120">
        <v>0</v>
      </c>
      <c r="X6120">
        <v>0</v>
      </c>
      <c r="Y6120" s="2">
        <v>1361.52</v>
      </c>
      <c r="Z6120" s="2">
        <v>1361.52</v>
      </c>
      <c r="AA6120" s="2">
        <v>1361.52</v>
      </c>
      <c r="AB6120" s="1">
        <v>42382</v>
      </c>
      <c r="AC6120" t="s">
        <v>53</v>
      </c>
      <c r="AD6120" t="s">
        <v>53</v>
      </c>
      <c r="AK6120">
        <v>245.52</v>
      </c>
      <c r="AU6120" s="6">
        <v>42340</v>
      </c>
      <c r="AV6120" s="6">
        <v>42340</v>
      </c>
      <c r="AW6120" t="s">
        <v>54</v>
      </c>
      <c r="AX6120" t="str">
        <f t="shared" si="514"/>
        <v>FOR</v>
      </c>
      <c r="AY6120" t="s">
        <v>55</v>
      </c>
    </row>
    <row r="6121" spans="1:51">
      <c r="A6121">
        <v>104009</v>
      </c>
      <c r="B6121" t="s">
        <v>1167</v>
      </c>
      <c r="C6121" t="str">
        <f t="shared" si="516"/>
        <v>08641790152</v>
      </c>
      <c r="D6121" t="str">
        <f t="shared" si="516"/>
        <v>08641790152</v>
      </c>
      <c r="E6121" t="s">
        <v>52</v>
      </c>
      <c r="F6121">
        <v>2015</v>
      </c>
      <c r="G6121">
        <v>21624</v>
      </c>
      <c r="H6121" s="1">
        <v>42058</v>
      </c>
      <c r="I6121" s="1">
        <v>42068</v>
      </c>
      <c r="J6121" s="1">
        <v>42068</v>
      </c>
      <c r="K6121" s="1">
        <v>42128</v>
      </c>
      <c r="L6121" s="7">
        <v>506.52</v>
      </c>
      <c r="M6121" s="5">
        <v>212</v>
      </c>
      <c r="N6121" s="7">
        <v>107382.24</v>
      </c>
      <c r="O6121">
        <v>506.52</v>
      </c>
      <c r="P6121">
        <v>212</v>
      </c>
      <c r="Q6121" s="2">
        <v>107382.24</v>
      </c>
      <c r="R6121">
        <v>111.43</v>
      </c>
      <c r="V6121">
        <v>0</v>
      </c>
      <c r="W6121">
        <v>0</v>
      </c>
      <c r="X6121">
        <v>0</v>
      </c>
      <c r="Y6121">
        <v>617.95000000000005</v>
      </c>
      <c r="Z6121">
        <v>617.95000000000005</v>
      </c>
      <c r="AA6121">
        <v>617.95000000000005</v>
      </c>
      <c r="AB6121" s="1">
        <v>42382</v>
      </c>
      <c r="AC6121" t="s">
        <v>53</v>
      </c>
      <c r="AD6121" t="s">
        <v>53</v>
      </c>
      <c r="AK6121">
        <v>111.43</v>
      </c>
      <c r="AU6121" s="6">
        <v>42340</v>
      </c>
      <c r="AV6121" s="6">
        <v>42340</v>
      </c>
      <c r="AW6121" t="s">
        <v>54</v>
      </c>
      <c r="AX6121" t="str">
        <f t="shared" si="514"/>
        <v>FOR</v>
      </c>
      <c r="AY6121" t="s">
        <v>55</v>
      </c>
    </row>
    <row r="6122" spans="1:51">
      <c r="A6122">
        <v>104009</v>
      </c>
      <c r="B6122" t="s">
        <v>1167</v>
      </c>
      <c r="C6122" t="str">
        <f t="shared" si="516"/>
        <v>08641790152</v>
      </c>
      <c r="D6122" t="str">
        <f t="shared" si="516"/>
        <v>08641790152</v>
      </c>
      <c r="E6122" t="s">
        <v>52</v>
      </c>
      <c r="F6122">
        <v>2015</v>
      </c>
      <c r="G6122">
        <v>21846</v>
      </c>
      <c r="H6122" s="1">
        <v>42058</v>
      </c>
      <c r="I6122" s="1">
        <v>42068</v>
      </c>
      <c r="J6122" s="1">
        <v>42068</v>
      </c>
      <c r="K6122" s="1">
        <v>42128</v>
      </c>
      <c r="L6122" s="7">
        <v>950</v>
      </c>
      <c r="M6122" s="5">
        <v>212</v>
      </c>
      <c r="N6122" s="7">
        <v>201400</v>
      </c>
      <c r="O6122">
        <v>950</v>
      </c>
      <c r="P6122">
        <v>212</v>
      </c>
      <c r="Q6122" s="2">
        <v>201400</v>
      </c>
      <c r="R6122">
        <v>38</v>
      </c>
      <c r="V6122">
        <v>0</v>
      </c>
      <c r="W6122">
        <v>0</v>
      </c>
      <c r="X6122">
        <v>0</v>
      </c>
      <c r="Y6122">
        <v>988</v>
      </c>
      <c r="Z6122">
        <v>988</v>
      </c>
      <c r="AA6122">
        <v>988</v>
      </c>
      <c r="AB6122" s="1">
        <v>42382</v>
      </c>
      <c r="AC6122" t="s">
        <v>53</v>
      </c>
      <c r="AD6122" t="s">
        <v>53</v>
      </c>
      <c r="AK6122">
        <v>38</v>
      </c>
      <c r="AU6122" s="6">
        <v>42340</v>
      </c>
      <c r="AV6122" s="6">
        <v>42340</v>
      </c>
      <c r="AW6122" t="s">
        <v>54</v>
      </c>
      <c r="AX6122" t="str">
        <f t="shared" si="514"/>
        <v>FOR</v>
      </c>
      <c r="AY6122" t="s">
        <v>55</v>
      </c>
    </row>
    <row r="6123" spans="1:51">
      <c r="A6123">
        <v>104009</v>
      </c>
      <c r="B6123" t="s">
        <v>1167</v>
      </c>
      <c r="C6123" t="str">
        <f t="shared" si="516"/>
        <v>08641790152</v>
      </c>
      <c r="D6123" t="str">
        <f t="shared" si="516"/>
        <v>08641790152</v>
      </c>
      <c r="E6123" t="s">
        <v>52</v>
      </c>
      <c r="F6123">
        <v>2015</v>
      </c>
      <c r="G6123">
        <v>21876</v>
      </c>
      <c r="H6123" s="1">
        <v>42058</v>
      </c>
      <c r="I6123" s="1">
        <v>42068</v>
      </c>
      <c r="J6123" s="1">
        <v>42068</v>
      </c>
      <c r="K6123" s="1">
        <v>42128</v>
      </c>
      <c r="L6123" s="7">
        <v>82.5</v>
      </c>
      <c r="M6123" s="5">
        <v>212</v>
      </c>
      <c r="N6123" s="7">
        <v>17490</v>
      </c>
      <c r="O6123">
        <v>82.5</v>
      </c>
      <c r="P6123">
        <v>212</v>
      </c>
      <c r="Q6123" s="2">
        <v>17490</v>
      </c>
      <c r="R6123">
        <v>18.149999999999999</v>
      </c>
      <c r="V6123">
        <v>0</v>
      </c>
      <c r="W6123">
        <v>0</v>
      </c>
      <c r="X6123">
        <v>0</v>
      </c>
      <c r="Y6123">
        <v>100.65</v>
      </c>
      <c r="Z6123">
        <v>100.65</v>
      </c>
      <c r="AA6123">
        <v>100.65</v>
      </c>
      <c r="AB6123" s="1">
        <v>42382</v>
      </c>
      <c r="AC6123" t="s">
        <v>53</v>
      </c>
      <c r="AD6123" t="s">
        <v>53</v>
      </c>
      <c r="AK6123">
        <v>18.149999999999999</v>
      </c>
      <c r="AU6123" s="6">
        <v>42340</v>
      </c>
      <c r="AV6123" s="6">
        <v>42340</v>
      </c>
      <c r="AW6123" t="s">
        <v>54</v>
      </c>
      <c r="AX6123" t="str">
        <f t="shared" si="514"/>
        <v>FOR</v>
      </c>
      <c r="AY6123" t="s">
        <v>55</v>
      </c>
    </row>
    <row r="6124" spans="1:51">
      <c r="A6124">
        <v>104009</v>
      </c>
      <c r="B6124" t="s">
        <v>1167</v>
      </c>
      <c r="C6124" t="str">
        <f t="shared" si="516"/>
        <v>08641790152</v>
      </c>
      <c r="D6124" t="str">
        <f t="shared" si="516"/>
        <v>08641790152</v>
      </c>
      <c r="E6124" t="s">
        <v>52</v>
      </c>
      <c r="F6124">
        <v>2015</v>
      </c>
      <c r="G6124">
        <v>22578</v>
      </c>
      <c r="H6124" s="1">
        <v>42059</v>
      </c>
      <c r="I6124" s="1">
        <v>42069</v>
      </c>
      <c r="J6124" s="1">
        <v>42069</v>
      </c>
      <c r="K6124" s="1">
        <v>42129</v>
      </c>
      <c r="L6124" s="7">
        <v>925</v>
      </c>
      <c r="M6124" s="5">
        <v>211</v>
      </c>
      <c r="N6124" s="7">
        <v>195175</v>
      </c>
      <c r="O6124">
        <v>925</v>
      </c>
      <c r="P6124">
        <v>211</v>
      </c>
      <c r="Q6124" s="2">
        <v>195175</v>
      </c>
      <c r="R6124">
        <v>203.5</v>
      </c>
      <c r="V6124">
        <v>0</v>
      </c>
      <c r="W6124">
        <v>0</v>
      </c>
      <c r="X6124">
        <v>0</v>
      </c>
      <c r="Y6124" s="2">
        <v>1128.5</v>
      </c>
      <c r="Z6124" s="2">
        <v>1128.5</v>
      </c>
      <c r="AA6124" s="2">
        <v>1128.5</v>
      </c>
      <c r="AB6124" s="1">
        <v>42382</v>
      </c>
      <c r="AC6124" t="s">
        <v>53</v>
      </c>
      <c r="AD6124" t="s">
        <v>53</v>
      </c>
      <c r="AK6124">
        <v>203.5</v>
      </c>
      <c r="AU6124" s="6">
        <v>42340</v>
      </c>
      <c r="AV6124" s="6">
        <v>42340</v>
      </c>
      <c r="AW6124" t="s">
        <v>54</v>
      </c>
      <c r="AX6124" t="str">
        <f t="shared" si="514"/>
        <v>FOR</v>
      </c>
      <c r="AY6124" t="s">
        <v>55</v>
      </c>
    </row>
    <row r="6125" spans="1:51">
      <c r="A6125">
        <v>104009</v>
      </c>
      <c r="B6125" t="s">
        <v>1167</v>
      </c>
      <c r="C6125" t="str">
        <f t="shared" ref="C6125:D6144" si="517">"08641790152"</f>
        <v>08641790152</v>
      </c>
      <c r="D6125" t="str">
        <f t="shared" si="517"/>
        <v>08641790152</v>
      </c>
      <c r="E6125" t="s">
        <v>52</v>
      </c>
      <c r="F6125">
        <v>2015</v>
      </c>
      <c r="G6125">
        <v>23142</v>
      </c>
      <c r="H6125" s="1">
        <v>42060</v>
      </c>
      <c r="I6125" s="1">
        <v>42087</v>
      </c>
      <c r="J6125" s="1">
        <v>42087</v>
      </c>
      <c r="K6125" s="1">
        <v>42147</v>
      </c>
      <c r="L6125" s="7">
        <v>1660</v>
      </c>
      <c r="M6125" s="5">
        <v>193</v>
      </c>
      <c r="N6125" s="7">
        <v>320380</v>
      </c>
      <c r="O6125" s="2">
        <v>1660</v>
      </c>
      <c r="P6125">
        <v>193</v>
      </c>
      <c r="Q6125" s="2">
        <v>320380</v>
      </c>
      <c r="R6125">
        <v>365.2</v>
      </c>
      <c r="V6125">
        <v>0</v>
      </c>
      <c r="W6125">
        <v>0</v>
      </c>
      <c r="X6125">
        <v>0</v>
      </c>
      <c r="Y6125" s="2">
        <v>2025.2</v>
      </c>
      <c r="Z6125" s="2">
        <v>2025.2</v>
      </c>
      <c r="AA6125" s="2">
        <v>2025.2</v>
      </c>
      <c r="AB6125" s="1">
        <v>42382</v>
      </c>
      <c r="AC6125" t="s">
        <v>53</v>
      </c>
      <c r="AD6125" t="s">
        <v>53</v>
      </c>
      <c r="AK6125">
        <v>365.2</v>
      </c>
      <c r="AU6125" s="6">
        <v>42340</v>
      </c>
      <c r="AV6125" s="6">
        <v>42340</v>
      </c>
      <c r="AW6125" t="s">
        <v>54</v>
      </c>
      <c r="AX6125" t="str">
        <f t="shared" si="514"/>
        <v>FOR</v>
      </c>
      <c r="AY6125" t="s">
        <v>55</v>
      </c>
    </row>
    <row r="6126" spans="1:51">
      <c r="A6126">
        <v>104009</v>
      </c>
      <c r="B6126" t="s">
        <v>1167</v>
      </c>
      <c r="C6126" t="str">
        <f t="shared" si="517"/>
        <v>08641790152</v>
      </c>
      <c r="D6126" t="str">
        <f t="shared" si="517"/>
        <v>08641790152</v>
      </c>
      <c r="E6126" t="s">
        <v>52</v>
      </c>
      <c r="F6126">
        <v>2015</v>
      </c>
      <c r="G6126">
        <v>24621</v>
      </c>
      <c r="H6126" s="1">
        <v>42062</v>
      </c>
      <c r="I6126" s="1">
        <v>42073</v>
      </c>
      <c r="J6126" s="1">
        <v>42073</v>
      </c>
      <c r="K6126" s="1">
        <v>42133</v>
      </c>
      <c r="L6126" s="7">
        <v>1000.8</v>
      </c>
      <c r="M6126" s="5">
        <v>207</v>
      </c>
      <c r="N6126" s="7">
        <v>207165.6</v>
      </c>
      <c r="O6126" s="2">
        <v>1000.8</v>
      </c>
      <c r="P6126">
        <v>207</v>
      </c>
      <c r="Q6126" s="2">
        <v>207165.6</v>
      </c>
      <c r="R6126">
        <v>220.17</v>
      </c>
      <c r="V6126">
        <v>0</v>
      </c>
      <c r="W6126">
        <v>0</v>
      </c>
      <c r="X6126">
        <v>0</v>
      </c>
      <c r="Y6126" s="2">
        <v>1220.97</v>
      </c>
      <c r="Z6126" s="2">
        <v>1220.97</v>
      </c>
      <c r="AA6126" s="2">
        <v>1220.97</v>
      </c>
      <c r="AB6126" s="1">
        <v>42382</v>
      </c>
      <c r="AC6126" t="s">
        <v>53</v>
      </c>
      <c r="AD6126" t="s">
        <v>53</v>
      </c>
      <c r="AK6126">
        <v>220.17</v>
      </c>
      <c r="AU6126" s="6">
        <v>42340</v>
      </c>
      <c r="AV6126" s="6">
        <v>42340</v>
      </c>
      <c r="AW6126" t="s">
        <v>54</v>
      </c>
      <c r="AX6126" t="str">
        <f t="shared" si="514"/>
        <v>FOR</v>
      </c>
      <c r="AY6126" t="s">
        <v>55</v>
      </c>
    </row>
    <row r="6127" spans="1:51">
      <c r="A6127">
        <v>104009</v>
      </c>
      <c r="B6127" t="s">
        <v>1167</v>
      </c>
      <c r="C6127" t="str">
        <f t="shared" si="517"/>
        <v>08641790152</v>
      </c>
      <c r="D6127" t="str">
        <f t="shared" si="517"/>
        <v>08641790152</v>
      </c>
      <c r="E6127" t="s">
        <v>52</v>
      </c>
      <c r="F6127">
        <v>2015</v>
      </c>
      <c r="G6127">
        <v>25336</v>
      </c>
      <c r="H6127" s="1">
        <v>42065</v>
      </c>
      <c r="I6127" s="1">
        <v>42087</v>
      </c>
      <c r="J6127" s="1">
        <v>42087</v>
      </c>
      <c r="K6127" s="1">
        <v>42147</v>
      </c>
      <c r="L6127" s="7">
        <v>168.84</v>
      </c>
      <c r="M6127" s="5">
        <v>208</v>
      </c>
      <c r="N6127" s="7">
        <v>35118.720000000001</v>
      </c>
      <c r="O6127">
        <v>168.84</v>
      </c>
      <c r="P6127">
        <v>208</v>
      </c>
      <c r="Q6127" s="2">
        <v>35118.720000000001</v>
      </c>
      <c r="R6127">
        <v>37.14</v>
      </c>
      <c r="V6127">
        <v>0</v>
      </c>
      <c r="W6127">
        <v>0</v>
      </c>
      <c r="X6127">
        <v>0</v>
      </c>
      <c r="Y6127">
        <v>205.98</v>
      </c>
      <c r="Z6127">
        <v>205.98</v>
      </c>
      <c r="AA6127">
        <v>205.98</v>
      </c>
      <c r="AB6127" s="1">
        <v>42382</v>
      </c>
      <c r="AC6127" t="s">
        <v>53</v>
      </c>
      <c r="AD6127" t="s">
        <v>53</v>
      </c>
      <c r="AK6127">
        <v>37.14</v>
      </c>
      <c r="AU6127" s="6">
        <v>42355</v>
      </c>
      <c r="AV6127" s="6">
        <v>42355</v>
      </c>
      <c r="AW6127" t="s">
        <v>54</v>
      </c>
      <c r="AX6127" t="str">
        <f t="shared" si="514"/>
        <v>FOR</v>
      </c>
      <c r="AY6127" t="s">
        <v>55</v>
      </c>
    </row>
    <row r="6128" spans="1:51">
      <c r="A6128">
        <v>104009</v>
      </c>
      <c r="B6128" t="s">
        <v>1167</v>
      </c>
      <c r="C6128" t="str">
        <f t="shared" si="517"/>
        <v>08641790152</v>
      </c>
      <c r="D6128" t="str">
        <f t="shared" si="517"/>
        <v>08641790152</v>
      </c>
      <c r="E6128" t="s">
        <v>52</v>
      </c>
      <c r="F6128">
        <v>2015</v>
      </c>
      <c r="G6128">
        <v>26200</v>
      </c>
      <c r="H6128" s="1">
        <v>42066</v>
      </c>
      <c r="I6128" s="1">
        <v>42087</v>
      </c>
      <c r="J6128" s="1">
        <v>42087</v>
      </c>
      <c r="K6128" s="1">
        <v>42147</v>
      </c>
      <c r="L6128" s="7">
        <v>567</v>
      </c>
      <c r="M6128" s="5">
        <v>208</v>
      </c>
      <c r="N6128" s="7">
        <v>117936</v>
      </c>
      <c r="O6128">
        <v>567</v>
      </c>
      <c r="P6128">
        <v>208</v>
      </c>
      <c r="Q6128" s="2">
        <v>117936</v>
      </c>
      <c r="R6128">
        <v>124.74</v>
      </c>
      <c r="V6128">
        <v>0</v>
      </c>
      <c r="W6128">
        <v>0</v>
      </c>
      <c r="X6128">
        <v>0</v>
      </c>
      <c r="Y6128">
        <v>691.74</v>
      </c>
      <c r="Z6128">
        <v>691.74</v>
      </c>
      <c r="AA6128">
        <v>691.74</v>
      </c>
      <c r="AB6128" s="1">
        <v>42382</v>
      </c>
      <c r="AC6128" t="s">
        <v>53</v>
      </c>
      <c r="AD6128" t="s">
        <v>53</v>
      </c>
      <c r="AK6128">
        <v>124.74</v>
      </c>
      <c r="AU6128" s="6">
        <v>42355</v>
      </c>
      <c r="AV6128" s="6">
        <v>42355</v>
      </c>
      <c r="AW6128" t="s">
        <v>54</v>
      </c>
      <c r="AX6128" t="str">
        <f t="shared" si="514"/>
        <v>FOR</v>
      </c>
      <c r="AY6128" t="s">
        <v>55</v>
      </c>
    </row>
    <row r="6129" spans="1:51">
      <c r="A6129">
        <v>104009</v>
      </c>
      <c r="B6129" t="s">
        <v>1167</v>
      </c>
      <c r="C6129" t="str">
        <f t="shared" si="517"/>
        <v>08641790152</v>
      </c>
      <c r="D6129" t="str">
        <f t="shared" si="517"/>
        <v>08641790152</v>
      </c>
      <c r="E6129" t="s">
        <v>52</v>
      </c>
      <c r="F6129">
        <v>2015</v>
      </c>
      <c r="G6129">
        <v>27218</v>
      </c>
      <c r="H6129" s="1">
        <v>42068</v>
      </c>
      <c r="I6129" s="1">
        <v>42087</v>
      </c>
      <c r="J6129" s="1">
        <v>42087</v>
      </c>
      <c r="K6129" s="1">
        <v>42147</v>
      </c>
      <c r="L6129" s="7">
        <v>250</v>
      </c>
      <c r="M6129" s="5">
        <v>208</v>
      </c>
      <c r="N6129" s="7">
        <v>52000</v>
      </c>
      <c r="O6129">
        <v>250</v>
      </c>
      <c r="P6129">
        <v>208</v>
      </c>
      <c r="Q6129" s="2">
        <v>52000</v>
      </c>
      <c r="R6129">
        <v>55</v>
      </c>
      <c r="V6129">
        <v>0</v>
      </c>
      <c r="W6129">
        <v>0</v>
      </c>
      <c r="X6129">
        <v>0</v>
      </c>
      <c r="Y6129">
        <v>305</v>
      </c>
      <c r="Z6129">
        <v>305</v>
      </c>
      <c r="AA6129">
        <v>305</v>
      </c>
      <c r="AB6129" s="1">
        <v>42382</v>
      </c>
      <c r="AC6129" t="s">
        <v>53</v>
      </c>
      <c r="AD6129" t="s">
        <v>53</v>
      </c>
      <c r="AK6129">
        <v>55</v>
      </c>
      <c r="AU6129" s="6">
        <v>42355</v>
      </c>
      <c r="AV6129" s="6">
        <v>42355</v>
      </c>
      <c r="AW6129" t="s">
        <v>54</v>
      </c>
      <c r="AX6129" t="str">
        <f t="shared" si="514"/>
        <v>FOR</v>
      </c>
      <c r="AY6129" t="s">
        <v>55</v>
      </c>
    </row>
    <row r="6130" spans="1:51">
      <c r="A6130">
        <v>104009</v>
      </c>
      <c r="B6130" t="s">
        <v>1167</v>
      </c>
      <c r="C6130" t="str">
        <f t="shared" si="517"/>
        <v>08641790152</v>
      </c>
      <c r="D6130" t="str">
        <f t="shared" si="517"/>
        <v>08641790152</v>
      </c>
      <c r="E6130" t="s">
        <v>52</v>
      </c>
      <c r="F6130">
        <v>2015</v>
      </c>
      <c r="G6130">
        <v>27330</v>
      </c>
      <c r="H6130" s="1">
        <v>42068</v>
      </c>
      <c r="I6130" s="1">
        <v>42087</v>
      </c>
      <c r="J6130" s="1">
        <v>42087</v>
      </c>
      <c r="K6130" s="1">
        <v>42147</v>
      </c>
      <c r="L6130" s="7">
        <v>2347</v>
      </c>
      <c r="M6130" s="5">
        <v>208</v>
      </c>
      <c r="N6130" s="7">
        <v>488176</v>
      </c>
      <c r="O6130" s="2">
        <v>2347</v>
      </c>
      <c r="P6130">
        <v>208</v>
      </c>
      <c r="Q6130" s="2">
        <v>488176</v>
      </c>
      <c r="R6130">
        <v>516.34</v>
      </c>
      <c r="V6130">
        <v>0</v>
      </c>
      <c r="W6130">
        <v>0</v>
      </c>
      <c r="X6130">
        <v>0</v>
      </c>
      <c r="Y6130" s="2">
        <v>2863.34</v>
      </c>
      <c r="Z6130" s="2">
        <v>2863.34</v>
      </c>
      <c r="AA6130" s="2">
        <v>2863.34</v>
      </c>
      <c r="AB6130" s="1">
        <v>42382</v>
      </c>
      <c r="AC6130" t="s">
        <v>53</v>
      </c>
      <c r="AD6130" t="s">
        <v>53</v>
      </c>
      <c r="AK6130">
        <v>516.34</v>
      </c>
      <c r="AU6130" s="6">
        <v>42355</v>
      </c>
      <c r="AV6130" s="6">
        <v>42355</v>
      </c>
      <c r="AW6130" t="s">
        <v>54</v>
      </c>
      <c r="AX6130" t="str">
        <f t="shared" si="514"/>
        <v>FOR</v>
      </c>
      <c r="AY6130" t="s">
        <v>55</v>
      </c>
    </row>
    <row r="6131" spans="1:51">
      <c r="A6131">
        <v>104009</v>
      </c>
      <c r="B6131" t="s">
        <v>1167</v>
      </c>
      <c r="C6131" t="str">
        <f t="shared" si="517"/>
        <v>08641790152</v>
      </c>
      <c r="D6131" t="str">
        <f t="shared" si="517"/>
        <v>08641790152</v>
      </c>
      <c r="E6131" t="s">
        <v>52</v>
      </c>
      <c r="F6131">
        <v>2015</v>
      </c>
      <c r="G6131">
        <v>27345</v>
      </c>
      <c r="H6131" s="1">
        <v>42068</v>
      </c>
      <c r="I6131" s="1">
        <v>42087</v>
      </c>
      <c r="J6131" s="1">
        <v>42087</v>
      </c>
      <c r="K6131" s="1">
        <v>42147</v>
      </c>
      <c r="L6131" s="7">
        <v>346</v>
      </c>
      <c r="M6131" s="5">
        <v>208</v>
      </c>
      <c r="N6131" s="7">
        <v>71968</v>
      </c>
      <c r="O6131">
        <v>346</v>
      </c>
      <c r="P6131">
        <v>208</v>
      </c>
      <c r="Q6131" s="2">
        <v>71968</v>
      </c>
      <c r="R6131">
        <v>76.12</v>
      </c>
      <c r="V6131">
        <v>0</v>
      </c>
      <c r="W6131">
        <v>0</v>
      </c>
      <c r="X6131">
        <v>0</v>
      </c>
      <c r="Y6131">
        <v>422.12</v>
      </c>
      <c r="Z6131">
        <v>422.12</v>
      </c>
      <c r="AA6131">
        <v>422.12</v>
      </c>
      <c r="AB6131" s="1">
        <v>42382</v>
      </c>
      <c r="AC6131" t="s">
        <v>53</v>
      </c>
      <c r="AD6131" t="s">
        <v>53</v>
      </c>
      <c r="AK6131">
        <v>76.12</v>
      </c>
      <c r="AU6131" s="6">
        <v>42355</v>
      </c>
      <c r="AV6131" s="6">
        <v>42355</v>
      </c>
      <c r="AW6131" t="s">
        <v>54</v>
      </c>
      <c r="AX6131" t="str">
        <f t="shared" si="514"/>
        <v>FOR</v>
      </c>
      <c r="AY6131" t="s">
        <v>55</v>
      </c>
    </row>
    <row r="6132" spans="1:51">
      <c r="A6132">
        <v>104009</v>
      </c>
      <c r="B6132" t="s">
        <v>1167</v>
      </c>
      <c r="C6132" t="str">
        <f t="shared" si="517"/>
        <v>08641790152</v>
      </c>
      <c r="D6132" t="str">
        <f t="shared" si="517"/>
        <v>08641790152</v>
      </c>
      <c r="E6132" t="s">
        <v>52</v>
      </c>
      <c r="F6132">
        <v>2015</v>
      </c>
      <c r="G6132">
        <v>27605</v>
      </c>
      <c r="H6132" s="1">
        <v>42069</v>
      </c>
      <c r="I6132" s="1">
        <v>42087</v>
      </c>
      <c r="J6132" s="1">
        <v>42087</v>
      </c>
      <c r="K6132" s="1">
        <v>42147</v>
      </c>
      <c r="L6132" s="7">
        <v>4000</v>
      </c>
      <c r="M6132" s="5">
        <v>208</v>
      </c>
      <c r="N6132" s="7">
        <v>832000</v>
      </c>
      <c r="O6132" s="2">
        <v>4000</v>
      </c>
      <c r="P6132">
        <v>208</v>
      </c>
      <c r="Q6132" s="2">
        <v>832000</v>
      </c>
      <c r="R6132">
        <v>880</v>
      </c>
      <c r="V6132">
        <v>0</v>
      </c>
      <c r="W6132">
        <v>0</v>
      </c>
      <c r="X6132">
        <v>0</v>
      </c>
      <c r="Y6132" s="2">
        <v>4880</v>
      </c>
      <c r="Z6132" s="2">
        <v>4880</v>
      </c>
      <c r="AA6132" s="2">
        <v>4880</v>
      </c>
      <c r="AB6132" s="1">
        <v>42382</v>
      </c>
      <c r="AC6132" t="s">
        <v>53</v>
      </c>
      <c r="AD6132" t="s">
        <v>53</v>
      </c>
      <c r="AK6132">
        <v>880</v>
      </c>
      <c r="AU6132" s="6">
        <v>42355</v>
      </c>
      <c r="AV6132" s="6">
        <v>42355</v>
      </c>
      <c r="AW6132" t="s">
        <v>54</v>
      </c>
      <c r="AX6132" t="str">
        <f t="shared" si="514"/>
        <v>FOR</v>
      </c>
      <c r="AY6132" t="s">
        <v>55</v>
      </c>
    </row>
    <row r="6133" spans="1:51">
      <c r="A6133">
        <v>104009</v>
      </c>
      <c r="B6133" t="s">
        <v>1167</v>
      </c>
      <c r="C6133" t="str">
        <f t="shared" si="517"/>
        <v>08641790152</v>
      </c>
      <c r="D6133" t="str">
        <f t="shared" si="517"/>
        <v>08641790152</v>
      </c>
      <c r="E6133" t="s">
        <v>52</v>
      </c>
      <c r="F6133">
        <v>2015</v>
      </c>
      <c r="G6133">
        <v>28654</v>
      </c>
      <c r="H6133" s="1">
        <v>42072</v>
      </c>
      <c r="I6133" s="1">
        <v>42087</v>
      </c>
      <c r="J6133" s="1">
        <v>42087</v>
      </c>
      <c r="K6133" s="1">
        <v>42147</v>
      </c>
      <c r="L6133" s="7">
        <v>4000</v>
      </c>
      <c r="M6133" s="5">
        <v>208</v>
      </c>
      <c r="N6133" s="7">
        <v>832000</v>
      </c>
      <c r="O6133" s="2">
        <v>4000</v>
      </c>
      <c r="P6133">
        <v>208</v>
      </c>
      <c r="Q6133" s="2">
        <v>832000</v>
      </c>
      <c r="R6133">
        <v>880</v>
      </c>
      <c r="V6133">
        <v>0</v>
      </c>
      <c r="W6133">
        <v>0</v>
      </c>
      <c r="X6133">
        <v>0</v>
      </c>
      <c r="Y6133" s="2">
        <v>4880</v>
      </c>
      <c r="Z6133" s="2">
        <v>4880</v>
      </c>
      <c r="AA6133" s="2">
        <v>4880</v>
      </c>
      <c r="AB6133" s="1">
        <v>42382</v>
      </c>
      <c r="AC6133" t="s">
        <v>53</v>
      </c>
      <c r="AD6133" t="s">
        <v>53</v>
      </c>
      <c r="AK6133">
        <v>880</v>
      </c>
      <c r="AU6133" s="6">
        <v>42355</v>
      </c>
      <c r="AV6133" s="6">
        <v>42355</v>
      </c>
      <c r="AW6133" t="s">
        <v>54</v>
      </c>
      <c r="AX6133" t="str">
        <f t="shared" si="514"/>
        <v>FOR</v>
      </c>
      <c r="AY6133" t="s">
        <v>55</v>
      </c>
    </row>
    <row r="6134" spans="1:51">
      <c r="A6134">
        <v>104009</v>
      </c>
      <c r="B6134" t="s">
        <v>1167</v>
      </c>
      <c r="C6134" t="str">
        <f t="shared" si="517"/>
        <v>08641790152</v>
      </c>
      <c r="D6134" t="str">
        <f t="shared" si="517"/>
        <v>08641790152</v>
      </c>
      <c r="E6134" t="s">
        <v>52</v>
      </c>
      <c r="F6134">
        <v>2015</v>
      </c>
      <c r="G6134">
        <v>29858</v>
      </c>
      <c r="H6134" s="1">
        <v>42074</v>
      </c>
      <c r="I6134" s="1">
        <v>42087</v>
      </c>
      <c r="J6134" s="1">
        <v>42087</v>
      </c>
      <c r="K6134" s="1">
        <v>42147</v>
      </c>
      <c r="L6134" s="7">
        <v>816</v>
      </c>
      <c r="M6134" s="5">
        <v>208</v>
      </c>
      <c r="N6134" s="7">
        <v>169728</v>
      </c>
      <c r="O6134">
        <v>816</v>
      </c>
      <c r="P6134">
        <v>208</v>
      </c>
      <c r="Q6134" s="2">
        <v>169728</v>
      </c>
      <c r="R6134">
        <v>179.52</v>
      </c>
      <c r="V6134">
        <v>0</v>
      </c>
      <c r="W6134">
        <v>0</v>
      </c>
      <c r="X6134">
        <v>0</v>
      </c>
      <c r="Y6134">
        <v>995.52</v>
      </c>
      <c r="Z6134">
        <v>995.52</v>
      </c>
      <c r="AA6134">
        <v>995.52</v>
      </c>
      <c r="AB6134" s="1">
        <v>42382</v>
      </c>
      <c r="AC6134" t="s">
        <v>53</v>
      </c>
      <c r="AD6134" t="s">
        <v>53</v>
      </c>
      <c r="AK6134">
        <v>179.52</v>
      </c>
      <c r="AU6134" s="6">
        <v>42355</v>
      </c>
      <c r="AV6134" s="6">
        <v>42355</v>
      </c>
      <c r="AW6134" t="s">
        <v>54</v>
      </c>
      <c r="AX6134" t="str">
        <f t="shared" si="514"/>
        <v>FOR</v>
      </c>
      <c r="AY6134" t="s">
        <v>55</v>
      </c>
    </row>
    <row r="6135" spans="1:51">
      <c r="A6135">
        <v>104009</v>
      </c>
      <c r="B6135" t="s">
        <v>1167</v>
      </c>
      <c r="C6135" t="str">
        <f t="shared" si="517"/>
        <v>08641790152</v>
      </c>
      <c r="D6135" t="str">
        <f t="shared" si="517"/>
        <v>08641790152</v>
      </c>
      <c r="E6135" t="s">
        <v>52</v>
      </c>
      <c r="F6135">
        <v>2015</v>
      </c>
      <c r="G6135">
        <v>30937</v>
      </c>
      <c r="H6135" s="1">
        <v>42076</v>
      </c>
      <c r="I6135" s="1">
        <v>42087</v>
      </c>
      <c r="J6135" s="1">
        <v>42087</v>
      </c>
      <c r="K6135" s="1">
        <v>42147</v>
      </c>
      <c r="L6135" s="7">
        <v>6600</v>
      </c>
      <c r="M6135" s="5">
        <v>208</v>
      </c>
      <c r="N6135" s="7">
        <v>1372800</v>
      </c>
      <c r="O6135" s="2">
        <v>6600</v>
      </c>
      <c r="P6135">
        <v>208</v>
      </c>
      <c r="Q6135" s="2">
        <v>1372800</v>
      </c>
      <c r="R6135" s="2">
        <v>1452</v>
      </c>
      <c r="V6135">
        <v>0</v>
      </c>
      <c r="W6135">
        <v>0</v>
      </c>
      <c r="X6135">
        <v>0</v>
      </c>
      <c r="Y6135" s="2">
        <v>8052</v>
      </c>
      <c r="Z6135" s="2">
        <v>8052</v>
      </c>
      <c r="AA6135" s="2">
        <v>8052</v>
      </c>
      <c r="AB6135" s="1">
        <v>42382</v>
      </c>
      <c r="AC6135" t="s">
        <v>53</v>
      </c>
      <c r="AD6135" t="s">
        <v>53</v>
      </c>
      <c r="AK6135" s="2">
        <v>1452</v>
      </c>
      <c r="AU6135" s="6">
        <v>42355</v>
      </c>
      <c r="AV6135" s="6">
        <v>42355</v>
      </c>
      <c r="AW6135" t="s">
        <v>54</v>
      </c>
      <c r="AX6135" t="str">
        <f t="shared" si="514"/>
        <v>FOR</v>
      </c>
      <c r="AY6135" t="s">
        <v>55</v>
      </c>
    </row>
    <row r="6136" spans="1:51">
      <c r="A6136">
        <v>104009</v>
      </c>
      <c r="B6136" t="s">
        <v>1167</v>
      </c>
      <c r="C6136" t="str">
        <f t="shared" si="517"/>
        <v>08641790152</v>
      </c>
      <c r="D6136" t="str">
        <f t="shared" si="517"/>
        <v>08641790152</v>
      </c>
      <c r="E6136" t="s">
        <v>52</v>
      </c>
      <c r="F6136">
        <v>2015</v>
      </c>
      <c r="G6136">
        <v>32132</v>
      </c>
      <c r="H6136" s="1">
        <v>42080</v>
      </c>
      <c r="I6136" s="1">
        <v>42089</v>
      </c>
      <c r="J6136" s="1">
        <v>42089</v>
      </c>
      <c r="K6136" s="1">
        <v>42149</v>
      </c>
      <c r="L6136" s="7">
        <v>294</v>
      </c>
      <c r="M6136" s="5">
        <v>206</v>
      </c>
      <c r="N6136" s="7">
        <v>60564</v>
      </c>
      <c r="O6136">
        <v>294</v>
      </c>
      <c r="P6136">
        <v>206</v>
      </c>
      <c r="Q6136" s="2">
        <v>60564</v>
      </c>
      <c r="R6136">
        <v>64.680000000000007</v>
      </c>
      <c r="V6136">
        <v>0</v>
      </c>
      <c r="W6136">
        <v>0</v>
      </c>
      <c r="X6136">
        <v>0</v>
      </c>
      <c r="Y6136">
        <v>358.68</v>
      </c>
      <c r="Z6136">
        <v>358.68</v>
      </c>
      <c r="AA6136">
        <v>358.68</v>
      </c>
      <c r="AB6136" s="1">
        <v>42382</v>
      </c>
      <c r="AC6136" t="s">
        <v>53</v>
      </c>
      <c r="AD6136" t="s">
        <v>53</v>
      </c>
      <c r="AK6136">
        <v>64.680000000000007</v>
      </c>
      <c r="AU6136" s="6">
        <v>42355</v>
      </c>
      <c r="AV6136" s="6">
        <v>42355</v>
      </c>
      <c r="AW6136" t="s">
        <v>54</v>
      </c>
      <c r="AX6136" t="str">
        <f t="shared" si="514"/>
        <v>FOR</v>
      </c>
      <c r="AY6136" t="s">
        <v>55</v>
      </c>
    </row>
    <row r="6137" spans="1:51">
      <c r="A6137">
        <v>104009</v>
      </c>
      <c r="B6137" t="s">
        <v>1167</v>
      </c>
      <c r="C6137" t="str">
        <f t="shared" si="517"/>
        <v>08641790152</v>
      </c>
      <c r="D6137" t="str">
        <f t="shared" si="517"/>
        <v>08641790152</v>
      </c>
      <c r="E6137" t="s">
        <v>52</v>
      </c>
      <c r="F6137">
        <v>2015</v>
      </c>
      <c r="G6137">
        <v>32422</v>
      </c>
      <c r="H6137" s="1">
        <v>42080</v>
      </c>
      <c r="I6137" s="1">
        <v>42089</v>
      </c>
      <c r="J6137" s="1">
        <v>42089</v>
      </c>
      <c r="K6137" s="1">
        <v>42149</v>
      </c>
      <c r="L6137" s="7">
        <v>1680</v>
      </c>
      <c r="M6137" s="5">
        <v>206</v>
      </c>
      <c r="N6137" s="7">
        <v>346080</v>
      </c>
      <c r="O6137" s="2">
        <v>1680</v>
      </c>
      <c r="P6137">
        <v>206</v>
      </c>
      <c r="Q6137" s="2">
        <v>346080</v>
      </c>
      <c r="R6137">
        <v>369.6</v>
      </c>
      <c r="V6137">
        <v>0</v>
      </c>
      <c r="W6137">
        <v>0</v>
      </c>
      <c r="X6137">
        <v>0</v>
      </c>
      <c r="Y6137" s="2">
        <v>2049.6</v>
      </c>
      <c r="Z6137" s="2">
        <v>2049.6</v>
      </c>
      <c r="AA6137" s="2">
        <v>2049.6</v>
      </c>
      <c r="AB6137" s="1">
        <v>42382</v>
      </c>
      <c r="AC6137" t="s">
        <v>53</v>
      </c>
      <c r="AD6137" t="s">
        <v>53</v>
      </c>
      <c r="AK6137">
        <v>369.6</v>
      </c>
      <c r="AU6137" s="6">
        <v>42355</v>
      </c>
      <c r="AV6137" s="6">
        <v>42355</v>
      </c>
      <c r="AW6137" t="s">
        <v>54</v>
      </c>
      <c r="AX6137" t="str">
        <f t="shared" si="514"/>
        <v>FOR</v>
      </c>
      <c r="AY6137" t="s">
        <v>55</v>
      </c>
    </row>
    <row r="6138" spans="1:51">
      <c r="A6138">
        <v>104009</v>
      </c>
      <c r="B6138" t="s">
        <v>1167</v>
      </c>
      <c r="C6138" t="str">
        <f t="shared" si="517"/>
        <v>08641790152</v>
      </c>
      <c r="D6138" t="str">
        <f t="shared" si="517"/>
        <v>08641790152</v>
      </c>
      <c r="E6138" t="s">
        <v>52</v>
      </c>
      <c r="F6138">
        <v>2015</v>
      </c>
      <c r="G6138">
        <v>32737</v>
      </c>
      <c r="H6138" s="1">
        <v>42081</v>
      </c>
      <c r="I6138" s="1">
        <v>42094</v>
      </c>
      <c r="J6138" s="1">
        <v>42094</v>
      </c>
      <c r="K6138" s="1">
        <v>42154</v>
      </c>
      <c r="L6138" s="7">
        <v>10200</v>
      </c>
      <c r="M6138" s="5">
        <v>201</v>
      </c>
      <c r="N6138" s="7">
        <v>2050200</v>
      </c>
      <c r="O6138" s="2">
        <v>10200</v>
      </c>
      <c r="P6138">
        <v>201</v>
      </c>
      <c r="Q6138" s="2">
        <v>2050200</v>
      </c>
      <c r="R6138" s="2">
        <v>2244</v>
      </c>
      <c r="V6138">
        <v>0</v>
      </c>
      <c r="W6138">
        <v>0</v>
      </c>
      <c r="X6138">
        <v>0</v>
      </c>
      <c r="Y6138" s="2">
        <v>12444</v>
      </c>
      <c r="Z6138" s="2">
        <v>12444</v>
      </c>
      <c r="AA6138" s="2">
        <v>12444</v>
      </c>
      <c r="AB6138" s="1">
        <v>42382</v>
      </c>
      <c r="AC6138" t="s">
        <v>53</v>
      </c>
      <c r="AD6138" t="s">
        <v>53</v>
      </c>
      <c r="AK6138" s="2">
        <v>2244</v>
      </c>
      <c r="AU6138" s="6">
        <v>42355</v>
      </c>
      <c r="AV6138" s="6">
        <v>42355</v>
      </c>
      <c r="AW6138" t="s">
        <v>54</v>
      </c>
      <c r="AX6138" t="str">
        <f t="shared" si="514"/>
        <v>FOR</v>
      </c>
      <c r="AY6138" t="s">
        <v>55</v>
      </c>
    </row>
    <row r="6139" spans="1:51">
      <c r="A6139">
        <v>104009</v>
      </c>
      <c r="B6139" t="s">
        <v>1167</v>
      </c>
      <c r="C6139" t="str">
        <f t="shared" si="517"/>
        <v>08641790152</v>
      </c>
      <c r="D6139" t="str">
        <f t="shared" si="517"/>
        <v>08641790152</v>
      </c>
      <c r="E6139" t="s">
        <v>52</v>
      </c>
      <c r="F6139">
        <v>2015</v>
      </c>
      <c r="G6139">
        <v>32841</v>
      </c>
      <c r="H6139" s="1">
        <v>42081</v>
      </c>
      <c r="I6139" s="1">
        <v>42094</v>
      </c>
      <c r="J6139" s="1">
        <v>42094</v>
      </c>
      <c r="K6139" s="1">
        <v>42154</v>
      </c>
      <c r="L6139" s="7">
        <v>912</v>
      </c>
      <c r="M6139" s="5">
        <v>201</v>
      </c>
      <c r="N6139" s="7">
        <v>183312</v>
      </c>
      <c r="O6139">
        <v>912</v>
      </c>
      <c r="P6139">
        <v>201</v>
      </c>
      <c r="Q6139" s="2">
        <v>183312</v>
      </c>
      <c r="R6139">
        <v>200.64</v>
      </c>
      <c r="V6139">
        <v>0</v>
      </c>
      <c r="W6139">
        <v>0</v>
      </c>
      <c r="X6139">
        <v>0</v>
      </c>
      <c r="Y6139" s="2">
        <v>1112.6400000000001</v>
      </c>
      <c r="Z6139" s="2">
        <v>1112.6400000000001</v>
      </c>
      <c r="AA6139" s="2">
        <v>1112.6400000000001</v>
      </c>
      <c r="AB6139" s="1">
        <v>42382</v>
      </c>
      <c r="AC6139" t="s">
        <v>53</v>
      </c>
      <c r="AD6139" t="s">
        <v>53</v>
      </c>
      <c r="AK6139">
        <v>200.64</v>
      </c>
      <c r="AU6139" s="6">
        <v>42355</v>
      </c>
      <c r="AV6139" s="6">
        <v>42355</v>
      </c>
      <c r="AW6139" t="s">
        <v>54</v>
      </c>
      <c r="AX6139" t="str">
        <f t="shared" si="514"/>
        <v>FOR</v>
      </c>
      <c r="AY6139" t="s">
        <v>55</v>
      </c>
    </row>
    <row r="6140" spans="1:51">
      <c r="A6140">
        <v>104009</v>
      </c>
      <c r="B6140" t="s">
        <v>1167</v>
      </c>
      <c r="C6140" t="str">
        <f t="shared" si="517"/>
        <v>08641790152</v>
      </c>
      <c r="D6140" t="str">
        <f t="shared" si="517"/>
        <v>08641790152</v>
      </c>
      <c r="E6140" t="s">
        <v>52</v>
      </c>
      <c r="F6140">
        <v>2015</v>
      </c>
      <c r="G6140">
        <v>33030</v>
      </c>
      <c r="H6140" s="1">
        <v>42081</v>
      </c>
      <c r="I6140" s="1">
        <v>42094</v>
      </c>
      <c r="J6140" s="1">
        <v>42094</v>
      </c>
      <c r="K6140" s="1">
        <v>42154</v>
      </c>
      <c r="L6140" s="7">
        <v>195</v>
      </c>
      <c r="M6140" s="5">
        <v>201</v>
      </c>
      <c r="N6140" s="7">
        <v>39195</v>
      </c>
      <c r="O6140">
        <v>195</v>
      </c>
      <c r="P6140">
        <v>201</v>
      </c>
      <c r="Q6140" s="2">
        <v>39195</v>
      </c>
      <c r="R6140">
        <v>42.9</v>
      </c>
      <c r="V6140">
        <v>0</v>
      </c>
      <c r="W6140">
        <v>0</v>
      </c>
      <c r="X6140">
        <v>0</v>
      </c>
      <c r="Y6140">
        <v>237.9</v>
      </c>
      <c r="Z6140">
        <v>237.9</v>
      </c>
      <c r="AA6140">
        <v>237.9</v>
      </c>
      <c r="AB6140" s="1">
        <v>42382</v>
      </c>
      <c r="AC6140" t="s">
        <v>53</v>
      </c>
      <c r="AD6140" t="s">
        <v>53</v>
      </c>
      <c r="AK6140">
        <v>42.9</v>
      </c>
      <c r="AU6140" s="6">
        <v>42355</v>
      </c>
      <c r="AV6140" s="6">
        <v>42355</v>
      </c>
      <c r="AW6140" t="s">
        <v>54</v>
      </c>
      <c r="AX6140" t="str">
        <f t="shared" si="514"/>
        <v>FOR</v>
      </c>
      <c r="AY6140" t="s">
        <v>55</v>
      </c>
    </row>
    <row r="6141" spans="1:51">
      <c r="A6141">
        <v>104009</v>
      </c>
      <c r="B6141" t="s">
        <v>1167</v>
      </c>
      <c r="C6141" t="str">
        <f t="shared" si="517"/>
        <v>08641790152</v>
      </c>
      <c r="D6141" t="str">
        <f t="shared" si="517"/>
        <v>08641790152</v>
      </c>
      <c r="E6141" t="s">
        <v>52</v>
      </c>
      <c r="F6141">
        <v>2015</v>
      </c>
      <c r="G6141">
        <v>33385</v>
      </c>
      <c r="H6141" s="1">
        <v>42081</v>
      </c>
      <c r="I6141" s="1">
        <v>42094</v>
      </c>
      <c r="J6141" s="1">
        <v>42094</v>
      </c>
      <c r="K6141" s="1">
        <v>42154</v>
      </c>
      <c r="L6141" s="7">
        <v>720</v>
      </c>
      <c r="M6141" s="5">
        <v>201</v>
      </c>
      <c r="N6141" s="7">
        <v>144720</v>
      </c>
      <c r="O6141">
        <v>720</v>
      </c>
      <c r="P6141">
        <v>201</v>
      </c>
      <c r="Q6141" s="2">
        <v>144720</v>
      </c>
      <c r="R6141">
        <v>158.4</v>
      </c>
      <c r="V6141">
        <v>0</v>
      </c>
      <c r="W6141">
        <v>0</v>
      </c>
      <c r="X6141">
        <v>0</v>
      </c>
      <c r="Y6141">
        <v>878.4</v>
      </c>
      <c r="Z6141">
        <v>878.4</v>
      </c>
      <c r="AA6141">
        <v>878.4</v>
      </c>
      <c r="AB6141" s="1">
        <v>42382</v>
      </c>
      <c r="AC6141" t="s">
        <v>53</v>
      </c>
      <c r="AD6141" t="s">
        <v>53</v>
      </c>
      <c r="AK6141">
        <v>158.4</v>
      </c>
      <c r="AU6141" s="6">
        <v>42355</v>
      </c>
      <c r="AV6141" s="6">
        <v>42355</v>
      </c>
      <c r="AW6141" t="s">
        <v>54</v>
      </c>
      <c r="AX6141" t="str">
        <f t="shared" si="514"/>
        <v>FOR</v>
      </c>
      <c r="AY6141" t="s">
        <v>55</v>
      </c>
    </row>
    <row r="6142" spans="1:51">
      <c r="A6142">
        <v>104009</v>
      </c>
      <c r="B6142" t="s">
        <v>1167</v>
      </c>
      <c r="C6142" t="str">
        <f t="shared" si="517"/>
        <v>08641790152</v>
      </c>
      <c r="D6142" t="str">
        <f t="shared" si="517"/>
        <v>08641790152</v>
      </c>
      <c r="E6142" t="s">
        <v>52</v>
      </c>
      <c r="F6142">
        <v>2015</v>
      </c>
      <c r="G6142">
        <v>33633</v>
      </c>
      <c r="H6142" s="1">
        <v>42082</v>
      </c>
      <c r="I6142" s="1">
        <v>42097</v>
      </c>
      <c r="J6142" s="1">
        <v>42097</v>
      </c>
      <c r="K6142" s="1">
        <v>42157</v>
      </c>
      <c r="L6142" s="7">
        <v>1032.32</v>
      </c>
      <c r="M6142" s="5">
        <v>198</v>
      </c>
      <c r="N6142" s="7">
        <v>204399.35999999999</v>
      </c>
      <c r="O6142" s="2">
        <v>1032.32</v>
      </c>
      <c r="P6142">
        <v>198</v>
      </c>
      <c r="Q6142" s="2">
        <v>204399.35999999999</v>
      </c>
      <c r="R6142">
        <v>227.11</v>
      </c>
      <c r="V6142">
        <v>0</v>
      </c>
      <c r="W6142">
        <v>0</v>
      </c>
      <c r="X6142">
        <v>0</v>
      </c>
      <c r="Y6142" s="2">
        <v>1259.43</v>
      </c>
      <c r="Z6142" s="2">
        <v>1259.43</v>
      </c>
      <c r="AA6142" s="2">
        <v>1259.43</v>
      </c>
      <c r="AB6142" s="1">
        <v>42382</v>
      </c>
      <c r="AC6142" t="s">
        <v>53</v>
      </c>
      <c r="AD6142" t="s">
        <v>53</v>
      </c>
      <c r="AK6142">
        <v>227.11</v>
      </c>
      <c r="AU6142" s="6">
        <v>42355</v>
      </c>
      <c r="AV6142" s="6">
        <v>42355</v>
      </c>
      <c r="AW6142" t="s">
        <v>54</v>
      </c>
      <c r="AX6142" t="str">
        <f t="shared" si="514"/>
        <v>FOR</v>
      </c>
      <c r="AY6142" t="s">
        <v>55</v>
      </c>
    </row>
    <row r="6143" spans="1:51">
      <c r="A6143">
        <v>104009</v>
      </c>
      <c r="B6143" t="s">
        <v>1167</v>
      </c>
      <c r="C6143" t="str">
        <f t="shared" si="517"/>
        <v>08641790152</v>
      </c>
      <c r="D6143" t="str">
        <f t="shared" si="517"/>
        <v>08641790152</v>
      </c>
      <c r="E6143" t="s">
        <v>52</v>
      </c>
      <c r="F6143">
        <v>2015</v>
      </c>
      <c r="G6143">
        <v>34224</v>
      </c>
      <c r="H6143" s="1">
        <v>42083</v>
      </c>
      <c r="I6143" s="1">
        <v>42094</v>
      </c>
      <c r="J6143" s="1">
        <v>42094</v>
      </c>
      <c r="K6143" s="1">
        <v>42154</v>
      </c>
      <c r="L6143" s="7">
        <v>830</v>
      </c>
      <c r="M6143" s="5">
        <v>201</v>
      </c>
      <c r="N6143" s="7">
        <v>166830</v>
      </c>
      <c r="O6143">
        <v>830</v>
      </c>
      <c r="P6143">
        <v>201</v>
      </c>
      <c r="Q6143" s="2">
        <v>166830</v>
      </c>
      <c r="R6143">
        <v>182.6</v>
      </c>
      <c r="V6143">
        <v>0</v>
      </c>
      <c r="W6143">
        <v>0</v>
      </c>
      <c r="X6143">
        <v>0</v>
      </c>
      <c r="Y6143" s="2">
        <v>1012.6</v>
      </c>
      <c r="Z6143" s="2">
        <v>1012.6</v>
      </c>
      <c r="AA6143" s="2">
        <v>1012.6</v>
      </c>
      <c r="AB6143" s="1">
        <v>42382</v>
      </c>
      <c r="AC6143" t="s">
        <v>53</v>
      </c>
      <c r="AD6143" t="s">
        <v>53</v>
      </c>
      <c r="AK6143">
        <v>182.6</v>
      </c>
      <c r="AU6143" s="6">
        <v>42355</v>
      </c>
      <c r="AV6143" s="6">
        <v>42355</v>
      </c>
      <c r="AW6143" t="s">
        <v>54</v>
      </c>
      <c r="AX6143" t="str">
        <f t="shared" si="514"/>
        <v>FOR</v>
      </c>
      <c r="AY6143" t="s">
        <v>55</v>
      </c>
    </row>
    <row r="6144" spans="1:51">
      <c r="A6144">
        <v>104009</v>
      </c>
      <c r="B6144" t="s">
        <v>1167</v>
      </c>
      <c r="C6144" t="str">
        <f t="shared" si="517"/>
        <v>08641790152</v>
      </c>
      <c r="D6144" t="str">
        <f t="shared" si="517"/>
        <v>08641790152</v>
      </c>
      <c r="E6144" t="s">
        <v>52</v>
      </c>
      <c r="F6144">
        <v>2015</v>
      </c>
      <c r="G6144">
        <v>36157</v>
      </c>
      <c r="H6144" s="1">
        <v>42087</v>
      </c>
      <c r="I6144" s="1">
        <v>42102</v>
      </c>
      <c r="J6144" s="1">
        <v>42102</v>
      </c>
      <c r="K6144" s="1">
        <v>42162</v>
      </c>
      <c r="L6144" s="7">
        <v>5555</v>
      </c>
      <c r="M6144" s="5">
        <v>193</v>
      </c>
      <c r="N6144" s="7">
        <v>1072115</v>
      </c>
      <c r="O6144" s="2">
        <v>5555</v>
      </c>
      <c r="P6144">
        <v>193</v>
      </c>
      <c r="Q6144" s="2">
        <v>1072115</v>
      </c>
      <c r="R6144" s="2">
        <v>1222.0999999999999</v>
      </c>
      <c r="V6144">
        <v>0</v>
      </c>
      <c r="W6144">
        <v>0</v>
      </c>
      <c r="X6144">
        <v>0</v>
      </c>
      <c r="Y6144" s="2">
        <v>6777.1</v>
      </c>
      <c r="Z6144" s="2">
        <v>6777.1</v>
      </c>
      <c r="AA6144" s="2">
        <v>6777.1</v>
      </c>
      <c r="AB6144" s="1">
        <v>42382</v>
      </c>
      <c r="AC6144" t="s">
        <v>53</v>
      </c>
      <c r="AD6144" t="s">
        <v>53</v>
      </c>
      <c r="AK6144" s="2">
        <v>1222.0999999999999</v>
      </c>
      <c r="AU6144" s="6">
        <v>42355</v>
      </c>
      <c r="AV6144" s="6">
        <v>42355</v>
      </c>
      <c r="AW6144" t="s">
        <v>54</v>
      </c>
      <c r="AX6144" t="str">
        <f t="shared" si="514"/>
        <v>FOR</v>
      </c>
      <c r="AY6144" t="s">
        <v>55</v>
      </c>
    </row>
    <row r="6145" spans="1:51">
      <c r="A6145">
        <v>104009</v>
      </c>
      <c r="B6145" t="s">
        <v>1167</v>
      </c>
      <c r="C6145" t="str">
        <f t="shared" ref="C6145:D6152" si="518">"08641790152"</f>
        <v>08641790152</v>
      </c>
      <c r="D6145" t="str">
        <f t="shared" si="518"/>
        <v>08641790152</v>
      </c>
      <c r="E6145" t="s">
        <v>52</v>
      </c>
      <c r="F6145">
        <v>2015</v>
      </c>
      <c r="G6145">
        <v>38813</v>
      </c>
      <c r="H6145" s="1">
        <v>42093</v>
      </c>
      <c r="I6145" s="1">
        <v>42118</v>
      </c>
      <c r="J6145" s="1">
        <v>42118</v>
      </c>
      <c r="K6145" s="1">
        <v>42178</v>
      </c>
      <c r="L6145" s="7">
        <v>1728</v>
      </c>
      <c r="M6145" s="5">
        <v>177</v>
      </c>
      <c r="N6145" s="7">
        <v>305856</v>
      </c>
      <c r="O6145" s="2">
        <v>1728</v>
      </c>
      <c r="P6145">
        <v>177</v>
      </c>
      <c r="Q6145" s="2">
        <v>305856</v>
      </c>
      <c r="R6145">
        <v>380.16</v>
      </c>
      <c r="V6145">
        <v>0</v>
      </c>
      <c r="W6145">
        <v>0</v>
      </c>
      <c r="X6145">
        <v>0</v>
      </c>
      <c r="Y6145" s="2">
        <v>2108.16</v>
      </c>
      <c r="Z6145" s="2">
        <v>2108.16</v>
      </c>
      <c r="AA6145" s="2">
        <v>2108.16</v>
      </c>
      <c r="AB6145" s="1">
        <v>42382</v>
      </c>
      <c r="AC6145" t="s">
        <v>53</v>
      </c>
      <c r="AD6145" t="s">
        <v>53</v>
      </c>
      <c r="AK6145">
        <v>380.16</v>
      </c>
      <c r="AU6145" s="6">
        <v>42355</v>
      </c>
      <c r="AV6145" s="6">
        <v>42355</v>
      </c>
      <c r="AW6145" t="s">
        <v>54</v>
      </c>
      <c r="AX6145" t="str">
        <f t="shared" si="514"/>
        <v>FOR</v>
      </c>
      <c r="AY6145" t="s">
        <v>55</v>
      </c>
    </row>
    <row r="6146" spans="1:51">
      <c r="A6146">
        <v>104009</v>
      </c>
      <c r="B6146" t="s">
        <v>1167</v>
      </c>
      <c r="C6146" t="str">
        <f t="shared" si="518"/>
        <v>08641790152</v>
      </c>
      <c r="D6146" t="str">
        <f t="shared" si="518"/>
        <v>08641790152</v>
      </c>
      <c r="E6146" t="s">
        <v>52</v>
      </c>
      <c r="F6146">
        <v>2015</v>
      </c>
      <c r="G6146">
        <v>38884</v>
      </c>
      <c r="H6146" s="1">
        <v>42093</v>
      </c>
      <c r="I6146" s="1">
        <v>42118</v>
      </c>
      <c r="J6146" s="1">
        <v>42118</v>
      </c>
      <c r="K6146" s="1">
        <v>42178</v>
      </c>
      <c r="L6146" s="7">
        <v>280</v>
      </c>
      <c r="M6146" s="5">
        <v>177</v>
      </c>
      <c r="N6146" s="7">
        <v>49560</v>
      </c>
      <c r="O6146">
        <v>280</v>
      </c>
      <c r="P6146">
        <v>177</v>
      </c>
      <c r="Q6146" s="2">
        <v>49560</v>
      </c>
      <c r="R6146">
        <v>61.6</v>
      </c>
      <c r="V6146">
        <v>0</v>
      </c>
      <c r="W6146">
        <v>0</v>
      </c>
      <c r="X6146">
        <v>0</v>
      </c>
      <c r="Y6146">
        <v>341.6</v>
      </c>
      <c r="Z6146">
        <v>341.6</v>
      </c>
      <c r="AA6146">
        <v>341.6</v>
      </c>
      <c r="AB6146" s="1">
        <v>42382</v>
      </c>
      <c r="AC6146" t="s">
        <v>53</v>
      </c>
      <c r="AD6146" t="s">
        <v>53</v>
      </c>
      <c r="AK6146">
        <v>61.6</v>
      </c>
      <c r="AU6146" s="6">
        <v>42355</v>
      </c>
      <c r="AV6146" s="6">
        <v>42355</v>
      </c>
      <c r="AW6146" t="s">
        <v>54</v>
      </c>
      <c r="AX6146" t="str">
        <f t="shared" si="514"/>
        <v>FOR</v>
      </c>
      <c r="AY6146" t="s">
        <v>55</v>
      </c>
    </row>
    <row r="6147" spans="1:51">
      <c r="A6147">
        <v>104009</v>
      </c>
      <c r="B6147" t="s">
        <v>1167</v>
      </c>
      <c r="C6147" t="str">
        <f t="shared" si="518"/>
        <v>08641790152</v>
      </c>
      <c r="D6147" t="str">
        <f t="shared" si="518"/>
        <v>08641790152</v>
      </c>
      <c r="E6147" t="s">
        <v>52</v>
      </c>
      <c r="F6147">
        <v>2015</v>
      </c>
      <c r="G6147">
        <v>38890</v>
      </c>
      <c r="H6147" s="1">
        <v>42093</v>
      </c>
      <c r="I6147" s="1">
        <v>42118</v>
      </c>
      <c r="J6147" s="1">
        <v>42118</v>
      </c>
      <c r="K6147" s="1">
        <v>42178</v>
      </c>
      <c r="L6147" s="7">
        <v>365</v>
      </c>
      <c r="M6147" s="5">
        <v>177</v>
      </c>
      <c r="N6147" s="7">
        <v>64605</v>
      </c>
      <c r="O6147">
        <v>365</v>
      </c>
      <c r="P6147">
        <v>177</v>
      </c>
      <c r="Q6147" s="2">
        <v>64605</v>
      </c>
      <c r="R6147">
        <v>80.3</v>
      </c>
      <c r="V6147">
        <v>0</v>
      </c>
      <c r="W6147">
        <v>0</v>
      </c>
      <c r="X6147">
        <v>0</v>
      </c>
      <c r="Y6147">
        <v>445.3</v>
      </c>
      <c r="Z6147">
        <v>445.3</v>
      </c>
      <c r="AA6147">
        <v>445.3</v>
      </c>
      <c r="AB6147" s="1">
        <v>42382</v>
      </c>
      <c r="AC6147" t="s">
        <v>53</v>
      </c>
      <c r="AD6147" t="s">
        <v>53</v>
      </c>
      <c r="AK6147">
        <v>80.3</v>
      </c>
      <c r="AU6147" s="6">
        <v>42355</v>
      </c>
      <c r="AV6147" s="6">
        <v>42355</v>
      </c>
      <c r="AW6147" t="s">
        <v>54</v>
      </c>
      <c r="AX6147" t="str">
        <f t="shared" ref="AX6147:AX6210" si="519">"FOR"</f>
        <v>FOR</v>
      </c>
      <c r="AY6147" t="s">
        <v>55</v>
      </c>
    </row>
    <row r="6148" spans="1:51">
      <c r="A6148">
        <v>104009</v>
      </c>
      <c r="B6148" t="s">
        <v>1167</v>
      </c>
      <c r="C6148" t="str">
        <f t="shared" si="518"/>
        <v>08641790152</v>
      </c>
      <c r="D6148" t="str">
        <f t="shared" si="518"/>
        <v>08641790152</v>
      </c>
      <c r="E6148" t="s">
        <v>52</v>
      </c>
      <c r="F6148">
        <v>2015</v>
      </c>
      <c r="G6148">
        <v>38894</v>
      </c>
      <c r="H6148" s="1">
        <v>42093</v>
      </c>
      <c r="I6148" s="1">
        <v>42118</v>
      </c>
      <c r="J6148" s="1">
        <v>42118</v>
      </c>
      <c r="K6148" s="1">
        <v>42178</v>
      </c>
      <c r="L6148" s="7">
        <v>1896</v>
      </c>
      <c r="M6148" s="5">
        <v>177</v>
      </c>
      <c r="N6148" s="7">
        <v>335592</v>
      </c>
      <c r="O6148" s="2">
        <v>1896</v>
      </c>
      <c r="P6148">
        <v>177</v>
      </c>
      <c r="Q6148" s="2">
        <v>335592</v>
      </c>
      <c r="R6148">
        <v>417.12</v>
      </c>
      <c r="V6148">
        <v>0</v>
      </c>
      <c r="W6148">
        <v>0</v>
      </c>
      <c r="X6148">
        <v>0</v>
      </c>
      <c r="Y6148" s="2">
        <v>2313.12</v>
      </c>
      <c r="Z6148" s="2">
        <v>2313.12</v>
      </c>
      <c r="AA6148" s="2">
        <v>2313.12</v>
      </c>
      <c r="AB6148" s="1">
        <v>42382</v>
      </c>
      <c r="AC6148" t="s">
        <v>53</v>
      </c>
      <c r="AD6148" t="s">
        <v>53</v>
      </c>
      <c r="AK6148">
        <v>417.12</v>
      </c>
      <c r="AU6148" s="6">
        <v>42355</v>
      </c>
      <c r="AV6148" s="6">
        <v>42355</v>
      </c>
      <c r="AW6148" t="s">
        <v>54</v>
      </c>
      <c r="AX6148" t="str">
        <f t="shared" si="519"/>
        <v>FOR</v>
      </c>
      <c r="AY6148" t="s">
        <v>55</v>
      </c>
    </row>
    <row r="6149" spans="1:51">
      <c r="A6149">
        <v>104009</v>
      </c>
      <c r="B6149" t="s">
        <v>1167</v>
      </c>
      <c r="C6149" t="str">
        <f t="shared" si="518"/>
        <v>08641790152</v>
      </c>
      <c r="D6149" t="str">
        <f t="shared" si="518"/>
        <v>08641790152</v>
      </c>
      <c r="E6149" t="s">
        <v>52</v>
      </c>
      <c r="F6149">
        <v>2015</v>
      </c>
      <c r="G6149">
        <v>38964</v>
      </c>
      <c r="H6149" s="1">
        <v>42093</v>
      </c>
      <c r="I6149" s="1">
        <v>42118</v>
      </c>
      <c r="J6149" s="1">
        <v>42118</v>
      </c>
      <c r="K6149" s="1">
        <v>42178</v>
      </c>
      <c r="L6149" s="7">
        <v>925</v>
      </c>
      <c r="M6149" s="5">
        <v>177</v>
      </c>
      <c r="N6149" s="7">
        <v>163725</v>
      </c>
      <c r="O6149">
        <v>925</v>
      </c>
      <c r="P6149">
        <v>177</v>
      </c>
      <c r="Q6149" s="2">
        <v>163725</v>
      </c>
      <c r="R6149">
        <v>203.5</v>
      </c>
      <c r="V6149">
        <v>0</v>
      </c>
      <c r="W6149">
        <v>0</v>
      </c>
      <c r="X6149">
        <v>0</v>
      </c>
      <c r="Y6149" s="2">
        <v>1128.5</v>
      </c>
      <c r="Z6149" s="2">
        <v>1128.5</v>
      </c>
      <c r="AA6149" s="2">
        <v>1128.5</v>
      </c>
      <c r="AB6149" s="1">
        <v>42382</v>
      </c>
      <c r="AC6149" t="s">
        <v>53</v>
      </c>
      <c r="AD6149" t="s">
        <v>53</v>
      </c>
      <c r="AK6149">
        <v>203.5</v>
      </c>
      <c r="AU6149" s="6">
        <v>42355</v>
      </c>
      <c r="AV6149" s="6">
        <v>42355</v>
      </c>
      <c r="AW6149" t="s">
        <v>54</v>
      </c>
      <c r="AX6149" t="str">
        <f t="shared" si="519"/>
        <v>FOR</v>
      </c>
      <c r="AY6149" t="s">
        <v>55</v>
      </c>
    </row>
    <row r="6150" spans="1:51">
      <c r="A6150">
        <v>104009</v>
      </c>
      <c r="B6150" t="s">
        <v>1167</v>
      </c>
      <c r="C6150" t="str">
        <f t="shared" si="518"/>
        <v>08641790152</v>
      </c>
      <c r="D6150" t="str">
        <f t="shared" si="518"/>
        <v>08641790152</v>
      </c>
      <c r="E6150" t="s">
        <v>52</v>
      </c>
      <c r="F6150">
        <v>2015</v>
      </c>
      <c r="G6150">
        <v>38970</v>
      </c>
      <c r="H6150" s="1">
        <v>42093</v>
      </c>
      <c r="I6150" s="1">
        <v>42118</v>
      </c>
      <c r="J6150" s="1">
        <v>42118</v>
      </c>
      <c r="K6150" s="1">
        <v>42178</v>
      </c>
      <c r="L6150" s="7">
        <v>519</v>
      </c>
      <c r="M6150" s="5">
        <v>177</v>
      </c>
      <c r="N6150" s="7">
        <v>91863</v>
      </c>
      <c r="O6150">
        <v>519</v>
      </c>
      <c r="P6150">
        <v>177</v>
      </c>
      <c r="Q6150" s="2">
        <v>91863</v>
      </c>
      <c r="R6150">
        <v>114.18</v>
      </c>
      <c r="V6150">
        <v>0</v>
      </c>
      <c r="W6150">
        <v>0</v>
      </c>
      <c r="X6150">
        <v>0</v>
      </c>
      <c r="Y6150">
        <v>633.17999999999995</v>
      </c>
      <c r="Z6150">
        <v>633.17999999999995</v>
      </c>
      <c r="AA6150">
        <v>633.17999999999995</v>
      </c>
      <c r="AB6150" s="1">
        <v>42382</v>
      </c>
      <c r="AC6150" t="s">
        <v>53</v>
      </c>
      <c r="AD6150" t="s">
        <v>53</v>
      </c>
      <c r="AK6150">
        <v>114.18</v>
      </c>
      <c r="AU6150" s="6">
        <v>42355</v>
      </c>
      <c r="AV6150" s="6">
        <v>42355</v>
      </c>
      <c r="AW6150" t="s">
        <v>54</v>
      </c>
      <c r="AX6150" t="str">
        <f t="shared" si="519"/>
        <v>FOR</v>
      </c>
      <c r="AY6150" t="s">
        <v>55</v>
      </c>
    </row>
    <row r="6151" spans="1:51">
      <c r="A6151">
        <v>104009</v>
      </c>
      <c r="B6151" t="s">
        <v>1167</v>
      </c>
      <c r="C6151" t="str">
        <f t="shared" si="518"/>
        <v>08641790152</v>
      </c>
      <c r="D6151" t="str">
        <f t="shared" si="518"/>
        <v>08641790152</v>
      </c>
      <c r="E6151" t="s">
        <v>52</v>
      </c>
      <c r="F6151">
        <v>2015</v>
      </c>
      <c r="G6151">
        <v>38981</v>
      </c>
      <c r="H6151" s="1">
        <v>42093</v>
      </c>
      <c r="I6151" s="1">
        <v>42118</v>
      </c>
      <c r="J6151" s="1">
        <v>42118</v>
      </c>
      <c r="K6151" s="1">
        <v>42178</v>
      </c>
      <c r="L6151" s="7">
        <v>2056</v>
      </c>
      <c r="M6151" s="5">
        <v>177</v>
      </c>
      <c r="N6151" s="7">
        <v>363912</v>
      </c>
      <c r="O6151" s="2">
        <v>2056</v>
      </c>
      <c r="P6151">
        <v>177</v>
      </c>
      <c r="Q6151" s="2">
        <v>363912</v>
      </c>
      <c r="R6151">
        <v>452.32</v>
      </c>
      <c r="V6151">
        <v>0</v>
      </c>
      <c r="W6151">
        <v>0</v>
      </c>
      <c r="X6151">
        <v>0</v>
      </c>
      <c r="Y6151" s="2">
        <v>2508.3200000000002</v>
      </c>
      <c r="Z6151" s="2">
        <v>2508.3200000000002</v>
      </c>
      <c r="AA6151" s="2">
        <v>2508.3200000000002</v>
      </c>
      <c r="AB6151" s="1">
        <v>42382</v>
      </c>
      <c r="AC6151" t="s">
        <v>53</v>
      </c>
      <c r="AD6151" t="s">
        <v>53</v>
      </c>
      <c r="AK6151">
        <v>452.32</v>
      </c>
      <c r="AU6151" s="6">
        <v>42355</v>
      </c>
      <c r="AV6151" s="6">
        <v>42355</v>
      </c>
      <c r="AW6151" t="s">
        <v>54</v>
      </c>
      <c r="AX6151" t="str">
        <f t="shared" si="519"/>
        <v>FOR</v>
      </c>
      <c r="AY6151" t="s">
        <v>55</v>
      </c>
    </row>
    <row r="6152" spans="1:51">
      <c r="A6152">
        <v>104009</v>
      </c>
      <c r="B6152" t="s">
        <v>1167</v>
      </c>
      <c r="C6152" t="str">
        <f t="shared" si="518"/>
        <v>08641790152</v>
      </c>
      <c r="D6152" t="str">
        <f t="shared" si="518"/>
        <v>08641790152</v>
      </c>
      <c r="E6152" t="s">
        <v>52</v>
      </c>
      <c r="F6152">
        <v>2015</v>
      </c>
      <c r="G6152" t="s">
        <v>1169</v>
      </c>
      <c r="H6152" s="1">
        <v>42094</v>
      </c>
      <c r="I6152" s="1">
        <v>42123</v>
      </c>
      <c r="J6152" s="1">
        <v>42123</v>
      </c>
      <c r="K6152" s="1">
        <v>42183</v>
      </c>
      <c r="L6152" s="7">
        <v>250</v>
      </c>
      <c r="M6152" s="5">
        <v>172</v>
      </c>
      <c r="N6152" s="7">
        <v>43000</v>
      </c>
      <c r="O6152">
        <v>250</v>
      </c>
      <c r="P6152">
        <v>172</v>
      </c>
      <c r="Q6152" s="2">
        <v>43000</v>
      </c>
      <c r="R6152">
        <v>55</v>
      </c>
      <c r="V6152">
        <v>0</v>
      </c>
      <c r="W6152">
        <v>0</v>
      </c>
      <c r="X6152">
        <v>0</v>
      </c>
      <c r="Y6152">
        <v>305</v>
      </c>
      <c r="Z6152">
        <v>305</v>
      </c>
      <c r="AA6152">
        <v>305</v>
      </c>
      <c r="AB6152" s="1">
        <v>42382</v>
      </c>
      <c r="AC6152" t="s">
        <v>53</v>
      </c>
      <c r="AD6152" t="s">
        <v>53</v>
      </c>
      <c r="AK6152">
        <v>55</v>
      </c>
      <c r="AU6152" s="6">
        <v>42355</v>
      </c>
      <c r="AV6152" s="6">
        <v>42355</v>
      </c>
      <c r="AW6152" t="s">
        <v>54</v>
      </c>
      <c r="AX6152" t="str">
        <f t="shared" si="519"/>
        <v>FOR</v>
      </c>
      <c r="AY6152" t="s">
        <v>55</v>
      </c>
    </row>
    <row r="6153" spans="1:51">
      <c r="A6153">
        <v>104020</v>
      </c>
      <c r="B6153" t="s">
        <v>1170</v>
      </c>
      <c r="C6153" t="str">
        <f t="shared" ref="C6153:D6161" si="520">"09120130159"</f>
        <v>09120130159</v>
      </c>
      <c r="D6153" t="str">
        <f t="shared" si="520"/>
        <v>09120130159</v>
      </c>
      <c r="E6153" t="s">
        <v>52</v>
      </c>
      <c r="F6153">
        <v>2012</v>
      </c>
      <c r="G6153">
        <v>69100381</v>
      </c>
      <c r="H6153" s="1">
        <v>41271</v>
      </c>
      <c r="I6153" s="1">
        <v>41274</v>
      </c>
      <c r="J6153" s="1">
        <v>41274</v>
      </c>
      <c r="K6153" s="1">
        <v>41364</v>
      </c>
      <c r="L6153" s="7">
        <v>94968.06</v>
      </c>
      <c r="M6153" s="5">
        <v>955</v>
      </c>
      <c r="N6153" s="7">
        <v>90694497.299999997</v>
      </c>
      <c r="O6153" s="2">
        <v>94968.06</v>
      </c>
      <c r="P6153">
        <v>955</v>
      </c>
      <c r="Q6153" s="2">
        <v>90694497.299999997</v>
      </c>
      <c r="R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 s="1">
        <v>42382</v>
      </c>
      <c r="AC6153" t="s">
        <v>53</v>
      </c>
      <c r="AD6153" t="s">
        <v>53</v>
      </c>
      <c r="AK6153">
        <v>0</v>
      </c>
      <c r="AU6153" s="6">
        <v>42319</v>
      </c>
      <c r="AV6153" s="6">
        <v>42319</v>
      </c>
      <c r="AW6153" t="s">
        <v>54</v>
      </c>
      <c r="AX6153" t="str">
        <f t="shared" si="519"/>
        <v>FOR</v>
      </c>
      <c r="AY6153" t="s">
        <v>55</v>
      </c>
    </row>
    <row r="6154" spans="1:51">
      <c r="A6154">
        <v>104020</v>
      </c>
      <c r="B6154" t="s">
        <v>1170</v>
      </c>
      <c r="C6154" t="str">
        <f t="shared" si="520"/>
        <v>09120130159</v>
      </c>
      <c r="D6154" t="str">
        <f t="shared" si="520"/>
        <v>09120130159</v>
      </c>
      <c r="E6154" t="s">
        <v>52</v>
      </c>
      <c r="F6154">
        <v>2012</v>
      </c>
      <c r="G6154">
        <v>69100384</v>
      </c>
      <c r="H6154" s="1">
        <v>41271</v>
      </c>
      <c r="I6154" s="1">
        <v>41274</v>
      </c>
      <c r="J6154" s="1">
        <v>41274</v>
      </c>
      <c r="K6154" s="1">
        <v>41364</v>
      </c>
      <c r="L6154" s="7">
        <v>82747.06</v>
      </c>
      <c r="M6154" s="5">
        <v>955</v>
      </c>
      <c r="N6154" s="7">
        <v>79023442.299999997</v>
      </c>
      <c r="O6154" s="2">
        <v>82747.06</v>
      </c>
      <c r="P6154">
        <v>955</v>
      </c>
      <c r="Q6154" s="2">
        <v>79023442.299999997</v>
      </c>
      <c r="R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 s="1">
        <v>42382</v>
      </c>
      <c r="AC6154" t="s">
        <v>53</v>
      </c>
      <c r="AD6154" t="s">
        <v>53</v>
      </c>
      <c r="AK6154">
        <v>0</v>
      </c>
      <c r="AU6154" s="6">
        <v>42319</v>
      </c>
      <c r="AV6154" s="6">
        <v>42319</v>
      </c>
      <c r="AW6154" t="s">
        <v>54</v>
      </c>
      <c r="AX6154" t="str">
        <f t="shared" si="519"/>
        <v>FOR</v>
      </c>
      <c r="AY6154" t="s">
        <v>55</v>
      </c>
    </row>
    <row r="6155" spans="1:51">
      <c r="A6155">
        <v>104020</v>
      </c>
      <c r="B6155" t="s">
        <v>1170</v>
      </c>
      <c r="C6155" t="str">
        <f t="shared" si="520"/>
        <v>09120130159</v>
      </c>
      <c r="D6155" t="str">
        <f t="shared" si="520"/>
        <v>09120130159</v>
      </c>
      <c r="E6155" t="s">
        <v>52</v>
      </c>
      <c r="F6155">
        <v>2012</v>
      </c>
      <c r="G6155">
        <v>69100385</v>
      </c>
      <c r="H6155" s="1">
        <v>41271</v>
      </c>
      <c r="I6155" s="1">
        <v>41274</v>
      </c>
      <c r="J6155" s="1">
        <v>41274</v>
      </c>
      <c r="K6155" s="1">
        <v>41364</v>
      </c>
      <c r="L6155" s="7">
        <v>68686.86</v>
      </c>
      <c r="M6155" s="5">
        <v>955</v>
      </c>
      <c r="N6155" s="7">
        <v>65595951.299999997</v>
      </c>
      <c r="O6155" s="2">
        <v>68686.86</v>
      </c>
      <c r="P6155">
        <v>955</v>
      </c>
      <c r="Q6155" s="2">
        <v>65595951.299999997</v>
      </c>
      <c r="R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 s="1">
        <v>42382</v>
      </c>
      <c r="AC6155" t="s">
        <v>53</v>
      </c>
      <c r="AD6155" t="s">
        <v>53</v>
      </c>
      <c r="AK6155">
        <v>0</v>
      </c>
      <c r="AU6155" s="6">
        <v>42319</v>
      </c>
      <c r="AV6155" s="6">
        <v>42319</v>
      </c>
      <c r="AW6155" t="s">
        <v>54</v>
      </c>
      <c r="AX6155" t="str">
        <f t="shared" si="519"/>
        <v>FOR</v>
      </c>
      <c r="AY6155" t="s">
        <v>55</v>
      </c>
    </row>
    <row r="6156" spans="1:51">
      <c r="A6156">
        <v>104020</v>
      </c>
      <c r="B6156" t="s">
        <v>1170</v>
      </c>
      <c r="C6156" t="str">
        <f t="shared" si="520"/>
        <v>09120130159</v>
      </c>
      <c r="D6156" t="str">
        <f t="shared" si="520"/>
        <v>09120130159</v>
      </c>
      <c r="E6156" t="s">
        <v>52</v>
      </c>
      <c r="F6156">
        <v>2013</v>
      </c>
      <c r="G6156">
        <v>69100390</v>
      </c>
      <c r="H6156" s="1">
        <v>41297</v>
      </c>
      <c r="I6156" s="1">
        <v>41324</v>
      </c>
      <c r="J6156" s="1">
        <v>41324</v>
      </c>
      <c r="K6156" s="1">
        <v>41414</v>
      </c>
      <c r="L6156" s="7">
        <v>2548.2600000000002</v>
      </c>
      <c r="M6156" s="5">
        <v>905</v>
      </c>
      <c r="N6156" s="7">
        <v>2306175.2999999998</v>
      </c>
      <c r="O6156" s="2">
        <v>2548.2600000000002</v>
      </c>
      <c r="P6156">
        <v>905</v>
      </c>
      <c r="Q6156" s="2">
        <v>2306175.2999999998</v>
      </c>
      <c r="R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 s="1">
        <v>42382</v>
      </c>
      <c r="AC6156" t="s">
        <v>53</v>
      </c>
      <c r="AD6156" t="s">
        <v>53</v>
      </c>
      <c r="AK6156">
        <v>0</v>
      </c>
      <c r="AU6156" s="6">
        <v>42319</v>
      </c>
      <c r="AV6156" s="6">
        <v>42319</v>
      </c>
      <c r="AW6156" t="s">
        <v>54</v>
      </c>
      <c r="AX6156" t="str">
        <f t="shared" si="519"/>
        <v>FOR</v>
      </c>
      <c r="AY6156" t="s">
        <v>55</v>
      </c>
    </row>
    <row r="6157" spans="1:51">
      <c r="A6157">
        <v>104020</v>
      </c>
      <c r="B6157" t="s">
        <v>1170</v>
      </c>
      <c r="C6157" t="str">
        <f t="shared" si="520"/>
        <v>09120130159</v>
      </c>
      <c r="D6157" t="str">
        <f t="shared" si="520"/>
        <v>09120130159</v>
      </c>
      <c r="E6157" t="s">
        <v>52</v>
      </c>
      <c r="F6157">
        <v>2013</v>
      </c>
      <c r="G6157">
        <v>69100434</v>
      </c>
      <c r="H6157" s="1">
        <v>41330</v>
      </c>
      <c r="I6157" s="1">
        <v>41372</v>
      </c>
      <c r="J6157" s="1">
        <v>41372</v>
      </c>
      <c r="K6157" s="1">
        <v>41462</v>
      </c>
      <c r="L6157" s="7">
        <v>2548.2600000000002</v>
      </c>
      <c r="M6157" s="5">
        <v>857</v>
      </c>
      <c r="N6157" s="7">
        <v>2183858.8199999998</v>
      </c>
      <c r="O6157" s="2">
        <v>2548.2600000000002</v>
      </c>
      <c r="P6157">
        <v>857</v>
      </c>
      <c r="Q6157" s="2">
        <v>2183858.8199999998</v>
      </c>
      <c r="R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 s="1">
        <v>42382</v>
      </c>
      <c r="AC6157" t="s">
        <v>53</v>
      </c>
      <c r="AD6157" t="s">
        <v>53</v>
      </c>
      <c r="AK6157">
        <v>0</v>
      </c>
      <c r="AU6157" s="6">
        <v>42319</v>
      </c>
      <c r="AV6157" s="6">
        <v>42319</v>
      </c>
      <c r="AW6157" t="s">
        <v>54</v>
      </c>
      <c r="AX6157" t="str">
        <f t="shared" si="519"/>
        <v>FOR</v>
      </c>
      <c r="AY6157" t="s">
        <v>55</v>
      </c>
    </row>
    <row r="6158" spans="1:51">
      <c r="A6158">
        <v>104020</v>
      </c>
      <c r="B6158" t="s">
        <v>1170</v>
      </c>
      <c r="C6158" t="str">
        <f t="shared" si="520"/>
        <v>09120130159</v>
      </c>
      <c r="D6158" t="str">
        <f t="shared" si="520"/>
        <v>09120130159</v>
      </c>
      <c r="E6158" t="s">
        <v>52</v>
      </c>
      <c r="F6158">
        <v>2013</v>
      </c>
      <c r="G6158">
        <v>69100471</v>
      </c>
      <c r="H6158" s="1">
        <v>41353</v>
      </c>
      <c r="I6158" s="1">
        <v>41372</v>
      </c>
      <c r="J6158" s="1">
        <v>41372</v>
      </c>
      <c r="K6158" s="1">
        <v>41462</v>
      </c>
      <c r="L6158" s="7">
        <v>7526.2</v>
      </c>
      <c r="M6158" s="5">
        <v>857</v>
      </c>
      <c r="N6158" s="7">
        <v>6449953.4000000004</v>
      </c>
      <c r="O6158" s="2">
        <v>7526.2</v>
      </c>
      <c r="P6158">
        <v>857</v>
      </c>
      <c r="Q6158" s="2">
        <v>6449953.4000000004</v>
      </c>
      <c r="R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 s="1">
        <v>42382</v>
      </c>
      <c r="AC6158" t="s">
        <v>53</v>
      </c>
      <c r="AD6158" t="s">
        <v>53</v>
      </c>
      <c r="AK6158">
        <v>0</v>
      </c>
      <c r="AU6158" s="6">
        <v>42319</v>
      </c>
      <c r="AV6158" s="6">
        <v>42319</v>
      </c>
      <c r="AW6158" t="s">
        <v>54</v>
      </c>
      <c r="AX6158" t="str">
        <f t="shared" si="519"/>
        <v>FOR</v>
      </c>
      <c r="AY6158" t="s">
        <v>55</v>
      </c>
    </row>
    <row r="6159" spans="1:51" hidden="1">
      <c r="A6159">
        <v>104020</v>
      </c>
      <c r="B6159" t="s">
        <v>1170</v>
      </c>
      <c r="C6159" t="str">
        <f t="shared" si="520"/>
        <v>09120130159</v>
      </c>
      <c r="D6159" t="str">
        <f t="shared" si="520"/>
        <v>09120130159</v>
      </c>
      <c r="E6159" t="s">
        <v>52</v>
      </c>
      <c r="F6159">
        <v>2014</v>
      </c>
      <c r="G6159">
        <v>69100874</v>
      </c>
      <c r="H6159" s="1">
        <v>41670</v>
      </c>
      <c r="I6159" s="1">
        <v>41681</v>
      </c>
      <c r="J6159" s="1">
        <v>41681</v>
      </c>
      <c r="K6159" s="1">
        <v>41771</v>
      </c>
      <c r="N6159" s="5"/>
      <c r="O6159" s="2">
        <v>6100</v>
      </c>
      <c r="P6159">
        <v>323</v>
      </c>
      <c r="Q6159" s="2">
        <v>1970300</v>
      </c>
      <c r="R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 s="1">
        <v>42382</v>
      </c>
      <c r="AC6159" t="s">
        <v>53</v>
      </c>
      <c r="AD6159" t="s">
        <v>53</v>
      </c>
      <c r="AK6159">
        <v>0</v>
      </c>
      <c r="AU6159" s="6">
        <v>42094</v>
      </c>
      <c r="AV6159" s="6">
        <v>42094</v>
      </c>
      <c r="AW6159" t="s">
        <v>54</v>
      </c>
      <c r="AX6159" t="str">
        <f t="shared" si="519"/>
        <v>FOR</v>
      </c>
      <c r="AY6159" t="s">
        <v>55</v>
      </c>
    </row>
    <row r="6160" spans="1:51">
      <c r="A6160">
        <v>104020</v>
      </c>
      <c r="B6160" t="s">
        <v>1170</v>
      </c>
      <c r="C6160" t="str">
        <f t="shared" si="520"/>
        <v>09120130159</v>
      </c>
      <c r="D6160" t="str">
        <f t="shared" si="520"/>
        <v>09120130159</v>
      </c>
      <c r="E6160" t="s">
        <v>52</v>
      </c>
      <c r="F6160">
        <v>2015</v>
      </c>
      <c r="G6160">
        <v>9069101334</v>
      </c>
      <c r="H6160" s="1">
        <v>42032</v>
      </c>
      <c r="I6160" s="1">
        <v>42353</v>
      </c>
      <c r="J6160" s="1">
        <v>42353</v>
      </c>
      <c r="K6160" s="1">
        <v>42413</v>
      </c>
      <c r="L6160" s="7">
        <v>5000</v>
      </c>
      <c r="M6160" s="5">
        <v>-57</v>
      </c>
      <c r="N6160" s="7">
        <v>-285000</v>
      </c>
      <c r="O6160" s="2">
        <v>5000</v>
      </c>
      <c r="P6160">
        <v>-57</v>
      </c>
      <c r="Q6160" s="2">
        <v>-285000</v>
      </c>
      <c r="R6160" s="2">
        <v>1100</v>
      </c>
      <c r="V6160">
        <v>0</v>
      </c>
      <c r="W6160" s="2">
        <v>6100</v>
      </c>
      <c r="X6160">
        <v>0</v>
      </c>
      <c r="Y6160" s="2">
        <v>6100</v>
      </c>
      <c r="Z6160" s="2">
        <v>6100</v>
      </c>
      <c r="AA6160" s="2">
        <v>6100</v>
      </c>
      <c r="AB6160" s="1">
        <v>42382</v>
      </c>
      <c r="AC6160" t="s">
        <v>53</v>
      </c>
      <c r="AD6160" t="s">
        <v>53</v>
      </c>
      <c r="AK6160">
        <v>0</v>
      </c>
      <c r="AN6160" s="2">
        <v>1100</v>
      </c>
      <c r="AU6160" s="6">
        <v>42356</v>
      </c>
      <c r="AV6160" s="6">
        <v>42356</v>
      </c>
      <c r="AW6160" t="s">
        <v>54</v>
      </c>
      <c r="AX6160" t="str">
        <f t="shared" si="519"/>
        <v>FOR</v>
      </c>
      <c r="AY6160" t="s">
        <v>55</v>
      </c>
    </row>
    <row r="6161" spans="1:51">
      <c r="A6161">
        <v>104020</v>
      </c>
      <c r="B6161" t="s">
        <v>1170</v>
      </c>
      <c r="C6161" t="str">
        <f t="shared" si="520"/>
        <v>09120130159</v>
      </c>
      <c r="D6161" t="str">
        <f t="shared" si="520"/>
        <v>09120130159</v>
      </c>
      <c r="E6161" t="s">
        <v>52</v>
      </c>
      <c r="F6161">
        <v>2015</v>
      </c>
      <c r="G6161">
        <v>9069101336</v>
      </c>
      <c r="H6161" s="1">
        <v>42032</v>
      </c>
      <c r="I6161" s="1">
        <v>42353</v>
      </c>
      <c r="J6161" s="1">
        <v>42353</v>
      </c>
      <c r="K6161" s="1">
        <v>42413</v>
      </c>
      <c r="L6161" s="7">
        <v>3086</v>
      </c>
      <c r="M6161" s="5">
        <v>-57</v>
      </c>
      <c r="N6161" s="7">
        <v>-175902</v>
      </c>
      <c r="O6161" s="2">
        <v>3086</v>
      </c>
      <c r="P6161">
        <v>-57</v>
      </c>
      <c r="Q6161" s="2">
        <v>-175902</v>
      </c>
      <c r="R6161">
        <v>678.92</v>
      </c>
      <c r="V6161">
        <v>0</v>
      </c>
      <c r="W6161" s="2">
        <v>3764.92</v>
      </c>
      <c r="X6161">
        <v>0</v>
      </c>
      <c r="Y6161" s="2">
        <v>3764.92</v>
      </c>
      <c r="Z6161" s="2">
        <v>3764.92</v>
      </c>
      <c r="AA6161" s="2">
        <v>3764.92</v>
      </c>
      <c r="AB6161" s="1">
        <v>42382</v>
      </c>
      <c r="AC6161" t="s">
        <v>53</v>
      </c>
      <c r="AD6161" t="s">
        <v>53</v>
      </c>
      <c r="AK6161">
        <v>0</v>
      </c>
      <c r="AN6161">
        <v>678.92</v>
      </c>
      <c r="AU6161" s="6">
        <v>42356</v>
      </c>
      <c r="AV6161" s="6">
        <v>42356</v>
      </c>
      <c r="AW6161" t="s">
        <v>54</v>
      </c>
      <c r="AX6161" t="str">
        <f t="shared" si="519"/>
        <v>FOR</v>
      </c>
      <c r="AY6161" t="s">
        <v>55</v>
      </c>
    </row>
    <row r="6162" spans="1:51" hidden="1">
      <c r="A6162">
        <v>104024</v>
      </c>
      <c r="B6162" t="s">
        <v>1171</v>
      </c>
      <c r="C6162" t="str">
        <f t="shared" ref="C6162:D6169" si="521">"07020730631"</f>
        <v>07020730631</v>
      </c>
      <c r="D6162" t="str">
        <f t="shared" si="521"/>
        <v>07020730631</v>
      </c>
      <c r="E6162" t="s">
        <v>52</v>
      </c>
      <c r="F6162">
        <v>2014</v>
      </c>
      <c r="G6162">
        <v>229</v>
      </c>
      <c r="H6162" s="1">
        <v>41698</v>
      </c>
      <c r="I6162" s="1">
        <v>41715</v>
      </c>
      <c r="J6162" s="1">
        <v>41715</v>
      </c>
      <c r="K6162" s="1">
        <v>41805</v>
      </c>
      <c r="N6162" s="5"/>
      <c r="O6162" s="2">
        <v>6589.46</v>
      </c>
      <c r="P6162">
        <v>269</v>
      </c>
      <c r="Q6162" s="2">
        <v>1772564.74</v>
      </c>
      <c r="R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 s="1">
        <v>42382</v>
      </c>
      <c r="AC6162" t="s">
        <v>53</v>
      </c>
      <c r="AD6162" t="s">
        <v>53</v>
      </c>
      <c r="AK6162">
        <v>0</v>
      </c>
      <c r="AU6162" s="6">
        <v>42074</v>
      </c>
      <c r="AV6162" s="6">
        <v>42074</v>
      </c>
      <c r="AW6162" t="s">
        <v>54</v>
      </c>
      <c r="AX6162" t="str">
        <f t="shared" si="519"/>
        <v>FOR</v>
      </c>
      <c r="AY6162" t="s">
        <v>55</v>
      </c>
    </row>
    <row r="6163" spans="1:51" hidden="1">
      <c r="A6163">
        <v>104024</v>
      </c>
      <c r="B6163" t="s">
        <v>1171</v>
      </c>
      <c r="C6163" t="str">
        <f t="shared" si="521"/>
        <v>07020730631</v>
      </c>
      <c r="D6163" t="str">
        <f t="shared" si="521"/>
        <v>07020730631</v>
      </c>
      <c r="E6163" t="s">
        <v>52</v>
      </c>
      <c r="F6163">
        <v>2014</v>
      </c>
      <c r="G6163">
        <v>402</v>
      </c>
      <c r="H6163" s="1">
        <v>41729</v>
      </c>
      <c r="I6163" s="1">
        <v>41765</v>
      </c>
      <c r="J6163" s="1">
        <v>41765</v>
      </c>
      <c r="K6163" s="1">
        <v>41855</v>
      </c>
      <c r="N6163" s="5"/>
      <c r="O6163" s="2">
        <v>5272.84</v>
      </c>
      <c r="P6163">
        <v>219</v>
      </c>
      <c r="Q6163" s="2">
        <v>1154751.96</v>
      </c>
      <c r="R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 s="1">
        <v>42382</v>
      </c>
      <c r="AC6163" t="s">
        <v>53</v>
      </c>
      <c r="AD6163" t="s">
        <v>53</v>
      </c>
      <c r="AK6163">
        <v>0</v>
      </c>
      <c r="AU6163" s="6">
        <v>42074</v>
      </c>
      <c r="AV6163" s="6">
        <v>42074</v>
      </c>
      <c r="AW6163" t="s">
        <v>54</v>
      </c>
      <c r="AX6163" t="str">
        <f t="shared" si="519"/>
        <v>FOR</v>
      </c>
      <c r="AY6163" t="s">
        <v>55</v>
      </c>
    </row>
    <row r="6164" spans="1:51" hidden="1">
      <c r="A6164">
        <v>104024</v>
      </c>
      <c r="B6164" t="s">
        <v>1171</v>
      </c>
      <c r="C6164" t="str">
        <f t="shared" si="521"/>
        <v>07020730631</v>
      </c>
      <c r="D6164" t="str">
        <f t="shared" si="521"/>
        <v>07020730631</v>
      </c>
      <c r="E6164" t="s">
        <v>52</v>
      </c>
      <c r="F6164">
        <v>2014</v>
      </c>
      <c r="G6164">
        <v>701</v>
      </c>
      <c r="H6164" s="1">
        <v>41790</v>
      </c>
      <c r="I6164" s="1">
        <v>41800</v>
      </c>
      <c r="J6164" s="1">
        <v>41800</v>
      </c>
      <c r="K6164" s="1">
        <v>41890</v>
      </c>
      <c r="N6164" s="5"/>
      <c r="O6164" s="2">
        <v>5272.84</v>
      </c>
      <c r="P6164">
        <v>242</v>
      </c>
      <c r="Q6164" s="2">
        <v>1276027.28</v>
      </c>
      <c r="R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 s="1">
        <v>42382</v>
      </c>
      <c r="AC6164" t="s">
        <v>53</v>
      </c>
      <c r="AD6164" t="s">
        <v>53</v>
      </c>
      <c r="AK6164">
        <v>0</v>
      </c>
      <c r="AU6164" s="6">
        <v>42132</v>
      </c>
      <c r="AV6164" s="6">
        <v>42132</v>
      </c>
      <c r="AW6164" t="s">
        <v>54</v>
      </c>
      <c r="AX6164" t="str">
        <f t="shared" si="519"/>
        <v>FOR</v>
      </c>
      <c r="AY6164" t="s">
        <v>55</v>
      </c>
    </row>
    <row r="6165" spans="1:51" hidden="1">
      <c r="A6165">
        <v>104024</v>
      </c>
      <c r="B6165" t="s">
        <v>1171</v>
      </c>
      <c r="C6165" t="str">
        <f t="shared" si="521"/>
        <v>07020730631</v>
      </c>
      <c r="D6165" t="str">
        <f t="shared" si="521"/>
        <v>07020730631</v>
      </c>
      <c r="E6165" t="s">
        <v>52</v>
      </c>
      <c r="F6165">
        <v>2014</v>
      </c>
      <c r="G6165">
        <v>1043</v>
      </c>
      <c r="H6165" s="1">
        <v>41882</v>
      </c>
      <c r="I6165" s="1">
        <v>41914</v>
      </c>
      <c r="J6165" s="1">
        <v>41914</v>
      </c>
      <c r="K6165" s="1">
        <v>42004</v>
      </c>
      <c r="N6165" s="5"/>
      <c r="O6165" s="2">
        <v>6383.04</v>
      </c>
      <c r="P6165">
        <v>187</v>
      </c>
      <c r="Q6165" s="2">
        <v>1193628.48</v>
      </c>
      <c r="R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 s="1">
        <v>42382</v>
      </c>
      <c r="AC6165" t="s">
        <v>53</v>
      </c>
      <c r="AD6165" t="s">
        <v>53</v>
      </c>
      <c r="AK6165">
        <v>0</v>
      </c>
      <c r="AU6165" s="6">
        <v>42191</v>
      </c>
      <c r="AV6165" s="6">
        <v>42191</v>
      </c>
      <c r="AW6165" t="s">
        <v>54</v>
      </c>
      <c r="AX6165" t="str">
        <f t="shared" si="519"/>
        <v>FOR</v>
      </c>
      <c r="AY6165" t="s">
        <v>55</v>
      </c>
    </row>
    <row r="6166" spans="1:51" hidden="1">
      <c r="A6166">
        <v>104024</v>
      </c>
      <c r="B6166" t="s">
        <v>1171</v>
      </c>
      <c r="C6166" t="str">
        <f t="shared" si="521"/>
        <v>07020730631</v>
      </c>
      <c r="D6166" t="str">
        <f t="shared" si="521"/>
        <v>07020730631</v>
      </c>
      <c r="E6166" t="s">
        <v>52</v>
      </c>
      <c r="F6166">
        <v>2014</v>
      </c>
      <c r="G6166">
        <v>1066</v>
      </c>
      <c r="H6166" s="1">
        <v>41887</v>
      </c>
      <c r="I6166" s="1">
        <v>41921</v>
      </c>
      <c r="J6166" s="1">
        <v>41921</v>
      </c>
      <c r="K6166" s="1">
        <v>42011</v>
      </c>
      <c r="N6166" s="5"/>
      <c r="O6166" s="2">
        <v>36600</v>
      </c>
      <c r="P6166">
        <v>239</v>
      </c>
      <c r="Q6166" s="2">
        <v>8747400</v>
      </c>
      <c r="R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 s="1">
        <v>42382</v>
      </c>
      <c r="AC6166" t="s">
        <v>53</v>
      </c>
      <c r="AD6166" t="s">
        <v>53</v>
      </c>
      <c r="AK6166">
        <v>0</v>
      </c>
      <c r="AU6166" s="6">
        <v>42250</v>
      </c>
      <c r="AV6166" s="6">
        <v>42250</v>
      </c>
      <c r="AW6166" t="s">
        <v>54</v>
      </c>
      <c r="AX6166" t="str">
        <f t="shared" si="519"/>
        <v>FOR</v>
      </c>
      <c r="AY6166" t="s">
        <v>55</v>
      </c>
    </row>
    <row r="6167" spans="1:51" hidden="1">
      <c r="A6167">
        <v>104024</v>
      </c>
      <c r="B6167" t="s">
        <v>1171</v>
      </c>
      <c r="C6167" t="str">
        <f t="shared" si="521"/>
        <v>07020730631</v>
      </c>
      <c r="D6167" t="str">
        <f t="shared" si="521"/>
        <v>07020730631</v>
      </c>
      <c r="E6167" t="s">
        <v>52</v>
      </c>
      <c r="F6167">
        <v>2014</v>
      </c>
      <c r="G6167">
        <v>1161</v>
      </c>
      <c r="H6167" s="1">
        <v>41912</v>
      </c>
      <c r="I6167" s="1">
        <v>41921</v>
      </c>
      <c r="J6167" s="1">
        <v>41921</v>
      </c>
      <c r="K6167" s="1">
        <v>42011</v>
      </c>
      <c r="N6167" s="5"/>
      <c r="O6167" s="2">
        <v>12200</v>
      </c>
      <c r="P6167">
        <v>239</v>
      </c>
      <c r="Q6167" s="2">
        <v>2915800</v>
      </c>
      <c r="R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 s="1">
        <v>42382</v>
      </c>
      <c r="AC6167" t="s">
        <v>53</v>
      </c>
      <c r="AD6167" t="s">
        <v>53</v>
      </c>
      <c r="AK6167">
        <v>0</v>
      </c>
      <c r="AU6167" s="6">
        <v>42250</v>
      </c>
      <c r="AV6167" s="6">
        <v>42250</v>
      </c>
      <c r="AW6167" t="s">
        <v>54</v>
      </c>
      <c r="AX6167" t="str">
        <f t="shared" si="519"/>
        <v>FOR</v>
      </c>
      <c r="AY6167" t="s">
        <v>55</v>
      </c>
    </row>
    <row r="6168" spans="1:51">
      <c r="A6168">
        <v>104024</v>
      </c>
      <c r="B6168" t="s">
        <v>1171</v>
      </c>
      <c r="C6168" t="str">
        <f t="shared" si="521"/>
        <v>07020730631</v>
      </c>
      <c r="D6168" t="str">
        <f t="shared" si="521"/>
        <v>07020730631</v>
      </c>
      <c r="E6168" t="s">
        <v>52</v>
      </c>
      <c r="F6168">
        <v>2014</v>
      </c>
      <c r="G6168">
        <v>1201</v>
      </c>
      <c r="H6168" s="1">
        <v>41922</v>
      </c>
      <c r="I6168" s="1">
        <v>41939</v>
      </c>
      <c r="J6168" s="1">
        <v>41939</v>
      </c>
      <c r="K6168" s="1">
        <v>41999</v>
      </c>
      <c r="L6168" s="7">
        <v>12200</v>
      </c>
      <c r="M6168" s="5">
        <v>279</v>
      </c>
      <c r="N6168" s="7">
        <v>3403800</v>
      </c>
      <c r="O6168" s="2">
        <v>12200</v>
      </c>
      <c r="P6168">
        <v>279</v>
      </c>
      <c r="Q6168" s="2">
        <v>3403800</v>
      </c>
      <c r="R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 s="1">
        <v>42382</v>
      </c>
      <c r="AC6168" t="s">
        <v>53</v>
      </c>
      <c r="AD6168" t="s">
        <v>53</v>
      </c>
      <c r="AK6168">
        <v>0</v>
      </c>
      <c r="AU6168" s="6">
        <v>42278</v>
      </c>
      <c r="AV6168" s="6">
        <v>42278</v>
      </c>
      <c r="AW6168" t="s">
        <v>54</v>
      </c>
      <c r="AX6168" t="str">
        <f t="shared" si="519"/>
        <v>FOR</v>
      </c>
      <c r="AY6168" t="s">
        <v>55</v>
      </c>
    </row>
    <row r="6169" spans="1:51">
      <c r="A6169">
        <v>104024</v>
      </c>
      <c r="B6169" t="s">
        <v>1171</v>
      </c>
      <c r="C6169" t="str">
        <f t="shared" si="521"/>
        <v>07020730631</v>
      </c>
      <c r="D6169" t="str">
        <f t="shared" si="521"/>
        <v>07020730631</v>
      </c>
      <c r="E6169" t="s">
        <v>52</v>
      </c>
      <c r="F6169">
        <v>2014</v>
      </c>
      <c r="G6169">
        <v>1574</v>
      </c>
      <c r="H6169" s="1">
        <v>41992</v>
      </c>
      <c r="I6169" s="1">
        <v>42004</v>
      </c>
      <c r="J6169" s="1">
        <v>42004</v>
      </c>
      <c r="K6169" s="1">
        <v>42064</v>
      </c>
      <c r="L6169" s="7">
        <v>6383.04</v>
      </c>
      <c r="M6169" s="5">
        <v>277</v>
      </c>
      <c r="N6169" s="7">
        <v>1768102.08</v>
      </c>
      <c r="O6169" s="2">
        <v>6383.04</v>
      </c>
      <c r="P6169">
        <v>277</v>
      </c>
      <c r="Q6169" s="2">
        <v>1768102.08</v>
      </c>
      <c r="R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 s="1">
        <v>42382</v>
      </c>
      <c r="AC6169" t="s">
        <v>53</v>
      </c>
      <c r="AD6169" t="s">
        <v>53</v>
      </c>
      <c r="AK6169">
        <v>0</v>
      </c>
      <c r="AU6169" s="6">
        <v>42341</v>
      </c>
      <c r="AV6169" s="6">
        <v>42341</v>
      </c>
      <c r="AW6169" t="s">
        <v>54</v>
      </c>
      <c r="AX6169" t="str">
        <f t="shared" si="519"/>
        <v>FOR</v>
      </c>
      <c r="AY6169" t="s">
        <v>55</v>
      </c>
    </row>
    <row r="6170" spans="1:51" hidden="1">
      <c r="A6170">
        <v>104027</v>
      </c>
      <c r="B6170" t="s">
        <v>1172</v>
      </c>
      <c r="C6170" t="str">
        <f t="shared" ref="C6170:D6176" si="522">"01138380629"</f>
        <v>01138380629</v>
      </c>
      <c r="D6170" t="str">
        <f t="shared" si="522"/>
        <v>01138380629</v>
      </c>
      <c r="E6170" t="s">
        <v>52</v>
      </c>
      <c r="F6170">
        <v>2014</v>
      </c>
      <c r="G6170">
        <v>34</v>
      </c>
      <c r="H6170" s="1">
        <v>41806</v>
      </c>
      <c r="I6170" s="1">
        <v>41810</v>
      </c>
      <c r="J6170" s="1">
        <v>41810</v>
      </c>
      <c r="K6170" s="1">
        <v>41900</v>
      </c>
      <c r="N6170" s="5"/>
      <c r="O6170" s="2">
        <v>2846.69</v>
      </c>
      <c r="P6170">
        <v>231</v>
      </c>
      <c r="Q6170" s="2">
        <v>657585.39</v>
      </c>
      <c r="R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 s="1">
        <v>42382</v>
      </c>
      <c r="AC6170" t="s">
        <v>53</v>
      </c>
      <c r="AD6170" t="s">
        <v>53</v>
      </c>
      <c r="AK6170">
        <v>0</v>
      </c>
      <c r="AU6170" s="6">
        <v>42131</v>
      </c>
      <c r="AV6170" s="6">
        <v>42131</v>
      </c>
      <c r="AW6170" t="s">
        <v>54</v>
      </c>
      <c r="AX6170" t="str">
        <f t="shared" si="519"/>
        <v>FOR</v>
      </c>
      <c r="AY6170" t="s">
        <v>55</v>
      </c>
    </row>
    <row r="6171" spans="1:51" hidden="1">
      <c r="A6171">
        <v>104027</v>
      </c>
      <c r="B6171" t="s">
        <v>1172</v>
      </c>
      <c r="C6171" t="str">
        <f t="shared" si="522"/>
        <v>01138380629</v>
      </c>
      <c r="D6171" t="str">
        <f t="shared" si="522"/>
        <v>01138380629</v>
      </c>
      <c r="E6171" t="s">
        <v>52</v>
      </c>
      <c r="F6171">
        <v>2014</v>
      </c>
      <c r="G6171">
        <v>44</v>
      </c>
      <c r="H6171" s="1">
        <v>41822</v>
      </c>
      <c r="I6171" s="1">
        <v>41828</v>
      </c>
      <c r="J6171" s="1">
        <v>41828</v>
      </c>
      <c r="K6171" s="1">
        <v>41918</v>
      </c>
      <c r="N6171" s="5"/>
      <c r="O6171" s="2">
        <v>2012.7</v>
      </c>
      <c r="P6171">
        <v>241</v>
      </c>
      <c r="Q6171" s="2">
        <v>485060.7</v>
      </c>
      <c r="R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 s="1">
        <v>42382</v>
      </c>
      <c r="AC6171" t="s">
        <v>53</v>
      </c>
      <c r="AD6171" t="s">
        <v>53</v>
      </c>
      <c r="AK6171">
        <v>0</v>
      </c>
      <c r="AU6171" s="6">
        <v>42159</v>
      </c>
      <c r="AV6171" s="6">
        <v>42159</v>
      </c>
      <c r="AW6171" t="s">
        <v>54</v>
      </c>
      <c r="AX6171" t="str">
        <f t="shared" si="519"/>
        <v>FOR</v>
      </c>
      <c r="AY6171" t="s">
        <v>55</v>
      </c>
    </row>
    <row r="6172" spans="1:51" hidden="1">
      <c r="A6172">
        <v>104027</v>
      </c>
      <c r="B6172" t="s">
        <v>1172</v>
      </c>
      <c r="C6172" t="str">
        <f t="shared" si="522"/>
        <v>01138380629</v>
      </c>
      <c r="D6172" t="str">
        <f t="shared" si="522"/>
        <v>01138380629</v>
      </c>
      <c r="E6172" t="s">
        <v>52</v>
      </c>
      <c r="F6172">
        <v>2014</v>
      </c>
      <c r="G6172">
        <v>45</v>
      </c>
      <c r="H6172" s="1">
        <v>41822</v>
      </c>
      <c r="I6172" s="1">
        <v>41828</v>
      </c>
      <c r="J6172" s="1">
        <v>41828</v>
      </c>
      <c r="K6172" s="1">
        <v>41918</v>
      </c>
      <c r="N6172" s="5"/>
      <c r="O6172" s="2">
        <v>2460.92</v>
      </c>
      <c r="P6172">
        <v>241</v>
      </c>
      <c r="Q6172" s="2">
        <v>593081.72</v>
      </c>
      <c r="R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 s="1">
        <v>42382</v>
      </c>
      <c r="AC6172" t="s">
        <v>53</v>
      </c>
      <c r="AD6172" t="s">
        <v>53</v>
      </c>
      <c r="AK6172">
        <v>0</v>
      </c>
      <c r="AU6172" s="6">
        <v>42159</v>
      </c>
      <c r="AV6172" s="6">
        <v>42159</v>
      </c>
      <c r="AW6172" t="s">
        <v>54</v>
      </c>
      <c r="AX6172" t="str">
        <f t="shared" si="519"/>
        <v>FOR</v>
      </c>
      <c r="AY6172" t="s">
        <v>55</v>
      </c>
    </row>
    <row r="6173" spans="1:51">
      <c r="A6173">
        <v>104027</v>
      </c>
      <c r="B6173" t="s">
        <v>1172</v>
      </c>
      <c r="C6173" t="str">
        <f t="shared" si="522"/>
        <v>01138380629</v>
      </c>
      <c r="D6173" t="str">
        <f t="shared" si="522"/>
        <v>01138380629</v>
      </c>
      <c r="E6173" t="s">
        <v>52</v>
      </c>
      <c r="F6173">
        <v>2015</v>
      </c>
      <c r="G6173">
        <v>4</v>
      </c>
      <c r="H6173" s="1">
        <v>42019</v>
      </c>
      <c r="I6173" s="1">
        <v>42024</v>
      </c>
      <c r="J6173" s="1">
        <v>42024</v>
      </c>
      <c r="K6173" s="1">
        <v>42084</v>
      </c>
      <c r="L6173" s="7">
        <v>1750.65</v>
      </c>
      <c r="M6173" s="5">
        <v>221</v>
      </c>
      <c r="N6173" s="7">
        <v>386893.65</v>
      </c>
      <c r="O6173" s="2">
        <v>1750.65</v>
      </c>
      <c r="P6173">
        <v>221</v>
      </c>
      <c r="Q6173" s="2">
        <v>386893.65</v>
      </c>
      <c r="R6173">
        <v>0</v>
      </c>
      <c r="V6173">
        <v>0</v>
      </c>
      <c r="W6173">
        <v>0</v>
      </c>
      <c r="X6173">
        <v>0</v>
      </c>
      <c r="Y6173">
        <v>0</v>
      </c>
      <c r="Z6173" s="2">
        <v>2135.79</v>
      </c>
      <c r="AA6173" s="2">
        <v>2135.79</v>
      </c>
      <c r="AB6173" s="1">
        <v>42382</v>
      </c>
      <c r="AC6173" t="s">
        <v>53</v>
      </c>
      <c r="AD6173" t="s">
        <v>53</v>
      </c>
      <c r="AK6173">
        <v>0</v>
      </c>
      <c r="AU6173" s="6">
        <v>42305</v>
      </c>
      <c r="AV6173" s="6">
        <v>42305</v>
      </c>
      <c r="AW6173" t="s">
        <v>54</v>
      </c>
      <c r="AX6173" t="str">
        <f t="shared" si="519"/>
        <v>FOR</v>
      </c>
      <c r="AY6173" t="s">
        <v>55</v>
      </c>
    </row>
    <row r="6174" spans="1:51">
      <c r="A6174">
        <v>104027</v>
      </c>
      <c r="B6174" t="s">
        <v>1172</v>
      </c>
      <c r="C6174" t="str">
        <f t="shared" si="522"/>
        <v>01138380629</v>
      </c>
      <c r="D6174" t="str">
        <f t="shared" si="522"/>
        <v>01138380629</v>
      </c>
      <c r="E6174" t="s">
        <v>52</v>
      </c>
      <c r="F6174">
        <v>2015</v>
      </c>
      <c r="G6174">
        <v>5</v>
      </c>
      <c r="H6174" s="1">
        <v>42019</v>
      </c>
      <c r="I6174" s="1">
        <v>42024</v>
      </c>
      <c r="J6174" s="1">
        <v>42024</v>
      </c>
      <c r="K6174" s="1">
        <v>42084</v>
      </c>
      <c r="L6174" s="7">
        <v>2744.54</v>
      </c>
      <c r="M6174" s="5">
        <v>221</v>
      </c>
      <c r="N6174" s="7">
        <v>606543.34</v>
      </c>
      <c r="O6174" s="2">
        <v>2744.54</v>
      </c>
      <c r="P6174">
        <v>221</v>
      </c>
      <c r="Q6174" s="2">
        <v>606543.34</v>
      </c>
      <c r="R6174">
        <v>0</v>
      </c>
      <c r="V6174">
        <v>0</v>
      </c>
      <c r="W6174">
        <v>0</v>
      </c>
      <c r="X6174">
        <v>0</v>
      </c>
      <c r="Y6174">
        <v>0</v>
      </c>
      <c r="Z6174" s="2">
        <v>3348.34</v>
      </c>
      <c r="AA6174" s="2">
        <v>3348.34</v>
      </c>
      <c r="AB6174" s="1">
        <v>42382</v>
      </c>
      <c r="AC6174" t="s">
        <v>53</v>
      </c>
      <c r="AD6174" t="s">
        <v>53</v>
      </c>
      <c r="AK6174">
        <v>0</v>
      </c>
      <c r="AU6174" s="6">
        <v>42305</v>
      </c>
      <c r="AV6174" s="6">
        <v>42305</v>
      </c>
      <c r="AW6174" t="s">
        <v>54</v>
      </c>
      <c r="AX6174" t="str">
        <f t="shared" si="519"/>
        <v>FOR</v>
      </c>
      <c r="AY6174" t="s">
        <v>55</v>
      </c>
    </row>
    <row r="6175" spans="1:51">
      <c r="A6175">
        <v>104027</v>
      </c>
      <c r="B6175" t="s">
        <v>1172</v>
      </c>
      <c r="C6175" t="str">
        <f t="shared" si="522"/>
        <v>01138380629</v>
      </c>
      <c r="D6175" t="str">
        <f t="shared" si="522"/>
        <v>01138380629</v>
      </c>
      <c r="E6175" t="s">
        <v>52</v>
      </c>
      <c r="F6175">
        <v>2015</v>
      </c>
      <c r="G6175">
        <v>6</v>
      </c>
      <c r="H6175" s="1">
        <v>42019</v>
      </c>
      <c r="I6175" s="1">
        <v>42024</v>
      </c>
      <c r="J6175" s="1">
        <v>42024</v>
      </c>
      <c r="K6175" s="1">
        <v>42084</v>
      </c>
      <c r="L6175" s="7">
        <v>3091.69</v>
      </c>
      <c r="M6175" s="5">
        <v>221</v>
      </c>
      <c r="N6175" s="7">
        <v>683263.49</v>
      </c>
      <c r="O6175" s="2">
        <v>3091.69</v>
      </c>
      <c r="P6175">
        <v>221</v>
      </c>
      <c r="Q6175" s="2">
        <v>683263.49</v>
      </c>
      <c r="R6175">
        <v>0</v>
      </c>
      <c r="V6175">
        <v>0</v>
      </c>
      <c r="W6175">
        <v>0</v>
      </c>
      <c r="X6175">
        <v>0</v>
      </c>
      <c r="Y6175">
        <v>0</v>
      </c>
      <c r="Z6175" s="2">
        <v>3771.86</v>
      </c>
      <c r="AA6175" s="2">
        <v>3771.86</v>
      </c>
      <c r="AB6175" s="1">
        <v>42382</v>
      </c>
      <c r="AC6175" t="s">
        <v>53</v>
      </c>
      <c r="AD6175" t="s">
        <v>53</v>
      </c>
      <c r="AK6175">
        <v>0</v>
      </c>
      <c r="AU6175" s="6">
        <v>42305</v>
      </c>
      <c r="AV6175" s="6">
        <v>42305</v>
      </c>
      <c r="AW6175" t="s">
        <v>54</v>
      </c>
      <c r="AX6175" t="str">
        <f t="shared" si="519"/>
        <v>FOR</v>
      </c>
      <c r="AY6175" t="s">
        <v>55</v>
      </c>
    </row>
    <row r="6176" spans="1:51">
      <c r="A6176">
        <v>104027</v>
      </c>
      <c r="B6176" t="s">
        <v>1172</v>
      </c>
      <c r="C6176" t="str">
        <f t="shared" si="522"/>
        <v>01138380629</v>
      </c>
      <c r="D6176" t="str">
        <f t="shared" si="522"/>
        <v>01138380629</v>
      </c>
      <c r="E6176" t="s">
        <v>52</v>
      </c>
      <c r="F6176">
        <v>2015</v>
      </c>
      <c r="G6176">
        <v>45</v>
      </c>
      <c r="H6176" s="1">
        <v>42086</v>
      </c>
      <c r="I6176" s="1">
        <v>42088</v>
      </c>
      <c r="J6176" s="1">
        <v>42088</v>
      </c>
      <c r="K6176" s="1">
        <v>42148</v>
      </c>
      <c r="L6176" s="7">
        <v>5000</v>
      </c>
      <c r="M6176" s="5">
        <v>192</v>
      </c>
      <c r="N6176" s="7">
        <v>960000</v>
      </c>
      <c r="O6176" s="2">
        <v>5000</v>
      </c>
      <c r="P6176">
        <v>192</v>
      </c>
      <c r="Q6176" s="2">
        <v>960000</v>
      </c>
      <c r="R6176" s="2">
        <v>1100</v>
      </c>
      <c r="V6176">
        <v>0</v>
      </c>
      <c r="W6176">
        <v>0</v>
      </c>
      <c r="X6176">
        <v>0</v>
      </c>
      <c r="Y6176" s="2">
        <v>6100</v>
      </c>
      <c r="Z6176" s="2">
        <v>6100</v>
      </c>
      <c r="AA6176" s="2">
        <v>6100</v>
      </c>
      <c r="AB6176" s="1">
        <v>42382</v>
      </c>
      <c r="AC6176" t="s">
        <v>53</v>
      </c>
      <c r="AD6176" t="s">
        <v>53</v>
      </c>
      <c r="AK6176" s="2">
        <v>1100</v>
      </c>
      <c r="AU6176" s="6">
        <v>42340</v>
      </c>
      <c r="AV6176" s="6">
        <v>42340</v>
      </c>
      <c r="AW6176" t="s">
        <v>54</v>
      </c>
      <c r="AX6176" t="str">
        <f t="shared" si="519"/>
        <v>FOR</v>
      </c>
      <c r="AY6176" t="s">
        <v>55</v>
      </c>
    </row>
    <row r="6177" spans="1:51" hidden="1">
      <c r="A6177">
        <v>104029</v>
      </c>
      <c r="B6177" t="s">
        <v>1173</v>
      </c>
      <c r="C6177" t="str">
        <f t="shared" ref="C6177:C6215" si="523">"01630000287"</f>
        <v>01630000287</v>
      </c>
      <c r="D6177" t="str">
        <f t="shared" ref="D6177:D6215" si="524">"00759430267"</f>
        <v>00759430267</v>
      </c>
      <c r="E6177" t="s">
        <v>52</v>
      </c>
      <c r="F6177">
        <v>2014</v>
      </c>
      <c r="G6177">
        <v>1441013</v>
      </c>
      <c r="H6177" s="1">
        <v>41691</v>
      </c>
      <c r="I6177" s="1">
        <v>41704</v>
      </c>
      <c r="J6177" s="1">
        <v>41704</v>
      </c>
      <c r="K6177" s="1">
        <v>41794</v>
      </c>
      <c r="N6177" s="5"/>
      <c r="O6177" s="2">
        <v>1858.11</v>
      </c>
      <c r="P6177">
        <v>281</v>
      </c>
      <c r="Q6177" s="2">
        <v>522128.91</v>
      </c>
      <c r="R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 s="1">
        <v>42382</v>
      </c>
      <c r="AC6177" t="s">
        <v>53</v>
      </c>
      <c r="AD6177" t="s">
        <v>53</v>
      </c>
      <c r="AK6177">
        <v>0</v>
      </c>
      <c r="AU6177" s="6">
        <v>42075</v>
      </c>
      <c r="AV6177" s="6">
        <v>42075</v>
      </c>
      <c r="AW6177" t="s">
        <v>54</v>
      </c>
      <c r="AX6177" t="str">
        <f t="shared" si="519"/>
        <v>FOR</v>
      </c>
      <c r="AY6177" t="s">
        <v>55</v>
      </c>
    </row>
    <row r="6178" spans="1:51" hidden="1">
      <c r="A6178">
        <v>104029</v>
      </c>
      <c r="B6178" t="s">
        <v>1173</v>
      </c>
      <c r="C6178" t="str">
        <f t="shared" si="523"/>
        <v>01630000287</v>
      </c>
      <c r="D6178" t="str">
        <f t="shared" si="524"/>
        <v>00759430267</v>
      </c>
      <c r="E6178" t="s">
        <v>52</v>
      </c>
      <c r="F6178">
        <v>2014</v>
      </c>
      <c r="G6178">
        <v>1441014</v>
      </c>
      <c r="H6178" s="1">
        <v>41691</v>
      </c>
      <c r="I6178" s="1">
        <v>41704</v>
      </c>
      <c r="J6178" s="1">
        <v>41704</v>
      </c>
      <c r="K6178" s="1">
        <v>41794</v>
      </c>
      <c r="N6178" s="5"/>
      <c r="O6178" s="2">
        <v>2705.47</v>
      </c>
      <c r="P6178">
        <v>281</v>
      </c>
      <c r="Q6178" s="2">
        <v>760237.07</v>
      </c>
      <c r="R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 s="1">
        <v>42382</v>
      </c>
      <c r="AC6178" t="s">
        <v>53</v>
      </c>
      <c r="AD6178" t="s">
        <v>53</v>
      </c>
      <c r="AK6178">
        <v>0</v>
      </c>
      <c r="AU6178" s="6">
        <v>42075</v>
      </c>
      <c r="AV6178" s="6">
        <v>42075</v>
      </c>
      <c r="AW6178" t="s">
        <v>54</v>
      </c>
      <c r="AX6178" t="str">
        <f t="shared" si="519"/>
        <v>FOR</v>
      </c>
      <c r="AY6178" t="s">
        <v>55</v>
      </c>
    </row>
    <row r="6179" spans="1:51" hidden="1">
      <c r="A6179">
        <v>104029</v>
      </c>
      <c r="B6179" t="s">
        <v>1173</v>
      </c>
      <c r="C6179" t="str">
        <f t="shared" si="523"/>
        <v>01630000287</v>
      </c>
      <c r="D6179" t="str">
        <f t="shared" si="524"/>
        <v>00759430267</v>
      </c>
      <c r="E6179" t="s">
        <v>52</v>
      </c>
      <c r="F6179">
        <v>2014</v>
      </c>
      <c r="G6179">
        <v>1441183</v>
      </c>
      <c r="H6179" s="1">
        <v>41698</v>
      </c>
      <c r="I6179" s="1">
        <v>41715</v>
      </c>
      <c r="J6179" s="1">
        <v>41715</v>
      </c>
      <c r="K6179" s="1">
        <v>41805</v>
      </c>
      <c r="N6179" s="5"/>
      <c r="O6179" s="2">
        <v>2318</v>
      </c>
      <c r="P6179">
        <v>270</v>
      </c>
      <c r="Q6179" s="2">
        <v>625860</v>
      </c>
      <c r="R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 s="1">
        <v>42382</v>
      </c>
      <c r="AC6179" t="s">
        <v>53</v>
      </c>
      <c r="AD6179" t="s">
        <v>53</v>
      </c>
      <c r="AK6179">
        <v>0</v>
      </c>
      <c r="AU6179" s="6">
        <v>42075</v>
      </c>
      <c r="AV6179" s="6">
        <v>42075</v>
      </c>
      <c r="AW6179" t="s">
        <v>54</v>
      </c>
      <c r="AX6179" t="str">
        <f t="shared" si="519"/>
        <v>FOR</v>
      </c>
      <c r="AY6179" t="s">
        <v>55</v>
      </c>
    </row>
    <row r="6180" spans="1:51" hidden="1">
      <c r="A6180">
        <v>104029</v>
      </c>
      <c r="B6180" t="s">
        <v>1173</v>
      </c>
      <c r="C6180" t="str">
        <f t="shared" si="523"/>
        <v>01630000287</v>
      </c>
      <c r="D6180" t="str">
        <f t="shared" si="524"/>
        <v>00759430267</v>
      </c>
      <c r="E6180" t="s">
        <v>52</v>
      </c>
      <c r="F6180">
        <v>2014</v>
      </c>
      <c r="G6180">
        <v>1441184</v>
      </c>
      <c r="H6180" s="1">
        <v>41698</v>
      </c>
      <c r="I6180" s="1">
        <v>41715</v>
      </c>
      <c r="J6180" s="1">
        <v>41715</v>
      </c>
      <c r="K6180" s="1">
        <v>41805</v>
      </c>
      <c r="N6180" s="5"/>
      <c r="O6180" s="2">
        <v>6466</v>
      </c>
      <c r="P6180">
        <v>270</v>
      </c>
      <c r="Q6180" s="2">
        <v>1745820</v>
      </c>
      <c r="R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 s="1">
        <v>42382</v>
      </c>
      <c r="AC6180" t="s">
        <v>53</v>
      </c>
      <c r="AD6180" t="s">
        <v>53</v>
      </c>
      <c r="AK6180">
        <v>0</v>
      </c>
      <c r="AU6180" s="6">
        <v>42075</v>
      </c>
      <c r="AV6180" s="6">
        <v>42075</v>
      </c>
      <c r="AW6180" t="s">
        <v>54</v>
      </c>
      <c r="AX6180" t="str">
        <f t="shared" si="519"/>
        <v>FOR</v>
      </c>
      <c r="AY6180" t="s">
        <v>55</v>
      </c>
    </row>
    <row r="6181" spans="1:51" hidden="1">
      <c r="A6181">
        <v>104029</v>
      </c>
      <c r="B6181" t="s">
        <v>1173</v>
      </c>
      <c r="C6181" t="str">
        <f t="shared" si="523"/>
        <v>01630000287</v>
      </c>
      <c r="D6181" t="str">
        <f t="shared" si="524"/>
        <v>00759430267</v>
      </c>
      <c r="E6181" t="s">
        <v>52</v>
      </c>
      <c r="F6181">
        <v>2014</v>
      </c>
      <c r="G6181">
        <v>1441364</v>
      </c>
      <c r="H6181" s="1">
        <v>41705</v>
      </c>
      <c r="I6181" s="1">
        <v>41722</v>
      </c>
      <c r="J6181" s="1">
        <v>41722</v>
      </c>
      <c r="K6181" s="1">
        <v>41812</v>
      </c>
      <c r="N6181" s="5"/>
      <c r="O6181" s="2">
        <v>3866.72</v>
      </c>
      <c r="P6181">
        <v>263</v>
      </c>
      <c r="Q6181" s="2">
        <v>1016947.36</v>
      </c>
      <c r="R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 s="1">
        <v>42382</v>
      </c>
      <c r="AC6181" t="s">
        <v>53</v>
      </c>
      <c r="AD6181" t="s">
        <v>53</v>
      </c>
      <c r="AK6181">
        <v>0</v>
      </c>
      <c r="AU6181" s="6">
        <v>42075</v>
      </c>
      <c r="AV6181" s="6">
        <v>42075</v>
      </c>
      <c r="AW6181" t="s">
        <v>54</v>
      </c>
      <c r="AX6181" t="str">
        <f t="shared" si="519"/>
        <v>FOR</v>
      </c>
      <c r="AY6181" t="s">
        <v>55</v>
      </c>
    </row>
    <row r="6182" spans="1:51" hidden="1">
      <c r="A6182">
        <v>104029</v>
      </c>
      <c r="B6182" t="s">
        <v>1173</v>
      </c>
      <c r="C6182" t="str">
        <f t="shared" si="523"/>
        <v>01630000287</v>
      </c>
      <c r="D6182" t="str">
        <f t="shared" si="524"/>
        <v>00759430267</v>
      </c>
      <c r="E6182" t="s">
        <v>52</v>
      </c>
      <c r="F6182">
        <v>2014</v>
      </c>
      <c r="G6182">
        <v>1441365</v>
      </c>
      <c r="H6182" s="1">
        <v>41705</v>
      </c>
      <c r="I6182" s="1">
        <v>41722</v>
      </c>
      <c r="J6182" s="1">
        <v>41722</v>
      </c>
      <c r="K6182" s="1">
        <v>41812</v>
      </c>
      <c r="N6182" s="5"/>
      <c r="O6182" s="2">
        <v>7039.79</v>
      </c>
      <c r="P6182">
        <v>263</v>
      </c>
      <c r="Q6182" s="2">
        <v>1851464.77</v>
      </c>
      <c r="R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 s="1">
        <v>42382</v>
      </c>
      <c r="AC6182" t="s">
        <v>53</v>
      </c>
      <c r="AD6182" t="s">
        <v>53</v>
      </c>
      <c r="AK6182">
        <v>0</v>
      </c>
      <c r="AU6182" s="6">
        <v>42075</v>
      </c>
      <c r="AV6182" s="6">
        <v>42075</v>
      </c>
      <c r="AW6182" t="s">
        <v>54</v>
      </c>
      <c r="AX6182" t="str">
        <f t="shared" si="519"/>
        <v>FOR</v>
      </c>
      <c r="AY6182" t="s">
        <v>55</v>
      </c>
    </row>
    <row r="6183" spans="1:51" hidden="1">
      <c r="A6183">
        <v>104029</v>
      </c>
      <c r="B6183" t="s">
        <v>1173</v>
      </c>
      <c r="C6183" t="str">
        <f t="shared" si="523"/>
        <v>01630000287</v>
      </c>
      <c r="D6183" t="str">
        <f t="shared" si="524"/>
        <v>00759430267</v>
      </c>
      <c r="E6183" t="s">
        <v>52</v>
      </c>
      <c r="F6183">
        <v>2014</v>
      </c>
      <c r="G6183">
        <v>1441545</v>
      </c>
      <c r="H6183" s="1">
        <v>41712</v>
      </c>
      <c r="I6183" s="1">
        <v>41737</v>
      </c>
      <c r="J6183" s="1">
        <v>41737</v>
      </c>
      <c r="K6183" s="1">
        <v>41827</v>
      </c>
      <c r="N6183" s="5"/>
      <c r="O6183">
        <v>488</v>
      </c>
      <c r="P6183">
        <v>248</v>
      </c>
      <c r="Q6183" s="2">
        <v>121024</v>
      </c>
      <c r="R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 s="1">
        <v>42382</v>
      </c>
      <c r="AC6183" t="s">
        <v>53</v>
      </c>
      <c r="AD6183" t="s">
        <v>53</v>
      </c>
      <c r="AK6183">
        <v>0</v>
      </c>
      <c r="AU6183" s="6">
        <v>42075</v>
      </c>
      <c r="AV6183" s="6">
        <v>42075</v>
      </c>
      <c r="AW6183" t="s">
        <v>54</v>
      </c>
      <c r="AX6183" t="str">
        <f t="shared" si="519"/>
        <v>FOR</v>
      </c>
      <c r="AY6183" t="s">
        <v>55</v>
      </c>
    </row>
    <row r="6184" spans="1:51" hidden="1">
      <c r="A6184">
        <v>104029</v>
      </c>
      <c r="B6184" t="s">
        <v>1173</v>
      </c>
      <c r="C6184" t="str">
        <f t="shared" si="523"/>
        <v>01630000287</v>
      </c>
      <c r="D6184" t="str">
        <f t="shared" si="524"/>
        <v>00759430267</v>
      </c>
      <c r="E6184" t="s">
        <v>52</v>
      </c>
      <c r="F6184">
        <v>2014</v>
      </c>
      <c r="G6184">
        <v>1441546</v>
      </c>
      <c r="H6184" s="1">
        <v>41712</v>
      </c>
      <c r="I6184" s="1">
        <v>41737</v>
      </c>
      <c r="J6184" s="1">
        <v>41737</v>
      </c>
      <c r="K6184" s="1">
        <v>41827</v>
      </c>
      <c r="N6184" s="5"/>
      <c r="O6184" s="2">
        <v>1793.4</v>
      </c>
      <c r="P6184">
        <v>248</v>
      </c>
      <c r="Q6184" s="2">
        <v>444763.2</v>
      </c>
      <c r="R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 s="1">
        <v>42382</v>
      </c>
      <c r="AC6184" t="s">
        <v>53</v>
      </c>
      <c r="AD6184" t="s">
        <v>53</v>
      </c>
      <c r="AK6184">
        <v>0</v>
      </c>
      <c r="AU6184" s="6">
        <v>42075</v>
      </c>
      <c r="AV6184" s="6">
        <v>42075</v>
      </c>
      <c r="AW6184" t="s">
        <v>54</v>
      </c>
      <c r="AX6184" t="str">
        <f t="shared" si="519"/>
        <v>FOR</v>
      </c>
      <c r="AY6184" t="s">
        <v>55</v>
      </c>
    </row>
    <row r="6185" spans="1:51" hidden="1">
      <c r="A6185">
        <v>104029</v>
      </c>
      <c r="B6185" t="s">
        <v>1173</v>
      </c>
      <c r="C6185" t="str">
        <f t="shared" si="523"/>
        <v>01630000287</v>
      </c>
      <c r="D6185" t="str">
        <f t="shared" si="524"/>
        <v>00759430267</v>
      </c>
      <c r="E6185" t="s">
        <v>52</v>
      </c>
      <c r="F6185">
        <v>2014</v>
      </c>
      <c r="G6185">
        <v>1441547</v>
      </c>
      <c r="H6185" s="1">
        <v>41712</v>
      </c>
      <c r="I6185" s="1">
        <v>41737</v>
      </c>
      <c r="J6185" s="1">
        <v>41737</v>
      </c>
      <c r="K6185" s="1">
        <v>41827</v>
      </c>
      <c r="N6185" s="5"/>
      <c r="O6185">
        <v>798.36</v>
      </c>
      <c r="P6185">
        <v>248</v>
      </c>
      <c r="Q6185" s="2">
        <v>197993.28</v>
      </c>
      <c r="R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 s="1">
        <v>42382</v>
      </c>
      <c r="AC6185" t="s">
        <v>53</v>
      </c>
      <c r="AD6185" t="s">
        <v>53</v>
      </c>
      <c r="AK6185">
        <v>0</v>
      </c>
      <c r="AU6185" s="6">
        <v>42075</v>
      </c>
      <c r="AV6185" s="6">
        <v>42075</v>
      </c>
      <c r="AW6185" t="s">
        <v>54</v>
      </c>
      <c r="AX6185" t="str">
        <f t="shared" si="519"/>
        <v>FOR</v>
      </c>
      <c r="AY6185" t="s">
        <v>55</v>
      </c>
    </row>
    <row r="6186" spans="1:51" hidden="1">
      <c r="A6186">
        <v>104029</v>
      </c>
      <c r="B6186" t="s">
        <v>1173</v>
      </c>
      <c r="C6186" t="str">
        <f t="shared" si="523"/>
        <v>01630000287</v>
      </c>
      <c r="D6186" t="str">
        <f t="shared" si="524"/>
        <v>00759430267</v>
      </c>
      <c r="E6186" t="s">
        <v>52</v>
      </c>
      <c r="F6186">
        <v>2014</v>
      </c>
      <c r="G6186">
        <v>1441852</v>
      </c>
      <c r="H6186" s="1">
        <v>41726</v>
      </c>
      <c r="I6186" s="1">
        <v>41752</v>
      </c>
      <c r="J6186" s="1">
        <v>41752</v>
      </c>
      <c r="K6186" s="1">
        <v>41842</v>
      </c>
      <c r="N6186" s="5"/>
      <c r="O6186" s="2">
        <v>1076.04</v>
      </c>
      <c r="P6186">
        <v>233</v>
      </c>
      <c r="Q6186" s="2">
        <v>250717.32</v>
      </c>
      <c r="R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 s="1">
        <v>42382</v>
      </c>
      <c r="AC6186" t="s">
        <v>53</v>
      </c>
      <c r="AD6186" t="s">
        <v>53</v>
      </c>
      <c r="AK6186">
        <v>0</v>
      </c>
      <c r="AU6186" s="6">
        <v>42075</v>
      </c>
      <c r="AV6186" s="6">
        <v>42075</v>
      </c>
      <c r="AW6186" t="s">
        <v>54</v>
      </c>
      <c r="AX6186" t="str">
        <f t="shared" si="519"/>
        <v>FOR</v>
      </c>
      <c r="AY6186" t="s">
        <v>55</v>
      </c>
    </row>
    <row r="6187" spans="1:51" hidden="1">
      <c r="A6187">
        <v>104029</v>
      </c>
      <c r="B6187" t="s">
        <v>1173</v>
      </c>
      <c r="C6187" t="str">
        <f t="shared" si="523"/>
        <v>01630000287</v>
      </c>
      <c r="D6187" t="str">
        <f t="shared" si="524"/>
        <v>00759430267</v>
      </c>
      <c r="E6187" t="s">
        <v>52</v>
      </c>
      <c r="F6187">
        <v>2014</v>
      </c>
      <c r="G6187">
        <v>1441955</v>
      </c>
      <c r="H6187" s="1">
        <v>41729</v>
      </c>
      <c r="I6187" s="1">
        <v>41752</v>
      </c>
      <c r="J6187" s="1">
        <v>41752</v>
      </c>
      <c r="K6187" s="1">
        <v>41842</v>
      </c>
      <c r="N6187" s="5"/>
      <c r="O6187" s="2">
        <v>14047.78</v>
      </c>
      <c r="P6187">
        <v>233</v>
      </c>
      <c r="Q6187" s="2">
        <v>3273132.74</v>
      </c>
      <c r="R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 s="1">
        <v>42382</v>
      </c>
      <c r="AC6187" t="s">
        <v>53</v>
      </c>
      <c r="AD6187" t="s">
        <v>53</v>
      </c>
      <c r="AK6187">
        <v>0</v>
      </c>
      <c r="AU6187" s="6">
        <v>42075</v>
      </c>
      <c r="AV6187" s="6">
        <v>42075</v>
      </c>
      <c r="AW6187" t="s">
        <v>54</v>
      </c>
      <c r="AX6187" t="str">
        <f t="shared" si="519"/>
        <v>FOR</v>
      </c>
      <c r="AY6187" t="s">
        <v>55</v>
      </c>
    </row>
    <row r="6188" spans="1:51" hidden="1">
      <c r="A6188">
        <v>104029</v>
      </c>
      <c r="B6188" t="s">
        <v>1173</v>
      </c>
      <c r="C6188" t="str">
        <f t="shared" si="523"/>
        <v>01630000287</v>
      </c>
      <c r="D6188" t="str">
        <f t="shared" si="524"/>
        <v>00759430267</v>
      </c>
      <c r="E6188" t="s">
        <v>52</v>
      </c>
      <c r="F6188">
        <v>2014</v>
      </c>
      <c r="G6188">
        <v>1442032</v>
      </c>
      <c r="H6188" s="1">
        <v>41736</v>
      </c>
      <c r="I6188" s="1">
        <v>41752</v>
      </c>
      <c r="J6188" s="1">
        <v>41752</v>
      </c>
      <c r="K6188" s="1">
        <v>41842</v>
      </c>
      <c r="N6188" s="5"/>
      <c r="O6188" s="2">
        <v>1006.5</v>
      </c>
      <c r="P6188">
        <v>259</v>
      </c>
      <c r="Q6188" s="2">
        <v>260683.5</v>
      </c>
      <c r="R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 s="1">
        <v>42382</v>
      </c>
      <c r="AC6188" t="s">
        <v>53</v>
      </c>
      <c r="AD6188" t="s">
        <v>53</v>
      </c>
      <c r="AK6188">
        <v>0</v>
      </c>
      <c r="AU6188" s="6">
        <v>42101</v>
      </c>
      <c r="AV6188" s="6">
        <v>42101</v>
      </c>
      <c r="AW6188" t="s">
        <v>54</v>
      </c>
      <c r="AX6188" t="str">
        <f t="shared" si="519"/>
        <v>FOR</v>
      </c>
      <c r="AY6188" t="s">
        <v>55</v>
      </c>
    </row>
    <row r="6189" spans="1:51" hidden="1">
      <c r="A6189">
        <v>104029</v>
      </c>
      <c r="B6189" t="s">
        <v>1173</v>
      </c>
      <c r="C6189" t="str">
        <f t="shared" si="523"/>
        <v>01630000287</v>
      </c>
      <c r="D6189" t="str">
        <f t="shared" si="524"/>
        <v>00759430267</v>
      </c>
      <c r="E6189" t="s">
        <v>52</v>
      </c>
      <c r="F6189">
        <v>2014</v>
      </c>
      <c r="G6189">
        <v>1442033</v>
      </c>
      <c r="H6189" s="1">
        <v>41736</v>
      </c>
      <c r="I6189" s="1">
        <v>41752</v>
      </c>
      <c r="J6189" s="1">
        <v>41752</v>
      </c>
      <c r="K6189" s="1">
        <v>41842</v>
      </c>
      <c r="N6189" s="5"/>
      <c r="O6189" s="2">
        <v>2820.98</v>
      </c>
      <c r="P6189">
        <v>259</v>
      </c>
      <c r="Q6189" s="2">
        <v>730633.82</v>
      </c>
      <c r="R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 s="1">
        <v>42382</v>
      </c>
      <c r="AC6189" t="s">
        <v>53</v>
      </c>
      <c r="AD6189" t="s">
        <v>53</v>
      </c>
      <c r="AK6189">
        <v>0</v>
      </c>
      <c r="AU6189" s="6">
        <v>42101</v>
      </c>
      <c r="AV6189" s="6">
        <v>42101</v>
      </c>
      <c r="AW6189" t="s">
        <v>54</v>
      </c>
      <c r="AX6189" t="str">
        <f t="shared" si="519"/>
        <v>FOR</v>
      </c>
      <c r="AY6189" t="s">
        <v>55</v>
      </c>
    </row>
    <row r="6190" spans="1:51" hidden="1">
      <c r="A6190">
        <v>104029</v>
      </c>
      <c r="B6190" t="s">
        <v>1173</v>
      </c>
      <c r="C6190" t="str">
        <f t="shared" si="523"/>
        <v>01630000287</v>
      </c>
      <c r="D6190" t="str">
        <f t="shared" si="524"/>
        <v>00759430267</v>
      </c>
      <c r="E6190" t="s">
        <v>52</v>
      </c>
      <c r="F6190">
        <v>2014</v>
      </c>
      <c r="G6190">
        <v>1442598</v>
      </c>
      <c r="H6190" s="1">
        <v>41759</v>
      </c>
      <c r="I6190" s="1">
        <v>41773</v>
      </c>
      <c r="J6190" s="1">
        <v>41773</v>
      </c>
      <c r="K6190" s="1">
        <v>41863</v>
      </c>
      <c r="N6190" s="5"/>
      <c r="O6190" s="2">
        <v>6466</v>
      </c>
      <c r="P6190">
        <v>238</v>
      </c>
      <c r="Q6190" s="2">
        <v>1538908</v>
      </c>
      <c r="R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 s="1">
        <v>42382</v>
      </c>
      <c r="AC6190" t="s">
        <v>53</v>
      </c>
      <c r="AD6190" t="s">
        <v>53</v>
      </c>
      <c r="AK6190">
        <v>0</v>
      </c>
      <c r="AU6190" s="6">
        <v>42101</v>
      </c>
      <c r="AV6190" s="6">
        <v>42101</v>
      </c>
      <c r="AW6190" t="s">
        <v>54</v>
      </c>
      <c r="AX6190" t="str">
        <f t="shared" si="519"/>
        <v>FOR</v>
      </c>
      <c r="AY6190" t="s">
        <v>55</v>
      </c>
    </row>
    <row r="6191" spans="1:51" hidden="1">
      <c r="A6191">
        <v>104029</v>
      </c>
      <c r="B6191" t="s">
        <v>1173</v>
      </c>
      <c r="C6191" t="str">
        <f t="shared" si="523"/>
        <v>01630000287</v>
      </c>
      <c r="D6191" t="str">
        <f t="shared" si="524"/>
        <v>00759430267</v>
      </c>
      <c r="E6191" t="s">
        <v>52</v>
      </c>
      <c r="F6191">
        <v>2014</v>
      </c>
      <c r="G6191">
        <v>1442899</v>
      </c>
      <c r="H6191" s="1">
        <v>41775</v>
      </c>
      <c r="I6191" s="1">
        <v>41789</v>
      </c>
      <c r="J6191" s="1">
        <v>41789</v>
      </c>
      <c r="K6191" s="1">
        <v>41879</v>
      </c>
      <c r="N6191" s="5"/>
      <c r="O6191">
        <v>634.4</v>
      </c>
      <c r="P6191">
        <v>252</v>
      </c>
      <c r="Q6191" s="2">
        <v>159868.79999999999</v>
      </c>
      <c r="R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 s="1">
        <v>42382</v>
      </c>
      <c r="AC6191" t="s">
        <v>53</v>
      </c>
      <c r="AD6191" t="s">
        <v>53</v>
      </c>
      <c r="AK6191">
        <v>0</v>
      </c>
      <c r="AU6191" s="6">
        <v>42131</v>
      </c>
      <c r="AV6191" s="6">
        <v>42131</v>
      </c>
      <c r="AW6191" t="s">
        <v>54</v>
      </c>
      <c r="AX6191" t="str">
        <f t="shared" si="519"/>
        <v>FOR</v>
      </c>
      <c r="AY6191" t="s">
        <v>55</v>
      </c>
    </row>
    <row r="6192" spans="1:51" hidden="1">
      <c r="A6192">
        <v>104029</v>
      </c>
      <c r="B6192" t="s">
        <v>1173</v>
      </c>
      <c r="C6192" t="str">
        <f t="shared" si="523"/>
        <v>01630000287</v>
      </c>
      <c r="D6192" t="str">
        <f t="shared" si="524"/>
        <v>00759430267</v>
      </c>
      <c r="E6192" t="s">
        <v>52</v>
      </c>
      <c r="F6192">
        <v>2014</v>
      </c>
      <c r="G6192">
        <v>1443480</v>
      </c>
      <c r="H6192" s="1">
        <v>41801</v>
      </c>
      <c r="I6192" s="1">
        <v>41817</v>
      </c>
      <c r="J6192" s="1">
        <v>41817</v>
      </c>
      <c r="K6192" s="1">
        <v>41907</v>
      </c>
      <c r="N6192" s="5"/>
      <c r="O6192">
        <v>532.24</v>
      </c>
      <c r="P6192">
        <v>256</v>
      </c>
      <c r="Q6192" s="2">
        <v>136253.44</v>
      </c>
      <c r="R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 s="1">
        <v>42382</v>
      </c>
      <c r="AC6192" t="s">
        <v>53</v>
      </c>
      <c r="AD6192" t="s">
        <v>53</v>
      </c>
      <c r="AK6192">
        <v>0</v>
      </c>
      <c r="AU6192" s="6">
        <v>42163</v>
      </c>
      <c r="AV6192" s="6">
        <v>42163</v>
      </c>
      <c r="AW6192" t="s">
        <v>54</v>
      </c>
      <c r="AX6192" t="str">
        <f t="shared" si="519"/>
        <v>FOR</v>
      </c>
      <c r="AY6192" t="s">
        <v>55</v>
      </c>
    </row>
    <row r="6193" spans="1:51" hidden="1">
      <c r="A6193">
        <v>104029</v>
      </c>
      <c r="B6193" t="s">
        <v>1173</v>
      </c>
      <c r="C6193" t="str">
        <f t="shared" si="523"/>
        <v>01630000287</v>
      </c>
      <c r="D6193" t="str">
        <f t="shared" si="524"/>
        <v>00759430267</v>
      </c>
      <c r="E6193" t="s">
        <v>52</v>
      </c>
      <c r="F6193">
        <v>2014</v>
      </c>
      <c r="G6193">
        <v>1443559</v>
      </c>
      <c r="H6193" s="1">
        <v>41806</v>
      </c>
      <c r="I6193" s="1">
        <v>41827</v>
      </c>
      <c r="J6193" s="1">
        <v>41827</v>
      </c>
      <c r="K6193" s="1">
        <v>41917</v>
      </c>
      <c r="N6193" s="5"/>
      <c r="O6193" s="2">
        <v>1415.2</v>
      </c>
      <c r="P6193">
        <v>246</v>
      </c>
      <c r="Q6193" s="2">
        <v>348139.2</v>
      </c>
      <c r="R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 s="1">
        <v>42382</v>
      </c>
      <c r="AC6193" t="s">
        <v>53</v>
      </c>
      <c r="AD6193" t="s">
        <v>53</v>
      </c>
      <c r="AK6193">
        <v>0</v>
      </c>
      <c r="AU6193" s="6">
        <v>42163</v>
      </c>
      <c r="AV6193" s="6">
        <v>42163</v>
      </c>
      <c r="AW6193" t="s">
        <v>54</v>
      </c>
      <c r="AX6193" t="str">
        <f t="shared" si="519"/>
        <v>FOR</v>
      </c>
      <c r="AY6193" t="s">
        <v>55</v>
      </c>
    </row>
    <row r="6194" spans="1:51" hidden="1">
      <c r="A6194">
        <v>104029</v>
      </c>
      <c r="B6194" t="s">
        <v>1173</v>
      </c>
      <c r="C6194" t="str">
        <f t="shared" si="523"/>
        <v>01630000287</v>
      </c>
      <c r="D6194" t="str">
        <f t="shared" si="524"/>
        <v>00759430267</v>
      </c>
      <c r="E6194" t="s">
        <v>52</v>
      </c>
      <c r="F6194">
        <v>2014</v>
      </c>
      <c r="G6194">
        <v>1443797</v>
      </c>
      <c r="H6194" s="1">
        <v>41816</v>
      </c>
      <c r="I6194" s="1">
        <v>41834</v>
      </c>
      <c r="J6194" s="1">
        <v>41834</v>
      </c>
      <c r="K6194" s="1">
        <v>41924</v>
      </c>
      <c r="N6194" s="5"/>
      <c r="O6194" s="2">
        <v>14518</v>
      </c>
      <c r="P6194">
        <v>239</v>
      </c>
      <c r="Q6194" s="2">
        <v>3469802</v>
      </c>
      <c r="R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 s="1">
        <v>42382</v>
      </c>
      <c r="AC6194" t="s">
        <v>53</v>
      </c>
      <c r="AD6194" t="s">
        <v>53</v>
      </c>
      <c r="AK6194">
        <v>0</v>
      </c>
      <c r="AU6194" s="6">
        <v>42163</v>
      </c>
      <c r="AV6194" s="6">
        <v>42163</v>
      </c>
      <c r="AW6194" t="s">
        <v>54</v>
      </c>
      <c r="AX6194" t="str">
        <f t="shared" si="519"/>
        <v>FOR</v>
      </c>
      <c r="AY6194" t="s">
        <v>55</v>
      </c>
    </row>
    <row r="6195" spans="1:51" hidden="1">
      <c r="A6195">
        <v>104029</v>
      </c>
      <c r="B6195" t="s">
        <v>1173</v>
      </c>
      <c r="C6195" t="str">
        <f t="shared" si="523"/>
        <v>01630000287</v>
      </c>
      <c r="D6195" t="str">
        <f t="shared" si="524"/>
        <v>00759430267</v>
      </c>
      <c r="E6195" t="s">
        <v>52</v>
      </c>
      <c r="F6195">
        <v>2014</v>
      </c>
      <c r="G6195">
        <v>1443971</v>
      </c>
      <c r="H6195" s="1">
        <v>41824</v>
      </c>
      <c r="I6195" s="1">
        <v>41845</v>
      </c>
      <c r="J6195" s="1">
        <v>41845</v>
      </c>
      <c r="K6195" s="1">
        <v>41935</v>
      </c>
      <c r="N6195" s="5"/>
      <c r="O6195">
        <v>892.13</v>
      </c>
      <c r="P6195">
        <v>253</v>
      </c>
      <c r="Q6195" s="2">
        <v>225708.89</v>
      </c>
      <c r="R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 s="1">
        <v>42382</v>
      </c>
      <c r="AC6195" t="s">
        <v>53</v>
      </c>
      <c r="AD6195" t="s">
        <v>53</v>
      </c>
      <c r="AK6195">
        <v>0</v>
      </c>
      <c r="AU6195" s="6">
        <v>42188</v>
      </c>
      <c r="AV6195" s="6">
        <v>42188</v>
      </c>
      <c r="AW6195" t="s">
        <v>54</v>
      </c>
      <c r="AX6195" t="str">
        <f t="shared" si="519"/>
        <v>FOR</v>
      </c>
      <c r="AY6195" t="s">
        <v>55</v>
      </c>
    </row>
    <row r="6196" spans="1:51" hidden="1">
      <c r="A6196">
        <v>104029</v>
      </c>
      <c r="B6196" t="s">
        <v>1173</v>
      </c>
      <c r="C6196" t="str">
        <f t="shared" si="523"/>
        <v>01630000287</v>
      </c>
      <c r="D6196" t="str">
        <f t="shared" si="524"/>
        <v>00759430267</v>
      </c>
      <c r="E6196" t="s">
        <v>52</v>
      </c>
      <c r="F6196">
        <v>2014</v>
      </c>
      <c r="G6196">
        <v>1444116</v>
      </c>
      <c r="H6196" s="1">
        <v>41831</v>
      </c>
      <c r="I6196" s="1">
        <v>41845</v>
      </c>
      <c r="J6196" s="1">
        <v>41845</v>
      </c>
      <c r="K6196" s="1">
        <v>41935</v>
      </c>
      <c r="N6196" s="5"/>
      <c r="O6196" s="2">
        <v>4636</v>
      </c>
      <c r="P6196">
        <v>253</v>
      </c>
      <c r="Q6196" s="2">
        <v>1172908</v>
      </c>
      <c r="R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 s="1">
        <v>42382</v>
      </c>
      <c r="AC6196" t="s">
        <v>53</v>
      </c>
      <c r="AD6196" t="s">
        <v>53</v>
      </c>
      <c r="AK6196">
        <v>0</v>
      </c>
      <c r="AU6196" s="6">
        <v>42188</v>
      </c>
      <c r="AV6196" s="6">
        <v>42188</v>
      </c>
      <c r="AW6196" t="s">
        <v>54</v>
      </c>
      <c r="AX6196" t="str">
        <f t="shared" si="519"/>
        <v>FOR</v>
      </c>
      <c r="AY6196" t="s">
        <v>55</v>
      </c>
    </row>
    <row r="6197" spans="1:51" hidden="1">
      <c r="A6197">
        <v>104029</v>
      </c>
      <c r="B6197" t="s">
        <v>1173</v>
      </c>
      <c r="C6197" t="str">
        <f t="shared" si="523"/>
        <v>01630000287</v>
      </c>
      <c r="D6197" t="str">
        <f t="shared" si="524"/>
        <v>00759430267</v>
      </c>
      <c r="E6197" t="s">
        <v>52</v>
      </c>
      <c r="F6197">
        <v>2014</v>
      </c>
      <c r="G6197">
        <v>1444117</v>
      </c>
      <c r="H6197" s="1">
        <v>41831</v>
      </c>
      <c r="I6197" s="1">
        <v>41845</v>
      </c>
      <c r="J6197" s="1">
        <v>41845</v>
      </c>
      <c r="K6197" s="1">
        <v>41935</v>
      </c>
      <c r="N6197" s="5"/>
      <c r="O6197">
        <v>798.36</v>
      </c>
      <c r="P6197">
        <v>253</v>
      </c>
      <c r="Q6197" s="2">
        <v>201985.08</v>
      </c>
      <c r="R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 s="1">
        <v>42382</v>
      </c>
      <c r="AC6197" t="s">
        <v>53</v>
      </c>
      <c r="AD6197" t="s">
        <v>53</v>
      </c>
      <c r="AK6197">
        <v>0</v>
      </c>
      <c r="AU6197" s="6">
        <v>42188</v>
      </c>
      <c r="AV6197" s="6">
        <v>42188</v>
      </c>
      <c r="AW6197" t="s">
        <v>54</v>
      </c>
      <c r="AX6197" t="str">
        <f t="shared" si="519"/>
        <v>FOR</v>
      </c>
      <c r="AY6197" t="s">
        <v>55</v>
      </c>
    </row>
    <row r="6198" spans="1:51" hidden="1">
      <c r="A6198">
        <v>104029</v>
      </c>
      <c r="B6198" t="s">
        <v>1173</v>
      </c>
      <c r="C6198" t="str">
        <f t="shared" si="523"/>
        <v>01630000287</v>
      </c>
      <c r="D6198" t="str">
        <f t="shared" si="524"/>
        <v>00759430267</v>
      </c>
      <c r="E6198" t="s">
        <v>52</v>
      </c>
      <c r="F6198">
        <v>2014</v>
      </c>
      <c r="G6198">
        <v>1444432</v>
      </c>
      <c r="H6198" s="1">
        <v>41845</v>
      </c>
      <c r="I6198" s="1">
        <v>41873</v>
      </c>
      <c r="J6198" s="1">
        <v>41873</v>
      </c>
      <c r="K6198" s="1">
        <v>41963</v>
      </c>
      <c r="N6198" s="5"/>
      <c r="O6198" s="2">
        <v>9394</v>
      </c>
      <c r="P6198">
        <v>225</v>
      </c>
      <c r="Q6198" s="2">
        <v>2113650</v>
      </c>
      <c r="R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 s="1">
        <v>42382</v>
      </c>
      <c r="AC6198" t="s">
        <v>53</v>
      </c>
      <c r="AD6198" t="s">
        <v>53</v>
      </c>
      <c r="AK6198">
        <v>0</v>
      </c>
      <c r="AU6198" s="6">
        <v>42188</v>
      </c>
      <c r="AV6198" s="6">
        <v>42188</v>
      </c>
      <c r="AW6198" t="s">
        <v>54</v>
      </c>
      <c r="AX6198" t="str">
        <f t="shared" si="519"/>
        <v>FOR</v>
      </c>
      <c r="AY6198" t="s">
        <v>55</v>
      </c>
    </row>
    <row r="6199" spans="1:51" hidden="1">
      <c r="A6199">
        <v>104029</v>
      </c>
      <c r="B6199" t="s">
        <v>1173</v>
      </c>
      <c r="C6199" t="str">
        <f t="shared" si="523"/>
        <v>01630000287</v>
      </c>
      <c r="D6199" t="str">
        <f t="shared" si="524"/>
        <v>00759430267</v>
      </c>
      <c r="E6199" t="s">
        <v>52</v>
      </c>
      <c r="F6199">
        <v>2014</v>
      </c>
      <c r="G6199">
        <v>1444433</v>
      </c>
      <c r="H6199" s="1">
        <v>41845</v>
      </c>
      <c r="I6199" s="1">
        <v>41873</v>
      </c>
      <c r="J6199" s="1">
        <v>41873</v>
      </c>
      <c r="K6199" s="1">
        <v>41963</v>
      </c>
      <c r="N6199" s="5"/>
      <c r="O6199" s="2">
        <v>1830</v>
      </c>
      <c r="P6199">
        <v>225</v>
      </c>
      <c r="Q6199" s="2">
        <v>411750</v>
      </c>
      <c r="R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 s="1">
        <v>42382</v>
      </c>
      <c r="AC6199" t="s">
        <v>53</v>
      </c>
      <c r="AD6199" t="s">
        <v>53</v>
      </c>
      <c r="AK6199">
        <v>0</v>
      </c>
      <c r="AU6199" s="6">
        <v>42188</v>
      </c>
      <c r="AV6199" s="6">
        <v>42188</v>
      </c>
      <c r="AW6199" t="s">
        <v>54</v>
      </c>
      <c r="AX6199" t="str">
        <f t="shared" si="519"/>
        <v>FOR</v>
      </c>
      <c r="AY6199" t="s">
        <v>55</v>
      </c>
    </row>
    <row r="6200" spans="1:51" hidden="1">
      <c r="A6200">
        <v>104029</v>
      </c>
      <c r="B6200" t="s">
        <v>1173</v>
      </c>
      <c r="C6200" t="str">
        <f t="shared" si="523"/>
        <v>01630000287</v>
      </c>
      <c r="D6200" t="str">
        <f t="shared" si="524"/>
        <v>00759430267</v>
      </c>
      <c r="E6200" t="s">
        <v>52</v>
      </c>
      <c r="F6200">
        <v>2014</v>
      </c>
      <c r="G6200">
        <v>1444877</v>
      </c>
      <c r="H6200" s="1">
        <v>41873</v>
      </c>
      <c r="I6200" s="1">
        <v>41890</v>
      </c>
      <c r="J6200" s="1">
        <v>41890</v>
      </c>
      <c r="K6200" s="1">
        <v>41980</v>
      </c>
      <c r="N6200" s="5"/>
      <c r="O6200" s="2">
        <v>5124</v>
      </c>
      <c r="P6200">
        <v>208</v>
      </c>
      <c r="Q6200" s="2">
        <v>1065792</v>
      </c>
      <c r="R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 s="1">
        <v>42382</v>
      </c>
      <c r="AC6200" t="s">
        <v>53</v>
      </c>
      <c r="AD6200" t="s">
        <v>53</v>
      </c>
      <c r="AK6200">
        <v>0</v>
      </c>
      <c r="AU6200" s="6">
        <v>42188</v>
      </c>
      <c r="AV6200" s="6">
        <v>42188</v>
      </c>
      <c r="AW6200" t="s">
        <v>54</v>
      </c>
      <c r="AX6200" t="str">
        <f t="shared" si="519"/>
        <v>FOR</v>
      </c>
      <c r="AY6200" t="s">
        <v>55</v>
      </c>
    </row>
    <row r="6201" spans="1:51" hidden="1">
      <c r="A6201">
        <v>104029</v>
      </c>
      <c r="B6201" t="s">
        <v>1173</v>
      </c>
      <c r="C6201" t="str">
        <f t="shared" si="523"/>
        <v>01630000287</v>
      </c>
      <c r="D6201" t="str">
        <f t="shared" si="524"/>
        <v>00759430267</v>
      </c>
      <c r="E6201" t="s">
        <v>52</v>
      </c>
      <c r="F6201">
        <v>2014</v>
      </c>
      <c r="G6201">
        <v>1445024</v>
      </c>
      <c r="H6201" s="1">
        <v>41880</v>
      </c>
      <c r="I6201" s="1">
        <v>41897</v>
      </c>
      <c r="J6201" s="1">
        <v>41897</v>
      </c>
      <c r="K6201" s="1">
        <v>41987</v>
      </c>
      <c r="N6201" s="5"/>
      <c r="O6201">
        <v>532.24</v>
      </c>
      <c r="P6201">
        <v>201</v>
      </c>
      <c r="Q6201" s="2">
        <v>106980.24</v>
      </c>
      <c r="R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 s="1">
        <v>42382</v>
      </c>
      <c r="AC6201" t="s">
        <v>53</v>
      </c>
      <c r="AD6201" t="s">
        <v>53</v>
      </c>
      <c r="AK6201">
        <v>0</v>
      </c>
      <c r="AU6201" s="6">
        <v>42188</v>
      </c>
      <c r="AV6201" s="6">
        <v>42188</v>
      </c>
      <c r="AW6201" t="s">
        <v>54</v>
      </c>
      <c r="AX6201" t="str">
        <f t="shared" si="519"/>
        <v>FOR</v>
      </c>
      <c r="AY6201" t="s">
        <v>55</v>
      </c>
    </row>
    <row r="6202" spans="1:51" hidden="1">
      <c r="A6202">
        <v>104029</v>
      </c>
      <c r="B6202" t="s">
        <v>1173</v>
      </c>
      <c r="C6202" t="str">
        <f t="shared" si="523"/>
        <v>01630000287</v>
      </c>
      <c r="D6202" t="str">
        <f t="shared" si="524"/>
        <v>00759430267</v>
      </c>
      <c r="E6202" t="s">
        <v>52</v>
      </c>
      <c r="F6202">
        <v>2014</v>
      </c>
      <c r="G6202">
        <v>1445025</v>
      </c>
      <c r="H6202" s="1">
        <v>41880</v>
      </c>
      <c r="I6202" s="1">
        <v>41897</v>
      </c>
      <c r="J6202" s="1">
        <v>41897</v>
      </c>
      <c r="K6202" s="1">
        <v>41987</v>
      </c>
      <c r="N6202" s="5"/>
      <c r="O6202">
        <v>634.4</v>
      </c>
      <c r="P6202">
        <v>201</v>
      </c>
      <c r="Q6202" s="2">
        <v>127514.4</v>
      </c>
      <c r="R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 s="1">
        <v>42382</v>
      </c>
      <c r="AC6202" t="s">
        <v>53</v>
      </c>
      <c r="AD6202" t="s">
        <v>53</v>
      </c>
      <c r="AK6202">
        <v>0</v>
      </c>
      <c r="AU6202" s="6">
        <v>42188</v>
      </c>
      <c r="AV6202" s="6">
        <v>42188</v>
      </c>
      <c r="AW6202" t="s">
        <v>54</v>
      </c>
      <c r="AX6202" t="str">
        <f t="shared" si="519"/>
        <v>FOR</v>
      </c>
      <c r="AY6202" t="s">
        <v>55</v>
      </c>
    </row>
    <row r="6203" spans="1:51">
      <c r="A6203">
        <v>104029</v>
      </c>
      <c r="B6203" t="s">
        <v>1173</v>
      </c>
      <c r="C6203" t="str">
        <f t="shared" si="523"/>
        <v>01630000287</v>
      </c>
      <c r="D6203" t="str">
        <f t="shared" si="524"/>
        <v>00759430267</v>
      </c>
      <c r="E6203" t="s">
        <v>52</v>
      </c>
      <c r="F6203">
        <v>2014</v>
      </c>
      <c r="G6203">
        <v>1445938</v>
      </c>
      <c r="H6203" s="1">
        <v>41929</v>
      </c>
      <c r="I6203" s="1">
        <v>41955</v>
      </c>
      <c r="J6203" s="1">
        <v>41955</v>
      </c>
      <c r="K6203" s="1">
        <v>42015</v>
      </c>
      <c r="L6203" s="7">
        <v>1586</v>
      </c>
      <c r="M6203" s="5">
        <v>268</v>
      </c>
      <c r="N6203" s="7">
        <v>425048</v>
      </c>
      <c r="O6203" s="2">
        <v>1586</v>
      </c>
      <c r="P6203">
        <v>268</v>
      </c>
      <c r="Q6203" s="2">
        <v>425048</v>
      </c>
      <c r="R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 s="1">
        <v>42382</v>
      </c>
      <c r="AC6203" t="s">
        <v>53</v>
      </c>
      <c r="AD6203" t="s">
        <v>53</v>
      </c>
      <c r="AK6203">
        <v>0</v>
      </c>
      <c r="AU6203" s="6">
        <v>42283</v>
      </c>
      <c r="AV6203" s="6">
        <v>42283</v>
      </c>
      <c r="AW6203" t="s">
        <v>54</v>
      </c>
      <c r="AX6203" t="str">
        <f t="shared" si="519"/>
        <v>FOR</v>
      </c>
      <c r="AY6203" t="s">
        <v>55</v>
      </c>
    </row>
    <row r="6204" spans="1:51">
      <c r="A6204">
        <v>104029</v>
      </c>
      <c r="B6204" t="s">
        <v>1173</v>
      </c>
      <c r="C6204" t="str">
        <f t="shared" si="523"/>
        <v>01630000287</v>
      </c>
      <c r="D6204" t="str">
        <f t="shared" si="524"/>
        <v>00759430267</v>
      </c>
      <c r="E6204" t="s">
        <v>52</v>
      </c>
      <c r="F6204">
        <v>2014</v>
      </c>
      <c r="G6204">
        <v>1446052</v>
      </c>
      <c r="H6204" s="1">
        <v>41936</v>
      </c>
      <c r="I6204" s="1">
        <v>41955</v>
      </c>
      <c r="J6204" s="1">
        <v>41955</v>
      </c>
      <c r="K6204" s="1">
        <v>42015</v>
      </c>
      <c r="L6204" s="7">
        <v>1255.1600000000001</v>
      </c>
      <c r="M6204" s="5">
        <v>268</v>
      </c>
      <c r="N6204" s="7">
        <v>336382.88</v>
      </c>
      <c r="O6204" s="2">
        <v>1255.1600000000001</v>
      </c>
      <c r="P6204">
        <v>268</v>
      </c>
      <c r="Q6204" s="2">
        <v>336382.88</v>
      </c>
      <c r="R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 s="1">
        <v>42382</v>
      </c>
      <c r="AC6204" t="s">
        <v>53</v>
      </c>
      <c r="AD6204" t="s">
        <v>53</v>
      </c>
      <c r="AK6204">
        <v>0</v>
      </c>
      <c r="AU6204" s="6">
        <v>42283</v>
      </c>
      <c r="AV6204" s="6">
        <v>42283</v>
      </c>
      <c r="AW6204" t="s">
        <v>54</v>
      </c>
      <c r="AX6204" t="str">
        <f t="shared" si="519"/>
        <v>FOR</v>
      </c>
      <c r="AY6204" t="s">
        <v>55</v>
      </c>
    </row>
    <row r="6205" spans="1:51">
      <c r="A6205">
        <v>104029</v>
      </c>
      <c r="B6205" t="s">
        <v>1173</v>
      </c>
      <c r="C6205" t="str">
        <f t="shared" si="523"/>
        <v>01630000287</v>
      </c>
      <c r="D6205" t="str">
        <f t="shared" si="524"/>
        <v>00759430267</v>
      </c>
      <c r="E6205" t="s">
        <v>52</v>
      </c>
      <c r="F6205">
        <v>2014</v>
      </c>
      <c r="G6205">
        <v>1446053</v>
      </c>
      <c r="H6205" s="1">
        <v>41936</v>
      </c>
      <c r="I6205" s="1">
        <v>41955</v>
      </c>
      <c r="J6205" s="1">
        <v>41955</v>
      </c>
      <c r="K6205" s="1">
        <v>42015</v>
      </c>
      <c r="L6205" s="7">
        <v>798.36</v>
      </c>
      <c r="M6205" s="5">
        <v>268</v>
      </c>
      <c r="N6205" s="7">
        <v>213960.48</v>
      </c>
      <c r="O6205">
        <v>798.36</v>
      </c>
      <c r="P6205">
        <v>268</v>
      </c>
      <c r="Q6205" s="2">
        <v>213960.48</v>
      </c>
      <c r="R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 s="1">
        <v>42382</v>
      </c>
      <c r="AC6205" t="s">
        <v>53</v>
      </c>
      <c r="AD6205" t="s">
        <v>53</v>
      </c>
      <c r="AK6205">
        <v>0</v>
      </c>
      <c r="AU6205" s="6">
        <v>42283</v>
      </c>
      <c r="AV6205" s="6">
        <v>42283</v>
      </c>
      <c r="AW6205" t="s">
        <v>54</v>
      </c>
      <c r="AX6205" t="str">
        <f t="shared" si="519"/>
        <v>FOR</v>
      </c>
      <c r="AY6205" t="s">
        <v>55</v>
      </c>
    </row>
    <row r="6206" spans="1:51">
      <c r="A6206">
        <v>104029</v>
      </c>
      <c r="B6206" t="s">
        <v>1173</v>
      </c>
      <c r="C6206" t="str">
        <f t="shared" si="523"/>
        <v>01630000287</v>
      </c>
      <c r="D6206" t="str">
        <f t="shared" si="524"/>
        <v>00759430267</v>
      </c>
      <c r="E6206" t="s">
        <v>52</v>
      </c>
      <c r="F6206">
        <v>2014</v>
      </c>
      <c r="G6206">
        <v>1446590</v>
      </c>
      <c r="H6206" s="1">
        <v>41964</v>
      </c>
      <c r="I6206" s="1">
        <v>41978</v>
      </c>
      <c r="J6206" s="1">
        <v>41978</v>
      </c>
      <c r="K6206" s="1">
        <v>42038</v>
      </c>
      <c r="L6206" s="7">
        <v>1586</v>
      </c>
      <c r="M6206" s="5">
        <v>266</v>
      </c>
      <c r="N6206" s="7">
        <v>421876</v>
      </c>
      <c r="O6206" s="2">
        <v>1586</v>
      </c>
      <c r="P6206">
        <v>266</v>
      </c>
      <c r="Q6206" s="2">
        <v>421876</v>
      </c>
      <c r="R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 s="1">
        <v>42382</v>
      </c>
      <c r="AC6206" t="s">
        <v>53</v>
      </c>
      <c r="AD6206" t="s">
        <v>53</v>
      </c>
      <c r="AK6206">
        <v>0</v>
      </c>
      <c r="AU6206" s="6">
        <v>42304</v>
      </c>
      <c r="AV6206" s="6">
        <v>42304</v>
      </c>
      <c r="AW6206" t="s">
        <v>54</v>
      </c>
      <c r="AX6206" t="str">
        <f t="shared" si="519"/>
        <v>FOR</v>
      </c>
      <c r="AY6206" t="s">
        <v>55</v>
      </c>
    </row>
    <row r="6207" spans="1:51">
      <c r="A6207">
        <v>104029</v>
      </c>
      <c r="B6207" t="s">
        <v>1173</v>
      </c>
      <c r="C6207" t="str">
        <f t="shared" si="523"/>
        <v>01630000287</v>
      </c>
      <c r="D6207" t="str">
        <f t="shared" si="524"/>
        <v>00759430267</v>
      </c>
      <c r="E6207" t="s">
        <v>52</v>
      </c>
      <c r="F6207">
        <v>2014</v>
      </c>
      <c r="G6207">
        <v>1446591</v>
      </c>
      <c r="H6207" s="1">
        <v>41964</v>
      </c>
      <c r="I6207" s="1">
        <v>41978</v>
      </c>
      <c r="J6207" s="1">
        <v>41978</v>
      </c>
      <c r="K6207" s="1">
        <v>42038</v>
      </c>
      <c r="L6207" s="7">
        <v>1076.04</v>
      </c>
      <c r="M6207" s="5">
        <v>266</v>
      </c>
      <c r="N6207" s="7">
        <v>286226.64</v>
      </c>
      <c r="O6207" s="2">
        <v>1076.04</v>
      </c>
      <c r="P6207">
        <v>266</v>
      </c>
      <c r="Q6207" s="2">
        <v>286226.64</v>
      </c>
      <c r="R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 s="1">
        <v>42382</v>
      </c>
      <c r="AC6207" t="s">
        <v>53</v>
      </c>
      <c r="AD6207" t="s">
        <v>53</v>
      </c>
      <c r="AK6207">
        <v>0</v>
      </c>
      <c r="AU6207" s="6">
        <v>42304</v>
      </c>
      <c r="AV6207" s="6">
        <v>42304</v>
      </c>
      <c r="AW6207" t="s">
        <v>54</v>
      </c>
      <c r="AX6207" t="str">
        <f t="shared" si="519"/>
        <v>FOR</v>
      </c>
      <c r="AY6207" t="s">
        <v>55</v>
      </c>
    </row>
    <row r="6208" spans="1:51">
      <c r="A6208">
        <v>104029</v>
      </c>
      <c r="B6208" t="s">
        <v>1173</v>
      </c>
      <c r="C6208" t="str">
        <f t="shared" si="523"/>
        <v>01630000287</v>
      </c>
      <c r="D6208" t="str">
        <f t="shared" si="524"/>
        <v>00759430267</v>
      </c>
      <c r="E6208" t="s">
        <v>52</v>
      </c>
      <c r="F6208">
        <v>2014</v>
      </c>
      <c r="G6208">
        <v>1447146</v>
      </c>
      <c r="H6208" s="1">
        <v>41992</v>
      </c>
      <c r="I6208" s="1">
        <v>42004</v>
      </c>
      <c r="J6208" s="1">
        <v>42004</v>
      </c>
      <c r="K6208" s="1">
        <v>42064</v>
      </c>
      <c r="L6208" s="7">
        <v>713.7</v>
      </c>
      <c r="M6208" s="5">
        <v>240</v>
      </c>
      <c r="N6208" s="7">
        <v>171288</v>
      </c>
      <c r="O6208">
        <v>713.7</v>
      </c>
      <c r="P6208">
        <v>240</v>
      </c>
      <c r="Q6208" s="2">
        <v>171288</v>
      </c>
      <c r="R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 s="1">
        <v>42382</v>
      </c>
      <c r="AC6208" t="s">
        <v>53</v>
      </c>
      <c r="AD6208" t="s">
        <v>53</v>
      </c>
      <c r="AK6208">
        <v>0</v>
      </c>
      <c r="AU6208" s="6">
        <v>42304</v>
      </c>
      <c r="AV6208" s="6">
        <v>42304</v>
      </c>
      <c r="AW6208" t="s">
        <v>54</v>
      </c>
      <c r="AX6208" t="str">
        <f t="shared" si="519"/>
        <v>FOR</v>
      </c>
      <c r="AY6208" t="s">
        <v>55</v>
      </c>
    </row>
    <row r="6209" spans="1:51">
      <c r="A6209">
        <v>104029</v>
      </c>
      <c r="B6209" t="s">
        <v>1173</v>
      </c>
      <c r="C6209" t="str">
        <f t="shared" si="523"/>
        <v>01630000287</v>
      </c>
      <c r="D6209" t="str">
        <f t="shared" si="524"/>
        <v>00759430267</v>
      </c>
      <c r="E6209" t="s">
        <v>52</v>
      </c>
      <c r="F6209">
        <v>2015</v>
      </c>
      <c r="G6209">
        <v>1520339</v>
      </c>
      <c r="H6209" s="1">
        <v>42027</v>
      </c>
      <c r="I6209" s="1">
        <v>42047</v>
      </c>
      <c r="J6209" s="1">
        <v>42047</v>
      </c>
      <c r="K6209" s="1">
        <v>42107</v>
      </c>
      <c r="L6209" s="7">
        <v>4140</v>
      </c>
      <c r="M6209" s="5">
        <v>233</v>
      </c>
      <c r="N6209" s="7">
        <v>964620</v>
      </c>
      <c r="O6209" s="2">
        <v>4140</v>
      </c>
      <c r="P6209">
        <v>233</v>
      </c>
      <c r="Q6209" s="2">
        <v>964620</v>
      </c>
      <c r="R6209">
        <v>910.8</v>
      </c>
      <c r="V6209">
        <v>0</v>
      </c>
      <c r="W6209">
        <v>0</v>
      </c>
      <c r="X6209">
        <v>0</v>
      </c>
      <c r="Y6209" s="2">
        <v>5050.8</v>
      </c>
      <c r="Z6209" s="2">
        <v>5050.8</v>
      </c>
      <c r="AA6209" s="2">
        <v>5050.8</v>
      </c>
      <c r="AB6209" s="1">
        <v>42382</v>
      </c>
      <c r="AC6209" t="s">
        <v>53</v>
      </c>
      <c r="AD6209" t="s">
        <v>53</v>
      </c>
      <c r="AK6209">
        <v>910.8</v>
      </c>
      <c r="AU6209" s="6">
        <v>42340</v>
      </c>
      <c r="AV6209" s="6">
        <v>42340</v>
      </c>
      <c r="AW6209" t="s">
        <v>54</v>
      </c>
      <c r="AX6209" t="str">
        <f t="shared" si="519"/>
        <v>FOR</v>
      </c>
      <c r="AY6209" t="s">
        <v>55</v>
      </c>
    </row>
    <row r="6210" spans="1:51">
      <c r="A6210">
        <v>104029</v>
      </c>
      <c r="B6210" t="s">
        <v>1173</v>
      </c>
      <c r="C6210" t="str">
        <f t="shared" si="523"/>
        <v>01630000287</v>
      </c>
      <c r="D6210" t="str">
        <f t="shared" si="524"/>
        <v>00759430267</v>
      </c>
      <c r="E6210" t="s">
        <v>52</v>
      </c>
      <c r="F6210">
        <v>2015</v>
      </c>
      <c r="G6210">
        <v>1520520</v>
      </c>
      <c r="H6210" s="1">
        <v>42034</v>
      </c>
      <c r="I6210" s="1">
        <v>42047</v>
      </c>
      <c r="J6210" s="1">
        <v>42047</v>
      </c>
      <c r="K6210" s="1">
        <v>42107</v>
      </c>
      <c r="L6210" s="7">
        <v>1300</v>
      </c>
      <c r="M6210" s="5">
        <v>233</v>
      </c>
      <c r="N6210" s="7">
        <v>302900</v>
      </c>
      <c r="O6210" s="2">
        <v>1300</v>
      </c>
      <c r="P6210">
        <v>233</v>
      </c>
      <c r="Q6210" s="2">
        <v>302900</v>
      </c>
      <c r="R6210">
        <v>286</v>
      </c>
      <c r="V6210">
        <v>0</v>
      </c>
      <c r="W6210">
        <v>0</v>
      </c>
      <c r="X6210">
        <v>0</v>
      </c>
      <c r="Y6210" s="2">
        <v>1586</v>
      </c>
      <c r="Z6210" s="2">
        <v>1586</v>
      </c>
      <c r="AA6210" s="2">
        <v>1586</v>
      </c>
      <c r="AB6210" s="1">
        <v>42382</v>
      </c>
      <c r="AC6210" t="s">
        <v>53</v>
      </c>
      <c r="AD6210" t="s">
        <v>53</v>
      </c>
      <c r="AK6210">
        <v>286</v>
      </c>
      <c r="AU6210" s="6">
        <v>42340</v>
      </c>
      <c r="AV6210" s="6">
        <v>42340</v>
      </c>
      <c r="AW6210" t="s">
        <v>54</v>
      </c>
      <c r="AX6210" t="str">
        <f t="shared" si="519"/>
        <v>FOR</v>
      </c>
      <c r="AY6210" t="s">
        <v>55</v>
      </c>
    </row>
    <row r="6211" spans="1:51">
      <c r="A6211">
        <v>104029</v>
      </c>
      <c r="B6211" t="s">
        <v>1173</v>
      </c>
      <c r="C6211" t="str">
        <f t="shared" si="523"/>
        <v>01630000287</v>
      </c>
      <c r="D6211" t="str">
        <f t="shared" si="524"/>
        <v>00759430267</v>
      </c>
      <c r="E6211" t="s">
        <v>52</v>
      </c>
      <c r="F6211">
        <v>2015</v>
      </c>
      <c r="G6211">
        <v>1520521</v>
      </c>
      <c r="H6211" s="1">
        <v>42034</v>
      </c>
      <c r="I6211" s="1">
        <v>42047</v>
      </c>
      <c r="J6211" s="1">
        <v>42047</v>
      </c>
      <c r="K6211" s="1">
        <v>42107</v>
      </c>
      <c r="L6211" s="7">
        <v>3200</v>
      </c>
      <c r="M6211" s="5">
        <v>233</v>
      </c>
      <c r="N6211" s="7">
        <v>745600</v>
      </c>
      <c r="O6211" s="2">
        <v>3200</v>
      </c>
      <c r="P6211">
        <v>233</v>
      </c>
      <c r="Q6211" s="2">
        <v>745600</v>
      </c>
      <c r="R6211">
        <v>704</v>
      </c>
      <c r="V6211">
        <v>0</v>
      </c>
      <c r="W6211">
        <v>0</v>
      </c>
      <c r="X6211">
        <v>0</v>
      </c>
      <c r="Y6211" s="2">
        <v>3904</v>
      </c>
      <c r="Z6211" s="2">
        <v>3904</v>
      </c>
      <c r="AA6211" s="2">
        <v>3904</v>
      </c>
      <c r="AB6211" s="1">
        <v>42382</v>
      </c>
      <c r="AC6211" t="s">
        <v>53</v>
      </c>
      <c r="AD6211" t="s">
        <v>53</v>
      </c>
      <c r="AK6211">
        <v>704</v>
      </c>
      <c r="AU6211" s="6">
        <v>42340</v>
      </c>
      <c r="AV6211" s="6">
        <v>42340</v>
      </c>
      <c r="AW6211" t="s">
        <v>54</v>
      </c>
      <c r="AX6211" t="str">
        <f t="shared" ref="AX6211:AX6274" si="525">"FOR"</f>
        <v>FOR</v>
      </c>
      <c r="AY6211" t="s">
        <v>55</v>
      </c>
    </row>
    <row r="6212" spans="1:51">
      <c r="A6212">
        <v>104029</v>
      </c>
      <c r="B6212" t="s">
        <v>1173</v>
      </c>
      <c r="C6212" t="str">
        <f t="shared" si="523"/>
        <v>01630000287</v>
      </c>
      <c r="D6212" t="str">
        <f t="shared" si="524"/>
        <v>00759430267</v>
      </c>
      <c r="E6212" t="s">
        <v>52</v>
      </c>
      <c r="F6212">
        <v>2015</v>
      </c>
      <c r="G6212">
        <v>1520681</v>
      </c>
      <c r="H6212" s="1">
        <v>42041</v>
      </c>
      <c r="I6212" s="1">
        <v>42054</v>
      </c>
      <c r="J6212" s="1">
        <v>42054</v>
      </c>
      <c r="K6212" s="1">
        <v>42114</v>
      </c>
      <c r="L6212" s="7">
        <v>2300</v>
      </c>
      <c r="M6212" s="5">
        <v>226</v>
      </c>
      <c r="N6212" s="7">
        <v>519800</v>
      </c>
      <c r="O6212" s="2">
        <v>2300</v>
      </c>
      <c r="P6212">
        <v>226</v>
      </c>
      <c r="Q6212" s="2">
        <v>519800</v>
      </c>
      <c r="R6212">
        <v>506</v>
      </c>
      <c r="V6212">
        <v>0</v>
      </c>
      <c r="W6212">
        <v>0</v>
      </c>
      <c r="X6212">
        <v>0</v>
      </c>
      <c r="Y6212" s="2">
        <v>2806</v>
      </c>
      <c r="Z6212" s="2">
        <v>2806</v>
      </c>
      <c r="AA6212" s="2">
        <v>2806</v>
      </c>
      <c r="AB6212" s="1">
        <v>42382</v>
      </c>
      <c r="AC6212" t="s">
        <v>53</v>
      </c>
      <c r="AD6212" t="s">
        <v>53</v>
      </c>
      <c r="AK6212">
        <v>506</v>
      </c>
      <c r="AU6212" s="6">
        <v>42340</v>
      </c>
      <c r="AV6212" s="6">
        <v>42340</v>
      </c>
      <c r="AW6212" t="s">
        <v>54</v>
      </c>
      <c r="AX6212" t="str">
        <f t="shared" si="525"/>
        <v>FOR</v>
      </c>
      <c r="AY6212" t="s">
        <v>55</v>
      </c>
    </row>
    <row r="6213" spans="1:51">
      <c r="A6213">
        <v>104029</v>
      </c>
      <c r="B6213" t="s">
        <v>1173</v>
      </c>
      <c r="C6213" t="str">
        <f t="shared" si="523"/>
        <v>01630000287</v>
      </c>
      <c r="D6213" t="str">
        <f t="shared" si="524"/>
        <v>00759430267</v>
      </c>
      <c r="E6213" t="s">
        <v>52</v>
      </c>
      <c r="F6213">
        <v>2015</v>
      </c>
      <c r="G6213">
        <v>1520682</v>
      </c>
      <c r="H6213" s="1">
        <v>42041</v>
      </c>
      <c r="I6213" s="1">
        <v>42054</v>
      </c>
      <c r="J6213" s="1">
        <v>42054</v>
      </c>
      <c r="K6213" s="1">
        <v>42114</v>
      </c>
      <c r="L6213" s="7">
        <v>280</v>
      </c>
      <c r="M6213" s="5">
        <v>226</v>
      </c>
      <c r="N6213" s="7">
        <v>63280</v>
      </c>
      <c r="O6213">
        <v>280</v>
      </c>
      <c r="P6213">
        <v>226</v>
      </c>
      <c r="Q6213" s="2">
        <v>63280</v>
      </c>
      <c r="R6213">
        <v>61.6</v>
      </c>
      <c r="V6213">
        <v>0</v>
      </c>
      <c r="W6213">
        <v>0</v>
      </c>
      <c r="X6213">
        <v>0</v>
      </c>
      <c r="Y6213">
        <v>341.6</v>
      </c>
      <c r="Z6213">
        <v>341.6</v>
      </c>
      <c r="AA6213">
        <v>341.6</v>
      </c>
      <c r="AB6213" s="1">
        <v>42382</v>
      </c>
      <c r="AC6213" t="s">
        <v>53</v>
      </c>
      <c r="AD6213" t="s">
        <v>53</v>
      </c>
      <c r="AK6213">
        <v>61.6</v>
      </c>
      <c r="AU6213" s="6">
        <v>42340</v>
      </c>
      <c r="AV6213" s="6">
        <v>42340</v>
      </c>
      <c r="AW6213" t="s">
        <v>54</v>
      </c>
      <c r="AX6213" t="str">
        <f t="shared" si="525"/>
        <v>FOR</v>
      </c>
      <c r="AY6213" t="s">
        <v>55</v>
      </c>
    </row>
    <row r="6214" spans="1:51">
      <c r="A6214">
        <v>104029</v>
      </c>
      <c r="B6214" t="s">
        <v>1173</v>
      </c>
      <c r="C6214" t="str">
        <f t="shared" si="523"/>
        <v>01630000287</v>
      </c>
      <c r="D6214" t="str">
        <f t="shared" si="524"/>
        <v>00759430267</v>
      </c>
      <c r="E6214" t="s">
        <v>52</v>
      </c>
      <c r="F6214">
        <v>2015</v>
      </c>
      <c r="G6214">
        <v>1520957</v>
      </c>
      <c r="H6214" s="1">
        <v>42055</v>
      </c>
      <c r="I6214" s="1">
        <v>42069</v>
      </c>
      <c r="J6214" s="1">
        <v>42069</v>
      </c>
      <c r="K6214" s="1">
        <v>42129</v>
      </c>
      <c r="L6214" s="7">
        <v>460</v>
      </c>
      <c r="M6214" s="5">
        <v>211</v>
      </c>
      <c r="N6214" s="7">
        <v>97060</v>
      </c>
      <c r="O6214">
        <v>460</v>
      </c>
      <c r="P6214">
        <v>211</v>
      </c>
      <c r="Q6214" s="2">
        <v>97060</v>
      </c>
      <c r="R6214">
        <v>101.2</v>
      </c>
      <c r="V6214">
        <v>0</v>
      </c>
      <c r="W6214">
        <v>0</v>
      </c>
      <c r="X6214">
        <v>0</v>
      </c>
      <c r="Y6214">
        <v>561.20000000000005</v>
      </c>
      <c r="Z6214">
        <v>561.20000000000005</v>
      </c>
      <c r="AA6214">
        <v>561.20000000000005</v>
      </c>
      <c r="AB6214" s="1">
        <v>42382</v>
      </c>
      <c r="AC6214" t="s">
        <v>53</v>
      </c>
      <c r="AD6214" t="s">
        <v>53</v>
      </c>
      <c r="AK6214">
        <v>101.2</v>
      </c>
      <c r="AU6214" s="6">
        <v>42340</v>
      </c>
      <c r="AV6214" s="6">
        <v>42340</v>
      </c>
      <c r="AW6214" t="s">
        <v>54</v>
      </c>
      <c r="AX6214" t="str">
        <f t="shared" si="525"/>
        <v>FOR</v>
      </c>
      <c r="AY6214" t="s">
        <v>55</v>
      </c>
    </row>
    <row r="6215" spans="1:51">
      <c r="A6215">
        <v>104029</v>
      </c>
      <c r="B6215" t="s">
        <v>1173</v>
      </c>
      <c r="C6215" t="str">
        <f t="shared" si="523"/>
        <v>01630000287</v>
      </c>
      <c r="D6215" t="str">
        <f t="shared" si="524"/>
        <v>00759430267</v>
      </c>
      <c r="E6215" t="s">
        <v>52</v>
      </c>
      <c r="F6215">
        <v>2015</v>
      </c>
      <c r="G6215">
        <v>1521140</v>
      </c>
      <c r="H6215" s="1">
        <v>42062</v>
      </c>
      <c r="I6215" s="1">
        <v>42081</v>
      </c>
      <c r="J6215" s="1">
        <v>42081</v>
      </c>
      <c r="K6215" s="1">
        <v>42141</v>
      </c>
      <c r="L6215" s="7">
        <v>654.39</v>
      </c>
      <c r="M6215" s="5">
        <v>199</v>
      </c>
      <c r="N6215" s="7">
        <v>130223.61</v>
      </c>
      <c r="O6215">
        <v>654.39</v>
      </c>
      <c r="P6215">
        <v>199</v>
      </c>
      <c r="Q6215" s="2">
        <v>130223.61</v>
      </c>
      <c r="R6215">
        <v>143.97</v>
      </c>
      <c r="V6215">
        <v>0</v>
      </c>
      <c r="W6215">
        <v>0</v>
      </c>
      <c r="X6215">
        <v>0</v>
      </c>
      <c r="Y6215">
        <v>798.36</v>
      </c>
      <c r="Z6215">
        <v>798.36</v>
      </c>
      <c r="AA6215">
        <v>798.36</v>
      </c>
      <c r="AB6215" s="1">
        <v>42382</v>
      </c>
      <c r="AC6215" t="s">
        <v>53</v>
      </c>
      <c r="AD6215" t="s">
        <v>53</v>
      </c>
      <c r="AK6215">
        <v>143.97</v>
      </c>
      <c r="AU6215" s="6">
        <v>42340</v>
      </c>
      <c r="AV6215" s="6">
        <v>42340</v>
      </c>
      <c r="AW6215" t="s">
        <v>54</v>
      </c>
      <c r="AX6215" t="str">
        <f t="shared" si="525"/>
        <v>FOR</v>
      </c>
      <c r="AY6215" t="s">
        <v>55</v>
      </c>
    </row>
    <row r="6216" spans="1:51" hidden="1">
      <c r="A6216">
        <v>104039</v>
      </c>
      <c r="B6216" t="s">
        <v>1174</v>
      </c>
      <c r="C6216" t="str">
        <f t="shared" ref="C6216:D6235" si="526">"07297190154"</f>
        <v>07297190154</v>
      </c>
      <c r="D6216" t="str">
        <f t="shared" si="526"/>
        <v>07297190154</v>
      </c>
      <c r="E6216" t="s">
        <v>52</v>
      </c>
      <c r="F6216">
        <v>2014</v>
      </c>
      <c r="G6216">
        <v>14103694</v>
      </c>
      <c r="H6216" s="1">
        <v>41737</v>
      </c>
      <c r="I6216" s="1">
        <v>41739</v>
      </c>
      <c r="J6216" s="1">
        <v>41739</v>
      </c>
      <c r="K6216" s="1">
        <v>41829</v>
      </c>
      <c r="N6216" s="5"/>
      <c r="O6216">
        <v>68.319999999999993</v>
      </c>
      <c r="P6216">
        <v>189</v>
      </c>
      <c r="Q6216" s="2">
        <v>12912.48</v>
      </c>
      <c r="R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 s="1">
        <v>42382</v>
      </c>
      <c r="AC6216" t="s">
        <v>53</v>
      </c>
      <c r="AD6216" t="s">
        <v>53</v>
      </c>
      <c r="AK6216">
        <v>0</v>
      </c>
      <c r="AU6216" s="6">
        <v>42018</v>
      </c>
      <c r="AV6216" s="6">
        <v>42018</v>
      </c>
      <c r="AW6216" t="s">
        <v>54</v>
      </c>
      <c r="AX6216" t="str">
        <f t="shared" si="525"/>
        <v>FOR</v>
      </c>
      <c r="AY6216" t="s">
        <v>55</v>
      </c>
    </row>
    <row r="6217" spans="1:51" hidden="1">
      <c r="A6217">
        <v>104039</v>
      </c>
      <c r="B6217" t="s">
        <v>1174</v>
      </c>
      <c r="C6217" t="str">
        <f t="shared" si="526"/>
        <v>07297190154</v>
      </c>
      <c r="D6217" t="str">
        <f t="shared" si="526"/>
        <v>07297190154</v>
      </c>
      <c r="E6217" t="s">
        <v>52</v>
      </c>
      <c r="F6217">
        <v>2014</v>
      </c>
      <c r="G6217">
        <v>14104198</v>
      </c>
      <c r="H6217" s="1">
        <v>41751</v>
      </c>
      <c r="I6217" s="1">
        <v>41753</v>
      </c>
      <c r="J6217" s="1">
        <v>41753</v>
      </c>
      <c r="K6217" s="1">
        <v>41843</v>
      </c>
      <c r="N6217" s="5"/>
      <c r="O6217">
        <v>273.27999999999997</v>
      </c>
      <c r="P6217">
        <v>175</v>
      </c>
      <c r="Q6217" s="2">
        <v>47824</v>
      </c>
      <c r="R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 s="1">
        <v>42382</v>
      </c>
      <c r="AC6217" t="s">
        <v>53</v>
      </c>
      <c r="AD6217" t="s">
        <v>53</v>
      </c>
      <c r="AK6217">
        <v>0</v>
      </c>
      <c r="AU6217" s="6">
        <v>42018</v>
      </c>
      <c r="AV6217" s="6">
        <v>42018</v>
      </c>
      <c r="AW6217" t="s">
        <v>54</v>
      </c>
      <c r="AX6217" t="str">
        <f t="shared" si="525"/>
        <v>FOR</v>
      </c>
      <c r="AY6217" t="s">
        <v>55</v>
      </c>
    </row>
    <row r="6218" spans="1:51" hidden="1">
      <c r="A6218">
        <v>104039</v>
      </c>
      <c r="B6218" t="s">
        <v>1174</v>
      </c>
      <c r="C6218" t="str">
        <f t="shared" si="526"/>
        <v>07297190154</v>
      </c>
      <c r="D6218" t="str">
        <f t="shared" si="526"/>
        <v>07297190154</v>
      </c>
      <c r="E6218" t="s">
        <v>52</v>
      </c>
      <c r="F6218">
        <v>2014</v>
      </c>
      <c r="G6218">
        <v>14104276</v>
      </c>
      <c r="H6218" s="1">
        <v>41752</v>
      </c>
      <c r="I6218" s="1">
        <v>41757</v>
      </c>
      <c r="J6218" s="1">
        <v>41757</v>
      </c>
      <c r="K6218" s="1">
        <v>41847</v>
      </c>
      <c r="N6218" s="5"/>
      <c r="O6218" s="2">
        <v>1372.8</v>
      </c>
      <c r="P6218">
        <v>171</v>
      </c>
      <c r="Q6218" s="2">
        <v>234748.79999999999</v>
      </c>
      <c r="R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 s="1">
        <v>42382</v>
      </c>
      <c r="AC6218" t="s">
        <v>53</v>
      </c>
      <c r="AD6218" t="s">
        <v>53</v>
      </c>
      <c r="AK6218">
        <v>0</v>
      </c>
      <c r="AU6218" s="6">
        <v>42018</v>
      </c>
      <c r="AV6218" s="6">
        <v>42018</v>
      </c>
      <c r="AW6218" t="s">
        <v>54</v>
      </c>
      <c r="AX6218" t="str">
        <f t="shared" si="525"/>
        <v>FOR</v>
      </c>
      <c r="AY6218" t="s">
        <v>55</v>
      </c>
    </row>
    <row r="6219" spans="1:51" hidden="1">
      <c r="A6219">
        <v>104039</v>
      </c>
      <c r="B6219" t="s">
        <v>1174</v>
      </c>
      <c r="C6219" t="str">
        <f t="shared" si="526"/>
        <v>07297190154</v>
      </c>
      <c r="D6219" t="str">
        <f t="shared" si="526"/>
        <v>07297190154</v>
      </c>
      <c r="E6219" t="s">
        <v>52</v>
      </c>
      <c r="F6219">
        <v>2014</v>
      </c>
      <c r="G6219">
        <v>14104277</v>
      </c>
      <c r="H6219" s="1">
        <v>41752</v>
      </c>
      <c r="I6219" s="1">
        <v>41757</v>
      </c>
      <c r="J6219" s="1">
        <v>41757</v>
      </c>
      <c r="K6219" s="1">
        <v>41847</v>
      </c>
      <c r="N6219" s="5"/>
      <c r="O6219" s="2">
        <v>1372.8</v>
      </c>
      <c r="P6219">
        <v>171</v>
      </c>
      <c r="Q6219" s="2">
        <v>234748.79999999999</v>
      </c>
      <c r="R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 s="1">
        <v>42382</v>
      </c>
      <c r="AC6219" t="s">
        <v>53</v>
      </c>
      <c r="AD6219" t="s">
        <v>53</v>
      </c>
      <c r="AK6219">
        <v>0</v>
      </c>
      <c r="AU6219" s="6">
        <v>42018</v>
      </c>
      <c r="AV6219" s="6">
        <v>42018</v>
      </c>
      <c r="AW6219" t="s">
        <v>54</v>
      </c>
      <c r="AX6219" t="str">
        <f t="shared" si="525"/>
        <v>FOR</v>
      </c>
      <c r="AY6219" t="s">
        <v>55</v>
      </c>
    </row>
    <row r="6220" spans="1:51" hidden="1">
      <c r="A6220">
        <v>104039</v>
      </c>
      <c r="B6220" t="s">
        <v>1174</v>
      </c>
      <c r="C6220" t="str">
        <f t="shared" si="526"/>
        <v>07297190154</v>
      </c>
      <c r="D6220" t="str">
        <f t="shared" si="526"/>
        <v>07297190154</v>
      </c>
      <c r="E6220" t="s">
        <v>52</v>
      </c>
      <c r="F6220">
        <v>2014</v>
      </c>
      <c r="G6220">
        <v>14104278</v>
      </c>
      <c r="H6220" s="1">
        <v>41752</v>
      </c>
      <c r="I6220" s="1">
        <v>41757</v>
      </c>
      <c r="J6220" s="1">
        <v>41757</v>
      </c>
      <c r="K6220" s="1">
        <v>41847</v>
      </c>
      <c r="N6220" s="5"/>
      <c r="O6220" s="2">
        <v>1508</v>
      </c>
      <c r="P6220">
        <v>171</v>
      </c>
      <c r="Q6220" s="2">
        <v>257868</v>
      </c>
      <c r="R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 s="1">
        <v>42382</v>
      </c>
      <c r="AC6220" t="s">
        <v>53</v>
      </c>
      <c r="AD6220" t="s">
        <v>53</v>
      </c>
      <c r="AK6220">
        <v>0</v>
      </c>
      <c r="AU6220" s="6">
        <v>42018</v>
      </c>
      <c r="AV6220" s="6">
        <v>42018</v>
      </c>
      <c r="AW6220" t="s">
        <v>54</v>
      </c>
      <c r="AX6220" t="str">
        <f t="shared" si="525"/>
        <v>FOR</v>
      </c>
      <c r="AY6220" t="s">
        <v>55</v>
      </c>
    </row>
    <row r="6221" spans="1:51" hidden="1">
      <c r="A6221">
        <v>104039</v>
      </c>
      <c r="B6221" t="s">
        <v>1174</v>
      </c>
      <c r="C6221" t="str">
        <f t="shared" si="526"/>
        <v>07297190154</v>
      </c>
      <c r="D6221" t="str">
        <f t="shared" si="526"/>
        <v>07297190154</v>
      </c>
      <c r="E6221" t="s">
        <v>52</v>
      </c>
      <c r="F6221">
        <v>2014</v>
      </c>
      <c r="G6221">
        <v>14104279</v>
      </c>
      <c r="H6221" s="1">
        <v>41752</v>
      </c>
      <c r="I6221" s="1">
        <v>41757</v>
      </c>
      <c r="J6221" s="1">
        <v>41757</v>
      </c>
      <c r="K6221" s="1">
        <v>41847</v>
      </c>
      <c r="N6221" s="5"/>
      <c r="O6221" s="2">
        <v>1508</v>
      </c>
      <c r="P6221">
        <v>171</v>
      </c>
      <c r="Q6221" s="2">
        <v>257868</v>
      </c>
      <c r="R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 s="1">
        <v>42382</v>
      </c>
      <c r="AC6221" t="s">
        <v>53</v>
      </c>
      <c r="AD6221" t="s">
        <v>53</v>
      </c>
      <c r="AK6221">
        <v>0</v>
      </c>
      <c r="AU6221" s="6">
        <v>42018</v>
      </c>
      <c r="AV6221" s="6">
        <v>42018</v>
      </c>
      <c r="AW6221" t="s">
        <v>54</v>
      </c>
      <c r="AX6221" t="str">
        <f t="shared" si="525"/>
        <v>FOR</v>
      </c>
      <c r="AY6221" t="s">
        <v>55</v>
      </c>
    </row>
    <row r="6222" spans="1:51" hidden="1">
      <c r="A6222">
        <v>104039</v>
      </c>
      <c r="B6222" t="s">
        <v>1174</v>
      </c>
      <c r="C6222" t="str">
        <f t="shared" si="526"/>
        <v>07297190154</v>
      </c>
      <c r="D6222" t="str">
        <f t="shared" si="526"/>
        <v>07297190154</v>
      </c>
      <c r="E6222" t="s">
        <v>52</v>
      </c>
      <c r="F6222">
        <v>2014</v>
      </c>
      <c r="G6222">
        <v>14104280</v>
      </c>
      <c r="H6222" s="1">
        <v>41752</v>
      </c>
      <c r="I6222" s="1">
        <v>41757</v>
      </c>
      <c r="J6222" s="1">
        <v>41757</v>
      </c>
      <c r="K6222" s="1">
        <v>41847</v>
      </c>
      <c r="N6222" s="5"/>
      <c r="O6222" s="2">
        <v>1508</v>
      </c>
      <c r="P6222">
        <v>171</v>
      </c>
      <c r="Q6222" s="2">
        <v>257868</v>
      </c>
      <c r="R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 s="1">
        <v>42382</v>
      </c>
      <c r="AC6222" t="s">
        <v>53</v>
      </c>
      <c r="AD6222" t="s">
        <v>53</v>
      </c>
      <c r="AK6222">
        <v>0</v>
      </c>
      <c r="AU6222" s="6">
        <v>42018</v>
      </c>
      <c r="AV6222" s="6">
        <v>42018</v>
      </c>
      <c r="AW6222" t="s">
        <v>54</v>
      </c>
      <c r="AX6222" t="str">
        <f t="shared" si="525"/>
        <v>FOR</v>
      </c>
      <c r="AY6222" t="s">
        <v>55</v>
      </c>
    </row>
    <row r="6223" spans="1:51" hidden="1">
      <c r="A6223">
        <v>104039</v>
      </c>
      <c r="B6223" t="s">
        <v>1174</v>
      </c>
      <c r="C6223" t="str">
        <f t="shared" si="526"/>
        <v>07297190154</v>
      </c>
      <c r="D6223" t="str">
        <f t="shared" si="526"/>
        <v>07297190154</v>
      </c>
      <c r="E6223" t="s">
        <v>52</v>
      </c>
      <c r="F6223">
        <v>2014</v>
      </c>
      <c r="G6223">
        <v>14104281</v>
      </c>
      <c r="H6223" s="1">
        <v>41752</v>
      </c>
      <c r="I6223" s="1">
        <v>41757</v>
      </c>
      <c r="J6223" s="1">
        <v>41757</v>
      </c>
      <c r="K6223" s="1">
        <v>41847</v>
      </c>
      <c r="N6223" s="5"/>
      <c r="O6223" s="2">
        <v>1508</v>
      </c>
      <c r="P6223">
        <v>171</v>
      </c>
      <c r="Q6223" s="2">
        <v>257868</v>
      </c>
      <c r="R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 s="1">
        <v>42382</v>
      </c>
      <c r="AC6223" t="s">
        <v>53</v>
      </c>
      <c r="AD6223" t="s">
        <v>53</v>
      </c>
      <c r="AK6223">
        <v>0</v>
      </c>
      <c r="AU6223" s="6">
        <v>42018</v>
      </c>
      <c r="AV6223" s="6">
        <v>42018</v>
      </c>
      <c r="AW6223" t="s">
        <v>54</v>
      </c>
      <c r="AX6223" t="str">
        <f t="shared" si="525"/>
        <v>FOR</v>
      </c>
      <c r="AY6223" t="s">
        <v>55</v>
      </c>
    </row>
    <row r="6224" spans="1:51" hidden="1">
      <c r="A6224">
        <v>104039</v>
      </c>
      <c r="B6224" t="s">
        <v>1174</v>
      </c>
      <c r="C6224" t="str">
        <f t="shared" si="526"/>
        <v>07297190154</v>
      </c>
      <c r="D6224" t="str">
        <f t="shared" si="526"/>
        <v>07297190154</v>
      </c>
      <c r="E6224" t="s">
        <v>52</v>
      </c>
      <c r="F6224">
        <v>2014</v>
      </c>
      <c r="G6224">
        <v>14104528</v>
      </c>
      <c r="H6224" s="1">
        <v>41759</v>
      </c>
      <c r="I6224" s="1">
        <v>41766</v>
      </c>
      <c r="J6224" s="1">
        <v>41766</v>
      </c>
      <c r="K6224" s="1">
        <v>41856</v>
      </c>
      <c r="N6224" s="5"/>
      <c r="O6224" s="2">
        <v>36600</v>
      </c>
      <c r="P6224">
        <v>162</v>
      </c>
      <c r="Q6224" s="2">
        <v>5929200</v>
      </c>
      <c r="R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 s="1">
        <v>42382</v>
      </c>
      <c r="AC6224" t="s">
        <v>53</v>
      </c>
      <c r="AD6224" t="s">
        <v>53</v>
      </c>
      <c r="AK6224">
        <v>0</v>
      </c>
      <c r="AU6224" s="6">
        <v>42018</v>
      </c>
      <c r="AV6224" s="6">
        <v>42018</v>
      </c>
      <c r="AW6224" t="s">
        <v>54</v>
      </c>
      <c r="AX6224" t="str">
        <f t="shared" si="525"/>
        <v>FOR</v>
      </c>
      <c r="AY6224" t="s">
        <v>55</v>
      </c>
    </row>
    <row r="6225" spans="1:51" hidden="1">
      <c r="A6225">
        <v>104039</v>
      </c>
      <c r="B6225" t="s">
        <v>1174</v>
      </c>
      <c r="C6225" t="str">
        <f t="shared" si="526"/>
        <v>07297190154</v>
      </c>
      <c r="D6225" t="str">
        <f t="shared" si="526"/>
        <v>07297190154</v>
      </c>
      <c r="E6225" t="s">
        <v>52</v>
      </c>
      <c r="F6225">
        <v>2014</v>
      </c>
      <c r="G6225">
        <v>14104946</v>
      </c>
      <c r="H6225" s="1">
        <v>41773</v>
      </c>
      <c r="I6225" s="1">
        <v>41778</v>
      </c>
      <c r="J6225" s="1">
        <v>41778</v>
      </c>
      <c r="K6225" s="1">
        <v>41868</v>
      </c>
      <c r="N6225" s="5"/>
      <c r="O6225" s="2">
        <v>1508</v>
      </c>
      <c r="P6225">
        <v>194</v>
      </c>
      <c r="Q6225" s="2">
        <v>292552</v>
      </c>
      <c r="R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 s="1">
        <v>42382</v>
      </c>
      <c r="AC6225" t="s">
        <v>53</v>
      </c>
      <c r="AD6225" t="s">
        <v>53</v>
      </c>
      <c r="AK6225">
        <v>0</v>
      </c>
      <c r="AU6225" s="6">
        <v>42062</v>
      </c>
      <c r="AV6225" s="6">
        <v>42062</v>
      </c>
      <c r="AW6225" t="s">
        <v>54</v>
      </c>
      <c r="AX6225" t="str">
        <f t="shared" si="525"/>
        <v>FOR</v>
      </c>
      <c r="AY6225" t="s">
        <v>55</v>
      </c>
    </row>
    <row r="6226" spans="1:51" hidden="1">
      <c r="A6226">
        <v>104039</v>
      </c>
      <c r="B6226" t="s">
        <v>1174</v>
      </c>
      <c r="C6226" t="str">
        <f t="shared" si="526"/>
        <v>07297190154</v>
      </c>
      <c r="D6226" t="str">
        <f t="shared" si="526"/>
        <v>07297190154</v>
      </c>
      <c r="E6226" t="s">
        <v>52</v>
      </c>
      <c r="F6226">
        <v>2014</v>
      </c>
      <c r="G6226">
        <v>14105442</v>
      </c>
      <c r="H6226" s="1">
        <v>41786</v>
      </c>
      <c r="I6226" s="1">
        <v>41789</v>
      </c>
      <c r="J6226" s="1">
        <v>41789</v>
      </c>
      <c r="K6226" s="1">
        <v>41879</v>
      </c>
      <c r="N6226" s="5"/>
      <c r="O6226">
        <v>854</v>
      </c>
      <c r="P6226">
        <v>183</v>
      </c>
      <c r="Q6226" s="2">
        <v>156282</v>
      </c>
      <c r="R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 s="1">
        <v>42382</v>
      </c>
      <c r="AC6226" t="s">
        <v>53</v>
      </c>
      <c r="AD6226" t="s">
        <v>53</v>
      </c>
      <c r="AK6226">
        <v>0</v>
      </c>
      <c r="AU6226" s="6">
        <v>42062</v>
      </c>
      <c r="AV6226" s="6">
        <v>42062</v>
      </c>
      <c r="AW6226" t="s">
        <v>54</v>
      </c>
      <c r="AX6226" t="str">
        <f t="shared" si="525"/>
        <v>FOR</v>
      </c>
      <c r="AY6226" t="s">
        <v>55</v>
      </c>
    </row>
    <row r="6227" spans="1:51" hidden="1">
      <c r="A6227">
        <v>104039</v>
      </c>
      <c r="B6227" t="s">
        <v>1174</v>
      </c>
      <c r="C6227" t="str">
        <f t="shared" si="526"/>
        <v>07297190154</v>
      </c>
      <c r="D6227" t="str">
        <f t="shared" si="526"/>
        <v>07297190154</v>
      </c>
      <c r="E6227" t="s">
        <v>52</v>
      </c>
      <c r="F6227">
        <v>2014</v>
      </c>
      <c r="G6227">
        <v>14105550</v>
      </c>
      <c r="H6227" s="1">
        <v>41789</v>
      </c>
      <c r="I6227" s="1">
        <v>41794</v>
      </c>
      <c r="J6227" s="1">
        <v>41794</v>
      </c>
      <c r="K6227" s="1">
        <v>41884</v>
      </c>
      <c r="N6227" s="5"/>
      <c r="O6227" s="2">
        <v>36600</v>
      </c>
      <c r="P6227">
        <v>178</v>
      </c>
      <c r="Q6227" s="2">
        <v>6514800</v>
      </c>
      <c r="R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 s="1">
        <v>42382</v>
      </c>
      <c r="AC6227" t="s">
        <v>53</v>
      </c>
      <c r="AD6227" t="s">
        <v>53</v>
      </c>
      <c r="AK6227">
        <v>0</v>
      </c>
      <c r="AU6227" s="6">
        <v>42062</v>
      </c>
      <c r="AV6227" s="6">
        <v>42062</v>
      </c>
      <c r="AW6227" t="s">
        <v>54</v>
      </c>
      <c r="AX6227" t="str">
        <f t="shared" si="525"/>
        <v>FOR</v>
      </c>
      <c r="AY6227" t="s">
        <v>55</v>
      </c>
    </row>
    <row r="6228" spans="1:51" hidden="1">
      <c r="A6228">
        <v>104039</v>
      </c>
      <c r="B6228" t="s">
        <v>1174</v>
      </c>
      <c r="C6228" t="str">
        <f t="shared" si="526"/>
        <v>07297190154</v>
      </c>
      <c r="D6228" t="str">
        <f t="shared" si="526"/>
        <v>07297190154</v>
      </c>
      <c r="E6228" t="s">
        <v>52</v>
      </c>
      <c r="F6228">
        <v>2014</v>
      </c>
      <c r="G6228">
        <v>14105715</v>
      </c>
      <c r="H6228" s="1">
        <v>41794</v>
      </c>
      <c r="I6228" s="1">
        <v>41800</v>
      </c>
      <c r="J6228" s="1">
        <v>41800</v>
      </c>
      <c r="K6228" s="1">
        <v>41890</v>
      </c>
      <c r="N6228" s="5"/>
      <c r="O6228" s="2">
        <v>1508</v>
      </c>
      <c r="P6228">
        <v>205</v>
      </c>
      <c r="Q6228" s="2">
        <v>309140</v>
      </c>
      <c r="R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 s="1">
        <v>42382</v>
      </c>
      <c r="AC6228" t="s">
        <v>53</v>
      </c>
      <c r="AD6228" t="s">
        <v>53</v>
      </c>
      <c r="AK6228">
        <v>0</v>
      </c>
      <c r="AU6228" s="6">
        <v>42095</v>
      </c>
      <c r="AV6228" s="6">
        <v>42095</v>
      </c>
      <c r="AW6228" t="s">
        <v>54</v>
      </c>
      <c r="AX6228" t="str">
        <f t="shared" si="525"/>
        <v>FOR</v>
      </c>
      <c r="AY6228" t="s">
        <v>55</v>
      </c>
    </row>
    <row r="6229" spans="1:51" hidden="1">
      <c r="A6229">
        <v>104039</v>
      </c>
      <c r="B6229" t="s">
        <v>1174</v>
      </c>
      <c r="C6229" t="str">
        <f t="shared" si="526"/>
        <v>07297190154</v>
      </c>
      <c r="D6229" t="str">
        <f t="shared" si="526"/>
        <v>07297190154</v>
      </c>
      <c r="E6229" t="s">
        <v>52</v>
      </c>
      <c r="F6229">
        <v>2014</v>
      </c>
      <c r="G6229">
        <v>14105716</v>
      </c>
      <c r="H6229" s="1">
        <v>41794</v>
      </c>
      <c r="I6229" s="1">
        <v>41800</v>
      </c>
      <c r="J6229" s="1">
        <v>41800</v>
      </c>
      <c r="K6229" s="1">
        <v>41890</v>
      </c>
      <c r="N6229" s="5"/>
      <c r="O6229" s="2">
        <v>1508</v>
      </c>
      <c r="P6229">
        <v>205</v>
      </c>
      <c r="Q6229" s="2">
        <v>309140</v>
      </c>
      <c r="R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 s="1">
        <v>42382</v>
      </c>
      <c r="AC6229" t="s">
        <v>53</v>
      </c>
      <c r="AD6229" t="s">
        <v>53</v>
      </c>
      <c r="AK6229">
        <v>0</v>
      </c>
      <c r="AU6229" s="6">
        <v>42095</v>
      </c>
      <c r="AV6229" s="6">
        <v>42095</v>
      </c>
      <c r="AW6229" t="s">
        <v>54</v>
      </c>
      <c r="AX6229" t="str">
        <f t="shared" si="525"/>
        <v>FOR</v>
      </c>
      <c r="AY6229" t="s">
        <v>55</v>
      </c>
    </row>
    <row r="6230" spans="1:51" hidden="1">
      <c r="A6230">
        <v>104039</v>
      </c>
      <c r="B6230" t="s">
        <v>1174</v>
      </c>
      <c r="C6230" t="str">
        <f t="shared" si="526"/>
        <v>07297190154</v>
      </c>
      <c r="D6230" t="str">
        <f t="shared" si="526"/>
        <v>07297190154</v>
      </c>
      <c r="E6230" t="s">
        <v>52</v>
      </c>
      <c r="F6230">
        <v>2014</v>
      </c>
      <c r="G6230">
        <v>14105717</v>
      </c>
      <c r="H6230" s="1">
        <v>41794</v>
      </c>
      <c r="I6230" s="1">
        <v>41800</v>
      </c>
      <c r="J6230" s="1">
        <v>41800</v>
      </c>
      <c r="K6230" s="1">
        <v>41890</v>
      </c>
      <c r="N6230" s="5"/>
      <c r="O6230" s="2">
        <v>1372.8</v>
      </c>
      <c r="P6230">
        <v>205</v>
      </c>
      <c r="Q6230" s="2">
        <v>281424</v>
      </c>
      <c r="R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 s="1">
        <v>42382</v>
      </c>
      <c r="AC6230" t="s">
        <v>53</v>
      </c>
      <c r="AD6230" t="s">
        <v>53</v>
      </c>
      <c r="AK6230">
        <v>0</v>
      </c>
      <c r="AU6230" s="6">
        <v>42095</v>
      </c>
      <c r="AV6230" s="6">
        <v>42095</v>
      </c>
      <c r="AW6230" t="s">
        <v>54</v>
      </c>
      <c r="AX6230" t="str">
        <f t="shared" si="525"/>
        <v>FOR</v>
      </c>
      <c r="AY6230" t="s">
        <v>55</v>
      </c>
    </row>
    <row r="6231" spans="1:51" hidden="1">
      <c r="A6231">
        <v>104039</v>
      </c>
      <c r="B6231" t="s">
        <v>1174</v>
      </c>
      <c r="C6231" t="str">
        <f t="shared" si="526"/>
        <v>07297190154</v>
      </c>
      <c r="D6231" t="str">
        <f t="shared" si="526"/>
        <v>07297190154</v>
      </c>
      <c r="E6231" t="s">
        <v>52</v>
      </c>
      <c r="F6231">
        <v>2014</v>
      </c>
      <c r="G6231">
        <v>14106099</v>
      </c>
      <c r="H6231" s="1">
        <v>41803</v>
      </c>
      <c r="I6231" s="1">
        <v>41808</v>
      </c>
      <c r="J6231" s="1">
        <v>41808</v>
      </c>
      <c r="K6231" s="1">
        <v>41898</v>
      </c>
      <c r="N6231" s="5"/>
      <c r="O6231" s="2">
        <v>1372.8</v>
      </c>
      <c r="P6231">
        <v>197</v>
      </c>
      <c r="Q6231" s="2">
        <v>270441.59999999998</v>
      </c>
      <c r="R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 s="1">
        <v>42382</v>
      </c>
      <c r="AC6231" t="s">
        <v>53</v>
      </c>
      <c r="AD6231" t="s">
        <v>53</v>
      </c>
      <c r="AK6231">
        <v>0</v>
      </c>
      <c r="AU6231" s="6">
        <v>42095</v>
      </c>
      <c r="AV6231" s="6">
        <v>42095</v>
      </c>
      <c r="AW6231" t="s">
        <v>54</v>
      </c>
      <c r="AX6231" t="str">
        <f t="shared" si="525"/>
        <v>FOR</v>
      </c>
      <c r="AY6231" t="s">
        <v>55</v>
      </c>
    </row>
    <row r="6232" spans="1:51" hidden="1">
      <c r="A6232">
        <v>104039</v>
      </c>
      <c r="B6232" t="s">
        <v>1174</v>
      </c>
      <c r="C6232" t="str">
        <f t="shared" si="526"/>
        <v>07297190154</v>
      </c>
      <c r="D6232" t="str">
        <f t="shared" si="526"/>
        <v>07297190154</v>
      </c>
      <c r="E6232" t="s">
        <v>52</v>
      </c>
      <c r="F6232">
        <v>2014</v>
      </c>
      <c r="G6232">
        <v>14106100</v>
      </c>
      <c r="H6232" s="1">
        <v>41803</v>
      </c>
      <c r="I6232" s="1">
        <v>41808</v>
      </c>
      <c r="J6232" s="1">
        <v>41808</v>
      </c>
      <c r="K6232" s="1">
        <v>41898</v>
      </c>
      <c r="N6232" s="5"/>
      <c r="O6232" s="2">
        <v>1508</v>
      </c>
      <c r="P6232">
        <v>197</v>
      </c>
      <c r="Q6232" s="2">
        <v>297076</v>
      </c>
      <c r="R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 s="1">
        <v>42382</v>
      </c>
      <c r="AC6232" t="s">
        <v>53</v>
      </c>
      <c r="AD6232" t="s">
        <v>53</v>
      </c>
      <c r="AK6232">
        <v>0</v>
      </c>
      <c r="AU6232" s="6">
        <v>42095</v>
      </c>
      <c r="AV6232" s="6">
        <v>42095</v>
      </c>
      <c r="AW6232" t="s">
        <v>54</v>
      </c>
      <c r="AX6232" t="str">
        <f t="shared" si="525"/>
        <v>FOR</v>
      </c>
      <c r="AY6232" t="s">
        <v>55</v>
      </c>
    </row>
    <row r="6233" spans="1:51" hidden="1">
      <c r="A6233">
        <v>104039</v>
      </c>
      <c r="B6233" t="s">
        <v>1174</v>
      </c>
      <c r="C6233" t="str">
        <f t="shared" si="526"/>
        <v>07297190154</v>
      </c>
      <c r="D6233" t="str">
        <f t="shared" si="526"/>
        <v>07297190154</v>
      </c>
      <c r="E6233" t="s">
        <v>52</v>
      </c>
      <c r="F6233">
        <v>2014</v>
      </c>
      <c r="G6233">
        <v>14106101</v>
      </c>
      <c r="H6233" s="1">
        <v>41803</v>
      </c>
      <c r="I6233" s="1">
        <v>41808</v>
      </c>
      <c r="J6233" s="1">
        <v>41808</v>
      </c>
      <c r="K6233" s="1">
        <v>41898</v>
      </c>
      <c r="N6233" s="5"/>
      <c r="O6233" s="2">
        <v>1508</v>
      </c>
      <c r="P6233">
        <v>197</v>
      </c>
      <c r="Q6233" s="2">
        <v>297076</v>
      </c>
      <c r="R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 s="1">
        <v>42382</v>
      </c>
      <c r="AC6233" t="s">
        <v>53</v>
      </c>
      <c r="AD6233" t="s">
        <v>53</v>
      </c>
      <c r="AK6233">
        <v>0</v>
      </c>
      <c r="AU6233" s="6">
        <v>42095</v>
      </c>
      <c r="AV6233" s="6">
        <v>42095</v>
      </c>
      <c r="AW6233" t="s">
        <v>54</v>
      </c>
      <c r="AX6233" t="str">
        <f t="shared" si="525"/>
        <v>FOR</v>
      </c>
      <c r="AY6233" t="s">
        <v>55</v>
      </c>
    </row>
    <row r="6234" spans="1:51" hidden="1">
      <c r="A6234">
        <v>104039</v>
      </c>
      <c r="B6234" t="s">
        <v>1174</v>
      </c>
      <c r="C6234" t="str">
        <f t="shared" si="526"/>
        <v>07297190154</v>
      </c>
      <c r="D6234" t="str">
        <f t="shared" si="526"/>
        <v>07297190154</v>
      </c>
      <c r="E6234" t="s">
        <v>52</v>
      </c>
      <c r="F6234">
        <v>2014</v>
      </c>
      <c r="G6234">
        <v>14106102</v>
      </c>
      <c r="H6234" s="1">
        <v>41803</v>
      </c>
      <c r="I6234" s="1">
        <v>41808</v>
      </c>
      <c r="J6234" s="1">
        <v>41808</v>
      </c>
      <c r="K6234" s="1">
        <v>41898</v>
      </c>
      <c r="N6234" s="5"/>
      <c r="O6234" s="2">
        <v>1372.8</v>
      </c>
      <c r="P6234">
        <v>197</v>
      </c>
      <c r="Q6234" s="2">
        <v>270441.59999999998</v>
      </c>
      <c r="R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 s="1">
        <v>42382</v>
      </c>
      <c r="AC6234" t="s">
        <v>53</v>
      </c>
      <c r="AD6234" t="s">
        <v>53</v>
      </c>
      <c r="AK6234">
        <v>0</v>
      </c>
      <c r="AU6234" s="6">
        <v>42095</v>
      </c>
      <c r="AV6234" s="6">
        <v>42095</v>
      </c>
      <c r="AW6234" t="s">
        <v>54</v>
      </c>
      <c r="AX6234" t="str">
        <f t="shared" si="525"/>
        <v>FOR</v>
      </c>
      <c r="AY6234" t="s">
        <v>55</v>
      </c>
    </row>
    <row r="6235" spans="1:51" hidden="1">
      <c r="A6235">
        <v>104039</v>
      </c>
      <c r="B6235" t="s">
        <v>1174</v>
      </c>
      <c r="C6235" t="str">
        <f t="shared" si="526"/>
        <v>07297190154</v>
      </c>
      <c r="D6235" t="str">
        <f t="shared" si="526"/>
        <v>07297190154</v>
      </c>
      <c r="E6235" t="s">
        <v>52</v>
      </c>
      <c r="F6235">
        <v>2014</v>
      </c>
      <c r="G6235">
        <v>14106103</v>
      </c>
      <c r="H6235" s="1">
        <v>41803</v>
      </c>
      <c r="I6235" s="1">
        <v>41808</v>
      </c>
      <c r="J6235" s="1">
        <v>41808</v>
      </c>
      <c r="K6235" s="1">
        <v>41898</v>
      </c>
      <c r="N6235" s="5"/>
      <c r="O6235" s="2">
        <v>1508</v>
      </c>
      <c r="P6235">
        <v>197</v>
      </c>
      <c r="Q6235" s="2">
        <v>297076</v>
      </c>
      <c r="R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 s="1">
        <v>42382</v>
      </c>
      <c r="AC6235" t="s">
        <v>53</v>
      </c>
      <c r="AD6235" t="s">
        <v>53</v>
      </c>
      <c r="AK6235">
        <v>0</v>
      </c>
      <c r="AU6235" s="6">
        <v>42095</v>
      </c>
      <c r="AV6235" s="6">
        <v>42095</v>
      </c>
      <c r="AW6235" t="s">
        <v>54</v>
      </c>
      <c r="AX6235" t="str">
        <f t="shared" si="525"/>
        <v>FOR</v>
      </c>
      <c r="AY6235" t="s">
        <v>55</v>
      </c>
    </row>
    <row r="6236" spans="1:51" hidden="1">
      <c r="A6236">
        <v>104039</v>
      </c>
      <c r="B6236" t="s">
        <v>1174</v>
      </c>
      <c r="C6236" t="str">
        <f t="shared" ref="C6236:D6255" si="527">"07297190154"</f>
        <v>07297190154</v>
      </c>
      <c r="D6236" t="str">
        <f t="shared" si="527"/>
        <v>07297190154</v>
      </c>
      <c r="E6236" t="s">
        <v>52</v>
      </c>
      <c r="F6236">
        <v>2014</v>
      </c>
      <c r="G6236">
        <v>14106104</v>
      </c>
      <c r="H6236" s="1">
        <v>41803</v>
      </c>
      <c r="I6236" s="1">
        <v>41808</v>
      </c>
      <c r="J6236" s="1">
        <v>41808</v>
      </c>
      <c r="K6236" s="1">
        <v>41898</v>
      </c>
      <c r="N6236" s="5"/>
      <c r="O6236" s="2">
        <v>1372.8</v>
      </c>
      <c r="P6236">
        <v>197</v>
      </c>
      <c r="Q6236" s="2">
        <v>270441.59999999998</v>
      </c>
      <c r="R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 s="1">
        <v>42382</v>
      </c>
      <c r="AC6236" t="s">
        <v>53</v>
      </c>
      <c r="AD6236" t="s">
        <v>53</v>
      </c>
      <c r="AK6236">
        <v>0</v>
      </c>
      <c r="AU6236" s="6">
        <v>42095</v>
      </c>
      <c r="AV6236" s="6">
        <v>42095</v>
      </c>
      <c r="AW6236" t="s">
        <v>54</v>
      </c>
      <c r="AX6236" t="str">
        <f t="shared" si="525"/>
        <v>FOR</v>
      </c>
      <c r="AY6236" t="s">
        <v>55</v>
      </c>
    </row>
    <row r="6237" spans="1:51" hidden="1">
      <c r="A6237">
        <v>104039</v>
      </c>
      <c r="B6237" t="s">
        <v>1174</v>
      </c>
      <c r="C6237" t="str">
        <f t="shared" si="527"/>
        <v>07297190154</v>
      </c>
      <c r="D6237" t="str">
        <f t="shared" si="527"/>
        <v>07297190154</v>
      </c>
      <c r="E6237" t="s">
        <v>52</v>
      </c>
      <c r="F6237">
        <v>2014</v>
      </c>
      <c r="G6237">
        <v>14106467</v>
      </c>
      <c r="H6237" s="1">
        <v>41814</v>
      </c>
      <c r="I6237" s="1">
        <v>42086</v>
      </c>
      <c r="J6237" s="1">
        <v>42086</v>
      </c>
      <c r="K6237" s="1">
        <v>42146</v>
      </c>
      <c r="N6237" s="5"/>
      <c r="O6237">
        <v>370.88</v>
      </c>
      <c r="P6237">
        <v>-14</v>
      </c>
      <c r="Q6237" s="2">
        <v>-5192.32</v>
      </c>
      <c r="R6237">
        <v>0</v>
      </c>
      <c r="V6237">
        <v>0</v>
      </c>
      <c r="W6237">
        <v>0</v>
      </c>
      <c r="X6237">
        <v>0</v>
      </c>
      <c r="Y6237">
        <v>0</v>
      </c>
      <c r="Z6237">
        <v>370.88</v>
      </c>
      <c r="AA6237">
        <v>0</v>
      </c>
      <c r="AB6237" s="1">
        <v>42382</v>
      </c>
      <c r="AC6237" t="s">
        <v>53</v>
      </c>
      <c r="AD6237" t="s">
        <v>53</v>
      </c>
      <c r="AK6237">
        <v>0</v>
      </c>
      <c r="AU6237" s="6">
        <v>42132</v>
      </c>
      <c r="AV6237" s="6">
        <v>42132</v>
      </c>
      <c r="AW6237" t="s">
        <v>54</v>
      </c>
      <c r="AX6237" t="str">
        <f t="shared" si="525"/>
        <v>FOR</v>
      </c>
      <c r="AY6237" t="s">
        <v>55</v>
      </c>
    </row>
    <row r="6238" spans="1:51" hidden="1">
      <c r="A6238">
        <v>104039</v>
      </c>
      <c r="B6238" t="s">
        <v>1174</v>
      </c>
      <c r="C6238" t="str">
        <f t="shared" si="527"/>
        <v>07297190154</v>
      </c>
      <c r="D6238" t="str">
        <f t="shared" si="527"/>
        <v>07297190154</v>
      </c>
      <c r="E6238" t="s">
        <v>52</v>
      </c>
      <c r="F6238">
        <v>2014</v>
      </c>
      <c r="G6238">
        <v>14106631</v>
      </c>
      <c r="H6238" s="1">
        <v>41820</v>
      </c>
      <c r="I6238" s="1">
        <v>42086</v>
      </c>
      <c r="J6238" s="1">
        <v>42086</v>
      </c>
      <c r="K6238" s="1">
        <v>42146</v>
      </c>
      <c r="N6238" s="5"/>
      <c r="O6238" s="2">
        <v>36600</v>
      </c>
      <c r="P6238">
        <v>-14</v>
      </c>
      <c r="Q6238" s="2">
        <v>-512400</v>
      </c>
      <c r="R6238">
        <v>0</v>
      </c>
      <c r="V6238">
        <v>0</v>
      </c>
      <c r="W6238">
        <v>0</v>
      </c>
      <c r="X6238">
        <v>0</v>
      </c>
      <c r="Y6238">
        <v>0</v>
      </c>
      <c r="Z6238" s="2">
        <v>36600</v>
      </c>
      <c r="AA6238">
        <v>0</v>
      </c>
      <c r="AB6238" s="1">
        <v>42382</v>
      </c>
      <c r="AC6238" t="s">
        <v>53</v>
      </c>
      <c r="AD6238" t="s">
        <v>53</v>
      </c>
      <c r="AK6238">
        <v>0</v>
      </c>
      <c r="AU6238" s="6">
        <v>42132</v>
      </c>
      <c r="AV6238" s="6">
        <v>42132</v>
      </c>
      <c r="AW6238" t="s">
        <v>54</v>
      </c>
      <c r="AX6238" t="str">
        <f t="shared" si="525"/>
        <v>FOR</v>
      </c>
      <c r="AY6238" t="s">
        <v>55</v>
      </c>
    </row>
    <row r="6239" spans="1:51" hidden="1">
      <c r="A6239">
        <v>104039</v>
      </c>
      <c r="B6239" t="s">
        <v>1174</v>
      </c>
      <c r="C6239" t="str">
        <f t="shared" si="527"/>
        <v>07297190154</v>
      </c>
      <c r="D6239" t="str">
        <f t="shared" si="527"/>
        <v>07297190154</v>
      </c>
      <c r="E6239" t="s">
        <v>52</v>
      </c>
      <c r="F6239">
        <v>2014</v>
      </c>
      <c r="G6239">
        <v>14106987</v>
      </c>
      <c r="H6239" s="1">
        <v>41829</v>
      </c>
      <c r="I6239" s="1">
        <v>41929</v>
      </c>
      <c r="J6239" s="1">
        <v>41929</v>
      </c>
      <c r="K6239" s="1">
        <v>41989</v>
      </c>
      <c r="N6239" s="5"/>
      <c r="O6239">
        <v>556.32000000000005</v>
      </c>
      <c r="P6239">
        <v>176</v>
      </c>
      <c r="Q6239" s="2">
        <v>97912.320000000007</v>
      </c>
      <c r="R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 s="1">
        <v>42382</v>
      </c>
      <c r="AC6239" t="s">
        <v>53</v>
      </c>
      <c r="AD6239" t="s">
        <v>53</v>
      </c>
      <c r="AK6239">
        <v>0</v>
      </c>
      <c r="AU6239" s="6">
        <v>42165</v>
      </c>
      <c r="AV6239" s="6">
        <v>42165</v>
      </c>
      <c r="AW6239" t="s">
        <v>54</v>
      </c>
      <c r="AX6239" t="str">
        <f t="shared" si="525"/>
        <v>FOR</v>
      </c>
      <c r="AY6239" t="s">
        <v>55</v>
      </c>
    </row>
    <row r="6240" spans="1:51" hidden="1">
      <c r="A6240">
        <v>104039</v>
      </c>
      <c r="B6240" t="s">
        <v>1174</v>
      </c>
      <c r="C6240" t="str">
        <f t="shared" si="527"/>
        <v>07297190154</v>
      </c>
      <c r="D6240" t="str">
        <f t="shared" si="527"/>
        <v>07297190154</v>
      </c>
      <c r="E6240" t="s">
        <v>52</v>
      </c>
      <c r="F6240">
        <v>2014</v>
      </c>
      <c r="G6240">
        <v>14107268</v>
      </c>
      <c r="H6240" s="1">
        <v>41835</v>
      </c>
      <c r="I6240" s="1">
        <v>41926</v>
      </c>
      <c r="J6240" s="1">
        <v>41926</v>
      </c>
      <c r="K6240" s="1">
        <v>41986</v>
      </c>
      <c r="N6240" s="5"/>
      <c r="O6240" s="2">
        <v>1508</v>
      </c>
      <c r="P6240">
        <v>179</v>
      </c>
      <c r="Q6240" s="2">
        <v>269932</v>
      </c>
      <c r="R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 s="1">
        <v>42382</v>
      </c>
      <c r="AC6240" t="s">
        <v>53</v>
      </c>
      <c r="AD6240" t="s">
        <v>53</v>
      </c>
      <c r="AK6240">
        <v>0</v>
      </c>
      <c r="AU6240" s="6">
        <v>42165</v>
      </c>
      <c r="AV6240" s="6">
        <v>42165</v>
      </c>
      <c r="AW6240" t="s">
        <v>54</v>
      </c>
      <c r="AX6240" t="str">
        <f t="shared" si="525"/>
        <v>FOR</v>
      </c>
      <c r="AY6240" t="s">
        <v>55</v>
      </c>
    </row>
    <row r="6241" spans="1:51" hidden="1">
      <c r="A6241">
        <v>104039</v>
      </c>
      <c r="B6241" t="s">
        <v>1174</v>
      </c>
      <c r="C6241" t="str">
        <f t="shared" si="527"/>
        <v>07297190154</v>
      </c>
      <c r="D6241" t="str">
        <f t="shared" si="527"/>
        <v>07297190154</v>
      </c>
      <c r="E6241" t="s">
        <v>52</v>
      </c>
      <c r="F6241">
        <v>2014</v>
      </c>
      <c r="G6241">
        <v>14107269</v>
      </c>
      <c r="H6241" s="1">
        <v>41835</v>
      </c>
      <c r="I6241" s="1">
        <v>41926</v>
      </c>
      <c r="J6241" s="1">
        <v>41926</v>
      </c>
      <c r="K6241" s="1">
        <v>41986</v>
      </c>
      <c r="N6241" s="5"/>
      <c r="O6241" s="2">
        <v>1508</v>
      </c>
      <c r="P6241">
        <v>179</v>
      </c>
      <c r="Q6241" s="2">
        <v>269932</v>
      </c>
      <c r="R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 s="1">
        <v>42382</v>
      </c>
      <c r="AC6241" t="s">
        <v>53</v>
      </c>
      <c r="AD6241" t="s">
        <v>53</v>
      </c>
      <c r="AK6241">
        <v>0</v>
      </c>
      <c r="AU6241" s="6">
        <v>42165</v>
      </c>
      <c r="AV6241" s="6">
        <v>42165</v>
      </c>
      <c r="AW6241" t="s">
        <v>54</v>
      </c>
      <c r="AX6241" t="str">
        <f t="shared" si="525"/>
        <v>FOR</v>
      </c>
      <c r="AY6241" t="s">
        <v>55</v>
      </c>
    </row>
    <row r="6242" spans="1:51" hidden="1">
      <c r="A6242">
        <v>104039</v>
      </c>
      <c r="B6242" t="s">
        <v>1174</v>
      </c>
      <c r="C6242" t="str">
        <f t="shared" si="527"/>
        <v>07297190154</v>
      </c>
      <c r="D6242" t="str">
        <f t="shared" si="527"/>
        <v>07297190154</v>
      </c>
      <c r="E6242" t="s">
        <v>52</v>
      </c>
      <c r="F6242">
        <v>2014</v>
      </c>
      <c r="G6242">
        <v>14107270</v>
      </c>
      <c r="H6242" s="1">
        <v>41835</v>
      </c>
      <c r="I6242" s="1">
        <v>41929</v>
      </c>
      <c r="J6242" s="1">
        <v>41929</v>
      </c>
      <c r="K6242" s="1">
        <v>41989</v>
      </c>
      <c r="N6242" s="5"/>
      <c r="O6242" s="2">
        <v>1372.8</v>
      </c>
      <c r="P6242">
        <v>176</v>
      </c>
      <c r="Q6242" s="2">
        <v>241612.79999999999</v>
      </c>
      <c r="R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 s="1">
        <v>42382</v>
      </c>
      <c r="AC6242" t="s">
        <v>53</v>
      </c>
      <c r="AD6242" t="s">
        <v>53</v>
      </c>
      <c r="AK6242">
        <v>0</v>
      </c>
      <c r="AU6242" s="6">
        <v>42165</v>
      </c>
      <c r="AV6242" s="6">
        <v>42165</v>
      </c>
      <c r="AW6242" t="s">
        <v>54</v>
      </c>
      <c r="AX6242" t="str">
        <f t="shared" si="525"/>
        <v>FOR</v>
      </c>
      <c r="AY6242" t="s">
        <v>55</v>
      </c>
    </row>
    <row r="6243" spans="1:51" hidden="1">
      <c r="A6243">
        <v>104039</v>
      </c>
      <c r="B6243" t="s">
        <v>1174</v>
      </c>
      <c r="C6243" t="str">
        <f t="shared" si="527"/>
        <v>07297190154</v>
      </c>
      <c r="D6243" t="str">
        <f t="shared" si="527"/>
        <v>07297190154</v>
      </c>
      <c r="E6243" t="s">
        <v>52</v>
      </c>
      <c r="F6243">
        <v>2014</v>
      </c>
      <c r="G6243">
        <v>14107271</v>
      </c>
      <c r="H6243" s="1">
        <v>41835</v>
      </c>
      <c r="I6243" s="1">
        <v>41929</v>
      </c>
      <c r="J6243" s="1">
        <v>41929</v>
      </c>
      <c r="K6243" s="1">
        <v>41989</v>
      </c>
      <c r="N6243" s="5"/>
      <c r="O6243" s="2">
        <v>1508</v>
      </c>
      <c r="P6243">
        <v>176</v>
      </c>
      <c r="Q6243" s="2">
        <v>265408</v>
      </c>
      <c r="R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 s="1">
        <v>42382</v>
      </c>
      <c r="AC6243" t="s">
        <v>53</v>
      </c>
      <c r="AD6243" t="s">
        <v>53</v>
      </c>
      <c r="AK6243">
        <v>0</v>
      </c>
      <c r="AU6243" s="6">
        <v>42165</v>
      </c>
      <c r="AV6243" s="6">
        <v>42165</v>
      </c>
      <c r="AW6243" t="s">
        <v>54</v>
      </c>
      <c r="AX6243" t="str">
        <f t="shared" si="525"/>
        <v>FOR</v>
      </c>
      <c r="AY6243" t="s">
        <v>55</v>
      </c>
    </row>
    <row r="6244" spans="1:51" hidden="1">
      <c r="A6244">
        <v>104039</v>
      </c>
      <c r="B6244" t="s">
        <v>1174</v>
      </c>
      <c r="C6244" t="str">
        <f t="shared" si="527"/>
        <v>07297190154</v>
      </c>
      <c r="D6244" t="str">
        <f t="shared" si="527"/>
        <v>07297190154</v>
      </c>
      <c r="E6244" t="s">
        <v>52</v>
      </c>
      <c r="F6244">
        <v>2014</v>
      </c>
      <c r="G6244">
        <v>14107272</v>
      </c>
      <c r="H6244" s="1">
        <v>41835</v>
      </c>
      <c r="I6244" s="1">
        <v>41929</v>
      </c>
      <c r="J6244" s="1">
        <v>41929</v>
      </c>
      <c r="K6244" s="1">
        <v>41989</v>
      </c>
      <c r="N6244" s="5"/>
      <c r="O6244" s="2">
        <v>1508</v>
      </c>
      <c r="P6244">
        <v>176</v>
      </c>
      <c r="Q6244" s="2">
        <v>265408</v>
      </c>
      <c r="R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 s="1">
        <v>42382</v>
      </c>
      <c r="AC6244" t="s">
        <v>53</v>
      </c>
      <c r="AD6244" t="s">
        <v>53</v>
      </c>
      <c r="AK6244">
        <v>0</v>
      </c>
      <c r="AU6244" s="6">
        <v>42165</v>
      </c>
      <c r="AV6244" s="6">
        <v>42165</v>
      </c>
      <c r="AW6244" t="s">
        <v>54</v>
      </c>
      <c r="AX6244" t="str">
        <f t="shared" si="525"/>
        <v>FOR</v>
      </c>
      <c r="AY6244" t="s">
        <v>55</v>
      </c>
    </row>
    <row r="6245" spans="1:51" hidden="1">
      <c r="A6245">
        <v>104039</v>
      </c>
      <c r="B6245" t="s">
        <v>1174</v>
      </c>
      <c r="C6245" t="str">
        <f t="shared" si="527"/>
        <v>07297190154</v>
      </c>
      <c r="D6245" t="str">
        <f t="shared" si="527"/>
        <v>07297190154</v>
      </c>
      <c r="E6245" t="s">
        <v>52</v>
      </c>
      <c r="F6245">
        <v>2014</v>
      </c>
      <c r="G6245">
        <v>14107273</v>
      </c>
      <c r="H6245" s="1">
        <v>41835</v>
      </c>
      <c r="I6245" s="1">
        <v>41929</v>
      </c>
      <c r="J6245" s="1">
        <v>41929</v>
      </c>
      <c r="K6245" s="1">
        <v>41989</v>
      </c>
      <c r="N6245" s="5"/>
      <c r="O6245" s="2">
        <v>1508</v>
      </c>
      <c r="P6245">
        <v>176</v>
      </c>
      <c r="Q6245" s="2">
        <v>265408</v>
      </c>
      <c r="R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 s="1">
        <v>42382</v>
      </c>
      <c r="AC6245" t="s">
        <v>53</v>
      </c>
      <c r="AD6245" t="s">
        <v>53</v>
      </c>
      <c r="AK6245">
        <v>0</v>
      </c>
      <c r="AU6245" s="6">
        <v>42165</v>
      </c>
      <c r="AV6245" s="6">
        <v>42165</v>
      </c>
      <c r="AW6245" t="s">
        <v>54</v>
      </c>
      <c r="AX6245" t="str">
        <f t="shared" si="525"/>
        <v>FOR</v>
      </c>
      <c r="AY6245" t="s">
        <v>55</v>
      </c>
    </row>
    <row r="6246" spans="1:51" hidden="1">
      <c r="A6246">
        <v>104039</v>
      </c>
      <c r="B6246" t="s">
        <v>1174</v>
      </c>
      <c r="C6246" t="str">
        <f t="shared" si="527"/>
        <v>07297190154</v>
      </c>
      <c r="D6246" t="str">
        <f t="shared" si="527"/>
        <v>07297190154</v>
      </c>
      <c r="E6246" t="s">
        <v>52</v>
      </c>
      <c r="F6246">
        <v>2014</v>
      </c>
      <c r="G6246">
        <v>14109235</v>
      </c>
      <c r="H6246" s="1">
        <v>41904</v>
      </c>
      <c r="I6246" s="1">
        <v>41907</v>
      </c>
      <c r="J6246" s="1">
        <v>41907</v>
      </c>
      <c r="K6246" s="1">
        <v>41997</v>
      </c>
      <c r="N6246" s="5"/>
      <c r="O6246">
        <v>370.88</v>
      </c>
      <c r="P6246">
        <v>189</v>
      </c>
      <c r="Q6246" s="2">
        <v>70096.320000000007</v>
      </c>
      <c r="R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 s="1">
        <v>42382</v>
      </c>
      <c r="AC6246" t="s">
        <v>53</v>
      </c>
      <c r="AD6246" t="s">
        <v>53</v>
      </c>
      <c r="AK6246">
        <v>0</v>
      </c>
      <c r="AU6246" s="6">
        <v>42186</v>
      </c>
      <c r="AV6246" s="6">
        <v>42186</v>
      </c>
      <c r="AW6246" t="s">
        <v>54</v>
      </c>
      <c r="AX6246" t="str">
        <f t="shared" si="525"/>
        <v>FOR</v>
      </c>
      <c r="AY6246" t="s">
        <v>55</v>
      </c>
    </row>
    <row r="6247" spans="1:51" hidden="1">
      <c r="A6247">
        <v>104039</v>
      </c>
      <c r="B6247" t="s">
        <v>1174</v>
      </c>
      <c r="C6247" t="str">
        <f t="shared" si="527"/>
        <v>07297190154</v>
      </c>
      <c r="D6247" t="str">
        <f t="shared" si="527"/>
        <v>07297190154</v>
      </c>
      <c r="E6247" t="s">
        <v>52</v>
      </c>
      <c r="F6247">
        <v>2014</v>
      </c>
      <c r="G6247">
        <v>14109536</v>
      </c>
      <c r="H6247" s="1">
        <v>41912</v>
      </c>
      <c r="I6247" s="1">
        <v>41915</v>
      </c>
      <c r="J6247" s="1">
        <v>41915</v>
      </c>
      <c r="K6247" s="1">
        <v>42005</v>
      </c>
      <c r="N6247" s="5"/>
      <c r="O6247" s="2">
        <v>1372.8</v>
      </c>
      <c r="P6247">
        <v>181</v>
      </c>
      <c r="Q6247" s="2">
        <v>248476.79999999999</v>
      </c>
      <c r="R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 s="1">
        <v>42382</v>
      </c>
      <c r="AC6247" t="s">
        <v>53</v>
      </c>
      <c r="AD6247" t="s">
        <v>53</v>
      </c>
      <c r="AK6247">
        <v>0</v>
      </c>
      <c r="AU6247" s="6">
        <v>42186</v>
      </c>
      <c r="AV6247" s="6">
        <v>42186</v>
      </c>
      <c r="AW6247" t="s">
        <v>54</v>
      </c>
      <c r="AX6247" t="str">
        <f t="shared" si="525"/>
        <v>FOR</v>
      </c>
      <c r="AY6247" t="s">
        <v>55</v>
      </c>
    </row>
    <row r="6248" spans="1:51" hidden="1">
      <c r="A6248">
        <v>104039</v>
      </c>
      <c r="B6248" t="s">
        <v>1174</v>
      </c>
      <c r="C6248" t="str">
        <f t="shared" si="527"/>
        <v>07297190154</v>
      </c>
      <c r="D6248" t="str">
        <f t="shared" si="527"/>
        <v>07297190154</v>
      </c>
      <c r="E6248" t="s">
        <v>52</v>
      </c>
      <c r="F6248">
        <v>2014</v>
      </c>
      <c r="G6248">
        <v>14109941</v>
      </c>
      <c r="H6248" s="1">
        <v>41921</v>
      </c>
      <c r="I6248" s="1">
        <v>41929</v>
      </c>
      <c r="J6248" s="1">
        <v>41929</v>
      </c>
      <c r="K6248" s="1">
        <v>41989</v>
      </c>
      <c r="N6248" s="5"/>
      <c r="O6248" s="2">
        <v>1508</v>
      </c>
      <c r="P6248">
        <v>197</v>
      </c>
      <c r="Q6248" s="2">
        <v>297076</v>
      </c>
      <c r="R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 s="1">
        <v>42382</v>
      </c>
      <c r="AC6248" t="s">
        <v>53</v>
      </c>
      <c r="AD6248" t="s">
        <v>53</v>
      </c>
      <c r="AK6248">
        <v>0</v>
      </c>
      <c r="AU6248" s="6">
        <v>42186</v>
      </c>
      <c r="AV6248" s="6">
        <v>42186</v>
      </c>
      <c r="AW6248" t="s">
        <v>54</v>
      </c>
      <c r="AX6248" t="str">
        <f t="shared" si="525"/>
        <v>FOR</v>
      </c>
      <c r="AY6248" t="s">
        <v>55</v>
      </c>
    </row>
    <row r="6249" spans="1:51" hidden="1">
      <c r="A6249">
        <v>104039</v>
      </c>
      <c r="B6249" t="s">
        <v>1174</v>
      </c>
      <c r="C6249" t="str">
        <f t="shared" si="527"/>
        <v>07297190154</v>
      </c>
      <c r="D6249" t="str">
        <f t="shared" si="527"/>
        <v>07297190154</v>
      </c>
      <c r="E6249" t="s">
        <v>52</v>
      </c>
      <c r="F6249">
        <v>2014</v>
      </c>
      <c r="G6249">
        <v>14109942</v>
      </c>
      <c r="H6249" s="1">
        <v>41921</v>
      </c>
      <c r="I6249" s="1">
        <v>41929</v>
      </c>
      <c r="J6249" s="1">
        <v>41929</v>
      </c>
      <c r="K6249" s="1">
        <v>41989</v>
      </c>
      <c r="N6249" s="5"/>
      <c r="O6249" s="2">
        <v>1508</v>
      </c>
      <c r="P6249">
        <v>197</v>
      </c>
      <c r="Q6249" s="2">
        <v>297076</v>
      </c>
      <c r="R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 s="1">
        <v>42382</v>
      </c>
      <c r="AC6249" t="s">
        <v>53</v>
      </c>
      <c r="AD6249" t="s">
        <v>53</v>
      </c>
      <c r="AK6249">
        <v>0</v>
      </c>
      <c r="AU6249" s="6">
        <v>42186</v>
      </c>
      <c r="AV6249" s="6">
        <v>42186</v>
      </c>
      <c r="AW6249" t="s">
        <v>54</v>
      </c>
      <c r="AX6249" t="str">
        <f t="shared" si="525"/>
        <v>FOR</v>
      </c>
      <c r="AY6249" t="s">
        <v>55</v>
      </c>
    </row>
    <row r="6250" spans="1:51" hidden="1">
      <c r="A6250">
        <v>104039</v>
      </c>
      <c r="B6250" t="s">
        <v>1174</v>
      </c>
      <c r="C6250" t="str">
        <f t="shared" si="527"/>
        <v>07297190154</v>
      </c>
      <c r="D6250" t="str">
        <f t="shared" si="527"/>
        <v>07297190154</v>
      </c>
      <c r="E6250" t="s">
        <v>52</v>
      </c>
      <c r="F6250">
        <v>2014</v>
      </c>
      <c r="G6250">
        <v>14110325</v>
      </c>
      <c r="H6250" s="1">
        <v>41933</v>
      </c>
      <c r="I6250" s="1">
        <v>41935</v>
      </c>
      <c r="J6250" s="1">
        <v>41935</v>
      </c>
      <c r="K6250" s="1">
        <v>41995</v>
      </c>
      <c r="N6250" s="5"/>
      <c r="O6250" s="2">
        <v>1508</v>
      </c>
      <c r="P6250">
        <v>191</v>
      </c>
      <c r="Q6250" s="2">
        <v>288028</v>
      </c>
      <c r="R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 s="1">
        <v>42382</v>
      </c>
      <c r="AC6250" t="s">
        <v>53</v>
      </c>
      <c r="AD6250" t="s">
        <v>53</v>
      </c>
      <c r="AK6250">
        <v>0</v>
      </c>
      <c r="AU6250" s="6">
        <v>42186</v>
      </c>
      <c r="AV6250" s="6">
        <v>42186</v>
      </c>
      <c r="AW6250" t="s">
        <v>54</v>
      </c>
      <c r="AX6250" t="str">
        <f t="shared" si="525"/>
        <v>FOR</v>
      </c>
      <c r="AY6250" t="s">
        <v>55</v>
      </c>
    </row>
    <row r="6251" spans="1:51" hidden="1">
      <c r="A6251">
        <v>104039</v>
      </c>
      <c r="B6251" t="s">
        <v>1174</v>
      </c>
      <c r="C6251" t="str">
        <f t="shared" si="527"/>
        <v>07297190154</v>
      </c>
      <c r="D6251" t="str">
        <f t="shared" si="527"/>
        <v>07297190154</v>
      </c>
      <c r="E6251" t="s">
        <v>52</v>
      </c>
      <c r="F6251">
        <v>2014</v>
      </c>
      <c r="G6251">
        <v>14110326</v>
      </c>
      <c r="H6251" s="1">
        <v>41933</v>
      </c>
      <c r="I6251" s="1">
        <v>41935</v>
      </c>
      <c r="J6251" s="1">
        <v>41935</v>
      </c>
      <c r="K6251" s="1">
        <v>41995</v>
      </c>
      <c r="N6251" s="5"/>
      <c r="O6251" s="2">
        <v>1508</v>
      </c>
      <c r="P6251">
        <v>191</v>
      </c>
      <c r="Q6251" s="2">
        <v>288028</v>
      </c>
      <c r="R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 s="1">
        <v>42382</v>
      </c>
      <c r="AC6251" t="s">
        <v>53</v>
      </c>
      <c r="AD6251" t="s">
        <v>53</v>
      </c>
      <c r="AK6251">
        <v>0</v>
      </c>
      <c r="AU6251" s="6">
        <v>42186</v>
      </c>
      <c r="AV6251" s="6">
        <v>42186</v>
      </c>
      <c r="AW6251" t="s">
        <v>54</v>
      </c>
      <c r="AX6251" t="str">
        <f t="shared" si="525"/>
        <v>FOR</v>
      </c>
      <c r="AY6251" t="s">
        <v>55</v>
      </c>
    </row>
    <row r="6252" spans="1:51" hidden="1">
      <c r="A6252">
        <v>104039</v>
      </c>
      <c r="B6252" t="s">
        <v>1174</v>
      </c>
      <c r="C6252" t="str">
        <f t="shared" si="527"/>
        <v>07297190154</v>
      </c>
      <c r="D6252" t="str">
        <f t="shared" si="527"/>
        <v>07297190154</v>
      </c>
      <c r="E6252" t="s">
        <v>52</v>
      </c>
      <c r="F6252">
        <v>2014</v>
      </c>
      <c r="G6252">
        <v>14110327</v>
      </c>
      <c r="H6252" s="1">
        <v>41933</v>
      </c>
      <c r="I6252" s="1">
        <v>41935</v>
      </c>
      <c r="J6252" s="1">
        <v>41935</v>
      </c>
      <c r="K6252" s="1">
        <v>41995</v>
      </c>
      <c r="N6252" s="5"/>
      <c r="O6252" s="2">
        <v>1508</v>
      </c>
      <c r="P6252">
        <v>191</v>
      </c>
      <c r="Q6252" s="2">
        <v>288028</v>
      </c>
      <c r="R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 s="1">
        <v>42382</v>
      </c>
      <c r="AC6252" t="s">
        <v>53</v>
      </c>
      <c r="AD6252" t="s">
        <v>53</v>
      </c>
      <c r="AK6252">
        <v>0</v>
      </c>
      <c r="AU6252" s="6">
        <v>42186</v>
      </c>
      <c r="AV6252" s="6">
        <v>42186</v>
      </c>
      <c r="AW6252" t="s">
        <v>54</v>
      </c>
      <c r="AX6252" t="str">
        <f t="shared" si="525"/>
        <v>FOR</v>
      </c>
      <c r="AY6252" t="s">
        <v>55</v>
      </c>
    </row>
    <row r="6253" spans="1:51" hidden="1">
      <c r="A6253">
        <v>104039</v>
      </c>
      <c r="B6253" t="s">
        <v>1174</v>
      </c>
      <c r="C6253" t="str">
        <f t="shared" si="527"/>
        <v>07297190154</v>
      </c>
      <c r="D6253" t="str">
        <f t="shared" si="527"/>
        <v>07297190154</v>
      </c>
      <c r="E6253" t="s">
        <v>52</v>
      </c>
      <c r="F6253">
        <v>2014</v>
      </c>
      <c r="G6253">
        <v>14110328</v>
      </c>
      <c r="H6253" s="1">
        <v>41933</v>
      </c>
      <c r="I6253" s="1">
        <v>41935</v>
      </c>
      <c r="J6253" s="1">
        <v>41935</v>
      </c>
      <c r="K6253" s="1">
        <v>41995</v>
      </c>
      <c r="N6253" s="5"/>
      <c r="O6253" s="2">
        <v>1508</v>
      </c>
      <c r="P6253">
        <v>191</v>
      </c>
      <c r="Q6253" s="2">
        <v>288028</v>
      </c>
      <c r="R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 s="1">
        <v>42382</v>
      </c>
      <c r="AC6253" t="s">
        <v>53</v>
      </c>
      <c r="AD6253" t="s">
        <v>53</v>
      </c>
      <c r="AK6253">
        <v>0</v>
      </c>
      <c r="AU6253" s="6">
        <v>42186</v>
      </c>
      <c r="AV6253" s="6">
        <v>42186</v>
      </c>
      <c r="AW6253" t="s">
        <v>54</v>
      </c>
      <c r="AX6253" t="str">
        <f t="shared" si="525"/>
        <v>FOR</v>
      </c>
      <c r="AY6253" t="s">
        <v>55</v>
      </c>
    </row>
    <row r="6254" spans="1:51" hidden="1">
      <c r="A6254">
        <v>104039</v>
      </c>
      <c r="B6254" t="s">
        <v>1174</v>
      </c>
      <c r="C6254" t="str">
        <f t="shared" si="527"/>
        <v>07297190154</v>
      </c>
      <c r="D6254" t="str">
        <f t="shared" si="527"/>
        <v>07297190154</v>
      </c>
      <c r="E6254" t="s">
        <v>52</v>
      </c>
      <c r="F6254">
        <v>2014</v>
      </c>
      <c r="G6254">
        <v>14110329</v>
      </c>
      <c r="H6254" s="1">
        <v>41933</v>
      </c>
      <c r="I6254" s="1">
        <v>42086</v>
      </c>
      <c r="J6254" s="1">
        <v>42086</v>
      </c>
      <c r="K6254" s="1">
        <v>42146</v>
      </c>
      <c r="N6254" s="5"/>
      <c r="O6254" s="2">
        <v>1508</v>
      </c>
      <c r="P6254">
        <v>40</v>
      </c>
      <c r="Q6254" s="2">
        <v>60320</v>
      </c>
      <c r="R6254">
        <v>0</v>
      </c>
      <c r="V6254">
        <v>0</v>
      </c>
      <c r="W6254">
        <v>0</v>
      </c>
      <c r="X6254">
        <v>0</v>
      </c>
      <c r="Y6254">
        <v>0</v>
      </c>
      <c r="Z6254" s="2">
        <v>1508</v>
      </c>
      <c r="AA6254">
        <v>0</v>
      </c>
      <c r="AB6254" s="1">
        <v>42382</v>
      </c>
      <c r="AC6254" t="s">
        <v>53</v>
      </c>
      <c r="AD6254" t="s">
        <v>53</v>
      </c>
      <c r="AK6254">
        <v>0</v>
      </c>
      <c r="AU6254" s="6">
        <v>42186</v>
      </c>
      <c r="AV6254" s="6">
        <v>42186</v>
      </c>
      <c r="AW6254" t="s">
        <v>54</v>
      </c>
      <c r="AX6254" t="str">
        <f t="shared" si="525"/>
        <v>FOR</v>
      </c>
      <c r="AY6254" t="s">
        <v>55</v>
      </c>
    </row>
    <row r="6255" spans="1:51" hidden="1">
      <c r="A6255">
        <v>104039</v>
      </c>
      <c r="B6255" t="s">
        <v>1174</v>
      </c>
      <c r="C6255" t="str">
        <f t="shared" si="527"/>
        <v>07297190154</v>
      </c>
      <c r="D6255" t="str">
        <f t="shared" si="527"/>
        <v>07297190154</v>
      </c>
      <c r="E6255" t="s">
        <v>52</v>
      </c>
      <c r="F6255">
        <v>2014</v>
      </c>
      <c r="G6255">
        <v>14110330</v>
      </c>
      <c r="H6255" s="1">
        <v>41933</v>
      </c>
      <c r="I6255" s="1">
        <v>42086</v>
      </c>
      <c r="J6255" s="1">
        <v>42086</v>
      </c>
      <c r="K6255" s="1">
        <v>42146</v>
      </c>
      <c r="N6255" s="5"/>
      <c r="O6255" s="2">
        <v>1508</v>
      </c>
      <c r="P6255">
        <v>40</v>
      </c>
      <c r="Q6255" s="2">
        <v>60320</v>
      </c>
      <c r="R6255">
        <v>0</v>
      </c>
      <c r="V6255">
        <v>0</v>
      </c>
      <c r="W6255">
        <v>0</v>
      </c>
      <c r="X6255">
        <v>0</v>
      </c>
      <c r="Y6255">
        <v>0</v>
      </c>
      <c r="Z6255" s="2">
        <v>1508</v>
      </c>
      <c r="AA6255">
        <v>0</v>
      </c>
      <c r="AB6255" s="1">
        <v>42382</v>
      </c>
      <c r="AC6255" t="s">
        <v>53</v>
      </c>
      <c r="AD6255" t="s">
        <v>53</v>
      </c>
      <c r="AK6255">
        <v>0</v>
      </c>
      <c r="AU6255" s="6">
        <v>42186</v>
      </c>
      <c r="AV6255" s="6">
        <v>42186</v>
      </c>
      <c r="AW6255" t="s">
        <v>54</v>
      </c>
      <c r="AX6255" t="str">
        <f t="shared" si="525"/>
        <v>FOR</v>
      </c>
      <c r="AY6255" t="s">
        <v>55</v>
      </c>
    </row>
    <row r="6256" spans="1:51" hidden="1">
      <c r="A6256">
        <v>104039</v>
      </c>
      <c r="B6256" t="s">
        <v>1174</v>
      </c>
      <c r="C6256" t="str">
        <f t="shared" ref="C6256:D6275" si="528">"07297190154"</f>
        <v>07297190154</v>
      </c>
      <c r="D6256" t="str">
        <f t="shared" si="528"/>
        <v>07297190154</v>
      </c>
      <c r="E6256" t="s">
        <v>52</v>
      </c>
      <c r="F6256">
        <v>2014</v>
      </c>
      <c r="G6256">
        <v>14110896</v>
      </c>
      <c r="H6256" s="1">
        <v>41947</v>
      </c>
      <c r="I6256" s="1">
        <v>41950</v>
      </c>
      <c r="J6256" s="1">
        <v>41950</v>
      </c>
      <c r="K6256" s="1">
        <v>42010</v>
      </c>
      <c r="N6256" s="5"/>
      <c r="O6256" s="2">
        <v>1372.8</v>
      </c>
      <c r="P6256">
        <v>241</v>
      </c>
      <c r="Q6256" s="2">
        <v>330844.79999999999</v>
      </c>
      <c r="R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 s="1">
        <v>42382</v>
      </c>
      <c r="AC6256" t="s">
        <v>53</v>
      </c>
      <c r="AD6256" t="s">
        <v>53</v>
      </c>
      <c r="AK6256">
        <v>0</v>
      </c>
      <c r="AU6256" s="6">
        <v>42251</v>
      </c>
      <c r="AV6256" s="6">
        <v>42251</v>
      </c>
      <c r="AW6256" t="s">
        <v>54</v>
      </c>
      <c r="AX6256" t="str">
        <f t="shared" si="525"/>
        <v>FOR</v>
      </c>
      <c r="AY6256" t="s">
        <v>55</v>
      </c>
    </row>
    <row r="6257" spans="1:51" hidden="1">
      <c r="A6257">
        <v>104039</v>
      </c>
      <c r="B6257" t="s">
        <v>1174</v>
      </c>
      <c r="C6257" t="str">
        <f t="shared" si="528"/>
        <v>07297190154</v>
      </c>
      <c r="D6257" t="str">
        <f t="shared" si="528"/>
        <v>07297190154</v>
      </c>
      <c r="E6257" t="s">
        <v>52</v>
      </c>
      <c r="F6257">
        <v>2014</v>
      </c>
      <c r="G6257">
        <v>14110897</v>
      </c>
      <c r="H6257" s="1">
        <v>41947</v>
      </c>
      <c r="I6257" s="1">
        <v>41950</v>
      </c>
      <c r="J6257" s="1">
        <v>41950</v>
      </c>
      <c r="K6257" s="1">
        <v>42010</v>
      </c>
      <c r="N6257" s="5"/>
      <c r="O6257" s="2">
        <v>1508</v>
      </c>
      <c r="P6257">
        <v>241</v>
      </c>
      <c r="Q6257" s="2">
        <v>363428</v>
      </c>
      <c r="R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 s="1">
        <v>42382</v>
      </c>
      <c r="AC6257" t="s">
        <v>53</v>
      </c>
      <c r="AD6257" t="s">
        <v>53</v>
      </c>
      <c r="AK6257">
        <v>0</v>
      </c>
      <c r="AU6257" s="6">
        <v>42251</v>
      </c>
      <c r="AV6257" s="6">
        <v>42251</v>
      </c>
      <c r="AW6257" t="s">
        <v>54</v>
      </c>
      <c r="AX6257" t="str">
        <f t="shared" si="525"/>
        <v>FOR</v>
      </c>
      <c r="AY6257" t="s">
        <v>55</v>
      </c>
    </row>
    <row r="6258" spans="1:51" hidden="1">
      <c r="A6258">
        <v>104039</v>
      </c>
      <c r="B6258" t="s">
        <v>1174</v>
      </c>
      <c r="C6258" t="str">
        <f t="shared" si="528"/>
        <v>07297190154</v>
      </c>
      <c r="D6258" t="str">
        <f t="shared" si="528"/>
        <v>07297190154</v>
      </c>
      <c r="E6258" t="s">
        <v>52</v>
      </c>
      <c r="F6258">
        <v>2014</v>
      </c>
      <c r="G6258">
        <v>14110898</v>
      </c>
      <c r="H6258" s="1">
        <v>41947</v>
      </c>
      <c r="I6258" s="1">
        <v>41950</v>
      </c>
      <c r="J6258" s="1">
        <v>41950</v>
      </c>
      <c r="K6258" s="1">
        <v>42010</v>
      </c>
      <c r="N6258" s="5"/>
      <c r="O6258" s="2">
        <v>1508</v>
      </c>
      <c r="P6258">
        <v>241</v>
      </c>
      <c r="Q6258" s="2">
        <v>363428</v>
      </c>
      <c r="R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 s="1">
        <v>42382</v>
      </c>
      <c r="AC6258" t="s">
        <v>53</v>
      </c>
      <c r="AD6258" t="s">
        <v>53</v>
      </c>
      <c r="AK6258">
        <v>0</v>
      </c>
      <c r="AU6258" s="6">
        <v>42251</v>
      </c>
      <c r="AV6258" s="6">
        <v>42251</v>
      </c>
      <c r="AW6258" t="s">
        <v>54</v>
      </c>
      <c r="AX6258" t="str">
        <f t="shared" si="525"/>
        <v>FOR</v>
      </c>
      <c r="AY6258" t="s">
        <v>55</v>
      </c>
    </row>
    <row r="6259" spans="1:51" hidden="1">
      <c r="A6259">
        <v>104039</v>
      </c>
      <c r="B6259" t="s">
        <v>1174</v>
      </c>
      <c r="C6259" t="str">
        <f t="shared" si="528"/>
        <v>07297190154</v>
      </c>
      <c r="D6259" t="str">
        <f t="shared" si="528"/>
        <v>07297190154</v>
      </c>
      <c r="E6259" t="s">
        <v>52</v>
      </c>
      <c r="F6259">
        <v>2014</v>
      </c>
      <c r="G6259">
        <v>14110899</v>
      </c>
      <c r="H6259" s="1">
        <v>41947</v>
      </c>
      <c r="I6259" s="1">
        <v>41950</v>
      </c>
      <c r="J6259" s="1">
        <v>41950</v>
      </c>
      <c r="K6259" s="1">
        <v>42010</v>
      </c>
      <c r="N6259" s="5"/>
      <c r="O6259" s="2">
        <v>1508</v>
      </c>
      <c r="P6259">
        <v>241</v>
      </c>
      <c r="Q6259" s="2">
        <v>363428</v>
      </c>
      <c r="R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 s="1">
        <v>42382</v>
      </c>
      <c r="AC6259" t="s">
        <v>53</v>
      </c>
      <c r="AD6259" t="s">
        <v>53</v>
      </c>
      <c r="AK6259">
        <v>0</v>
      </c>
      <c r="AU6259" s="6">
        <v>42251</v>
      </c>
      <c r="AV6259" s="6">
        <v>42251</v>
      </c>
      <c r="AW6259" t="s">
        <v>54</v>
      </c>
      <c r="AX6259" t="str">
        <f t="shared" si="525"/>
        <v>FOR</v>
      </c>
      <c r="AY6259" t="s">
        <v>55</v>
      </c>
    </row>
    <row r="6260" spans="1:51" hidden="1">
      <c r="A6260">
        <v>104039</v>
      </c>
      <c r="B6260" t="s">
        <v>1174</v>
      </c>
      <c r="C6260" t="str">
        <f t="shared" si="528"/>
        <v>07297190154</v>
      </c>
      <c r="D6260" t="str">
        <f t="shared" si="528"/>
        <v>07297190154</v>
      </c>
      <c r="E6260" t="s">
        <v>52</v>
      </c>
      <c r="F6260">
        <v>2014</v>
      </c>
      <c r="G6260">
        <v>14110900</v>
      </c>
      <c r="H6260" s="1">
        <v>41947</v>
      </c>
      <c r="I6260" s="1">
        <v>41950</v>
      </c>
      <c r="J6260" s="1">
        <v>41950</v>
      </c>
      <c r="K6260" s="1">
        <v>42010</v>
      </c>
      <c r="N6260" s="5"/>
      <c r="O6260" s="2">
        <v>1508</v>
      </c>
      <c r="P6260">
        <v>241</v>
      </c>
      <c r="Q6260" s="2">
        <v>363428</v>
      </c>
      <c r="R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 s="1">
        <v>42382</v>
      </c>
      <c r="AC6260" t="s">
        <v>53</v>
      </c>
      <c r="AD6260" t="s">
        <v>53</v>
      </c>
      <c r="AK6260">
        <v>0</v>
      </c>
      <c r="AU6260" s="6">
        <v>42251</v>
      </c>
      <c r="AV6260" s="6">
        <v>42251</v>
      </c>
      <c r="AW6260" t="s">
        <v>54</v>
      </c>
      <c r="AX6260" t="str">
        <f t="shared" si="525"/>
        <v>FOR</v>
      </c>
      <c r="AY6260" t="s">
        <v>55</v>
      </c>
    </row>
    <row r="6261" spans="1:51" hidden="1">
      <c r="A6261">
        <v>104039</v>
      </c>
      <c r="B6261" t="s">
        <v>1174</v>
      </c>
      <c r="C6261" t="str">
        <f t="shared" si="528"/>
        <v>07297190154</v>
      </c>
      <c r="D6261" t="str">
        <f t="shared" si="528"/>
        <v>07297190154</v>
      </c>
      <c r="E6261" t="s">
        <v>52</v>
      </c>
      <c r="F6261">
        <v>2014</v>
      </c>
      <c r="G6261">
        <v>14110901</v>
      </c>
      <c r="H6261" s="1">
        <v>41947</v>
      </c>
      <c r="I6261" s="1">
        <v>41950</v>
      </c>
      <c r="J6261" s="1">
        <v>41950</v>
      </c>
      <c r="K6261" s="1">
        <v>42010</v>
      </c>
      <c r="N6261" s="5"/>
      <c r="O6261" s="2">
        <v>1508</v>
      </c>
      <c r="P6261">
        <v>241</v>
      </c>
      <c r="Q6261" s="2">
        <v>363428</v>
      </c>
      <c r="R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 s="1">
        <v>42382</v>
      </c>
      <c r="AC6261" t="s">
        <v>53</v>
      </c>
      <c r="AD6261" t="s">
        <v>53</v>
      </c>
      <c r="AK6261">
        <v>0</v>
      </c>
      <c r="AU6261" s="6">
        <v>42251</v>
      </c>
      <c r="AV6261" s="6">
        <v>42251</v>
      </c>
      <c r="AW6261" t="s">
        <v>54</v>
      </c>
      <c r="AX6261" t="str">
        <f t="shared" si="525"/>
        <v>FOR</v>
      </c>
      <c r="AY6261" t="s">
        <v>55</v>
      </c>
    </row>
    <row r="6262" spans="1:51" hidden="1">
      <c r="A6262">
        <v>104039</v>
      </c>
      <c r="B6262" t="s">
        <v>1174</v>
      </c>
      <c r="C6262" t="str">
        <f t="shared" si="528"/>
        <v>07297190154</v>
      </c>
      <c r="D6262" t="str">
        <f t="shared" si="528"/>
        <v>07297190154</v>
      </c>
      <c r="E6262" t="s">
        <v>52</v>
      </c>
      <c r="F6262">
        <v>2014</v>
      </c>
      <c r="G6262">
        <v>14110902</v>
      </c>
      <c r="H6262" s="1">
        <v>41947</v>
      </c>
      <c r="I6262" s="1">
        <v>41950</v>
      </c>
      <c r="J6262" s="1">
        <v>41950</v>
      </c>
      <c r="K6262" s="1">
        <v>42010</v>
      </c>
      <c r="N6262" s="5"/>
      <c r="O6262" s="2">
        <v>1508</v>
      </c>
      <c r="P6262">
        <v>241</v>
      </c>
      <c r="Q6262" s="2">
        <v>363428</v>
      </c>
      <c r="R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 s="1">
        <v>42382</v>
      </c>
      <c r="AC6262" t="s">
        <v>53</v>
      </c>
      <c r="AD6262" t="s">
        <v>53</v>
      </c>
      <c r="AK6262">
        <v>0</v>
      </c>
      <c r="AU6262" s="6">
        <v>42251</v>
      </c>
      <c r="AV6262" s="6">
        <v>42251</v>
      </c>
      <c r="AW6262" t="s">
        <v>54</v>
      </c>
      <c r="AX6262" t="str">
        <f t="shared" si="525"/>
        <v>FOR</v>
      </c>
      <c r="AY6262" t="s">
        <v>55</v>
      </c>
    </row>
    <row r="6263" spans="1:51">
      <c r="A6263">
        <v>104039</v>
      </c>
      <c r="B6263" t="s">
        <v>1174</v>
      </c>
      <c r="C6263" t="str">
        <f t="shared" si="528"/>
        <v>07297190154</v>
      </c>
      <c r="D6263" t="str">
        <f t="shared" si="528"/>
        <v>07297190154</v>
      </c>
      <c r="E6263" t="s">
        <v>52</v>
      </c>
      <c r="F6263">
        <v>2014</v>
      </c>
      <c r="G6263">
        <v>14111322</v>
      </c>
      <c r="H6263" s="1">
        <v>41960</v>
      </c>
      <c r="I6263" s="1">
        <v>41964</v>
      </c>
      <c r="J6263" s="1">
        <v>41964</v>
      </c>
      <c r="K6263" s="1">
        <v>42024</v>
      </c>
      <c r="L6263" s="7">
        <v>1372.8</v>
      </c>
      <c r="M6263" s="5">
        <v>316</v>
      </c>
      <c r="N6263" s="7">
        <v>433804.79999999999</v>
      </c>
      <c r="O6263" s="2">
        <v>1372.8</v>
      </c>
      <c r="P6263">
        <v>316</v>
      </c>
      <c r="Q6263" s="2">
        <v>433804.79999999999</v>
      </c>
      <c r="R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 s="1">
        <v>42382</v>
      </c>
      <c r="AC6263" t="s">
        <v>53</v>
      </c>
      <c r="AD6263" t="s">
        <v>53</v>
      </c>
      <c r="AK6263">
        <v>0</v>
      </c>
      <c r="AU6263" s="6">
        <v>42340</v>
      </c>
      <c r="AV6263" s="6">
        <v>42340</v>
      </c>
      <c r="AW6263" t="s">
        <v>54</v>
      </c>
      <c r="AX6263" t="str">
        <f t="shared" si="525"/>
        <v>FOR</v>
      </c>
      <c r="AY6263" t="s">
        <v>55</v>
      </c>
    </row>
    <row r="6264" spans="1:51" hidden="1">
      <c r="A6264">
        <v>104039</v>
      </c>
      <c r="B6264" t="s">
        <v>1174</v>
      </c>
      <c r="C6264" t="str">
        <f t="shared" si="528"/>
        <v>07297190154</v>
      </c>
      <c r="D6264" t="str">
        <f t="shared" si="528"/>
        <v>07297190154</v>
      </c>
      <c r="E6264" t="s">
        <v>52</v>
      </c>
      <c r="F6264">
        <v>2014</v>
      </c>
      <c r="G6264">
        <v>14111340</v>
      </c>
      <c r="H6264" s="1">
        <v>41961</v>
      </c>
      <c r="I6264" s="1">
        <v>41964</v>
      </c>
      <c r="J6264" s="1">
        <v>41964</v>
      </c>
      <c r="K6264" s="1">
        <v>42024</v>
      </c>
      <c r="N6264" s="5"/>
      <c r="O6264" s="2">
        <v>1508</v>
      </c>
      <c r="P6264">
        <v>227</v>
      </c>
      <c r="Q6264" s="2">
        <v>342316</v>
      </c>
      <c r="R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 s="1">
        <v>42382</v>
      </c>
      <c r="AC6264" t="s">
        <v>53</v>
      </c>
      <c r="AD6264" t="s">
        <v>53</v>
      </c>
      <c r="AK6264">
        <v>0</v>
      </c>
      <c r="AU6264" s="6">
        <v>42251</v>
      </c>
      <c r="AV6264" s="6">
        <v>42251</v>
      </c>
      <c r="AW6264" t="s">
        <v>54</v>
      </c>
      <c r="AX6264" t="str">
        <f t="shared" si="525"/>
        <v>FOR</v>
      </c>
      <c r="AY6264" t="s">
        <v>55</v>
      </c>
    </row>
    <row r="6265" spans="1:51" hidden="1">
      <c r="A6265">
        <v>104039</v>
      </c>
      <c r="B6265" t="s">
        <v>1174</v>
      </c>
      <c r="C6265" t="str">
        <f t="shared" si="528"/>
        <v>07297190154</v>
      </c>
      <c r="D6265" t="str">
        <f t="shared" si="528"/>
        <v>07297190154</v>
      </c>
      <c r="E6265" t="s">
        <v>52</v>
      </c>
      <c r="F6265">
        <v>2014</v>
      </c>
      <c r="G6265">
        <v>14111341</v>
      </c>
      <c r="H6265" s="1">
        <v>41961</v>
      </c>
      <c r="I6265" s="1">
        <v>41964</v>
      </c>
      <c r="J6265" s="1">
        <v>41964</v>
      </c>
      <c r="K6265" s="1">
        <v>42024</v>
      </c>
      <c r="N6265" s="5"/>
      <c r="O6265" s="2">
        <v>1372.8</v>
      </c>
      <c r="P6265">
        <v>227</v>
      </c>
      <c r="Q6265" s="2">
        <v>311625.59999999998</v>
      </c>
      <c r="R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 s="1">
        <v>42382</v>
      </c>
      <c r="AC6265" t="s">
        <v>53</v>
      </c>
      <c r="AD6265" t="s">
        <v>53</v>
      </c>
      <c r="AK6265">
        <v>0</v>
      </c>
      <c r="AU6265" s="6">
        <v>42251</v>
      </c>
      <c r="AV6265" s="6">
        <v>42251</v>
      </c>
      <c r="AW6265" t="s">
        <v>54</v>
      </c>
      <c r="AX6265" t="str">
        <f t="shared" si="525"/>
        <v>FOR</v>
      </c>
      <c r="AY6265" t="s">
        <v>55</v>
      </c>
    </row>
    <row r="6266" spans="1:51" hidden="1">
      <c r="A6266">
        <v>104039</v>
      </c>
      <c r="B6266" t="s">
        <v>1174</v>
      </c>
      <c r="C6266" t="str">
        <f t="shared" si="528"/>
        <v>07297190154</v>
      </c>
      <c r="D6266" t="str">
        <f t="shared" si="528"/>
        <v>07297190154</v>
      </c>
      <c r="E6266" t="s">
        <v>52</v>
      </c>
      <c r="F6266">
        <v>2014</v>
      </c>
      <c r="G6266">
        <v>14111342</v>
      </c>
      <c r="H6266" s="1">
        <v>41961</v>
      </c>
      <c r="I6266" s="1">
        <v>41964</v>
      </c>
      <c r="J6266" s="1">
        <v>41964</v>
      </c>
      <c r="K6266" s="1">
        <v>42024</v>
      </c>
      <c r="N6266" s="5"/>
      <c r="O6266" s="2">
        <v>1508</v>
      </c>
      <c r="P6266">
        <v>227</v>
      </c>
      <c r="Q6266" s="2">
        <v>342316</v>
      </c>
      <c r="R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 s="1">
        <v>42382</v>
      </c>
      <c r="AC6266" t="s">
        <v>53</v>
      </c>
      <c r="AD6266" t="s">
        <v>53</v>
      </c>
      <c r="AK6266">
        <v>0</v>
      </c>
      <c r="AU6266" s="6">
        <v>42251</v>
      </c>
      <c r="AV6266" s="6">
        <v>42251</v>
      </c>
      <c r="AW6266" t="s">
        <v>54</v>
      </c>
      <c r="AX6266" t="str">
        <f t="shared" si="525"/>
        <v>FOR</v>
      </c>
      <c r="AY6266" t="s">
        <v>55</v>
      </c>
    </row>
    <row r="6267" spans="1:51" hidden="1">
      <c r="A6267">
        <v>104039</v>
      </c>
      <c r="B6267" t="s">
        <v>1174</v>
      </c>
      <c r="C6267" t="str">
        <f t="shared" si="528"/>
        <v>07297190154</v>
      </c>
      <c r="D6267" t="str">
        <f t="shared" si="528"/>
        <v>07297190154</v>
      </c>
      <c r="E6267" t="s">
        <v>52</v>
      </c>
      <c r="F6267">
        <v>2014</v>
      </c>
      <c r="G6267">
        <v>14111343</v>
      </c>
      <c r="H6267" s="1">
        <v>41961</v>
      </c>
      <c r="I6267" s="1">
        <v>41964</v>
      </c>
      <c r="J6267" s="1">
        <v>41964</v>
      </c>
      <c r="K6267" s="1">
        <v>42024</v>
      </c>
      <c r="N6267" s="5"/>
      <c r="O6267" s="2">
        <v>1372.8</v>
      </c>
      <c r="P6267">
        <v>227</v>
      </c>
      <c r="Q6267" s="2">
        <v>311625.59999999998</v>
      </c>
      <c r="R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 s="1">
        <v>42382</v>
      </c>
      <c r="AC6267" t="s">
        <v>53</v>
      </c>
      <c r="AD6267" t="s">
        <v>53</v>
      </c>
      <c r="AK6267">
        <v>0</v>
      </c>
      <c r="AU6267" s="6">
        <v>42251</v>
      </c>
      <c r="AV6267" s="6">
        <v>42251</v>
      </c>
      <c r="AW6267" t="s">
        <v>54</v>
      </c>
      <c r="AX6267" t="str">
        <f t="shared" si="525"/>
        <v>FOR</v>
      </c>
      <c r="AY6267" t="s">
        <v>55</v>
      </c>
    </row>
    <row r="6268" spans="1:51" hidden="1">
      <c r="A6268">
        <v>104039</v>
      </c>
      <c r="B6268" t="s">
        <v>1174</v>
      </c>
      <c r="C6268" t="str">
        <f t="shared" si="528"/>
        <v>07297190154</v>
      </c>
      <c r="D6268" t="str">
        <f t="shared" si="528"/>
        <v>07297190154</v>
      </c>
      <c r="E6268" t="s">
        <v>52</v>
      </c>
      <c r="F6268">
        <v>2014</v>
      </c>
      <c r="G6268">
        <v>14111344</v>
      </c>
      <c r="H6268" s="1">
        <v>41961</v>
      </c>
      <c r="I6268" s="1">
        <v>41964</v>
      </c>
      <c r="J6268" s="1">
        <v>41964</v>
      </c>
      <c r="K6268" s="1">
        <v>42024</v>
      </c>
      <c r="N6268" s="5"/>
      <c r="O6268" s="2">
        <v>1508</v>
      </c>
      <c r="P6268">
        <v>227</v>
      </c>
      <c r="Q6268" s="2">
        <v>342316</v>
      </c>
      <c r="R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 s="1">
        <v>42382</v>
      </c>
      <c r="AC6268" t="s">
        <v>53</v>
      </c>
      <c r="AD6268" t="s">
        <v>53</v>
      </c>
      <c r="AK6268">
        <v>0</v>
      </c>
      <c r="AU6268" s="6">
        <v>42251</v>
      </c>
      <c r="AV6268" s="6">
        <v>42251</v>
      </c>
      <c r="AW6268" t="s">
        <v>54</v>
      </c>
      <c r="AX6268" t="str">
        <f t="shared" si="525"/>
        <v>FOR</v>
      </c>
      <c r="AY6268" t="s">
        <v>55</v>
      </c>
    </row>
    <row r="6269" spans="1:51" hidden="1">
      <c r="A6269">
        <v>104039</v>
      </c>
      <c r="B6269" t="s">
        <v>1174</v>
      </c>
      <c r="C6269" t="str">
        <f t="shared" si="528"/>
        <v>07297190154</v>
      </c>
      <c r="D6269" t="str">
        <f t="shared" si="528"/>
        <v>07297190154</v>
      </c>
      <c r="E6269" t="s">
        <v>52</v>
      </c>
      <c r="F6269">
        <v>2014</v>
      </c>
      <c r="G6269">
        <v>14112359</v>
      </c>
      <c r="H6269" s="1">
        <v>41990</v>
      </c>
      <c r="I6269" s="1">
        <v>41995</v>
      </c>
      <c r="J6269" s="1">
        <v>41995</v>
      </c>
      <c r="K6269" s="1">
        <v>42055</v>
      </c>
      <c r="N6269" s="5"/>
      <c r="O6269" s="2">
        <v>1508</v>
      </c>
      <c r="P6269">
        <v>196</v>
      </c>
      <c r="Q6269" s="2">
        <v>295568</v>
      </c>
      <c r="R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 s="1">
        <v>42382</v>
      </c>
      <c r="AC6269" t="s">
        <v>53</v>
      </c>
      <c r="AD6269" t="s">
        <v>53</v>
      </c>
      <c r="AK6269">
        <v>0</v>
      </c>
      <c r="AU6269" s="6">
        <v>42251</v>
      </c>
      <c r="AV6269" s="6">
        <v>42251</v>
      </c>
      <c r="AW6269" t="s">
        <v>54</v>
      </c>
      <c r="AX6269" t="str">
        <f t="shared" si="525"/>
        <v>FOR</v>
      </c>
      <c r="AY6269" t="s">
        <v>55</v>
      </c>
    </row>
    <row r="6270" spans="1:51" hidden="1">
      <c r="A6270">
        <v>104039</v>
      </c>
      <c r="B6270" t="s">
        <v>1174</v>
      </c>
      <c r="C6270" t="str">
        <f t="shared" si="528"/>
        <v>07297190154</v>
      </c>
      <c r="D6270" t="str">
        <f t="shared" si="528"/>
        <v>07297190154</v>
      </c>
      <c r="E6270" t="s">
        <v>52</v>
      </c>
      <c r="F6270">
        <v>2014</v>
      </c>
      <c r="G6270">
        <v>14112360</v>
      </c>
      <c r="H6270" s="1">
        <v>41990</v>
      </c>
      <c r="I6270" s="1">
        <v>41995</v>
      </c>
      <c r="J6270" s="1">
        <v>41995</v>
      </c>
      <c r="K6270" s="1">
        <v>42055</v>
      </c>
      <c r="N6270" s="5"/>
      <c r="O6270" s="2">
        <v>1372.8</v>
      </c>
      <c r="P6270">
        <v>196</v>
      </c>
      <c r="Q6270" s="2">
        <v>269068.79999999999</v>
      </c>
      <c r="R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 s="1">
        <v>42382</v>
      </c>
      <c r="AC6270" t="s">
        <v>53</v>
      </c>
      <c r="AD6270" t="s">
        <v>53</v>
      </c>
      <c r="AK6270">
        <v>0</v>
      </c>
      <c r="AU6270" s="6">
        <v>42251</v>
      </c>
      <c r="AV6270" s="6">
        <v>42251</v>
      </c>
      <c r="AW6270" t="s">
        <v>54</v>
      </c>
      <c r="AX6270" t="str">
        <f t="shared" si="525"/>
        <v>FOR</v>
      </c>
      <c r="AY6270" t="s">
        <v>55</v>
      </c>
    </row>
    <row r="6271" spans="1:51" hidden="1">
      <c r="A6271">
        <v>104039</v>
      </c>
      <c r="B6271" t="s">
        <v>1174</v>
      </c>
      <c r="C6271" t="str">
        <f t="shared" si="528"/>
        <v>07297190154</v>
      </c>
      <c r="D6271" t="str">
        <f t="shared" si="528"/>
        <v>07297190154</v>
      </c>
      <c r="E6271" t="s">
        <v>52</v>
      </c>
      <c r="F6271">
        <v>2014</v>
      </c>
      <c r="G6271">
        <v>14112385</v>
      </c>
      <c r="H6271" s="1">
        <v>41990</v>
      </c>
      <c r="I6271" s="1">
        <v>41995</v>
      </c>
      <c r="J6271" s="1">
        <v>41995</v>
      </c>
      <c r="K6271" s="1">
        <v>42055</v>
      </c>
      <c r="N6271" s="5"/>
      <c r="O6271" s="2">
        <v>1372.8</v>
      </c>
      <c r="P6271">
        <v>196</v>
      </c>
      <c r="Q6271" s="2">
        <v>269068.79999999999</v>
      </c>
      <c r="R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 s="1">
        <v>42382</v>
      </c>
      <c r="AC6271" t="s">
        <v>53</v>
      </c>
      <c r="AD6271" t="s">
        <v>53</v>
      </c>
      <c r="AK6271">
        <v>0</v>
      </c>
      <c r="AU6271" s="6">
        <v>42251</v>
      </c>
      <c r="AV6271" s="6">
        <v>42251</v>
      </c>
      <c r="AW6271" t="s">
        <v>54</v>
      </c>
      <c r="AX6271" t="str">
        <f t="shared" si="525"/>
        <v>FOR</v>
      </c>
      <c r="AY6271" t="s">
        <v>55</v>
      </c>
    </row>
    <row r="6272" spans="1:51" hidden="1">
      <c r="A6272">
        <v>104039</v>
      </c>
      <c r="B6272" t="s">
        <v>1174</v>
      </c>
      <c r="C6272" t="str">
        <f t="shared" si="528"/>
        <v>07297190154</v>
      </c>
      <c r="D6272" t="str">
        <f t="shared" si="528"/>
        <v>07297190154</v>
      </c>
      <c r="E6272" t="s">
        <v>52</v>
      </c>
      <c r="F6272">
        <v>2014</v>
      </c>
      <c r="G6272">
        <v>14112386</v>
      </c>
      <c r="H6272" s="1">
        <v>41990</v>
      </c>
      <c r="I6272" s="1">
        <v>41995</v>
      </c>
      <c r="J6272" s="1">
        <v>41995</v>
      </c>
      <c r="K6272" s="1">
        <v>42055</v>
      </c>
      <c r="N6272" s="5"/>
      <c r="O6272" s="2">
        <v>1372.8</v>
      </c>
      <c r="P6272">
        <v>196</v>
      </c>
      <c r="Q6272" s="2">
        <v>269068.79999999999</v>
      </c>
      <c r="R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 s="1">
        <v>42382</v>
      </c>
      <c r="AC6272" t="s">
        <v>53</v>
      </c>
      <c r="AD6272" t="s">
        <v>53</v>
      </c>
      <c r="AK6272">
        <v>0</v>
      </c>
      <c r="AU6272" s="6">
        <v>42251</v>
      </c>
      <c r="AV6272" s="6">
        <v>42251</v>
      </c>
      <c r="AW6272" t="s">
        <v>54</v>
      </c>
      <c r="AX6272" t="str">
        <f t="shared" si="525"/>
        <v>FOR</v>
      </c>
      <c r="AY6272" t="s">
        <v>55</v>
      </c>
    </row>
    <row r="6273" spans="1:51" hidden="1">
      <c r="A6273">
        <v>104039</v>
      </c>
      <c r="B6273" t="s">
        <v>1174</v>
      </c>
      <c r="C6273" t="str">
        <f t="shared" si="528"/>
        <v>07297190154</v>
      </c>
      <c r="D6273" t="str">
        <f t="shared" si="528"/>
        <v>07297190154</v>
      </c>
      <c r="E6273" t="s">
        <v>52</v>
      </c>
      <c r="F6273">
        <v>2014</v>
      </c>
      <c r="G6273">
        <v>14112387</v>
      </c>
      <c r="H6273" s="1">
        <v>41990</v>
      </c>
      <c r="I6273" s="1">
        <v>42086</v>
      </c>
      <c r="J6273" s="1">
        <v>42086</v>
      </c>
      <c r="K6273" s="1">
        <v>42146</v>
      </c>
      <c r="N6273" s="5"/>
      <c r="O6273" s="2">
        <v>1508</v>
      </c>
      <c r="P6273">
        <v>131</v>
      </c>
      <c r="Q6273" s="2">
        <v>197548</v>
      </c>
      <c r="R6273">
        <v>0</v>
      </c>
      <c r="V6273">
        <v>0</v>
      </c>
      <c r="W6273">
        <v>0</v>
      </c>
      <c r="X6273">
        <v>0</v>
      </c>
      <c r="Y6273">
        <v>0</v>
      </c>
      <c r="Z6273" s="2">
        <v>1508</v>
      </c>
      <c r="AA6273">
        <v>0</v>
      </c>
      <c r="AB6273" s="1">
        <v>42382</v>
      </c>
      <c r="AC6273" t="s">
        <v>53</v>
      </c>
      <c r="AD6273" t="s">
        <v>53</v>
      </c>
      <c r="AK6273">
        <v>0</v>
      </c>
      <c r="AU6273" s="6">
        <v>42277</v>
      </c>
      <c r="AV6273" s="6">
        <v>42277</v>
      </c>
      <c r="AW6273" t="s">
        <v>54</v>
      </c>
      <c r="AX6273" t="str">
        <f t="shared" si="525"/>
        <v>FOR</v>
      </c>
      <c r="AY6273" t="s">
        <v>55</v>
      </c>
    </row>
    <row r="6274" spans="1:51" hidden="1">
      <c r="A6274">
        <v>104039</v>
      </c>
      <c r="B6274" t="s">
        <v>1174</v>
      </c>
      <c r="C6274" t="str">
        <f t="shared" si="528"/>
        <v>07297190154</v>
      </c>
      <c r="D6274" t="str">
        <f t="shared" si="528"/>
        <v>07297190154</v>
      </c>
      <c r="E6274" t="s">
        <v>52</v>
      </c>
      <c r="F6274">
        <v>2014</v>
      </c>
      <c r="G6274">
        <v>14112388</v>
      </c>
      <c r="H6274" s="1">
        <v>41990</v>
      </c>
      <c r="I6274" s="1">
        <v>42086</v>
      </c>
      <c r="J6274" s="1">
        <v>42086</v>
      </c>
      <c r="K6274" s="1">
        <v>42146</v>
      </c>
      <c r="N6274" s="5"/>
      <c r="O6274" s="2">
        <v>1508</v>
      </c>
      <c r="P6274">
        <v>131</v>
      </c>
      <c r="Q6274" s="2">
        <v>197548</v>
      </c>
      <c r="R6274">
        <v>0</v>
      </c>
      <c r="V6274">
        <v>0</v>
      </c>
      <c r="W6274">
        <v>0</v>
      </c>
      <c r="X6274">
        <v>0</v>
      </c>
      <c r="Y6274">
        <v>0</v>
      </c>
      <c r="Z6274" s="2">
        <v>1508</v>
      </c>
      <c r="AA6274">
        <v>0</v>
      </c>
      <c r="AB6274" s="1">
        <v>42382</v>
      </c>
      <c r="AC6274" t="s">
        <v>53</v>
      </c>
      <c r="AD6274" t="s">
        <v>53</v>
      </c>
      <c r="AK6274">
        <v>0</v>
      </c>
      <c r="AU6274" s="6">
        <v>42277</v>
      </c>
      <c r="AV6274" s="6">
        <v>42277</v>
      </c>
      <c r="AW6274" t="s">
        <v>54</v>
      </c>
      <c r="AX6274" t="str">
        <f t="shared" si="525"/>
        <v>FOR</v>
      </c>
      <c r="AY6274" t="s">
        <v>55</v>
      </c>
    </row>
    <row r="6275" spans="1:51" hidden="1">
      <c r="A6275">
        <v>104039</v>
      </c>
      <c r="B6275" t="s">
        <v>1174</v>
      </c>
      <c r="C6275" t="str">
        <f t="shared" si="528"/>
        <v>07297190154</v>
      </c>
      <c r="D6275" t="str">
        <f t="shared" si="528"/>
        <v>07297190154</v>
      </c>
      <c r="E6275" t="s">
        <v>52</v>
      </c>
      <c r="F6275">
        <v>2014</v>
      </c>
      <c r="G6275">
        <v>14112624</v>
      </c>
      <c r="H6275" s="1">
        <v>42002</v>
      </c>
      <c r="I6275" s="1">
        <v>42004</v>
      </c>
      <c r="J6275" s="1">
        <v>42004</v>
      </c>
      <c r="K6275" s="1">
        <v>42064</v>
      </c>
      <c r="N6275" s="5"/>
      <c r="O6275">
        <v>732</v>
      </c>
      <c r="P6275">
        <v>187</v>
      </c>
      <c r="Q6275" s="2">
        <v>136884</v>
      </c>
      <c r="R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 s="1">
        <v>42382</v>
      </c>
      <c r="AC6275" t="s">
        <v>53</v>
      </c>
      <c r="AD6275" t="s">
        <v>53</v>
      </c>
      <c r="AK6275">
        <v>0</v>
      </c>
      <c r="AU6275" s="6">
        <v>42251</v>
      </c>
      <c r="AV6275" s="6">
        <v>42251</v>
      </c>
      <c r="AW6275" t="s">
        <v>54</v>
      </c>
      <c r="AX6275" t="str">
        <f t="shared" ref="AX6275:AX6338" si="529">"FOR"</f>
        <v>FOR</v>
      </c>
      <c r="AY6275" t="s">
        <v>55</v>
      </c>
    </row>
    <row r="6276" spans="1:51" hidden="1">
      <c r="A6276">
        <v>104039</v>
      </c>
      <c r="B6276" t="s">
        <v>1174</v>
      </c>
      <c r="C6276" t="str">
        <f t="shared" ref="C6276:D6287" si="530">"07297190154"</f>
        <v>07297190154</v>
      </c>
      <c r="D6276" t="str">
        <f t="shared" si="530"/>
        <v>07297190154</v>
      </c>
      <c r="E6276" t="s">
        <v>52</v>
      </c>
      <c r="F6276">
        <v>2014</v>
      </c>
      <c r="G6276">
        <v>14112625</v>
      </c>
      <c r="H6276" s="1">
        <v>42002</v>
      </c>
      <c r="I6276" s="1">
        <v>42004</v>
      </c>
      <c r="J6276" s="1">
        <v>42004</v>
      </c>
      <c r="K6276" s="1">
        <v>42064</v>
      </c>
      <c r="N6276" s="5"/>
      <c r="O6276">
        <v>732</v>
      </c>
      <c r="P6276">
        <v>187</v>
      </c>
      <c r="Q6276" s="2">
        <v>136884</v>
      </c>
      <c r="R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 s="1">
        <v>42382</v>
      </c>
      <c r="AC6276" t="s">
        <v>53</v>
      </c>
      <c r="AD6276" t="s">
        <v>53</v>
      </c>
      <c r="AK6276">
        <v>0</v>
      </c>
      <c r="AU6276" s="6">
        <v>42251</v>
      </c>
      <c r="AV6276" s="6">
        <v>42251</v>
      </c>
      <c r="AW6276" t="s">
        <v>54</v>
      </c>
      <c r="AX6276" t="str">
        <f t="shared" si="529"/>
        <v>FOR</v>
      </c>
      <c r="AY6276" t="s">
        <v>55</v>
      </c>
    </row>
    <row r="6277" spans="1:51" hidden="1">
      <c r="A6277">
        <v>104039</v>
      </c>
      <c r="B6277" t="s">
        <v>1174</v>
      </c>
      <c r="C6277" t="str">
        <f t="shared" si="530"/>
        <v>07297190154</v>
      </c>
      <c r="D6277" t="str">
        <f t="shared" si="530"/>
        <v>07297190154</v>
      </c>
      <c r="E6277" t="s">
        <v>52</v>
      </c>
      <c r="F6277">
        <v>2014</v>
      </c>
      <c r="G6277">
        <v>14112626</v>
      </c>
      <c r="H6277" s="1">
        <v>42002</v>
      </c>
      <c r="I6277" s="1">
        <v>42004</v>
      </c>
      <c r="J6277" s="1">
        <v>42004</v>
      </c>
      <c r="K6277" s="1">
        <v>42064</v>
      </c>
      <c r="N6277" s="5"/>
      <c r="O6277">
        <v>732</v>
      </c>
      <c r="P6277">
        <v>187</v>
      </c>
      <c r="Q6277" s="2">
        <v>136884</v>
      </c>
      <c r="R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 s="1">
        <v>42382</v>
      </c>
      <c r="AC6277" t="s">
        <v>53</v>
      </c>
      <c r="AD6277" t="s">
        <v>53</v>
      </c>
      <c r="AK6277">
        <v>0</v>
      </c>
      <c r="AU6277" s="6">
        <v>42251</v>
      </c>
      <c r="AV6277" s="6">
        <v>42251</v>
      </c>
      <c r="AW6277" t="s">
        <v>54</v>
      </c>
      <c r="AX6277" t="str">
        <f t="shared" si="529"/>
        <v>FOR</v>
      </c>
      <c r="AY6277" t="s">
        <v>55</v>
      </c>
    </row>
    <row r="6278" spans="1:51" hidden="1">
      <c r="A6278">
        <v>104039</v>
      </c>
      <c r="B6278" t="s">
        <v>1174</v>
      </c>
      <c r="C6278" t="str">
        <f t="shared" si="530"/>
        <v>07297190154</v>
      </c>
      <c r="D6278" t="str">
        <f t="shared" si="530"/>
        <v>07297190154</v>
      </c>
      <c r="E6278" t="s">
        <v>52</v>
      </c>
      <c r="F6278">
        <v>2014</v>
      </c>
      <c r="G6278">
        <v>14112627</v>
      </c>
      <c r="H6278" s="1">
        <v>42002</v>
      </c>
      <c r="I6278" s="1">
        <v>42004</v>
      </c>
      <c r="J6278" s="1">
        <v>42004</v>
      </c>
      <c r="K6278" s="1">
        <v>42064</v>
      </c>
      <c r="N6278" s="5"/>
      <c r="O6278">
        <v>732</v>
      </c>
      <c r="P6278">
        <v>187</v>
      </c>
      <c r="Q6278" s="2">
        <v>136884</v>
      </c>
      <c r="R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 s="1">
        <v>42382</v>
      </c>
      <c r="AC6278" t="s">
        <v>53</v>
      </c>
      <c r="AD6278" t="s">
        <v>53</v>
      </c>
      <c r="AK6278">
        <v>0</v>
      </c>
      <c r="AU6278" s="6">
        <v>42251</v>
      </c>
      <c r="AV6278" s="6">
        <v>42251</v>
      </c>
      <c r="AW6278" t="s">
        <v>54</v>
      </c>
      <c r="AX6278" t="str">
        <f t="shared" si="529"/>
        <v>FOR</v>
      </c>
      <c r="AY6278" t="s">
        <v>55</v>
      </c>
    </row>
    <row r="6279" spans="1:51" hidden="1">
      <c r="A6279">
        <v>104039</v>
      </c>
      <c r="B6279" t="s">
        <v>1174</v>
      </c>
      <c r="C6279" t="str">
        <f t="shared" si="530"/>
        <v>07297190154</v>
      </c>
      <c r="D6279" t="str">
        <f t="shared" si="530"/>
        <v>07297190154</v>
      </c>
      <c r="E6279" t="s">
        <v>52</v>
      </c>
      <c r="F6279">
        <v>2014</v>
      </c>
      <c r="G6279">
        <v>14112647</v>
      </c>
      <c r="H6279" s="1">
        <v>42002</v>
      </c>
      <c r="I6279" s="1">
        <v>42004</v>
      </c>
      <c r="J6279" s="1">
        <v>42004</v>
      </c>
      <c r="K6279" s="1">
        <v>42064</v>
      </c>
      <c r="N6279" s="5"/>
      <c r="O6279" s="2">
        <v>3721.72</v>
      </c>
      <c r="P6279">
        <v>187</v>
      </c>
      <c r="Q6279" s="2">
        <v>695961.64</v>
      </c>
      <c r="R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 s="1">
        <v>42382</v>
      </c>
      <c r="AC6279" t="s">
        <v>53</v>
      </c>
      <c r="AD6279" t="s">
        <v>53</v>
      </c>
      <c r="AK6279">
        <v>0</v>
      </c>
      <c r="AU6279" s="6">
        <v>42251</v>
      </c>
      <c r="AV6279" s="6">
        <v>42251</v>
      </c>
      <c r="AW6279" t="s">
        <v>54</v>
      </c>
      <c r="AX6279" t="str">
        <f t="shared" si="529"/>
        <v>FOR</v>
      </c>
      <c r="AY6279" t="s">
        <v>55</v>
      </c>
    </row>
    <row r="6280" spans="1:51" hidden="1">
      <c r="A6280">
        <v>104039</v>
      </c>
      <c r="B6280" t="s">
        <v>1174</v>
      </c>
      <c r="C6280" t="str">
        <f t="shared" si="530"/>
        <v>07297190154</v>
      </c>
      <c r="D6280" t="str">
        <f t="shared" si="530"/>
        <v>07297190154</v>
      </c>
      <c r="E6280" t="s">
        <v>52</v>
      </c>
      <c r="F6280">
        <v>2014</v>
      </c>
      <c r="G6280">
        <v>14112725</v>
      </c>
      <c r="H6280" s="1">
        <v>42003</v>
      </c>
      <c r="I6280" s="1">
        <v>42004</v>
      </c>
      <c r="J6280" s="1">
        <v>42004</v>
      </c>
      <c r="K6280" s="1">
        <v>42064</v>
      </c>
      <c r="N6280" s="5"/>
      <c r="O6280" s="2">
        <v>1508</v>
      </c>
      <c r="P6280">
        <v>187</v>
      </c>
      <c r="Q6280" s="2">
        <v>281996</v>
      </c>
      <c r="R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 s="1">
        <v>42382</v>
      </c>
      <c r="AC6280" t="s">
        <v>53</v>
      </c>
      <c r="AD6280" t="s">
        <v>53</v>
      </c>
      <c r="AK6280">
        <v>0</v>
      </c>
      <c r="AU6280" s="6">
        <v>42251</v>
      </c>
      <c r="AV6280" s="6">
        <v>42251</v>
      </c>
      <c r="AW6280" t="s">
        <v>54</v>
      </c>
      <c r="AX6280" t="str">
        <f t="shared" si="529"/>
        <v>FOR</v>
      </c>
      <c r="AY6280" t="s">
        <v>55</v>
      </c>
    </row>
    <row r="6281" spans="1:51" hidden="1">
      <c r="A6281">
        <v>104039</v>
      </c>
      <c r="B6281" t="s">
        <v>1174</v>
      </c>
      <c r="C6281" t="str">
        <f t="shared" si="530"/>
        <v>07297190154</v>
      </c>
      <c r="D6281" t="str">
        <f t="shared" si="530"/>
        <v>07297190154</v>
      </c>
      <c r="E6281" t="s">
        <v>52</v>
      </c>
      <c r="F6281">
        <v>2014</v>
      </c>
      <c r="G6281">
        <v>14112726</v>
      </c>
      <c r="H6281" s="1">
        <v>42003</v>
      </c>
      <c r="I6281" s="1">
        <v>42004</v>
      </c>
      <c r="J6281" s="1">
        <v>42004</v>
      </c>
      <c r="K6281" s="1">
        <v>42064</v>
      </c>
      <c r="N6281" s="5"/>
      <c r="O6281" s="2">
        <v>1508</v>
      </c>
      <c r="P6281">
        <v>187</v>
      </c>
      <c r="Q6281" s="2">
        <v>281996</v>
      </c>
      <c r="R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 s="1">
        <v>42382</v>
      </c>
      <c r="AC6281" t="s">
        <v>53</v>
      </c>
      <c r="AD6281" t="s">
        <v>53</v>
      </c>
      <c r="AK6281">
        <v>0</v>
      </c>
      <c r="AU6281" s="6">
        <v>42251</v>
      </c>
      <c r="AV6281" s="6">
        <v>42251</v>
      </c>
      <c r="AW6281" t="s">
        <v>54</v>
      </c>
      <c r="AX6281" t="str">
        <f t="shared" si="529"/>
        <v>FOR</v>
      </c>
      <c r="AY6281" t="s">
        <v>55</v>
      </c>
    </row>
    <row r="6282" spans="1:51" hidden="1">
      <c r="A6282">
        <v>104039</v>
      </c>
      <c r="B6282" t="s">
        <v>1174</v>
      </c>
      <c r="C6282" t="str">
        <f t="shared" si="530"/>
        <v>07297190154</v>
      </c>
      <c r="D6282" t="str">
        <f t="shared" si="530"/>
        <v>07297190154</v>
      </c>
      <c r="E6282" t="s">
        <v>52</v>
      </c>
      <c r="F6282">
        <v>2014</v>
      </c>
      <c r="G6282">
        <v>14112727</v>
      </c>
      <c r="H6282" s="1">
        <v>42003</v>
      </c>
      <c r="I6282" s="1">
        <v>42004</v>
      </c>
      <c r="J6282" s="1">
        <v>42004</v>
      </c>
      <c r="K6282" s="1">
        <v>42064</v>
      </c>
      <c r="N6282" s="5"/>
      <c r="O6282" s="2">
        <v>1508</v>
      </c>
      <c r="P6282">
        <v>187</v>
      </c>
      <c r="Q6282" s="2">
        <v>281996</v>
      </c>
      <c r="R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 s="1">
        <v>42382</v>
      </c>
      <c r="AC6282" t="s">
        <v>53</v>
      </c>
      <c r="AD6282" t="s">
        <v>53</v>
      </c>
      <c r="AK6282">
        <v>0</v>
      </c>
      <c r="AU6282" s="6">
        <v>42251</v>
      </c>
      <c r="AV6282" s="6">
        <v>42251</v>
      </c>
      <c r="AW6282" t="s">
        <v>54</v>
      </c>
      <c r="AX6282" t="str">
        <f t="shared" si="529"/>
        <v>FOR</v>
      </c>
      <c r="AY6282" t="s">
        <v>55</v>
      </c>
    </row>
    <row r="6283" spans="1:51" hidden="1">
      <c r="A6283">
        <v>104039</v>
      </c>
      <c r="B6283" t="s">
        <v>1174</v>
      </c>
      <c r="C6283" t="str">
        <f t="shared" si="530"/>
        <v>07297190154</v>
      </c>
      <c r="D6283" t="str">
        <f t="shared" si="530"/>
        <v>07297190154</v>
      </c>
      <c r="E6283" t="s">
        <v>52</v>
      </c>
      <c r="F6283">
        <v>2014</v>
      </c>
      <c r="G6283">
        <v>14112729</v>
      </c>
      <c r="H6283" s="1">
        <v>42003</v>
      </c>
      <c r="I6283" s="1">
        <v>42004</v>
      </c>
      <c r="J6283" s="1">
        <v>42004</v>
      </c>
      <c r="K6283" s="1">
        <v>42064</v>
      </c>
      <c r="N6283" s="5"/>
      <c r="O6283" s="2">
        <v>1508</v>
      </c>
      <c r="P6283">
        <v>187</v>
      </c>
      <c r="Q6283" s="2">
        <v>281996</v>
      </c>
      <c r="R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 s="1">
        <v>42382</v>
      </c>
      <c r="AC6283" t="s">
        <v>53</v>
      </c>
      <c r="AD6283" t="s">
        <v>53</v>
      </c>
      <c r="AK6283">
        <v>0</v>
      </c>
      <c r="AU6283" s="6">
        <v>42251</v>
      </c>
      <c r="AV6283" s="6">
        <v>42251</v>
      </c>
      <c r="AW6283" t="s">
        <v>54</v>
      </c>
      <c r="AX6283" t="str">
        <f t="shared" si="529"/>
        <v>FOR</v>
      </c>
      <c r="AY6283" t="s">
        <v>55</v>
      </c>
    </row>
    <row r="6284" spans="1:51" hidden="1">
      <c r="A6284">
        <v>104039</v>
      </c>
      <c r="B6284" t="s">
        <v>1174</v>
      </c>
      <c r="C6284" t="str">
        <f t="shared" si="530"/>
        <v>07297190154</v>
      </c>
      <c r="D6284" t="str">
        <f t="shared" si="530"/>
        <v>07297190154</v>
      </c>
      <c r="E6284" t="s">
        <v>52</v>
      </c>
      <c r="F6284">
        <v>2014</v>
      </c>
      <c r="G6284">
        <v>14112730</v>
      </c>
      <c r="H6284" s="1">
        <v>42003</v>
      </c>
      <c r="I6284" s="1">
        <v>42004</v>
      </c>
      <c r="J6284" s="1">
        <v>42004</v>
      </c>
      <c r="K6284" s="1">
        <v>42064</v>
      </c>
      <c r="N6284" s="5"/>
      <c r="O6284" s="2">
        <v>1508</v>
      </c>
      <c r="P6284">
        <v>187</v>
      </c>
      <c r="Q6284" s="2">
        <v>281996</v>
      </c>
      <c r="R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 s="1">
        <v>42382</v>
      </c>
      <c r="AC6284" t="s">
        <v>53</v>
      </c>
      <c r="AD6284" t="s">
        <v>53</v>
      </c>
      <c r="AK6284">
        <v>0</v>
      </c>
      <c r="AU6284" s="6">
        <v>42251</v>
      </c>
      <c r="AV6284" s="6">
        <v>42251</v>
      </c>
      <c r="AW6284" t="s">
        <v>54</v>
      </c>
      <c r="AX6284" t="str">
        <f t="shared" si="529"/>
        <v>FOR</v>
      </c>
      <c r="AY6284" t="s">
        <v>55</v>
      </c>
    </row>
    <row r="6285" spans="1:51" hidden="1">
      <c r="A6285">
        <v>104039</v>
      </c>
      <c r="B6285" t="s">
        <v>1174</v>
      </c>
      <c r="C6285" t="str">
        <f t="shared" si="530"/>
        <v>07297190154</v>
      </c>
      <c r="D6285" t="str">
        <f t="shared" si="530"/>
        <v>07297190154</v>
      </c>
      <c r="E6285" t="s">
        <v>52</v>
      </c>
      <c r="F6285">
        <v>2014</v>
      </c>
      <c r="G6285">
        <v>14112742</v>
      </c>
      <c r="H6285" s="1">
        <v>42003</v>
      </c>
      <c r="I6285" s="1">
        <v>42004</v>
      </c>
      <c r="J6285" s="1">
        <v>42004</v>
      </c>
      <c r="K6285" s="1">
        <v>42064</v>
      </c>
      <c r="N6285" s="5"/>
      <c r="O6285" s="2">
        <v>1508</v>
      </c>
      <c r="P6285">
        <v>187</v>
      </c>
      <c r="Q6285" s="2">
        <v>281996</v>
      </c>
      <c r="R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 s="1">
        <v>42382</v>
      </c>
      <c r="AC6285" t="s">
        <v>53</v>
      </c>
      <c r="AD6285" t="s">
        <v>53</v>
      </c>
      <c r="AK6285">
        <v>0</v>
      </c>
      <c r="AU6285" s="6">
        <v>42251</v>
      </c>
      <c r="AV6285" s="6">
        <v>42251</v>
      </c>
      <c r="AW6285" t="s">
        <v>54</v>
      </c>
      <c r="AX6285" t="str">
        <f t="shared" si="529"/>
        <v>FOR</v>
      </c>
      <c r="AY6285" t="s">
        <v>55</v>
      </c>
    </row>
    <row r="6286" spans="1:51" hidden="1">
      <c r="A6286">
        <v>104039</v>
      </c>
      <c r="B6286" t="s">
        <v>1174</v>
      </c>
      <c r="C6286" t="str">
        <f t="shared" si="530"/>
        <v>07297190154</v>
      </c>
      <c r="D6286" t="str">
        <f t="shared" si="530"/>
        <v>07297190154</v>
      </c>
      <c r="E6286" t="s">
        <v>52</v>
      </c>
      <c r="F6286">
        <v>2014</v>
      </c>
      <c r="G6286">
        <v>14112743</v>
      </c>
      <c r="H6286" s="1">
        <v>42003</v>
      </c>
      <c r="I6286" s="1">
        <v>42004</v>
      </c>
      <c r="J6286" s="1">
        <v>42004</v>
      </c>
      <c r="K6286" s="1">
        <v>42064</v>
      </c>
      <c r="N6286" s="5"/>
      <c r="O6286" s="2">
        <v>1508</v>
      </c>
      <c r="P6286">
        <v>187</v>
      </c>
      <c r="Q6286" s="2">
        <v>281996</v>
      </c>
      <c r="R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 s="1">
        <v>42382</v>
      </c>
      <c r="AC6286" t="s">
        <v>53</v>
      </c>
      <c r="AD6286" t="s">
        <v>53</v>
      </c>
      <c r="AK6286">
        <v>0</v>
      </c>
      <c r="AU6286" s="6">
        <v>42251</v>
      </c>
      <c r="AV6286" s="6">
        <v>42251</v>
      </c>
      <c r="AW6286" t="s">
        <v>54</v>
      </c>
      <c r="AX6286" t="str">
        <f t="shared" si="529"/>
        <v>FOR</v>
      </c>
      <c r="AY6286" t="s">
        <v>55</v>
      </c>
    </row>
    <row r="6287" spans="1:51" hidden="1">
      <c r="A6287">
        <v>104039</v>
      </c>
      <c r="B6287" t="s">
        <v>1174</v>
      </c>
      <c r="C6287" t="str">
        <f t="shared" si="530"/>
        <v>07297190154</v>
      </c>
      <c r="D6287" t="str">
        <f t="shared" si="530"/>
        <v>07297190154</v>
      </c>
      <c r="E6287" t="s">
        <v>52</v>
      </c>
      <c r="F6287">
        <v>2014</v>
      </c>
      <c r="G6287">
        <v>14112882</v>
      </c>
      <c r="H6287" s="1">
        <v>42003</v>
      </c>
      <c r="I6287" s="1">
        <v>42004</v>
      </c>
      <c r="J6287" s="1">
        <v>42004</v>
      </c>
      <c r="K6287" s="1">
        <v>42064</v>
      </c>
      <c r="N6287" s="5"/>
      <c r="O6287">
        <v>732</v>
      </c>
      <c r="P6287">
        <v>187</v>
      </c>
      <c r="Q6287" s="2">
        <v>136884</v>
      </c>
      <c r="R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 s="1">
        <v>42382</v>
      </c>
      <c r="AC6287" t="s">
        <v>53</v>
      </c>
      <c r="AD6287" t="s">
        <v>53</v>
      </c>
      <c r="AK6287">
        <v>0</v>
      </c>
      <c r="AU6287" s="6">
        <v>42251</v>
      </c>
      <c r="AV6287" s="6">
        <v>42251</v>
      </c>
      <c r="AW6287" t="s">
        <v>54</v>
      </c>
      <c r="AX6287" t="str">
        <f t="shared" si="529"/>
        <v>FOR</v>
      </c>
      <c r="AY6287" t="s">
        <v>55</v>
      </c>
    </row>
    <row r="6288" spans="1:51" hidden="1">
      <c r="A6288">
        <v>104042</v>
      </c>
      <c r="B6288" t="s">
        <v>1175</v>
      </c>
      <c r="C6288" t="str">
        <f t="shared" ref="C6288:D6303" si="531">"01187720626"</f>
        <v>01187720626</v>
      </c>
      <c r="D6288" t="str">
        <f t="shared" si="531"/>
        <v>01187720626</v>
      </c>
      <c r="E6288" t="s">
        <v>52</v>
      </c>
      <c r="F6288">
        <v>2014</v>
      </c>
      <c r="G6288" t="s">
        <v>1176</v>
      </c>
      <c r="H6288" s="1">
        <v>41790</v>
      </c>
      <c r="I6288" s="1">
        <v>41807</v>
      </c>
      <c r="J6288" s="1">
        <v>41807</v>
      </c>
      <c r="K6288" s="1">
        <v>41897</v>
      </c>
      <c r="N6288" s="5"/>
      <c r="O6288">
        <v>488</v>
      </c>
      <c r="P6288">
        <v>143</v>
      </c>
      <c r="Q6288" s="2">
        <v>69784</v>
      </c>
      <c r="R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 s="1">
        <v>42382</v>
      </c>
      <c r="AC6288" t="s">
        <v>53</v>
      </c>
      <c r="AD6288" t="s">
        <v>53</v>
      </c>
      <c r="AK6288">
        <v>0</v>
      </c>
      <c r="AU6288" s="6">
        <v>42040</v>
      </c>
      <c r="AV6288" s="6">
        <v>42040</v>
      </c>
      <c r="AW6288" t="s">
        <v>54</v>
      </c>
      <c r="AX6288" t="str">
        <f t="shared" si="529"/>
        <v>FOR</v>
      </c>
      <c r="AY6288" t="s">
        <v>55</v>
      </c>
    </row>
    <row r="6289" spans="1:51" hidden="1">
      <c r="A6289">
        <v>104042</v>
      </c>
      <c r="B6289" t="s">
        <v>1175</v>
      </c>
      <c r="C6289" t="str">
        <f t="shared" si="531"/>
        <v>01187720626</v>
      </c>
      <c r="D6289" t="str">
        <f t="shared" si="531"/>
        <v>01187720626</v>
      </c>
      <c r="E6289" t="s">
        <v>52</v>
      </c>
      <c r="F6289">
        <v>2014</v>
      </c>
      <c r="G6289" t="s">
        <v>1177</v>
      </c>
      <c r="H6289" s="1">
        <v>41882</v>
      </c>
      <c r="I6289" s="1">
        <v>41908</v>
      </c>
      <c r="J6289" s="1">
        <v>41908</v>
      </c>
      <c r="K6289" s="1">
        <v>41998</v>
      </c>
      <c r="N6289" s="5"/>
      <c r="O6289">
        <v>89.06</v>
      </c>
      <c r="P6289">
        <v>42</v>
      </c>
      <c r="Q6289" s="2">
        <v>3740.52</v>
      </c>
      <c r="R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 s="1">
        <v>42382</v>
      </c>
      <c r="AC6289" t="s">
        <v>53</v>
      </c>
      <c r="AD6289" t="s">
        <v>53</v>
      </c>
      <c r="AK6289">
        <v>0</v>
      </c>
      <c r="AU6289" s="6">
        <v>42040</v>
      </c>
      <c r="AV6289" s="6">
        <v>42040</v>
      </c>
      <c r="AW6289" t="s">
        <v>54</v>
      </c>
      <c r="AX6289" t="str">
        <f t="shared" si="529"/>
        <v>FOR</v>
      </c>
      <c r="AY6289" t="s">
        <v>55</v>
      </c>
    </row>
    <row r="6290" spans="1:51" hidden="1">
      <c r="A6290">
        <v>104042</v>
      </c>
      <c r="B6290" t="s">
        <v>1175</v>
      </c>
      <c r="C6290" t="str">
        <f t="shared" si="531"/>
        <v>01187720626</v>
      </c>
      <c r="D6290" t="str">
        <f t="shared" si="531"/>
        <v>01187720626</v>
      </c>
      <c r="E6290" t="s">
        <v>52</v>
      </c>
      <c r="F6290">
        <v>2014</v>
      </c>
      <c r="G6290" t="s">
        <v>1178</v>
      </c>
      <c r="H6290" s="1">
        <v>41882</v>
      </c>
      <c r="I6290" s="1">
        <v>41908</v>
      </c>
      <c r="J6290" s="1">
        <v>41908</v>
      </c>
      <c r="K6290" s="1">
        <v>41998</v>
      </c>
      <c r="N6290" s="5"/>
      <c r="O6290">
        <v>178.12</v>
      </c>
      <c r="P6290">
        <v>42</v>
      </c>
      <c r="Q6290" s="2">
        <v>7481.04</v>
      </c>
      <c r="R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 s="1">
        <v>42382</v>
      </c>
      <c r="AC6290" t="s">
        <v>53</v>
      </c>
      <c r="AD6290" t="s">
        <v>53</v>
      </c>
      <c r="AK6290">
        <v>0</v>
      </c>
      <c r="AU6290" s="6">
        <v>42040</v>
      </c>
      <c r="AV6290" s="6">
        <v>42040</v>
      </c>
      <c r="AW6290" t="s">
        <v>54</v>
      </c>
      <c r="AX6290" t="str">
        <f t="shared" si="529"/>
        <v>FOR</v>
      </c>
      <c r="AY6290" t="s">
        <v>55</v>
      </c>
    </row>
    <row r="6291" spans="1:51" hidden="1">
      <c r="A6291">
        <v>104042</v>
      </c>
      <c r="B6291" t="s">
        <v>1175</v>
      </c>
      <c r="C6291" t="str">
        <f t="shared" si="531"/>
        <v>01187720626</v>
      </c>
      <c r="D6291" t="str">
        <f t="shared" si="531"/>
        <v>01187720626</v>
      </c>
      <c r="E6291" t="s">
        <v>52</v>
      </c>
      <c r="F6291">
        <v>2014</v>
      </c>
      <c r="G6291" t="s">
        <v>1179</v>
      </c>
      <c r="H6291" s="1">
        <v>41912</v>
      </c>
      <c r="I6291" s="1">
        <v>41922</v>
      </c>
      <c r="J6291" s="1">
        <v>41922</v>
      </c>
      <c r="K6291" s="1">
        <v>42012</v>
      </c>
      <c r="N6291" s="5"/>
      <c r="O6291">
        <v>274.5</v>
      </c>
      <c r="P6291">
        <v>28</v>
      </c>
      <c r="Q6291" s="2">
        <v>7686</v>
      </c>
      <c r="R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 s="1">
        <v>42382</v>
      </c>
      <c r="AC6291" t="s">
        <v>53</v>
      </c>
      <c r="AD6291" t="s">
        <v>53</v>
      </c>
      <c r="AK6291">
        <v>0</v>
      </c>
      <c r="AU6291" s="6">
        <v>42040</v>
      </c>
      <c r="AV6291" s="6">
        <v>42040</v>
      </c>
      <c r="AW6291" t="s">
        <v>54</v>
      </c>
      <c r="AX6291" t="str">
        <f t="shared" si="529"/>
        <v>FOR</v>
      </c>
      <c r="AY6291" t="s">
        <v>55</v>
      </c>
    </row>
    <row r="6292" spans="1:51" hidden="1">
      <c r="A6292">
        <v>104042</v>
      </c>
      <c r="B6292" t="s">
        <v>1175</v>
      </c>
      <c r="C6292" t="str">
        <f t="shared" si="531"/>
        <v>01187720626</v>
      </c>
      <c r="D6292" t="str">
        <f t="shared" si="531"/>
        <v>01187720626</v>
      </c>
      <c r="E6292" t="s">
        <v>52</v>
      </c>
      <c r="F6292">
        <v>2014</v>
      </c>
      <c r="G6292" t="s">
        <v>1180</v>
      </c>
      <c r="H6292" s="1">
        <v>41912</v>
      </c>
      <c r="I6292" s="1">
        <v>41922</v>
      </c>
      <c r="J6292" s="1">
        <v>41922</v>
      </c>
      <c r="K6292" s="1">
        <v>42012</v>
      </c>
      <c r="N6292" s="5"/>
      <c r="O6292">
        <v>103.7</v>
      </c>
      <c r="P6292">
        <v>28</v>
      </c>
      <c r="Q6292" s="2">
        <v>2903.6</v>
      </c>
      <c r="R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 s="1">
        <v>42382</v>
      </c>
      <c r="AC6292" t="s">
        <v>53</v>
      </c>
      <c r="AD6292" t="s">
        <v>53</v>
      </c>
      <c r="AK6292">
        <v>0</v>
      </c>
      <c r="AU6292" s="6">
        <v>42040</v>
      </c>
      <c r="AV6292" s="6">
        <v>42040</v>
      </c>
      <c r="AW6292" t="s">
        <v>54</v>
      </c>
      <c r="AX6292" t="str">
        <f t="shared" si="529"/>
        <v>FOR</v>
      </c>
      <c r="AY6292" t="s">
        <v>55</v>
      </c>
    </row>
    <row r="6293" spans="1:51" hidden="1">
      <c r="A6293">
        <v>104042</v>
      </c>
      <c r="B6293" t="s">
        <v>1175</v>
      </c>
      <c r="C6293" t="str">
        <f t="shared" si="531"/>
        <v>01187720626</v>
      </c>
      <c r="D6293" t="str">
        <f t="shared" si="531"/>
        <v>01187720626</v>
      </c>
      <c r="E6293" t="s">
        <v>52</v>
      </c>
      <c r="F6293">
        <v>2014</v>
      </c>
      <c r="G6293" t="s">
        <v>1181</v>
      </c>
      <c r="H6293" s="1">
        <v>41912</v>
      </c>
      <c r="I6293" s="1">
        <v>41922</v>
      </c>
      <c r="J6293" s="1">
        <v>41922</v>
      </c>
      <c r="K6293" s="1">
        <v>42012</v>
      </c>
      <c r="N6293" s="5"/>
      <c r="O6293">
        <v>54.9</v>
      </c>
      <c r="P6293">
        <v>28</v>
      </c>
      <c r="Q6293" s="2">
        <v>1537.2</v>
      </c>
      <c r="R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 s="1">
        <v>42382</v>
      </c>
      <c r="AC6293" t="s">
        <v>53</v>
      </c>
      <c r="AD6293" t="s">
        <v>53</v>
      </c>
      <c r="AK6293">
        <v>0</v>
      </c>
      <c r="AU6293" s="6">
        <v>42040</v>
      </c>
      <c r="AV6293" s="6">
        <v>42040</v>
      </c>
      <c r="AW6293" t="s">
        <v>54</v>
      </c>
      <c r="AX6293" t="str">
        <f t="shared" si="529"/>
        <v>FOR</v>
      </c>
      <c r="AY6293" t="s">
        <v>55</v>
      </c>
    </row>
    <row r="6294" spans="1:51" hidden="1">
      <c r="A6294">
        <v>104042</v>
      </c>
      <c r="B6294" t="s">
        <v>1175</v>
      </c>
      <c r="C6294" t="str">
        <f t="shared" si="531"/>
        <v>01187720626</v>
      </c>
      <c r="D6294" t="str">
        <f t="shared" si="531"/>
        <v>01187720626</v>
      </c>
      <c r="E6294" t="s">
        <v>52</v>
      </c>
      <c r="F6294">
        <v>2014</v>
      </c>
      <c r="G6294" t="s">
        <v>1182</v>
      </c>
      <c r="H6294" s="1">
        <v>41912</v>
      </c>
      <c r="I6294" s="1">
        <v>41922</v>
      </c>
      <c r="J6294" s="1">
        <v>41922</v>
      </c>
      <c r="K6294" s="1">
        <v>42012</v>
      </c>
      <c r="N6294" s="5"/>
      <c r="O6294">
        <v>158.6</v>
      </c>
      <c r="P6294">
        <v>28</v>
      </c>
      <c r="Q6294" s="2">
        <v>4440.8</v>
      </c>
      <c r="R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 s="1">
        <v>42382</v>
      </c>
      <c r="AC6294" t="s">
        <v>53</v>
      </c>
      <c r="AD6294" t="s">
        <v>53</v>
      </c>
      <c r="AK6294">
        <v>0</v>
      </c>
      <c r="AU6294" s="6">
        <v>42040</v>
      </c>
      <c r="AV6294" s="6">
        <v>42040</v>
      </c>
      <c r="AW6294" t="s">
        <v>54</v>
      </c>
      <c r="AX6294" t="str">
        <f t="shared" si="529"/>
        <v>FOR</v>
      </c>
      <c r="AY6294" t="s">
        <v>55</v>
      </c>
    </row>
    <row r="6295" spans="1:51" hidden="1">
      <c r="A6295">
        <v>104042</v>
      </c>
      <c r="B6295" t="s">
        <v>1175</v>
      </c>
      <c r="C6295" t="str">
        <f t="shared" si="531"/>
        <v>01187720626</v>
      </c>
      <c r="D6295" t="str">
        <f t="shared" si="531"/>
        <v>01187720626</v>
      </c>
      <c r="E6295" t="s">
        <v>52</v>
      </c>
      <c r="F6295">
        <v>2014</v>
      </c>
      <c r="G6295" t="s">
        <v>375</v>
      </c>
      <c r="H6295" s="1">
        <v>41912</v>
      </c>
      <c r="I6295" s="1">
        <v>41922</v>
      </c>
      <c r="J6295" s="1">
        <v>41922</v>
      </c>
      <c r="K6295" s="1">
        <v>42012</v>
      </c>
      <c r="N6295" s="5"/>
      <c r="O6295">
        <v>244</v>
      </c>
      <c r="P6295">
        <v>28</v>
      </c>
      <c r="Q6295" s="2">
        <v>6832</v>
      </c>
      <c r="R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 s="1">
        <v>42382</v>
      </c>
      <c r="AC6295" t="s">
        <v>53</v>
      </c>
      <c r="AD6295" t="s">
        <v>53</v>
      </c>
      <c r="AK6295">
        <v>0</v>
      </c>
      <c r="AU6295" s="6">
        <v>42040</v>
      </c>
      <c r="AV6295" s="6">
        <v>42040</v>
      </c>
      <c r="AW6295" t="s">
        <v>54</v>
      </c>
      <c r="AX6295" t="str">
        <f t="shared" si="529"/>
        <v>FOR</v>
      </c>
      <c r="AY6295" t="s">
        <v>55</v>
      </c>
    </row>
    <row r="6296" spans="1:51" hidden="1">
      <c r="A6296">
        <v>104042</v>
      </c>
      <c r="B6296" t="s">
        <v>1175</v>
      </c>
      <c r="C6296" t="str">
        <f t="shared" si="531"/>
        <v>01187720626</v>
      </c>
      <c r="D6296" t="str">
        <f t="shared" si="531"/>
        <v>01187720626</v>
      </c>
      <c r="E6296" t="s">
        <v>52</v>
      </c>
      <c r="F6296">
        <v>2014</v>
      </c>
      <c r="G6296" t="s">
        <v>1183</v>
      </c>
      <c r="H6296" s="1">
        <v>41912</v>
      </c>
      <c r="I6296" s="1">
        <v>41922</v>
      </c>
      <c r="J6296" s="1">
        <v>41922</v>
      </c>
      <c r="K6296" s="1">
        <v>42012</v>
      </c>
      <c r="N6296" s="5"/>
      <c r="O6296">
        <v>168.53</v>
      </c>
      <c r="P6296">
        <v>28</v>
      </c>
      <c r="Q6296" s="2">
        <v>4718.84</v>
      </c>
      <c r="R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 s="1">
        <v>42382</v>
      </c>
      <c r="AC6296" t="s">
        <v>53</v>
      </c>
      <c r="AD6296" t="s">
        <v>53</v>
      </c>
      <c r="AK6296">
        <v>0</v>
      </c>
      <c r="AU6296" s="6">
        <v>42040</v>
      </c>
      <c r="AV6296" s="6">
        <v>42040</v>
      </c>
      <c r="AW6296" t="s">
        <v>54</v>
      </c>
      <c r="AX6296" t="str">
        <f t="shared" si="529"/>
        <v>FOR</v>
      </c>
      <c r="AY6296" t="s">
        <v>55</v>
      </c>
    </row>
    <row r="6297" spans="1:51" hidden="1">
      <c r="A6297">
        <v>104042</v>
      </c>
      <c r="B6297" t="s">
        <v>1175</v>
      </c>
      <c r="C6297" t="str">
        <f t="shared" si="531"/>
        <v>01187720626</v>
      </c>
      <c r="D6297" t="str">
        <f t="shared" si="531"/>
        <v>01187720626</v>
      </c>
      <c r="E6297" t="s">
        <v>52</v>
      </c>
      <c r="F6297">
        <v>2014</v>
      </c>
      <c r="G6297" t="s">
        <v>1184</v>
      </c>
      <c r="H6297" s="1">
        <v>41912</v>
      </c>
      <c r="I6297" s="1">
        <v>41922</v>
      </c>
      <c r="J6297" s="1">
        <v>41922</v>
      </c>
      <c r="K6297" s="1">
        <v>42012</v>
      </c>
      <c r="N6297" s="5"/>
      <c r="O6297">
        <v>274.5</v>
      </c>
      <c r="P6297">
        <v>28</v>
      </c>
      <c r="Q6297" s="2">
        <v>7686</v>
      </c>
      <c r="R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 s="1">
        <v>42382</v>
      </c>
      <c r="AC6297" t="s">
        <v>53</v>
      </c>
      <c r="AD6297" t="s">
        <v>53</v>
      </c>
      <c r="AK6297">
        <v>0</v>
      </c>
      <c r="AU6297" s="6">
        <v>42040</v>
      </c>
      <c r="AV6297" s="6">
        <v>42040</v>
      </c>
      <c r="AW6297" t="s">
        <v>54</v>
      </c>
      <c r="AX6297" t="str">
        <f t="shared" si="529"/>
        <v>FOR</v>
      </c>
      <c r="AY6297" t="s">
        <v>55</v>
      </c>
    </row>
    <row r="6298" spans="1:51" hidden="1">
      <c r="A6298">
        <v>104042</v>
      </c>
      <c r="B6298" t="s">
        <v>1175</v>
      </c>
      <c r="C6298" t="str">
        <f t="shared" si="531"/>
        <v>01187720626</v>
      </c>
      <c r="D6298" t="str">
        <f t="shared" si="531"/>
        <v>01187720626</v>
      </c>
      <c r="E6298" t="s">
        <v>52</v>
      </c>
      <c r="F6298">
        <v>2014</v>
      </c>
      <c r="G6298" t="s">
        <v>1185</v>
      </c>
      <c r="H6298" s="1">
        <v>41912</v>
      </c>
      <c r="I6298" s="1">
        <v>41922</v>
      </c>
      <c r="J6298" s="1">
        <v>41922</v>
      </c>
      <c r="K6298" s="1">
        <v>42012</v>
      </c>
      <c r="N6298" s="5"/>
      <c r="O6298">
        <v>695.4</v>
      </c>
      <c r="P6298">
        <v>28</v>
      </c>
      <c r="Q6298" s="2">
        <v>19471.2</v>
      </c>
      <c r="R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 s="1">
        <v>42382</v>
      </c>
      <c r="AC6298" t="s">
        <v>53</v>
      </c>
      <c r="AD6298" t="s">
        <v>53</v>
      </c>
      <c r="AK6298">
        <v>0</v>
      </c>
      <c r="AU6298" s="6">
        <v>42040</v>
      </c>
      <c r="AV6298" s="6">
        <v>42040</v>
      </c>
      <c r="AW6298" t="s">
        <v>54</v>
      </c>
      <c r="AX6298" t="str">
        <f t="shared" si="529"/>
        <v>FOR</v>
      </c>
      <c r="AY6298" t="s">
        <v>55</v>
      </c>
    </row>
    <row r="6299" spans="1:51" hidden="1">
      <c r="A6299">
        <v>104042</v>
      </c>
      <c r="B6299" t="s">
        <v>1175</v>
      </c>
      <c r="C6299" t="str">
        <f t="shared" si="531"/>
        <v>01187720626</v>
      </c>
      <c r="D6299" t="str">
        <f t="shared" si="531"/>
        <v>01187720626</v>
      </c>
      <c r="E6299" t="s">
        <v>52</v>
      </c>
      <c r="F6299">
        <v>2014</v>
      </c>
      <c r="G6299" t="s">
        <v>1186</v>
      </c>
      <c r="H6299" s="1">
        <v>41912</v>
      </c>
      <c r="I6299" s="1">
        <v>41922</v>
      </c>
      <c r="J6299" s="1">
        <v>41922</v>
      </c>
      <c r="K6299" s="1">
        <v>42012</v>
      </c>
      <c r="N6299" s="5"/>
      <c r="O6299">
        <v>536.79999999999995</v>
      </c>
      <c r="P6299">
        <v>28</v>
      </c>
      <c r="Q6299" s="2">
        <v>15030.4</v>
      </c>
      <c r="R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 s="1">
        <v>42382</v>
      </c>
      <c r="AC6299" t="s">
        <v>53</v>
      </c>
      <c r="AD6299" t="s">
        <v>53</v>
      </c>
      <c r="AK6299">
        <v>0</v>
      </c>
      <c r="AU6299" s="6">
        <v>42040</v>
      </c>
      <c r="AV6299" s="6">
        <v>42040</v>
      </c>
      <c r="AW6299" t="s">
        <v>54</v>
      </c>
      <c r="AX6299" t="str">
        <f t="shared" si="529"/>
        <v>FOR</v>
      </c>
      <c r="AY6299" t="s">
        <v>55</v>
      </c>
    </row>
    <row r="6300" spans="1:51" hidden="1">
      <c r="A6300">
        <v>104042</v>
      </c>
      <c r="B6300" t="s">
        <v>1175</v>
      </c>
      <c r="C6300" t="str">
        <f t="shared" si="531"/>
        <v>01187720626</v>
      </c>
      <c r="D6300" t="str">
        <f t="shared" si="531"/>
        <v>01187720626</v>
      </c>
      <c r="E6300" t="s">
        <v>52</v>
      </c>
      <c r="F6300">
        <v>2014</v>
      </c>
      <c r="G6300" t="s">
        <v>1187</v>
      </c>
      <c r="H6300" s="1">
        <v>41943</v>
      </c>
      <c r="I6300" s="1">
        <v>41957</v>
      </c>
      <c r="J6300" s="1">
        <v>41957</v>
      </c>
      <c r="K6300" s="1">
        <v>42017</v>
      </c>
      <c r="N6300" s="5"/>
      <c r="O6300">
        <v>161.04</v>
      </c>
      <c r="P6300">
        <v>23</v>
      </c>
      <c r="Q6300" s="2">
        <v>3703.92</v>
      </c>
      <c r="R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 s="1">
        <v>42382</v>
      </c>
      <c r="AC6300" t="s">
        <v>53</v>
      </c>
      <c r="AD6300" t="s">
        <v>53</v>
      </c>
      <c r="AK6300">
        <v>0</v>
      </c>
      <c r="AU6300" s="6">
        <v>42040</v>
      </c>
      <c r="AV6300" s="6">
        <v>42040</v>
      </c>
      <c r="AW6300" t="s">
        <v>54</v>
      </c>
      <c r="AX6300" t="str">
        <f t="shared" si="529"/>
        <v>FOR</v>
      </c>
      <c r="AY6300" t="s">
        <v>55</v>
      </c>
    </row>
    <row r="6301" spans="1:51" hidden="1">
      <c r="A6301">
        <v>104042</v>
      </c>
      <c r="B6301" t="s">
        <v>1175</v>
      </c>
      <c r="C6301" t="str">
        <f t="shared" si="531"/>
        <v>01187720626</v>
      </c>
      <c r="D6301" t="str">
        <f t="shared" si="531"/>
        <v>01187720626</v>
      </c>
      <c r="E6301" t="s">
        <v>52</v>
      </c>
      <c r="F6301">
        <v>2014</v>
      </c>
      <c r="G6301" t="s">
        <v>1188</v>
      </c>
      <c r="H6301" s="1">
        <v>41943</v>
      </c>
      <c r="I6301" s="1">
        <v>41957</v>
      </c>
      <c r="J6301" s="1">
        <v>41957</v>
      </c>
      <c r="K6301" s="1">
        <v>42017</v>
      </c>
      <c r="N6301" s="5"/>
      <c r="O6301">
        <v>195.2</v>
      </c>
      <c r="P6301">
        <v>23</v>
      </c>
      <c r="Q6301" s="2">
        <v>4489.6000000000004</v>
      </c>
      <c r="R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 s="1">
        <v>42382</v>
      </c>
      <c r="AC6301" t="s">
        <v>53</v>
      </c>
      <c r="AD6301" t="s">
        <v>53</v>
      </c>
      <c r="AK6301">
        <v>0</v>
      </c>
      <c r="AU6301" s="6">
        <v>42040</v>
      </c>
      <c r="AV6301" s="6">
        <v>42040</v>
      </c>
      <c r="AW6301" t="s">
        <v>54</v>
      </c>
      <c r="AX6301" t="str">
        <f t="shared" si="529"/>
        <v>FOR</v>
      </c>
      <c r="AY6301" t="s">
        <v>55</v>
      </c>
    </row>
    <row r="6302" spans="1:51" hidden="1">
      <c r="A6302">
        <v>104042</v>
      </c>
      <c r="B6302" t="s">
        <v>1175</v>
      </c>
      <c r="C6302" t="str">
        <f t="shared" si="531"/>
        <v>01187720626</v>
      </c>
      <c r="D6302" t="str">
        <f t="shared" si="531"/>
        <v>01187720626</v>
      </c>
      <c r="E6302" t="s">
        <v>52</v>
      </c>
      <c r="F6302">
        <v>2014</v>
      </c>
      <c r="G6302" t="s">
        <v>1189</v>
      </c>
      <c r="H6302" s="1">
        <v>41943</v>
      </c>
      <c r="I6302" s="1">
        <v>41957</v>
      </c>
      <c r="J6302" s="1">
        <v>41957</v>
      </c>
      <c r="K6302" s="1">
        <v>42017</v>
      </c>
      <c r="N6302" s="5"/>
      <c r="O6302" s="2">
        <v>1159</v>
      </c>
      <c r="P6302">
        <v>23</v>
      </c>
      <c r="Q6302" s="2">
        <v>26657</v>
      </c>
      <c r="R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 s="1">
        <v>42382</v>
      </c>
      <c r="AC6302" t="s">
        <v>53</v>
      </c>
      <c r="AD6302" t="s">
        <v>53</v>
      </c>
      <c r="AK6302">
        <v>0</v>
      </c>
      <c r="AU6302" s="6">
        <v>42040</v>
      </c>
      <c r="AV6302" s="6">
        <v>42040</v>
      </c>
      <c r="AW6302" t="s">
        <v>54</v>
      </c>
      <c r="AX6302" t="str">
        <f t="shared" si="529"/>
        <v>FOR</v>
      </c>
      <c r="AY6302" t="s">
        <v>55</v>
      </c>
    </row>
    <row r="6303" spans="1:51" hidden="1">
      <c r="A6303">
        <v>104042</v>
      </c>
      <c r="B6303" t="s">
        <v>1175</v>
      </c>
      <c r="C6303" t="str">
        <f t="shared" si="531"/>
        <v>01187720626</v>
      </c>
      <c r="D6303" t="str">
        <f t="shared" si="531"/>
        <v>01187720626</v>
      </c>
      <c r="E6303" t="s">
        <v>52</v>
      </c>
      <c r="F6303">
        <v>2014</v>
      </c>
      <c r="G6303" t="s">
        <v>1190</v>
      </c>
      <c r="H6303" s="1">
        <v>41943</v>
      </c>
      <c r="I6303" s="1">
        <v>41957</v>
      </c>
      <c r="J6303" s="1">
        <v>41957</v>
      </c>
      <c r="K6303" s="1">
        <v>42017</v>
      </c>
      <c r="N6303" s="5"/>
      <c r="O6303">
        <v>549</v>
      </c>
      <c r="P6303">
        <v>23</v>
      </c>
      <c r="Q6303" s="2">
        <v>12627</v>
      </c>
      <c r="R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 s="1">
        <v>42382</v>
      </c>
      <c r="AC6303" t="s">
        <v>53</v>
      </c>
      <c r="AD6303" t="s">
        <v>53</v>
      </c>
      <c r="AK6303">
        <v>0</v>
      </c>
      <c r="AU6303" s="6">
        <v>42040</v>
      </c>
      <c r="AV6303" s="6">
        <v>42040</v>
      </c>
      <c r="AW6303" t="s">
        <v>54</v>
      </c>
      <c r="AX6303" t="str">
        <f t="shared" si="529"/>
        <v>FOR</v>
      </c>
      <c r="AY6303" t="s">
        <v>55</v>
      </c>
    </row>
    <row r="6304" spans="1:51" hidden="1">
      <c r="A6304">
        <v>104045</v>
      </c>
      <c r="B6304" t="s">
        <v>1191</v>
      </c>
      <c r="C6304" t="str">
        <f t="shared" ref="C6304:D6316" si="532">"02364520615"</f>
        <v>02364520615</v>
      </c>
      <c r="D6304" t="str">
        <f t="shared" si="532"/>
        <v>02364520615</v>
      </c>
      <c r="E6304" t="s">
        <v>52</v>
      </c>
      <c r="F6304">
        <v>2014</v>
      </c>
      <c r="G6304">
        <v>493</v>
      </c>
      <c r="H6304" s="1">
        <v>41939</v>
      </c>
      <c r="I6304" s="1">
        <v>41941</v>
      </c>
      <c r="J6304" s="1">
        <v>41941</v>
      </c>
      <c r="K6304" s="1">
        <v>42001</v>
      </c>
      <c r="N6304" s="5"/>
      <c r="O6304" s="2">
        <v>27540.89</v>
      </c>
      <c r="P6304">
        <v>61</v>
      </c>
      <c r="Q6304" s="2">
        <v>1679994.29</v>
      </c>
      <c r="R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 s="1">
        <v>42382</v>
      </c>
      <c r="AC6304" t="s">
        <v>53</v>
      </c>
      <c r="AD6304" t="s">
        <v>53</v>
      </c>
      <c r="AK6304">
        <v>0</v>
      </c>
      <c r="AU6304" s="6">
        <v>42062</v>
      </c>
      <c r="AV6304" s="6">
        <v>42062</v>
      </c>
      <c r="AW6304" t="s">
        <v>54</v>
      </c>
      <c r="AX6304" t="str">
        <f t="shared" si="529"/>
        <v>FOR</v>
      </c>
      <c r="AY6304" t="s">
        <v>55</v>
      </c>
    </row>
    <row r="6305" spans="1:51" hidden="1">
      <c r="A6305">
        <v>104045</v>
      </c>
      <c r="B6305" t="s">
        <v>1191</v>
      </c>
      <c r="C6305" t="str">
        <f t="shared" si="532"/>
        <v>02364520615</v>
      </c>
      <c r="D6305" t="str">
        <f t="shared" si="532"/>
        <v>02364520615</v>
      </c>
      <c r="E6305" t="s">
        <v>52</v>
      </c>
      <c r="F6305">
        <v>2014</v>
      </c>
      <c r="G6305">
        <v>543</v>
      </c>
      <c r="H6305" s="1">
        <v>41971</v>
      </c>
      <c r="I6305" s="1">
        <v>41971</v>
      </c>
      <c r="J6305" s="1">
        <v>41971</v>
      </c>
      <c r="K6305" s="1">
        <v>42031</v>
      </c>
      <c r="N6305" s="5"/>
      <c r="O6305" s="2">
        <v>27540.89</v>
      </c>
      <c r="P6305">
        <v>65</v>
      </c>
      <c r="Q6305" s="2">
        <v>1790157.85</v>
      </c>
      <c r="R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 s="1">
        <v>42382</v>
      </c>
      <c r="AC6305" t="s">
        <v>53</v>
      </c>
      <c r="AD6305" t="s">
        <v>53</v>
      </c>
      <c r="AK6305">
        <v>0</v>
      </c>
      <c r="AU6305" s="6">
        <v>42096</v>
      </c>
      <c r="AV6305" s="6">
        <v>42096</v>
      </c>
      <c r="AW6305" t="s">
        <v>54</v>
      </c>
      <c r="AX6305" t="str">
        <f t="shared" si="529"/>
        <v>FOR</v>
      </c>
      <c r="AY6305" t="s">
        <v>55</v>
      </c>
    </row>
    <row r="6306" spans="1:51" hidden="1">
      <c r="A6306">
        <v>104045</v>
      </c>
      <c r="B6306" t="s">
        <v>1191</v>
      </c>
      <c r="C6306" t="str">
        <f t="shared" si="532"/>
        <v>02364520615</v>
      </c>
      <c r="D6306" t="str">
        <f t="shared" si="532"/>
        <v>02364520615</v>
      </c>
      <c r="E6306" t="s">
        <v>52</v>
      </c>
      <c r="F6306">
        <v>2014</v>
      </c>
      <c r="G6306">
        <v>806</v>
      </c>
      <c r="H6306" s="1">
        <v>42002</v>
      </c>
      <c r="I6306" s="1">
        <v>42004</v>
      </c>
      <c r="J6306" s="1">
        <v>42004</v>
      </c>
      <c r="K6306" s="1">
        <v>42064</v>
      </c>
      <c r="N6306" s="5"/>
      <c r="O6306" s="2">
        <v>27540.89</v>
      </c>
      <c r="P6306">
        <v>60</v>
      </c>
      <c r="Q6306" s="2">
        <v>1652453.4</v>
      </c>
      <c r="R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 s="1">
        <v>42382</v>
      </c>
      <c r="AC6306" t="s">
        <v>53</v>
      </c>
      <c r="AD6306" t="s">
        <v>53</v>
      </c>
      <c r="AK6306">
        <v>0</v>
      </c>
      <c r="AU6306" s="6">
        <v>42124</v>
      </c>
      <c r="AV6306" s="6">
        <v>42124</v>
      </c>
      <c r="AW6306" t="s">
        <v>54</v>
      </c>
      <c r="AX6306" t="str">
        <f t="shared" si="529"/>
        <v>FOR</v>
      </c>
      <c r="AY6306" t="s">
        <v>55</v>
      </c>
    </row>
    <row r="6307" spans="1:51" hidden="1">
      <c r="A6307">
        <v>104045</v>
      </c>
      <c r="B6307" t="s">
        <v>1191</v>
      </c>
      <c r="C6307" t="str">
        <f t="shared" si="532"/>
        <v>02364520615</v>
      </c>
      <c r="D6307" t="str">
        <f t="shared" si="532"/>
        <v>02364520615</v>
      </c>
      <c r="E6307" t="s">
        <v>52</v>
      </c>
      <c r="F6307">
        <v>2014</v>
      </c>
      <c r="G6307" t="s">
        <v>1192</v>
      </c>
      <c r="H6307" s="1">
        <v>41878</v>
      </c>
      <c r="I6307" s="1">
        <v>41908</v>
      </c>
      <c r="J6307" s="1">
        <v>41908</v>
      </c>
      <c r="K6307" s="1">
        <v>41998</v>
      </c>
      <c r="N6307" s="5"/>
      <c r="O6307" s="2">
        <v>27540.89</v>
      </c>
      <c r="P6307">
        <v>36</v>
      </c>
      <c r="Q6307" s="2">
        <v>991472.04</v>
      </c>
      <c r="R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 s="1">
        <v>42382</v>
      </c>
      <c r="AC6307" t="s">
        <v>53</v>
      </c>
      <c r="AD6307" t="s">
        <v>53</v>
      </c>
      <c r="AK6307">
        <v>0</v>
      </c>
      <c r="AU6307" s="6">
        <v>42034</v>
      </c>
      <c r="AV6307" s="6">
        <v>42034</v>
      </c>
      <c r="AW6307" t="s">
        <v>54</v>
      </c>
      <c r="AX6307" t="str">
        <f t="shared" si="529"/>
        <v>FOR</v>
      </c>
      <c r="AY6307" t="s">
        <v>55</v>
      </c>
    </row>
    <row r="6308" spans="1:51" hidden="1">
      <c r="A6308">
        <v>104045</v>
      </c>
      <c r="B6308" t="s">
        <v>1191</v>
      </c>
      <c r="C6308" t="str">
        <f t="shared" si="532"/>
        <v>02364520615</v>
      </c>
      <c r="D6308" t="str">
        <f t="shared" si="532"/>
        <v>02364520615</v>
      </c>
      <c r="E6308" t="s">
        <v>52</v>
      </c>
      <c r="F6308">
        <v>2015</v>
      </c>
      <c r="G6308">
        <v>13</v>
      </c>
      <c r="H6308" s="1">
        <v>42032</v>
      </c>
      <c r="I6308" s="1">
        <v>42037</v>
      </c>
      <c r="J6308" s="1">
        <v>42037</v>
      </c>
      <c r="K6308" s="1">
        <v>42097</v>
      </c>
      <c r="N6308" s="5"/>
      <c r="O6308" s="2">
        <v>22574.5</v>
      </c>
      <c r="P6308">
        <v>62</v>
      </c>
      <c r="Q6308" s="2">
        <v>1399619</v>
      </c>
      <c r="R6308">
        <v>0</v>
      </c>
      <c r="V6308">
        <v>0</v>
      </c>
      <c r="W6308">
        <v>0</v>
      </c>
      <c r="X6308">
        <v>0</v>
      </c>
      <c r="Y6308" s="2">
        <v>27540.89</v>
      </c>
      <c r="Z6308" s="2">
        <v>27540.89</v>
      </c>
      <c r="AA6308" s="2">
        <v>27540.89</v>
      </c>
      <c r="AB6308" s="1">
        <v>42382</v>
      </c>
      <c r="AC6308" t="s">
        <v>53</v>
      </c>
      <c r="AD6308" t="s">
        <v>53</v>
      </c>
      <c r="AK6308">
        <v>0</v>
      </c>
      <c r="AU6308" s="6">
        <v>42159</v>
      </c>
      <c r="AV6308" s="6">
        <v>42159</v>
      </c>
      <c r="AW6308" t="s">
        <v>54</v>
      </c>
      <c r="AX6308" t="str">
        <f t="shared" si="529"/>
        <v>FOR</v>
      </c>
      <c r="AY6308" t="s">
        <v>55</v>
      </c>
    </row>
    <row r="6309" spans="1:51" hidden="1">
      <c r="A6309">
        <v>104045</v>
      </c>
      <c r="B6309" t="s">
        <v>1191</v>
      </c>
      <c r="C6309" t="str">
        <f t="shared" si="532"/>
        <v>02364520615</v>
      </c>
      <c r="D6309" t="str">
        <f t="shared" si="532"/>
        <v>02364520615</v>
      </c>
      <c r="E6309" t="s">
        <v>52</v>
      </c>
      <c r="F6309">
        <v>2015</v>
      </c>
      <c r="G6309">
        <v>95</v>
      </c>
      <c r="H6309" s="1">
        <v>42062</v>
      </c>
      <c r="I6309" s="1">
        <v>42067</v>
      </c>
      <c r="J6309" s="1">
        <v>42067</v>
      </c>
      <c r="K6309" s="1">
        <v>42127</v>
      </c>
      <c r="N6309" s="5"/>
      <c r="O6309" s="2">
        <v>22574.5</v>
      </c>
      <c r="P6309">
        <v>59</v>
      </c>
      <c r="Q6309" s="2">
        <v>1331895.5</v>
      </c>
      <c r="R6309">
        <v>0</v>
      </c>
      <c r="V6309">
        <v>0</v>
      </c>
      <c r="W6309">
        <v>0</v>
      </c>
      <c r="X6309">
        <v>0</v>
      </c>
      <c r="Y6309" s="2">
        <v>27540.89</v>
      </c>
      <c r="Z6309" s="2">
        <v>27540.89</v>
      </c>
      <c r="AA6309" s="2">
        <v>27540.89</v>
      </c>
      <c r="AB6309" s="1">
        <v>42382</v>
      </c>
      <c r="AC6309" t="s">
        <v>53</v>
      </c>
      <c r="AD6309" t="s">
        <v>53</v>
      </c>
      <c r="AK6309">
        <v>0</v>
      </c>
      <c r="AU6309" s="6">
        <v>42186</v>
      </c>
      <c r="AV6309" s="6">
        <v>42186</v>
      </c>
      <c r="AW6309" t="s">
        <v>54</v>
      </c>
      <c r="AX6309" t="str">
        <f t="shared" si="529"/>
        <v>FOR</v>
      </c>
      <c r="AY6309" t="s">
        <v>55</v>
      </c>
    </row>
    <row r="6310" spans="1:51" hidden="1">
      <c r="A6310">
        <v>104045</v>
      </c>
      <c r="B6310" t="s">
        <v>1191</v>
      </c>
      <c r="C6310" t="str">
        <f t="shared" si="532"/>
        <v>02364520615</v>
      </c>
      <c r="D6310" t="str">
        <f t="shared" si="532"/>
        <v>02364520615</v>
      </c>
      <c r="E6310" t="s">
        <v>52</v>
      </c>
      <c r="F6310">
        <v>2015</v>
      </c>
      <c r="G6310">
        <v>132</v>
      </c>
      <c r="H6310" s="1">
        <v>42151</v>
      </c>
      <c r="I6310" s="1">
        <v>42151</v>
      </c>
      <c r="J6310" s="1">
        <v>42151</v>
      </c>
      <c r="K6310" s="1">
        <v>42211</v>
      </c>
      <c r="N6310" s="5"/>
      <c r="O6310" s="2">
        <v>4000</v>
      </c>
      <c r="P6310">
        <v>-48</v>
      </c>
      <c r="Q6310" s="2">
        <v>-192000</v>
      </c>
      <c r="R6310">
        <v>0</v>
      </c>
      <c r="V6310">
        <v>0</v>
      </c>
      <c r="W6310">
        <v>0</v>
      </c>
      <c r="X6310">
        <v>0</v>
      </c>
      <c r="Y6310" s="2">
        <v>4000</v>
      </c>
      <c r="Z6310" s="2">
        <v>4000</v>
      </c>
      <c r="AA6310" s="2">
        <v>4000</v>
      </c>
      <c r="AB6310" s="1">
        <v>42382</v>
      </c>
      <c r="AC6310" t="s">
        <v>53</v>
      </c>
      <c r="AD6310" t="s">
        <v>53</v>
      </c>
      <c r="AK6310">
        <v>0</v>
      </c>
      <c r="AU6310" s="6">
        <v>42163</v>
      </c>
      <c r="AV6310" s="6">
        <v>42163</v>
      </c>
      <c r="AW6310" t="s">
        <v>54</v>
      </c>
      <c r="AX6310" t="str">
        <f t="shared" si="529"/>
        <v>FOR</v>
      </c>
      <c r="AY6310" t="s">
        <v>55</v>
      </c>
    </row>
    <row r="6311" spans="1:51" hidden="1">
      <c r="A6311">
        <v>104045</v>
      </c>
      <c r="B6311" t="s">
        <v>1191</v>
      </c>
      <c r="C6311" t="str">
        <f t="shared" si="532"/>
        <v>02364520615</v>
      </c>
      <c r="D6311" t="str">
        <f t="shared" si="532"/>
        <v>02364520615</v>
      </c>
      <c r="E6311" t="s">
        <v>52</v>
      </c>
      <c r="F6311">
        <v>2015</v>
      </c>
      <c r="G6311">
        <v>166</v>
      </c>
      <c r="H6311" s="1">
        <v>42090</v>
      </c>
      <c r="I6311" s="1">
        <v>42096</v>
      </c>
      <c r="J6311" s="1">
        <v>42096</v>
      </c>
      <c r="K6311" s="1">
        <v>42156</v>
      </c>
      <c r="N6311" s="5"/>
      <c r="O6311" s="2">
        <v>22574.5</v>
      </c>
      <c r="P6311">
        <v>56</v>
      </c>
      <c r="Q6311" s="2">
        <v>1264172</v>
      </c>
      <c r="R6311">
        <v>0</v>
      </c>
      <c r="V6311">
        <v>0</v>
      </c>
      <c r="W6311">
        <v>0</v>
      </c>
      <c r="X6311">
        <v>0</v>
      </c>
      <c r="Y6311" s="2">
        <v>27540.89</v>
      </c>
      <c r="Z6311" s="2">
        <v>27540.89</v>
      </c>
      <c r="AA6311" s="2">
        <v>27540.89</v>
      </c>
      <c r="AB6311" s="1">
        <v>42382</v>
      </c>
      <c r="AC6311" t="s">
        <v>53</v>
      </c>
      <c r="AD6311" t="s">
        <v>53</v>
      </c>
      <c r="AK6311">
        <v>0</v>
      </c>
      <c r="AU6311" s="6">
        <v>42212</v>
      </c>
      <c r="AV6311" s="6">
        <v>42212</v>
      </c>
      <c r="AW6311" t="s">
        <v>54</v>
      </c>
      <c r="AX6311" t="str">
        <f t="shared" si="529"/>
        <v>FOR</v>
      </c>
      <c r="AY6311" t="s">
        <v>55</v>
      </c>
    </row>
    <row r="6312" spans="1:51">
      <c r="A6312">
        <v>104045</v>
      </c>
      <c r="B6312" t="s">
        <v>1191</v>
      </c>
      <c r="C6312" t="str">
        <f t="shared" si="532"/>
        <v>02364520615</v>
      </c>
      <c r="D6312" t="str">
        <f t="shared" si="532"/>
        <v>02364520615</v>
      </c>
      <c r="E6312" t="s">
        <v>52</v>
      </c>
      <c r="F6312">
        <v>2015</v>
      </c>
      <c r="G6312" t="s">
        <v>1193</v>
      </c>
      <c r="H6312" s="1">
        <v>42212</v>
      </c>
      <c r="I6312" s="1">
        <v>42233</v>
      </c>
      <c r="J6312" s="1">
        <v>42212</v>
      </c>
      <c r="K6312" s="1">
        <v>42272</v>
      </c>
      <c r="L6312" s="7">
        <v>22574.5</v>
      </c>
      <c r="M6312" s="5">
        <v>67</v>
      </c>
      <c r="N6312" s="7">
        <v>1512491.5</v>
      </c>
      <c r="O6312" s="2">
        <v>22574.5</v>
      </c>
      <c r="P6312">
        <v>67</v>
      </c>
      <c r="Q6312" s="2">
        <v>1512491.5</v>
      </c>
      <c r="R6312" s="2">
        <v>4966.3900000000003</v>
      </c>
      <c r="V6312">
        <v>0</v>
      </c>
      <c r="W6312">
        <v>0</v>
      </c>
      <c r="X6312">
        <v>0</v>
      </c>
      <c r="Y6312" s="2">
        <v>27540.89</v>
      </c>
      <c r="Z6312" s="2">
        <v>27540.89</v>
      </c>
      <c r="AA6312" s="2">
        <v>27540.89</v>
      </c>
      <c r="AB6312" s="1">
        <v>42382</v>
      </c>
      <c r="AC6312" t="s">
        <v>53</v>
      </c>
      <c r="AD6312" t="s">
        <v>53</v>
      </c>
      <c r="AH6312" s="2">
        <v>4966.3900000000003</v>
      </c>
      <c r="AK6312">
        <v>0</v>
      </c>
      <c r="AU6312" s="6">
        <v>42339</v>
      </c>
      <c r="AV6312" s="6">
        <v>42339</v>
      </c>
      <c r="AW6312" t="s">
        <v>54</v>
      </c>
      <c r="AX6312" t="str">
        <f t="shared" si="529"/>
        <v>FOR</v>
      </c>
      <c r="AY6312" t="s">
        <v>55</v>
      </c>
    </row>
    <row r="6313" spans="1:51">
      <c r="A6313">
        <v>104045</v>
      </c>
      <c r="B6313" t="s">
        <v>1191</v>
      </c>
      <c r="C6313" t="str">
        <f t="shared" si="532"/>
        <v>02364520615</v>
      </c>
      <c r="D6313" t="str">
        <f t="shared" si="532"/>
        <v>02364520615</v>
      </c>
      <c r="E6313" t="s">
        <v>52</v>
      </c>
      <c r="F6313">
        <v>2015</v>
      </c>
      <c r="G6313" t="s">
        <v>1194</v>
      </c>
      <c r="H6313" s="1">
        <v>42243</v>
      </c>
      <c r="I6313" s="1">
        <v>42268</v>
      </c>
      <c r="J6313" s="1">
        <v>42268</v>
      </c>
      <c r="K6313" s="1">
        <v>42328</v>
      </c>
      <c r="L6313" s="7">
        <v>22574.5</v>
      </c>
      <c r="M6313" s="5">
        <v>28</v>
      </c>
      <c r="N6313" s="7">
        <v>632086</v>
      </c>
      <c r="O6313" s="2">
        <v>22574.5</v>
      </c>
      <c r="P6313">
        <v>28</v>
      </c>
      <c r="Q6313" s="2">
        <v>632086</v>
      </c>
      <c r="R6313" s="2">
        <v>4966.3900000000003</v>
      </c>
      <c r="V6313">
        <v>0</v>
      </c>
      <c r="W6313">
        <v>0</v>
      </c>
      <c r="X6313">
        <v>0</v>
      </c>
      <c r="Y6313" s="2">
        <v>27540.89</v>
      </c>
      <c r="Z6313" s="2">
        <v>27540.89</v>
      </c>
      <c r="AA6313" s="2">
        <v>27540.89</v>
      </c>
      <c r="AB6313" s="1">
        <v>42382</v>
      </c>
      <c r="AC6313" t="s">
        <v>53</v>
      </c>
      <c r="AD6313" t="s">
        <v>53</v>
      </c>
      <c r="AF6313" s="2">
        <v>4966.3900000000003</v>
      </c>
      <c r="AK6313">
        <v>0</v>
      </c>
      <c r="AU6313" s="6">
        <v>42356</v>
      </c>
      <c r="AV6313" s="6">
        <v>42356</v>
      </c>
      <c r="AW6313" t="s">
        <v>54</v>
      </c>
      <c r="AX6313" t="str">
        <f t="shared" si="529"/>
        <v>FOR</v>
      </c>
      <c r="AY6313" t="s">
        <v>55</v>
      </c>
    </row>
    <row r="6314" spans="1:51" hidden="1">
      <c r="A6314">
        <v>104045</v>
      </c>
      <c r="B6314" t="s">
        <v>1191</v>
      </c>
      <c r="C6314" t="str">
        <f t="shared" si="532"/>
        <v>02364520615</v>
      </c>
      <c r="D6314" t="str">
        <f t="shared" si="532"/>
        <v>02364520615</v>
      </c>
      <c r="E6314" t="s">
        <v>52</v>
      </c>
      <c r="F6314">
        <v>2015</v>
      </c>
      <c r="G6314" t="s">
        <v>1195</v>
      </c>
      <c r="H6314" s="1">
        <v>42121</v>
      </c>
      <c r="I6314" s="1">
        <v>42132</v>
      </c>
      <c r="J6314" s="1">
        <v>42130</v>
      </c>
      <c r="K6314" s="1">
        <v>42190</v>
      </c>
      <c r="N6314" s="5"/>
      <c r="O6314" s="2">
        <v>22574.5</v>
      </c>
      <c r="P6314">
        <v>65</v>
      </c>
      <c r="Q6314" s="2">
        <v>1467342.5</v>
      </c>
      <c r="R6314">
        <v>0</v>
      </c>
      <c r="V6314">
        <v>0</v>
      </c>
      <c r="W6314">
        <v>0</v>
      </c>
      <c r="X6314">
        <v>0</v>
      </c>
      <c r="Y6314" s="2">
        <v>27540.89</v>
      </c>
      <c r="Z6314" s="2">
        <v>27540.89</v>
      </c>
      <c r="AA6314" s="2">
        <v>27540.89</v>
      </c>
      <c r="AB6314" s="1">
        <v>42382</v>
      </c>
      <c r="AC6314" t="s">
        <v>53</v>
      </c>
      <c r="AD6314" t="s">
        <v>53</v>
      </c>
      <c r="AK6314">
        <v>0</v>
      </c>
      <c r="AU6314" s="6">
        <v>42255</v>
      </c>
      <c r="AV6314" s="6">
        <v>42255</v>
      </c>
      <c r="AW6314" t="s">
        <v>54</v>
      </c>
      <c r="AX6314" t="str">
        <f t="shared" si="529"/>
        <v>FOR</v>
      </c>
      <c r="AY6314" t="s">
        <v>55</v>
      </c>
    </row>
    <row r="6315" spans="1:51" hidden="1">
      <c r="A6315">
        <v>104045</v>
      </c>
      <c r="B6315" t="s">
        <v>1191</v>
      </c>
      <c r="C6315" t="str">
        <f t="shared" si="532"/>
        <v>02364520615</v>
      </c>
      <c r="D6315" t="str">
        <f t="shared" si="532"/>
        <v>02364520615</v>
      </c>
      <c r="E6315" t="s">
        <v>52</v>
      </c>
      <c r="F6315">
        <v>2015</v>
      </c>
      <c r="G6315" t="s">
        <v>1196</v>
      </c>
      <c r="H6315" s="1">
        <v>42151</v>
      </c>
      <c r="I6315" s="1">
        <v>42163</v>
      </c>
      <c r="J6315" s="1">
        <v>42152</v>
      </c>
      <c r="K6315" s="1">
        <v>42212</v>
      </c>
      <c r="N6315" s="5"/>
      <c r="O6315" s="2">
        <v>22574.5</v>
      </c>
      <c r="P6315">
        <v>64</v>
      </c>
      <c r="Q6315" s="2">
        <v>1444768</v>
      </c>
      <c r="R6315">
        <v>0</v>
      </c>
      <c r="V6315">
        <v>0</v>
      </c>
      <c r="W6315">
        <v>0</v>
      </c>
      <c r="X6315">
        <v>0</v>
      </c>
      <c r="Y6315" s="2">
        <v>27540.89</v>
      </c>
      <c r="Z6315" s="2">
        <v>27540.89</v>
      </c>
      <c r="AA6315" s="2">
        <v>27540.89</v>
      </c>
      <c r="AB6315" s="1">
        <v>42382</v>
      </c>
      <c r="AC6315" t="s">
        <v>53</v>
      </c>
      <c r="AD6315" t="s">
        <v>53</v>
      </c>
      <c r="AK6315">
        <v>0</v>
      </c>
      <c r="AU6315" s="6">
        <v>42276</v>
      </c>
      <c r="AV6315" s="6">
        <v>42276</v>
      </c>
      <c r="AW6315" t="s">
        <v>54</v>
      </c>
      <c r="AX6315" t="str">
        <f t="shared" si="529"/>
        <v>FOR</v>
      </c>
      <c r="AY6315" t="s">
        <v>55</v>
      </c>
    </row>
    <row r="6316" spans="1:51">
      <c r="A6316">
        <v>104045</v>
      </c>
      <c r="B6316" t="s">
        <v>1191</v>
      </c>
      <c r="C6316" t="str">
        <f t="shared" si="532"/>
        <v>02364520615</v>
      </c>
      <c r="D6316" t="str">
        <f t="shared" si="532"/>
        <v>02364520615</v>
      </c>
      <c r="E6316" t="s">
        <v>52</v>
      </c>
      <c r="F6316">
        <v>2015</v>
      </c>
      <c r="G6316" t="s">
        <v>1197</v>
      </c>
      <c r="H6316" s="1">
        <v>42184</v>
      </c>
      <c r="I6316" s="1">
        <v>42186</v>
      </c>
      <c r="J6316" s="1">
        <v>42184</v>
      </c>
      <c r="K6316" s="1">
        <v>42244</v>
      </c>
      <c r="L6316" s="7">
        <v>22574.5</v>
      </c>
      <c r="M6316" s="5">
        <v>56</v>
      </c>
      <c r="N6316" s="7">
        <v>1264172</v>
      </c>
      <c r="O6316" s="2">
        <v>22574.5</v>
      </c>
      <c r="P6316">
        <v>56</v>
      </c>
      <c r="Q6316" s="2">
        <v>1264172</v>
      </c>
      <c r="R6316">
        <v>0</v>
      </c>
      <c r="V6316">
        <v>0</v>
      </c>
      <c r="W6316">
        <v>0</v>
      </c>
      <c r="X6316">
        <v>0</v>
      </c>
      <c r="Y6316" s="2">
        <v>27540.89</v>
      </c>
      <c r="Z6316" s="2">
        <v>27540.89</v>
      </c>
      <c r="AA6316" s="2">
        <v>27540.89</v>
      </c>
      <c r="AB6316" s="1">
        <v>42382</v>
      </c>
      <c r="AC6316" t="s">
        <v>53</v>
      </c>
      <c r="AD6316" t="s">
        <v>53</v>
      </c>
      <c r="AK6316">
        <v>0</v>
      </c>
      <c r="AU6316" s="6">
        <v>42300</v>
      </c>
      <c r="AV6316" s="6">
        <v>42300</v>
      </c>
      <c r="AW6316" t="s">
        <v>54</v>
      </c>
      <c r="AX6316" t="str">
        <f t="shared" si="529"/>
        <v>FOR</v>
      </c>
      <c r="AY6316" t="s">
        <v>55</v>
      </c>
    </row>
    <row r="6317" spans="1:51" hidden="1">
      <c r="A6317">
        <v>104048</v>
      </c>
      <c r="B6317" t="s">
        <v>1198</v>
      </c>
      <c r="C6317" t="str">
        <f t="shared" ref="C6317:D6336" si="533">"00674840152"</f>
        <v>00674840152</v>
      </c>
      <c r="D6317" t="str">
        <f t="shared" si="533"/>
        <v>00674840152</v>
      </c>
      <c r="E6317" t="s">
        <v>52</v>
      </c>
      <c r="F6317">
        <v>2013</v>
      </c>
      <c r="G6317">
        <v>1528785</v>
      </c>
      <c r="H6317" s="1">
        <v>41618</v>
      </c>
      <c r="I6317" s="1">
        <v>41639</v>
      </c>
      <c r="J6317" s="1">
        <v>41639</v>
      </c>
      <c r="K6317" s="1">
        <v>41729</v>
      </c>
      <c r="N6317" s="5"/>
      <c r="O6317" s="2">
        <v>11689.94</v>
      </c>
      <c r="P6317">
        <v>289</v>
      </c>
      <c r="Q6317" s="2">
        <v>3378392.66</v>
      </c>
      <c r="R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 s="1">
        <v>42382</v>
      </c>
      <c r="AC6317" t="s">
        <v>53</v>
      </c>
      <c r="AD6317" t="s">
        <v>53</v>
      </c>
      <c r="AK6317">
        <v>0</v>
      </c>
      <c r="AU6317" s="6">
        <v>42018</v>
      </c>
      <c r="AV6317" s="6">
        <v>42018</v>
      </c>
      <c r="AW6317" t="s">
        <v>54</v>
      </c>
      <c r="AX6317" t="str">
        <f t="shared" si="529"/>
        <v>FOR</v>
      </c>
      <c r="AY6317" t="s">
        <v>55</v>
      </c>
    </row>
    <row r="6318" spans="1:51" hidden="1">
      <c r="A6318">
        <v>104048</v>
      </c>
      <c r="B6318" t="s">
        <v>1198</v>
      </c>
      <c r="C6318" t="str">
        <f t="shared" si="533"/>
        <v>00674840152</v>
      </c>
      <c r="D6318" t="str">
        <f t="shared" si="533"/>
        <v>00674840152</v>
      </c>
      <c r="E6318" t="s">
        <v>52</v>
      </c>
      <c r="F6318">
        <v>2014</v>
      </c>
      <c r="G6318">
        <v>1549731</v>
      </c>
      <c r="H6318" s="1">
        <v>41709</v>
      </c>
      <c r="I6318" s="1">
        <v>41722</v>
      </c>
      <c r="J6318" s="1">
        <v>41722</v>
      </c>
      <c r="K6318" s="1">
        <v>41812</v>
      </c>
      <c r="N6318" s="5"/>
      <c r="O6318">
        <v>151.16</v>
      </c>
      <c r="P6318">
        <v>249</v>
      </c>
      <c r="Q6318" s="2">
        <v>37638.839999999997</v>
      </c>
      <c r="R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 s="1">
        <v>42382</v>
      </c>
      <c r="AC6318" t="s">
        <v>53</v>
      </c>
      <c r="AD6318" t="s">
        <v>53</v>
      </c>
      <c r="AK6318">
        <v>0</v>
      </c>
      <c r="AU6318" s="6">
        <v>42061</v>
      </c>
      <c r="AV6318" s="6">
        <v>42061</v>
      </c>
      <c r="AW6318" t="s">
        <v>54</v>
      </c>
      <c r="AX6318" t="str">
        <f t="shared" si="529"/>
        <v>FOR</v>
      </c>
      <c r="AY6318" t="s">
        <v>55</v>
      </c>
    </row>
    <row r="6319" spans="1:51" hidden="1">
      <c r="A6319">
        <v>104048</v>
      </c>
      <c r="B6319" t="s">
        <v>1198</v>
      </c>
      <c r="C6319" t="str">
        <f t="shared" si="533"/>
        <v>00674840152</v>
      </c>
      <c r="D6319" t="str">
        <f t="shared" si="533"/>
        <v>00674840152</v>
      </c>
      <c r="E6319" t="s">
        <v>52</v>
      </c>
      <c r="F6319">
        <v>2014</v>
      </c>
      <c r="G6319">
        <v>1549732</v>
      </c>
      <c r="H6319" s="1">
        <v>41709</v>
      </c>
      <c r="I6319" s="1">
        <v>41722</v>
      </c>
      <c r="J6319" s="1">
        <v>41722</v>
      </c>
      <c r="K6319" s="1">
        <v>41812</v>
      </c>
      <c r="N6319" s="5"/>
      <c r="O6319" s="2">
        <v>1683.6</v>
      </c>
      <c r="P6319">
        <v>249</v>
      </c>
      <c r="Q6319" s="2">
        <v>419216.4</v>
      </c>
      <c r="R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 s="1">
        <v>42382</v>
      </c>
      <c r="AC6319" t="s">
        <v>53</v>
      </c>
      <c r="AD6319" t="s">
        <v>53</v>
      </c>
      <c r="AK6319">
        <v>0</v>
      </c>
      <c r="AU6319" s="6">
        <v>42061</v>
      </c>
      <c r="AV6319" s="6">
        <v>42061</v>
      </c>
      <c r="AW6319" t="s">
        <v>54</v>
      </c>
      <c r="AX6319" t="str">
        <f t="shared" si="529"/>
        <v>FOR</v>
      </c>
      <c r="AY6319" t="s">
        <v>55</v>
      </c>
    </row>
    <row r="6320" spans="1:51" hidden="1">
      <c r="A6320">
        <v>104048</v>
      </c>
      <c r="B6320" t="s">
        <v>1198</v>
      </c>
      <c r="C6320" t="str">
        <f t="shared" si="533"/>
        <v>00674840152</v>
      </c>
      <c r="D6320" t="str">
        <f t="shared" si="533"/>
        <v>00674840152</v>
      </c>
      <c r="E6320" t="s">
        <v>52</v>
      </c>
      <c r="F6320">
        <v>2014</v>
      </c>
      <c r="G6320">
        <v>1549733</v>
      </c>
      <c r="H6320" s="1">
        <v>41709</v>
      </c>
      <c r="I6320" s="1">
        <v>41722</v>
      </c>
      <c r="J6320" s="1">
        <v>41722</v>
      </c>
      <c r="K6320" s="1">
        <v>41812</v>
      </c>
      <c r="N6320" s="5"/>
      <c r="O6320">
        <v>816.55</v>
      </c>
      <c r="P6320">
        <v>249</v>
      </c>
      <c r="Q6320" s="2">
        <v>203320.95</v>
      </c>
      <c r="R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 s="1">
        <v>42382</v>
      </c>
      <c r="AC6320" t="s">
        <v>53</v>
      </c>
      <c r="AD6320" t="s">
        <v>53</v>
      </c>
      <c r="AK6320">
        <v>0</v>
      </c>
      <c r="AU6320" s="6">
        <v>42061</v>
      </c>
      <c r="AV6320" s="6">
        <v>42061</v>
      </c>
      <c r="AW6320" t="s">
        <v>54</v>
      </c>
      <c r="AX6320" t="str">
        <f t="shared" si="529"/>
        <v>FOR</v>
      </c>
      <c r="AY6320" t="s">
        <v>55</v>
      </c>
    </row>
    <row r="6321" spans="1:51" hidden="1">
      <c r="A6321">
        <v>104048</v>
      </c>
      <c r="B6321" t="s">
        <v>1198</v>
      </c>
      <c r="C6321" t="str">
        <f t="shared" si="533"/>
        <v>00674840152</v>
      </c>
      <c r="D6321" t="str">
        <f t="shared" si="533"/>
        <v>00674840152</v>
      </c>
      <c r="E6321" t="s">
        <v>52</v>
      </c>
      <c r="F6321">
        <v>2014</v>
      </c>
      <c r="G6321">
        <v>1550181</v>
      </c>
      <c r="H6321" s="1">
        <v>41711</v>
      </c>
      <c r="I6321" s="1">
        <v>41722</v>
      </c>
      <c r="J6321" s="1">
        <v>41722</v>
      </c>
      <c r="K6321" s="1">
        <v>41812</v>
      </c>
      <c r="N6321" s="5"/>
      <c r="O6321">
        <v>90.7</v>
      </c>
      <c r="P6321">
        <v>249</v>
      </c>
      <c r="Q6321" s="2">
        <v>22584.3</v>
      </c>
      <c r="R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 s="1">
        <v>42382</v>
      </c>
      <c r="AC6321" t="s">
        <v>53</v>
      </c>
      <c r="AD6321" t="s">
        <v>53</v>
      </c>
      <c r="AK6321">
        <v>0</v>
      </c>
      <c r="AU6321" s="6">
        <v>42061</v>
      </c>
      <c r="AV6321" s="6">
        <v>42061</v>
      </c>
      <c r="AW6321" t="s">
        <v>54</v>
      </c>
      <c r="AX6321" t="str">
        <f t="shared" si="529"/>
        <v>FOR</v>
      </c>
      <c r="AY6321" t="s">
        <v>55</v>
      </c>
    </row>
    <row r="6322" spans="1:51" hidden="1">
      <c r="A6322">
        <v>104048</v>
      </c>
      <c r="B6322" t="s">
        <v>1198</v>
      </c>
      <c r="C6322" t="str">
        <f t="shared" si="533"/>
        <v>00674840152</v>
      </c>
      <c r="D6322" t="str">
        <f t="shared" si="533"/>
        <v>00674840152</v>
      </c>
      <c r="E6322" t="s">
        <v>52</v>
      </c>
      <c r="F6322">
        <v>2014</v>
      </c>
      <c r="G6322">
        <v>1551274</v>
      </c>
      <c r="H6322" s="1">
        <v>41747</v>
      </c>
      <c r="I6322" s="1">
        <v>41751</v>
      </c>
      <c r="J6322" s="1">
        <v>41751</v>
      </c>
      <c r="K6322" s="1">
        <v>41841</v>
      </c>
      <c r="N6322" s="5"/>
      <c r="O6322" s="2">
        <v>3173.1</v>
      </c>
      <c r="P6322">
        <v>220</v>
      </c>
      <c r="Q6322" s="2">
        <v>698082</v>
      </c>
      <c r="R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 s="1">
        <v>42382</v>
      </c>
      <c r="AC6322" t="s">
        <v>53</v>
      </c>
      <c r="AD6322" t="s">
        <v>53</v>
      </c>
      <c r="AK6322">
        <v>0</v>
      </c>
      <c r="AU6322" s="6">
        <v>42061</v>
      </c>
      <c r="AV6322" s="6">
        <v>42061</v>
      </c>
      <c r="AW6322" t="s">
        <v>54</v>
      </c>
      <c r="AX6322" t="str">
        <f t="shared" si="529"/>
        <v>FOR</v>
      </c>
      <c r="AY6322" t="s">
        <v>55</v>
      </c>
    </row>
    <row r="6323" spans="1:51" hidden="1">
      <c r="A6323">
        <v>104048</v>
      </c>
      <c r="B6323" t="s">
        <v>1198</v>
      </c>
      <c r="C6323" t="str">
        <f t="shared" si="533"/>
        <v>00674840152</v>
      </c>
      <c r="D6323" t="str">
        <f t="shared" si="533"/>
        <v>00674840152</v>
      </c>
      <c r="E6323" t="s">
        <v>52</v>
      </c>
      <c r="F6323">
        <v>2014</v>
      </c>
      <c r="G6323">
        <v>1551275</v>
      </c>
      <c r="H6323" s="1">
        <v>41747</v>
      </c>
      <c r="I6323" s="1">
        <v>41751</v>
      </c>
      <c r="J6323" s="1">
        <v>41751</v>
      </c>
      <c r="K6323" s="1">
        <v>41841</v>
      </c>
      <c r="N6323" s="5"/>
      <c r="O6323">
        <v>348.86</v>
      </c>
      <c r="P6323">
        <v>220</v>
      </c>
      <c r="Q6323" s="2">
        <v>76749.2</v>
      </c>
      <c r="R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 s="1">
        <v>42382</v>
      </c>
      <c r="AC6323" t="s">
        <v>53</v>
      </c>
      <c r="AD6323" t="s">
        <v>53</v>
      </c>
      <c r="AK6323">
        <v>0</v>
      </c>
      <c r="AU6323" s="6">
        <v>42061</v>
      </c>
      <c r="AV6323" s="6">
        <v>42061</v>
      </c>
      <c r="AW6323" t="s">
        <v>54</v>
      </c>
      <c r="AX6323" t="str">
        <f t="shared" si="529"/>
        <v>FOR</v>
      </c>
      <c r="AY6323" t="s">
        <v>55</v>
      </c>
    </row>
    <row r="6324" spans="1:51" hidden="1">
      <c r="A6324">
        <v>104048</v>
      </c>
      <c r="B6324" t="s">
        <v>1198</v>
      </c>
      <c r="C6324" t="str">
        <f t="shared" si="533"/>
        <v>00674840152</v>
      </c>
      <c r="D6324" t="str">
        <f t="shared" si="533"/>
        <v>00674840152</v>
      </c>
      <c r="E6324" t="s">
        <v>52</v>
      </c>
      <c r="F6324">
        <v>2014</v>
      </c>
      <c r="G6324">
        <v>1551276</v>
      </c>
      <c r="H6324" s="1">
        <v>41747</v>
      </c>
      <c r="I6324" s="1">
        <v>41751</v>
      </c>
      <c r="J6324" s="1">
        <v>41751</v>
      </c>
      <c r="K6324" s="1">
        <v>41841</v>
      </c>
      <c r="N6324" s="5"/>
      <c r="O6324">
        <v>280.60000000000002</v>
      </c>
      <c r="P6324">
        <v>220</v>
      </c>
      <c r="Q6324" s="2">
        <v>61732</v>
      </c>
      <c r="R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 s="1">
        <v>42382</v>
      </c>
      <c r="AC6324" t="s">
        <v>53</v>
      </c>
      <c r="AD6324" t="s">
        <v>53</v>
      </c>
      <c r="AK6324">
        <v>0</v>
      </c>
      <c r="AU6324" s="6">
        <v>42061</v>
      </c>
      <c r="AV6324" s="6">
        <v>42061</v>
      </c>
      <c r="AW6324" t="s">
        <v>54</v>
      </c>
      <c r="AX6324" t="str">
        <f t="shared" si="529"/>
        <v>FOR</v>
      </c>
      <c r="AY6324" t="s">
        <v>55</v>
      </c>
    </row>
    <row r="6325" spans="1:51" hidden="1">
      <c r="A6325">
        <v>104048</v>
      </c>
      <c r="B6325" t="s">
        <v>1198</v>
      </c>
      <c r="C6325" t="str">
        <f t="shared" si="533"/>
        <v>00674840152</v>
      </c>
      <c r="D6325" t="str">
        <f t="shared" si="533"/>
        <v>00674840152</v>
      </c>
      <c r="E6325" t="s">
        <v>52</v>
      </c>
      <c r="F6325">
        <v>2014</v>
      </c>
      <c r="G6325">
        <v>1552898</v>
      </c>
      <c r="H6325" s="1">
        <v>41722</v>
      </c>
      <c r="I6325" s="1">
        <v>41733</v>
      </c>
      <c r="J6325" s="1">
        <v>41733</v>
      </c>
      <c r="K6325" s="1">
        <v>41823</v>
      </c>
      <c r="N6325" s="5"/>
      <c r="O6325" s="2">
        <v>7371.31</v>
      </c>
      <c r="P6325">
        <v>211</v>
      </c>
      <c r="Q6325" s="2">
        <v>1555346.41</v>
      </c>
      <c r="R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 s="1">
        <v>42382</v>
      </c>
      <c r="AC6325" t="s">
        <v>53</v>
      </c>
      <c r="AD6325" t="s">
        <v>53</v>
      </c>
      <c r="AK6325">
        <v>0</v>
      </c>
      <c r="AU6325" s="6">
        <v>42034</v>
      </c>
      <c r="AV6325" s="6">
        <v>42034</v>
      </c>
      <c r="AW6325" t="s">
        <v>54</v>
      </c>
      <c r="AX6325" t="str">
        <f t="shared" si="529"/>
        <v>FOR</v>
      </c>
      <c r="AY6325" t="s">
        <v>55</v>
      </c>
    </row>
    <row r="6326" spans="1:51" hidden="1">
      <c r="A6326">
        <v>104048</v>
      </c>
      <c r="B6326" t="s">
        <v>1198</v>
      </c>
      <c r="C6326" t="str">
        <f t="shared" si="533"/>
        <v>00674840152</v>
      </c>
      <c r="D6326" t="str">
        <f t="shared" si="533"/>
        <v>00674840152</v>
      </c>
      <c r="E6326" t="s">
        <v>52</v>
      </c>
      <c r="F6326">
        <v>2014</v>
      </c>
      <c r="G6326">
        <v>1553236</v>
      </c>
      <c r="H6326" s="1">
        <v>41723</v>
      </c>
      <c r="I6326" s="1">
        <v>41751</v>
      </c>
      <c r="J6326" s="1">
        <v>41751</v>
      </c>
      <c r="K6326" s="1">
        <v>41841</v>
      </c>
      <c r="N6326" s="5"/>
      <c r="O6326">
        <v>133.58000000000001</v>
      </c>
      <c r="P6326">
        <v>220</v>
      </c>
      <c r="Q6326" s="2">
        <v>29387.599999999999</v>
      </c>
      <c r="R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 s="1">
        <v>42382</v>
      </c>
      <c r="AC6326" t="s">
        <v>53</v>
      </c>
      <c r="AD6326" t="s">
        <v>53</v>
      </c>
      <c r="AK6326">
        <v>0</v>
      </c>
      <c r="AU6326" s="6">
        <v>42061</v>
      </c>
      <c r="AV6326" s="6">
        <v>42061</v>
      </c>
      <c r="AW6326" t="s">
        <v>54</v>
      </c>
      <c r="AX6326" t="str">
        <f t="shared" si="529"/>
        <v>FOR</v>
      </c>
      <c r="AY6326" t="s">
        <v>55</v>
      </c>
    </row>
    <row r="6327" spans="1:51" hidden="1">
      <c r="A6327">
        <v>104048</v>
      </c>
      <c r="B6327" t="s">
        <v>1198</v>
      </c>
      <c r="C6327" t="str">
        <f t="shared" si="533"/>
        <v>00674840152</v>
      </c>
      <c r="D6327" t="str">
        <f t="shared" si="533"/>
        <v>00674840152</v>
      </c>
      <c r="E6327" t="s">
        <v>52</v>
      </c>
      <c r="F6327">
        <v>2014</v>
      </c>
      <c r="G6327">
        <v>1555703</v>
      </c>
      <c r="H6327" s="1">
        <v>41732</v>
      </c>
      <c r="I6327" s="1">
        <v>41751</v>
      </c>
      <c r="J6327" s="1">
        <v>41751</v>
      </c>
      <c r="K6327" s="1">
        <v>41841</v>
      </c>
      <c r="N6327" s="5"/>
      <c r="O6327">
        <v>561.20000000000005</v>
      </c>
      <c r="P6327">
        <v>261</v>
      </c>
      <c r="Q6327" s="2">
        <v>146473.20000000001</v>
      </c>
      <c r="R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 s="1">
        <v>42382</v>
      </c>
      <c r="AC6327" t="s">
        <v>53</v>
      </c>
      <c r="AD6327" t="s">
        <v>53</v>
      </c>
      <c r="AK6327">
        <v>0</v>
      </c>
      <c r="AU6327" s="6">
        <v>42102</v>
      </c>
      <c r="AV6327" s="6">
        <v>42102</v>
      </c>
      <c r="AW6327" t="s">
        <v>54</v>
      </c>
      <c r="AX6327" t="str">
        <f t="shared" si="529"/>
        <v>FOR</v>
      </c>
      <c r="AY6327" t="s">
        <v>55</v>
      </c>
    </row>
    <row r="6328" spans="1:51" hidden="1">
      <c r="A6328">
        <v>104048</v>
      </c>
      <c r="B6328" t="s">
        <v>1198</v>
      </c>
      <c r="C6328" t="str">
        <f t="shared" si="533"/>
        <v>00674840152</v>
      </c>
      <c r="D6328" t="str">
        <f t="shared" si="533"/>
        <v>00674840152</v>
      </c>
      <c r="E6328" t="s">
        <v>52</v>
      </c>
      <c r="F6328">
        <v>2014</v>
      </c>
      <c r="G6328">
        <v>1556523</v>
      </c>
      <c r="H6328" s="1">
        <v>41736</v>
      </c>
      <c r="I6328" s="1">
        <v>41752</v>
      </c>
      <c r="J6328" s="1">
        <v>41752</v>
      </c>
      <c r="K6328" s="1">
        <v>41842</v>
      </c>
      <c r="N6328" s="5"/>
      <c r="O6328" s="2">
        <v>1414.71</v>
      </c>
      <c r="P6328">
        <v>219</v>
      </c>
      <c r="Q6328" s="2">
        <v>309821.49</v>
      </c>
      <c r="R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 s="1">
        <v>42382</v>
      </c>
      <c r="AC6328" t="s">
        <v>53</v>
      </c>
      <c r="AD6328" t="s">
        <v>53</v>
      </c>
      <c r="AK6328">
        <v>0</v>
      </c>
      <c r="AU6328" s="6">
        <v>42061</v>
      </c>
      <c r="AV6328" s="6">
        <v>42061</v>
      </c>
      <c r="AW6328" t="s">
        <v>54</v>
      </c>
      <c r="AX6328" t="str">
        <f t="shared" si="529"/>
        <v>FOR</v>
      </c>
      <c r="AY6328" t="s">
        <v>55</v>
      </c>
    </row>
    <row r="6329" spans="1:51" hidden="1">
      <c r="A6329">
        <v>104048</v>
      </c>
      <c r="B6329" t="s">
        <v>1198</v>
      </c>
      <c r="C6329" t="str">
        <f t="shared" si="533"/>
        <v>00674840152</v>
      </c>
      <c r="D6329" t="str">
        <f t="shared" si="533"/>
        <v>00674840152</v>
      </c>
      <c r="E6329" t="s">
        <v>52</v>
      </c>
      <c r="F6329">
        <v>2014</v>
      </c>
      <c r="G6329">
        <v>1557984</v>
      </c>
      <c r="H6329" s="1">
        <v>41743</v>
      </c>
      <c r="I6329" s="1">
        <v>41767</v>
      </c>
      <c r="J6329" s="1">
        <v>41767</v>
      </c>
      <c r="K6329" s="1">
        <v>41857</v>
      </c>
      <c r="N6329" s="5"/>
      <c r="O6329" s="2">
        <v>1556.72</v>
      </c>
      <c r="P6329">
        <v>245</v>
      </c>
      <c r="Q6329" s="2">
        <v>381396.4</v>
      </c>
      <c r="R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 s="1">
        <v>42382</v>
      </c>
      <c r="AC6329" t="s">
        <v>53</v>
      </c>
      <c r="AD6329" t="s">
        <v>53</v>
      </c>
      <c r="AK6329">
        <v>0</v>
      </c>
      <c r="AU6329" s="6">
        <v>42102</v>
      </c>
      <c r="AV6329" s="6">
        <v>42102</v>
      </c>
      <c r="AW6329" t="s">
        <v>54</v>
      </c>
      <c r="AX6329" t="str">
        <f t="shared" si="529"/>
        <v>FOR</v>
      </c>
      <c r="AY6329" t="s">
        <v>55</v>
      </c>
    </row>
    <row r="6330" spans="1:51" hidden="1">
      <c r="A6330">
        <v>104048</v>
      </c>
      <c r="B6330" t="s">
        <v>1198</v>
      </c>
      <c r="C6330" t="str">
        <f t="shared" si="533"/>
        <v>00674840152</v>
      </c>
      <c r="D6330" t="str">
        <f t="shared" si="533"/>
        <v>00674840152</v>
      </c>
      <c r="E6330" t="s">
        <v>52</v>
      </c>
      <c r="F6330">
        <v>2014</v>
      </c>
      <c r="G6330">
        <v>1557985</v>
      </c>
      <c r="H6330" s="1">
        <v>41743</v>
      </c>
      <c r="I6330" s="1">
        <v>41766</v>
      </c>
      <c r="J6330" s="1">
        <v>41766</v>
      </c>
      <c r="K6330" s="1">
        <v>41856</v>
      </c>
      <c r="N6330" s="5"/>
      <c r="O6330" s="2">
        <v>1186.08</v>
      </c>
      <c r="P6330">
        <v>205</v>
      </c>
      <c r="Q6330" s="2">
        <v>243146.4</v>
      </c>
      <c r="R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 s="1">
        <v>42382</v>
      </c>
      <c r="AC6330" t="s">
        <v>53</v>
      </c>
      <c r="AD6330" t="s">
        <v>53</v>
      </c>
      <c r="AK6330">
        <v>0</v>
      </c>
      <c r="AU6330" s="6">
        <v>42061</v>
      </c>
      <c r="AV6330" s="6">
        <v>42061</v>
      </c>
      <c r="AW6330" t="s">
        <v>54</v>
      </c>
      <c r="AX6330" t="str">
        <f t="shared" si="529"/>
        <v>FOR</v>
      </c>
      <c r="AY6330" t="s">
        <v>55</v>
      </c>
    </row>
    <row r="6331" spans="1:51" hidden="1">
      <c r="A6331">
        <v>104048</v>
      </c>
      <c r="B6331" t="s">
        <v>1198</v>
      </c>
      <c r="C6331" t="str">
        <f t="shared" si="533"/>
        <v>00674840152</v>
      </c>
      <c r="D6331" t="str">
        <f t="shared" si="533"/>
        <v>00674840152</v>
      </c>
      <c r="E6331" t="s">
        <v>52</v>
      </c>
      <c r="F6331">
        <v>2014</v>
      </c>
      <c r="G6331">
        <v>1558589</v>
      </c>
      <c r="H6331" s="1">
        <v>41744</v>
      </c>
      <c r="I6331" s="1">
        <v>41768</v>
      </c>
      <c r="J6331" s="1">
        <v>41768</v>
      </c>
      <c r="K6331" s="1">
        <v>41858</v>
      </c>
      <c r="N6331" s="5"/>
      <c r="O6331" s="2">
        <v>1648.1</v>
      </c>
      <c r="P6331">
        <v>244</v>
      </c>
      <c r="Q6331" s="2">
        <v>402136.4</v>
      </c>
      <c r="R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 s="1">
        <v>42382</v>
      </c>
      <c r="AC6331" t="s">
        <v>53</v>
      </c>
      <c r="AD6331" t="s">
        <v>53</v>
      </c>
      <c r="AK6331">
        <v>0</v>
      </c>
      <c r="AU6331" s="6">
        <v>42102</v>
      </c>
      <c r="AV6331" s="6">
        <v>42102</v>
      </c>
      <c r="AW6331" t="s">
        <v>54</v>
      </c>
      <c r="AX6331" t="str">
        <f t="shared" si="529"/>
        <v>FOR</v>
      </c>
      <c r="AY6331" t="s">
        <v>55</v>
      </c>
    </row>
    <row r="6332" spans="1:51" hidden="1">
      <c r="A6332">
        <v>104048</v>
      </c>
      <c r="B6332" t="s">
        <v>1198</v>
      </c>
      <c r="C6332" t="str">
        <f t="shared" si="533"/>
        <v>00674840152</v>
      </c>
      <c r="D6332" t="str">
        <f t="shared" si="533"/>
        <v>00674840152</v>
      </c>
      <c r="E6332" t="s">
        <v>52</v>
      </c>
      <c r="F6332">
        <v>2014</v>
      </c>
      <c r="G6332">
        <v>1558590</v>
      </c>
      <c r="H6332" s="1">
        <v>41744</v>
      </c>
      <c r="I6332" s="1">
        <v>41768</v>
      </c>
      <c r="J6332" s="1">
        <v>41768</v>
      </c>
      <c r="K6332" s="1">
        <v>41858</v>
      </c>
      <c r="N6332" s="5"/>
      <c r="O6332">
        <v>199.35</v>
      </c>
      <c r="P6332">
        <v>244</v>
      </c>
      <c r="Q6332" s="2">
        <v>48641.4</v>
      </c>
      <c r="R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 s="1">
        <v>42382</v>
      </c>
      <c r="AC6332" t="s">
        <v>53</v>
      </c>
      <c r="AD6332" t="s">
        <v>53</v>
      </c>
      <c r="AK6332">
        <v>0</v>
      </c>
      <c r="AU6332" s="6">
        <v>42102</v>
      </c>
      <c r="AV6332" s="6">
        <v>42102</v>
      </c>
      <c r="AW6332" t="s">
        <v>54</v>
      </c>
      <c r="AX6332" t="str">
        <f t="shared" si="529"/>
        <v>FOR</v>
      </c>
      <c r="AY6332" t="s">
        <v>55</v>
      </c>
    </row>
    <row r="6333" spans="1:51" hidden="1">
      <c r="A6333">
        <v>104048</v>
      </c>
      <c r="B6333" t="s">
        <v>1198</v>
      </c>
      <c r="C6333" t="str">
        <f t="shared" si="533"/>
        <v>00674840152</v>
      </c>
      <c r="D6333" t="str">
        <f t="shared" si="533"/>
        <v>00674840152</v>
      </c>
      <c r="E6333" t="s">
        <v>52</v>
      </c>
      <c r="F6333">
        <v>2014</v>
      </c>
      <c r="G6333">
        <v>1558723</v>
      </c>
      <c r="H6333" s="1">
        <v>41745</v>
      </c>
      <c r="I6333" s="1">
        <v>41757</v>
      </c>
      <c r="J6333" s="1">
        <v>41757</v>
      </c>
      <c r="K6333" s="1">
        <v>41847</v>
      </c>
      <c r="N6333" s="5"/>
      <c r="O6333" s="2">
        <v>29670.02</v>
      </c>
      <c r="P6333">
        <v>214</v>
      </c>
      <c r="Q6333" s="2">
        <v>6349384.2800000003</v>
      </c>
      <c r="R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 s="1">
        <v>42382</v>
      </c>
      <c r="AC6333" t="s">
        <v>53</v>
      </c>
      <c r="AD6333" t="s">
        <v>53</v>
      </c>
      <c r="AK6333">
        <v>0</v>
      </c>
      <c r="AU6333" s="6">
        <v>42061</v>
      </c>
      <c r="AV6333" s="6">
        <v>42061</v>
      </c>
      <c r="AW6333" t="s">
        <v>54</v>
      </c>
      <c r="AX6333" t="str">
        <f t="shared" si="529"/>
        <v>FOR</v>
      </c>
      <c r="AY6333" t="s">
        <v>55</v>
      </c>
    </row>
    <row r="6334" spans="1:51" hidden="1">
      <c r="A6334">
        <v>104048</v>
      </c>
      <c r="B6334" t="s">
        <v>1198</v>
      </c>
      <c r="C6334" t="str">
        <f t="shared" si="533"/>
        <v>00674840152</v>
      </c>
      <c r="D6334" t="str">
        <f t="shared" si="533"/>
        <v>00674840152</v>
      </c>
      <c r="E6334" t="s">
        <v>52</v>
      </c>
      <c r="F6334">
        <v>2014</v>
      </c>
      <c r="G6334">
        <v>1558724</v>
      </c>
      <c r="H6334" s="1">
        <v>41745</v>
      </c>
      <c r="I6334" s="1">
        <v>41757</v>
      </c>
      <c r="J6334" s="1">
        <v>41757</v>
      </c>
      <c r="K6334" s="1">
        <v>41847</v>
      </c>
      <c r="N6334" s="5"/>
      <c r="O6334">
        <v>93.33</v>
      </c>
      <c r="P6334">
        <v>214</v>
      </c>
      <c r="Q6334" s="2">
        <v>19972.62</v>
      </c>
      <c r="R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 s="1">
        <v>42382</v>
      </c>
      <c r="AC6334" t="s">
        <v>53</v>
      </c>
      <c r="AD6334" t="s">
        <v>53</v>
      </c>
      <c r="AK6334">
        <v>0</v>
      </c>
      <c r="AU6334" s="6">
        <v>42061</v>
      </c>
      <c r="AV6334" s="6">
        <v>42061</v>
      </c>
      <c r="AW6334" t="s">
        <v>54</v>
      </c>
      <c r="AX6334" t="str">
        <f t="shared" si="529"/>
        <v>FOR</v>
      </c>
      <c r="AY6334" t="s">
        <v>55</v>
      </c>
    </row>
    <row r="6335" spans="1:51" hidden="1">
      <c r="A6335">
        <v>104048</v>
      </c>
      <c r="B6335" t="s">
        <v>1198</v>
      </c>
      <c r="C6335" t="str">
        <f t="shared" si="533"/>
        <v>00674840152</v>
      </c>
      <c r="D6335" t="str">
        <f t="shared" si="533"/>
        <v>00674840152</v>
      </c>
      <c r="E6335" t="s">
        <v>52</v>
      </c>
      <c r="F6335">
        <v>2014</v>
      </c>
      <c r="G6335">
        <v>1560417</v>
      </c>
      <c r="H6335" s="1">
        <v>41757</v>
      </c>
      <c r="I6335" s="1">
        <v>41768</v>
      </c>
      <c r="J6335" s="1">
        <v>41768</v>
      </c>
      <c r="K6335" s="1">
        <v>41858</v>
      </c>
      <c r="N6335" s="5"/>
      <c r="O6335">
        <v>372.86</v>
      </c>
      <c r="P6335">
        <v>244</v>
      </c>
      <c r="Q6335" s="2">
        <v>90977.84</v>
      </c>
      <c r="R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 s="1">
        <v>42382</v>
      </c>
      <c r="AC6335" t="s">
        <v>53</v>
      </c>
      <c r="AD6335" t="s">
        <v>53</v>
      </c>
      <c r="AK6335">
        <v>0</v>
      </c>
      <c r="AU6335" s="6">
        <v>42102</v>
      </c>
      <c r="AV6335" s="6">
        <v>42102</v>
      </c>
      <c r="AW6335" t="s">
        <v>54</v>
      </c>
      <c r="AX6335" t="str">
        <f t="shared" si="529"/>
        <v>FOR</v>
      </c>
      <c r="AY6335" t="s">
        <v>55</v>
      </c>
    </row>
    <row r="6336" spans="1:51" hidden="1">
      <c r="A6336">
        <v>104048</v>
      </c>
      <c r="B6336" t="s">
        <v>1198</v>
      </c>
      <c r="C6336" t="str">
        <f t="shared" si="533"/>
        <v>00674840152</v>
      </c>
      <c r="D6336" t="str">
        <f t="shared" si="533"/>
        <v>00674840152</v>
      </c>
      <c r="E6336" t="s">
        <v>52</v>
      </c>
      <c r="F6336">
        <v>2014</v>
      </c>
      <c r="G6336">
        <v>1561619</v>
      </c>
      <c r="H6336" s="1">
        <v>41759</v>
      </c>
      <c r="I6336" s="1">
        <v>41773</v>
      </c>
      <c r="J6336" s="1">
        <v>41773</v>
      </c>
      <c r="K6336" s="1">
        <v>41863</v>
      </c>
      <c r="N6336" s="5"/>
      <c r="O6336">
        <v>877.06</v>
      </c>
      <c r="P6336">
        <v>239</v>
      </c>
      <c r="Q6336" s="2">
        <v>209617.34</v>
      </c>
      <c r="R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 s="1">
        <v>42382</v>
      </c>
      <c r="AC6336" t="s">
        <v>53</v>
      </c>
      <c r="AD6336" t="s">
        <v>53</v>
      </c>
      <c r="AK6336">
        <v>0</v>
      </c>
      <c r="AU6336" s="6">
        <v>42102</v>
      </c>
      <c r="AV6336" s="6">
        <v>42102</v>
      </c>
      <c r="AW6336" t="s">
        <v>54</v>
      </c>
      <c r="AX6336" t="str">
        <f t="shared" si="529"/>
        <v>FOR</v>
      </c>
      <c r="AY6336" t="s">
        <v>55</v>
      </c>
    </row>
    <row r="6337" spans="1:51" hidden="1">
      <c r="A6337">
        <v>104048</v>
      </c>
      <c r="B6337" t="s">
        <v>1198</v>
      </c>
      <c r="C6337" t="str">
        <f t="shared" ref="C6337:D6356" si="534">"00674840152"</f>
        <v>00674840152</v>
      </c>
      <c r="D6337" t="str">
        <f t="shared" si="534"/>
        <v>00674840152</v>
      </c>
      <c r="E6337" t="s">
        <v>52</v>
      </c>
      <c r="F6337">
        <v>2014</v>
      </c>
      <c r="G6337">
        <v>1561974</v>
      </c>
      <c r="H6337" s="1">
        <v>41764</v>
      </c>
      <c r="I6337" s="1">
        <v>41773</v>
      </c>
      <c r="J6337" s="1">
        <v>41773</v>
      </c>
      <c r="K6337" s="1">
        <v>41863</v>
      </c>
      <c r="N6337" s="5"/>
      <c r="O6337">
        <v>970.2</v>
      </c>
      <c r="P6337">
        <v>269</v>
      </c>
      <c r="Q6337" s="2">
        <v>260983.8</v>
      </c>
      <c r="R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 s="1">
        <v>42382</v>
      </c>
      <c r="AC6337" t="s">
        <v>53</v>
      </c>
      <c r="AD6337" t="s">
        <v>53</v>
      </c>
      <c r="AK6337">
        <v>0</v>
      </c>
      <c r="AU6337" s="6">
        <v>42132</v>
      </c>
      <c r="AV6337" s="6">
        <v>42132</v>
      </c>
      <c r="AW6337" t="s">
        <v>54</v>
      </c>
      <c r="AX6337" t="str">
        <f t="shared" si="529"/>
        <v>FOR</v>
      </c>
      <c r="AY6337" t="s">
        <v>55</v>
      </c>
    </row>
    <row r="6338" spans="1:51" hidden="1">
      <c r="A6338">
        <v>104048</v>
      </c>
      <c r="B6338" t="s">
        <v>1198</v>
      </c>
      <c r="C6338" t="str">
        <f t="shared" si="534"/>
        <v>00674840152</v>
      </c>
      <c r="D6338" t="str">
        <f t="shared" si="534"/>
        <v>00674840152</v>
      </c>
      <c r="E6338" t="s">
        <v>52</v>
      </c>
      <c r="F6338">
        <v>2014</v>
      </c>
      <c r="G6338">
        <v>1561975</v>
      </c>
      <c r="H6338" s="1">
        <v>41764</v>
      </c>
      <c r="I6338" s="1">
        <v>41773</v>
      </c>
      <c r="J6338" s="1">
        <v>41773</v>
      </c>
      <c r="K6338" s="1">
        <v>41863</v>
      </c>
      <c r="N6338" s="5"/>
      <c r="O6338" s="2">
        <v>11274.34</v>
      </c>
      <c r="P6338">
        <v>239</v>
      </c>
      <c r="Q6338" s="2">
        <v>2694567.26</v>
      </c>
      <c r="R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 s="1">
        <v>42382</v>
      </c>
      <c r="AC6338" t="s">
        <v>53</v>
      </c>
      <c r="AD6338" t="s">
        <v>53</v>
      </c>
      <c r="AK6338">
        <v>0</v>
      </c>
      <c r="AU6338" s="6">
        <v>42102</v>
      </c>
      <c r="AV6338" s="6">
        <v>42102</v>
      </c>
      <c r="AW6338" t="s">
        <v>54</v>
      </c>
      <c r="AX6338" t="str">
        <f t="shared" si="529"/>
        <v>FOR</v>
      </c>
      <c r="AY6338" t="s">
        <v>55</v>
      </c>
    </row>
    <row r="6339" spans="1:51" hidden="1">
      <c r="A6339">
        <v>104048</v>
      </c>
      <c r="B6339" t="s">
        <v>1198</v>
      </c>
      <c r="C6339" t="str">
        <f t="shared" si="534"/>
        <v>00674840152</v>
      </c>
      <c r="D6339" t="str">
        <f t="shared" si="534"/>
        <v>00674840152</v>
      </c>
      <c r="E6339" t="s">
        <v>52</v>
      </c>
      <c r="F6339">
        <v>2014</v>
      </c>
      <c r="G6339">
        <v>1564247</v>
      </c>
      <c r="H6339" s="1">
        <v>41771</v>
      </c>
      <c r="I6339" s="1">
        <v>41796</v>
      </c>
      <c r="J6339" s="1">
        <v>41796</v>
      </c>
      <c r="K6339" s="1">
        <v>41886</v>
      </c>
      <c r="N6339" s="5"/>
      <c r="O6339">
        <v>586.5</v>
      </c>
      <c r="P6339">
        <v>246</v>
      </c>
      <c r="Q6339" s="2">
        <v>144279</v>
      </c>
      <c r="R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 s="1">
        <v>42382</v>
      </c>
      <c r="AC6339" t="s">
        <v>53</v>
      </c>
      <c r="AD6339" t="s">
        <v>53</v>
      </c>
      <c r="AK6339">
        <v>0</v>
      </c>
      <c r="AU6339" s="6">
        <v>42132</v>
      </c>
      <c r="AV6339" s="6">
        <v>42132</v>
      </c>
      <c r="AW6339" t="s">
        <v>54</v>
      </c>
      <c r="AX6339" t="str">
        <f t="shared" ref="AX6339:AX6402" si="535">"FOR"</f>
        <v>FOR</v>
      </c>
      <c r="AY6339" t="s">
        <v>55</v>
      </c>
    </row>
    <row r="6340" spans="1:51" hidden="1">
      <c r="A6340">
        <v>104048</v>
      </c>
      <c r="B6340" t="s">
        <v>1198</v>
      </c>
      <c r="C6340" t="str">
        <f t="shared" si="534"/>
        <v>00674840152</v>
      </c>
      <c r="D6340" t="str">
        <f t="shared" si="534"/>
        <v>00674840152</v>
      </c>
      <c r="E6340" t="s">
        <v>52</v>
      </c>
      <c r="F6340">
        <v>2014</v>
      </c>
      <c r="G6340">
        <v>1565803</v>
      </c>
      <c r="H6340" s="1">
        <v>41775</v>
      </c>
      <c r="I6340" s="1">
        <v>41793</v>
      </c>
      <c r="J6340" s="1">
        <v>41793</v>
      </c>
      <c r="K6340" s="1">
        <v>41883</v>
      </c>
      <c r="N6340" s="5"/>
      <c r="O6340" s="2">
        <v>1171.2</v>
      </c>
      <c r="P6340">
        <v>249</v>
      </c>
      <c r="Q6340" s="2">
        <v>291628.79999999999</v>
      </c>
      <c r="R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 s="1">
        <v>42382</v>
      </c>
      <c r="AC6340" t="s">
        <v>53</v>
      </c>
      <c r="AD6340" t="s">
        <v>53</v>
      </c>
      <c r="AK6340">
        <v>0</v>
      </c>
      <c r="AU6340" s="6">
        <v>42132</v>
      </c>
      <c r="AV6340" s="6">
        <v>42132</v>
      </c>
      <c r="AW6340" t="s">
        <v>54</v>
      </c>
      <c r="AX6340" t="str">
        <f t="shared" si="535"/>
        <v>FOR</v>
      </c>
      <c r="AY6340" t="s">
        <v>55</v>
      </c>
    </row>
    <row r="6341" spans="1:51" hidden="1">
      <c r="A6341">
        <v>104048</v>
      </c>
      <c r="B6341" t="s">
        <v>1198</v>
      </c>
      <c r="C6341" t="str">
        <f t="shared" si="534"/>
        <v>00674840152</v>
      </c>
      <c r="D6341" t="str">
        <f t="shared" si="534"/>
        <v>00674840152</v>
      </c>
      <c r="E6341" t="s">
        <v>52</v>
      </c>
      <c r="F6341">
        <v>2014</v>
      </c>
      <c r="G6341">
        <v>1567489</v>
      </c>
      <c r="H6341" s="1">
        <v>41782</v>
      </c>
      <c r="I6341" s="1">
        <v>41796</v>
      </c>
      <c r="J6341" s="1">
        <v>41796</v>
      </c>
      <c r="K6341" s="1">
        <v>41886</v>
      </c>
      <c r="N6341" s="5"/>
      <c r="O6341">
        <v>279.5</v>
      </c>
      <c r="P6341">
        <v>216</v>
      </c>
      <c r="Q6341" s="2">
        <v>60372</v>
      </c>
      <c r="R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 s="1">
        <v>42382</v>
      </c>
      <c r="AC6341" t="s">
        <v>53</v>
      </c>
      <c r="AD6341" t="s">
        <v>53</v>
      </c>
      <c r="AK6341">
        <v>0</v>
      </c>
      <c r="AU6341" s="6">
        <v>42102</v>
      </c>
      <c r="AV6341" s="6">
        <v>42102</v>
      </c>
      <c r="AW6341" t="s">
        <v>54</v>
      </c>
      <c r="AX6341" t="str">
        <f t="shared" si="535"/>
        <v>FOR</v>
      </c>
      <c r="AY6341" t="s">
        <v>55</v>
      </c>
    </row>
    <row r="6342" spans="1:51" hidden="1">
      <c r="A6342">
        <v>104048</v>
      </c>
      <c r="B6342" t="s">
        <v>1198</v>
      </c>
      <c r="C6342" t="str">
        <f t="shared" si="534"/>
        <v>00674840152</v>
      </c>
      <c r="D6342" t="str">
        <f t="shared" si="534"/>
        <v>00674840152</v>
      </c>
      <c r="E6342" t="s">
        <v>52</v>
      </c>
      <c r="F6342">
        <v>2014</v>
      </c>
      <c r="G6342">
        <v>1567787</v>
      </c>
      <c r="H6342" s="1">
        <v>41785</v>
      </c>
      <c r="I6342" s="1">
        <v>41800</v>
      </c>
      <c r="J6342" s="1">
        <v>41800</v>
      </c>
      <c r="K6342" s="1">
        <v>41890</v>
      </c>
      <c r="N6342" s="5"/>
      <c r="O6342">
        <v>605.12</v>
      </c>
      <c r="P6342">
        <v>242</v>
      </c>
      <c r="Q6342" s="2">
        <v>146439.04000000001</v>
      </c>
      <c r="R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 s="1">
        <v>42382</v>
      </c>
      <c r="AC6342" t="s">
        <v>53</v>
      </c>
      <c r="AD6342" t="s">
        <v>53</v>
      </c>
      <c r="AK6342">
        <v>0</v>
      </c>
      <c r="AU6342" s="6">
        <v>42132</v>
      </c>
      <c r="AV6342" s="6">
        <v>42132</v>
      </c>
      <c r="AW6342" t="s">
        <v>54</v>
      </c>
      <c r="AX6342" t="str">
        <f t="shared" si="535"/>
        <v>FOR</v>
      </c>
      <c r="AY6342" t="s">
        <v>55</v>
      </c>
    </row>
    <row r="6343" spans="1:51" hidden="1">
      <c r="A6343">
        <v>104048</v>
      </c>
      <c r="B6343" t="s">
        <v>1198</v>
      </c>
      <c r="C6343" t="str">
        <f t="shared" si="534"/>
        <v>00674840152</v>
      </c>
      <c r="D6343" t="str">
        <f t="shared" si="534"/>
        <v>00674840152</v>
      </c>
      <c r="E6343" t="s">
        <v>52</v>
      </c>
      <c r="F6343">
        <v>2014</v>
      </c>
      <c r="G6343">
        <v>1569468</v>
      </c>
      <c r="H6343" s="1">
        <v>41793</v>
      </c>
      <c r="I6343" s="1">
        <v>41814</v>
      </c>
      <c r="J6343" s="1">
        <v>41814</v>
      </c>
      <c r="K6343" s="1">
        <v>41904</v>
      </c>
      <c r="N6343" s="5"/>
      <c r="O6343" s="2">
        <v>1320.45</v>
      </c>
      <c r="P6343">
        <v>255</v>
      </c>
      <c r="Q6343" s="2">
        <v>336714.75</v>
      </c>
      <c r="R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 s="1">
        <v>42382</v>
      </c>
      <c r="AC6343" t="s">
        <v>53</v>
      </c>
      <c r="AD6343" t="s">
        <v>53</v>
      </c>
      <c r="AK6343">
        <v>0</v>
      </c>
      <c r="AU6343" s="6">
        <v>42159</v>
      </c>
      <c r="AV6343" s="6">
        <v>42159</v>
      </c>
      <c r="AW6343" t="s">
        <v>54</v>
      </c>
      <c r="AX6343" t="str">
        <f t="shared" si="535"/>
        <v>FOR</v>
      </c>
      <c r="AY6343" t="s">
        <v>55</v>
      </c>
    </row>
    <row r="6344" spans="1:51" hidden="1">
      <c r="A6344">
        <v>104048</v>
      </c>
      <c r="B6344" t="s">
        <v>1198</v>
      </c>
      <c r="C6344" t="str">
        <f t="shared" si="534"/>
        <v>00674840152</v>
      </c>
      <c r="D6344" t="str">
        <f t="shared" si="534"/>
        <v>00674840152</v>
      </c>
      <c r="E6344" t="s">
        <v>52</v>
      </c>
      <c r="F6344">
        <v>2014</v>
      </c>
      <c r="G6344">
        <v>1570430</v>
      </c>
      <c r="H6344" s="1">
        <v>41799</v>
      </c>
      <c r="I6344" s="1">
        <v>41814</v>
      </c>
      <c r="J6344" s="1">
        <v>41814</v>
      </c>
      <c r="K6344" s="1">
        <v>41904</v>
      </c>
      <c r="N6344" s="5"/>
      <c r="O6344">
        <v>241.86</v>
      </c>
      <c r="P6344">
        <v>255</v>
      </c>
      <c r="Q6344" s="2">
        <v>61674.3</v>
      </c>
      <c r="R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 s="1">
        <v>42382</v>
      </c>
      <c r="AC6344" t="s">
        <v>53</v>
      </c>
      <c r="AD6344" t="s">
        <v>53</v>
      </c>
      <c r="AK6344">
        <v>0</v>
      </c>
      <c r="AU6344" s="6">
        <v>42159</v>
      </c>
      <c r="AV6344" s="6">
        <v>42159</v>
      </c>
      <c r="AW6344" t="s">
        <v>54</v>
      </c>
      <c r="AX6344" t="str">
        <f t="shared" si="535"/>
        <v>FOR</v>
      </c>
      <c r="AY6344" t="s">
        <v>55</v>
      </c>
    </row>
    <row r="6345" spans="1:51" hidden="1">
      <c r="A6345">
        <v>104048</v>
      </c>
      <c r="B6345" t="s">
        <v>1198</v>
      </c>
      <c r="C6345" t="str">
        <f t="shared" si="534"/>
        <v>00674840152</v>
      </c>
      <c r="D6345" t="str">
        <f t="shared" si="534"/>
        <v>00674840152</v>
      </c>
      <c r="E6345" t="s">
        <v>52</v>
      </c>
      <c r="F6345">
        <v>2014</v>
      </c>
      <c r="G6345">
        <v>1570431</v>
      </c>
      <c r="H6345" s="1">
        <v>41799</v>
      </c>
      <c r="I6345" s="1">
        <v>41814</v>
      </c>
      <c r="J6345" s="1">
        <v>41814</v>
      </c>
      <c r="K6345" s="1">
        <v>41904</v>
      </c>
      <c r="N6345" s="5"/>
      <c r="O6345" s="2">
        <v>1251.72</v>
      </c>
      <c r="P6345">
        <v>255</v>
      </c>
      <c r="Q6345" s="2">
        <v>319188.59999999998</v>
      </c>
      <c r="R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 s="1">
        <v>42382</v>
      </c>
      <c r="AC6345" t="s">
        <v>53</v>
      </c>
      <c r="AD6345" t="s">
        <v>53</v>
      </c>
      <c r="AK6345">
        <v>0</v>
      </c>
      <c r="AU6345" s="6">
        <v>42159</v>
      </c>
      <c r="AV6345" s="6">
        <v>42159</v>
      </c>
      <c r="AW6345" t="s">
        <v>54</v>
      </c>
      <c r="AX6345" t="str">
        <f t="shared" si="535"/>
        <v>FOR</v>
      </c>
      <c r="AY6345" t="s">
        <v>55</v>
      </c>
    </row>
    <row r="6346" spans="1:51" hidden="1">
      <c r="A6346">
        <v>104048</v>
      </c>
      <c r="B6346" t="s">
        <v>1198</v>
      </c>
      <c r="C6346" t="str">
        <f t="shared" si="534"/>
        <v>00674840152</v>
      </c>
      <c r="D6346" t="str">
        <f t="shared" si="534"/>
        <v>00674840152</v>
      </c>
      <c r="E6346" t="s">
        <v>52</v>
      </c>
      <c r="F6346">
        <v>2014</v>
      </c>
      <c r="G6346">
        <v>1573857</v>
      </c>
      <c r="H6346" s="1">
        <v>41810</v>
      </c>
      <c r="I6346" s="1">
        <v>41827</v>
      </c>
      <c r="J6346" s="1">
        <v>41827</v>
      </c>
      <c r="K6346" s="1">
        <v>41917</v>
      </c>
      <c r="N6346" s="5"/>
      <c r="O6346">
        <v>813.53</v>
      </c>
      <c r="P6346">
        <v>242</v>
      </c>
      <c r="Q6346" s="2">
        <v>196874.26</v>
      </c>
      <c r="R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 s="1">
        <v>42382</v>
      </c>
      <c r="AC6346" t="s">
        <v>53</v>
      </c>
      <c r="AD6346" t="s">
        <v>53</v>
      </c>
      <c r="AK6346">
        <v>0</v>
      </c>
      <c r="AU6346" s="6">
        <v>42159</v>
      </c>
      <c r="AV6346" s="6">
        <v>42159</v>
      </c>
      <c r="AW6346" t="s">
        <v>54</v>
      </c>
      <c r="AX6346" t="str">
        <f t="shared" si="535"/>
        <v>FOR</v>
      </c>
      <c r="AY6346" t="s">
        <v>55</v>
      </c>
    </row>
    <row r="6347" spans="1:51" hidden="1">
      <c r="A6347">
        <v>104048</v>
      </c>
      <c r="B6347" t="s">
        <v>1198</v>
      </c>
      <c r="C6347" t="str">
        <f t="shared" si="534"/>
        <v>00674840152</v>
      </c>
      <c r="D6347" t="str">
        <f t="shared" si="534"/>
        <v>00674840152</v>
      </c>
      <c r="E6347" t="s">
        <v>52</v>
      </c>
      <c r="F6347">
        <v>2014</v>
      </c>
      <c r="G6347">
        <v>1573858</v>
      </c>
      <c r="H6347" s="1">
        <v>41810</v>
      </c>
      <c r="I6347" s="1">
        <v>41827</v>
      </c>
      <c r="J6347" s="1">
        <v>41827</v>
      </c>
      <c r="K6347" s="1">
        <v>41917</v>
      </c>
      <c r="N6347" s="5"/>
      <c r="O6347">
        <v>350.99</v>
      </c>
      <c r="P6347">
        <v>242</v>
      </c>
      <c r="Q6347" s="2">
        <v>84939.58</v>
      </c>
      <c r="R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 s="1">
        <v>42382</v>
      </c>
      <c r="AC6347" t="s">
        <v>53</v>
      </c>
      <c r="AD6347" t="s">
        <v>53</v>
      </c>
      <c r="AK6347">
        <v>0</v>
      </c>
      <c r="AU6347" s="6">
        <v>42159</v>
      </c>
      <c r="AV6347" s="6">
        <v>42159</v>
      </c>
      <c r="AW6347" t="s">
        <v>54</v>
      </c>
      <c r="AX6347" t="str">
        <f t="shared" si="535"/>
        <v>FOR</v>
      </c>
      <c r="AY6347" t="s">
        <v>55</v>
      </c>
    </row>
    <row r="6348" spans="1:51" hidden="1">
      <c r="A6348">
        <v>104048</v>
      </c>
      <c r="B6348" t="s">
        <v>1198</v>
      </c>
      <c r="C6348" t="str">
        <f t="shared" si="534"/>
        <v>00674840152</v>
      </c>
      <c r="D6348" t="str">
        <f t="shared" si="534"/>
        <v>00674840152</v>
      </c>
      <c r="E6348" t="s">
        <v>52</v>
      </c>
      <c r="F6348">
        <v>2014</v>
      </c>
      <c r="G6348">
        <v>1574411</v>
      </c>
      <c r="H6348" s="1">
        <v>41814</v>
      </c>
      <c r="I6348" s="1">
        <v>41827</v>
      </c>
      <c r="J6348" s="1">
        <v>41827</v>
      </c>
      <c r="K6348" s="1">
        <v>41917</v>
      </c>
      <c r="N6348" s="5"/>
      <c r="O6348">
        <v>315.27</v>
      </c>
      <c r="P6348">
        <v>242</v>
      </c>
      <c r="Q6348" s="2">
        <v>76295.34</v>
      </c>
      <c r="R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 s="1">
        <v>42382</v>
      </c>
      <c r="AC6348" t="s">
        <v>53</v>
      </c>
      <c r="AD6348" t="s">
        <v>53</v>
      </c>
      <c r="AK6348">
        <v>0</v>
      </c>
      <c r="AU6348" s="6">
        <v>42159</v>
      </c>
      <c r="AV6348" s="6">
        <v>42159</v>
      </c>
      <c r="AW6348" t="s">
        <v>54</v>
      </c>
      <c r="AX6348" t="str">
        <f t="shared" si="535"/>
        <v>FOR</v>
      </c>
      <c r="AY6348" t="s">
        <v>55</v>
      </c>
    </row>
    <row r="6349" spans="1:51" hidden="1">
      <c r="A6349">
        <v>104048</v>
      </c>
      <c r="B6349" t="s">
        <v>1198</v>
      </c>
      <c r="C6349" t="str">
        <f t="shared" si="534"/>
        <v>00674840152</v>
      </c>
      <c r="D6349" t="str">
        <f t="shared" si="534"/>
        <v>00674840152</v>
      </c>
      <c r="E6349" t="s">
        <v>52</v>
      </c>
      <c r="F6349">
        <v>2014</v>
      </c>
      <c r="G6349">
        <v>1574412</v>
      </c>
      <c r="H6349" s="1">
        <v>41814</v>
      </c>
      <c r="I6349" s="1">
        <v>41827</v>
      </c>
      <c r="J6349" s="1">
        <v>41827</v>
      </c>
      <c r="K6349" s="1">
        <v>41917</v>
      </c>
      <c r="N6349" s="5"/>
      <c r="O6349">
        <v>54.64</v>
      </c>
      <c r="P6349">
        <v>242</v>
      </c>
      <c r="Q6349" s="2">
        <v>13222.88</v>
      </c>
      <c r="R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 s="1">
        <v>42382</v>
      </c>
      <c r="AC6349" t="s">
        <v>53</v>
      </c>
      <c r="AD6349" t="s">
        <v>53</v>
      </c>
      <c r="AK6349">
        <v>0</v>
      </c>
      <c r="AU6349" s="6">
        <v>42159</v>
      </c>
      <c r="AV6349" s="6">
        <v>42159</v>
      </c>
      <c r="AW6349" t="s">
        <v>54</v>
      </c>
      <c r="AX6349" t="str">
        <f t="shared" si="535"/>
        <v>FOR</v>
      </c>
      <c r="AY6349" t="s">
        <v>55</v>
      </c>
    </row>
    <row r="6350" spans="1:51" hidden="1">
      <c r="A6350">
        <v>104048</v>
      </c>
      <c r="B6350" t="s">
        <v>1198</v>
      </c>
      <c r="C6350" t="str">
        <f t="shared" si="534"/>
        <v>00674840152</v>
      </c>
      <c r="D6350" t="str">
        <f t="shared" si="534"/>
        <v>00674840152</v>
      </c>
      <c r="E6350" t="s">
        <v>52</v>
      </c>
      <c r="F6350">
        <v>2014</v>
      </c>
      <c r="G6350">
        <v>1576628</v>
      </c>
      <c r="H6350" s="1">
        <v>41822</v>
      </c>
      <c r="I6350" s="1">
        <v>41834</v>
      </c>
      <c r="J6350" s="1">
        <v>41834</v>
      </c>
      <c r="K6350" s="1">
        <v>41924</v>
      </c>
      <c r="N6350" s="5"/>
      <c r="O6350">
        <v>623.77</v>
      </c>
      <c r="P6350">
        <v>260</v>
      </c>
      <c r="Q6350" s="2">
        <v>162180.20000000001</v>
      </c>
      <c r="R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 s="1">
        <v>42382</v>
      </c>
      <c r="AC6350" t="s">
        <v>53</v>
      </c>
      <c r="AD6350" t="s">
        <v>53</v>
      </c>
      <c r="AK6350">
        <v>0</v>
      </c>
      <c r="AU6350" s="6">
        <v>42184</v>
      </c>
      <c r="AV6350" s="6">
        <v>42184</v>
      </c>
      <c r="AW6350" t="s">
        <v>54</v>
      </c>
      <c r="AX6350" t="str">
        <f t="shared" si="535"/>
        <v>FOR</v>
      </c>
      <c r="AY6350" t="s">
        <v>55</v>
      </c>
    </row>
    <row r="6351" spans="1:51" hidden="1">
      <c r="A6351">
        <v>104048</v>
      </c>
      <c r="B6351" t="s">
        <v>1198</v>
      </c>
      <c r="C6351" t="str">
        <f t="shared" si="534"/>
        <v>00674840152</v>
      </c>
      <c r="D6351" t="str">
        <f t="shared" si="534"/>
        <v>00674840152</v>
      </c>
      <c r="E6351" t="s">
        <v>52</v>
      </c>
      <c r="F6351">
        <v>2014</v>
      </c>
      <c r="G6351">
        <v>1576629</v>
      </c>
      <c r="H6351" s="1">
        <v>41822</v>
      </c>
      <c r="I6351" s="1">
        <v>41834</v>
      </c>
      <c r="J6351" s="1">
        <v>41834</v>
      </c>
      <c r="K6351" s="1">
        <v>41924</v>
      </c>
      <c r="N6351" s="5"/>
      <c r="O6351">
        <v>698.86</v>
      </c>
      <c r="P6351">
        <v>260</v>
      </c>
      <c r="Q6351" s="2">
        <v>181703.6</v>
      </c>
      <c r="R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 s="1">
        <v>42382</v>
      </c>
      <c r="AC6351" t="s">
        <v>53</v>
      </c>
      <c r="AD6351" t="s">
        <v>53</v>
      </c>
      <c r="AK6351">
        <v>0</v>
      </c>
      <c r="AU6351" s="6">
        <v>42184</v>
      </c>
      <c r="AV6351" s="6">
        <v>42184</v>
      </c>
      <c r="AW6351" t="s">
        <v>54</v>
      </c>
      <c r="AX6351" t="str">
        <f t="shared" si="535"/>
        <v>FOR</v>
      </c>
      <c r="AY6351" t="s">
        <v>55</v>
      </c>
    </row>
    <row r="6352" spans="1:51" hidden="1">
      <c r="A6352">
        <v>104048</v>
      </c>
      <c r="B6352" t="s">
        <v>1198</v>
      </c>
      <c r="C6352" t="str">
        <f t="shared" si="534"/>
        <v>00674840152</v>
      </c>
      <c r="D6352" t="str">
        <f t="shared" si="534"/>
        <v>00674840152</v>
      </c>
      <c r="E6352" t="s">
        <v>52</v>
      </c>
      <c r="F6352">
        <v>2014</v>
      </c>
      <c r="G6352">
        <v>1576951</v>
      </c>
      <c r="H6352" s="1">
        <v>41823</v>
      </c>
      <c r="I6352" s="1">
        <v>41841</v>
      </c>
      <c r="J6352" s="1">
        <v>41841</v>
      </c>
      <c r="K6352" s="1">
        <v>41931</v>
      </c>
      <c r="N6352" s="5"/>
      <c r="O6352">
        <v>646.79999999999995</v>
      </c>
      <c r="P6352">
        <v>253</v>
      </c>
      <c r="Q6352" s="2">
        <v>163640.4</v>
      </c>
      <c r="R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 s="1">
        <v>42382</v>
      </c>
      <c r="AC6352" t="s">
        <v>53</v>
      </c>
      <c r="AD6352" t="s">
        <v>53</v>
      </c>
      <c r="AK6352">
        <v>0</v>
      </c>
      <c r="AU6352" s="6">
        <v>42184</v>
      </c>
      <c r="AV6352" s="6">
        <v>42184</v>
      </c>
      <c r="AW6352" t="s">
        <v>54</v>
      </c>
      <c r="AX6352" t="str">
        <f t="shared" si="535"/>
        <v>FOR</v>
      </c>
      <c r="AY6352" t="s">
        <v>55</v>
      </c>
    </row>
    <row r="6353" spans="1:51" hidden="1">
      <c r="A6353">
        <v>104048</v>
      </c>
      <c r="B6353" t="s">
        <v>1198</v>
      </c>
      <c r="C6353" t="str">
        <f t="shared" si="534"/>
        <v>00674840152</v>
      </c>
      <c r="D6353" t="str">
        <f t="shared" si="534"/>
        <v>00674840152</v>
      </c>
      <c r="E6353" t="s">
        <v>52</v>
      </c>
      <c r="F6353">
        <v>2014</v>
      </c>
      <c r="G6353">
        <v>1578362</v>
      </c>
      <c r="H6353" s="1">
        <v>41830</v>
      </c>
      <c r="I6353" s="1">
        <v>41849</v>
      </c>
      <c r="J6353" s="1">
        <v>41849</v>
      </c>
      <c r="K6353" s="1">
        <v>41939</v>
      </c>
      <c r="N6353" s="5"/>
      <c r="O6353" s="2">
        <v>1070.06</v>
      </c>
      <c r="P6353">
        <v>245</v>
      </c>
      <c r="Q6353" s="2">
        <v>262164.7</v>
      </c>
      <c r="R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 s="1">
        <v>42382</v>
      </c>
      <c r="AC6353" t="s">
        <v>53</v>
      </c>
      <c r="AD6353" t="s">
        <v>53</v>
      </c>
      <c r="AK6353">
        <v>0</v>
      </c>
      <c r="AU6353" s="6">
        <v>42184</v>
      </c>
      <c r="AV6353" s="6">
        <v>42184</v>
      </c>
      <c r="AW6353" t="s">
        <v>54</v>
      </c>
      <c r="AX6353" t="str">
        <f t="shared" si="535"/>
        <v>FOR</v>
      </c>
      <c r="AY6353" t="s">
        <v>55</v>
      </c>
    </row>
    <row r="6354" spans="1:51" hidden="1">
      <c r="A6354">
        <v>104048</v>
      </c>
      <c r="B6354" t="s">
        <v>1198</v>
      </c>
      <c r="C6354" t="str">
        <f t="shared" si="534"/>
        <v>00674840152</v>
      </c>
      <c r="D6354" t="str">
        <f t="shared" si="534"/>
        <v>00674840152</v>
      </c>
      <c r="E6354" t="s">
        <v>52</v>
      </c>
      <c r="F6354">
        <v>2014</v>
      </c>
      <c r="G6354">
        <v>1578363</v>
      </c>
      <c r="H6354" s="1">
        <v>41830</v>
      </c>
      <c r="I6354" s="1">
        <v>41849</v>
      </c>
      <c r="J6354" s="1">
        <v>41849</v>
      </c>
      <c r="K6354" s="1">
        <v>41939</v>
      </c>
      <c r="N6354" s="5"/>
      <c r="O6354">
        <v>527.35</v>
      </c>
      <c r="P6354">
        <v>245</v>
      </c>
      <c r="Q6354" s="2">
        <v>129200.75</v>
      </c>
      <c r="R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 s="1">
        <v>42382</v>
      </c>
      <c r="AC6354" t="s">
        <v>53</v>
      </c>
      <c r="AD6354" t="s">
        <v>53</v>
      </c>
      <c r="AK6354">
        <v>0</v>
      </c>
      <c r="AU6354" s="6">
        <v>42184</v>
      </c>
      <c r="AV6354" s="6">
        <v>42184</v>
      </c>
      <c r="AW6354" t="s">
        <v>54</v>
      </c>
      <c r="AX6354" t="str">
        <f t="shared" si="535"/>
        <v>FOR</v>
      </c>
      <c r="AY6354" t="s">
        <v>55</v>
      </c>
    </row>
    <row r="6355" spans="1:51" hidden="1">
      <c r="A6355">
        <v>104048</v>
      </c>
      <c r="B6355" t="s">
        <v>1198</v>
      </c>
      <c r="C6355" t="str">
        <f t="shared" si="534"/>
        <v>00674840152</v>
      </c>
      <c r="D6355" t="str">
        <f t="shared" si="534"/>
        <v>00674840152</v>
      </c>
      <c r="E6355" t="s">
        <v>52</v>
      </c>
      <c r="F6355">
        <v>2014</v>
      </c>
      <c r="G6355">
        <v>1578364</v>
      </c>
      <c r="H6355" s="1">
        <v>41830</v>
      </c>
      <c r="I6355" s="1">
        <v>41849</v>
      </c>
      <c r="J6355" s="1">
        <v>41849</v>
      </c>
      <c r="K6355" s="1">
        <v>41939</v>
      </c>
      <c r="N6355" s="5"/>
      <c r="O6355">
        <v>136.1</v>
      </c>
      <c r="P6355">
        <v>245</v>
      </c>
      <c r="Q6355" s="2">
        <v>33344.5</v>
      </c>
      <c r="R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 s="1">
        <v>42382</v>
      </c>
      <c r="AC6355" t="s">
        <v>53</v>
      </c>
      <c r="AD6355" t="s">
        <v>53</v>
      </c>
      <c r="AK6355">
        <v>0</v>
      </c>
      <c r="AU6355" s="6">
        <v>42184</v>
      </c>
      <c r="AV6355" s="6">
        <v>42184</v>
      </c>
      <c r="AW6355" t="s">
        <v>54</v>
      </c>
      <c r="AX6355" t="str">
        <f t="shared" si="535"/>
        <v>FOR</v>
      </c>
      <c r="AY6355" t="s">
        <v>55</v>
      </c>
    </row>
    <row r="6356" spans="1:51" hidden="1">
      <c r="A6356">
        <v>104048</v>
      </c>
      <c r="B6356" t="s">
        <v>1198</v>
      </c>
      <c r="C6356" t="str">
        <f t="shared" si="534"/>
        <v>00674840152</v>
      </c>
      <c r="D6356" t="str">
        <f t="shared" si="534"/>
        <v>00674840152</v>
      </c>
      <c r="E6356" t="s">
        <v>52</v>
      </c>
      <c r="F6356">
        <v>2014</v>
      </c>
      <c r="G6356">
        <v>1578365</v>
      </c>
      <c r="H6356" s="1">
        <v>41830</v>
      </c>
      <c r="I6356" s="1">
        <v>41849</v>
      </c>
      <c r="J6356" s="1">
        <v>41849</v>
      </c>
      <c r="K6356" s="1">
        <v>41939</v>
      </c>
      <c r="N6356" s="5"/>
      <c r="O6356">
        <v>196.25</v>
      </c>
      <c r="P6356">
        <v>245</v>
      </c>
      <c r="Q6356" s="2">
        <v>48081.25</v>
      </c>
      <c r="R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 s="1">
        <v>42382</v>
      </c>
      <c r="AC6356" t="s">
        <v>53</v>
      </c>
      <c r="AD6356" t="s">
        <v>53</v>
      </c>
      <c r="AK6356">
        <v>0</v>
      </c>
      <c r="AU6356" s="6">
        <v>42184</v>
      </c>
      <c r="AV6356" s="6">
        <v>42184</v>
      </c>
      <c r="AW6356" t="s">
        <v>54</v>
      </c>
      <c r="AX6356" t="str">
        <f t="shared" si="535"/>
        <v>FOR</v>
      </c>
      <c r="AY6356" t="s">
        <v>55</v>
      </c>
    </row>
    <row r="6357" spans="1:51" hidden="1">
      <c r="A6357">
        <v>104048</v>
      </c>
      <c r="B6357" t="s">
        <v>1198</v>
      </c>
      <c r="C6357" t="str">
        <f t="shared" ref="C6357:D6376" si="536">"00674840152"</f>
        <v>00674840152</v>
      </c>
      <c r="D6357" t="str">
        <f t="shared" si="536"/>
        <v>00674840152</v>
      </c>
      <c r="E6357" t="s">
        <v>52</v>
      </c>
      <c r="F6357">
        <v>2014</v>
      </c>
      <c r="G6357">
        <v>1578366</v>
      </c>
      <c r="H6357" s="1">
        <v>41830</v>
      </c>
      <c r="I6357" s="1">
        <v>41849</v>
      </c>
      <c r="J6357" s="1">
        <v>41849</v>
      </c>
      <c r="K6357" s="1">
        <v>41939</v>
      </c>
      <c r="N6357" s="5"/>
      <c r="O6357">
        <v>136.1</v>
      </c>
      <c r="P6357">
        <v>245</v>
      </c>
      <c r="Q6357" s="2">
        <v>33344.5</v>
      </c>
      <c r="R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 s="1">
        <v>42382</v>
      </c>
      <c r="AC6357" t="s">
        <v>53</v>
      </c>
      <c r="AD6357" t="s">
        <v>53</v>
      </c>
      <c r="AK6357">
        <v>0</v>
      </c>
      <c r="AU6357" s="6">
        <v>42184</v>
      </c>
      <c r="AV6357" s="6">
        <v>42184</v>
      </c>
      <c r="AW6357" t="s">
        <v>54</v>
      </c>
      <c r="AX6357" t="str">
        <f t="shared" si="535"/>
        <v>FOR</v>
      </c>
      <c r="AY6357" t="s">
        <v>55</v>
      </c>
    </row>
    <row r="6358" spans="1:51" hidden="1">
      <c r="A6358">
        <v>104048</v>
      </c>
      <c r="B6358" t="s">
        <v>1198</v>
      </c>
      <c r="C6358" t="str">
        <f t="shared" si="536"/>
        <v>00674840152</v>
      </c>
      <c r="D6358" t="str">
        <f t="shared" si="536"/>
        <v>00674840152</v>
      </c>
      <c r="E6358" t="s">
        <v>52</v>
      </c>
      <c r="F6358">
        <v>2014</v>
      </c>
      <c r="G6358">
        <v>1578671</v>
      </c>
      <c r="H6358" s="1">
        <v>41831</v>
      </c>
      <c r="I6358" s="1">
        <v>41849</v>
      </c>
      <c r="J6358" s="1">
        <v>41849</v>
      </c>
      <c r="K6358" s="1">
        <v>41939</v>
      </c>
      <c r="N6358" s="5"/>
      <c r="O6358">
        <v>907.68</v>
      </c>
      <c r="P6358">
        <v>245</v>
      </c>
      <c r="Q6358" s="2">
        <v>222381.6</v>
      </c>
      <c r="R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 s="1">
        <v>42382</v>
      </c>
      <c r="AC6358" t="s">
        <v>53</v>
      </c>
      <c r="AD6358" t="s">
        <v>53</v>
      </c>
      <c r="AK6358">
        <v>0</v>
      </c>
      <c r="AU6358" s="6">
        <v>42184</v>
      </c>
      <c r="AV6358" s="6">
        <v>42184</v>
      </c>
      <c r="AW6358" t="s">
        <v>54</v>
      </c>
      <c r="AX6358" t="str">
        <f t="shared" si="535"/>
        <v>FOR</v>
      </c>
      <c r="AY6358" t="s">
        <v>55</v>
      </c>
    </row>
    <row r="6359" spans="1:51" hidden="1">
      <c r="A6359">
        <v>104048</v>
      </c>
      <c r="B6359" t="s">
        <v>1198</v>
      </c>
      <c r="C6359" t="str">
        <f t="shared" si="536"/>
        <v>00674840152</v>
      </c>
      <c r="D6359" t="str">
        <f t="shared" si="536"/>
        <v>00674840152</v>
      </c>
      <c r="E6359" t="s">
        <v>52</v>
      </c>
      <c r="F6359">
        <v>2014</v>
      </c>
      <c r="G6359">
        <v>1578672</v>
      </c>
      <c r="H6359" s="1">
        <v>41831</v>
      </c>
      <c r="I6359" s="1">
        <v>41849</v>
      </c>
      <c r="J6359" s="1">
        <v>41849</v>
      </c>
      <c r="K6359" s="1">
        <v>41939</v>
      </c>
      <c r="N6359" s="5"/>
      <c r="O6359">
        <v>362.79</v>
      </c>
      <c r="P6359">
        <v>245</v>
      </c>
      <c r="Q6359" s="2">
        <v>88883.55</v>
      </c>
      <c r="R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 s="1">
        <v>42382</v>
      </c>
      <c r="AC6359" t="s">
        <v>53</v>
      </c>
      <c r="AD6359" t="s">
        <v>53</v>
      </c>
      <c r="AK6359">
        <v>0</v>
      </c>
      <c r="AU6359" s="6">
        <v>42184</v>
      </c>
      <c r="AV6359" s="6">
        <v>42184</v>
      </c>
      <c r="AW6359" t="s">
        <v>54</v>
      </c>
      <c r="AX6359" t="str">
        <f t="shared" si="535"/>
        <v>FOR</v>
      </c>
      <c r="AY6359" t="s">
        <v>55</v>
      </c>
    </row>
    <row r="6360" spans="1:51" hidden="1">
      <c r="A6360">
        <v>104048</v>
      </c>
      <c r="B6360" t="s">
        <v>1198</v>
      </c>
      <c r="C6360" t="str">
        <f t="shared" si="536"/>
        <v>00674840152</v>
      </c>
      <c r="D6360" t="str">
        <f t="shared" si="536"/>
        <v>00674840152</v>
      </c>
      <c r="E6360" t="s">
        <v>52</v>
      </c>
      <c r="F6360">
        <v>2014</v>
      </c>
      <c r="G6360">
        <v>1579602</v>
      </c>
      <c r="H6360" s="1">
        <v>41834</v>
      </c>
      <c r="I6360" s="1">
        <v>41849</v>
      </c>
      <c r="J6360" s="1">
        <v>41849</v>
      </c>
      <c r="K6360" s="1">
        <v>41939</v>
      </c>
      <c r="N6360" s="5"/>
      <c r="O6360" s="2">
        <v>3507.5</v>
      </c>
      <c r="P6360">
        <v>245</v>
      </c>
      <c r="Q6360" s="2">
        <v>859337.5</v>
      </c>
      <c r="R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 s="1">
        <v>42382</v>
      </c>
      <c r="AC6360" t="s">
        <v>53</v>
      </c>
      <c r="AD6360" t="s">
        <v>53</v>
      </c>
      <c r="AK6360">
        <v>0</v>
      </c>
      <c r="AU6360" s="6">
        <v>42184</v>
      </c>
      <c r="AV6360" s="6">
        <v>42184</v>
      </c>
      <c r="AW6360" t="s">
        <v>54</v>
      </c>
      <c r="AX6360" t="str">
        <f t="shared" si="535"/>
        <v>FOR</v>
      </c>
      <c r="AY6360" t="s">
        <v>55</v>
      </c>
    </row>
    <row r="6361" spans="1:51" hidden="1">
      <c r="A6361">
        <v>104048</v>
      </c>
      <c r="B6361" t="s">
        <v>1198</v>
      </c>
      <c r="C6361" t="str">
        <f t="shared" si="536"/>
        <v>00674840152</v>
      </c>
      <c r="D6361" t="str">
        <f t="shared" si="536"/>
        <v>00674840152</v>
      </c>
      <c r="E6361" t="s">
        <v>52</v>
      </c>
      <c r="F6361">
        <v>2014</v>
      </c>
      <c r="G6361">
        <v>1580566</v>
      </c>
      <c r="H6361" s="1">
        <v>41837</v>
      </c>
      <c r="I6361" s="1">
        <v>41872</v>
      </c>
      <c r="J6361" s="1">
        <v>41872</v>
      </c>
      <c r="K6361" s="1">
        <v>41962</v>
      </c>
      <c r="N6361" s="5"/>
      <c r="O6361">
        <v>109.29</v>
      </c>
      <c r="P6361">
        <v>222</v>
      </c>
      <c r="Q6361" s="2">
        <v>24262.38</v>
      </c>
      <c r="R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 s="1">
        <v>42382</v>
      </c>
      <c r="AC6361" t="s">
        <v>53</v>
      </c>
      <c r="AD6361" t="s">
        <v>53</v>
      </c>
      <c r="AK6361">
        <v>0</v>
      </c>
      <c r="AU6361" s="6">
        <v>42184</v>
      </c>
      <c r="AV6361" s="6">
        <v>42184</v>
      </c>
      <c r="AW6361" t="s">
        <v>54</v>
      </c>
      <c r="AX6361" t="str">
        <f t="shared" si="535"/>
        <v>FOR</v>
      </c>
      <c r="AY6361" t="s">
        <v>55</v>
      </c>
    </row>
    <row r="6362" spans="1:51" hidden="1">
      <c r="A6362">
        <v>104048</v>
      </c>
      <c r="B6362" t="s">
        <v>1198</v>
      </c>
      <c r="C6362" t="str">
        <f t="shared" si="536"/>
        <v>00674840152</v>
      </c>
      <c r="D6362" t="str">
        <f t="shared" si="536"/>
        <v>00674840152</v>
      </c>
      <c r="E6362" t="s">
        <v>52</v>
      </c>
      <c r="F6362">
        <v>2014</v>
      </c>
      <c r="G6362">
        <v>1580567</v>
      </c>
      <c r="H6362" s="1">
        <v>41837</v>
      </c>
      <c r="I6362" s="1">
        <v>41872</v>
      </c>
      <c r="J6362" s="1">
        <v>41872</v>
      </c>
      <c r="K6362" s="1">
        <v>41962</v>
      </c>
      <c r="N6362" s="5"/>
      <c r="O6362">
        <v>157.26</v>
      </c>
      <c r="P6362">
        <v>222</v>
      </c>
      <c r="Q6362" s="2">
        <v>34911.72</v>
      </c>
      <c r="R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 s="1">
        <v>42382</v>
      </c>
      <c r="AC6362" t="s">
        <v>53</v>
      </c>
      <c r="AD6362" t="s">
        <v>53</v>
      </c>
      <c r="AK6362">
        <v>0</v>
      </c>
      <c r="AU6362" s="6">
        <v>42184</v>
      </c>
      <c r="AV6362" s="6">
        <v>42184</v>
      </c>
      <c r="AW6362" t="s">
        <v>54</v>
      </c>
      <c r="AX6362" t="str">
        <f t="shared" si="535"/>
        <v>FOR</v>
      </c>
      <c r="AY6362" t="s">
        <v>55</v>
      </c>
    </row>
    <row r="6363" spans="1:51" hidden="1">
      <c r="A6363">
        <v>104048</v>
      </c>
      <c r="B6363" t="s">
        <v>1198</v>
      </c>
      <c r="C6363" t="str">
        <f t="shared" si="536"/>
        <v>00674840152</v>
      </c>
      <c r="D6363" t="str">
        <f t="shared" si="536"/>
        <v>00674840152</v>
      </c>
      <c r="E6363" t="s">
        <v>52</v>
      </c>
      <c r="F6363">
        <v>2014</v>
      </c>
      <c r="G6363">
        <v>1580984</v>
      </c>
      <c r="H6363" s="1">
        <v>41838</v>
      </c>
      <c r="I6363" s="1">
        <v>41872</v>
      </c>
      <c r="J6363" s="1">
        <v>41872</v>
      </c>
      <c r="K6363" s="1">
        <v>41962</v>
      </c>
      <c r="N6363" s="5"/>
      <c r="O6363">
        <v>832.28</v>
      </c>
      <c r="P6363">
        <v>222</v>
      </c>
      <c r="Q6363" s="2">
        <v>184766.16</v>
      </c>
      <c r="R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 s="1">
        <v>42382</v>
      </c>
      <c r="AC6363" t="s">
        <v>53</v>
      </c>
      <c r="AD6363" t="s">
        <v>53</v>
      </c>
      <c r="AK6363">
        <v>0</v>
      </c>
      <c r="AU6363" s="6">
        <v>42184</v>
      </c>
      <c r="AV6363" s="6">
        <v>42184</v>
      </c>
      <c r="AW6363" t="s">
        <v>54</v>
      </c>
      <c r="AX6363" t="str">
        <f t="shared" si="535"/>
        <v>FOR</v>
      </c>
      <c r="AY6363" t="s">
        <v>55</v>
      </c>
    </row>
    <row r="6364" spans="1:51" hidden="1">
      <c r="A6364">
        <v>104048</v>
      </c>
      <c r="B6364" t="s">
        <v>1198</v>
      </c>
      <c r="C6364" t="str">
        <f t="shared" si="536"/>
        <v>00674840152</v>
      </c>
      <c r="D6364" t="str">
        <f t="shared" si="536"/>
        <v>00674840152</v>
      </c>
      <c r="E6364" t="s">
        <v>52</v>
      </c>
      <c r="F6364">
        <v>2014</v>
      </c>
      <c r="G6364">
        <v>1580985</v>
      </c>
      <c r="H6364" s="1">
        <v>41838</v>
      </c>
      <c r="I6364" s="1">
        <v>41872</v>
      </c>
      <c r="J6364" s="1">
        <v>41872</v>
      </c>
      <c r="K6364" s="1">
        <v>41962</v>
      </c>
      <c r="N6364" s="5"/>
      <c r="O6364" s="2">
        <v>1209.56</v>
      </c>
      <c r="P6364">
        <v>222</v>
      </c>
      <c r="Q6364" s="2">
        <v>268522.32</v>
      </c>
      <c r="R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 s="1">
        <v>42382</v>
      </c>
      <c r="AC6364" t="s">
        <v>53</v>
      </c>
      <c r="AD6364" t="s">
        <v>53</v>
      </c>
      <c r="AK6364">
        <v>0</v>
      </c>
      <c r="AU6364" s="6">
        <v>42184</v>
      </c>
      <c r="AV6364" s="6">
        <v>42184</v>
      </c>
      <c r="AW6364" t="s">
        <v>54</v>
      </c>
      <c r="AX6364" t="str">
        <f t="shared" si="535"/>
        <v>FOR</v>
      </c>
      <c r="AY6364" t="s">
        <v>55</v>
      </c>
    </row>
    <row r="6365" spans="1:51" hidden="1">
      <c r="A6365">
        <v>104048</v>
      </c>
      <c r="B6365" t="s">
        <v>1198</v>
      </c>
      <c r="C6365" t="str">
        <f t="shared" si="536"/>
        <v>00674840152</v>
      </c>
      <c r="D6365" t="str">
        <f t="shared" si="536"/>
        <v>00674840152</v>
      </c>
      <c r="E6365" t="s">
        <v>52</v>
      </c>
      <c r="F6365">
        <v>2014</v>
      </c>
      <c r="G6365">
        <v>1581636</v>
      </c>
      <c r="H6365" s="1">
        <v>41842</v>
      </c>
      <c r="I6365" s="1">
        <v>41872</v>
      </c>
      <c r="J6365" s="1">
        <v>41872</v>
      </c>
      <c r="K6365" s="1">
        <v>41962</v>
      </c>
      <c r="N6365" s="5"/>
      <c r="O6365" s="2">
        <v>1170.9100000000001</v>
      </c>
      <c r="P6365">
        <v>222</v>
      </c>
      <c r="Q6365" s="2">
        <v>259942.02</v>
      </c>
      <c r="R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 s="1">
        <v>42382</v>
      </c>
      <c r="AC6365" t="s">
        <v>53</v>
      </c>
      <c r="AD6365" t="s">
        <v>53</v>
      </c>
      <c r="AK6365">
        <v>0</v>
      </c>
      <c r="AU6365" s="6">
        <v>42184</v>
      </c>
      <c r="AV6365" s="6">
        <v>42184</v>
      </c>
      <c r="AW6365" t="s">
        <v>54</v>
      </c>
      <c r="AX6365" t="str">
        <f t="shared" si="535"/>
        <v>FOR</v>
      </c>
      <c r="AY6365" t="s">
        <v>55</v>
      </c>
    </row>
    <row r="6366" spans="1:51" hidden="1">
      <c r="A6366">
        <v>104048</v>
      </c>
      <c r="B6366" t="s">
        <v>1198</v>
      </c>
      <c r="C6366" t="str">
        <f t="shared" si="536"/>
        <v>00674840152</v>
      </c>
      <c r="D6366" t="str">
        <f t="shared" si="536"/>
        <v>00674840152</v>
      </c>
      <c r="E6366" t="s">
        <v>52</v>
      </c>
      <c r="F6366">
        <v>2014</v>
      </c>
      <c r="G6366">
        <v>1581637</v>
      </c>
      <c r="H6366" s="1">
        <v>41842</v>
      </c>
      <c r="I6366" s="1">
        <v>41872</v>
      </c>
      <c r="J6366" s="1">
        <v>41872</v>
      </c>
      <c r="K6366" s="1">
        <v>41962</v>
      </c>
      <c r="N6366" s="5"/>
      <c r="O6366">
        <v>956.97</v>
      </c>
      <c r="P6366">
        <v>222</v>
      </c>
      <c r="Q6366" s="2">
        <v>212447.34</v>
      </c>
      <c r="R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 s="1">
        <v>42382</v>
      </c>
      <c r="AC6366" t="s">
        <v>53</v>
      </c>
      <c r="AD6366" t="s">
        <v>53</v>
      </c>
      <c r="AK6366">
        <v>0</v>
      </c>
      <c r="AU6366" s="6">
        <v>42184</v>
      </c>
      <c r="AV6366" s="6">
        <v>42184</v>
      </c>
      <c r="AW6366" t="s">
        <v>54</v>
      </c>
      <c r="AX6366" t="str">
        <f t="shared" si="535"/>
        <v>FOR</v>
      </c>
      <c r="AY6366" t="s">
        <v>55</v>
      </c>
    </row>
    <row r="6367" spans="1:51" hidden="1">
      <c r="A6367">
        <v>104048</v>
      </c>
      <c r="B6367" t="s">
        <v>1198</v>
      </c>
      <c r="C6367" t="str">
        <f t="shared" si="536"/>
        <v>00674840152</v>
      </c>
      <c r="D6367" t="str">
        <f t="shared" si="536"/>
        <v>00674840152</v>
      </c>
      <c r="E6367" t="s">
        <v>52</v>
      </c>
      <c r="F6367">
        <v>2014</v>
      </c>
      <c r="G6367">
        <v>1581638</v>
      </c>
      <c r="H6367" s="1">
        <v>41842</v>
      </c>
      <c r="I6367" s="1">
        <v>41872</v>
      </c>
      <c r="J6367" s="1">
        <v>41872</v>
      </c>
      <c r="K6367" s="1">
        <v>41962</v>
      </c>
      <c r="N6367" s="5"/>
      <c r="O6367">
        <v>417.36</v>
      </c>
      <c r="P6367">
        <v>222</v>
      </c>
      <c r="Q6367" s="2">
        <v>92653.92</v>
      </c>
      <c r="R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 s="1">
        <v>42382</v>
      </c>
      <c r="AC6367" t="s">
        <v>53</v>
      </c>
      <c r="AD6367" t="s">
        <v>53</v>
      </c>
      <c r="AK6367">
        <v>0</v>
      </c>
      <c r="AU6367" s="6">
        <v>42184</v>
      </c>
      <c r="AV6367" s="6">
        <v>42184</v>
      </c>
      <c r="AW6367" t="s">
        <v>54</v>
      </c>
      <c r="AX6367" t="str">
        <f t="shared" si="535"/>
        <v>FOR</v>
      </c>
      <c r="AY6367" t="s">
        <v>55</v>
      </c>
    </row>
    <row r="6368" spans="1:51" hidden="1">
      <c r="A6368">
        <v>104048</v>
      </c>
      <c r="B6368" t="s">
        <v>1198</v>
      </c>
      <c r="C6368" t="str">
        <f t="shared" si="536"/>
        <v>00674840152</v>
      </c>
      <c r="D6368" t="str">
        <f t="shared" si="536"/>
        <v>00674840152</v>
      </c>
      <c r="E6368" t="s">
        <v>52</v>
      </c>
      <c r="F6368">
        <v>2014</v>
      </c>
      <c r="G6368">
        <v>1582112</v>
      </c>
      <c r="H6368" s="1">
        <v>41843</v>
      </c>
      <c r="I6368" s="1">
        <v>41873</v>
      </c>
      <c r="J6368" s="1">
        <v>41873</v>
      </c>
      <c r="K6368" s="1">
        <v>41963</v>
      </c>
      <c r="N6368" s="5"/>
      <c r="O6368" s="2">
        <v>8784</v>
      </c>
      <c r="P6368">
        <v>221</v>
      </c>
      <c r="Q6368" s="2">
        <v>1941264</v>
      </c>
      <c r="R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 s="1">
        <v>42382</v>
      </c>
      <c r="AC6368" t="s">
        <v>53</v>
      </c>
      <c r="AD6368" t="s">
        <v>53</v>
      </c>
      <c r="AK6368">
        <v>0</v>
      </c>
      <c r="AU6368" s="6">
        <v>42184</v>
      </c>
      <c r="AV6368" s="6">
        <v>42184</v>
      </c>
      <c r="AW6368" t="s">
        <v>54</v>
      </c>
      <c r="AX6368" t="str">
        <f t="shared" si="535"/>
        <v>FOR</v>
      </c>
      <c r="AY6368" t="s">
        <v>55</v>
      </c>
    </row>
    <row r="6369" spans="1:51" hidden="1">
      <c r="A6369">
        <v>104048</v>
      </c>
      <c r="B6369" t="s">
        <v>1198</v>
      </c>
      <c r="C6369" t="str">
        <f t="shared" si="536"/>
        <v>00674840152</v>
      </c>
      <c r="D6369" t="str">
        <f t="shared" si="536"/>
        <v>00674840152</v>
      </c>
      <c r="E6369" t="s">
        <v>52</v>
      </c>
      <c r="F6369">
        <v>2014</v>
      </c>
      <c r="G6369">
        <v>1583904</v>
      </c>
      <c r="H6369" s="1">
        <v>41850</v>
      </c>
      <c r="I6369" s="1">
        <v>41876</v>
      </c>
      <c r="J6369" s="1">
        <v>41876</v>
      </c>
      <c r="K6369" s="1">
        <v>41966</v>
      </c>
      <c r="N6369" s="5"/>
      <c r="O6369">
        <v>701.65</v>
      </c>
      <c r="P6369">
        <v>218</v>
      </c>
      <c r="Q6369" s="2">
        <v>152959.70000000001</v>
      </c>
      <c r="R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 s="1">
        <v>42382</v>
      </c>
      <c r="AC6369" t="s">
        <v>53</v>
      </c>
      <c r="AD6369" t="s">
        <v>53</v>
      </c>
      <c r="AK6369">
        <v>0</v>
      </c>
      <c r="AU6369" s="6">
        <v>42184</v>
      </c>
      <c r="AV6369" s="6">
        <v>42184</v>
      </c>
      <c r="AW6369" t="s">
        <v>54</v>
      </c>
      <c r="AX6369" t="str">
        <f t="shared" si="535"/>
        <v>FOR</v>
      </c>
      <c r="AY6369" t="s">
        <v>55</v>
      </c>
    </row>
    <row r="6370" spans="1:51" hidden="1">
      <c r="A6370">
        <v>104048</v>
      </c>
      <c r="B6370" t="s">
        <v>1198</v>
      </c>
      <c r="C6370" t="str">
        <f t="shared" si="536"/>
        <v>00674840152</v>
      </c>
      <c r="D6370" t="str">
        <f t="shared" si="536"/>
        <v>00674840152</v>
      </c>
      <c r="E6370" t="s">
        <v>52</v>
      </c>
      <c r="F6370">
        <v>2014</v>
      </c>
      <c r="G6370">
        <v>1584479</v>
      </c>
      <c r="H6370" s="1">
        <v>41852</v>
      </c>
      <c r="I6370" s="1">
        <v>41878</v>
      </c>
      <c r="J6370" s="1">
        <v>41878</v>
      </c>
      <c r="K6370" s="1">
        <v>41968</v>
      </c>
      <c r="N6370" s="5"/>
      <c r="O6370">
        <v>181.4</v>
      </c>
      <c r="P6370">
        <v>216</v>
      </c>
      <c r="Q6370" s="2">
        <v>39182.400000000001</v>
      </c>
      <c r="R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 s="1">
        <v>42382</v>
      </c>
      <c r="AC6370" t="s">
        <v>53</v>
      </c>
      <c r="AD6370" t="s">
        <v>53</v>
      </c>
      <c r="AK6370">
        <v>0</v>
      </c>
      <c r="AU6370" s="6">
        <v>42184</v>
      </c>
      <c r="AV6370" s="6">
        <v>42184</v>
      </c>
      <c r="AW6370" t="s">
        <v>54</v>
      </c>
      <c r="AX6370" t="str">
        <f t="shared" si="535"/>
        <v>FOR</v>
      </c>
      <c r="AY6370" t="s">
        <v>55</v>
      </c>
    </row>
    <row r="6371" spans="1:51" hidden="1">
      <c r="A6371">
        <v>104048</v>
      </c>
      <c r="B6371" t="s">
        <v>1198</v>
      </c>
      <c r="C6371" t="str">
        <f t="shared" si="536"/>
        <v>00674840152</v>
      </c>
      <c r="D6371" t="str">
        <f t="shared" si="536"/>
        <v>00674840152</v>
      </c>
      <c r="E6371" t="s">
        <v>52</v>
      </c>
      <c r="F6371">
        <v>2014</v>
      </c>
      <c r="G6371">
        <v>1584480</v>
      </c>
      <c r="H6371" s="1">
        <v>41852</v>
      </c>
      <c r="I6371" s="1">
        <v>41878</v>
      </c>
      <c r="J6371" s="1">
        <v>41878</v>
      </c>
      <c r="K6371" s="1">
        <v>41968</v>
      </c>
      <c r="N6371" s="5"/>
      <c r="O6371">
        <v>489.59</v>
      </c>
      <c r="P6371">
        <v>216</v>
      </c>
      <c r="Q6371" s="2">
        <v>105751.44</v>
      </c>
      <c r="R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 s="1">
        <v>42382</v>
      </c>
      <c r="AC6371" t="s">
        <v>53</v>
      </c>
      <c r="AD6371" t="s">
        <v>53</v>
      </c>
      <c r="AK6371">
        <v>0</v>
      </c>
      <c r="AU6371" s="6">
        <v>42184</v>
      </c>
      <c r="AV6371" s="6">
        <v>42184</v>
      </c>
      <c r="AW6371" t="s">
        <v>54</v>
      </c>
      <c r="AX6371" t="str">
        <f t="shared" si="535"/>
        <v>FOR</v>
      </c>
      <c r="AY6371" t="s">
        <v>55</v>
      </c>
    </row>
    <row r="6372" spans="1:51" hidden="1">
      <c r="A6372">
        <v>104048</v>
      </c>
      <c r="B6372" t="s">
        <v>1198</v>
      </c>
      <c r="C6372" t="str">
        <f t="shared" si="536"/>
        <v>00674840152</v>
      </c>
      <c r="D6372" t="str">
        <f t="shared" si="536"/>
        <v>00674840152</v>
      </c>
      <c r="E6372" t="s">
        <v>52</v>
      </c>
      <c r="F6372">
        <v>2014</v>
      </c>
      <c r="G6372">
        <v>1585193</v>
      </c>
      <c r="H6372" s="1">
        <v>41856</v>
      </c>
      <c r="I6372" s="1">
        <v>41878</v>
      </c>
      <c r="J6372" s="1">
        <v>41878</v>
      </c>
      <c r="K6372" s="1">
        <v>41968</v>
      </c>
      <c r="N6372" s="5"/>
      <c r="O6372">
        <v>644.79999999999995</v>
      </c>
      <c r="P6372">
        <v>216</v>
      </c>
      <c r="Q6372" s="2">
        <v>139276.79999999999</v>
      </c>
      <c r="R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 s="1">
        <v>42382</v>
      </c>
      <c r="AC6372" t="s">
        <v>53</v>
      </c>
      <c r="AD6372" t="s">
        <v>53</v>
      </c>
      <c r="AK6372">
        <v>0</v>
      </c>
      <c r="AU6372" s="6">
        <v>42184</v>
      </c>
      <c r="AV6372" s="6">
        <v>42184</v>
      </c>
      <c r="AW6372" t="s">
        <v>54</v>
      </c>
      <c r="AX6372" t="str">
        <f t="shared" si="535"/>
        <v>FOR</v>
      </c>
      <c r="AY6372" t="s">
        <v>55</v>
      </c>
    </row>
    <row r="6373" spans="1:51" hidden="1">
      <c r="A6373">
        <v>104048</v>
      </c>
      <c r="B6373" t="s">
        <v>1198</v>
      </c>
      <c r="C6373" t="str">
        <f t="shared" si="536"/>
        <v>00674840152</v>
      </c>
      <c r="D6373" t="str">
        <f t="shared" si="536"/>
        <v>00674840152</v>
      </c>
      <c r="E6373" t="s">
        <v>52</v>
      </c>
      <c r="F6373">
        <v>2014</v>
      </c>
      <c r="G6373">
        <v>1585485</v>
      </c>
      <c r="H6373" s="1">
        <v>41857</v>
      </c>
      <c r="I6373" s="1">
        <v>41877</v>
      </c>
      <c r="J6373" s="1">
        <v>41877</v>
      </c>
      <c r="K6373" s="1">
        <v>41967</v>
      </c>
      <c r="N6373" s="5"/>
      <c r="O6373">
        <v>646.79999999999995</v>
      </c>
      <c r="P6373">
        <v>217</v>
      </c>
      <c r="Q6373" s="2">
        <v>140355.6</v>
      </c>
      <c r="R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 s="1">
        <v>42382</v>
      </c>
      <c r="AC6373" t="s">
        <v>53</v>
      </c>
      <c r="AD6373" t="s">
        <v>53</v>
      </c>
      <c r="AK6373">
        <v>0</v>
      </c>
      <c r="AU6373" s="6">
        <v>42184</v>
      </c>
      <c r="AV6373" s="6">
        <v>42184</v>
      </c>
      <c r="AW6373" t="s">
        <v>54</v>
      </c>
      <c r="AX6373" t="str">
        <f t="shared" si="535"/>
        <v>FOR</v>
      </c>
      <c r="AY6373" t="s">
        <v>55</v>
      </c>
    </row>
    <row r="6374" spans="1:51" hidden="1">
      <c r="A6374">
        <v>104048</v>
      </c>
      <c r="B6374" t="s">
        <v>1198</v>
      </c>
      <c r="C6374" t="str">
        <f t="shared" si="536"/>
        <v>00674840152</v>
      </c>
      <c r="D6374" t="str">
        <f t="shared" si="536"/>
        <v>00674840152</v>
      </c>
      <c r="E6374" t="s">
        <v>52</v>
      </c>
      <c r="F6374">
        <v>2014</v>
      </c>
      <c r="G6374">
        <v>1587531</v>
      </c>
      <c r="H6374" s="1">
        <v>41876</v>
      </c>
      <c r="I6374" s="1">
        <v>41890</v>
      </c>
      <c r="J6374" s="1">
        <v>41890</v>
      </c>
      <c r="K6374" s="1">
        <v>41980</v>
      </c>
      <c r="N6374" s="5"/>
      <c r="O6374">
        <v>302.33</v>
      </c>
      <c r="P6374">
        <v>204</v>
      </c>
      <c r="Q6374" s="2">
        <v>61675.32</v>
      </c>
      <c r="R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 s="1">
        <v>42382</v>
      </c>
      <c r="AC6374" t="s">
        <v>53</v>
      </c>
      <c r="AD6374" t="s">
        <v>53</v>
      </c>
      <c r="AK6374">
        <v>0</v>
      </c>
      <c r="AU6374" s="6">
        <v>42184</v>
      </c>
      <c r="AV6374" s="6">
        <v>42184</v>
      </c>
      <c r="AW6374" t="s">
        <v>54</v>
      </c>
      <c r="AX6374" t="str">
        <f t="shared" si="535"/>
        <v>FOR</v>
      </c>
      <c r="AY6374" t="s">
        <v>55</v>
      </c>
    </row>
    <row r="6375" spans="1:51" hidden="1">
      <c r="A6375">
        <v>104048</v>
      </c>
      <c r="B6375" t="s">
        <v>1198</v>
      </c>
      <c r="C6375" t="str">
        <f t="shared" si="536"/>
        <v>00674840152</v>
      </c>
      <c r="D6375" t="str">
        <f t="shared" si="536"/>
        <v>00674840152</v>
      </c>
      <c r="E6375" t="s">
        <v>52</v>
      </c>
      <c r="F6375">
        <v>2014</v>
      </c>
      <c r="G6375">
        <v>1587532</v>
      </c>
      <c r="H6375" s="1">
        <v>41876</v>
      </c>
      <c r="I6375" s="1">
        <v>41890</v>
      </c>
      <c r="J6375" s="1">
        <v>41890</v>
      </c>
      <c r="K6375" s="1">
        <v>41980</v>
      </c>
      <c r="N6375" s="5"/>
      <c r="O6375">
        <v>249.81</v>
      </c>
      <c r="P6375">
        <v>204</v>
      </c>
      <c r="Q6375" s="2">
        <v>50961.24</v>
      </c>
      <c r="R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 s="1">
        <v>42382</v>
      </c>
      <c r="AC6375" t="s">
        <v>53</v>
      </c>
      <c r="AD6375" t="s">
        <v>53</v>
      </c>
      <c r="AK6375">
        <v>0</v>
      </c>
      <c r="AU6375" s="6">
        <v>42184</v>
      </c>
      <c r="AV6375" s="6">
        <v>42184</v>
      </c>
      <c r="AW6375" t="s">
        <v>54</v>
      </c>
      <c r="AX6375" t="str">
        <f t="shared" si="535"/>
        <v>FOR</v>
      </c>
      <c r="AY6375" t="s">
        <v>55</v>
      </c>
    </row>
    <row r="6376" spans="1:51" hidden="1">
      <c r="A6376">
        <v>104048</v>
      </c>
      <c r="B6376" t="s">
        <v>1198</v>
      </c>
      <c r="C6376" t="str">
        <f t="shared" si="536"/>
        <v>00674840152</v>
      </c>
      <c r="D6376" t="str">
        <f t="shared" si="536"/>
        <v>00674840152</v>
      </c>
      <c r="E6376" t="s">
        <v>52</v>
      </c>
      <c r="F6376">
        <v>2014</v>
      </c>
      <c r="G6376">
        <v>1588641</v>
      </c>
      <c r="H6376" s="1">
        <v>41880</v>
      </c>
      <c r="I6376" s="1">
        <v>41892</v>
      </c>
      <c r="J6376" s="1">
        <v>41892</v>
      </c>
      <c r="K6376" s="1">
        <v>41982</v>
      </c>
      <c r="N6376" s="5"/>
      <c r="O6376" s="2">
        <v>1731.18</v>
      </c>
      <c r="P6376">
        <v>202</v>
      </c>
      <c r="Q6376" s="2">
        <v>349698.36</v>
      </c>
      <c r="R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 s="1">
        <v>42382</v>
      </c>
      <c r="AC6376" t="s">
        <v>53</v>
      </c>
      <c r="AD6376" t="s">
        <v>53</v>
      </c>
      <c r="AK6376">
        <v>0</v>
      </c>
      <c r="AU6376" s="6">
        <v>42184</v>
      </c>
      <c r="AV6376" s="6">
        <v>42184</v>
      </c>
      <c r="AW6376" t="s">
        <v>54</v>
      </c>
      <c r="AX6376" t="str">
        <f t="shared" si="535"/>
        <v>FOR</v>
      </c>
      <c r="AY6376" t="s">
        <v>55</v>
      </c>
    </row>
    <row r="6377" spans="1:51" hidden="1">
      <c r="A6377">
        <v>104048</v>
      </c>
      <c r="B6377" t="s">
        <v>1198</v>
      </c>
      <c r="C6377" t="str">
        <f t="shared" ref="C6377:D6396" si="537">"00674840152"</f>
        <v>00674840152</v>
      </c>
      <c r="D6377" t="str">
        <f t="shared" si="537"/>
        <v>00674840152</v>
      </c>
      <c r="E6377" t="s">
        <v>52</v>
      </c>
      <c r="F6377">
        <v>2014</v>
      </c>
      <c r="G6377">
        <v>1589997</v>
      </c>
      <c r="H6377" s="1">
        <v>41887</v>
      </c>
      <c r="I6377" s="1">
        <v>41901</v>
      </c>
      <c r="J6377" s="1">
        <v>41901</v>
      </c>
      <c r="K6377" s="1">
        <v>41991</v>
      </c>
      <c r="N6377" s="5"/>
      <c r="O6377">
        <v>458.26</v>
      </c>
      <c r="P6377">
        <v>259</v>
      </c>
      <c r="Q6377" s="2">
        <v>118689.34</v>
      </c>
      <c r="R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 s="1">
        <v>42382</v>
      </c>
      <c r="AC6377" t="s">
        <v>53</v>
      </c>
      <c r="AD6377" t="s">
        <v>53</v>
      </c>
      <c r="AK6377">
        <v>0</v>
      </c>
      <c r="AU6377" s="6">
        <v>42250</v>
      </c>
      <c r="AV6377" s="6">
        <v>42250</v>
      </c>
      <c r="AW6377" t="s">
        <v>54</v>
      </c>
      <c r="AX6377" t="str">
        <f t="shared" si="535"/>
        <v>FOR</v>
      </c>
      <c r="AY6377" t="s">
        <v>55</v>
      </c>
    </row>
    <row r="6378" spans="1:51" hidden="1">
      <c r="A6378">
        <v>104048</v>
      </c>
      <c r="B6378" t="s">
        <v>1198</v>
      </c>
      <c r="C6378" t="str">
        <f t="shared" si="537"/>
        <v>00674840152</v>
      </c>
      <c r="D6378" t="str">
        <f t="shared" si="537"/>
        <v>00674840152</v>
      </c>
      <c r="E6378" t="s">
        <v>52</v>
      </c>
      <c r="F6378">
        <v>2014</v>
      </c>
      <c r="G6378">
        <v>1592249</v>
      </c>
      <c r="H6378" s="1">
        <v>41899</v>
      </c>
      <c r="I6378" s="1">
        <v>41911</v>
      </c>
      <c r="J6378" s="1">
        <v>41911</v>
      </c>
      <c r="K6378" s="1">
        <v>42001</v>
      </c>
      <c r="N6378" s="5"/>
      <c r="O6378" s="2">
        <v>1140.1500000000001</v>
      </c>
      <c r="P6378">
        <v>249</v>
      </c>
      <c r="Q6378" s="2">
        <v>283897.34999999998</v>
      </c>
      <c r="R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 s="1">
        <v>42382</v>
      </c>
      <c r="AC6378" t="s">
        <v>53</v>
      </c>
      <c r="AD6378" t="s">
        <v>53</v>
      </c>
      <c r="AK6378">
        <v>0</v>
      </c>
      <c r="AU6378" s="6">
        <v>42250</v>
      </c>
      <c r="AV6378" s="6">
        <v>42250</v>
      </c>
      <c r="AW6378" t="s">
        <v>54</v>
      </c>
      <c r="AX6378" t="str">
        <f t="shared" si="535"/>
        <v>FOR</v>
      </c>
      <c r="AY6378" t="s">
        <v>55</v>
      </c>
    </row>
    <row r="6379" spans="1:51" hidden="1">
      <c r="A6379">
        <v>104048</v>
      </c>
      <c r="B6379" t="s">
        <v>1198</v>
      </c>
      <c r="C6379" t="str">
        <f t="shared" si="537"/>
        <v>00674840152</v>
      </c>
      <c r="D6379" t="str">
        <f t="shared" si="537"/>
        <v>00674840152</v>
      </c>
      <c r="E6379" t="s">
        <v>52</v>
      </c>
      <c r="F6379">
        <v>2014</v>
      </c>
      <c r="G6379">
        <v>1592352</v>
      </c>
      <c r="H6379" s="1">
        <v>41900</v>
      </c>
      <c r="I6379" s="1">
        <v>41915</v>
      </c>
      <c r="J6379" s="1">
        <v>41915</v>
      </c>
      <c r="K6379" s="1">
        <v>42005</v>
      </c>
      <c r="N6379" s="5"/>
      <c r="O6379" s="2">
        <v>11126.4</v>
      </c>
      <c r="P6379">
        <v>245</v>
      </c>
      <c r="Q6379" s="2">
        <v>2725968</v>
      </c>
      <c r="R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 s="1">
        <v>42382</v>
      </c>
      <c r="AC6379" t="s">
        <v>53</v>
      </c>
      <c r="AD6379" t="s">
        <v>53</v>
      </c>
      <c r="AK6379">
        <v>0</v>
      </c>
      <c r="AU6379" s="6">
        <v>42250</v>
      </c>
      <c r="AV6379" s="6">
        <v>42250</v>
      </c>
      <c r="AW6379" t="s">
        <v>54</v>
      </c>
      <c r="AX6379" t="str">
        <f t="shared" si="535"/>
        <v>FOR</v>
      </c>
      <c r="AY6379" t="s">
        <v>55</v>
      </c>
    </row>
    <row r="6380" spans="1:51" hidden="1">
      <c r="A6380">
        <v>104048</v>
      </c>
      <c r="B6380" t="s">
        <v>1198</v>
      </c>
      <c r="C6380" t="str">
        <f t="shared" si="537"/>
        <v>00674840152</v>
      </c>
      <c r="D6380" t="str">
        <f t="shared" si="537"/>
        <v>00674840152</v>
      </c>
      <c r="E6380" t="s">
        <v>52</v>
      </c>
      <c r="F6380">
        <v>2014</v>
      </c>
      <c r="G6380">
        <v>1593082</v>
      </c>
      <c r="H6380" s="1">
        <v>41904</v>
      </c>
      <c r="I6380" s="1">
        <v>41915</v>
      </c>
      <c r="J6380" s="1">
        <v>41915</v>
      </c>
      <c r="K6380" s="1">
        <v>42005</v>
      </c>
      <c r="N6380" s="5"/>
      <c r="O6380">
        <v>333.43</v>
      </c>
      <c r="P6380">
        <v>245</v>
      </c>
      <c r="Q6380" s="2">
        <v>81690.350000000006</v>
      </c>
      <c r="R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 s="1">
        <v>42382</v>
      </c>
      <c r="AC6380" t="s">
        <v>53</v>
      </c>
      <c r="AD6380" t="s">
        <v>53</v>
      </c>
      <c r="AK6380">
        <v>0</v>
      </c>
      <c r="AU6380" s="6">
        <v>42250</v>
      </c>
      <c r="AV6380" s="6">
        <v>42250</v>
      </c>
      <c r="AW6380" t="s">
        <v>54</v>
      </c>
      <c r="AX6380" t="str">
        <f t="shared" si="535"/>
        <v>FOR</v>
      </c>
      <c r="AY6380" t="s">
        <v>55</v>
      </c>
    </row>
    <row r="6381" spans="1:51" hidden="1">
      <c r="A6381">
        <v>104048</v>
      </c>
      <c r="B6381" t="s">
        <v>1198</v>
      </c>
      <c r="C6381" t="str">
        <f t="shared" si="537"/>
        <v>00674840152</v>
      </c>
      <c r="D6381" t="str">
        <f t="shared" si="537"/>
        <v>00674840152</v>
      </c>
      <c r="E6381" t="s">
        <v>52</v>
      </c>
      <c r="F6381">
        <v>2014</v>
      </c>
      <c r="G6381">
        <v>1593184</v>
      </c>
      <c r="H6381" s="1">
        <v>41905</v>
      </c>
      <c r="I6381" s="1">
        <v>41920</v>
      </c>
      <c r="J6381" s="1">
        <v>41920</v>
      </c>
      <c r="K6381" s="1">
        <v>42010</v>
      </c>
      <c r="N6381" s="5"/>
      <c r="O6381" s="2">
        <v>20056.8</v>
      </c>
      <c r="P6381">
        <v>240</v>
      </c>
      <c r="Q6381" s="2">
        <v>4813632</v>
      </c>
      <c r="R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 s="1">
        <v>42382</v>
      </c>
      <c r="AC6381" t="s">
        <v>53</v>
      </c>
      <c r="AD6381" t="s">
        <v>53</v>
      </c>
      <c r="AK6381">
        <v>0</v>
      </c>
      <c r="AU6381" s="6">
        <v>42250</v>
      </c>
      <c r="AV6381" s="6">
        <v>42250</v>
      </c>
      <c r="AW6381" t="s">
        <v>54</v>
      </c>
      <c r="AX6381" t="str">
        <f t="shared" si="535"/>
        <v>FOR</v>
      </c>
      <c r="AY6381" t="s">
        <v>55</v>
      </c>
    </row>
    <row r="6382" spans="1:51" hidden="1">
      <c r="A6382">
        <v>104048</v>
      </c>
      <c r="B6382" t="s">
        <v>1198</v>
      </c>
      <c r="C6382" t="str">
        <f t="shared" si="537"/>
        <v>00674840152</v>
      </c>
      <c r="D6382" t="str">
        <f t="shared" si="537"/>
        <v>00674840152</v>
      </c>
      <c r="E6382" t="s">
        <v>52</v>
      </c>
      <c r="F6382">
        <v>2014</v>
      </c>
      <c r="G6382">
        <v>1593185</v>
      </c>
      <c r="H6382" s="1">
        <v>41905</v>
      </c>
      <c r="I6382" s="1">
        <v>41920</v>
      </c>
      <c r="J6382" s="1">
        <v>41920</v>
      </c>
      <c r="K6382" s="1">
        <v>42010</v>
      </c>
      <c r="N6382" s="5"/>
      <c r="O6382">
        <v>310.98</v>
      </c>
      <c r="P6382">
        <v>240</v>
      </c>
      <c r="Q6382" s="2">
        <v>74635.199999999997</v>
      </c>
      <c r="R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 s="1">
        <v>42382</v>
      </c>
      <c r="AC6382" t="s">
        <v>53</v>
      </c>
      <c r="AD6382" t="s">
        <v>53</v>
      </c>
      <c r="AK6382">
        <v>0</v>
      </c>
      <c r="AU6382" s="6">
        <v>42250</v>
      </c>
      <c r="AV6382" s="6">
        <v>42250</v>
      </c>
      <c r="AW6382" t="s">
        <v>54</v>
      </c>
      <c r="AX6382" t="str">
        <f t="shared" si="535"/>
        <v>FOR</v>
      </c>
      <c r="AY6382" t="s">
        <v>55</v>
      </c>
    </row>
    <row r="6383" spans="1:51" hidden="1">
      <c r="A6383">
        <v>104048</v>
      </c>
      <c r="B6383" t="s">
        <v>1198</v>
      </c>
      <c r="C6383" t="str">
        <f t="shared" si="537"/>
        <v>00674840152</v>
      </c>
      <c r="D6383" t="str">
        <f t="shared" si="537"/>
        <v>00674840152</v>
      </c>
      <c r="E6383" t="s">
        <v>52</v>
      </c>
      <c r="F6383">
        <v>2014</v>
      </c>
      <c r="G6383">
        <v>1593572</v>
      </c>
      <c r="H6383" s="1">
        <v>41906</v>
      </c>
      <c r="I6383" s="1">
        <v>41920</v>
      </c>
      <c r="J6383" s="1">
        <v>41920</v>
      </c>
      <c r="K6383" s="1">
        <v>42010</v>
      </c>
      <c r="N6383" s="5"/>
      <c r="O6383" s="2">
        <v>1556.72</v>
      </c>
      <c r="P6383">
        <v>240</v>
      </c>
      <c r="Q6383" s="2">
        <v>373612.79999999999</v>
      </c>
      <c r="R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 s="1">
        <v>42382</v>
      </c>
      <c r="AC6383" t="s">
        <v>53</v>
      </c>
      <c r="AD6383" t="s">
        <v>53</v>
      </c>
      <c r="AK6383">
        <v>0</v>
      </c>
      <c r="AU6383" s="6">
        <v>42250</v>
      </c>
      <c r="AV6383" s="6">
        <v>42250</v>
      </c>
      <c r="AW6383" t="s">
        <v>54</v>
      </c>
      <c r="AX6383" t="str">
        <f t="shared" si="535"/>
        <v>FOR</v>
      </c>
      <c r="AY6383" t="s">
        <v>55</v>
      </c>
    </row>
    <row r="6384" spans="1:51" hidden="1">
      <c r="A6384">
        <v>104048</v>
      </c>
      <c r="B6384" t="s">
        <v>1198</v>
      </c>
      <c r="C6384" t="str">
        <f t="shared" si="537"/>
        <v>00674840152</v>
      </c>
      <c r="D6384" t="str">
        <f t="shared" si="537"/>
        <v>00674840152</v>
      </c>
      <c r="E6384" t="s">
        <v>52</v>
      </c>
      <c r="F6384">
        <v>2014</v>
      </c>
      <c r="G6384">
        <v>1593673</v>
      </c>
      <c r="H6384" s="1">
        <v>41907</v>
      </c>
      <c r="I6384" s="1">
        <v>41919</v>
      </c>
      <c r="J6384" s="1">
        <v>41919</v>
      </c>
      <c r="K6384" s="1">
        <v>42009</v>
      </c>
      <c r="N6384" s="5"/>
      <c r="O6384" s="2">
        <v>13227.85</v>
      </c>
      <c r="P6384">
        <v>241</v>
      </c>
      <c r="Q6384" s="2">
        <v>3187911.85</v>
      </c>
      <c r="R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 s="1">
        <v>42382</v>
      </c>
      <c r="AC6384" t="s">
        <v>53</v>
      </c>
      <c r="AD6384" t="s">
        <v>53</v>
      </c>
      <c r="AK6384">
        <v>0</v>
      </c>
      <c r="AU6384" s="6">
        <v>42250</v>
      </c>
      <c r="AV6384" s="6">
        <v>42250</v>
      </c>
      <c r="AW6384" t="s">
        <v>54</v>
      </c>
      <c r="AX6384" t="str">
        <f t="shared" si="535"/>
        <v>FOR</v>
      </c>
      <c r="AY6384" t="s">
        <v>55</v>
      </c>
    </row>
    <row r="6385" spans="1:51" hidden="1">
      <c r="A6385">
        <v>104048</v>
      </c>
      <c r="B6385" t="s">
        <v>1198</v>
      </c>
      <c r="C6385" t="str">
        <f t="shared" si="537"/>
        <v>00674840152</v>
      </c>
      <c r="D6385" t="str">
        <f t="shared" si="537"/>
        <v>00674840152</v>
      </c>
      <c r="E6385" t="s">
        <v>52</v>
      </c>
      <c r="F6385">
        <v>2014</v>
      </c>
      <c r="G6385">
        <v>1594767</v>
      </c>
      <c r="H6385" s="1">
        <v>41912</v>
      </c>
      <c r="I6385" s="1">
        <v>41932</v>
      </c>
      <c r="J6385" s="1">
        <v>41932</v>
      </c>
      <c r="K6385" s="1">
        <v>41992</v>
      </c>
      <c r="N6385" s="5"/>
      <c r="O6385" s="2">
        <v>2516.42</v>
      </c>
      <c r="P6385">
        <v>258</v>
      </c>
      <c r="Q6385" s="2">
        <v>649236.36</v>
      </c>
      <c r="R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 s="1">
        <v>42382</v>
      </c>
      <c r="AC6385" t="s">
        <v>53</v>
      </c>
      <c r="AD6385" t="s">
        <v>53</v>
      </c>
      <c r="AK6385">
        <v>0</v>
      </c>
      <c r="AU6385" s="6">
        <v>42250</v>
      </c>
      <c r="AV6385" s="6">
        <v>42250</v>
      </c>
      <c r="AW6385" t="s">
        <v>54</v>
      </c>
      <c r="AX6385" t="str">
        <f t="shared" si="535"/>
        <v>FOR</v>
      </c>
      <c r="AY6385" t="s">
        <v>55</v>
      </c>
    </row>
    <row r="6386" spans="1:51" hidden="1">
      <c r="A6386">
        <v>104048</v>
      </c>
      <c r="B6386" t="s">
        <v>1198</v>
      </c>
      <c r="C6386" t="str">
        <f t="shared" si="537"/>
        <v>00674840152</v>
      </c>
      <c r="D6386" t="str">
        <f t="shared" si="537"/>
        <v>00674840152</v>
      </c>
      <c r="E6386" t="s">
        <v>52</v>
      </c>
      <c r="F6386">
        <v>2014</v>
      </c>
      <c r="G6386">
        <v>1595152</v>
      </c>
      <c r="H6386" s="1">
        <v>41914</v>
      </c>
      <c r="I6386" s="1">
        <v>41932</v>
      </c>
      <c r="J6386" s="1">
        <v>41932</v>
      </c>
      <c r="K6386" s="1">
        <v>41992</v>
      </c>
      <c r="N6386" s="5"/>
      <c r="O6386">
        <v>952.58</v>
      </c>
      <c r="P6386">
        <v>285</v>
      </c>
      <c r="Q6386" s="2">
        <v>271485.3</v>
      </c>
      <c r="R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 s="1">
        <v>42382</v>
      </c>
      <c r="AC6386" t="s">
        <v>53</v>
      </c>
      <c r="AD6386" t="s">
        <v>53</v>
      </c>
      <c r="AK6386">
        <v>0</v>
      </c>
      <c r="AU6386" s="6">
        <v>42277</v>
      </c>
      <c r="AV6386" s="6">
        <v>42277</v>
      </c>
      <c r="AW6386" t="s">
        <v>54</v>
      </c>
      <c r="AX6386" t="str">
        <f t="shared" si="535"/>
        <v>FOR</v>
      </c>
      <c r="AY6386" t="s">
        <v>55</v>
      </c>
    </row>
    <row r="6387" spans="1:51" hidden="1">
      <c r="A6387">
        <v>104048</v>
      </c>
      <c r="B6387" t="s">
        <v>1198</v>
      </c>
      <c r="C6387" t="str">
        <f t="shared" si="537"/>
        <v>00674840152</v>
      </c>
      <c r="D6387" t="str">
        <f t="shared" si="537"/>
        <v>00674840152</v>
      </c>
      <c r="E6387" t="s">
        <v>52</v>
      </c>
      <c r="F6387">
        <v>2014</v>
      </c>
      <c r="G6387">
        <v>1595153</v>
      </c>
      <c r="H6387" s="1">
        <v>41914</v>
      </c>
      <c r="I6387" s="1">
        <v>41932</v>
      </c>
      <c r="J6387" s="1">
        <v>41932</v>
      </c>
      <c r="K6387" s="1">
        <v>41992</v>
      </c>
      <c r="N6387" s="5"/>
      <c r="O6387">
        <v>416.75</v>
      </c>
      <c r="P6387">
        <v>285</v>
      </c>
      <c r="Q6387" s="2">
        <v>118773.75</v>
      </c>
      <c r="R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 s="1">
        <v>42382</v>
      </c>
      <c r="AC6387" t="s">
        <v>53</v>
      </c>
      <c r="AD6387" t="s">
        <v>53</v>
      </c>
      <c r="AK6387">
        <v>0</v>
      </c>
      <c r="AU6387" s="6">
        <v>42277</v>
      </c>
      <c r="AV6387" s="6">
        <v>42277</v>
      </c>
      <c r="AW6387" t="s">
        <v>54</v>
      </c>
      <c r="AX6387" t="str">
        <f t="shared" si="535"/>
        <v>FOR</v>
      </c>
      <c r="AY6387" t="s">
        <v>55</v>
      </c>
    </row>
    <row r="6388" spans="1:51" hidden="1">
      <c r="A6388">
        <v>104048</v>
      </c>
      <c r="B6388" t="s">
        <v>1198</v>
      </c>
      <c r="C6388" t="str">
        <f t="shared" si="537"/>
        <v>00674840152</v>
      </c>
      <c r="D6388" t="str">
        <f t="shared" si="537"/>
        <v>00674840152</v>
      </c>
      <c r="E6388" t="s">
        <v>52</v>
      </c>
      <c r="F6388">
        <v>2014</v>
      </c>
      <c r="G6388">
        <v>1595154</v>
      </c>
      <c r="H6388" s="1">
        <v>41914</v>
      </c>
      <c r="I6388" s="1">
        <v>41932</v>
      </c>
      <c r="J6388" s="1">
        <v>41932</v>
      </c>
      <c r="K6388" s="1">
        <v>41992</v>
      </c>
      <c r="N6388" s="5"/>
      <c r="O6388">
        <v>548.17999999999995</v>
      </c>
      <c r="P6388">
        <v>285</v>
      </c>
      <c r="Q6388" s="2">
        <v>156231.29999999999</v>
      </c>
      <c r="R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 s="1">
        <v>42382</v>
      </c>
      <c r="AC6388" t="s">
        <v>53</v>
      </c>
      <c r="AD6388" t="s">
        <v>53</v>
      </c>
      <c r="AK6388">
        <v>0</v>
      </c>
      <c r="AU6388" s="6">
        <v>42277</v>
      </c>
      <c r="AV6388" s="6">
        <v>42277</v>
      </c>
      <c r="AW6388" t="s">
        <v>54</v>
      </c>
      <c r="AX6388" t="str">
        <f t="shared" si="535"/>
        <v>FOR</v>
      </c>
      <c r="AY6388" t="s">
        <v>55</v>
      </c>
    </row>
    <row r="6389" spans="1:51" hidden="1">
      <c r="A6389">
        <v>104048</v>
      </c>
      <c r="B6389" t="s">
        <v>1198</v>
      </c>
      <c r="C6389" t="str">
        <f t="shared" si="537"/>
        <v>00674840152</v>
      </c>
      <c r="D6389" t="str">
        <f t="shared" si="537"/>
        <v>00674840152</v>
      </c>
      <c r="E6389" t="s">
        <v>52</v>
      </c>
      <c r="F6389">
        <v>2014</v>
      </c>
      <c r="G6389">
        <v>1595155</v>
      </c>
      <c r="H6389" s="1">
        <v>41914</v>
      </c>
      <c r="I6389" s="1">
        <v>41932</v>
      </c>
      <c r="J6389" s="1">
        <v>41932</v>
      </c>
      <c r="K6389" s="1">
        <v>41992</v>
      </c>
      <c r="N6389" s="5"/>
      <c r="O6389" s="2">
        <v>2169.92</v>
      </c>
      <c r="P6389">
        <v>285</v>
      </c>
      <c r="Q6389" s="2">
        <v>618427.19999999995</v>
      </c>
      <c r="R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 s="1">
        <v>42382</v>
      </c>
      <c r="AC6389" t="s">
        <v>53</v>
      </c>
      <c r="AD6389" t="s">
        <v>53</v>
      </c>
      <c r="AK6389">
        <v>0</v>
      </c>
      <c r="AU6389" s="6">
        <v>42277</v>
      </c>
      <c r="AV6389" s="6">
        <v>42277</v>
      </c>
      <c r="AW6389" t="s">
        <v>54</v>
      </c>
      <c r="AX6389" t="str">
        <f t="shared" si="535"/>
        <v>FOR</v>
      </c>
      <c r="AY6389" t="s">
        <v>55</v>
      </c>
    </row>
    <row r="6390" spans="1:51" hidden="1">
      <c r="A6390">
        <v>104048</v>
      </c>
      <c r="B6390" t="s">
        <v>1198</v>
      </c>
      <c r="C6390" t="str">
        <f t="shared" si="537"/>
        <v>00674840152</v>
      </c>
      <c r="D6390" t="str">
        <f t="shared" si="537"/>
        <v>00674840152</v>
      </c>
      <c r="E6390" t="s">
        <v>52</v>
      </c>
      <c r="F6390">
        <v>2014</v>
      </c>
      <c r="G6390">
        <v>1595396</v>
      </c>
      <c r="H6390" s="1">
        <v>41915</v>
      </c>
      <c r="I6390" s="1">
        <v>41935</v>
      </c>
      <c r="J6390" s="1">
        <v>41935</v>
      </c>
      <c r="K6390" s="1">
        <v>41995</v>
      </c>
      <c r="N6390" s="5"/>
      <c r="O6390">
        <v>475.07</v>
      </c>
      <c r="P6390">
        <v>282</v>
      </c>
      <c r="Q6390" s="2">
        <v>133969.74</v>
      </c>
      <c r="R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 s="1">
        <v>42382</v>
      </c>
      <c r="AC6390" t="s">
        <v>53</v>
      </c>
      <c r="AD6390" t="s">
        <v>53</v>
      </c>
      <c r="AK6390">
        <v>0</v>
      </c>
      <c r="AU6390" s="6">
        <v>42277</v>
      </c>
      <c r="AV6390" s="6">
        <v>42277</v>
      </c>
      <c r="AW6390" t="s">
        <v>54</v>
      </c>
      <c r="AX6390" t="str">
        <f t="shared" si="535"/>
        <v>FOR</v>
      </c>
      <c r="AY6390" t="s">
        <v>55</v>
      </c>
    </row>
    <row r="6391" spans="1:51" hidden="1">
      <c r="A6391">
        <v>104048</v>
      </c>
      <c r="B6391" t="s">
        <v>1198</v>
      </c>
      <c r="C6391" t="str">
        <f t="shared" si="537"/>
        <v>00674840152</v>
      </c>
      <c r="D6391" t="str">
        <f t="shared" si="537"/>
        <v>00674840152</v>
      </c>
      <c r="E6391" t="s">
        <v>52</v>
      </c>
      <c r="F6391">
        <v>2014</v>
      </c>
      <c r="G6391">
        <v>1599184</v>
      </c>
      <c r="H6391" s="1">
        <v>41933</v>
      </c>
      <c r="I6391" s="1">
        <v>41948</v>
      </c>
      <c r="J6391" s="1">
        <v>41948</v>
      </c>
      <c r="K6391" s="1">
        <v>42008</v>
      </c>
      <c r="N6391" s="5"/>
      <c r="O6391" s="2">
        <v>1307.23</v>
      </c>
      <c r="P6391">
        <v>269</v>
      </c>
      <c r="Q6391" s="2">
        <v>351644.87</v>
      </c>
      <c r="R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 s="1">
        <v>42382</v>
      </c>
      <c r="AC6391" t="s">
        <v>53</v>
      </c>
      <c r="AD6391" t="s">
        <v>53</v>
      </c>
      <c r="AK6391">
        <v>0</v>
      </c>
      <c r="AU6391" s="6">
        <v>42277</v>
      </c>
      <c r="AV6391" s="6">
        <v>42277</v>
      </c>
      <c r="AW6391" t="s">
        <v>54</v>
      </c>
      <c r="AX6391" t="str">
        <f t="shared" si="535"/>
        <v>FOR</v>
      </c>
      <c r="AY6391" t="s">
        <v>55</v>
      </c>
    </row>
    <row r="6392" spans="1:51" hidden="1">
      <c r="A6392">
        <v>104048</v>
      </c>
      <c r="B6392" t="s">
        <v>1198</v>
      </c>
      <c r="C6392" t="str">
        <f t="shared" si="537"/>
        <v>00674840152</v>
      </c>
      <c r="D6392" t="str">
        <f t="shared" si="537"/>
        <v>00674840152</v>
      </c>
      <c r="E6392" t="s">
        <v>52</v>
      </c>
      <c r="F6392">
        <v>2014</v>
      </c>
      <c r="G6392">
        <v>1599841</v>
      </c>
      <c r="H6392" s="1">
        <v>41936</v>
      </c>
      <c r="I6392" s="1">
        <v>41948</v>
      </c>
      <c r="J6392" s="1">
        <v>41948</v>
      </c>
      <c r="K6392" s="1">
        <v>42008</v>
      </c>
      <c r="N6392" s="5"/>
      <c r="O6392">
        <v>210.15</v>
      </c>
      <c r="P6392">
        <v>269</v>
      </c>
      <c r="Q6392" s="2">
        <v>56530.35</v>
      </c>
      <c r="R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 s="1">
        <v>42382</v>
      </c>
      <c r="AC6392" t="s">
        <v>53</v>
      </c>
      <c r="AD6392" t="s">
        <v>53</v>
      </c>
      <c r="AK6392">
        <v>0</v>
      </c>
      <c r="AU6392" s="6">
        <v>42277</v>
      </c>
      <c r="AV6392" s="6">
        <v>42277</v>
      </c>
      <c r="AW6392" t="s">
        <v>54</v>
      </c>
      <c r="AX6392" t="str">
        <f t="shared" si="535"/>
        <v>FOR</v>
      </c>
      <c r="AY6392" t="s">
        <v>55</v>
      </c>
    </row>
    <row r="6393" spans="1:51" hidden="1">
      <c r="A6393">
        <v>104048</v>
      </c>
      <c r="B6393" t="s">
        <v>1198</v>
      </c>
      <c r="C6393" t="str">
        <f t="shared" si="537"/>
        <v>00674840152</v>
      </c>
      <c r="D6393" t="str">
        <f t="shared" si="537"/>
        <v>00674840152</v>
      </c>
      <c r="E6393" t="s">
        <v>52</v>
      </c>
      <c r="F6393">
        <v>2014</v>
      </c>
      <c r="G6393">
        <v>1599842</v>
      </c>
      <c r="H6393" s="1">
        <v>41936</v>
      </c>
      <c r="I6393" s="1">
        <v>41948</v>
      </c>
      <c r="J6393" s="1">
        <v>41948</v>
      </c>
      <c r="K6393" s="1">
        <v>42008</v>
      </c>
      <c r="N6393" s="5"/>
      <c r="O6393">
        <v>605.12</v>
      </c>
      <c r="P6393">
        <v>269</v>
      </c>
      <c r="Q6393" s="2">
        <v>162777.28</v>
      </c>
      <c r="R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 s="1">
        <v>42382</v>
      </c>
      <c r="AC6393" t="s">
        <v>53</v>
      </c>
      <c r="AD6393" t="s">
        <v>53</v>
      </c>
      <c r="AK6393">
        <v>0</v>
      </c>
      <c r="AU6393" s="6">
        <v>42277</v>
      </c>
      <c r="AV6393" s="6">
        <v>42277</v>
      </c>
      <c r="AW6393" t="s">
        <v>54</v>
      </c>
      <c r="AX6393" t="str">
        <f t="shared" si="535"/>
        <v>FOR</v>
      </c>
      <c r="AY6393" t="s">
        <v>55</v>
      </c>
    </row>
    <row r="6394" spans="1:51" hidden="1">
      <c r="A6394">
        <v>104048</v>
      </c>
      <c r="B6394" t="s">
        <v>1198</v>
      </c>
      <c r="C6394" t="str">
        <f t="shared" si="537"/>
        <v>00674840152</v>
      </c>
      <c r="D6394" t="str">
        <f t="shared" si="537"/>
        <v>00674840152</v>
      </c>
      <c r="E6394" t="s">
        <v>52</v>
      </c>
      <c r="F6394">
        <v>2014</v>
      </c>
      <c r="G6394">
        <v>1599843</v>
      </c>
      <c r="H6394" s="1">
        <v>41936</v>
      </c>
      <c r="I6394" s="1">
        <v>41948</v>
      </c>
      <c r="J6394" s="1">
        <v>41948</v>
      </c>
      <c r="K6394" s="1">
        <v>42008</v>
      </c>
      <c r="N6394" s="5"/>
      <c r="O6394">
        <v>646.79999999999995</v>
      </c>
      <c r="P6394">
        <v>269</v>
      </c>
      <c r="Q6394" s="2">
        <v>173989.2</v>
      </c>
      <c r="R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 s="1">
        <v>42382</v>
      </c>
      <c r="AC6394" t="s">
        <v>53</v>
      </c>
      <c r="AD6394" t="s">
        <v>53</v>
      </c>
      <c r="AK6394">
        <v>0</v>
      </c>
      <c r="AU6394" s="6">
        <v>42277</v>
      </c>
      <c r="AV6394" s="6">
        <v>42277</v>
      </c>
      <c r="AW6394" t="s">
        <v>54</v>
      </c>
      <c r="AX6394" t="str">
        <f t="shared" si="535"/>
        <v>FOR</v>
      </c>
      <c r="AY6394" t="s">
        <v>55</v>
      </c>
    </row>
    <row r="6395" spans="1:51">
      <c r="A6395">
        <v>104048</v>
      </c>
      <c r="B6395" t="s">
        <v>1198</v>
      </c>
      <c r="C6395" t="str">
        <f t="shared" si="537"/>
        <v>00674840152</v>
      </c>
      <c r="D6395" t="str">
        <f t="shared" si="537"/>
        <v>00674840152</v>
      </c>
      <c r="E6395" t="s">
        <v>52</v>
      </c>
      <c r="F6395">
        <v>2014</v>
      </c>
      <c r="G6395">
        <v>1601883</v>
      </c>
      <c r="H6395" s="1">
        <v>41946</v>
      </c>
      <c r="I6395" s="1">
        <v>41956</v>
      </c>
      <c r="J6395" s="1">
        <v>41956</v>
      </c>
      <c r="K6395" s="1">
        <v>42016</v>
      </c>
      <c r="L6395" s="7">
        <v>1258.21</v>
      </c>
      <c r="M6395" s="5">
        <v>284</v>
      </c>
      <c r="N6395" s="7">
        <v>357331.64</v>
      </c>
      <c r="O6395" s="2">
        <v>1258.21</v>
      </c>
      <c r="P6395">
        <v>284</v>
      </c>
      <c r="Q6395" s="2">
        <v>357331.64</v>
      </c>
      <c r="R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 s="1">
        <v>42382</v>
      </c>
      <c r="AC6395" t="s">
        <v>53</v>
      </c>
      <c r="AD6395" t="s">
        <v>53</v>
      </c>
      <c r="AK6395">
        <v>0</v>
      </c>
      <c r="AU6395" s="6">
        <v>42300</v>
      </c>
      <c r="AV6395" s="6">
        <v>42300</v>
      </c>
      <c r="AW6395" t="s">
        <v>54</v>
      </c>
      <c r="AX6395" t="str">
        <f t="shared" si="535"/>
        <v>FOR</v>
      </c>
      <c r="AY6395" t="s">
        <v>55</v>
      </c>
    </row>
    <row r="6396" spans="1:51" hidden="1">
      <c r="A6396">
        <v>104048</v>
      </c>
      <c r="B6396" t="s">
        <v>1198</v>
      </c>
      <c r="C6396" t="str">
        <f t="shared" si="537"/>
        <v>00674840152</v>
      </c>
      <c r="D6396" t="str">
        <f t="shared" si="537"/>
        <v>00674840152</v>
      </c>
      <c r="E6396" t="s">
        <v>52</v>
      </c>
      <c r="F6396">
        <v>2014</v>
      </c>
      <c r="G6396">
        <v>1603827</v>
      </c>
      <c r="H6396" s="1">
        <v>41954</v>
      </c>
      <c r="I6396" s="1">
        <v>41967</v>
      </c>
      <c r="J6396" s="1">
        <v>41967</v>
      </c>
      <c r="K6396" s="1">
        <v>42027</v>
      </c>
      <c r="N6396" s="5"/>
      <c r="O6396">
        <v>184.95</v>
      </c>
      <c r="P6396">
        <v>250</v>
      </c>
      <c r="Q6396" s="2">
        <v>46237.5</v>
      </c>
      <c r="R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 s="1">
        <v>42382</v>
      </c>
      <c r="AC6396" t="s">
        <v>53</v>
      </c>
      <c r="AD6396" t="s">
        <v>53</v>
      </c>
      <c r="AK6396">
        <v>0</v>
      </c>
      <c r="AU6396" s="6">
        <v>42277</v>
      </c>
      <c r="AV6396" s="6">
        <v>42277</v>
      </c>
      <c r="AW6396" t="s">
        <v>54</v>
      </c>
      <c r="AX6396" t="str">
        <f t="shared" si="535"/>
        <v>FOR</v>
      </c>
      <c r="AY6396" t="s">
        <v>55</v>
      </c>
    </row>
    <row r="6397" spans="1:51">
      <c r="A6397">
        <v>104048</v>
      </c>
      <c r="B6397" t="s">
        <v>1198</v>
      </c>
      <c r="C6397" t="str">
        <f t="shared" ref="C6397:D6416" si="538">"00674840152"</f>
        <v>00674840152</v>
      </c>
      <c r="D6397" t="str">
        <f t="shared" si="538"/>
        <v>00674840152</v>
      </c>
      <c r="E6397" t="s">
        <v>52</v>
      </c>
      <c r="F6397">
        <v>2014</v>
      </c>
      <c r="G6397">
        <v>1604333</v>
      </c>
      <c r="H6397" s="1">
        <v>41956</v>
      </c>
      <c r="I6397" s="1">
        <v>41970</v>
      </c>
      <c r="J6397" s="1">
        <v>41970</v>
      </c>
      <c r="K6397" s="1">
        <v>42030</v>
      </c>
      <c r="L6397" s="7">
        <v>136.1</v>
      </c>
      <c r="M6397" s="5">
        <v>270</v>
      </c>
      <c r="N6397" s="7">
        <v>36747</v>
      </c>
      <c r="O6397">
        <v>136.1</v>
      </c>
      <c r="P6397">
        <v>270</v>
      </c>
      <c r="Q6397" s="2">
        <v>36747</v>
      </c>
      <c r="R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 s="1">
        <v>42382</v>
      </c>
      <c r="AC6397" t="s">
        <v>53</v>
      </c>
      <c r="AD6397" t="s">
        <v>53</v>
      </c>
      <c r="AK6397">
        <v>0</v>
      </c>
      <c r="AU6397" s="6">
        <v>42300</v>
      </c>
      <c r="AV6397" s="6">
        <v>42300</v>
      </c>
      <c r="AW6397" t="s">
        <v>54</v>
      </c>
      <c r="AX6397" t="str">
        <f t="shared" si="535"/>
        <v>FOR</v>
      </c>
      <c r="AY6397" t="s">
        <v>55</v>
      </c>
    </row>
    <row r="6398" spans="1:51">
      <c r="A6398">
        <v>104048</v>
      </c>
      <c r="B6398" t="s">
        <v>1198</v>
      </c>
      <c r="C6398" t="str">
        <f t="shared" si="538"/>
        <v>00674840152</v>
      </c>
      <c r="D6398" t="str">
        <f t="shared" si="538"/>
        <v>00674840152</v>
      </c>
      <c r="E6398" t="s">
        <v>52</v>
      </c>
      <c r="F6398">
        <v>2014</v>
      </c>
      <c r="G6398">
        <v>1604334</v>
      </c>
      <c r="H6398" s="1">
        <v>41956</v>
      </c>
      <c r="I6398" s="1">
        <v>41970</v>
      </c>
      <c r="J6398" s="1">
        <v>41970</v>
      </c>
      <c r="K6398" s="1">
        <v>42030</v>
      </c>
      <c r="L6398" s="7">
        <v>97.21</v>
      </c>
      <c r="M6398" s="5">
        <v>270</v>
      </c>
      <c r="N6398" s="7">
        <v>26246.7</v>
      </c>
      <c r="O6398">
        <v>97.21</v>
      </c>
      <c r="P6398">
        <v>270</v>
      </c>
      <c r="Q6398" s="2">
        <v>26246.7</v>
      </c>
      <c r="R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 s="1">
        <v>42382</v>
      </c>
      <c r="AC6398" t="s">
        <v>53</v>
      </c>
      <c r="AD6398" t="s">
        <v>53</v>
      </c>
      <c r="AK6398">
        <v>0</v>
      </c>
      <c r="AU6398" s="6">
        <v>42300</v>
      </c>
      <c r="AV6398" s="6">
        <v>42300</v>
      </c>
      <c r="AW6398" t="s">
        <v>54</v>
      </c>
      <c r="AX6398" t="str">
        <f t="shared" si="535"/>
        <v>FOR</v>
      </c>
      <c r="AY6398" t="s">
        <v>55</v>
      </c>
    </row>
    <row r="6399" spans="1:51">
      <c r="A6399">
        <v>104048</v>
      </c>
      <c r="B6399" t="s">
        <v>1198</v>
      </c>
      <c r="C6399" t="str">
        <f t="shared" si="538"/>
        <v>00674840152</v>
      </c>
      <c r="D6399" t="str">
        <f t="shared" si="538"/>
        <v>00674840152</v>
      </c>
      <c r="E6399" t="s">
        <v>52</v>
      </c>
      <c r="F6399">
        <v>2014</v>
      </c>
      <c r="G6399">
        <v>1604335</v>
      </c>
      <c r="H6399" s="1">
        <v>41956</v>
      </c>
      <c r="I6399" s="1">
        <v>41970</v>
      </c>
      <c r="J6399" s="1">
        <v>41970</v>
      </c>
      <c r="K6399" s="1">
        <v>42030</v>
      </c>
      <c r="L6399" s="7">
        <v>217.75</v>
      </c>
      <c r="M6399" s="5">
        <v>270</v>
      </c>
      <c r="N6399" s="7">
        <v>58792.5</v>
      </c>
      <c r="O6399">
        <v>217.75</v>
      </c>
      <c r="P6399">
        <v>270</v>
      </c>
      <c r="Q6399" s="2">
        <v>58792.5</v>
      </c>
      <c r="R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 s="1">
        <v>42382</v>
      </c>
      <c r="AC6399" t="s">
        <v>53</v>
      </c>
      <c r="AD6399" t="s">
        <v>53</v>
      </c>
      <c r="AK6399">
        <v>0</v>
      </c>
      <c r="AU6399" s="6">
        <v>42300</v>
      </c>
      <c r="AV6399" s="6">
        <v>42300</v>
      </c>
      <c r="AW6399" t="s">
        <v>54</v>
      </c>
      <c r="AX6399" t="str">
        <f t="shared" si="535"/>
        <v>FOR</v>
      </c>
      <c r="AY6399" t="s">
        <v>55</v>
      </c>
    </row>
    <row r="6400" spans="1:51">
      <c r="A6400">
        <v>104048</v>
      </c>
      <c r="B6400" t="s">
        <v>1198</v>
      </c>
      <c r="C6400" t="str">
        <f t="shared" si="538"/>
        <v>00674840152</v>
      </c>
      <c r="D6400" t="str">
        <f t="shared" si="538"/>
        <v>00674840152</v>
      </c>
      <c r="E6400" t="s">
        <v>52</v>
      </c>
      <c r="F6400">
        <v>2014</v>
      </c>
      <c r="G6400">
        <v>1604336</v>
      </c>
      <c r="H6400" s="1">
        <v>41956</v>
      </c>
      <c r="I6400" s="1">
        <v>41970</v>
      </c>
      <c r="J6400" s="1">
        <v>41970</v>
      </c>
      <c r="K6400" s="1">
        <v>42030</v>
      </c>
      <c r="L6400" s="7">
        <v>238.14</v>
      </c>
      <c r="M6400" s="5">
        <v>270</v>
      </c>
      <c r="N6400" s="7">
        <v>64297.8</v>
      </c>
      <c r="O6400">
        <v>238.14</v>
      </c>
      <c r="P6400">
        <v>270</v>
      </c>
      <c r="Q6400" s="2">
        <v>64297.8</v>
      </c>
      <c r="R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 s="1">
        <v>42382</v>
      </c>
      <c r="AC6400" t="s">
        <v>53</v>
      </c>
      <c r="AD6400" t="s">
        <v>53</v>
      </c>
      <c r="AK6400">
        <v>0</v>
      </c>
      <c r="AU6400" s="6">
        <v>42300</v>
      </c>
      <c r="AV6400" s="6">
        <v>42300</v>
      </c>
      <c r="AW6400" t="s">
        <v>54</v>
      </c>
      <c r="AX6400" t="str">
        <f t="shared" si="535"/>
        <v>FOR</v>
      </c>
      <c r="AY6400" t="s">
        <v>55</v>
      </c>
    </row>
    <row r="6401" spans="1:51">
      <c r="A6401">
        <v>104048</v>
      </c>
      <c r="B6401" t="s">
        <v>1198</v>
      </c>
      <c r="C6401" t="str">
        <f t="shared" si="538"/>
        <v>00674840152</v>
      </c>
      <c r="D6401" t="str">
        <f t="shared" si="538"/>
        <v>00674840152</v>
      </c>
      <c r="E6401" t="s">
        <v>52</v>
      </c>
      <c r="F6401">
        <v>2014</v>
      </c>
      <c r="G6401">
        <v>1605941</v>
      </c>
      <c r="H6401" s="1">
        <v>41963</v>
      </c>
      <c r="I6401" s="1">
        <v>41978</v>
      </c>
      <c r="J6401" s="1">
        <v>41978</v>
      </c>
      <c r="K6401" s="1">
        <v>42038</v>
      </c>
      <c r="L6401" s="7">
        <v>539.19000000000005</v>
      </c>
      <c r="M6401" s="5">
        <v>262</v>
      </c>
      <c r="N6401" s="7">
        <v>141267.78</v>
      </c>
      <c r="O6401">
        <v>539.19000000000005</v>
      </c>
      <c r="P6401">
        <v>262</v>
      </c>
      <c r="Q6401" s="2">
        <v>141267.78</v>
      </c>
      <c r="R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 s="1">
        <v>42382</v>
      </c>
      <c r="AC6401" t="s">
        <v>53</v>
      </c>
      <c r="AD6401" t="s">
        <v>53</v>
      </c>
      <c r="AK6401">
        <v>0</v>
      </c>
      <c r="AU6401" s="6">
        <v>42300</v>
      </c>
      <c r="AV6401" s="6">
        <v>42300</v>
      </c>
      <c r="AW6401" t="s">
        <v>54</v>
      </c>
      <c r="AX6401" t="str">
        <f t="shared" si="535"/>
        <v>FOR</v>
      </c>
      <c r="AY6401" t="s">
        <v>55</v>
      </c>
    </row>
    <row r="6402" spans="1:51">
      <c r="A6402">
        <v>104048</v>
      </c>
      <c r="B6402" t="s">
        <v>1198</v>
      </c>
      <c r="C6402" t="str">
        <f t="shared" si="538"/>
        <v>00674840152</v>
      </c>
      <c r="D6402" t="str">
        <f t="shared" si="538"/>
        <v>00674840152</v>
      </c>
      <c r="E6402" t="s">
        <v>52</v>
      </c>
      <c r="F6402">
        <v>2014</v>
      </c>
      <c r="G6402">
        <v>1605942</v>
      </c>
      <c r="H6402" s="1">
        <v>41963</v>
      </c>
      <c r="I6402" s="1">
        <v>41978</v>
      </c>
      <c r="J6402" s="1">
        <v>41978</v>
      </c>
      <c r="K6402" s="1">
        <v>42038</v>
      </c>
      <c r="L6402" s="7">
        <v>653.19000000000005</v>
      </c>
      <c r="M6402" s="5">
        <v>262</v>
      </c>
      <c r="N6402" s="7">
        <v>171135.78</v>
      </c>
      <c r="O6402">
        <v>653.19000000000005</v>
      </c>
      <c r="P6402">
        <v>262</v>
      </c>
      <c r="Q6402" s="2">
        <v>171135.78</v>
      </c>
      <c r="R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 s="1">
        <v>42382</v>
      </c>
      <c r="AC6402" t="s">
        <v>53</v>
      </c>
      <c r="AD6402" t="s">
        <v>53</v>
      </c>
      <c r="AK6402">
        <v>0</v>
      </c>
      <c r="AU6402" s="6">
        <v>42300</v>
      </c>
      <c r="AV6402" s="6">
        <v>42300</v>
      </c>
      <c r="AW6402" t="s">
        <v>54</v>
      </c>
      <c r="AX6402" t="str">
        <f t="shared" si="535"/>
        <v>FOR</v>
      </c>
      <c r="AY6402" t="s">
        <v>55</v>
      </c>
    </row>
    <row r="6403" spans="1:51">
      <c r="A6403">
        <v>104048</v>
      </c>
      <c r="B6403" t="s">
        <v>1198</v>
      </c>
      <c r="C6403" t="str">
        <f t="shared" si="538"/>
        <v>00674840152</v>
      </c>
      <c r="D6403" t="str">
        <f t="shared" si="538"/>
        <v>00674840152</v>
      </c>
      <c r="E6403" t="s">
        <v>52</v>
      </c>
      <c r="F6403">
        <v>2014</v>
      </c>
      <c r="G6403">
        <v>1606192</v>
      </c>
      <c r="H6403" s="1">
        <v>41964</v>
      </c>
      <c r="I6403" s="1">
        <v>41978</v>
      </c>
      <c r="J6403" s="1">
        <v>41978</v>
      </c>
      <c r="K6403" s="1">
        <v>42038</v>
      </c>
      <c r="L6403" s="7">
        <v>4046.74</v>
      </c>
      <c r="M6403" s="5">
        <v>262</v>
      </c>
      <c r="N6403" s="7">
        <v>1060245.8799999999</v>
      </c>
      <c r="O6403" s="2">
        <v>4046.74</v>
      </c>
      <c r="P6403">
        <v>262</v>
      </c>
      <c r="Q6403" s="2">
        <v>1060245.8799999999</v>
      </c>
      <c r="R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 s="1">
        <v>42382</v>
      </c>
      <c r="AC6403" t="s">
        <v>53</v>
      </c>
      <c r="AD6403" t="s">
        <v>53</v>
      </c>
      <c r="AK6403">
        <v>0</v>
      </c>
      <c r="AU6403" s="6">
        <v>42300</v>
      </c>
      <c r="AV6403" s="6">
        <v>42300</v>
      </c>
      <c r="AW6403" t="s">
        <v>54</v>
      </c>
      <c r="AX6403" t="str">
        <f t="shared" ref="AX6403:AX6466" si="539">"FOR"</f>
        <v>FOR</v>
      </c>
      <c r="AY6403" t="s">
        <v>55</v>
      </c>
    </row>
    <row r="6404" spans="1:51">
      <c r="A6404">
        <v>104048</v>
      </c>
      <c r="B6404" t="s">
        <v>1198</v>
      </c>
      <c r="C6404" t="str">
        <f t="shared" si="538"/>
        <v>00674840152</v>
      </c>
      <c r="D6404" t="str">
        <f t="shared" si="538"/>
        <v>00674840152</v>
      </c>
      <c r="E6404" t="s">
        <v>52</v>
      </c>
      <c r="F6404">
        <v>2014</v>
      </c>
      <c r="G6404">
        <v>1606193</v>
      </c>
      <c r="H6404" s="1">
        <v>41964</v>
      </c>
      <c r="I6404" s="1">
        <v>41978</v>
      </c>
      <c r="J6404" s="1">
        <v>41978</v>
      </c>
      <c r="K6404" s="1">
        <v>42038</v>
      </c>
      <c r="L6404" s="7">
        <v>420.29</v>
      </c>
      <c r="M6404" s="5">
        <v>262</v>
      </c>
      <c r="N6404" s="7">
        <v>110115.98</v>
      </c>
      <c r="O6404">
        <v>420.29</v>
      </c>
      <c r="P6404">
        <v>262</v>
      </c>
      <c r="Q6404" s="2">
        <v>110115.98</v>
      </c>
      <c r="R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 s="1">
        <v>42382</v>
      </c>
      <c r="AC6404" t="s">
        <v>53</v>
      </c>
      <c r="AD6404" t="s">
        <v>53</v>
      </c>
      <c r="AK6404">
        <v>0</v>
      </c>
      <c r="AU6404" s="6">
        <v>42300</v>
      </c>
      <c r="AV6404" s="6">
        <v>42300</v>
      </c>
      <c r="AW6404" t="s">
        <v>54</v>
      </c>
      <c r="AX6404" t="str">
        <f t="shared" si="539"/>
        <v>FOR</v>
      </c>
      <c r="AY6404" t="s">
        <v>55</v>
      </c>
    </row>
    <row r="6405" spans="1:51" hidden="1">
      <c r="A6405">
        <v>104048</v>
      </c>
      <c r="B6405" t="s">
        <v>1198</v>
      </c>
      <c r="C6405" t="str">
        <f t="shared" si="538"/>
        <v>00674840152</v>
      </c>
      <c r="D6405" t="str">
        <f t="shared" si="538"/>
        <v>00674840152</v>
      </c>
      <c r="E6405" t="s">
        <v>52</v>
      </c>
      <c r="F6405">
        <v>2014</v>
      </c>
      <c r="G6405">
        <v>1606194</v>
      </c>
      <c r="H6405" s="1">
        <v>41964</v>
      </c>
      <c r="I6405" s="1">
        <v>41983</v>
      </c>
      <c r="J6405" s="1">
        <v>41983</v>
      </c>
      <c r="K6405" s="1">
        <v>42043</v>
      </c>
      <c r="N6405" s="5"/>
      <c r="O6405" s="2">
        <v>3469.44</v>
      </c>
      <c r="P6405">
        <v>234</v>
      </c>
      <c r="Q6405" s="2">
        <v>811848.96</v>
      </c>
      <c r="R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 s="1">
        <v>42382</v>
      </c>
      <c r="AC6405" t="s">
        <v>53</v>
      </c>
      <c r="AD6405" t="s">
        <v>53</v>
      </c>
      <c r="AK6405">
        <v>0</v>
      </c>
      <c r="AU6405" s="6">
        <v>42277</v>
      </c>
      <c r="AV6405" s="6">
        <v>42277</v>
      </c>
      <c r="AW6405" t="s">
        <v>54</v>
      </c>
      <c r="AX6405" t="str">
        <f t="shared" si="539"/>
        <v>FOR</v>
      </c>
      <c r="AY6405" t="s">
        <v>55</v>
      </c>
    </row>
    <row r="6406" spans="1:51" hidden="1">
      <c r="A6406">
        <v>104048</v>
      </c>
      <c r="B6406" t="s">
        <v>1198</v>
      </c>
      <c r="C6406" t="str">
        <f t="shared" si="538"/>
        <v>00674840152</v>
      </c>
      <c r="D6406" t="str">
        <f t="shared" si="538"/>
        <v>00674840152</v>
      </c>
      <c r="E6406" t="s">
        <v>52</v>
      </c>
      <c r="F6406">
        <v>2014</v>
      </c>
      <c r="G6406">
        <v>1606195</v>
      </c>
      <c r="H6406" s="1">
        <v>41964</v>
      </c>
      <c r="I6406" s="1">
        <v>41983</v>
      </c>
      <c r="J6406" s="1">
        <v>41983</v>
      </c>
      <c r="K6406" s="1">
        <v>42043</v>
      </c>
      <c r="N6406" s="5"/>
      <c r="O6406" s="2">
        <v>2192.58</v>
      </c>
      <c r="P6406">
        <v>234</v>
      </c>
      <c r="Q6406" s="2">
        <v>513063.72</v>
      </c>
      <c r="R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 s="1">
        <v>42382</v>
      </c>
      <c r="AC6406" t="s">
        <v>53</v>
      </c>
      <c r="AD6406" t="s">
        <v>53</v>
      </c>
      <c r="AK6406">
        <v>0</v>
      </c>
      <c r="AU6406" s="6">
        <v>42277</v>
      </c>
      <c r="AV6406" s="6">
        <v>42277</v>
      </c>
      <c r="AW6406" t="s">
        <v>54</v>
      </c>
      <c r="AX6406" t="str">
        <f t="shared" si="539"/>
        <v>FOR</v>
      </c>
      <c r="AY6406" t="s">
        <v>55</v>
      </c>
    </row>
    <row r="6407" spans="1:51">
      <c r="A6407">
        <v>104048</v>
      </c>
      <c r="B6407" t="s">
        <v>1198</v>
      </c>
      <c r="C6407" t="str">
        <f t="shared" si="538"/>
        <v>00674840152</v>
      </c>
      <c r="D6407" t="str">
        <f t="shared" si="538"/>
        <v>00674840152</v>
      </c>
      <c r="E6407" t="s">
        <v>52</v>
      </c>
      <c r="F6407">
        <v>2014</v>
      </c>
      <c r="G6407">
        <v>1606898</v>
      </c>
      <c r="H6407" s="1">
        <v>41968</v>
      </c>
      <c r="I6407" s="1">
        <v>41988</v>
      </c>
      <c r="J6407" s="1">
        <v>41988</v>
      </c>
      <c r="K6407" s="1">
        <v>42048</v>
      </c>
      <c r="L6407" s="7">
        <v>265.37</v>
      </c>
      <c r="M6407" s="5">
        <v>252</v>
      </c>
      <c r="N6407" s="7">
        <v>66873.240000000005</v>
      </c>
      <c r="O6407">
        <v>265.37</v>
      </c>
      <c r="P6407">
        <v>252</v>
      </c>
      <c r="Q6407" s="2">
        <v>66873.240000000005</v>
      </c>
      <c r="R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 s="1">
        <v>42382</v>
      </c>
      <c r="AC6407" t="s">
        <v>53</v>
      </c>
      <c r="AD6407" t="s">
        <v>53</v>
      </c>
      <c r="AK6407">
        <v>0</v>
      </c>
      <c r="AU6407" s="6">
        <v>42300</v>
      </c>
      <c r="AV6407" s="6">
        <v>42300</v>
      </c>
      <c r="AW6407" t="s">
        <v>54</v>
      </c>
      <c r="AX6407" t="str">
        <f t="shared" si="539"/>
        <v>FOR</v>
      </c>
      <c r="AY6407" t="s">
        <v>55</v>
      </c>
    </row>
    <row r="6408" spans="1:51">
      <c r="A6408">
        <v>104048</v>
      </c>
      <c r="B6408" t="s">
        <v>1198</v>
      </c>
      <c r="C6408" t="str">
        <f t="shared" si="538"/>
        <v>00674840152</v>
      </c>
      <c r="D6408" t="str">
        <f t="shared" si="538"/>
        <v>00674840152</v>
      </c>
      <c r="E6408" t="s">
        <v>52</v>
      </c>
      <c r="F6408">
        <v>2014</v>
      </c>
      <c r="G6408">
        <v>1607132</v>
      </c>
      <c r="H6408" s="1">
        <v>41969</v>
      </c>
      <c r="I6408" s="1">
        <v>41978</v>
      </c>
      <c r="J6408" s="1">
        <v>41978</v>
      </c>
      <c r="K6408" s="1">
        <v>42038</v>
      </c>
      <c r="L6408" s="7">
        <v>44.31</v>
      </c>
      <c r="M6408" s="5">
        <v>262</v>
      </c>
      <c r="N6408" s="7">
        <v>11609.22</v>
      </c>
      <c r="O6408">
        <v>44.31</v>
      </c>
      <c r="P6408">
        <v>262</v>
      </c>
      <c r="Q6408" s="2">
        <v>11609.22</v>
      </c>
      <c r="R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 s="1">
        <v>42382</v>
      </c>
      <c r="AC6408" t="s">
        <v>53</v>
      </c>
      <c r="AD6408" t="s">
        <v>53</v>
      </c>
      <c r="AK6408">
        <v>0</v>
      </c>
      <c r="AU6408" s="6">
        <v>42300</v>
      </c>
      <c r="AV6408" s="6">
        <v>42300</v>
      </c>
      <c r="AW6408" t="s">
        <v>54</v>
      </c>
      <c r="AX6408" t="str">
        <f t="shared" si="539"/>
        <v>FOR</v>
      </c>
      <c r="AY6408" t="s">
        <v>55</v>
      </c>
    </row>
    <row r="6409" spans="1:51">
      <c r="A6409">
        <v>104048</v>
      </c>
      <c r="B6409" t="s">
        <v>1198</v>
      </c>
      <c r="C6409" t="str">
        <f t="shared" si="538"/>
        <v>00674840152</v>
      </c>
      <c r="D6409" t="str">
        <f t="shared" si="538"/>
        <v>00674840152</v>
      </c>
      <c r="E6409" t="s">
        <v>52</v>
      </c>
      <c r="F6409">
        <v>2014</v>
      </c>
      <c r="G6409">
        <v>1607133</v>
      </c>
      <c r="H6409" s="1">
        <v>41969</v>
      </c>
      <c r="I6409" s="1">
        <v>41978</v>
      </c>
      <c r="J6409" s="1">
        <v>41978</v>
      </c>
      <c r="K6409" s="1">
        <v>42038</v>
      </c>
      <c r="L6409" s="7">
        <v>701.65</v>
      </c>
      <c r="M6409" s="5">
        <v>262</v>
      </c>
      <c r="N6409" s="7">
        <v>183832.3</v>
      </c>
      <c r="O6409">
        <v>701.65</v>
      </c>
      <c r="P6409">
        <v>262</v>
      </c>
      <c r="Q6409" s="2">
        <v>183832.3</v>
      </c>
      <c r="R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 s="1">
        <v>42382</v>
      </c>
      <c r="AC6409" t="s">
        <v>53</v>
      </c>
      <c r="AD6409" t="s">
        <v>53</v>
      </c>
      <c r="AK6409">
        <v>0</v>
      </c>
      <c r="AU6409" s="6">
        <v>42300</v>
      </c>
      <c r="AV6409" s="6">
        <v>42300</v>
      </c>
      <c r="AW6409" t="s">
        <v>54</v>
      </c>
      <c r="AX6409" t="str">
        <f t="shared" si="539"/>
        <v>FOR</v>
      </c>
      <c r="AY6409" t="s">
        <v>55</v>
      </c>
    </row>
    <row r="6410" spans="1:51">
      <c r="A6410">
        <v>104048</v>
      </c>
      <c r="B6410" t="s">
        <v>1198</v>
      </c>
      <c r="C6410" t="str">
        <f t="shared" si="538"/>
        <v>00674840152</v>
      </c>
      <c r="D6410" t="str">
        <f t="shared" si="538"/>
        <v>00674840152</v>
      </c>
      <c r="E6410" t="s">
        <v>52</v>
      </c>
      <c r="F6410">
        <v>2014</v>
      </c>
      <c r="G6410">
        <v>1608067</v>
      </c>
      <c r="H6410" s="1">
        <v>41971</v>
      </c>
      <c r="I6410" s="1">
        <v>41988</v>
      </c>
      <c r="J6410" s="1">
        <v>41988</v>
      </c>
      <c r="K6410" s="1">
        <v>42048</v>
      </c>
      <c r="L6410" s="7">
        <v>302.33</v>
      </c>
      <c r="M6410" s="5">
        <v>252</v>
      </c>
      <c r="N6410" s="7">
        <v>76187.16</v>
      </c>
      <c r="O6410">
        <v>302.33</v>
      </c>
      <c r="P6410">
        <v>252</v>
      </c>
      <c r="Q6410" s="2">
        <v>76187.16</v>
      </c>
      <c r="R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 s="1">
        <v>42382</v>
      </c>
      <c r="AC6410" t="s">
        <v>53</v>
      </c>
      <c r="AD6410" t="s">
        <v>53</v>
      </c>
      <c r="AK6410">
        <v>0</v>
      </c>
      <c r="AU6410" s="6">
        <v>42300</v>
      </c>
      <c r="AV6410" s="6">
        <v>42300</v>
      </c>
      <c r="AW6410" t="s">
        <v>54</v>
      </c>
      <c r="AX6410" t="str">
        <f t="shared" si="539"/>
        <v>FOR</v>
      </c>
      <c r="AY6410" t="s">
        <v>55</v>
      </c>
    </row>
    <row r="6411" spans="1:51">
      <c r="A6411">
        <v>104048</v>
      </c>
      <c r="B6411" t="s">
        <v>1198</v>
      </c>
      <c r="C6411" t="str">
        <f t="shared" si="538"/>
        <v>00674840152</v>
      </c>
      <c r="D6411" t="str">
        <f t="shared" si="538"/>
        <v>00674840152</v>
      </c>
      <c r="E6411" t="s">
        <v>52</v>
      </c>
      <c r="F6411">
        <v>2014</v>
      </c>
      <c r="G6411">
        <v>1608650</v>
      </c>
      <c r="H6411" s="1">
        <v>41975</v>
      </c>
      <c r="I6411" s="1">
        <v>41985</v>
      </c>
      <c r="J6411" s="1">
        <v>41985</v>
      </c>
      <c r="K6411" s="1">
        <v>42045</v>
      </c>
      <c r="L6411" s="7">
        <v>646.79999999999995</v>
      </c>
      <c r="M6411" s="5">
        <v>296</v>
      </c>
      <c r="N6411" s="7">
        <v>191452.79999999999</v>
      </c>
      <c r="O6411">
        <v>646.79999999999995</v>
      </c>
      <c r="P6411">
        <v>296</v>
      </c>
      <c r="Q6411" s="2">
        <v>191452.79999999999</v>
      </c>
      <c r="R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 s="1">
        <v>42382</v>
      </c>
      <c r="AC6411" t="s">
        <v>53</v>
      </c>
      <c r="AD6411" t="s">
        <v>53</v>
      </c>
      <c r="AK6411">
        <v>0</v>
      </c>
      <c r="AU6411" s="6">
        <v>42341</v>
      </c>
      <c r="AV6411" s="6">
        <v>42341</v>
      </c>
      <c r="AW6411" t="s">
        <v>54</v>
      </c>
      <c r="AX6411" t="str">
        <f t="shared" si="539"/>
        <v>FOR</v>
      </c>
      <c r="AY6411" t="s">
        <v>55</v>
      </c>
    </row>
    <row r="6412" spans="1:51">
      <c r="A6412">
        <v>104048</v>
      </c>
      <c r="B6412" t="s">
        <v>1198</v>
      </c>
      <c r="C6412" t="str">
        <f t="shared" si="538"/>
        <v>00674840152</v>
      </c>
      <c r="D6412" t="str">
        <f t="shared" si="538"/>
        <v>00674840152</v>
      </c>
      <c r="E6412" t="s">
        <v>52</v>
      </c>
      <c r="F6412">
        <v>2014</v>
      </c>
      <c r="G6412">
        <v>1609623</v>
      </c>
      <c r="H6412" s="1">
        <v>41982</v>
      </c>
      <c r="I6412" s="1">
        <v>41995</v>
      </c>
      <c r="J6412" s="1">
        <v>41995</v>
      </c>
      <c r="K6412" s="1">
        <v>42055</v>
      </c>
      <c r="L6412" s="7">
        <v>1035.8699999999999</v>
      </c>
      <c r="M6412" s="5">
        <v>286</v>
      </c>
      <c r="N6412" s="7">
        <v>296258.82</v>
      </c>
      <c r="O6412" s="2">
        <v>1035.8699999999999</v>
      </c>
      <c r="P6412">
        <v>286</v>
      </c>
      <c r="Q6412" s="2">
        <v>296258.82</v>
      </c>
      <c r="R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 s="1">
        <v>42382</v>
      </c>
      <c r="AC6412" t="s">
        <v>53</v>
      </c>
      <c r="AD6412" t="s">
        <v>53</v>
      </c>
      <c r="AK6412">
        <v>0</v>
      </c>
      <c r="AU6412" s="6">
        <v>42341</v>
      </c>
      <c r="AV6412" s="6">
        <v>42341</v>
      </c>
      <c r="AW6412" t="s">
        <v>54</v>
      </c>
      <c r="AX6412" t="str">
        <f t="shared" si="539"/>
        <v>FOR</v>
      </c>
      <c r="AY6412" t="s">
        <v>55</v>
      </c>
    </row>
    <row r="6413" spans="1:51">
      <c r="A6413">
        <v>104048</v>
      </c>
      <c r="B6413" t="s">
        <v>1198</v>
      </c>
      <c r="C6413" t="str">
        <f t="shared" si="538"/>
        <v>00674840152</v>
      </c>
      <c r="D6413" t="str">
        <f t="shared" si="538"/>
        <v>00674840152</v>
      </c>
      <c r="E6413" t="s">
        <v>52</v>
      </c>
      <c r="F6413">
        <v>2014</v>
      </c>
      <c r="G6413">
        <v>1611813</v>
      </c>
      <c r="H6413" s="1">
        <v>41989</v>
      </c>
      <c r="I6413" s="1">
        <v>42002</v>
      </c>
      <c r="J6413" s="1">
        <v>42002</v>
      </c>
      <c r="K6413" s="1">
        <v>42062</v>
      </c>
      <c r="L6413" s="7">
        <v>929.88</v>
      </c>
      <c r="M6413" s="5">
        <v>238</v>
      </c>
      <c r="N6413" s="7">
        <v>221311.44</v>
      </c>
      <c r="O6413">
        <v>929.88</v>
      </c>
      <c r="P6413">
        <v>238</v>
      </c>
      <c r="Q6413" s="2">
        <v>221311.44</v>
      </c>
      <c r="R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 s="1">
        <v>42382</v>
      </c>
      <c r="AC6413" t="s">
        <v>53</v>
      </c>
      <c r="AD6413" t="s">
        <v>53</v>
      </c>
      <c r="AK6413">
        <v>0</v>
      </c>
      <c r="AU6413" s="6">
        <v>42300</v>
      </c>
      <c r="AV6413" s="6">
        <v>42300</v>
      </c>
      <c r="AW6413" t="s">
        <v>54</v>
      </c>
      <c r="AX6413" t="str">
        <f t="shared" si="539"/>
        <v>FOR</v>
      </c>
      <c r="AY6413" t="s">
        <v>55</v>
      </c>
    </row>
    <row r="6414" spans="1:51">
      <c r="A6414">
        <v>104048</v>
      </c>
      <c r="B6414" t="s">
        <v>1198</v>
      </c>
      <c r="C6414" t="str">
        <f t="shared" si="538"/>
        <v>00674840152</v>
      </c>
      <c r="D6414" t="str">
        <f t="shared" si="538"/>
        <v>00674840152</v>
      </c>
      <c r="E6414" t="s">
        <v>52</v>
      </c>
      <c r="F6414">
        <v>2014</v>
      </c>
      <c r="G6414">
        <v>1612673</v>
      </c>
      <c r="H6414" s="1">
        <v>41991</v>
      </c>
      <c r="I6414" s="1">
        <v>42004</v>
      </c>
      <c r="J6414" s="1">
        <v>42004</v>
      </c>
      <c r="K6414" s="1">
        <v>42064</v>
      </c>
      <c r="L6414" s="7">
        <v>776.16</v>
      </c>
      <c r="M6414" s="5">
        <v>277</v>
      </c>
      <c r="N6414" s="7">
        <v>214996.32</v>
      </c>
      <c r="O6414">
        <v>776.16</v>
      </c>
      <c r="P6414">
        <v>277</v>
      </c>
      <c r="Q6414" s="2">
        <v>214996.32</v>
      </c>
      <c r="R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 s="1">
        <v>42382</v>
      </c>
      <c r="AC6414" t="s">
        <v>53</v>
      </c>
      <c r="AD6414" t="s">
        <v>53</v>
      </c>
      <c r="AK6414">
        <v>0</v>
      </c>
      <c r="AU6414" s="6">
        <v>42341</v>
      </c>
      <c r="AV6414" s="6">
        <v>42341</v>
      </c>
      <c r="AW6414" t="s">
        <v>54</v>
      </c>
      <c r="AX6414" t="str">
        <f t="shared" si="539"/>
        <v>FOR</v>
      </c>
      <c r="AY6414" t="s">
        <v>55</v>
      </c>
    </row>
    <row r="6415" spans="1:51">
      <c r="A6415">
        <v>104048</v>
      </c>
      <c r="B6415" t="s">
        <v>1198</v>
      </c>
      <c r="C6415" t="str">
        <f t="shared" si="538"/>
        <v>00674840152</v>
      </c>
      <c r="D6415" t="str">
        <f t="shared" si="538"/>
        <v>00674840152</v>
      </c>
      <c r="E6415" t="s">
        <v>52</v>
      </c>
      <c r="F6415">
        <v>2014</v>
      </c>
      <c r="G6415">
        <v>1613373</v>
      </c>
      <c r="H6415" s="1">
        <v>42002</v>
      </c>
      <c r="I6415" s="1">
        <v>42004</v>
      </c>
      <c r="J6415" s="1">
        <v>42004</v>
      </c>
      <c r="K6415" s="1">
        <v>42064</v>
      </c>
      <c r="L6415" s="7">
        <v>909.14</v>
      </c>
      <c r="M6415" s="5">
        <v>236</v>
      </c>
      <c r="N6415" s="7">
        <v>214557.04</v>
      </c>
      <c r="O6415">
        <v>909.14</v>
      </c>
      <c r="P6415">
        <v>236</v>
      </c>
      <c r="Q6415" s="2">
        <v>214557.04</v>
      </c>
      <c r="R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 s="1">
        <v>42382</v>
      </c>
      <c r="AC6415" t="s">
        <v>53</v>
      </c>
      <c r="AD6415" t="s">
        <v>53</v>
      </c>
      <c r="AK6415">
        <v>0</v>
      </c>
      <c r="AU6415" s="6">
        <v>42300</v>
      </c>
      <c r="AV6415" s="6">
        <v>42300</v>
      </c>
      <c r="AW6415" t="s">
        <v>54</v>
      </c>
      <c r="AX6415" t="str">
        <f t="shared" si="539"/>
        <v>FOR</v>
      </c>
      <c r="AY6415" t="s">
        <v>55</v>
      </c>
    </row>
    <row r="6416" spans="1:51" hidden="1">
      <c r="A6416">
        <v>104048</v>
      </c>
      <c r="B6416" t="s">
        <v>1198</v>
      </c>
      <c r="C6416" t="str">
        <f t="shared" si="538"/>
        <v>00674840152</v>
      </c>
      <c r="D6416" t="str">
        <f t="shared" si="538"/>
        <v>00674840152</v>
      </c>
      <c r="E6416" t="s">
        <v>52</v>
      </c>
      <c r="F6416">
        <v>2014</v>
      </c>
      <c r="G6416" t="s">
        <v>1199</v>
      </c>
      <c r="H6416" s="1">
        <v>41946</v>
      </c>
      <c r="I6416" s="1">
        <v>41956</v>
      </c>
      <c r="J6416" s="1">
        <v>41956</v>
      </c>
      <c r="K6416" s="1">
        <v>42016</v>
      </c>
      <c r="N6416" s="5"/>
      <c r="O6416">
        <v>154.15</v>
      </c>
      <c r="P6416">
        <v>24</v>
      </c>
      <c r="Q6416" s="2">
        <v>3699.6</v>
      </c>
      <c r="R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 s="1">
        <v>42382</v>
      </c>
      <c r="AC6416" t="s">
        <v>53</v>
      </c>
      <c r="AD6416" t="s">
        <v>53</v>
      </c>
      <c r="AK6416">
        <v>0</v>
      </c>
      <c r="AU6416" s="6">
        <v>42040</v>
      </c>
      <c r="AV6416" s="6">
        <v>42040</v>
      </c>
      <c r="AW6416" t="s">
        <v>54</v>
      </c>
      <c r="AX6416" t="str">
        <f t="shared" si="539"/>
        <v>FOR</v>
      </c>
      <c r="AY6416" t="s">
        <v>55</v>
      </c>
    </row>
    <row r="6417" spans="1:51" hidden="1">
      <c r="A6417">
        <v>104048</v>
      </c>
      <c r="B6417" t="s">
        <v>1198</v>
      </c>
      <c r="C6417" t="str">
        <f t="shared" ref="C6417:D6430" si="540">"00674840152"</f>
        <v>00674840152</v>
      </c>
      <c r="D6417" t="str">
        <f t="shared" si="540"/>
        <v>00674840152</v>
      </c>
      <c r="E6417" t="s">
        <v>52</v>
      </c>
      <c r="F6417">
        <v>2014</v>
      </c>
      <c r="G6417" t="s">
        <v>1200</v>
      </c>
      <c r="H6417" s="1">
        <v>41953</v>
      </c>
      <c r="I6417" s="1">
        <v>41967</v>
      </c>
      <c r="J6417" s="1">
        <v>41967</v>
      </c>
      <c r="K6417" s="1">
        <v>42027</v>
      </c>
      <c r="N6417" s="5"/>
      <c r="O6417">
        <v>895.48</v>
      </c>
      <c r="P6417">
        <v>13</v>
      </c>
      <c r="Q6417" s="2">
        <v>11641.24</v>
      </c>
      <c r="R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 s="1">
        <v>42382</v>
      </c>
      <c r="AC6417" t="s">
        <v>53</v>
      </c>
      <c r="AD6417" t="s">
        <v>53</v>
      </c>
      <c r="AK6417">
        <v>0</v>
      </c>
      <c r="AU6417" s="6">
        <v>42040</v>
      </c>
      <c r="AV6417" s="6">
        <v>42040</v>
      </c>
      <c r="AW6417" t="s">
        <v>54</v>
      </c>
      <c r="AX6417" t="str">
        <f t="shared" si="539"/>
        <v>FOR</v>
      </c>
      <c r="AY6417" t="s">
        <v>55</v>
      </c>
    </row>
    <row r="6418" spans="1:51">
      <c r="A6418">
        <v>104048</v>
      </c>
      <c r="B6418" t="s">
        <v>1198</v>
      </c>
      <c r="C6418" t="str">
        <f t="shared" si="540"/>
        <v>00674840152</v>
      </c>
      <c r="D6418" t="str">
        <f t="shared" si="540"/>
        <v>00674840152</v>
      </c>
      <c r="E6418" t="s">
        <v>52</v>
      </c>
      <c r="F6418">
        <v>2015</v>
      </c>
      <c r="G6418">
        <v>5301622966</v>
      </c>
      <c r="H6418" s="1">
        <v>42035</v>
      </c>
      <c r="I6418" s="1">
        <v>42052</v>
      </c>
      <c r="J6418" s="1">
        <v>42052</v>
      </c>
      <c r="K6418" s="1">
        <v>42112</v>
      </c>
      <c r="L6418" s="7">
        <v>344.36</v>
      </c>
      <c r="M6418" s="5">
        <v>243</v>
      </c>
      <c r="N6418" s="7">
        <v>83679.48</v>
      </c>
      <c r="O6418">
        <v>344.36</v>
      </c>
      <c r="P6418">
        <v>243</v>
      </c>
      <c r="Q6418" s="2">
        <v>83679.48</v>
      </c>
      <c r="R6418">
        <v>75.760000000000005</v>
      </c>
      <c r="V6418">
        <v>0</v>
      </c>
      <c r="W6418">
        <v>0</v>
      </c>
      <c r="X6418">
        <v>0</v>
      </c>
      <c r="Y6418">
        <v>420.12</v>
      </c>
      <c r="Z6418">
        <v>420.12</v>
      </c>
      <c r="AA6418">
        <v>420.12</v>
      </c>
      <c r="AB6418" s="1">
        <v>42382</v>
      </c>
      <c r="AC6418" t="s">
        <v>53</v>
      </c>
      <c r="AD6418" t="s">
        <v>53</v>
      </c>
      <c r="AK6418">
        <v>75.760000000000005</v>
      </c>
      <c r="AU6418" s="6">
        <v>42355</v>
      </c>
      <c r="AV6418" s="6">
        <v>42355</v>
      </c>
      <c r="AW6418" t="s">
        <v>54</v>
      </c>
      <c r="AX6418" t="str">
        <f t="shared" si="539"/>
        <v>FOR</v>
      </c>
      <c r="AY6418" t="s">
        <v>55</v>
      </c>
    </row>
    <row r="6419" spans="1:51">
      <c r="A6419">
        <v>104048</v>
      </c>
      <c r="B6419" t="s">
        <v>1198</v>
      </c>
      <c r="C6419" t="str">
        <f t="shared" si="540"/>
        <v>00674840152</v>
      </c>
      <c r="D6419" t="str">
        <f t="shared" si="540"/>
        <v>00674840152</v>
      </c>
      <c r="E6419" t="s">
        <v>52</v>
      </c>
      <c r="F6419">
        <v>2015</v>
      </c>
      <c r="G6419">
        <v>5301622969</v>
      </c>
      <c r="H6419" s="1">
        <v>42035</v>
      </c>
      <c r="I6419" s="1">
        <v>42052</v>
      </c>
      <c r="J6419" s="1">
        <v>42052</v>
      </c>
      <c r="K6419" s="1">
        <v>42112</v>
      </c>
      <c r="L6419" s="7">
        <v>134.41999999999999</v>
      </c>
      <c r="M6419" s="5">
        <v>243</v>
      </c>
      <c r="N6419" s="7">
        <v>32664.06</v>
      </c>
      <c r="O6419">
        <v>134.41999999999999</v>
      </c>
      <c r="P6419">
        <v>243</v>
      </c>
      <c r="Q6419" s="2">
        <v>32664.06</v>
      </c>
      <c r="R6419">
        <v>29.57</v>
      </c>
      <c r="V6419">
        <v>0</v>
      </c>
      <c r="W6419">
        <v>0</v>
      </c>
      <c r="X6419">
        <v>0</v>
      </c>
      <c r="Y6419">
        <v>163.99</v>
      </c>
      <c r="Z6419">
        <v>163.99</v>
      </c>
      <c r="AA6419">
        <v>163.99</v>
      </c>
      <c r="AB6419" s="1">
        <v>42382</v>
      </c>
      <c r="AC6419" t="s">
        <v>53</v>
      </c>
      <c r="AD6419" t="s">
        <v>53</v>
      </c>
      <c r="AK6419">
        <v>29.57</v>
      </c>
      <c r="AU6419" s="6">
        <v>42355</v>
      </c>
      <c r="AV6419" s="6">
        <v>42355</v>
      </c>
      <c r="AW6419" t="s">
        <v>54</v>
      </c>
      <c r="AX6419" t="str">
        <f t="shared" si="539"/>
        <v>FOR</v>
      </c>
      <c r="AY6419" t="s">
        <v>55</v>
      </c>
    </row>
    <row r="6420" spans="1:51">
      <c r="A6420">
        <v>104048</v>
      </c>
      <c r="B6420" t="s">
        <v>1198</v>
      </c>
      <c r="C6420" t="str">
        <f t="shared" si="540"/>
        <v>00674840152</v>
      </c>
      <c r="D6420" t="str">
        <f t="shared" si="540"/>
        <v>00674840152</v>
      </c>
      <c r="E6420" t="s">
        <v>52</v>
      </c>
      <c r="F6420">
        <v>2015</v>
      </c>
      <c r="G6420">
        <v>5301622970</v>
      </c>
      <c r="H6420" s="1">
        <v>42035</v>
      </c>
      <c r="I6420" s="1">
        <v>42052</v>
      </c>
      <c r="J6420" s="1">
        <v>42052</v>
      </c>
      <c r="K6420" s="1">
        <v>42112</v>
      </c>
      <c r="L6420" s="7">
        <v>1123.8399999999999</v>
      </c>
      <c r="M6420" s="5">
        <v>243</v>
      </c>
      <c r="N6420" s="7">
        <v>273093.12</v>
      </c>
      <c r="O6420" s="2">
        <v>1123.8399999999999</v>
      </c>
      <c r="P6420">
        <v>243</v>
      </c>
      <c r="Q6420" s="2">
        <v>273093.12</v>
      </c>
      <c r="R6420">
        <v>247.24</v>
      </c>
      <c r="V6420">
        <v>0</v>
      </c>
      <c r="W6420">
        <v>0</v>
      </c>
      <c r="X6420">
        <v>0</v>
      </c>
      <c r="Y6420" s="2">
        <v>1371.08</v>
      </c>
      <c r="Z6420" s="2">
        <v>1371.08</v>
      </c>
      <c r="AA6420" s="2">
        <v>1371.08</v>
      </c>
      <c r="AB6420" s="1">
        <v>42382</v>
      </c>
      <c r="AC6420" t="s">
        <v>53</v>
      </c>
      <c r="AD6420" t="s">
        <v>53</v>
      </c>
      <c r="AK6420">
        <v>247.24</v>
      </c>
      <c r="AU6420" s="6">
        <v>42355</v>
      </c>
      <c r="AV6420" s="6">
        <v>42355</v>
      </c>
      <c r="AW6420" t="s">
        <v>54</v>
      </c>
      <c r="AX6420" t="str">
        <f t="shared" si="539"/>
        <v>FOR</v>
      </c>
      <c r="AY6420" t="s">
        <v>55</v>
      </c>
    </row>
    <row r="6421" spans="1:51">
      <c r="A6421">
        <v>104048</v>
      </c>
      <c r="B6421" t="s">
        <v>1198</v>
      </c>
      <c r="C6421" t="str">
        <f t="shared" si="540"/>
        <v>00674840152</v>
      </c>
      <c r="D6421" t="str">
        <f t="shared" si="540"/>
        <v>00674840152</v>
      </c>
      <c r="E6421" t="s">
        <v>52</v>
      </c>
      <c r="F6421">
        <v>2015</v>
      </c>
      <c r="G6421">
        <v>5301622971</v>
      </c>
      <c r="H6421" s="1">
        <v>42035</v>
      </c>
      <c r="I6421" s="1">
        <v>42052</v>
      </c>
      <c r="J6421" s="1">
        <v>42052</v>
      </c>
      <c r="K6421" s="1">
        <v>42112</v>
      </c>
      <c r="L6421" s="7">
        <v>428.88</v>
      </c>
      <c r="M6421" s="5">
        <v>243</v>
      </c>
      <c r="N6421" s="7">
        <v>104217.84</v>
      </c>
      <c r="O6421">
        <v>428.88</v>
      </c>
      <c r="P6421">
        <v>243</v>
      </c>
      <c r="Q6421" s="2">
        <v>104217.84</v>
      </c>
      <c r="R6421">
        <v>94.35</v>
      </c>
      <c r="V6421">
        <v>0</v>
      </c>
      <c r="W6421">
        <v>0</v>
      </c>
      <c r="X6421">
        <v>0</v>
      </c>
      <c r="Y6421">
        <v>523.23</v>
      </c>
      <c r="Z6421">
        <v>523.23</v>
      </c>
      <c r="AA6421">
        <v>523.23</v>
      </c>
      <c r="AB6421" s="1">
        <v>42382</v>
      </c>
      <c r="AC6421" t="s">
        <v>53</v>
      </c>
      <c r="AD6421" t="s">
        <v>53</v>
      </c>
      <c r="AK6421">
        <v>94.35</v>
      </c>
      <c r="AU6421" s="6">
        <v>42355</v>
      </c>
      <c r="AV6421" s="6">
        <v>42355</v>
      </c>
      <c r="AW6421" t="s">
        <v>54</v>
      </c>
      <c r="AX6421" t="str">
        <f t="shared" si="539"/>
        <v>FOR</v>
      </c>
      <c r="AY6421" t="s">
        <v>55</v>
      </c>
    </row>
    <row r="6422" spans="1:51">
      <c r="A6422">
        <v>104048</v>
      </c>
      <c r="B6422" t="s">
        <v>1198</v>
      </c>
      <c r="C6422" t="str">
        <f t="shared" si="540"/>
        <v>00674840152</v>
      </c>
      <c r="D6422" t="str">
        <f t="shared" si="540"/>
        <v>00674840152</v>
      </c>
      <c r="E6422" t="s">
        <v>52</v>
      </c>
      <c r="F6422">
        <v>2015</v>
      </c>
      <c r="G6422">
        <v>5301622972</v>
      </c>
      <c r="H6422" s="1">
        <v>42035</v>
      </c>
      <c r="I6422" s="1">
        <v>42052</v>
      </c>
      <c r="J6422" s="1">
        <v>42052</v>
      </c>
      <c r="K6422" s="1">
        <v>42112</v>
      </c>
      <c r="L6422" s="7">
        <v>273.10000000000002</v>
      </c>
      <c r="M6422" s="5">
        <v>243</v>
      </c>
      <c r="N6422" s="7">
        <v>66363.3</v>
      </c>
      <c r="O6422">
        <v>273.10000000000002</v>
      </c>
      <c r="P6422">
        <v>243</v>
      </c>
      <c r="Q6422" s="2">
        <v>66363.3</v>
      </c>
      <c r="R6422">
        <v>60.08</v>
      </c>
      <c r="V6422">
        <v>0</v>
      </c>
      <c r="W6422">
        <v>0</v>
      </c>
      <c r="X6422">
        <v>0</v>
      </c>
      <c r="Y6422">
        <v>333.18</v>
      </c>
      <c r="Z6422">
        <v>333.18</v>
      </c>
      <c r="AA6422">
        <v>333.18</v>
      </c>
      <c r="AB6422" s="1">
        <v>42382</v>
      </c>
      <c r="AC6422" t="s">
        <v>53</v>
      </c>
      <c r="AD6422" t="s">
        <v>53</v>
      </c>
      <c r="AK6422">
        <v>60.08</v>
      </c>
      <c r="AU6422" s="6">
        <v>42355</v>
      </c>
      <c r="AV6422" s="6">
        <v>42355</v>
      </c>
      <c r="AW6422" t="s">
        <v>54</v>
      </c>
      <c r="AX6422" t="str">
        <f t="shared" si="539"/>
        <v>FOR</v>
      </c>
      <c r="AY6422" t="s">
        <v>55</v>
      </c>
    </row>
    <row r="6423" spans="1:51">
      <c r="A6423">
        <v>104048</v>
      </c>
      <c r="B6423" t="s">
        <v>1198</v>
      </c>
      <c r="C6423" t="str">
        <f t="shared" si="540"/>
        <v>00674840152</v>
      </c>
      <c r="D6423" t="str">
        <f t="shared" si="540"/>
        <v>00674840152</v>
      </c>
      <c r="E6423" t="s">
        <v>52</v>
      </c>
      <c r="F6423">
        <v>2015</v>
      </c>
      <c r="G6423">
        <v>5301622973</v>
      </c>
      <c r="H6423" s="1">
        <v>42035</v>
      </c>
      <c r="I6423" s="1">
        <v>42052</v>
      </c>
      <c r="J6423" s="1">
        <v>42052</v>
      </c>
      <c r="K6423" s="1">
        <v>42112</v>
      </c>
      <c r="L6423" s="7">
        <v>934.48</v>
      </c>
      <c r="M6423" s="5">
        <v>243</v>
      </c>
      <c r="N6423" s="7">
        <v>227078.64</v>
      </c>
      <c r="O6423">
        <v>934.48</v>
      </c>
      <c r="P6423">
        <v>243</v>
      </c>
      <c r="Q6423" s="2">
        <v>227078.64</v>
      </c>
      <c r="R6423">
        <v>205.59</v>
      </c>
      <c r="V6423">
        <v>0</v>
      </c>
      <c r="W6423">
        <v>0</v>
      </c>
      <c r="X6423">
        <v>0</v>
      </c>
      <c r="Y6423" s="2">
        <v>1140.07</v>
      </c>
      <c r="Z6423" s="2">
        <v>1140.07</v>
      </c>
      <c r="AA6423" s="2">
        <v>1140.07</v>
      </c>
      <c r="AB6423" s="1">
        <v>42382</v>
      </c>
      <c r="AC6423" t="s">
        <v>53</v>
      </c>
      <c r="AD6423" t="s">
        <v>53</v>
      </c>
      <c r="AK6423">
        <v>205.59</v>
      </c>
      <c r="AU6423" s="6">
        <v>42355</v>
      </c>
      <c r="AV6423" s="6">
        <v>42355</v>
      </c>
      <c r="AW6423" t="s">
        <v>54</v>
      </c>
      <c r="AX6423" t="str">
        <f t="shared" si="539"/>
        <v>FOR</v>
      </c>
      <c r="AY6423" t="s">
        <v>55</v>
      </c>
    </row>
    <row r="6424" spans="1:51">
      <c r="A6424">
        <v>104048</v>
      </c>
      <c r="B6424" t="s">
        <v>1198</v>
      </c>
      <c r="C6424" t="str">
        <f t="shared" si="540"/>
        <v>00674840152</v>
      </c>
      <c r="D6424" t="str">
        <f t="shared" si="540"/>
        <v>00674840152</v>
      </c>
      <c r="E6424" t="s">
        <v>52</v>
      </c>
      <c r="F6424">
        <v>2015</v>
      </c>
      <c r="G6424">
        <v>5301622974</v>
      </c>
      <c r="H6424" s="1">
        <v>42035</v>
      </c>
      <c r="I6424" s="1">
        <v>42052</v>
      </c>
      <c r="J6424" s="1">
        <v>42052</v>
      </c>
      <c r="K6424" s="1">
        <v>42112</v>
      </c>
      <c r="L6424" s="7">
        <v>744</v>
      </c>
      <c r="M6424" s="5">
        <v>243</v>
      </c>
      <c r="N6424" s="7">
        <v>180792</v>
      </c>
      <c r="O6424">
        <v>744</v>
      </c>
      <c r="P6424">
        <v>243</v>
      </c>
      <c r="Q6424" s="2">
        <v>180792</v>
      </c>
      <c r="R6424">
        <v>163.68</v>
      </c>
      <c r="V6424">
        <v>0</v>
      </c>
      <c r="W6424">
        <v>0</v>
      </c>
      <c r="X6424">
        <v>0</v>
      </c>
      <c r="Y6424">
        <v>907.68</v>
      </c>
      <c r="Z6424">
        <v>907.68</v>
      </c>
      <c r="AA6424">
        <v>907.68</v>
      </c>
      <c r="AB6424" s="1">
        <v>42382</v>
      </c>
      <c r="AC6424" t="s">
        <v>53</v>
      </c>
      <c r="AD6424" t="s">
        <v>53</v>
      </c>
      <c r="AK6424">
        <v>163.68</v>
      </c>
      <c r="AU6424" s="6">
        <v>42355</v>
      </c>
      <c r="AV6424" s="6">
        <v>42355</v>
      </c>
      <c r="AW6424" t="s">
        <v>54</v>
      </c>
      <c r="AX6424" t="str">
        <f t="shared" si="539"/>
        <v>FOR</v>
      </c>
      <c r="AY6424" t="s">
        <v>55</v>
      </c>
    </row>
    <row r="6425" spans="1:51">
      <c r="A6425">
        <v>104048</v>
      </c>
      <c r="B6425" t="s">
        <v>1198</v>
      </c>
      <c r="C6425" t="str">
        <f t="shared" si="540"/>
        <v>00674840152</v>
      </c>
      <c r="D6425" t="str">
        <f t="shared" si="540"/>
        <v>00674840152</v>
      </c>
      <c r="E6425" t="s">
        <v>52</v>
      </c>
      <c r="F6425">
        <v>2015</v>
      </c>
      <c r="G6425">
        <v>5301622975</v>
      </c>
      <c r="H6425" s="1">
        <v>42035</v>
      </c>
      <c r="I6425" s="1">
        <v>42052</v>
      </c>
      <c r="J6425" s="1">
        <v>42052</v>
      </c>
      <c r="K6425" s="1">
        <v>42112</v>
      </c>
      <c r="L6425" s="7">
        <v>273.68</v>
      </c>
      <c r="M6425" s="5">
        <v>243</v>
      </c>
      <c r="N6425" s="7">
        <v>66504.240000000005</v>
      </c>
      <c r="O6425">
        <v>273.68</v>
      </c>
      <c r="P6425">
        <v>243</v>
      </c>
      <c r="Q6425" s="2">
        <v>66504.240000000005</v>
      </c>
      <c r="R6425">
        <v>60.21</v>
      </c>
      <c r="V6425">
        <v>0</v>
      </c>
      <c r="W6425">
        <v>0</v>
      </c>
      <c r="X6425">
        <v>0</v>
      </c>
      <c r="Y6425">
        <v>333.89</v>
      </c>
      <c r="Z6425">
        <v>333.89</v>
      </c>
      <c r="AA6425">
        <v>333.89</v>
      </c>
      <c r="AB6425" s="1">
        <v>42382</v>
      </c>
      <c r="AC6425" t="s">
        <v>53</v>
      </c>
      <c r="AD6425" t="s">
        <v>53</v>
      </c>
      <c r="AK6425">
        <v>60.21</v>
      </c>
      <c r="AU6425" s="6">
        <v>42355</v>
      </c>
      <c r="AV6425" s="6">
        <v>42355</v>
      </c>
      <c r="AW6425" t="s">
        <v>54</v>
      </c>
      <c r="AX6425" t="str">
        <f t="shared" si="539"/>
        <v>FOR</v>
      </c>
      <c r="AY6425" t="s">
        <v>55</v>
      </c>
    </row>
    <row r="6426" spans="1:51">
      <c r="A6426">
        <v>104048</v>
      </c>
      <c r="B6426" t="s">
        <v>1198</v>
      </c>
      <c r="C6426" t="str">
        <f t="shared" si="540"/>
        <v>00674840152</v>
      </c>
      <c r="D6426" t="str">
        <f t="shared" si="540"/>
        <v>00674840152</v>
      </c>
      <c r="E6426" t="s">
        <v>52</v>
      </c>
      <c r="F6426">
        <v>2015</v>
      </c>
      <c r="G6426">
        <v>5301622976</v>
      </c>
      <c r="H6426" s="1">
        <v>42035</v>
      </c>
      <c r="I6426" s="1">
        <v>42052</v>
      </c>
      <c r="J6426" s="1">
        <v>42052</v>
      </c>
      <c r="K6426" s="1">
        <v>42112</v>
      </c>
      <c r="L6426" s="7">
        <v>718.59</v>
      </c>
      <c r="M6426" s="5">
        <v>243</v>
      </c>
      <c r="N6426" s="7">
        <v>174617.37</v>
      </c>
      <c r="O6426">
        <v>718.59</v>
      </c>
      <c r="P6426">
        <v>243</v>
      </c>
      <c r="Q6426" s="2">
        <v>174617.37</v>
      </c>
      <c r="R6426">
        <v>158.09</v>
      </c>
      <c r="V6426">
        <v>0</v>
      </c>
      <c r="W6426">
        <v>0</v>
      </c>
      <c r="X6426">
        <v>0</v>
      </c>
      <c r="Y6426">
        <v>876.68</v>
      </c>
      <c r="Z6426">
        <v>876.68</v>
      </c>
      <c r="AA6426">
        <v>876.68</v>
      </c>
      <c r="AB6426" s="1">
        <v>42382</v>
      </c>
      <c r="AC6426" t="s">
        <v>53</v>
      </c>
      <c r="AD6426" t="s">
        <v>53</v>
      </c>
      <c r="AK6426">
        <v>158.09</v>
      </c>
      <c r="AU6426" s="6">
        <v>42355</v>
      </c>
      <c r="AV6426" s="6">
        <v>42355</v>
      </c>
      <c r="AW6426" t="s">
        <v>54</v>
      </c>
      <c r="AX6426" t="str">
        <f t="shared" si="539"/>
        <v>FOR</v>
      </c>
      <c r="AY6426" t="s">
        <v>55</v>
      </c>
    </row>
    <row r="6427" spans="1:51">
      <c r="A6427">
        <v>104048</v>
      </c>
      <c r="B6427" t="s">
        <v>1198</v>
      </c>
      <c r="C6427" t="str">
        <f t="shared" si="540"/>
        <v>00674840152</v>
      </c>
      <c r="D6427" t="str">
        <f t="shared" si="540"/>
        <v>00674840152</v>
      </c>
      <c r="E6427" t="s">
        <v>52</v>
      </c>
      <c r="F6427">
        <v>2015</v>
      </c>
      <c r="G6427">
        <v>5301624920</v>
      </c>
      <c r="H6427" s="1">
        <v>42035</v>
      </c>
      <c r="I6427" s="1">
        <v>42052</v>
      </c>
      <c r="J6427" s="1">
        <v>42052</v>
      </c>
      <c r="K6427" s="1">
        <v>42112</v>
      </c>
      <c r="L6427" s="7">
        <v>1546.98</v>
      </c>
      <c r="M6427" s="5">
        <v>243</v>
      </c>
      <c r="N6427" s="7">
        <v>375916.14</v>
      </c>
      <c r="O6427" s="2">
        <v>1546.98</v>
      </c>
      <c r="P6427">
        <v>243</v>
      </c>
      <c r="Q6427" s="2">
        <v>375916.14</v>
      </c>
      <c r="R6427">
        <v>340.34</v>
      </c>
      <c r="V6427">
        <v>0</v>
      </c>
      <c r="W6427">
        <v>0</v>
      </c>
      <c r="X6427">
        <v>0</v>
      </c>
      <c r="Y6427" s="2">
        <v>1887.32</v>
      </c>
      <c r="Z6427" s="2">
        <v>1887.32</v>
      </c>
      <c r="AA6427" s="2">
        <v>1887.32</v>
      </c>
      <c r="AB6427" s="1">
        <v>42382</v>
      </c>
      <c r="AC6427" t="s">
        <v>53</v>
      </c>
      <c r="AD6427" t="s">
        <v>53</v>
      </c>
      <c r="AK6427">
        <v>340.34</v>
      </c>
      <c r="AU6427" s="6">
        <v>42355</v>
      </c>
      <c r="AV6427" s="6">
        <v>42355</v>
      </c>
      <c r="AW6427" t="s">
        <v>54</v>
      </c>
      <c r="AX6427" t="str">
        <f t="shared" si="539"/>
        <v>FOR</v>
      </c>
      <c r="AY6427" t="s">
        <v>55</v>
      </c>
    </row>
    <row r="6428" spans="1:51">
      <c r="A6428">
        <v>104048</v>
      </c>
      <c r="B6428" t="s">
        <v>1198</v>
      </c>
      <c r="C6428" t="str">
        <f t="shared" si="540"/>
        <v>00674840152</v>
      </c>
      <c r="D6428" t="str">
        <f t="shared" si="540"/>
        <v>00674840152</v>
      </c>
      <c r="E6428" t="s">
        <v>52</v>
      </c>
      <c r="F6428">
        <v>2015</v>
      </c>
      <c r="G6428">
        <v>5301624921</v>
      </c>
      <c r="H6428" s="1">
        <v>42035</v>
      </c>
      <c r="I6428" s="1">
        <v>42052</v>
      </c>
      <c r="J6428" s="1">
        <v>42052</v>
      </c>
      <c r="K6428" s="1">
        <v>42112</v>
      </c>
      <c r="L6428" s="7">
        <v>1200</v>
      </c>
      <c r="M6428" s="5">
        <v>243</v>
      </c>
      <c r="N6428" s="7">
        <v>291600</v>
      </c>
      <c r="O6428" s="2">
        <v>1200</v>
      </c>
      <c r="P6428">
        <v>243</v>
      </c>
      <c r="Q6428" s="2">
        <v>291600</v>
      </c>
      <c r="R6428">
        <v>264</v>
      </c>
      <c r="V6428">
        <v>0</v>
      </c>
      <c r="W6428">
        <v>0</v>
      </c>
      <c r="X6428">
        <v>0</v>
      </c>
      <c r="Y6428" s="2">
        <v>1464</v>
      </c>
      <c r="Z6428" s="2">
        <v>1464</v>
      </c>
      <c r="AA6428" s="2">
        <v>1464</v>
      </c>
      <c r="AB6428" s="1">
        <v>42382</v>
      </c>
      <c r="AC6428" t="s">
        <v>53</v>
      </c>
      <c r="AD6428" t="s">
        <v>53</v>
      </c>
      <c r="AK6428">
        <v>264</v>
      </c>
      <c r="AU6428" s="6">
        <v>42355</v>
      </c>
      <c r="AV6428" s="6">
        <v>42355</v>
      </c>
      <c r="AW6428" t="s">
        <v>54</v>
      </c>
      <c r="AX6428" t="str">
        <f t="shared" si="539"/>
        <v>FOR</v>
      </c>
      <c r="AY6428" t="s">
        <v>55</v>
      </c>
    </row>
    <row r="6429" spans="1:51">
      <c r="A6429">
        <v>104048</v>
      </c>
      <c r="B6429" t="s">
        <v>1198</v>
      </c>
      <c r="C6429" t="str">
        <f t="shared" si="540"/>
        <v>00674840152</v>
      </c>
      <c r="D6429" t="str">
        <f t="shared" si="540"/>
        <v>00674840152</v>
      </c>
      <c r="E6429" t="s">
        <v>52</v>
      </c>
      <c r="F6429">
        <v>2015</v>
      </c>
      <c r="G6429">
        <v>5301624922</v>
      </c>
      <c r="H6429" s="1">
        <v>42035</v>
      </c>
      <c r="I6429" s="1">
        <v>42052</v>
      </c>
      <c r="J6429" s="1">
        <v>42052</v>
      </c>
      <c r="K6429" s="1">
        <v>42112</v>
      </c>
      <c r="L6429" s="7">
        <v>1108.25</v>
      </c>
      <c r="M6429" s="5">
        <v>243</v>
      </c>
      <c r="N6429" s="7">
        <v>269304.75</v>
      </c>
      <c r="O6429" s="2">
        <v>1108.25</v>
      </c>
      <c r="P6429">
        <v>243</v>
      </c>
      <c r="Q6429" s="2">
        <v>269304.75</v>
      </c>
      <c r="R6429">
        <v>243.82</v>
      </c>
      <c r="V6429">
        <v>0</v>
      </c>
      <c r="W6429">
        <v>0</v>
      </c>
      <c r="X6429">
        <v>0</v>
      </c>
      <c r="Y6429" s="2">
        <v>1352.07</v>
      </c>
      <c r="Z6429" s="2">
        <v>1352.07</v>
      </c>
      <c r="AA6429" s="2">
        <v>1352.07</v>
      </c>
      <c r="AB6429" s="1">
        <v>42382</v>
      </c>
      <c r="AC6429" t="s">
        <v>53</v>
      </c>
      <c r="AD6429" t="s">
        <v>53</v>
      </c>
      <c r="AK6429">
        <v>243.82</v>
      </c>
      <c r="AU6429" s="6">
        <v>42355</v>
      </c>
      <c r="AV6429" s="6">
        <v>42355</v>
      </c>
      <c r="AW6429" t="s">
        <v>54</v>
      </c>
      <c r="AX6429" t="str">
        <f t="shared" si="539"/>
        <v>FOR</v>
      </c>
      <c r="AY6429" t="s">
        <v>55</v>
      </c>
    </row>
    <row r="6430" spans="1:51">
      <c r="A6430">
        <v>104048</v>
      </c>
      <c r="B6430" t="s">
        <v>1198</v>
      </c>
      <c r="C6430" t="str">
        <f t="shared" si="540"/>
        <v>00674840152</v>
      </c>
      <c r="D6430" t="str">
        <f t="shared" si="540"/>
        <v>00674840152</v>
      </c>
      <c r="E6430" t="s">
        <v>52</v>
      </c>
      <c r="F6430">
        <v>2015</v>
      </c>
      <c r="G6430">
        <v>5301624923</v>
      </c>
      <c r="H6430" s="1">
        <v>42035</v>
      </c>
      <c r="I6430" s="1">
        <v>42052</v>
      </c>
      <c r="J6430" s="1">
        <v>42052</v>
      </c>
      <c r="K6430" s="1">
        <v>42112</v>
      </c>
      <c r="L6430" s="7">
        <v>342.24</v>
      </c>
      <c r="M6430" s="5">
        <v>243</v>
      </c>
      <c r="N6430" s="7">
        <v>83164.320000000007</v>
      </c>
      <c r="O6430">
        <v>342.24</v>
      </c>
      <c r="P6430">
        <v>243</v>
      </c>
      <c r="Q6430" s="2">
        <v>83164.320000000007</v>
      </c>
      <c r="R6430">
        <v>75.290000000000006</v>
      </c>
      <c r="V6430">
        <v>0</v>
      </c>
      <c r="W6430">
        <v>0</v>
      </c>
      <c r="X6430">
        <v>0</v>
      </c>
      <c r="Y6430">
        <v>417.53</v>
      </c>
      <c r="Z6430">
        <v>417.53</v>
      </c>
      <c r="AA6430">
        <v>417.53</v>
      </c>
      <c r="AB6430" s="1">
        <v>42382</v>
      </c>
      <c r="AC6430" t="s">
        <v>53</v>
      </c>
      <c r="AD6430" t="s">
        <v>53</v>
      </c>
      <c r="AK6430">
        <v>75.290000000000006</v>
      </c>
      <c r="AU6430" s="6">
        <v>42355</v>
      </c>
      <c r="AV6430" s="6">
        <v>42355</v>
      </c>
      <c r="AW6430" t="s">
        <v>54</v>
      </c>
      <c r="AX6430" t="str">
        <f t="shared" si="539"/>
        <v>FOR</v>
      </c>
      <c r="AY6430" t="s">
        <v>55</v>
      </c>
    </row>
    <row r="6431" spans="1:51" hidden="1">
      <c r="A6431">
        <v>104054</v>
      </c>
      <c r="B6431" t="s">
        <v>1201</v>
      </c>
      <c r="C6431" t="str">
        <f t="shared" ref="C6431:D6439" si="541">"00136740404"</f>
        <v>00136740404</v>
      </c>
      <c r="D6431" t="str">
        <f t="shared" si="541"/>
        <v>00136740404</v>
      </c>
      <c r="E6431" t="s">
        <v>52</v>
      </c>
      <c r="F6431">
        <v>2014</v>
      </c>
      <c r="G6431">
        <v>3660</v>
      </c>
      <c r="H6431" s="1">
        <v>41729</v>
      </c>
      <c r="I6431" s="1">
        <v>41914</v>
      </c>
      <c r="J6431" s="1">
        <v>41914</v>
      </c>
      <c r="K6431" s="1">
        <v>42004</v>
      </c>
      <c r="N6431" s="5"/>
      <c r="O6431">
        <v>790.56</v>
      </c>
      <c r="P6431">
        <v>155</v>
      </c>
      <c r="Q6431" s="2">
        <v>122536.8</v>
      </c>
      <c r="R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 s="1">
        <v>42382</v>
      </c>
      <c r="AC6431" t="s">
        <v>53</v>
      </c>
      <c r="AD6431" t="s">
        <v>53</v>
      </c>
      <c r="AK6431">
        <v>0</v>
      </c>
      <c r="AU6431" s="6">
        <v>42159</v>
      </c>
      <c r="AV6431" s="6">
        <v>42159</v>
      </c>
      <c r="AW6431" t="s">
        <v>54</v>
      </c>
      <c r="AX6431" t="str">
        <f t="shared" si="539"/>
        <v>FOR</v>
      </c>
      <c r="AY6431" t="s">
        <v>55</v>
      </c>
    </row>
    <row r="6432" spans="1:51" hidden="1">
      <c r="A6432">
        <v>104054</v>
      </c>
      <c r="B6432" t="s">
        <v>1201</v>
      </c>
      <c r="C6432" t="str">
        <f t="shared" si="541"/>
        <v>00136740404</v>
      </c>
      <c r="D6432" t="str">
        <f t="shared" si="541"/>
        <v>00136740404</v>
      </c>
      <c r="E6432" t="s">
        <v>52</v>
      </c>
      <c r="F6432">
        <v>2014</v>
      </c>
      <c r="G6432">
        <v>6235</v>
      </c>
      <c r="H6432" s="1">
        <v>41785</v>
      </c>
      <c r="I6432" s="1">
        <v>41799</v>
      </c>
      <c r="J6432" s="1">
        <v>41799</v>
      </c>
      <c r="K6432" s="1">
        <v>41889</v>
      </c>
      <c r="N6432" s="5"/>
      <c r="O6432">
        <v>775.92</v>
      </c>
      <c r="P6432">
        <v>270</v>
      </c>
      <c r="Q6432" s="2">
        <v>209498.4</v>
      </c>
      <c r="R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 s="1">
        <v>42382</v>
      </c>
      <c r="AC6432" t="s">
        <v>53</v>
      </c>
      <c r="AD6432" t="s">
        <v>53</v>
      </c>
      <c r="AK6432">
        <v>0</v>
      </c>
      <c r="AU6432" s="6">
        <v>42159</v>
      </c>
      <c r="AV6432" s="6">
        <v>42159</v>
      </c>
      <c r="AW6432" t="s">
        <v>54</v>
      </c>
      <c r="AX6432" t="str">
        <f t="shared" si="539"/>
        <v>FOR</v>
      </c>
      <c r="AY6432" t="s">
        <v>55</v>
      </c>
    </row>
    <row r="6433" spans="1:51" hidden="1">
      <c r="A6433">
        <v>104054</v>
      </c>
      <c r="B6433" t="s">
        <v>1201</v>
      </c>
      <c r="C6433" t="str">
        <f t="shared" si="541"/>
        <v>00136740404</v>
      </c>
      <c r="D6433" t="str">
        <f t="shared" si="541"/>
        <v>00136740404</v>
      </c>
      <c r="E6433" t="s">
        <v>52</v>
      </c>
      <c r="F6433">
        <v>2014</v>
      </c>
      <c r="G6433">
        <v>7288</v>
      </c>
      <c r="H6433" s="1">
        <v>41813</v>
      </c>
      <c r="I6433" s="1">
        <v>41827</v>
      </c>
      <c r="J6433" s="1">
        <v>41827</v>
      </c>
      <c r="K6433" s="1">
        <v>41917</v>
      </c>
      <c r="N6433" s="5"/>
      <c r="O6433">
        <v>395.28</v>
      </c>
      <c r="P6433">
        <v>242</v>
      </c>
      <c r="Q6433" s="2">
        <v>95657.76</v>
      </c>
      <c r="R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 s="1">
        <v>42382</v>
      </c>
      <c r="AC6433" t="s">
        <v>53</v>
      </c>
      <c r="AD6433" t="s">
        <v>53</v>
      </c>
      <c r="AK6433">
        <v>0</v>
      </c>
      <c r="AU6433" s="6">
        <v>42159</v>
      </c>
      <c r="AV6433" s="6">
        <v>42159</v>
      </c>
      <c r="AW6433" t="s">
        <v>54</v>
      </c>
      <c r="AX6433" t="str">
        <f t="shared" si="539"/>
        <v>FOR</v>
      </c>
      <c r="AY6433" t="s">
        <v>55</v>
      </c>
    </row>
    <row r="6434" spans="1:51" hidden="1">
      <c r="A6434">
        <v>104054</v>
      </c>
      <c r="B6434" t="s">
        <v>1201</v>
      </c>
      <c r="C6434" t="str">
        <f t="shared" si="541"/>
        <v>00136740404</v>
      </c>
      <c r="D6434" t="str">
        <f t="shared" si="541"/>
        <v>00136740404</v>
      </c>
      <c r="E6434" t="s">
        <v>52</v>
      </c>
      <c r="F6434">
        <v>2014</v>
      </c>
      <c r="G6434">
        <v>8665</v>
      </c>
      <c r="H6434" s="1">
        <v>41848</v>
      </c>
      <c r="I6434" s="1">
        <v>41872</v>
      </c>
      <c r="J6434" s="1">
        <v>41872</v>
      </c>
      <c r="K6434" s="1">
        <v>41962</v>
      </c>
      <c r="N6434" s="5"/>
      <c r="O6434" s="2">
        <v>1185.8399999999999</v>
      </c>
      <c r="P6434">
        <v>229</v>
      </c>
      <c r="Q6434" s="2">
        <v>271557.36</v>
      </c>
      <c r="R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 s="1">
        <v>42382</v>
      </c>
      <c r="AC6434" t="s">
        <v>53</v>
      </c>
      <c r="AD6434" t="s">
        <v>53</v>
      </c>
      <c r="AK6434">
        <v>0</v>
      </c>
      <c r="AU6434" s="6">
        <v>42191</v>
      </c>
      <c r="AV6434" s="6">
        <v>42191</v>
      </c>
      <c r="AW6434" t="s">
        <v>54</v>
      </c>
      <c r="AX6434" t="str">
        <f t="shared" si="539"/>
        <v>FOR</v>
      </c>
      <c r="AY6434" t="s">
        <v>55</v>
      </c>
    </row>
    <row r="6435" spans="1:51">
      <c r="A6435">
        <v>104054</v>
      </c>
      <c r="B6435" t="s">
        <v>1201</v>
      </c>
      <c r="C6435" t="str">
        <f t="shared" si="541"/>
        <v>00136740404</v>
      </c>
      <c r="D6435" t="str">
        <f t="shared" si="541"/>
        <v>00136740404</v>
      </c>
      <c r="E6435" t="s">
        <v>52</v>
      </c>
      <c r="F6435">
        <v>2014</v>
      </c>
      <c r="G6435">
        <v>12059</v>
      </c>
      <c r="H6435" s="1">
        <v>41932</v>
      </c>
      <c r="I6435" s="1">
        <v>41941</v>
      </c>
      <c r="J6435" s="1">
        <v>41941</v>
      </c>
      <c r="K6435" s="1">
        <v>42001</v>
      </c>
      <c r="L6435" s="7">
        <v>790.56</v>
      </c>
      <c r="M6435" s="5">
        <v>281</v>
      </c>
      <c r="N6435" s="7">
        <v>222147.36</v>
      </c>
      <c r="O6435">
        <v>790.56</v>
      </c>
      <c r="P6435">
        <v>281</v>
      </c>
      <c r="Q6435" s="2">
        <v>222147.36</v>
      </c>
      <c r="R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 s="1">
        <v>42382</v>
      </c>
      <c r="AC6435" t="s">
        <v>53</v>
      </c>
      <c r="AD6435" t="s">
        <v>53</v>
      </c>
      <c r="AK6435">
        <v>0</v>
      </c>
      <c r="AU6435" s="6">
        <v>42282</v>
      </c>
      <c r="AV6435" s="6">
        <v>42282</v>
      </c>
      <c r="AW6435" t="s">
        <v>54</v>
      </c>
      <c r="AX6435" t="str">
        <f t="shared" si="539"/>
        <v>FOR</v>
      </c>
      <c r="AY6435" t="s">
        <v>55</v>
      </c>
    </row>
    <row r="6436" spans="1:51">
      <c r="A6436">
        <v>104054</v>
      </c>
      <c r="B6436" t="s">
        <v>1201</v>
      </c>
      <c r="C6436" t="str">
        <f t="shared" si="541"/>
        <v>00136740404</v>
      </c>
      <c r="D6436" t="str">
        <f t="shared" si="541"/>
        <v>00136740404</v>
      </c>
      <c r="E6436" t="s">
        <v>52</v>
      </c>
      <c r="F6436">
        <v>2014</v>
      </c>
      <c r="G6436">
        <v>14482</v>
      </c>
      <c r="H6436" s="1">
        <v>41992</v>
      </c>
      <c r="I6436" s="1">
        <v>42004</v>
      </c>
      <c r="J6436" s="1">
        <v>42004</v>
      </c>
      <c r="K6436" s="1">
        <v>42064</v>
      </c>
      <c r="L6436" s="7">
        <v>790.56</v>
      </c>
      <c r="M6436" s="5">
        <v>236</v>
      </c>
      <c r="N6436" s="7">
        <v>186572.16</v>
      </c>
      <c r="O6436">
        <v>790.56</v>
      </c>
      <c r="P6436">
        <v>236</v>
      </c>
      <c r="Q6436" s="2">
        <v>186572.16</v>
      </c>
      <c r="R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 s="1">
        <v>42382</v>
      </c>
      <c r="AC6436" t="s">
        <v>53</v>
      </c>
      <c r="AD6436" t="s">
        <v>53</v>
      </c>
      <c r="AK6436">
        <v>0</v>
      </c>
      <c r="AU6436" s="6">
        <v>42300</v>
      </c>
      <c r="AV6436" s="6">
        <v>42300</v>
      </c>
      <c r="AW6436" t="s">
        <v>54</v>
      </c>
      <c r="AX6436" t="str">
        <f t="shared" si="539"/>
        <v>FOR</v>
      </c>
      <c r="AY6436" t="s">
        <v>55</v>
      </c>
    </row>
    <row r="6437" spans="1:51">
      <c r="A6437">
        <v>104054</v>
      </c>
      <c r="B6437" t="s">
        <v>1201</v>
      </c>
      <c r="C6437" t="str">
        <f t="shared" si="541"/>
        <v>00136740404</v>
      </c>
      <c r="D6437" t="str">
        <f t="shared" si="541"/>
        <v>00136740404</v>
      </c>
      <c r="E6437" t="s">
        <v>52</v>
      </c>
      <c r="F6437">
        <v>2015</v>
      </c>
      <c r="G6437" t="s">
        <v>1202</v>
      </c>
      <c r="H6437" s="1">
        <v>42101</v>
      </c>
      <c r="I6437" s="1">
        <v>42104</v>
      </c>
      <c r="J6437" s="1">
        <v>42103</v>
      </c>
      <c r="K6437" s="1">
        <v>42163</v>
      </c>
      <c r="L6437" s="7">
        <v>324</v>
      </c>
      <c r="M6437" s="5">
        <v>137</v>
      </c>
      <c r="N6437" s="7">
        <v>44388</v>
      </c>
      <c r="O6437">
        <v>324</v>
      </c>
      <c r="P6437">
        <v>137</v>
      </c>
      <c r="Q6437" s="2">
        <v>44388</v>
      </c>
      <c r="R6437">
        <v>0</v>
      </c>
      <c r="V6437">
        <v>0</v>
      </c>
      <c r="W6437">
        <v>0</v>
      </c>
      <c r="X6437">
        <v>0</v>
      </c>
      <c r="Y6437">
        <v>395.28</v>
      </c>
      <c r="Z6437">
        <v>395.28</v>
      </c>
      <c r="AA6437">
        <v>395.28</v>
      </c>
      <c r="AB6437" s="1">
        <v>42382</v>
      </c>
      <c r="AC6437" t="s">
        <v>53</v>
      </c>
      <c r="AD6437" t="s">
        <v>53</v>
      </c>
      <c r="AK6437">
        <v>0</v>
      </c>
      <c r="AU6437" s="6">
        <v>42300</v>
      </c>
      <c r="AV6437" s="6">
        <v>42300</v>
      </c>
      <c r="AW6437" t="s">
        <v>54</v>
      </c>
      <c r="AX6437" t="str">
        <f t="shared" si="539"/>
        <v>FOR</v>
      </c>
      <c r="AY6437" t="s">
        <v>55</v>
      </c>
    </row>
    <row r="6438" spans="1:51">
      <c r="A6438">
        <v>104054</v>
      </c>
      <c r="B6438" t="s">
        <v>1201</v>
      </c>
      <c r="C6438" t="str">
        <f t="shared" si="541"/>
        <v>00136740404</v>
      </c>
      <c r="D6438" t="str">
        <f t="shared" si="541"/>
        <v>00136740404</v>
      </c>
      <c r="E6438" t="s">
        <v>52</v>
      </c>
      <c r="F6438">
        <v>2015</v>
      </c>
      <c r="G6438" t="s">
        <v>1203</v>
      </c>
      <c r="H6438" s="1">
        <v>42142</v>
      </c>
      <c r="I6438" s="1">
        <v>42160</v>
      </c>
      <c r="J6438" s="1">
        <v>42143</v>
      </c>
      <c r="K6438" s="1">
        <v>42203</v>
      </c>
      <c r="L6438" s="7">
        <v>648</v>
      </c>
      <c r="M6438" s="5">
        <v>97</v>
      </c>
      <c r="N6438" s="7">
        <v>62856</v>
      </c>
      <c r="O6438">
        <v>648</v>
      </c>
      <c r="P6438">
        <v>97</v>
      </c>
      <c r="Q6438" s="2">
        <v>62856</v>
      </c>
      <c r="R6438">
        <v>0</v>
      </c>
      <c r="V6438">
        <v>0</v>
      </c>
      <c r="W6438">
        <v>0</v>
      </c>
      <c r="X6438">
        <v>0</v>
      </c>
      <c r="Y6438">
        <v>790.56</v>
      </c>
      <c r="Z6438">
        <v>790.56</v>
      </c>
      <c r="AA6438">
        <v>790.56</v>
      </c>
      <c r="AB6438" s="1">
        <v>42382</v>
      </c>
      <c r="AC6438" t="s">
        <v>53</v>
      </c>
      <c r="AD6438" t="s">
        <v>53</v>
      </c>
      <c r="AK6438">
        <v>0</v>
      </c>
      <c r="AU6438" s="6">
        <v>42300</v>
      </c>
      <c r="AV6438" s="6">
        <v>42300</v>
      </c>
      <c r="AW6438" t="s">
        <v>54</v>
      </c>
      <c r="AX6438" t="str">
        <f t="shared" si="539"/>
        <v>FOR</v>
      </c>
      <c r="AY6438" t="s">
        <v>55</v>
      </c>
    </row>
    <row r="6439" spans="1:51">
      <c r="A6439">
        <v>104054</v>
      </c>
      <c r="B6439" t="s">
        <v>1201</v>
      </c>
      <c r="C6439" t="str">
        <f t="shared" si="541"/>
        <v>00136740404</v>
      </c>
      <c r="D6439" t="str">
        <f t="shared" si="541"/>
        <v>00136740404</v>
      </c>
      <c r="E6439" t="s">
        <v>52</v>
      </c>
      <c r="F6439">
        <v>2015</v>
      </c>
      <c r="G6439" t="s">
        <v>1204</v>
      </c>
      <c r="H6439" s="1">
        <v>42216</v>
      </c>
      <c r="I6439" s="1">
        <v>42217</v>
      </c>
      <c r="J6439" s="1">
        <v>42216</v>
      </c>
      <c r="K6439" s="1">
        <v>42276</v>
      </c>
      <c r="L6439" s="7">
        <v>972</v>
      </c>
      <c r="M6439" s="5">
        <v>24</v>
      </c>
      <c r="N6439" s="7">
        <v>23328</v>
      </c>
      <c r="O6439">
        <v>972</v>
      </c>
      <c r="P6439">
        <v>24</v>
      </c>
      <c r="Q6439" s="2">
        <v>23328</v>
      </c>
      <c r="R6439">
        <v>0</v>
      </c>
      <c r="V6439">
        <v>0</v>
      </c>
      <c r="W6439">
        <v>0</v>
      </c>
      <c r="X6439">
        <v>0</v>
      </c>
      <c r="Y6439" s="2">
        <v>1185.8399999999999</v>
      </c>
      <c r="Z6439" s="2">
        <v>1185.8399999999999</v>
      </c>
      <c r="AA6439" s="2">
        <v>1185.8399999999999</v>
      </c>
      <c r="AB6439" s="1">
        <v>42382</v>
      </c>
      <c r="AC6439" t="s">
        <v>53</v>
      </c>
      <c r="AD6439" t="s">
        <v>53</v>
      </c>
      <c r="AK6439">
        <v>0</v>
      </c>
      <c r="AU6439" s="6">
        <v>42300</v>
      </c>
      <c r="AV6439" s="6">
        <v>42300</v>
      </c>
      <c r="AW6439" t="s">
        <v>54</v>
      </c>
      <c r="AX6439" t="str">
        <f t="shared" si="539"/>
        <v>FOR</v>
      </c>
      <c r="AY6439" t="s">
        <v>55</v>
      </c>
    </row>
    <row r="6440" spans="1:51" hidden="1">
      <c r="A6440">
        <v>104059</v>
      </c>
      <c r="B6440" t="s">
        <v>1205</v>
      </c>
      <c r="C6440" t="str">
        <f t="shared" ref="C6440:D6445" si="542">"06911020631"</f>
        <v>06911020631</v>
      </c>
      <c r="D6440" t="str">
        <f t="shared" si="542"/>
        <v>06911020631</v>
      </c>
      <c r="E6440" t="s">
        <v>52</v>
      </c>
      <c r="F6440">
        <v>2014</v>
      </c>
      <c r="G6440">
        <v>129</v>
      </c>
      <c r="H6440" s="1">
        <v>41684</v>
      </c>
      <c r="I6440" s="1">
        <v>41703</v>
      </c>
      <c r="J6440" s="1">
        <v>41703</v>
      </c>
      <c r="K6440" s="1">
        <v>41793</v>
      </c>
      <c r="N6440" s="5"/>
      <c r="O6440" s="2">
        <v>2600.06</v>
      </c>
      <c r="P6440">
        <v>337</v>
      </c>
      <c r="Q6440" s="2">
        <v>876220.22</v>
      </c>
      <c r="R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 s="1">
        <v>42382</v>
      </c>
      <c r="AC6440" t="s">
        <v>53</v>
      </c>
      <c r="AD6440" t="s">
        <v>53</v>
      </c>
      <c r="AK6440">
        <v>0</v>
      </c>
      <c r="AU6440" s="6">
        <v>42130</v>
      </c>
      <c r="AV6440" s="6">
        <v>42130</v>
      </c>
      <c r="AW6440" t="s">
        <v>54</v>
      </c>
      <c r="AX6440" t="str">
        <f t="shared" si="539"/>
        <v>FOR</v>
      </c>
      <c r="AY6440" t="s">
        <v>55</v>
      </c>
    </row>
    <row r="6441" spans="1:51" hidden="1">
      <c r="A6441">
        <v>104059</v>
      </c>
      <c r="B6441" t="s">
        <v>1205</v>
      </c>
      <c r="C6441" t="str">
        <f t="shared" si="542"/>
        <v>06911020631</v>
      </c>
      <c r="D6441" t="str">
        <f t="shared" si="542"/>
        <v>06911020631</v>
      </c>
      <c r="E6441" t="s">
        <v>52</v>
      </c>
      <c r="F6441">
        <v>2014</v>
      </c>
      <c r="G6441">
        <v>369</v>
      </c>
      <c r="H6441" s="1">
        <v>41767</v>
      </c>
      <c r="I6441" s="1">
        <v>41782</v>
      </c>
      <c r="J6441" s="1">
        <v>41782</v>
      </c>
      <c r="K6441" s="1">
        <v>41872</v>
      </c>
      <c r="N6441" s="5"/>
      <c r="O6441" s="2">
        <v>1271.1400000000001</v>
      </c>
      <c r="P6441">
        <v>258</v>
      </c>
      <c r="Q6441" s="2">
        <v>327954.12</v>
      </c>
      <c r="R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 s="1">
        <v>42382</v>
      </c>
      <c r="AC6441" t="s">
        <v>53</v>
      </c>
      <c r="AD6441" t="s">
        <v>53</v>
      </c>
      <c r="AK6441">
        <v>0</v>
      </c>
      <c r="AU6441" s="6">
        <v>42130</v>
      </c>
      <c r="AV6441" s="6">
        <v>42130</v>
      </c>
      <c r="AW6441" t="s">
        <v>54</v>
      </c>
      <c r="AX6441" t="str">
        <f t="shared" si="539"/>
        <v>FOR</v>
      </c>
      <c r="AY6441" t="s">
        <v>55</v>
      </c>
    </row>
    <row r="6442" spans="1:51" hidden="1">
      <c r="A6442">
        <v>104059</v>
      </c>
      <c r="B6442" t="s">
        <v>1205</v>
      </c>
      <c r="C6442" t="str">
        <f t="shared" si="542"/>
        <v>06911020631</v>
      </c>
      <c r="D6442" t="str">
        <f t="shared" si="542"/>
        <v>06911020631</v>
      </c>
      <c r="E6442" t="s">
        <v>52</v>
      </c>
      <c r="F6442">
        <v>2014</v>
      </c>
      <c r="G6442">
        <v>582</v>
      </c>
      <c r="H6442" s="1">
        <v>41841</v>
      </c>
      <c r="I6442" s="1">
        <v>41872</v>
      </c>
      <c r="J6442" s="1">
        <v>41872</v>
      </c>
      <c r="K6442" s="1">
        <v>41962</v>
      </c>
      <c r="N6442" s="5"/>
      <c r="O6442" s="2">
        <v>2600.06</v>
      </c>
      <c r="P6442">
        <v>287</v>
      </c>
      <c r="Q6442" s="2">
        <v>746217.22</v>
      </c>
      <c r="R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 s="1">
        <v>42382</v>
      </c>
      <c r="AC6442" t="s">
        <v>53</v>
      </c>
      <c r="AD6442" t="s">
        <v>53</v>
      </c>
      <c r="AK6442">
        <v>0</v>
      </c>
      <c r="AU6442" s="6">
        <v>42249</v>
      </c>
      <c r="AV6442" s="6">
        <v>42249</v>
      </c>
      <c r="AW6442" t="s">
        <v>54</v>
      </c>
      <c r="AX6442" t="str">
        <f t="shared" si="539"/>
        <v>FOR</v>
      </c>
      <c r="AY6442" t="s">
        <v>55</v>
      </c>
    </row>
    <row r="6443" spans="1:51" hidden="1">
      <c r="A6443">
        <v>104059</v>
      </c>
      <c r="B6443" t="s">
        <v>1205</v>
      </c>
      <c r="C6443" t="str">
        <f t="shared" si="542"/>
        <v>06911020631</v>
      </c>
      <c r="D6443" t="str">
        <f t="shared" si="542"/>
        <v>06911020631</v>
      </c>
      <c r="E6443" t="s">
        <v>52</v>
      </c>
      <c r="F6443">
        <v>2014</v>
      </c>
      <c r="G6443">
        <v>712</v>
      </c>
      <c r="H6443" s="1">
        <v>41893</v>
      </c>
      <c r="I6443" s="1">
        <v>41901</v>
      </c>
      <c r="J6443" s="1">
        <v>41901</v>
      </c>
      <c r="K6443" s="1">
        <v>41991</v>
      </c>
      <c r="N6443" s="5"/>
      <c r="O6443" s="2">
        <v>1300.03</v>
      </c>
      <c r="P6443">
        <v>258</v>
      </c>
      <c r="Q6443" s="2">
        <v>335407.74</v>
      </c>
      <c r="R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 s="1">
        <v>42382</v>
      </c>
      <c r="AC6443" t="s">
        <v>53</v>
      </c>
      <c r="AD6443" t="s">
        <v>53</v>
      </c>
      <c r="AK6443">
        <v>0</v>
      </c>
      <c r="AU6443" s="6">
        <v>42249</v>
      </c>
      <c r="AV6443" s="6">
        <v>42249</v>
      </c>
      <c r="AW6443" t="s">
        <v>54</v>
      </c>
      <c r="AX6443" t="str">
        <f t="shared" si="539"/>
        <v>FOR</v>
      </c>
      <c r="AY6443" t="s">
        <v>55</v>
      </c>
    </row>
    <row r="6444" spans="1:51">
      <c r="A6444">
        <v>104059</v>
      </c>
      <c r="B6444" t="s">
        <v>1205</v>
      </c>
      <c r="C6444" t="str">
        <f t="shared" si="542"/>
        <v>06911020631</v>
      </c>
      <c r="D6444" t="str">
        <f t="shared" si="542"/>
        <v>06911020631</v>
      </c>
      <c r="E6444" t="s">
        <v>52</v>
      </c>
      <c r="F6444">
        <v>2014</v>
      </c>
      <c r="G6444">
        <v>1002</v>
      </c>
      <c r="H6444" s="1">
        <v>42004</v>
      </c>
      <c r="I6444" s="1">
        <v>42033</v>
      </c>
      <c r="J6444" s="1">
        <v>42033</v>
      </c>
      <c r="K6444" s="1">
        <v>42093</v>
      </c>
      <c r="L6444" s="7">
        <v>780.02</v>
      </c>
      <c r="M6444" s="5">
        <v>247</v>
      </c>
      <c r="N6444" s="7">
        <v>192664.94</v>
      </c>
      <c r="O6444">
        <v>780.02</v>
      </c>
      <c r="P6444">
        <v>247</v>
      </c>
      <c r="Q6444" s="2">
        <v>192664.94</v>
      </c>
      <c r="R6444">
        <v>0</v>
      </c>
      <c r="V6444">
        <v>0</v>
      </c>
      <c r="W6444">
        <v>0</v>
      </c>
      <c r="X6444">
        <v>0</v>
      </c>
      <c r="Y6444">
        <v>0</v>
      </c>
      <c r="Z6444">
        <v>780.02</v>
      </c>
      <c r="AA6444">
        <v>0</v>
      </c>
      <c r="AB6444" s="1">
        <v>42382</v>
      </c>
      <c r="AC6444" t="s">
        <v>53</v>
      </c>
      <c r="AD6444" t="s">
        <v>53</v>
      </c>
      <c r="AK6444">
        <v>0</v>
      </c>
      <c r="AU6444" s="6">
        <v>42340</v>
      </c>
      <c r="AV6444" s="6">
        <v>42340</v>
      </c>
      <c r="AW6444" t="s">
        <v>54</v>
      </c>
      <c r="AX6444" t="str">
        <f t="shared" si="539"/>
        <v>FOR</v>
      </c>
      <c r="AY6444" t="s">
        <v>55</v>
      </c>
    </row>
    <row r="6445" spans="1:51">
      <c r="A6445">
        <v>104059</v>
      </c>
      <c r="B6445" t="s">
        <v>1205</v>
      </c>
      <c r="C6445" t="str">
        <f t="shared" si="542"/>
        <v>06911020631</v>
      </c>
      <c r="D6445" t="str">
        <f t="shared" si="542"/>
        <v>06911020631</v>
      </c>
      <c r="E6445" t="s">
        <v>52</v>
      </c>
      <c r="F6445">
        <v>2014</v>
      </c>
      <c r="G6445">
        <v>1009</v>
      </c>
      <c r="H6445" s="1">
        <v>42004</v>
      </c>
      <c r="I6445" s="1">
        <v>42033</v>
      </c>
      <c r="J6445" s="1">
        <v>42033</v>
      </c>
      <c r="K6445" s="1">
        <v>42093</v>
      </c>
      <c r="L6445" s="7">
        <v>780.02</v>
      </c>
      <c r="M6445" s="5">
        <v>247</v>
      </c>
      <c r="N6445" s="7">
        <v>192664.94</v>
      </c>
      <c r="O6445">
        <v>780.02</v>
      </c>
      <c r="P6445">
        <v>247</v>
      </c>
      <c r="Q6445" s="2">
        <v>192664.94</v>
      </c>
      <c r="R6445">
        <v>0</v>
      </c>
      <c r="V6445">
        <v>0</v>
      </c>
      <c r="W6445">
        <v>0</v>
      </c>
      <c r="X6445">
        <v>0</v>
      </c>
      <c r="Y6445">
        <v>0</v>
      </c>
      <c r="Z6445">
        <v>780.02</v>
      </c>
      <c r="AA6445">
        <v>0</v>
      </c>
      <c r="AB6445" s="1">
        <v>42382</v>
      </c>
      <c r="AC6445" t="s">
        <v>53</v>
      </c>
      <c r="AD6445" t="s">
        <v>53</v>
      </c>
      <c r="AK6445">
        <v>0</v>
      </c>
      <c r="AU6445" s="6">
        <v>42340</v>
      </c>
      <c r="AV6445" s="6">
        <v>42340</v>
      </c>
      <c r="AW6445" t="s">
        <v>54</v>
      </c>
      <c r="AX6445" t="str">
        <f t="shared" si="539"/>
        <v>FOR</v>
      </c>
      <c r="AY6445" t="s">
        <v>55</v>
      </c>
    </row>
    <row r="6446" spans="1:51" hidden="1">
      <c r="A6446">
        <v>104082</v>
      </c>
      <c r="B6446" t="s">
        <v>1206</v>
      </c>
      <c r="C6446" t="str">
        <f t="shared" ref="C6446:D6451" si="543">"02723670960"</f>
        <v>02723670960</v>
      </c>
      <c r="D6446" t="str">
        <f t="shared" si="543"/>
        <v>02723670960</v>
      </c>
      <c r="E6446" t="s">
        <v>52</v>
      </c>
      <c r="F6446">
        <v>2014</v>
      </c>
      <c r="G6446">
        <v>14010258</v>
      </c>
      <c r="H6446" s="1">
        <v>41810</v>
      </c>
      <c r="I6446" s="1">
        <v>41877</v>
      </c>
      <c r="J6446" s="1">
        <v>41877</v>
      </c>
      <c r="K6446" s="1">
        <v>41967</v>
      </c>
      <c r="N6446" s="5"/>
      <c r="O6446" s="2">
        <v>64995.5</v>
      </c>
      <c r="P6446">
        <v>127</v>
      </c>
      <c r="Q6446" s="2">
        <v>8254428.5</v>
      </c>
      <c r="R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 s="1">
        <v>42382</v>
      </c>
      <c r="AC6446" t="s">
        <v>53</v>
      </c>
      <c r="AD6446" t="s">
        <v>53</v>
      </c>
      <c r="AK6446">
        <v>0</v>
      </c>
      <c r="AU6446" s="6">
        <v>42094</v>
      </c>
      <c r="AV6446" s="6">
        <v>42094</v>
      </c>
      <c r="AW6446" t="s">
        <v>54</v>
      </c>
      <c r="AX6446" t="str">
        <f t="shared" si="539"/>
        <v>FOR</v>
      </c>
      <c r="AY6446" t="s">
        <v>55</v>
      </c>
    </row>
    <row r="6447" spans="1:51" hidden="1">
      <c r="A6447">
        <v>104082</v>
      </c>
      <c r="B6447" t="s">
        <v>1206</v>
      </c>
      <c r="C6447" t="str">
        <f t="shared" si="543"/>
        <v>02723670960</v>
      </c>
      <c r="D6447" t="str">
        <f t="shared" si="543"/>
        <v>02723670960</v>
      </c>
      <c r="E6447" t="s">
        <v>52</v>
      </c>
      <c r="F6447">
        <v>2014</v>
      </c>
      <c r="G6447">
        <v>14010259</v>
      </c>
      <c r="H6447" s="1">
        <v>41810</v>
      </c>
      <c r="I6447" s="1">
        <v>41877</v>
      </c>
      <c r="J6447" s="1">
        <v>41877</v>
      </c>
      <c r="K6447" s="1">
        <v>41967</v>
      </c>
      <c r="N6447" s="5"/>
      <c r="O6447" s="2">
        <v>64995.5</v>
      </c>
      <c r="P6447">
        <v>127</v>
      </c>
      <c r="Q6447" s="2">
        <v>8254428.5</v>
      </c>
      <c r="R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 s="1">
        <v>42382</v>
      </c>
      <c r="AC6447" t="s">
        <v>53</v>
      </c>
      <c r="AD6447" t="s">
        <v>53</v>
      </c>
      <c r="AK6447">
        <v>0</v>
      </c>
      <c r="AU6447" s="6">
        <v>42094</v>
      </c>
      <c r="AV6447" s="6">
        <v>42094</v>
      </c>
      <c r="AW6447" t="s">
        <v>54</v>
      </c>
      <c r="AX6447" t="str">
        <f t="shared" si="539"/>
        <v>FOR</v>
      </c>
      <c r="AY6447" t="s">
        <v>55</v>
      </c>
    </row>
    <row r="6448" spans="1:51" hidden="1">
      <c r="A6448">
        <v>104082</v>
      </c>
      <c r="B6448" t="s">
        <v>1206</v>
      </c>
      <c r="C6448" t="str">
        <f t="shared" si="543"/>
        <v>02723670960</v>
      </c>
      <c r="D6448" t="str">
        <f t="shared" si="543"/>
        <v>02723670960</v>
      </c>
      <c r="E6448" t="s">
        <v>52</v>
      </c>
      <c r="F6448">
        <v>2014</v>
      </c>
      <c r="G6448">
        <v>14010311</v>
      </c>
      <c r="H6448" s="1">
        <v>41821</v>
      </c>
      <c r="I6448" s="1">
        <v>41834</v>
      </c>
      <c r="J6448" s="1">
        <v>41834</v>
      </c>
      <c r="K6448" s="1">
        <v>41924</v>
      </c>
      <c r="N6448" s="5"/>
      <c r="O6448" s="2">
        <v>64995.5</v>
      </c>
      <c r="P6448">
        <v>239</v>
      </c>
      <c r="Q6448" s="2">
        <v>15533924.5</v>
      </c>
      <c r="R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 s="1">
        <v>42382</v>
      </c>
      <c r="AC6448" t="s">
        <v>53</v>
      </c>
      <c r="AD6448" t="s">
        <v>53</v>
      </c>
      <c r="AK6448">
        <v>0</v>
      </c>
      <c r="AU6448" s="6">
        <v>42163</v>
      </c>
      <c r="AV6448" s="6">
        <v>42163</v>
      </c>
      <c r="AW6448" t="s">
        <v>54</v>
      </c>
      <c r="AX6448" t="str">
        <f t="shared" si="539"/>
        <v>FOR</v>
      </c>
      <c r="AY6448" t="s">
        <v>55</v>
      </c>
    </row>
    <row r="6449" spans="1:51">
      <c r="A6449">
        <v>104082</v>
      </c>
      <c r="B6449" t="s">
        <v>1206</v>
      </c>
      <c r="C6449" t="str">
        <f t="shared" si="543"/>
        <v>02723670960</v>
      </c>
      <c r="D6449" t="str">
        <f t="shared" si="543"/>
        <v>02723670960</v>
      </c>
      <c r="E6449" t="s">
        <v>52</v>
      </c>
      <c r="F6449">
        <v>2014</v>
      </c>
      <c r="G6449">
        <v>14020339</v>
      </c>
      <c r="H6449" s="1">
        <v>42004</v>
      </c>
      <c r="I6449" s="1">
        <v>42004</v>
      </c>
      <c r="J6449" s="1">
        <v>42004</v>
      </c>
      <c r="K6449" s="1">
        <v>42064</v>
      </c>
      <c r="L6449" s="7">
        <v>64995.5</v>
      </c>
      <c r="M6449" s="5">
        <v>240</v>
      </c>
      <c r="N6449" s="7">
        <v>15598920</v>
      </c>
      <c r="O6449" s="2">
        <v>64995.5</v>
      </c>
      <c r="P6449">
        <v>240</v>
      </c>
      <c r="Q6449" s="2">
        <v>15598920</v>
      </c>
      <c r="R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 s="1">
        <v>42382</v>
      </c>
      <c r="AC6449" t="s">
        <v>53</v>
      </c>
      <c r="AD6449" t="s">
        <v>53</v>
      </c>
      <c r="AK6449">
        <v>0</v>
      </c>
      <c r="AU6449" s="6">
        <v>42304</v>
      </c>
      <c r="AV6449" s="6">
        <v>42304</v>
      </c>
      <c r="AW6449" t="s">
        <v>54</v>
      </c>
      <c r="AX6449" t="str">
        <f t="shared" si="539"/>
        <v>FOR</v>
      </c>
      <c r="AY6449" t="s">
        <v>55</v>
      </c>
    </row>
    <row r="6450" spans="1:51">
      <c r="A6450">
        <v>104082</v>
      </c>
      <c r="B6450" t="s">
        <v>1206</v>
      </c>
      <c r="C6450" t="str">
        <f t="shared" si="543"/>
        <v>02723670960</v>
      </c>
      <c r="D6450" t="str">
        <f t="shared" si="543"/>
        <v>02723670960</v>
      </c>
      <c r="E6450" t="s">
        <v>52</v>
      </c>
      <c r="F6450">
        <v>2015</v>
      </c>
      <c r="G6450">
        <v>15010245</v>
      </c>
      <c r="H6450" s="1">
        <v>42150</v>
      </c>
      <c r="I6450" s="1">
        <v>42163</v>
      </c>
      <c r="J6450" s="1">
        <v>42152</v>
      </c>
      <c r="K6450" s="1">
        <v>42212</v>
      </c>
      <c r="L6450" s="7">
        <v>15350.84</v>
      </c>
      <c r="M6450" s="5">
        <v>147</v>
      </c>
      <c r="N6450" s="7">
        <v>2256573.48</v>
      </c>
      <c r="O6450" s="2">
        <v>15350.84</v>
      </c>
      <c r="P6450">
        <v>147</v>
      </c>
      <c r="Q6450" s="2">
        <v>2256573.48</v>
      </c>
      <c r="R6450" s="2">
        <v>3377.18</v>
      </c>
      <c r="V6450">
        <v>0</v>
      </c>
      <c r="W6450">
        <v>0</v>
      </c>
      <c r="X6450">
        <v>0</v>
      </c>
      <c r="Y6450" s="2">
        <v>18728.02</v>
      </c>
      <c r="Z6450" s="2">
        <v>18728.02</v>
      </c>
      <c r="AA6450" s="2">
        <v>18728.02</v>
      </c>
      <c r="AB6450" s="1">
        <v>42382</v>
      </c>
      <c r="AC6450" t="s">
        <v>53</v>
      </c>
      <c r="AD6450" t="s">
        <v>53</v>
      </c>
      <c r="AJ6450" s="2">
        <v>3377.18</v>
      </c>
      <c r="AK6450">
        <v>0</v>
      </c>
      <c r="AU6450" s="6">
        <v>42359</v>
      </c>
      <c r="AV6450" s="6">
        <v>42359</v>
      </c>
      <c r="AW6450" t="s">
        <v>54</v>
      </c>
      <c r="AX6450" t="str">
        <f t="shared" si="539"/>
        <v>FOR</v>
      </c>
      <c r="AY6450" t="s">
        <v>55</v>
      </c>
    </row>
    <row r="6451" spans="1:51">
      <c r="A6451">
        <v>104082</v>
      </c>
      <c r="B6451" t="s">
        <v>1206</v>
      </c>
      <c r="C6451" t="str">
        <f t="shared" si="543"/>
        <v>02723670960</v>
      </c>
      <c r="D6451" t="str">
        <f t="shared" si="543"/>
        <v>02723670960</v>
      </c>
      <c r="E6451" t="s">
        <v>52</v>
      </c>
      <c r="F6451">
        <v>2015</v>
      </c>
      <c r="G6451">
        <v>15020258</v>
      </c>
      <c r="H6451" s="1">
        <v>42347</v>
      </c>
      <c r="I6451" s="1">
        <v>42359</v>
      </c>
      <c r="J6451" s="1">
        <v>42353</v>
      </c>
      <c r="K6451" s="1">
        <v>42413</v>
      </c>
      <c r="L6451" s="7">
        <v>3281941.41</v>
      </c>
      <c r="M6451" s="5">
        <v>-52</v>
      </c>
      <c r="N6451" s="7">
        <v>-170660953.31999999</v>
      </c>
      <c r="O6451" s="2">
        <v>3281941.41</v>
      </c>
      <c r="P6451">
        <v>-52</v>
      </c>
      <c r="Q6451" s="2">
        <v>-170660953.31999999</v>
      </c>
      <c r="R6451">
        <v>0</v>
      </c>
      <c r="V6451" s="2">
        <v>4003968.52</v>
      </c>
      <c r="W6451" s="2">
        <v>4003968.52</v>
      </c>
      <c r="X6451" s="2">
        <v>4003968.52</v>
      </c>
      <c r="Y6451" s="2">
        <v>4003968.52</v>
      </c>
      <c r="Z6451" s="2">
        <v>4003968.52</v>
      </c>
      <c r="AA6451" s="2">
        <v>4003968.52</v>
      </c>
      <c r="AB6451" s="1">
        <v>42382</v>
      </c>
      <c r="AC6451" t="s">
        <v>53</v>
      </c>
      <c r="AD6451" t="s">
        <v>53</v>
      </c>
      <c r="AK6451">
        <v>0</v>
      </c>
      <c r="AU6451" s="6">
        <v>42361</v>
      </c>
      <c r="AV6451" s="6">
        <v>42361</v>
      </c>
      <c r="AW6451" t="s">
        <v>54</v>
      </c>
      <c r="AX6451" t="str">
        <f t="shared" si="539"/>
        <v>FOR</v>
      </c>
      <c r="AY6451" t="s">
        <v>55</v>
      </c>
    </row>
    <row r="6452" spans="1:51" hidden="1">
      <c r="A6452">
        <v>104083</v>
      </c>
      <c r="B6452" t="s">
        <v>1207</v>
      </c>
      <c r="C6452" t="str">
        <f t="shared" ref="C6452:C6483" si="544">"02804530968"</f>
        <v>02804530968</v>
      </c>
      <c r="D6452" t="str">
        <f t="shared" ref="D6452:D6483" si="545">"06324460150"</f>
        <v>06324460150</v>
      </c>
      <c r="E6452" t="s">
        <v>52</v>
      </c>
      <c r="F6452">
        <v>2013</v>
      </c>
      <c r="G6452">
        <v>32056311</v>
      </c>
      <c r="H6452" s="1">
        <v>41613</v>
      </c>
      <c r="I6452" s="1">
        <v>41620</v>
      </c>
      <c r="J6452" s="1">
        <v>41620</v>
      </c>
      <c r="K6452" s="1">
        <v>41710</v>
      </c>
      <c r="N6452" s="5"/>
      <c r="O6452">
        <v>634.4</v>
      </c>
      <c r="P6452">
        <v>308</v>
      </c>
      <c r="Q6452" s="2">
        <v>195395.20000000001</v>
      </c>
      <c r="R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 s="1">
        <v>42382</v>
      </c>
      <c r="AC6452" t="s">
        <v>53</v>
      </c>
      <c r="AD6452" t="s">
        <v>53</v>
      </c>
      <c r="AK6452">
        <v>0</v>
      </c>
      <c r="AU6452" s="6">
        <v>42018</v>
      </c>
      <c r="AV6452" s="6">
        <v>42018</v>
      </c>
      <c r="AW6452" t="s">
        <v>54</v>
      </c>
      <c r="AX6452" t="str">
        <f t="shared" si="539"/>
        <v>FOR</v>
      </c>
      <c r="AY6452" t="s">
        <v>55</v>
      </c>
    </row>
    <row r="6453" spans="1:51" hidden="1">
      <c r="A6453">
        <v>104083</v>
      </c>
      <c r="B6453" t="s">
        <v>1207</v>
      </c>
      <c r="C6453" t="str">
        <f t="shared" si="544"/>
        <v>02804530968</v>
      </c>
      <c r="D6453" t="str">
        <f t="shared" si="545"/>
        <v>06324460150</v>
      </c>
      <c r="E6453" t="s">
        <v>52</v>
      </c>
      <c r="F6453">
        <v>2014</v>
      </c>
      <c r="G6453">
        <v>42000107</v>
      </c>
      <c r="H6453" s="1">
        <v>41642</v>
      </c>
      <c r="I6453" s="1">
        <v>41654</v>
      </c>
      <c r="J6453" s="1">
        <v>41654</v>
      </c>
      <c r="K6453" s="1">
        <v>41744</v>
      </c>
      <c r="N6453" s="5"/>
      <c r="O6453">
        <v>434.32</v>
      </c>
      <c r="P6453">
        <v>275</v>
      </c>
      <c r="Q6453" s="2">
        <v>119438</v>
      </c>
      <c r="R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 s="1">
        <v>42382</v>
      </c>
      <c r="AC6453" t="s">
        <v>53</v>
      </c>
      <c r="AD6453" t="s">
        <v>53</v>
      </c>
      <c r="AK6453">
        <v>0</v>
      </c>
      <c r="AU6453" s="6">
        <v>42019</v>
      </c>
      <c r="AV6453" s="6">
        <v>42019</v>
      </c>
      <c r="AW6453" t="s">
        <v>54</v>
      </c>
      <c r="AX6453" t="str">
        <f t="shared" si="539"/>
        <v>FOR</v>
      </c>
      <c r="AY6453" t="s">
        <v>55</v>
      </c>
    </row>
    <row r="6454" spans="1:51" hidden="1">
      <c r="A6454">
        <v>104083</v>
      </c>
      <c r="B6454" t="s">
        <v>1207</v>
      </c>
      <c r="C6454" t="str">
        <f t="shared" si="544"/>
        <v>02804530968</v>
      </c>
      <c r="D6454" t="str">
        <f t="shared" si="545"/>
        <v>06324460150</v>
      </c>
      <c r="E6454" t="s">
        <v>52</v>
      </c>
      <c r="F6454">
        <v>2014</v>
      </c>
      <c r="G6454">
        <v>42003745</v>
      </c>
      <c r="H6454" s="1">
        <v>41663</v>
      </c>
      <c r="I6454" s="1">
        <v>41670</v>
      </c>
      <c r="J6454" s="1">
        <v>41670</v>
      </c>
      <c r="K6454" s="1">
        <v>41760</v>
      </c>
      <c r="N6454" s="5"/>
      <c r="O6454">
        <v>707.6</v>
      </c>
      <c r="P6454">
        <v>259</v>
      </c>
      <c r="Q6454" s="2">
        <v>183268.4</v>
      </c>
      <c r="R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 s="1">
        <v>42382</v>
      </c>
      <c r="AC6454" t="s">
        <v>53</v>
      </c>
      <c r="AD6454" t="s">
        <v>53</v>
      </c>
      <c r="AK6454">
        <v>0</v>
      </c>
      <c r="AU6454" s="6">
        <v>42019</v>
      </c>
      <c r="AV6454" s="6">
        <v>42019</v>
      </c>
      <c r="AW6454" t="s">
        <v>54</v>
      </c>
      <c r="AX6454" t="str">
        <f t="shared" si="539"/>
        <v>FOR</v>
      </c>
      <c r="AY6454" t="s">
        <v>55</v>
      </c>
    </row>
    <row r="6455" spans="1:51" hidden="1">
      <c r="A6455">
        <v>104083</v>
      </c>
      <c r="B6455" t="s">
        <v>1207</v>
      </c>
      <c r="C6455" t="str">
        <f t="shared" si="544"/>
        <v>02804530968</v>
      </c>
      <c r="D6455" t="str">
        <f t="shared" si="545"/>
        <v>06324460150</v>
      </c>
      <c r="E6455" t="s">
        <v>52</v>
      </c>
      <c r="F6455">
        <v>2014</v>
      </c>
      <c r="G6455">
        <v>42004598</v>
      </c>
      <c r="H6455" s="1">
        <v>41668</v>
      </c>
      <c r="I6455" s="1">
        <v>41676</v>
      </c>
      <c r="J6455" s="1">
        <v>41676</v>
      </c>
      <c r="K6455" s="1">
        <v>41766</v>
      </c>
      <c r="N6455" s="5"/>
      <c r="O6455">
        <v>499.59</v>
      </c>
      <c r="P6455">
        <v>253</v>
      </c>
      <c r="Q6455" s="2">
        <v>126396.27</v>
      </c>
      <c r="R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 s="1">
        <v>42382</v>
      </c>
      <c r="AC6455" t="s">
        <v>53</v>
      </c>
      <c r="AD6455" t="s">
        <v>53</v>
      </c>
      <c r="AK6455">
        <v>0</v>
      </c>
      <c r="AU6455" s="6">
        <v>42019</v>
      </c>
      <c r="AV6455" s="6">
        <v>42019</v>
      </c>
      <c r="AW6455" t="s">
        <v>54</v>
      </c>
      <c r="AX6455" t="str">
        <f t="shared" si="539"/>
        <v>FOR</v>
      </c>
      <c r="AY6455" t="s">
        <v>55</v>
      </c>
    </row>
    <row r="6456" spans="1:51" hidden="1">
      <c r="A6456">
        <v>104083</v>
      </c>
      <c r="B6456" t="s">
        <v>1207</v>
      </c>
      <c r="C6456" t="str">
        <f t="shared" si="544"/>
        <v>02804530968</v>
      </c>
      <c r="D6456" t="str">
        <f t="shared" si="545"/>
        <v>06324460150</v>
      </c>
      <c r="E6456" t="s">
        <v>52</v>
      </c>
      <c r="F6456">
        <v>2014</v>
      </c>
      <c r="G6456">
        <v>42006609</v>
      </c>
      <c r="H6456" s="1">
        <v>41680</v>
      </c>
      <c r="I6456" s="1">
        <v>41736</v>
      </c>
      <c r="J6456" s="1">
        <v>41736</v>
      </c>
      <c r="K6456" s="1">
        <v>41826</v>
      </c>
      <c r="N6456" s="5"/>
      <c r="O6456">
        <v>878.4</v>
      </c>
      <c r="P6456">
        <v>250</v>
      </c>
      <c r="Q6456" s="2">
        <v>219600</v>
      </c>
      <c r="R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 s="1">
        <v>42382</v>
      </c>
      <c r="AC6456" t="s">
        <v>53</v>
      </c>
      <c r="AD6456" t="s">
        <v>53</v>
      </c>
      <c r="AK6456">
        <v>0</v>
      </c>
      <c r="AU6456" s="6">
        <v>42076</v>
      </c>
      <c r="AV6456" s="6">
        <v>42076</v>
      </c>
      <c r="AW6456" t="s">
        <v>54</v>
      </c>
      <c r="AX6456" t="str">
        <f t="shared" si="539"/>
        <v>FOR</v>
      </c>
      <c r="AY6456" t="s">
        <v>55</v>
      </c>
    </row>
    <row r="6457" spans="1:51" hidden="1">
      <c r="A6457">
        <v>104083</v>
      </c>
      <c r="B6457" t="s">
        <v>1207</v>
      </c>
      <c r="C6457" t="str">
        <f t="shared" si="544"/>
        <v>02804530968</v>
      </c>
      <c r="D6457" t="str">
        <f t="shared" si="545"/>
        <v>06324460150</v>
      </c>
      <c r="E6457" t="s">
        <v>52</v>
      </c>
      <c r="F6457">
        <v>2014</v>
      </c>
      <c r="G6457">
        <v>42007348</v>
      </c>
      <c r="H6457" s="1">
        <v>41683</v>
      </c>
      <c r="I6457" s="1">
        <v>41691</v>
      </c>
      <c r="J6457" s="1">
        <v>41691</v>
      </c>
      <c r="K6457" s="1">
        <v>41781</v>
      </c>
      <c r="N6457" s="5"/>
      <c r="O6457">
        <v>278.16000000000003</v>
      </c>
      <c r="P6457">
        <v>295</v>
      </c>
      <c r="Q6457" s="2">
        <v>82057.2</v>
      </c>
      <c r="R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 s="1">
        <v>42382</v>
      </c>
      <c r="AC6457" t="s">
        <v>53</v>
      </c>
      <c r="AD6457" t="s">
        <v>53</v>
      </c>
      <c r="AK6457">
        <v>0</v>
      </c>
      <c r="AU6457" s="6">
        <v>42076</v>
      </c>
      <c r="AV6457" s="6">
        <v>42076</v>
      </c>
      <c r="AW6457" t="s">
        <v>54</v>
      </c>
      <c r="AX6457" t="str">
        <f t="shared" si="539"/>
        <v>FOR</v>
      </c>
      <c r="AY6457" t="s">
        <v>55</v>
      </c>
    </row>
    <row r="6458" spans="1:51" hidden="1">
      <c r="A6458">
        <v>104083</v>
      </c>
      <c r="B6458" t="s">
        <v>1207</v>
      </c>
      <c r="C6458" t="str">
        <f t="shared" si="544"/>
        <v>02804530968</v>
      </c>
      <c r="D6458" t="str">
        <f t="shared" si="545"/>
        <v>06324460150</v>
      </c>
      <c r="E6458" t="s">
        <v>52</v>
      </c>
      <c r="F6458">
        <v>2014</v>
      </c>
      <c r="G6458">
        <v>42007660</v>
      </c>
      <c r="H6458" s="1">
        <v>41684</v>
      </c>
      <c r="I6458" s="1">
        <v>41691</v>
      </c>
      <c r="J6458" s="1">
        <v>41691</v>
      </c>
      <c r="K6458" s="1">
        <v>41781</v>
      </c>
      <c r="N6458" s="5"/>
      <c r="O6458">
        <v>216.55</v>
      </c>
      <c r="P6458">
        <v>295</v>
      </c>
      <c r="Q6458" s="2">
        <v>63882.25</v>
      </c>
      <c r="R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 s="1">
        <v>42382</v>
      </c>
      <c r="AC6458" t="s">
        <v>53</v>
      </c>
      <c r="AD6458" t="s">
        <v>53</v>
      </c>
      <c r="AK6458">
        <v>0</v>
      </c>
      <c r="AU6458" s="6">
        <v>42076</v>
      </c>
      <c r="AV6458" s="6">
        <v>42076</v>
      </c>
      <c r="AW6458" t="s">
        <v>54</v>
      </c>
      <c r="AX6458" t="str">
        <f t="shared" si="539"/>
        <v>FOR</v>
      </c>
      <c r="AY6458" t="s">
        <v>55</v>
      </c>
    </row>
    <row r="6459" spans="1:51" hidden="1">
      <c r="A6459">
        <v>104083</v>
      </c>
      <c r="B6459" t="s">
        <v>1207</v>
      </c>
      <c r="C6459" t="str">
        <f t="shared" si="544"/>
        <v>02804530968</v>
      </c>
      <c r="D6459" t="str">
        <f t="shared" si="545"/>
        <v>06324460150</v>
      </c>
      <c r="E6459" t="s">
        <v>52</v>
      </c>
      <c r="F6459">
        <v>2014</v>
      </c>
      <c r="G6459">
        <v>42007661</v>
      </c>
      <c r="H6459" s="1">
        <v>41684</v>
      </c>
      <c r="I6459" s="1">
        <v>41691</v>
      </c>
      <c r="J6459" s="1">
        <v>41691</v>
      </c>
      <c r="K6459" s="1">
        <v>41781</v>
      </c>
      <c r="N6459" s="5"/>
      <c r="O6459">
        <v>869.86</v>
      </c>
      <c r="P6459">
        <v>295</v>
      </c>
      <c r="Q6459" s="2">
        <v>256608.7</v>
      </c>
      <c r="R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 s="1">
        <v>42382</v>
      </c>
      <c r="AC6459" t="s">
        <v>53</v>
      </c>
      <c r="AD6459" t="s">
        <v>53</v>
      </c>
      <c r="AK6459">
        <v>0</v>
      </c>
      <c r="AU6459" s="6">
        <v>42076</v>
      </c>
      <c r="AV6459" s="6">
        <v>42076</v>
      </c>
      <c r="AW6459" t="s">
        <v>54</v>
      </c>
      <c r="AX6459" t="str">
        <f t="shared" si="539"/>
        <v>FOR</v>
      </c>
      <c r="AY6459" t="s">
        <v>55</v>
      </c>
    </row>
    <row r="6460" spans="1:51" hidden="1">
      <c r="A6460">
        <v>104083</v>
      </c>
      <c r="B6460" t="s">
        <v>1207</v>
      </c>
      <c r="C6460" t="str">
        <f t="shared" si="544"/>
        <v>02804530968</v>
      </c>
      <c r="D6460" t="str">
        <f t="shared" si="545"/>
        <v>06324460150</v>
      </c>
      <c r="E6460" t="s">
        <v>52</v>
      </c>
      <c r="F6460">
        <v>2014</v>
      </c>
      <c r="G6460">
        <v>42007662</v>
      </c>
      <c r="H6460" s="1">
        <v>41684</v>
      </c>
      <c r="I6460" s="1">
        <v>41691</v>
      </c>
      <c r="J6460" s="1">
        <v>41691</v>
      </c>
      <c r="K6460" s="1">
        <v>41781</v>
      </c>
      <c r="N6460" s="5"/>
      <c r="O6460" s="2">
        <v>2562</v>
      </c>
      <c r="P6460">
        <v>295</v>
      </c>
      <c r="Q6460" s="2">
        <v>755790</v>
      </c>
      <c r="R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 s="1">
        <v>42382</v>
      </c>
      <c r="AC6460" t="s">
        <v>53</v>
      </c>
      <c r="AD6460" t="s">
        <v>53</v>
      </c>
      <c r="AK6460">
        <v>0</v>
      </c>
      <c r="AU6460" s="6">
        <v>42076</v>
      </c>
      <c r="AV6460" s="6">
        <v>42076</v>
      </c>
      <c r="AW6460" t="s">
        <v>54</v>
      </c>
      <c r="AX6460" t="str">
        <f t="shared" si="539"/>
        <v>FOR</v>
      </c>
      <c r="AY6460" t="s">
        <v>55</v>
      </c>
    </row>
    <row r="6461" spans="1:51" hidden="1">
      <c r="A6461">
        <v>104083</v>
      </c>
      <c r="B6461" t="s">
        <v>1207</v>
      </c>
      <c r="C6461" t="str">
        <f t="shared" si="544"/>
        <v>02804530968</v>
      </c>
      <c r="D6461" t="str">
        <f t="shared" si="545"/>
        <v>06324460150</v>
      </c>
      <c r="E6461" t="s">
        <v>52</v>
      </c>
      <c r="F6461">
        <v>2014</v>
      </c>
      <c r="G6461">
        <v>42007663</v>
      </c>
      <c r="H6461" s="1">
        <v>41684</v>
      </c>
      <c r="I6461" s="1">
        <v>41691</v>
      </c>
      <c r="J6461" s="1">
        <v>41691</v>
      </c>
      <c r="K6461" s="1">
        <v>41781</v>
      </c>
      <c r="N6461" s="5"/>
      <c r="O6461">
        <v>634.4</v>
      </c>
      <c r="P6461">
        <v>295</v>
      </c>
      <c r="Q6461" s="2">
        <v>187148</v>
      </c>
      <c r="R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 s="1">
        <v>42382</v>
      </c>
      <c r="AC6461" t="s">
        <v>53</v>
      </c>
      <c r="AD6461" t="s">
        <v>53</v>
      </c>
      <c r="AK6461">
        <v>0</v>
      </c>
      <c r="AU6461" s="6">
        <v>42076</v>
      </c>
      <c r="AV6461" s="6">
        <v>42076</v>
      </c>
      <c r="AW6461" t="s">
        <v>54</v>
      </c>
      <c r="AX6461" t="str">
        <f t="shared" si="539"/>
        <v>FOR</v>
      </c>
      <c r="AY6461" t="s">
        <v>55</v>
      </c>
    </row>
    <row r="6462" spans="1:51" hidden="1">
      <c r="A6462">
        <v>104083</v>
      </c>
      <c r="B6462" t="s">
        <v>1207</v>
      </c>
      <c r="C6462" t="str">
        <f t="shared" si="544"/>
        <v>02804530968</v>
      </c>
      <c r="D6462" t="str">
        <f t="shared" si="545"/>
        <v>06324460150</v>
      </c>
      <c r="E6462" t="s">
        <v>52</v>
      </c>
      <c r="F6462">
        <v>2014</v>
      </c>
      <c r="G6462">
        <v>42007664</v>
      </c>
      <c r="H6462" s="1">
        <v>41684</v>
      </c>
      <c r="I6462" s="1">
        <v>41691</v>
      </c>
      <c r="J6462" s="1">
        <v>41691</v>
      </c>
      <c r="K6462" s="1">
        <v>41781</v>
      </c>
      <c r="N6462" s="5"/>
      <c r="O6462">
        <v>402.6</v>
      </c>
      <c r="P6462">
        <v>295</v>
      </c>
      <c r="Q6462" s="2">
        <v>118767</v>
      </c>
      <c r="R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 s="1">
        <v>42382</v>
      </c>
      <c r="AC6462" t="s">
        <v>53</v>
      </c>
      <c r="AD6462" t="s">
        <v>53</v>
      </c>
      <c r="AK6462">
        <v>0</v>
      </c>
      <c r="AU6462" s="6">
        <v>42076</v>
      </c>
      <c r="AV6462" s="6">
        <v>42076</v>
      </c>
      <c r="AW6462" t="s">
        <v>54</v>
      </c>
      <c r="AX6462" t="str">
        <f t="shared" si="539"/>
        <v>FOR</v>
      </c>
      <c r="AY6462" t="s">
        <v>55</v>
      </c>
    </row>
    <row r="6463" spans="1:51" hidden="1">
      <c r="A6463">
        <v>104083</v>
      </c>
      <c r="B6463" t="s">
        <v>1207</v>
      </c>
      <c r="C6463" t="str">
        <f t="shared" si="544"/>
        <v>02804530968</v>
      </c>
      <c r="D6463" t="str">
        <f t="shared" si="545"/>
        <v>06324460150</v>
      </c>
      <c r="E6463" t="s">
        <v>52</v>
      </c>
      <c r="F6463">
        <v>2014</v>
      </c>
      <c r="G6463">
        <v>42007665</v>
      </c>
      <c r="H6463" s="1">
        <v>41684</v>
      </c>
      <c r="I6463" s="1">
        <v>41691</v>
      </c>
      <c r="J6463" s="1">
        <v>41691</v>
      </c>
      <c r="K6463" s="1">
        <v>41781</v>
      </c>
      <c r="N6463" s="5"/>
      <c r="O6463">
        <v>278.16000000000003</v>
      </c>
      <c r="P6463">
        <v>295</v>
      </c>
      <c r="Q6463" s="2">
        <v>82057.2</v>
      </c>
      <c r="R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 s="1">
        <v>42382</v>
      </c>
      <c r="AC6463" t="s">
        <v>53</v>
      </c>
      <c r="AD6463" t="s">
        <v>53</v>
      </c>
      <c r="AK6463">
        <v>0</v>
      </c>
      <c r="AU6463" s="6">
        <v>42076</v>
      </c>
      <c r="AV6463" s="6">
        <v>42076</v>
      </c>
      <c r="AW6463" t="s">
        <v>54</v>
      </c>
      <c r="AX6463" t="str">
        <f t="shared" si="539"/>
        <v>FOR</v>
      </c>
      <c r="AY6463" t="s">
        <v>55</v>
      </c>
    </row>
    <row r="6464" spans="1:51" hidden="1">
      <c r="A6464">
        <v>104083</v>
      </c>
      <c r="B6464" t="s">
        <v>1207</v>
      </c>
      <c r="C6464" t="str">
        <f t="shared" si="544"/>
        <v>02804530968</v>
      </c>
      <c r="D6464" t="str">
        <f t="shared" si="545"/>
        <v>06324460150</v>
      </c>
      <c r="E6464" t="s">
        <v>52</v>
      </c>
      <c r="F6464">
        <v>2014</v>
      </c>
      <c r="G6464">
        <v>42009525</v>
      </c>
      <c r="H6464" s="1">
        <v>41694</v>
      </c>
      <c r="I6464" s="1">
        <v>41702</v>
      </c>
      <c r="J6464" s="1">
        <v>41702</v>
      </c>
      <c r="K6464" s="1">
        <v>41792</v>
      </c>
      <c r="N6464" s="5"/>
      <c r="O6464">
        <v>54.9</v>
      </c>
      <c r="P6464">
        <v>284</v>
      </c>
      <c r="Q6464" s="2">
        <v>15591.6</v>
      </c>
      <c r="R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 s="1">
        <v>42382</v>
      </c>
      <c r="AC6464" t="s">
        <v>53</v>
      </c>
      <c r="AD6464" t="s">
        <v>53</v>
      </c>
      <c r="AK6464">
        <v>0</v>
      </c>
      <c r="AU6464" s="6">
        <v>42076</v>
      </c>
      <c r="AV6464" s="6">
        <v>42076</v>
      </c>
      <c r="AW6464" t="s">
        <v>54</v>
      </c>
      <c r="AX6464" t="str">
        <f t="shared" si="539"/>
        <v>FOR</v>
      </c>
      <c r="AY6464" t="s">
        <v>55</v>
      </c>
    </row>
    <row r="6465" spans="1:51" hidden="1">
      <c r="A6465">
        <v>104083</v>
      </c>
      <c r="B6465" t="s">
        <v>1207</v>
      </c>
      <c r="C6465" t="str">
        <f t="shared" si="544"/>
        <v>02804530968</v>
      </c>
      <c r="D6465" t="str">
        <f t="shared" si="545"/>
        <v>06324460150</v>
      </c>
      <c r="E6465" t="s">
        <v>52</v>
      </c>
      <c r="F6465">
        <v>2014</v>
      </c>
      <c r="G6465">
        <v>42009787</v>
      </c>
      <c r="H6465" s="1">
        <v>41695</v>
      </c>
      <c r="I6465" s="1">
        <v>41703</v>
      </c>
      <c r="J6465" s="1">
        <v>41703</v>
      </c>
      <c r="K6465" s="1">
        <v>41793</v>
      </c>
      <c r="N6465" s="5"/>
      <c r="O6465">
        <v>347.46</v>
      </c>
      <c r="P6465">
        <v>283</v>
      </c>
      <c r="Q6465" s="2">
        <v>98331.18</v>
      </c>
      <c r="R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 s="1">
        <v>42382</v>
      </c>
      <c r="AC6465" t="s">
        <v>53</v>
      </c>
      <c r="AD6465" t="s">
        <v>53</v>
      </c>
      <c r="AK6465">
        <v>0</v>
      </c>
      <c r="AU6465" s="6">
        <v>42076</v>
      </c>
      <c r="AV6465" s="6">
        <v>42076</v>
      </c>
      <c r="AW6465" t="s">
        <v>54</v>
      </c>
      <c r="AX6465" t="str">
        <f t="shared" si="539"/>
        <v>FOR</v>
      </c>
      <c r="AY6465" t="s">
        <v>55</v>
      </c>
    </row>
    <row r="6466" spans="1:51" hidden="1">
      <c r="A6466">
        <v>104083</v>
      </c>
      <c r="B6466" t="s">
        <v>1207</v>
      </c>
      <c r="C6466" t="str">
        <f t="shared" si="544"/>
        <v>02804530968</v>
      </c>
      <c r="D6466" t="str">
        <f t="shared" si="545"/>
        <v>06324460150</v>
      </c>
      <c r="E6466" t="s">
        <v>52</v>
      </c>
      <c r="F6466">
        <v>2014</v>
      </c>
      <c r="G6466">
        <v>42010446</v>
      </c>
      <c r="H6466" s="1">
        <v>41698</v>
      </c>
      <c r="I6466" s="1">
        <v>41711</v>
      </c>
      <c r="J6466" s="1">
        <v>41711</v>
      </c>
      <c r="K6466" s="1">
        <v>41801</v>
      </c>
      <c r="N6466" s="5"/>
      <c r="O6466" s="2">
        <v>1099.43</v>
      </c>
      <c r="P6466">
        <v>275</v>
      </c>
      <c r="Q6466" s="2">
        <v>302343.25</v>
      </c>
      <c r="R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 s="1">
        <v>42382</v>
      </c>
      <c r="AC6466" t="s">
        <v>53</v>
      </c>
      <c r="AD6466" t="s">
        <v>53</v>
      </c>
      <c r="AK6466">
        <v>0</v>
      </c>
      <c r="AU6466" s="6">
        <v>42076</v>
      </c>
      <c r="AV6466" s="6">
        <v>42076</v>
      </c>
      <c r="AW6466" t="s">
        <v>54</v>
      </c>
      <c r="AX6466" t="str">
        <f t="shared" si="539"/>
        <v>FOR</v>
      </c>
      <c r="AY6466" t="s">
        <v>55</v>
      </c>
    </row>
    <row r="6467" spans="1:51" hidden="1">
      <c r="A6467">
        <v>104083</v>
      </c>
      <c r="B6467" t="s">
        <v>1207</v>
      </c>
      <c r="C6467" t="str">
        <f t="shared" si="544"/>
        <v>02804530968</v>
      </c>
      <c r="D6467" t="str">
        <f t="shared" si="545"/>
        <v>06324460150</v>
      </c>
      <c r="E6467" t="s">
        <v>52</v>
      </c>
      <c r="F6467">
        <v>2014</v>
      </c>
      <c r="G6467">
        <v>42010829</v>
      </c>
      <c r="H6467" s="1">
        <v>41698</v>
      </c>
      <c r="I6467" s="1">
        <v>41711</v>
      </c>
      <c r="J6467" s="1">
        <v>41711</v>
      </c>
      <c r="K6467" s="1">
        <v>41801</v>
      </c>
      <c r="N6467" s="5"/>
      <c r="O6467">
        <v>955.5</v>
      </c>
      <c r="P6467">
        <v>275</v>
      </c>
      <c r="Q6467" s="2">
        <v>262762.5</v>
      </c>
      <c r="R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 s="1">
        <v>42382</v>
      </c>
      <c r="AC6467" t="s">
        <v>53</v>
      </c>
      <c r="AD6467" t="s">
        <v>53</v>
      </c>
      <c r="AK6467">
        <v>0</v>
      </c>
      <c r="AU6467" s="6">
        <v>42076</v>
      </c>
      <c r="AV6467" s="6">
        <v>42076</v>
      </c>
      <c r="AW6467" t="s">
        <v>54</v>
      </c>
      <c r="AX6467" t="str">
        <f t="shared" ref="AX6467:AX6530" si="546">"FOR"</f>
        <v>FOR</v>
      </c>
      <c r="AY6467" t="s">
        <v>55</v>
      </c>
    </row>
    <row r="6468" spans="1:51" hidden="1">
      <c r="A6468">
        <v>104083</v>
      </c>
      <c r="B6468" t="s">
        <v>1207</v>
      </c>
      <c r="C6468" t="str">
        <f t="shared" si="544"/>
        <v>02804530968</v>
      </c>
      <c r="D6468" t="str">
        <f t="shared" si="545"/>
        <v>06324460150</v>
      </c>
      <c r="E6468" t="s">
        <v>52</v>
      </c>
      <c r="F6468">
        <v>2014</v>
      </c>
      <c r="G6468">
        <v>42012870</v>
      </c>
      <c r="H6468" s="1">
        <v>41711</v>
      </c>
      <c r="I6468" s="1">
        <v>41719</v>
      </c>
      <c r="J6468" s="1">
        <v>41719</v>
      </c>
      <c r="K6468" s="1">
        <v>41809</v>
      </c>
      <c r="N6468" s="5"/>
      <c r="O6468">
        <v>277.18</v>
      </c>
      <c r="P6468">
        <v>267</v>
      </c>
      <c r="Q6468" s="2">
        <v>74007.06</v>
      </c>
      <c r="R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 s="1">
        <v>42382</v>
      </c>
      <c r="AC6468" t="s">
        <v>53</v>
      </c>
      <c r="AD6468" t="s">
        <v>53</v>
      </c>
      <c r="AK6468">
        <v>0</v>
      </c>
      <c r="AU6468" s="6">
        <v>42076</v>
      </c>
      <c r="AV6468" s="6">
        <v>42076</v>
      </c>
      <c r="AW6468" t="s">
        <v>54</v>
      </c>
      <c r="AX6468" t="str">
        <f t="shared" si="546"/>
        <v>FOR</v>
      </c>
      <c r="AY6468" t="s">
        <v>55</v>
      </c>
    </row>
    <row r="6469" spans="1:51" hidden="1">
      <c r="A6469">
        <v>104083</v>
      </c>
      <c r="B6469" t="s">
        <v>1207</v>
      </c>
      <c r="C6469" t="str">
        <f t="shared" si="544"/>
        <v>02804530968</v>
      </c>
      <c r="D6469" t="str">
        <f t="shared" si="545"/>
        <v>06324460150</v>
      </c>
      <c r="E6469" t="s">
        <v>52</v>
      </c>
      <c r="F6469">
        <v>2014</v>
      </c>
      <c r="G6469">
        <v>42012871</v>
      </c>
      <c r="H6469" s="1">
        <v>41711</v>
      </c>
      <c r="I6469" s="1">
        <v>41719</v>
      </c>
      <c r="J6469" s="1">
        <v>41719</v>
      </c>
      <c r="K6469" s="1">
        <v>41809</v>
      </c>
      <c r="N6469" s="5"/>
      <c r="O6469">
        <v>143.72</v>
      </c>
      <c r="P6469">
        <v>267</v>
      </c>
      <c r="Q6469" s="2">
        <v>38373.24</v>
      </c>
      <c r="R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 s="1">
        <v>42382</v>
      </c>
      <c r="AC6469" t="s">
        <v>53</v>
      </c>
      <c r="AD6469" t="s">
        <v>53</v>
      </c>
      <c r="AK6469">
        <v>0</v>
      </c>
      <c r="AU6469" s="6">
        <v>42076</v>
      </c>
      <c r="AV6469" s="6">
        <v>42076</v>
      </c>
      <c r="AW6469" t="s">
        <v>54</v>
      </c>
      <c r="AX6469" t="str">
        <f t="shared" si="546"/>
        <v>FOR</v>
      </c>
      <c r="AY6469" t="s">
        <v>55</v>
      </c>
    </row>
    <row r="6470" spans="1:51" hidden="1">
      <c r="A6470">
        <v>104083</v>
      </c>
      <c r="B6470" t="s">
        <v>1207</v>
      </c>
      <c r="C6470" t="str">
        <f t="shared" si="544"/>
        <v>02804530968</v>
      </c>
      <c r="D6470" t="str">
        <f t="shared" si="545"/>
        <v>06324460150</v>
      </c>
      <c r="E6470" t="s">
        <v>52</v>
      </c>
      <c r="F6470">
        <v>2014</v>
      </c>
      <c r="G6470">
        <v>42012872</v>
      </c>
      <c r="H6470" s="1">
        <v>41711</v>
      </c>
      <c r="I6470" s="1">
        <v>41730</v>
      </c>
      <c r="J6470" s="1">
        <v>41730</v>
      </c>
      <c r="K6470" s="1">
        <v>41820</v>
      </c>
      <c r="N6470" s="5"/>
      <c r="O6470" s="2">
        <v>5993.86</v>
      </c>
      <c r="P6470">
        <v>256</v>
      </c>
      <c r="Q6470" s="2">
        <v>1534428.1599999999</v>
      </c>
      <c r="R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 s="1">
        <v>42382</v>
      </c>
      <c r="AC6470" t="s">
        <v>53</v>
      </c>
      <c r="AD6470" t="s">
        <v>53</v>
      </c>
      <c r="AK6470">
        <v>0</v>
      </c>
      <c r="AU6470" s="6">
        <v>42076</v>
      </c>
      <c r="AV6470" s="6">
        <v>42076</v>
      </c>
      <c r="AW6470" t="s">
        <v>54</v>
      </c>
      <c r="AX6470" t="str">
        <f t="shared" si="546"/>
        <v>FOR</v>
      </c>
      <c r="AY6470" t="s">
        <v>55</v>
      </c>
    </row>
    <row r="6471" spans="1:51" hidden="1">
      <c r="A6471">
        <v>104083</v>
      </c>
      <c r="B6471" t="s">
        <v>1207</v>
      </c>
      <c r="C6471" t="str">
        <f t="shared" si="544"/>
        <v>02804530968</v>
      </c>
      <c r="D6471" t="str">
        <f t="shared" si="545"/>
        <v>06324460150</v>
      </c>
      <c r="E6471" t="s">
        <v>52</v>
      </c>
      <c r="F6471">
        <v>2014</v>
      </c>
      <c r="G6471">
        <v>42012874</v>
      </c>
      <c r="H6471" s="1">
        <v>41711</v>
      </c>
      <c r="I6471" s="1">
        <v>41737</v>
      </c>
      <c r="J6471" s="1">
        <v>41737</v>
      </c>
      <c r="K6471" s="1">
        <v>41827</v>
      </c>
      <c r="N6471" s="5"/>
      <c r="O6471" s="2">
        <v>2973.87</v>
      </c>
      <c r="P6471">
        <v>249</v>
      </c>
      <c r="Q6471" s="2">
        <v>740493.63</v>
      </c>
      <c r="R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 s="1">
        <v>42382</v>
      </c>
      <c r="AC6471" t="s">
        <v>53</v>
      </c>
      <c r="AD6471" t="s">
        <v>53</v>
      </c>
      <c r="AK6471">
        <v>0</v>
      </c>
      <c r="AU6471" s="6">
        <v>42076</v>
      </c>
      <c r="AV6471" s="6">
        <v>42076</v>
      </c>
      <c r="AW6471" t="s">
        <v>54</v>
      </c>
      <c r="AX6471" t="str">
        <f t="shared" si="546"/>
        <v>FOR</v>
      </c>
      <c r="AY6471" t="s">
        <v>55</v>
      </c>
    </row>
    <row r="6472" spans="1:51" hidden="1">
      <c r="A6472">
        <v>104083</v>
      </c>
      <c r="B6472" t="s">
        <v>1207</v>
      </c>
      <c r="C6472" t="str">
        <f t="shared" si="544"/>
        <v>02804530968</v>
      </c>
      <c r="D6472" t="str">
        <f t="shared" si="545"/>
        <v>06324460150</v>
      </c>
      <c r="E6472" t="s">
        <v>52</v>
      </c>
      <c r="F6472">
        <v>2014</v>
      </c>
      <c r="G6472">
        <v>42012875</v>
      </c>
      <c r="H6472" s="1">
        <v>41711</v>
      </c>
      <c r="I6472" s="1">
        <v>41737</v>
      </c>
      <c r="J6472" s="1">
        <v>41737</v>
      </c>
      <c r="K6472" s="1">
        <v>41827</v>
      </c>
      <c r="N6472" s="5"/>
      <c r="O6472">
        <v>212.28</v>
      </c>
      <c r="P6472">
        <v>249</v>
      </c>
      <c r="Q6472" s="2">
        <v>52857.72</v>
      </c>
      <c r="R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 s="1">
        <v>42382</v>
      </c>
      <c r="AC6472" t="s">
        <v>53</v>
      </c>
      <c r="AD6472" t="s">
        <v>53</v>
      </c>
      <c r="AK6472">
        <v>0</v>
      </c>
      <c r="AU6472" s="6">
        <v>42076</v>
      </c>
      <c r="AV6472" s="6">
        <v>42076</v>
      </c>
      <c r="AW6472" t="s">
        <v>54</v>
      </c>
      <c r="AX6472" t="str">
        <f t="shared" si="546"/>
        <v>FOR</v>
      </c>
      <c r="AY6472" t="s">
        <v>55</v>
      </c>
    </row>
    <row r="6473" spans="1:51" hidden="1">
      <c r="A6473">
        <v>104083</v>
      </c>
      <c r="B6473" t="s">
        <v>1207</v>
      </c>
      <c r="C6473" t="str">
        <f t="shared" si="544"/>
        <v>02804530968</v>
      </c>
      <c r="D6473" t="str">
        <f t="shared" si="545"/>
        <v>06324460150</v>
      </c>
      <c r="E6473" t="s">
        <v>52</v>
      </c>
      <c r="F6473">
        <v>2014</v>
      </c>
      <c r="G6473">
        <v>42012876</v>
      </c>
      <c r="H6473" s="1">
        <v>41711</v>
      </c>
      <c r="I6473" s="1">
        <v>41736</v>
      </c>
      <c r="J6473" s="1">
        <v>41736</v>
      </c>
      <c r="K6473" s="1">
        <v>41826</v>
      </c>
      <c r="N6473" s="5"/>
      <c r="O6473">
        <v>333.06</v>
      </c>
      <c r="P6473">
        <v>250</v>
      </c>
      <c r="Q6473" s="2">
        <v>83265</v>
      </c>
      <c r="R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 s="1">
        <v>42382</v>
      </c>
      <c r="AC6473" t="s">
        <v>53</v>
      </c>
      <c r="AD6473" t="s">
        <v>53</v>
      </c>
      <c r="AK6473">
        <v>0</v>
      </c>
      <c r="AU6473" s="6">
        <v>42076</v>
      </c>
      <c r="AV6473" s="6">
        <v>42076</v>
      </c>
      <c r="AW6473" t="s">
        <v>54</v>
      </c>
      <c r="AX6473" t="str">
        <f t="shared" si="546"/>
        <v>FOR</v>
      </c>
      <c r="AY6473" t="s">
        <v>55</v>
      </c>
    </row>
    <row r="6474" spans="1:51" hidden="1">
      <c r="A6474">
        <v>104083</v>
      </c>
      <c r="B6474" t="s">
        <v>1207</v>
      </c>
      <c r="C6474" t="str">
        <f t="shared" si="544"/>
        <v>02804530968</v>
      </c>
      <c r="D6474" t="str">
        <f t="shared" si="545"/>
        <v>06324460150</v>
      </c>
      <c r="E6474" t="s">
        <v>52</v>
      </c>
      <c r="F6474">
        <v>2014</v>
      </c>
      <c r="G6474">
        <v>42013240</v>
      </c>
      <c r="H6474" s="1">
        <v>41712</v>
      </c>
      <c r="I6474" s="1">
        <v>41719</v>
      </c>
      <c r="J6474" s="1">
        <v>41719</v>
      </c>
      <c r="K6474" s="1">
        <v>41809</v>
      </c>
      <c r="N6474" s="5"/>
      <c r="O6474">
        <v>34.770000000000003</v>
      </c>
      <c r="P6474">
        <v>267</v>
      </c>
      <c r="Q6474" s="2">
        <v>9283.59</v>
      </c>
      <c r="R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 s="1">
        <v>42382</v>
      </c>
      <c r="AC6474" t="s">
        <v>53</v>
      </c>
      <c r="AD6474" t="s">
        <v>53</v>
      </c>
      <c r="AK6474">
        <v>0</v>
      </c>
      <c r="AU6474" s="6">
        <v>42076</v>
      </c>
      <c r="AV6474" s="6">
        <v>42076</v>
      </c>
      <c r="AW6474" t="s">
        <v>54</v>
      </c>
      <c r="AX6474" t="str">
        <f t="shared" si="546"/>
        <v>FOR</v>
      </c>
      <c r="AY6474" t="s">
        <v>55</v>
      </c>
    </row>
    <row r="6475" spans="1:51" hidden="1">
      <c r="A6475">
        <v>104083</v>
      </c>
      <c r="B6475" t="s">
        <v>1207</v>
      </c>
      <c r="C6475" t="str">
        <f t="shared" si="544"/>
        <v>02804530968</v>
      </c>
      <c r="D6475" t="str">
        <f t="shared" si="545"/>
        <v>06324460150</v>
      </c>
      <c r="E6475" t="s">
        <v>52</v>
      </c>
      <c r="F6475">
        <v>2014</v>
      </c>
      <c r="G6475">
        <v>42013915</v>
      </c>
      <c r="H6475" s="1">
        <v>41716</v>
      </c>
      <c r="I6475" s="1">
        <v>41722</v>
      </c>
      <c r="J6475" s="1">
        <v>41722</v>
      </c>
      <c r="K6475" s="1">
        <v>41812</v>
      </c>
      <c r="N6475" s="5"/>
      <c r="O6475">
        <v>307.44</v>
      </c>
      <c r="P6475">
        <v>264</v>
      </c>
      <c r="Q6475" s="2">
        <v>81164.160000000003</v>
      </c>
      <c r="R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 s="1">
        <v>42382</v>
      </c>
      <c r="AC6475" t="s">
        <v>53</v>
      </c>
      <c r="AD6475" t="s">
        <v>53</v>
      </c>
      <c r="AK6475">
        <v>0</v>
      </c>
      <c r="AU6475" s="6">
        <v>42076</v>
      </c>
      <c r="AV6475" s="6">
        <v>42076</v>
      </c>
      <c r="AW6475" t="s">
        <v>54</v>
      </c>
      <c r="AX6475" t="str">
        <f t="shared" si="546"/>
        <v>FOR</v>
      </c>
      <c r="AY6475" t="s">
        <v>55</v>
      </c>
    </row>
    <row r="6476" spans="1:51" hidden="1">
      <c r="A6476">
        <v>104083</v>
      </c>
      <c r="B6476" t="s">
        <v>1207</v>
      </c>
      <c r="C6476" t="str">
        <f t="shared" si="544"/>
        <v>02804530968</v>
      </c>
      <c r="D6476" t="str">
        <f t="shared" si="545"/>
        <v>06324460150</v>
      </c>
      <c r="E6476" t="s">
        <v>52</v>
      </c>
      <c r="F6476">
        <v>2014</v>
      </c>
      <c r="G6476">
        <v>42013916</v>
      </c>
      <c r="H6476" s="1">
        <v>41716</v>
      </c>
      <c r="I6476" s="1">
        <v>41736</v>
      </c>
      <c r="J6476" s="1">
        <v>41736</v>
      </c>
      <c r="K6476" s="1">
        <v>41826</v>
      </c>
      <c r="N6476" s="5"/>
      <c r="O6476" s="2">
        <v>1207.8</v>
      </c>
      <c r="P6476">
        <v>250</v>
      </c>
      <c r="Q6476" s="2">
        <v>301950</v>
      </c>
      <c r="R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 s="1">
        <v>42382</v>
      </c>
      <c r="AC6476" t="s">
        <v>53</v>
      </c>
      <c r="AD6476" t="s">
        <v>53</v>
      </c>
      <c r="AK6476">
        <v>0</v>
      </c>
      <c r="AU6476" s="6">
        <v>42076</v>
      </c>
      <c r="AV6476" s="6">
        <v>42076</v>
      </c>
      <c r="AW6476" t="s">
        <v>54</v>
      </c>
      <c r="AX6476" t="str">
        <f t="shared" si="546"/>
        <v>FOR</v>
      </c>
      <c r="AY6476" t="s">
        <v>55</v>
      </c>
    </row>
    <row r="6477" spans="1:51" hidden="1">
      <c r="A6477">
        <v>104083</v>
      </c>
      <c r="B6477" t="s">
        <v>1207</v>
      </c>
      <c r="C6477" t="str">
        <f t="shared" si="544"/>
        <v>02804530968</v>
      </c>
      <c r="D6477" t="str">
        <f t="shared" si="545"/>
        <v>06324460150</v>
      </c>
      <c r="E6477" t="s">
        <v>52</v>
      </c>
      <c r="F6477">
        <v>2014</v>
      </c>
      <c r="G6477">
        <v>42014764</v>
      </c>
      <c r="H6477" s="1">
        <v>41719</v>
      </c>
      <c r="I6477" s="1">
        <v>41725</v>
      </c>
      <c r="J6477" s="1">
        <v>41725</v>
      </c>
      <c r="K6477" s="1">
        <v>41815</v>
      </c>
      <c r="N6477" s="5"/>
      <c r="O6477" s="2">
        <v>2049.6</v>
      </c>
      <c r="P6477">
        <v>261</v>
      </c>
      <c r="Q6477" s="2">
        <v>534945.6</v>
      </c>
      <c r="R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 s="1">
        <v>42382</v>
      </c>
      <c r="AC6477" t="s">
        <v>53</v>
      </c>
      <c r="AD6477" t="s">
        <v>53</v>
      </c>
      <c r="AK6477">
        <v>0</v>
      </c>
      <c r="AU6477" s="6">
        <v>42076</v>
      </c>
      <c r="AV6477" s="6">
        <v>42076</v>
      </c>
      <c r="AW6477" t="s">
        <v>54</v>
      </c>
      <c r="AX6477" t="str">
        <f t="shared" si="546"/>
        <v>FOR</v>
      </c>
      <c r="AY6477" t="s">
        <v>55</v>
      </c>
    </row>
    <row r="6478" spans="1:51" hidden="1">
      <c r="A6478">
        <v>104083</v>
      </c>
      <c r="B6478" t="s">
        <v>1207</v>
      </c>
      <c r="C6478" t="str">
        <f t="shared" si="544"/>
        <v>02804530968</v>
      </c>
      <c r="D6478" t="str">
        <f t="shared" si="545"/>
        <v>06324460150</v>
      </c>
      <c r="E6478" t="s">
        <v>52</v>
      </c>
      <c r="F6478">
        <v>2014</v>
      </c>
      <c r="G6478">
        <v>42017387</v>
      </c>
      <c r="H6478" s="1">
        <v>41733</v>
      </c>
      <c r="I6478" s="1">
        <v>41739</v>
      </c>
      <c r="J6478" s="1">
        <v>41739</v>
      </c>
      <c r="K6478" s="1">
        <v>41829</v>
      </c>
      <c r="N6478" s="5"/>
      <c r="O6478">
        <v>333.06</v>
      </c>
      <c r="P6478">
        <v>267</v>
      </c>
      <c r="Q6478" s="2">
        <v>88927.02</v>
      </c>
      <c r="R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 s="1">
        <v>42382</v>
      </c>
      <c r="AC6478" t="s">
        <v>53</v>
      </c>
      <c r="AD6478" t="s">
        <v>53</v>
      </c>
      <c r="AK6478">
        <v>0</v>
      </c>
      <c r="AU6478" s="6">
        <v>42096</v>
      </c>
      <c r="AV6478" s="6">
        <v>42096</v>
      </c>
      <c r="AW6478" t="s">
        <v>54</v>
      </c>
      <c r="AX6478" t="str">
        <f t="shared" si="546"/>
        <v>FOR</v>
      </c>
      <c r="AY6478" t="s">
        <v>55</v>
      </c>
    </row>
    <row r="6479" spans="1:51" hidden="1">
      <c r="A6479">
        <v>104083</v>
      </c>
      <c r="B6479" t="s">
        <v>1207</v>
      </c>
      <c r="C6479" t="str">
        <f t="shared" si="544"/>
        <v>02804530968</v>
      </c>
      <c r="D6479" t="str">
        <f t="shared" si="545"/>
        <v>06324460150</v>
      </c>
      <c r="E6479" t="s">
        <v>52</v>
      </c>
      <c r="F6479">
        <v>2014</v>
      </c>
      <c r="G6479">
        <v>42017388</v>
      </c>
      <c r="H6479" s="1">
        <v>41733</v>
      </c>
      <c r="I6479" s="1">
        <v>41739</v>
      </c>
      <c r="J6479" s="1">
        <v>41739</v>
      </c>
      <c r="K6479" s="1">
        <v>41829</v>
      </c>
      <c r="N6479" s="5"/>
      <c r="O6479">
        <v>600.12</v>
      </c>
      <c r="P6479">
        <v>267</v>
      </c>
      <c r="Q6479" s="2">
        <v>160232.04</v>
      </c>
      <c r="R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 s="1">
        <v>42382</v>
      </c>
      <c r="AC6479" t="s">
        <v>53</v>
      </c>
      <c r="AD6479" t="s">
        <v>53</v>
      </c>
      <c r="AK6479">
        <v>0</v>
      </c>
      <c r="AU6479" s="6">
        <v>42096</v>
      </c>
      <c r="AV6479" s="6">
        <v>42096</v>
      </c>
      <c r="AW6479" t="s">
        <v>54</v>
      </c>
      <c r="AX6479" t="str">
        <f t="shared" si="546"/>
        <v>FOR</v>
      </c>
      <c r="AY6479" t="s">
        <v>55</v>
      </c>
    </row>
    <row r="6480" spans="1:51" hidden="1">
      <c r="A6480">
        <v>104083</v>
      </c>
      <c r="B6480" t="s">
        <v>1207</v>
      </c>
      <c r="C6480" t="str">
        <f t="shared" si="544"/>
        <v>02804530968</v>
      </c>
      <c r="D6480" t="str">
        <f t="shared" si="545"/>
        <v>06324460150</v>
      </c>
      <c r="E6480" t="s">
        <v>52</v>
      </c>
      <c r="F6480">
        <v>2014</v>
      </c>
      <c r="G6480">
        <v>42017389</v>
      </c>
      <c r="H6480" s="1">
        <v>41733</v>
      </c>
      <c r="I6480" s="1">
        <v>41739</v>
      </c>
      <c r="J6480" s="1">
        <v>41739</v>
      </c>
      <c r="K6480" s="1">
        <v>41829</v>
      </c>
      <c r="N6480" s="5"/>
      <c r="O6480">
        <v>869.25</v>
      </c>
      <c r="P6480">
        <v>267</v>
      </c>
      <c r="Q6480" s="2">
        <v>232089.75</v>
      </c>
      <c r="R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 s="1">
        <v>42382</v>
      </c>
      <c r="AC6480" t="s">
        <v>53</v>
      </c>
      <c r="AD6480" t="s">
        <v>53</v>
      </c>
      <c r="AK6480">
        <v>0</v>
      </c>
      <c r="AU6480" s="6">
        <v>42096</v>
      </c>
      <c r="AV6480" s="6">
        <v>42096</v>
      </c>
      <c r="AW6480" t="s">
        <v>54</v>
      </c>
      <c r="AX6480" t="str">
        <f t="shared" si="546"/>
        <v>FOR</v>
      </c>
      <c r="AY6480" t="s">
        <v>55</v>
      </c>
    </row>
    <row r="6481" spans="1:51" hidden="1">
      <c r="A6481">
        <v>104083</v>
      </c>
      <c r="B6481" t="s">
        <v>1207</v>
      </c>
      <c r="C6481" t="str">
        <f t="shared" si="544"/>
        <v>02804530968</v>
      </c>
      <c r="D6481" t="str">
        <f t="shared" si="545"/>
        <v>06324460150</v>
      </c>
      <c r="E6481" t="s">
        <v>52</v>
      </c>
      <c r="F6481">
        <v>2014</v>
      </c>
      <c r="G6481">
        <v>42018777</v>
      </c>
      <c r="H6481" s="1">
        <v>41740</v>
      </c>
      <c r="I6481" s="1">
        <v>41752</v>
      </c>
      <c r="J6481" s="1">
        <v>41752</v>
      </c>
      <c r="K6481" s="1">
        <v>41842</v>
      </c>
      <c r="N6481" s="5"/>
      <c r="O6481" s="2">
        <v>1099.43</v>
      </c>
      <c r="P6481">
        <v>254</v>
      </c>
      <c r="Q6481" s="2">
        <v>279255.21999999997</v>
      </c>
      <c r="R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 s="1">
        <v>42382</v>
      </c>
      <c r="AC6481" t="s">
        <v>53</v>
      </c>
      <c r="AD6481" t="s">
        <v>53</v>
      </c>
      <c r="AK6481">
        <v>0</v>
      </c>
      <c r="AU6481" s="6">
        <v>42096</v>
      </c>
      <c r="AV6481" s="6">
        <v>42096</v>
      </c>
      <c r="AW6481" t="s">
        <v>54</v>
      </c>
      <c r="AX6481" t="str">
        <f t="shared" si="546"/>
        <v>FOR</v>
      </c>
      <c r="AY6481" t="s">
        <v>55</v>
      </c>
    </row>
    <row r="6482" spans="1:51" hidden="1">
      <c r="A6482">
        <v>104083</v>
      </c>
      <c r="B6482" t="s">
        <v>1207</v>
      </c>
      <c r="C6482" t="str">
        <f t="shared" si="544"/>
        <v>02804530968</v>
      </c>
      <c r="D6482" t="str">
        <f t="shared" si="545"/>
        <v>06324460150</v>
      </c>
      <c r="E6482" t="s">
        <v>52</v>
      </c>
      <c r="F6482">
        <v>2014</v>
      </c>
      <c r="G6482">
        <v>42018778</v>
      </c>
      <c r="H6482" s="1">
        <v>41740</v>
      </c>
      <c r="I6482" s="1">
        <v>41771</v>
      </c>
      <c r="J6482" s="1">
        <v>41771</v>
      </c>
      <c r="K6482" s="1">
        <v>41861</v>
      </c>
      <c r="N6482" s="5"/>
      <c r="O6482" s="2">
        <v>1199.99</v>
      </c>
      <c r="P6482">
        <v>235</v>
      </c>
      <c r="Q6482" s="2">
        <v>281997.65000000002</v>
      </c>
      <c r="R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 s="1">
        <v>42382</v>
      </c>
      <c r="AC6482" t="s">
        <v>53</v>
      </c>
      <c r="AD6482" t="s">
        <v>53</v>
      </c>
      <c r="AK6482">
        <v>0</v>
      </c>
      <c r="AU6482" s="6">
        <v>42096</v>
      </c>
      <c r="AV6482" s="6">
        <v>42096</v>
      </c>
      <c r="AW6482" t="s">
        <v>54</v>
      </c>
      <c r="AX6482" t="str">
        <f t="shared" si="546"/>
        <v>FOR</v>
      </c>
      <c r="AY6482" t="s">
        <v>55</v>
      </c>
    </row>
    <row r="6483" spans="1:51" hidden="1">
      <c r="A6483">
        <v>104083</v>
      </c>
      <c r="B6483" t="s">
        <v>1207</v>
      </c>
      <c r="C6483" t="str">
        <f t="shared" si="544"/>
        <v>02804530968</v>
      </c>
      <c r="D6483" t="str">
        <f t="shared" si="545"/>
        <v>06324460150</v>
      </c>
      <c r="E6483" t="s">
        <v>52</v>
      </c>
      <c r="F6483">
        <v>2014</v>
      </c>
      <c r="G6483">
        <v>42019065</v>
      </c>
      <c r="H6483" s="1">
        <v>41743</v>
      </c>
      <c r="I6483" s="1">
        <v>41771</v>
      </c>
      <c r="J6483" s="1">
        <v>41771</v>
      </c>
      <c r="K6483" s="1">
        <v>41861</v>
      </c>
      <c r="N6483" s="5"/>
      <c r="O6483">
        <v>659.23</v>
      </c>
      <c r="P6483">
        <v>235</v>
      </c>
      <c r="Q6483" s="2">
        <v>154919.04999999999</v>
      </c>
      <c r="R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 s="1">
        <v>42382</v>
      </c>
      <c r="AC6483" t="s">
        <v>53</v>
      </c>
      <c r="AD6483" t="s">
        <v>53</v>
      </c>
      <c r="AK6483">
        <v>0</v>
      </c>
      <c r="AU6483" s="6">
        <v>42096</v>
      </c>
      <c r="AV6483" s="6">
        <v>42096</v>
      </c>
      <c r="AW6483" t="s">
        <v>54</v>
      </c>
      <c r="AX6483" t="str">
        <f t="shared" si="546"/>
        <v>FOR</v>
      </c>
      <c r="AY6483" t="s">
        <v>55</v>
      </c>
    </row>
    <row r="6484" spans="1:51" hidden="1">
      <c r="A6484">
        <v>104083</v>
      </c>
      <c r="B6484" t="s">
        <v>1207</v>
      </c>
      <c r="C6484" t="str">
        <f t="shared" ref="C6484:C6515" si="547">"02804530968"</f>
        <v>02804530968</v>
      </c>
      <c r="D6484" t="str">
        <f t="shared" ref="D6484:D6515" si="548">"06324460150"</f>
        <v>06324460150</v>
      </c>
      <c r="E6484" t="s">
        <v>52</v>
      </c>
      <c r="F6484">
        <v>2014</v>
      </c>
      <c r="G6484">
        <v>42019367</v>
      </c>
      <c r="H6484" s="1">
        <v>41744</v>
      </c>
      <c r="I6484" s="1">
        <v>41767</v>
      </c>
      <c r="J6484" s="1">
        <v>41767</v>
      </c>
      <c r="K6484" s="1">
        <v>41857</v>
      </c>
      <c r="N6484" s="5"/>
      <c r="O6484">
        <v>212.28</v>
      </c>
      <c r="P6484">
        <v>239</v>
      </c>
      <c r="Q6484" s="2">
        <v>50734.92</v>
      </c>
      <c r="R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 s="1">
        <v>42382</v>
      </c>
      <c r="AC6484" t="s">
        <v>53</v>
      </c>
      <c r="AD6484" t="s">
        <v>53</v>
      </c>
      <c r="AK6484">
        <v>0</v>
      </c>
      <c r="AU6484" s="6">
        <v>42096</v>
      </c>
      <c r="AV6484" s="6">
        <v>42096</v>
      </c>
      <c r="AW6484" t="s">
        <v>54</v>
      </c>
      <c r="AX6484" t="str">
        <f t="shared" si="546"/>
        <v>FOR</v>
      </c>
      <c r="AY6484" t="s">
        <v>55</v>
      </c>
    </row>
    <row r="6485" spans="1:51" hidden="1">
      <c r="A6485">
        <v>104083</v>
      </c>
      <c r="B6485" t="s">
        <v>1207</v>
      </c>
      <c r="C6485" t="str">
        <f t="shared" si="547"/>
        <v>02804530968</v>
      </c>
      <c r="D6485" t="str">
        <f t="shared" si="548"/>
        <v>06324460150</v>
      </c>
      <c r="E6485" t="s">
        <v>52</v>
      </c>
      <c r="F6485">
        <v>2014</v>
      </c>
      <c r="G6485">
        <v>42019368</v>
      </c>
      <c r="H6485" s="1">
        <v>41744</v>
      </c>
      <c r="I6485" s="1">
        <v>41767</v>
      </c>
      <c r="J6485" s="1">
        <v>41767</v>
      </c>
      <c r="K6485" s="1">
        <v>41857</v>
      </c>
      <c r="N6485" s="5"/>
      <c r="O6485" s="2">
        <v>1138.3800000000001</v>
      </c>
      <c r="P6485">
        <v>239</v>
      </c>
      <c r="Q6485" s="2">
        <v>272072.82</v>
      </c>
      <c r="R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 s="1">
        <v>42382</v>
      </c>
      <c r="AC6485" t="s">
        <v>53</v>
      </c>
      <c r="AD6485" t="s">
        <v>53</v>
      </c>
      <c r="AK6485">
        <v>0</v>
      </c>
      <c r="AU6485" s="6">
        <v>42096</v>
      </c>
      <c r="AV6485" s="6">
        <v>42096</v>
      </c>
      <c r="AW6485" t="s">
        <v>54</v>
      </c>
      <c r="AX6485" t="str">
        <f t="shared" si="546"/>
        <v>FOR</v>
      </c>
      <c r="AY6485" t="s">
        <v>55</v>
      </c>
    </row>
    <row r="6486" spans="1:51" hidden="1">
      <c r="A6486">
        <v>104083</v>
      </c>
      <c r="B6486" t="s">
        <v>1207</v>
      </c>
      <c r="C6486" t="str">
        <f t="shared" si="547"/>
        <v>02804530968</v>
      </c>
      <c r="D6486" t="str">
        <f t="shared" si="548"/>
        <v>06324460150</v>
      </c>
      <c r="E6486" t="s">
        <v>52</v>
      </c>
      <c r="F6486">
        <v>2014</v>
      </c>
      <c r="G6486">
        <v>42020451</v>
      </c>
      <c r="H6486" s="1">
        <v>41751</v>
      </c>
      <c r="I6486" s="1">
        <v>41771</v>
      </c>
      <c r="J6486" s="1">
        <v>41771</v>
      </c>
      <c r="K6486" s="1">
        <v>41861</v>
      </c>
      <c r="N6486" s="5"/>
      <c r="O6486">
        <v>143.72</v>
      </c>
      <c r="P6486">
        <v>235</v>
      </c>
      <c r="Q6486" s="2">
        <v>33774.199999999997</v>
      </c>
      <c r="R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 s="1">
        <v>42382</v>
      </c>
      <c r="AC6486" t="s">
        <v>53</v>
      </c>
      <c r="AD6486" t="s">
        <v>53</v>
      </c>
      <c r="AK6486">
        <v>0</v>
      </c>
      <c r="AU6486" s="6">
        <v>42096</v>
      </c>
      <c r="AV6486" s="6">
        <v>42096</v>
      </c>
      <c r="AW6486" t="s">
        <v>54</v>
      </c>
      <c r="AX6486" t="str">
        <f t="shared" si="546"/>
        <v>FOR</v>
      </c>
      <c r="AY6486" t="s">
        <v>55</v>
      </c>
    </row>
    <row r="6487" spans="1:51" hidden="1">
      <c r="A6487">
        <v>104083</v>
      </c>
      <c r="B6487" t="s">
        <v>1207</v>
      </c>
      <c r="C6487" t="str">
        <f t="shared" si="547"/>
        <v>02804530968</v>
      </c>
      <c r="D6487" t="str">
        <f t="shared" si="548"/>
        <v>06324460150</v>
      </c>
      <c r="E6487" t="s">
        <v>52</v>
      </c>
      <c r="F6487">
        <v>2014</v>
      </c>
      <c r="G6487">
        <v>42021713</v>
      </c>
      <c r="H6487" s="1">
        <v>41758</v>
      </c>
      <c r="I6487" s="1">
        <v>41768</v>
      </c>
      <c r="J6487" s="1">
        <v>41768</v>
      </c>
      <c r="K6487" s="1">
        <v>41858</v>
      </c>
      <c r="N6487" s="5"/>
      <c r="O6487">
        <v>834.48</v>
      </c>
      <c r="P6487">
        <v>238</v>
      </c>
      <c r="Q6487" s="2">
        <v>198606.24</v>
      </c>
      <c r="R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 s="1">
        <v>42382</v>
      </c>
      <c r="AC6487" t="s">
        <v>53</v>
      </c>
      <c r="AD6487" t="s">
        <v>53</v>
      </c>
      <c r="AK6487">
        <v>0</v>
      </c>
      <c r="AU6487" s="6">
        <v>42096</v>
      </c>
      <c r="AV6487" s="6">
        <v>42096</v>
      </c>
      <c r="AW6487" t="s">
        <v>54</v>
      </c>
      <c r="AX6487" t="str">
        <f t="shared" si="546"/>
        <v>FOR</v>
      </c>
      <c r="AY6487" t="s">
        <v>55</v>
      </c>
    </row>
    <row r="6488" spans="1:51" hidden="1">
      <c r="A6488">
        <v>104083</v>
      </c>
      <c r="B6488" t="s">
        <v>1207</v>
      </c>
      <c r="C6488" t="str">
        <f t="shared" si="547"/>
        <v>02804530968</v>
      </c>
      <c r="D6488" t="str">
        <f t="shared" si="548"/>
        <v>06324460150</v>
      </c>
      <c r="E6488" t="s">
        <v>52</v>
      </c>
      <c r="F6488">
        <v>2014</v>
      </c>
      <c r="G6488">
        <v>42022202</v>
      </c>
      <c r="H6488" s="1">
        <v>41759</v>
      </c>
      <c r="I6488" s="1">
        <v>41771</v>
      </c>
      <c r="J6488" s="1">
        <v>41771</v>
      </c>
      <c r="K6488" s="1">
        <v>41861</v>
      </c>
      <c r="N6488" s="5"/>
      <c r="O6488">
        <v>868.64</v>
      </c>
      <c r="P6488">
        <v>235</v>
      </c>
      <c r="Q6488" s="2">
        <v>204130.4</v>
      </c>
      <c r="R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 s="1">
        <v>42382</v>
      </c>
      <c r="AC6488" t="s">
        <v>53</v>
      </c>
      <c r="AD6488" t="s">
        <v>53</v>
      </c>
      <c r="AK6488">
        <v>0</v>
      </c>
      <c r="AU6488" s="6">
        <v>42096</v>
      </c>
      <c r="AV6488" s="6">
        <v>42096</v>
      </c>
      <c r="AW6488" t="s">
        <v>54</v>
      </c>
      <c r="AX6488" t="str">
        <f t="shared" si="546"/>
        <v>FOR</v>
      </c>
      <c r="AY6488" t="s">
        <v>55</v>
      </c>
    </row>
    <row r="6489" spans="1:51" hidden="1">
      <c r="A6489">
        <v>104083</v>
      </c>
      <c r="B6489" t="s">
        <v>1207</v>
      </c>
      <c r="C6489" t="str">
        <f t="shared" si="547"/>
        <v>02804530968</v>
      </c>
      <c r="D6489" t="str">
        <f t="shared" si="548"/>
        <v>06324460150</v>
      </c>
      <c r="E6489" t="s">
        <v>52</v>
      </c>
      <c r="F6489">
        <v>2014</v>
      </c>
      <c r="G6489">
        <v>42022203</v>
      </c>
      <c r="H6489" s="1">
        <v>41759</v>
      </c>
      <c r="I6489" s="1">
        <v>41771</v>
      </c>
      <c r="J6489" s="1">
        <v>41771</v>
      </c>
      <c r="K6489" s="1">
        <v>41861</v>
      </c>
      <c r="N6489" s="5"/>
      <c r="O6489" s="2">
        <v>2196</v>
      </c>
      <c r="P6489">
        <v>235</v>
      </c>
      <c r="Q6489" s="2">
        <v>516060</v>
      </c>
      <c r="R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 s="1">
        <v>42382</v>
      </c>
      <c r="AC6489" t="s">
        <v>53</v>
      </c>
      <c r="AD6489" t="s">
        <v>53</v>
      </c>
      <c r="AK6489">
        <v>0</v>
      </c>
      <c r="AU6489" s="6">
        <v>42096</v>
      </c>
      <c r="AV6489" s="6">
        <v>42096</v>
      </c>
      <c r="AW6489" t="s">
        <v>54</v>
      </c>
      <c r="AX6489" t="str">
        <f t="shared" si="546"/>
        <v>FOR</v>
      </c>
      <c r="AY6489" t="s">
        <v>55</v>
      </c>
    </row>
    <row r="6490" spans="1:51" hidden="1">
      <c r="A6490">
        <v>104083</v>
      </c>
      <c r="B6490" t="s">
        <v>1207</v>
      </c>
      <c r="C6490" t="str">
        <f t="shared" si="547"/>
        <v>02804530968</v>
      </c>
      <c r="D6490" t="str">
        <f t="shared" si="548"/>
        <v>06324460150</v>
      </c>
      <c r="E6490" t="s">
        <v>52</v>
      </c>
      <c r="F6490">
        <v>2014</v>
      </c>
      <c r="G6490">
        <v>42022204</v>
      </c>
      <c r="H6490" s="1">
        <v>41759</v>
      </c>
      <c r="I6490" s="1">
        <v>41771</v>
      </c>
      <c r="J6490" s="1">
        <v>41771</v>
      </c>
      <c r="K6490" s="1">
        <v>41861</v>
      </c>
      <c r="N6490" s="5"/>
      <c r="O6490" s="2">
        <v>1317.6</v>
      </c>
      <c r="P6490">
        <v>235</v>
      </c>
      <c r="Q6490" s="2">
        <v>309636</v>
      </c>
      <c r="R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 s="1">
        <v>42382</v>
      </c>
      <c r="AC6490" t="s">
        <v>53</v>
      </c>
      <c r="AD6490" t="s">
        <v>53</v>
      </c>
      <c r="AK6490">
        <v>0</v>
      </c>
      <c r="AU6490" s="6">
        <v>42096</v>
      </c>
      <c r="AV6490" s="6">
        <v>42096</v>
      </c>
      <c r="AW6490" t="s">
        <v>54</v>
      </c>
      <c r="AX6490" t="str">
        <f t="shared" si="546"/>
        <v>FOR</v>
      </c>
      <c r="AY6490" t="s">
        <v>55</v>
      </c>
    </row>
    <row r="6491" spans="1:51" hidden="1">
      <c r="A6491">
        <v>104083</v>
      </c>
      <c r="B6491" t="s">
        <v>1207</v>
      </c>
      <c r="C6491" t="str">
        <f t="shared" si="547"/>
        <v>02804530968</v>
      </c>
      <c r="D6491" t="str">
        <f t="shared" si="548"/>
        <v>06324460150</v>
      </c>
      <c r="E6491" t="s">
        <v>52</v>
      </c>
      <c r="F6491">
        <v>2014</v>
      </c>
      <c r="G6491">
        <v>42022519</v>
      </c>
      <c r="H6491" s="1">
        <v>41761</v>
      </c>
      <c r="I6491" s="1">
        <v>41768</v>
      </c>
      <c r="J6491" s="1">
        <v>41768</v>
      </c>
      <c r="K6491" s="1">
        <v>41858</v>
      </c>
      <c r="N6491" s="5"/>
      <c r="O6491">
        <v>878.4</v>
      </c>
      <c r="P6491">
        <v>274</v>
      </c>
      <c r="Q6491" s="2">
        <v>240681.60000000001</v>
      </c>
      <c r="R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 s="1">
        <v>42382</v>
      </c>
      <c r="AC6491" t="s">
        <v>53</v>
      </c>
      <c r="AD6491" t="s">
        <v>53</v>
      </c>
      <c r="AK6491">
        <v>0</v>
      </c>
      <c r="AU6491" s="6">
        <v>42132</v>
      </c>
      <c r="AV6491" s="6">
        <v>42132</v>
      </c>
      <c r="AW6491" t="s">
        <v>54</v>
      </c>
      <c r="AX6491" t="str">
        <f t="shared" si="546"/>
        <v>FOR</v>
      </c>
      <c r="AY6491" t="s">
        <v>55</v>
      </c>
    </row>
    <row r="6492" spans="1:51" hidden="1">
      <c r="A6492">
        <v>104083</v>
      </c>
      <c r="B6492" t="s">
        <v>1207</v>
      </c>
      <c r="C6492" t="str">
        <f t="shared" si="547"/>
        <v>02804530968</v>
      </c>
      <c r="D6492" t="str">
        <f t="shared" si="548"/>
        <v>06324460150</v>
      </c>
      <c r="E6492" t="s">
        <v>52</v>
      </c>
      <c r="F6492">
        <v>2014</v>
      </c>
      <c r="G6492">
        <v>42022601</v>
      </c>
      <c r="H6492" s="1">
        <v>41764</v>
      </c>
      <c r="I6492" s="1">
        <v>41771</v>
      </c>
      <c r="J6492" s="1">
        <v>41771</v>
      </c>
      <c r="K6492" s="1">
        <v>41861</v>
      </c>
      <c r="N6492" s="5"/>
      <c r="O6492">
        <v>219.6</v>
      </c>
      <c r="P6492">
        <v>271</v>
      </c>
      <c r="Q6492" s="2">
        <v>59511.6</v>
      </c>
      <c r="R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 s="1">
        <v>42382</v>
      </c>
      <c r="AC6492" t="s">
        <v>53</v>
      </c>
      <c r="AD6492" t="s">
        <v>53</v>
      </c>
      <c r="AK6492">
        <v>0</v>
      </c>
      <c r="AU6492" s="6">
        <v>42132</v>
      </c>
      <c r="AV6492" s="6">
        <v>42132</v>
      </c>
      <c r="AW6492" t="s">
        <v>54</v>
      </c>
      <c r="AX6492" t="str">
        <f t="shared" si="546"/>
        <v>FOR</v>
      </c>
      <c r="AY6492" t="s">
        <v>55</v>
      </c>
    </row>
    <row r="6493" spans="1:51" hidden="1">
      <c r="A6493">
        <v>104083</v>
      </c>
      <c r="B6493" t="s">
        <v>1207</v>
      </c>
      <c r="C6493" t="str">
        <f t="shared" si="547"/>
        <v>02804530968</v>
      </c>
      <c r="D6493" t="str">
        <f t="shared" si="548"/>
        <v>06324460150</v>
      </c>
      <c r="E6493" t="s">
        <v>52</v>
      </c>
      <c r="F6493">
        <v>2014</v>
      </c>
      <c r="G6493">
        <v>42023048</v>
      </c>
      <c r="H6493" s="1">
        <v>41766</v>
      </c>
      <c r="I6493" s="1">
        <v>41773</v>
      </c>
      <c r="J6493" s="1">
        <v>41773</v>
      </c>
      <c r="K6493" s="1">
        <v>41863</v>
      </c>
      <c r="N6493" s="5"/>
      <c r="O6493" s="2">
        <v>2198.85</v>
      </c>
      <c r="P6493">
        <v>269</v>
      </c>
      <c r="Q6493" s="2">
        <v>591490.65</v>
      </c>
      <c r="R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 s="1">
        <v>42382</v>
      </c>
      <c r="AC6493" t="s">
        <v>53</v>
      </c>
      <c r="AD6493" t="s">
        <v>53</v>
      </c>
      <c r="AK6493">
        <v>0</v>
      </c>
      <c r="AU6493" s="6">
        <v>42132</v>
      </c>
      <c r="AV6493" s="6">
        <v>42132</v>
      </c>
      <c r="AW6493" t="s">
        <v>54</v>
      </c>
      <c r="AX6493" t="str">
        <f t="shared" si="546"/>
        <v>FOR</v>
      </c>
      <c r="AY6493" t="s">
        <v>55</v>
      </c>
    </row>
    <row r="6494" spans="1:51" hidden="1">
      <c r="A6494">
        <v>104083</v>
      </c>
      <c r="B6494" t="s">
        <v>1207</v>
      </c>
      <c r="C6494" t="str">
        <f t="shared" si="547"/>
        <v>02804530968</v>
      </c>
      <c r="D6494" t="str">
        <f t="shared" si="548"/>
        <v>06324460150</v>
      </c>
      <c r="E6494" t="s">
        <v>52</v>
      </c>
      <c r="F6494">
        <v>2014</v>
      </c>
      <c r="G6494">
        <v>42023244</v>
      </c>
      <c r="H6494" s="1">
        <v>41767</v>
      </c>
      <c r="I6494" s="1">
        <v>41778</v>
      </c>
      <c r="J6494" s="1">
        <v>41778</v>
      </c>
      <c r="K6494" s="1">
        <v>41868</v>
      </c>
      <c r="N6494" s="5"/>
      <c r="O6494" s="2">
        <v>2879.2</v>
      </c>
      <c r="P6494">
        <v>264</v>
      </c>
      <c r="Q6494" s="2">
        <v>760108.8</v>
      </c>
      <c r="R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 s="1">
        <v>42382</v>
      </c>
      <c r="AC6494" t="s">
        <v>53</v>
      </c>
      <c r="AD6494" t="s">
        <v>53</v>
      </c>
      <c r="AK6494">
        <v>0</v>
      </c>
      <c r="AU6494" s="6">
        <v>42132</v>
      </c>
      <c r="AV6494" s="6">
        <v>42132</v>
      </c>
      <c r="AW6494" t="s">
        <v>54</v>
      </c>
      <c r="AX6494" t="str">
        <f t="shared" si="546"/>
        <v>FOR</v>
      </c>
      <c r="AY6494" t="s">
        <v>55</v>
      </c>
    </row>
    <row r="6495" spans="1:51" hidden="1">
      <c r="A6495">
        <v>104083</v>
      </c>
      <c r="B6495" t="s">
        <v>1207</v>
      </c>
      <c r="C6495" t="str">
        <f t="shared" si="547"/>
        <v>02804530968</v>
      </c>
      <c r="D6495" t="str">
        <f t="shared" si="548"/>
        <v>06324460150</v>
      </c>
      <c r="E6495" t="s">
        <v>52</v>
      </c>
      <c r="F6495">
        <v>2014</v>
      </c>
      <c r="G6495">
        <v>42025534</v>
      </c>
      <c r="H6495" s="1">
        <v>41779</v>
      </c>
      <c r="I6495" s="1">
        <v>41788</v>
      </c>
      <c r="J6495" s="1">
        <v>41788</v>
      </c>
      <c r="K6495" s="1">
        <v>41878</v>
      </c>
      <c r="N6495" s="5"/>
      <c r="O6495">
        <v>666.12</v>
      </c>
      <c r="P6495">
        <v>254</v>
      </c>
      <c r="Q6495" s="2">
        <v>169194.48</v>
      </c>
      <c r="R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 s="1">
        <v>42382</v>
      </c>
      <c r="AC6495" t="s">
        <v>53</v>
      </c>
      <c r="AD6495" t="s">
        <v>53</v>
      </c>
      <c r="AK6495">
        <v>0</v>
      </c>
      <c r="AU6495" s="6">
        <v>42132</v>
      </c>
      <c r="AV6495" s="6">
        <v>42132</v>
      </c>
      <c r="AW6495" t="s">
        <v>54</v>
      </c>
      <c r="AX6495" t="str">
        <f t="shared" si="546"/>
        <v>FOR</v>
      </c>
      <c r="AY6495" t="s">
        <v>55</v>
      </c>
    </row>
    <row r="6496" spans="1:51" hidden="1">
      <c r="A6496">
        <v>104083</v>
      </c>
      <c r="B6496" t="s">
        <v>1207</v>
      </c>
      <c r="C6496" t="str">
        <f t="shared" si="547"/>
        <v>02804530968</v>
      </c>
      <c r="D6496" t="str">
        <f t="shared" si="548"/>
        <v>06324460150</v>
      </c>
      <c r="E6496" t="s">
        <v>52</v>
      </c>
      <c r="F6496">
        <v>2014</v>
      </c>
      <c r="G6496">
        <v>42025535</v>
      </c>
      <c r="H6496" s="1">
        <v>41779</v>
      </c>
      <c r="I6496" s="1">
        <v>41788</v>
      </c>
      <c r="J6496" s="1">
        <v>41788</v>
      </c>
      <c r="K6496" s="1">
        <v>41878</v>
      </c>
      <c r="N6496" s="5"/>
      <c r="O6496" s="2">
        <v>1713.86</v>
      </c>
      <c r="P6496">
        <v>254</v>
      </c>
      <c r="Q6496" s="2">
        <v>435320.44</v>
      </c>
      <c r="R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 s="1">
        <v>42382</v>
      </c>
      <c r="AC6496" t="s">
        <v>53</v>
      </c>
      <c r="AD6496" t="s">
        <v>53</v>
      </c>
      <c r="AK6496">
        <v>0</v>
      </c>
      <c r="AU6496" s="6">
        <v>42132</v>
      </c>
      <c r="AV6496" s="6">
        <v>42132</v>
      </c>
      <c r="AW6496" t="s">
        <v>54</v>
      </c>
      <c r="AX6496" t="str">
        <f t="shared" si="546"/>
        <v>FOR</v>
      </c>
      <c r="AY6496" t="s">
        <v>55</v>
      </c>
    </row>
    <row r="6497" spans="1:51" hidden="1">
      <c r="A6497">
        <v>104083</v>
      </c>
      <c r="B6497" t="s">
        <v>1207</v>
      </c>
      <c r="C6497" t="str">
        <f t="shared" si="547"/>
        <v>02804530968</v>
      </c>
      <c r="D6497" t="str">
        <f t="shared" si="548"/>
        <v>06324460150</v>
      </c>
      <c r="E6497" t="s">
        <v>52</v>
      </c>
      <c r="F6497">
        <v>2014</v>
      </c>
      <c r="G6497">
        <v>42025536</v>
      </c>
      <c r="H6497" s="1">
        <v>41779</v>
      </c>
      <c r="I6497" s="1">
        <v>41788</v>
      </c>
      <c r="J6497" s="1">
        <v>41788</v>
      </c>
      <c r="K6497" s="1">
        <v>41878</v>
      </c>
      <c r="N6497" s="5"/>
      <c r="O6497">
        <v>143.72</v>
      </c>
      <c r="P6497">
        <v>254</v>
      </c>
      <c r="Q6497" s="2">
        <v>36504.879999999997</v>
      </c>
      <c r="R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 s="1">
        <v>42382</v>
      </c>
      <c r="AC6497" t="s">
        <v>53</v>
      </c>
      <c r="AD6497" t="s">
        <v>53</v>
      </c>
      <c r="AK6497">
        <v>0</v>
      </c>
      <c r="AU6497" s="6">
        <v>42132</v>
      </c>
      <c r="AV6497" s="6">
        <v>42132</v>
      </c>
      <c r="AW6497" t="s">
        <v>54</v>
      </c>
      <c r="AX6497" t="str">
        <f t="shared" si="546"/>
        <v>FOR</v>
      </c>
      <c r="AY6497" t="s">
        <v>55</v>
      </c>
    </row>
    <row r="6498" spans="1:51" hidden="1">
      <c r="A6498">
        <v>104083</v>
      </c>
      <c r="B6498" t="s">
        <v>1207</v>
      </c>
      <c r="C6498" t="str">
        <f t="shared" si="547"/>
        <v>02804530968</v>
      </c>
      <c r="D6498" t="str">
        <f t="shared" si="548"/>
        <v>06324460150</v>
      </c>
      <c r="E6498" t="s">
        <v>52</v>
      </c>
      <c r="F6498">
        <v>2014</v>
      </c>
      <c r="G6498">
        <v>42025537</v>
      </c>
      <c r="H6498" s="1">
        <v>41779</v>
      </c>
      <c r="I6498" s="1">
        <v>41788</v>
      </c>
      <c r="J6498" s="1">
        <v>41788</v>
      </c>
      <c r="K6498" s="1">
        <v>41878</v>
      </c>
      <c r="N6498" s="5"/>
      <c r="O6498">
        <v>812.52</v>
      </c>
      <c r="P6498">
        <v>254</v>
      </c>
      <c r="Q6498" s="2">
        <v>206380.08</v>
      </c>
      <c r="R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 s="1">
        <v>42382</v>
      </c>
      <c r="AC6498" t="s">
        <v>53</v>
      </c>
      <c r="AD6498" t="s">
        <v>53</v>
      </c>
      <c r="AK6498">
        <v>0</v>
      </c>
      <c r="AU6498" s="6">
        <v>42132</v>
      </c>
      <c r="AV6498" s="6">
        <v>42132</v>
      </c>
      <c r="AW6498" t="s">
        <v>54</v>
      </c>
      <c r="AX6498" t="str">
        <f t="shared" si="546"/>
        <v>FOR</v>
      </c>
      <c r="AY6498" t="s">
        <v>55</v>
      </c>
    </row>
    <row r="6499" spans="1:51" hidden="1">
      <c r="A6499">
        <v>104083</v>
      </c>
      <c r="B6499" t="s">
        <v>1207</v>
      </c>
      <c r="C6499" t="str">
        <f t="shared" si="547"/>
        <v>02804530968</v>
      </c>
      <c r="D6499" t="str">
        <f t="shared" si="548"/>
        <v>06324460150</v>
      </c>
      <c r="E6499" t="s">
        <v>52</v>
      </c>
      <c r="F6499">
        <v>2014</v>
      </c>
      <c r="G6499">
        <v>42025538</v>
      </c>
      <c r="H6499" s="1">
        <v>41779</v>
      </c>
      <c r="I6499" s="1">
        <v>41788</v>
      </c>
      <c r="J6499" s="1">
        <v>41788</v>
      </c>
      <c r="K6499" s="1">
        <v>41878</v>
      </c>
      <c r="N6499" s="5"/>
      <c r="O6499" s="2">
        <v>1473.15</v>
      </c>
      <c r="P6499">
        <v>254</v>
      </c>
      <c r="Q6499" s="2">
        <v>374180.1</v>
      </c>
      <c r="R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 s="1">
        <v>42382</v>
      </c>
      <c r="AC6499" t="s">
        <v>53</v>
      </c>
      <c r="AD6499" t="s">
        <v>53</v>
      </c>
      <c r="AK6499">
        <v>0</v>
      </c>
      <c r="AU6499" s="6">
        <v>42132</v>
      </c>
      <c r="AV6499" s="6">
        <v>42132</v>
      </c>
      <c r="AW6499" t="s">
        <v>54</v>
      </c>
      <c r="AX6499" t="str">
        <f t="shared" si="546"/>
        <v>FOR</v>
      </c>
      <c r="AY6499" t="s">
        <v>55</v>
      </c>
    </row>
    <row r="6500" spans="1:51" hidden="1">
      <c r="A6500">
        <v>104083</v>
      </c>
      <c r="B6500" t="s">
        <v>1207</v>
      </c>
      <c r="C6500" t="str">
        <f t="shared" si="547"/>
        <v>02804530968</v>
      </c>
      <c r="D6500" t="str">
        <f t="shared" si="548"/>
        <v>06324460150</v>
      </c>
      <c r="E6500" t="s">
        <v>52</v>
      </c>
      <c r="F6500">
        <v>2014</v>
      </c>
      <c r="G6500">
        <v>42025539</v>
      </c>
      <c r="H6500" s="1">
        <v>41779</v>
      </c>
      <c r="I6500" s="1">
        <v>41788</v>
      </c>
      <c r="J6500" s="1">
        <v>41788</v>
      </c>
      <c r="K6500" s="1">
        <v>41878</v>
      </c>
      <c r="N6500" s="5"/>
      <c r="O6500">
        <v>285.85000000000002</v>
      </c>
      <c r="P6500">
        <v>254</v>
      </c>
      <c r="Q6500" s="2">
        <v>72605.899999999994</v>
      </c>
      <c r="R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 s="1">
        <v>42382</v>
      </c>
      <c r="AC6500" t="s">
        <v>53</v>
      </c>
      <c r="AD6500" t="s">
        <v>53</v>
      </c>
      <c r="AK6500">
        <v>0</v>
      </c>
      <c r="AU6500" s="6">
        <v>42132</v>
      </c>
      <c r="AV6500" s="6">
        <v>42132</v>
      </c>
      <c r="AW6500" t="s">
        <v>54</v>
      </c>
      <c r="AX6500" t="str">
        <f t="shared" si="546"/>
        <v>FOR</v>
      </c>
      <c r="AY6500" t="s">
        <v>55</v>
      </c>
    </row>
    <row r="6501" spans="1:51" hidden="1">
      <c r="A6501">
        <v>104083</v>
      </c>
      <c r="B6501" t="s">
        <v>1207</v>
      </c>
      <c r="C6501" t="str">
        <f t="shared" si="547"/>
        <v>02804530968</v>
      </c>
      <c r="D6501" t="str">
        <f t="shared" si="548"/>
        <v>06324460150</v>
      </c>
      <c r="E6501" t="s">
        <v>52</v>
      </c>
      <c r="F6501">
        <v>2014</v>
      </c>
      <c r="G6501">
        <v>42026094</v>
      </c>
      <c r="H6501" s="1">
        <v>41781</v>
      </c>
      <c r="I6501" s="1">
        <v>41788</v>
      </c>
      <c r="J6501" s="1">
        <v>41788</v>
      </c>
      <c r="K6501" s="1">
        <v>41878</v>
      </c>
      <c r="N6501" s="5"/>
      <c r="O6501">
        <v>54.9</v>
      </c>
      <c r="P6501">
        <v>254</v>
      </c>
      <c r="Q6501" s="2">
        <v>13944.6</v>
      </c>
      <c r="R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 s="1">
        <v>42382</v>
      </c>
      <c r="AC6501" t="s">
        <v>53</v>
      </c>
      <c r="AD6501" t="s">
        <v>53</v>
      </c>
      <c r="AK6501">
        <v>0</v>
      </c>
      <c r="AU6501" s="6">
        <v>42132</v>
      </c>
      <c r="AV6501" s="6">
        <v>42132</v>
      </c>
      <c r="AW6501" t="s">
        <v>54</v>
      </c>
      <c r="AX6501" t="str">
        <f t="shared" si="546"/>
        <v>FOR</v>
      </c>
      <c r="AY6501" t="s">
        <v>55</v>
      </c>
    </row>
    <row r="6502" spans="1:51" hidden="1">
      <c r="A6502">
        <v>104083</v>
      </c>
      <c r="B6502" t="s">
        <v>1207</v>
      </c>
      <c r="C6502" t="str">
        <f t="shared" si="547"/>
        <v>02804530968</v>
      </c>
      <c r="D6502" t="str">
        <f t="shared" si="548"/>
        <v>06324460150</v>
      </c>
      <c r="E6502" t="s">
        <v>52</v>
      </c>
      <c r="F6502">
        <v>2014</v>
      </c>
      <c r="G6502">
        <v>42026095</v>
      </c>
      <c r="H6502" s="1">
        <v>41781</v>
      </c>
      <c r="I6502" s="1">
        <v>41788</v>
      </c>
      <c r="J6502" s="1">
        <v>41788</v>
      </c>
      <c r="K6502" s="1">
        <v>41878</v>
      </c>
      <c r="N6502" s="5"/>
      <c r="O6502">
        <v>268.39999999999998</v>
      </c>
      <c r="P6502">
        <v>254</v>
      </c>
      <c r="Q6502" s="2">
        <v>68173.600000000006</v>
      </c>
      <c r="R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 s="1">
        <v>42382</v>
      </c>
      <c r="AC6502" t="s">
        <v>53</v>
      </c>
      <c r="AD6502" t="s">
        <v>53</v>
      </c>
      <c r="AK6502">
        <v>0</v>
      </c>
      <c r="AU6502" s="6">
        <v>42132</v>
      </c>
      <c r="AV6502" s="6">
        <v>42132</v>
      </c>
      <c r="AW6502" t="s">
        <v>54</v>
      </c>
      <c r="AX6502" t="str">
        <f t="shared" si="546"/>
        <v>FOR</v>
      </c>
      <c r="AY6502" t="s">
        <v>55</v>
      </c>
    </row>
    <row r="6503" spans="1:51" hidden="1">
      <c r="A6503">
        <v>104083</v>
      </c>
      <c r="B6503" t="s">
        <v>1207</v>
      </c>
      <c r="C6503" t="str">
        <f t="shared" si="547"/>
        <v>02804530968</v>
      </c>
      <c r="D6503" t="str">
        <f t="shared" si="548"/>
        <v>06324460150</v>
      </c>
      <c r="E6503" t="s">
        <v>52</v>
      </c>
      <c r="F6503">
        <v>2014</v>
      </c>
      <c r="G6503">
        <v>42027842</v>
      </c>
      <c r="H6503" s="1">
        <v>41789</v>
      </c>
      <c r="I6503" s="1">
        <v>41800</v>
      </c>
      <c r="J6503" s="1">
        <v>41800</v>
      </c>
      <c r="K6503" s="1">
        <v>41890</v>
      </c>
      <c r="N6503" s="5"/>
      <c r="O6503" s="2">
        <v>3733.2</v>
      </c>
      <c r="P6503">
        <v>242</v>
      </c>
      <c r="Q6503" s="2">
        <v>903434.4</v>
      </c>
      <c r="R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 s="1">
        <v>42382</v>
      </c>
      <c r="AC6503" t="s">
        <v>53</v>
      </c>
      <c r="AD6503" t="s">
        <v>53</v>
      </c>
      <c r="AK6503">
        <v>0</v>
      </c>
      <c r="AU6503" s="6">
        <v>42132</v>
      </c>
      <c r="AV6503" s="6">
        <v>42132</v>
      </c>
      <c r="AW6503" t="s">
        <v>54</v>
      </c>
      <c r="AX6503" t="str">
        <f t="shared" si="546"/>
        <v>FOR</v>
      </c>
      <c r="AY6503" t="s">
        <v>55</v>
      </c>
    </row>
    <row r="6504" spans="1:51" hidden="1">
      <c r="A6504">
        <v>104083</v>
      </c>
      <c r="B6504" t="s">
        <v>1207</v>
      </c>
      <c r="C6504" t="str">
        <f t="shared" si="547"/>
        <v>02804530968</v>
      </c>
      <c r="D6504" t="str">
        <f t="shared" si="548"/>
        <v>06324460150</v>
      </c>
      <c r="E6504" t="s">
        <v>52</v>
      </c>
      <c r="F6504">
        <v>2014</v>
      </c>
      <c r="G6504">
        <v>42029344</v>
      </c>
      <c r="H6504" s="1">
        <v>41800</v>
      </c>
      <c r="I6504" s="1">
        <v>41817</v>
      </c>
      <c r="J6504" s="1">
        <v>41817</v>
      </c>
      <c r="K6504" s="1">
        <v>41907</v>
      </c>
      <c r="N6504" s="5"/>
      <c r="O6504">
        <v>212.28</v>
      </c>
      <c r="P6504">
        <v>252</v>
      </c>
      <c r="Q6504" s="2">
        <v>53494.559999999998</v>
      </c>
      <c r="R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 s="1">
        <v>42382</v>
      </c>
      <c r="AC6504" t="s">
        <v>53</v>
      </c>
      <c r="AD6504" t="s">
        <v>53</v>
      </c>
      <c r="AK6504">
        <v>0</v>
      </c>
      <c r="AU6504" s="6">
        <v>42159</v>
      </c>
      <c r="AV6504" s="6">
        <v>42159</v>
      </c>
      <c r="AW6504" t="s">
        <v>54</v>
      </c>
      <c r="AX6504" t="str">
        <f t="shared" si="546"/>
        <v>FOR</v>
      </c>
      <c r="AY6504" t="s">
        <v>55</v>
      </c>
    </row>
    <row r="6505" spans="1:51" hidden="1">
      <c r="A6505">
        <v>104083</v>
      </c>
      <c r="B6505" t="s">
        <v>1207</v>
      </c>
      <c r="C6505" t="str">
        <f t="shared" si="547"/>
        <v>02804530968</v>
      </c>
      <c r="D6505" t="str">
        <f t="shared" si="548"/>
        <v>06324460150</v>
      </c>
      <c r="E6505" t="s">
        <v>52</v>
      </c>
      <c r="F6505">
        <v>2014</v>
      </c>
      <c r="G6505">
        <v>42029345</v>
      </c>
      <c r="H6505" s="1">
        <v>41800</v>
      </c>
      <c r="I6505" s="1">
        <v>41817</v>
      </c>
      <c r="J6505" s="1">
        <v>41817</v>
      </c>
      <c r="K6505" s="1">
        <v>41907</v>
      </c>
      <c r="N6505" s="5"/>
      <c r="O6505" s="2">
        <v>3431.86</v>
      </c>
      <c r="P6505">
        <v>252</v>
      </c>
      <c r="Q6505" s="2">
        <v>864828.72</v>
      </c>
      <c r="R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 s="1">
        <v>42382</v>
      </c>
      <c r="AC6505" t="s">
        <v>53</v>
      </c>
      <c r="AD6505" t="s">
        <v>53</v>
      </c>
      <c r="AK6505">
        <v>0</v>
      </c>
      <c r="AU6505" s="6">
        <v>42159</v>
      </c>
      <c r="AV6505" s="6">
        <v>42159</v>
      </c>
      <c r="AW6505" t="s">
        <v>54</v>
      </c>
      <c r="AX6505" t="str">
        <f t="shared" si="546"/>
        <v>FOR</v>
      </c>
      <c r="AY6505" t="s">
        <v>55</v>
      </c>
    </row>
    <row r="6506" spans="1:51" hidden="1">
      <c r="A6506">
        <v>104083</v>
      </c>
      <c r="B6506" t="s">
        <v>1207</v>
      </c>
      <c r="C6506" t="str">
        <f t="shared" si="547"/>
        <v>02804530968</v>
      </c>
      <c r="D6506" t="str">
        <f t="shared" si="548"/>
        <v>06324460150</v>
      </c>
      <c r="E6506" t="s">
        <v>52</v>
      </c>
      <c r="F6506">
        <v>2014</v>
      </c>
      <c r="G6506">
        <v>42029346</v>
      </c>
      <c r="H6506" s="1">
        <v>41800</v>
      </c>
      <c r="I6506" s="1">
        <v>41817</v>
      </c>
      <c r="J6506" s="1">
        <v>41817</v>
      </c>
      <c r="K6506" s="1">
        <v>41907</v>
      </c>
      <c r="N6506" s="5"/>
      <c r="O6506" s="2">
        <v>1457.05</v>
      </c>
      <c r="P6506">
        <v>252</v>
      </c>
      <c r="Q6506" s="2">
        <v>367176.6</v>
      </c>
      <c r="R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 s="1">
        <v>42382</v>
      </c>
      <c r="AC6506" t="s">
        <v>53</v>
      </c>
      <c r="AD6506" t="s">
        <v>53</v>
      </c>
      <c r="AK6506">
        <v>0</v>
      </c>
      <c r="AU6506" s="6">
        <v>42159</v>
      </c>
      <c r="AV6506" s="6">
        <v>42159</v>
      </c>
      <c r="AW6506" t="s">
        <v>54</v>
      </c>
      <c r="AX6506" t="str">
        <f t="shared" si="546"/>
        <v>FOR</v>
      </c>
      <c r="AY6506" t="s">
        <v>55</v>
      </c>
    </row>
    <row r="6507" spans="1:51" hidden="1">
      <c r="A6507">
        <v>104083</v>
      </c>
      <c r="B6507" t="s">
        <v>1207</v>
      </c>
      <c r="C6507" t="str">
        <f t="shared" si="547"/>
        <v>02804530968</v>
      </c>
      <c r="D6507" t="str">
        <f t="shared" si="548"/>
        <v>06324460150</v>
      </c>
      <c r="E6507" t="s">
        <v>52</v>
      </c>
      <c r="F6507">
        <v>2014</v>
      </c>
      <c r="G6507">
        <v>42030351</v>
      </c>
      <c r="H6507" s="1">
        <v>41806</v>
      </c>
      <c r="I6507" s="1">
        <v>41827</v>
      </c>
      <c r="J6507" s="1">
        <v>41827</v>
      </c>
      <c r="K6507" s="1">
        <v>41917</v>
      </c>
      <c r="N6507" s="5"/>
      <c r="O6507">
        <v>868.64</v>
      </c>
      <c r="P6507">
        <v>242</v>
      </c>
      <c r="Q6507" s="2">
        <v>210210.88</v>
      </c>
      <c r="R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 s="1">
        <v>42382</v>
      </c>
      <c r="AC6507" t="s">
        <v>53</v>
      </c>
      <c r="AD6507" t="s">
        <v>53</v>
      </c>
      <c r="AK6507">
        <v>0</v>
      </c>
      <c r="AU6507" s="6">
        <v>42159</v>
      </c>
      <c r="AV6507" s="6">
        <v>42159</v>
      </c>
      <c r="AW6507" t="s">
        <v>54</v>
      </c>
      <c r="AX6507" t="str">
        <f t="shared" si="546"/>
        <v>FOR</v>
      </c>
      <c r="AY6507" t="s">
        <v>55</v>
      </c>
    </row>
    <row r="6508" spans="1:51" hidden="1">
      <c r="A6508">
        <v>104083</v>
      </c>
      <c r="B6508" t="s">
        <v>1207</v>
      </c>
      <c r="C6508" t="str">
        <f t="shared" si="547"/>
        <v>02804530968</v>
      </c>
      <c r="D6508" t="str">
        <f t="shared" si="548"/>
        <v>06324460150</v>
      </c>
      <c r="E6508" t="s">
        <v>52</v>
      </c>
      <c r="F6508">
        <v>2014</v>
      </c>
      <c r="G6508">
        <v>42030913</v>
      </c>
      <c r="H6508" s="1">
        <v>41808</v>
      </c>
      <c r="I6508" s="1">
        <v>41827</v>
      </c>
      <c r="J6508" s="1">
        <v>41827</v>
      </c>
      <c r="K6508" s="1">
        <v>41917</v>
      </c>
      <c r="N6508" s="5"/>
      <c r="O6508">
        <v>71.86</v>
      </c>
      <c r="P6508">
        <v>242</v>
      </c>
      <c r="Q6508" s="2">
        <v>17390.12</v>
      </c>
      <c r="R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 s="1">
        <v>42382</v>
      </c>
      <c r="AC6508" t="s">
        <v>53</v>
      </c>
      <c r="AD6508" t="s">
        <v>53</v>
      </c>
      <c r="AK6508">
        <v>0</v>
      </c>
      <c r="AU6508" s="6">
        <v>42159</v>
      </c>
      <c r="AV6508" s="6">
        <v>42159</v>
      </c>
      <c r="AW6508" t="s">
        <v>54</v>
      </c>
      <c r="AX6508" t="str">
        <f t="shared" si="546"/>
        <v>FOR</v>
      </c>
      <c r="AY6508" t="s">
        <v>55</v>
      </c>
    </row>
    <row r="6509" spans="1:51" hidden="1">
      <c r="A6509">
        <v>104083</v>
      </c>
      <c r="B6509" t="s">
        <v>1207</v>
      </c>
      <c r="C6509" t="str">
        <f t="shared" si="547"/>
        <v>02804530968</v>
      </c>
      <c r="D6509" t="str">
        <f t="shared" si="548"/>
        <v>06324460150</v>
      </c>
      <c r="E6509" t="s">
        <v>52</v>
      </c>
      <c r="F6509">
        <v>2014</v>
      </c>
      <c r="G6509">
        <v>42032170</v>
      </c>
      <c r="H6509" s="1">
        <v>41814</v>
      </c>
      <c r="I6509" s="1">
        <v>41827</v>
      </c>
      <c r="J6509" s="1">
        <v>41827</v>
      </c>
      <c r="K6509" s="1">
        <v>41917</v>
      </c>
      <c r="N6509" s="5"/>
      <c r="O6509">
        <v>973.56</v>
      </c>
      <c r="P6509">
        <v>242</v>
      </c>
      <c r="Q6509" s="2">
        <v>235601.52</v>
      </c>
      <c r="R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 s="1">
        <v>42382</v>
      </c>
      <c r="AC6509" t="s">
        <v>53</v>
      </c>
      <c r="AD6509" t="s">
        <v>53</v>
      </c>
      <c r="AK6509">
        <v>0</v>
      </c>
      <c r="AU6509" s="6">
        <v>42159</v>
      </c>
      <c r="AV6509" s="6">
        <v>42159</v>
      </c>
      <c r="AW6509" t="s">
        <v>54</v>
      </c>
      <c r="AX6509" t="str">
        <f t="shared" si="546"/>
        <v>FOR</v>
      </c>
      <c r="AY6509" t="s">
        <v>55</v>
      </c>
    </row>
    <row r="6510" spans="1:51" hidden="1">
      <c r="A6510">
        <v>104083</v>
      </c>
      <c r="B6510" t="s">
        <v>1207</v>
      </c>
      <c r="C6510" t="str">
        <f t="shared" si="547"/>
        <v>02804530968</v>
      </c>
      <c r="D6510" t="str">
        <f t="shared" si="548"/>
        <v>06324460150</v>
      </c>
      <c r="E6510" t="s">
        <v>52</v>
      </c>
      <c r="F6510">
        <v>2014</v>
      </c>
      <c r="G6510">
        <v>42032595</v>
      </c>
      <c r="H6510" s="1">
        <v>41815</v>
      </c>
      <c r="I6510" s="1">
        <v>41827</v>
      </c>
      <c r="J6510" s="1">
        <v>41827</v>
      </c>
      <c r="K6510" s="1">
        <v>41917</v>
      </c>
      <c r="N6510" s="5"/>
      <c r="O6510">
        <v>143.72</v>
      </c>
      <c r="P6510">
        <v>242</v>
      </c>
      <c r="Q6510" s="2">
        <v>34780.239999999998</v>
      </c>
      <c r="R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 s="1">
        <v>42382</v>
      </c>
      <c r="AC6510" t="s">
        <v>53</v>
      </c>
      <c r="AD6510" t="s">
        <v>53</v>
      </c>
      <c r="AK6510">
        <v>0</v>
      </c>
      <c r="AU6510" s="6">
        <v>42159</v>
      </c>
      <c r="AV6510" s="6">
        <v>42159</v>
      </c>
      <c r="AW6510" t="s">
        <v>54</v>
      </c>
      <c r="AX6510" t="str">
        <f t="shared" si="546"/>
        <v>FOR</v>
      </c>
      <c r="AY6510" t="s">
        <v>55</v>
      </c>
    </row>
    <row r="6511" spans="1:51" hidden="1">
      <c r="A6511">
        <v>104083</v>
      </c>
      <c r="B6511" t="s">
        <v>1207</v>
      </c>
      <c r="C6511" t="str">
        <f t="shared" si="547"/>
        <v>02804530968</v>
      </c>
      <c r="D6511" t="str">
        <f t="shared" si="548"/>
        <v>06324460150</v>
      </c>
      <c r="E6511" t="s">
        <v>52</v>
      </c>
      <c r="F6511">
        <v>2014</v>
      </c>
      <c r="G6511">
        <v>42033686</v>
      </c>
      <c r="H6511" s="1">
        <v>41822</v>
      </c>
      <c r="I6511" s="1">
        <v>41841</v>
      </c>
      <c r="J6511" s="1">
        <v>41841</v>
      </c>
      <c r="K6511" s="1">
        <v>41931</v>
      </c>
      <c r="N6511" s="5"/>
      <c r="O6511" s="2">
        <v>1859.22</v>
      </c>
      <c r="P6511">
        <v>253</v>
      </c>
      <c r="Q6511" s="2">
        <v>470382.66</v>
      </c>
      <c r="R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 s="1">
        <v>42382</v>
      </c>
      <c r="AC6511" t="s">
        <v>53</v>
      </c>
      <c r="AD6511" t="s">
        <v>53</v>
      </c>
      <c r="AK6511">
        <v>0</v>
      </c>
      <c r="AU6511" s="6">
        <v>42184</v>
      </c>
      <c r="AV6511" s="6">
        <v>42184</v>
      </c>
      <c r="AW6511" t="s">
        <v>54</v>
      </c>
      <c r="AX6511" t="str">
        <f t="shared" si="546"/>
        <v>FOR</v>
      </c>
      <c r="AY6511" t="s">
        <v>55</v>
      </c>
    </row>
    <row r="6512" spans="1:51" hidden="1">
      <c r="A6512">
        <v>104083</v>
      </c>
      <c r="B6512" t="s">
        <v>1207</v>
      </c>
      <c r="C6512" t="str">
        <f t="shared" si="547"/>
        <v>02804530968</v>
      </c>
      <c r="D6512" t="str">
        <f t="shared" si="548"/>
        <v>06324460150</v>
      </c>
      <c r="E6512" t="s">
        <v>52</v>
      </c>
      <c r="F6512">
        <v>2014</v>
      </c>
      <c r="G6512">
        <v>42035069</v>
      </c>
      <c r="H6512" s="1">
        <v>41828</v>
      </c>
      <c r="I6512" s="1">
        <v>41845</v>
      </c>
      <c r="J6512" s="1">
        <v>41845</v>
      </c>
      <c r="K6512" s="1">
        <v>41935</v>
      </c>
      <c r="N6512" s="5"/>
      <c r="O6512">
        <v>402.6</v>
      </c>
      <c r="P6512">
        <v>249</v>
      </c>
      <c r="Q6512" s="2">
        <v>100247.4</v>
      </c>
      <c r="R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 s="1">
        <v>42382</v>
      </c>
      <c r="AC6512" t="s">
        <v>53</v>
      </c>
      <c r="AD6512" t="s">
        <v>53</v>
      </c>
      <c r="AK6512">
        <v>0</v>
      </c>
      <c r="AU6512" s="6">
        <v>42184</v>
      </c>
      <c r="AV6512" s="6">
        <v>42184</v>
      </c>
      <c r="AW6512" t="s">
        <v>54</v>
      </c>
      <c r="AX6512" t="str">
        <f t="shared" si="546"/>
        <v>FOR</v>
      </c>
      <c r="AY6512" t="s">
        <v>55</v>
      </c>
    </row>
    <row r="6513" spans="1:51" hidden="1">
      <c r="A6513">
        <v>104083</v>
      </c>
      <c r="B6513" t="s">
        <v>1207</v>
      </c>
      <c r="C6513" t="str">
        <f t="shared" si="547"/>
        <v>02804530968</v>
      </c>
      <c r="D6513" t="str">
        <f t="shared" si="548"/>
        <v>06324460150</v>
      </c>
      <c r="E6513" t="s">
        <v>52</v>
      </c>
      <c r="F6513">
        <v>2014</v>
      </c>
      <c r="G6513">
        <v>42035313</v>
      </c>
      <c r="H6513" s="1">
        <v>41829</v>
      </c>
      <c r="I6513" s="1">
        <v>41845</v>
      </c>
      <c r="J6513" s="1">
        <v>41845</v>
      </c>
      <c r="K6513" s="1">
        <v>41935</v>
      </c>
      <c r="N6513" s="5"/>
      <c r="O6513">
        <v>71.86</v>
      </c>
      <c r="P6513">
        <v>249</v>
      </c>
      <c r="Q6513" s="2">
        <v>17893.14</v>
      </c>
      <c r="R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 s="1">
        <v>42382</v>
      </c>
      <c r="AC6513" t="s">
        <v>53</v>
      </c>
      <c r="AD6513" t="s">
        <v>53</v>
      </c>
      <c r="AK6513">
        <v>0</v>
      </c>
      <c r="AU6513" s="6">
        <v>42184</v>
      </c>
      <c r="AV6513" s="6">
        <v>42184</v>
      </c>
      <c r="AW6513" t="s">
        <v>54</v>
      </c>
      <c r="AX6513" t="str">
        <f t="shared" si="546"/>
        <v>FOR</v>
      </c>
      <c r="AY6513" t="s">
        <v>55</v>
      </c>
    </row>
    <row r="6514" spans="1:51" hidden="1">
      <c r="A6514">
        <v>104083</v>
      </c>
      <c r="B6514" t="s">
        <v>1207</v>
      </c>
      <c r="C6514" t="str">
        <f t="shared" si="547"/>
        <v>02804530968</v>
      </c>
      <c r="D6514" t="str">
        <f t="shared" si="548"/>
        <v>06324460150</v>
      </c>
      <c r="E6514" t="s">
        <v>52</v>
      </c>
      <c r="F6514">
        <v>2014</v>
      </c>
      <c r="G6514">
        <v>42035562</v>
      </c>
      <c r="H6514" s="1">
        <v>41830</v>
      </c>
      <c r="I6514" s="1">
        <v>41845</v>
      </c>
      <c r="J6514" s="1">
        <v>41845</v>
      </c>
      <c r="K6514" s="1">
        <v>41935</v>
      </c>
      <c r="N6514" s="5"/>
      <c r="O6514">
        <v>649.65</v>
      </c>
      <c r="P6514">
        <v>249</v>
      </c>
      <c r="Q6514" s="2">
        <v>161762.85</v>
      </c>
      <c r="R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 s="1">
        <v>42382</v>
      </c>
      <c r="AC6514" t="s">
        <v>53</v>
      </c>
      <c r="AD6514" t="s">
        <v>53</v>
      </c>
      <c r="AK6514">
        <v>0</v>
      </c>
      <c r="AU6514" s="6">
        <v>42184</v>
      </c>
      <c r="AV6514" s="6">
        <v>42184</v>
      </c>
      <c r="AW6514" t="s">
        <v>54</v>
      </c>
      <c r="AX6514" t="str">
        <f t="shared" si="546"/>
        <v>FOR</v>
      </c>
      <c r="AY6514" t="s">
        <v>55</v>
      </c>
    </row>
    <row r="6515" spans="1:51" hidden="1">
      <c r="A6515">
        <v>104083</v>
      </c>
      <c r="B6515" t="s">
        <v>1207</v>
      </c>
      <c r="C6515" t="str">
        <f t="shared" si="547"/>
        <v>02804530968</v>
      </c>
      <c r="D6515" t="str">
        <f t="shared" si="548"/>
        <v>06324460150</v>
      </c>
      <c r="E6515" t="s">
        <v>52</v>
      </c>
      <c r="F6515">
        <v>2014</v>
      </c>
      <c r="G6515">
        <v>42035563</v>
      </c>
      <c r="H6515" s="1">
        <v>41830</v>
      </c>
      <c r="I6515" s="1">
        <v>41845</v>
      </c>
      <c r="J6515" s="1">
        <v>41845</v>
      </c>
      <c r="K6515" s="1">
        <v>41935</v>
      </c>
      <c r="N6515" s="5"/>
      <c r="O6515" s="2">
        <v>2086.1999999999998</v>
      </c>
      <c r="P6515">
        <v>249</v>
      </c>
      <c r="Q6515" s="2">
        <v>519463.8</v>
      </c>
      <c r="R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 s="1">
        <v>42382</v>
      </c>
      <c r="AC6515" t="s">
        <v>53</v>
      </c>
      <c r="AD6515" t="s">
        <v>53</v>
      </c>
      <c r="AK6515">
        <v>0</v>
      </c>
      <c r="AU6515" s="6">
        <v>42184</v>
      </c>
      <c r="AV6515" s="6">
        <v>42184</v>
      </c>
      <c r="AW6515" t="s">
        <v>54</v>
      </c>
      <c r="AX6515" t="str">
        <f t="shared" si="546"/>
        <v>FOR</v>
      </c>
      <c r="AY6515" t="s">
        <v>55</v>
      </c>
    </row>
    <row r="6516" spans="1:51" hidden="1">
      <c r="A6516">
        <v>104083</v>
      </c>
      <c r="B6516" t="s">
        <v>1207</v>
      </c>
      <c r="C6516" t="str">
        <f t="shared" ref="C6516:C6547" si="549">"02804530968"</f>
        <v>02804530968</v>
      </c>
      <c r="D6516" t="str">
        <f t="shared" ref="D6516:D6547" si="550">"06324460150"</f>
        <v>06324460150</v>
      </c>
      <c r="E6516" t="s">
        <v>52</v>
      </c>
      <c r="F6516">
        <v>2014</v>
      </c>
      <c r="G6516">
        <v>42035929</v>
      </c>
      <c r="H6516" s="1">
        <v>41834</v>
      </c>
      <c r="I6516" s="1">
        <v>41851</v>
      </c>
      <c r="J6516" s="1">
        <v>41851</v>
      </c>
      <c r="K6516" s="1">
        <v>41941</v>
      </c>
      <c r="N6516" s="5"/>
      <c r="O6516">
        <v>666.12</v>
      </c>
      <c r="P6516">
        <v>243</v>
      </c>
      <c r="Q6516" s="2">
        <v>161867.16</v>
      </c>
      <c r="R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 s="1">
        <v>42382</v>
      </c>
      <c r="AC6516" t="s">
        <v>53</v>
      </c>
      <c r="AD6516" t="s">
        <v>53</v>
      </c>
      <c r="AK6516">
        <v>0</v>
      </c>
      <c r="AU6516" s="6">
        <v>42184</v>
      </c>
      <c r="AV6516" s="6">
        <v>42184</v>
      </c>
      <c r="AW6516" t="s">
        <v>54</v>
      </c>
      <c r="AX6516" t="str">
        <f t="shared" si="546"/>
        <v>FOR</v>
      </c>
      <c r="AY6516" t="s">
        <v>55</v>
      </c>
    </row>
    <row r="6517" spans="1:51" hidden="1">
      <c r="A6517">
        <v>104083</v>
      </c>
      <c r="B6517" t="s">
        <v>1207</v>
      </c>
      <c r="C6517" t="str">
        <f t="shared" si="549"/>
        <v>02804530968</v>
      </c>
      <c r="D6517" t="str">
        <f t="shared" si="550"/>
        <v>06324460150</v>
      </c>
      <c r="E6517" t="s">
        <v>52</v>
      </c>
      <c r="F6517">
        <v>2014</v>
      </c>
      <c r="G6517">
        <v>42035930</v>
      </c>
      <c r="H6517" s="1">
        <v>41834</v>
      </c>
      <c r="I6517" s="1">
        <v>41851</v>
      </c>
      <c r="J6517" s="1">
        <v>41851</v>
      </c>
      <c r="K6517" s="1">
        <v>41941</v>
      </c>
      <c r="N6517" s="5"/>
      <c r="O6517" s="2">
        <v>3493.84</v>
      </c>
      <c r="P6517">
        <v>243</v>
      </c>
      <c r="Q6517" s="2">
        <v>849003.12</v>
      </c>
      <c r="R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 s="1">
        <v>42382</v>
      </c>
      <c r="AC6517" t="s">
        <v>53</v>
      </c>
      <c r="AD6517" t="s">
        <v>53</v>
      </c>
      <c r="AK6517">
        <v>0</v>
      </c>
      <c r="AU6517" s="6">
        <v>42184</v>
      </c>
      <c r="AV6517" s="6">
        <v>42184</v>
      </c>
      <c r="AW6517" t="s">
        <v>54</v>
      </c>
      <c r="AX6517" t="str">
        <f t="shared" si="546"/>
        <v>FOR</v>
      </c>
      <c r="AY6517" t="s">
        <v>55</v>
      </c>
    </row>
    <row r="6518" spans="1:51" hidden="1">
      <c r="A6518">
        <v>104083</v>
      </c>
      <c r="B6518" t="s">
        <v>1207</v>
      </c>
      <c r="C6518" t="str">
        <f t="shared" si="549"/>
        <v>02804530968</v>
      </c>
      <c r="D6518" t="str">
        <f t="shared" si="550"/>
        <v>06324460150</v>
      </c>
      <c r="E6518" t="s">
        <v>52</v>
      </c>
      <c r="F6518">
        <v>2014</v>
      </c>
      <c r="G6518">
        <v>42035931</v>
      </c>
      <c r="H6518" s="1">
        <v>41834</v>
      </c>
      <c r="I6518" s="1">
        <v>41851</v>
      </c>
      <c r="J6518" s="1">
        <v>41851</v>
      </c>
      <c r="K6518" s="1">
        <v>41941</v>
      </c>
      <c r="N6518" s="5"/>
      <c r="O6518">
        <v>536.79999999999995</v>
      </c>
      <c r="P6518">
        <v>243</v>
      </c>
      <c r="Q6518" s="2">
        <v>130442.4</v>
      </c>
      <c r="R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 s="1">
        <v>42382</v>
      </c>
      <c r="AC6518" t="s">
        <v>53</v>
      </c>
      <c r="AD6518" t="s">
        <v>53</v>
      </c>
      <c r="AK6518">
        <v>0</v>
      </c>
      <c r="AU6518" s="6">
        <v>42184</v>
      </c>
      <c r="AV6518" s="6">
        <v>42184</v>
      </c>
      <c r="AW6518" t="s">
        <v>54</v>
      </c>
      <c r="AX6518" t="str">
        <f t="shared" si="546"/>
        <v>FOR</v>
      </c>
      <c r="AY6518" t="s">
        <v>55</v>
      </c>
    </row>
    <row r="6519" spans="1:51" hidden="1">
      <c r="A6519">
        <v>104083</v>
      </c>
      <c r="B6519" t="s">
        <v>1207</v>
      </c>
      <c r="C6519" t="str">
        <f t="shared" si="549"/>
        <v>02804530968</v>
      </c>
      <c r="D6519" t="str">
        <f t="shared" si="550"/>
        <v>06324460150</v>
      </c>
      <c r="E6519" t="s">
        <v>52</v>
      </c>
      <c r="F6519">
        <v>2014</v>
      </c>
      <c r="G6519">
        <v>42035932</v>
      </c>
      <c r="H6519" s="1">
        <v>41834</v>
      </c>
      <c r="I6519" s="1">
        <v>41851</v>
      </c>
      <c r="J6519" s="1">
        <v>41851</v>
      </c>
      <c r="K6519" s="1">
        <v>41941</v>
      </c>
      <c r="N6519" s="5"/>
      <c r="O6519" s="2">
        <v>1173.6400000000001</v>
      </c>
      <c r="P6519">
        <v>243</v>
      </c>
      <c r="Q6519" s="2">
        <v>285194.52</v>
      </c>
      <c r="R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 s="1">
        <v>42382</v>
      </c>
      <c r="AC6519" t="s">
        <v>53</v>
      </c>
      <c r="AD6519" t="s">
        <v>53</v>
      </c>
      <c r="AK6519">
        <v>0</v>
      </c>
      <c r="AU6519" s="6">
        <v>42184</v>
      </c>
      <c r="AV6519" s="6">
        <v>42184</v>
      </c>
      <c r="AW6519" t="s">
        <v>54</v>
      </c>
      <c r="AX6519" t="str">
        <f t="shared" si="546"/>
        <v>FOR</v>
      </c>
      <c r="AY6519" t="s">
        <v>55</v>
      </c>
    </row>
    <row r="6520" spans="1:51" hidden="1">
      <c r="A6520">
        <v>104083</v>
      </c>
      <c r="B6520" t="s">
        <v>1207</v>
      </c>
      <c r="C6520" t="str">
        <f t="shared" si="549"/>
        <v>02804530968</v>
      </c>
      <c r="D6520" t="str">
        <f t="shared" si="550"/>
        <v>06324460150</v>
      </c>
      <c r="E6520" t="s">
        <v>52</v>
      </c>
      <c r="F6520">
        <v>2014</v>
      </c>
      <c r="G6520">
        <v>42035933</v>
      </c>
      <c r="H6520" s="1">
        <v>41834</v>
      </c>
      <c r="I6520" s="1">
        <v>41851</v>
      </c>
      <c r="J6520" s="1">
        <v>41851</v>
      </c>
      <c r="K6520" s="1">
        <v>41941</v>
      </c>
      <c r="N6520" s="5"/>
      <c r="O6520" s="2">
        <v>1030.9000000000001</v>
      </c>
      <c r="P6520">
        <v>243</v>
      </c>
      <c r="Q6520" s="2">
        <v>250508.7</v>
      </c>
      <c r="R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 s="1">
        <v>42382</v>
      </c>
      <c r="AC6520" t="s">
        <v>53</v>
      </c>
      <c r="AD6520" t="s">
        <v>53</v>
      </c>
      <c r="AK6520">
        <v>0</v>
      </c>
      <c r="AU6520" s="6">
        <v>42184</v>
      </c>
      <c r="AV6520" s="6">
        <v>42184</v>
      </c>
      <c r="AW6520" t="s">
        <v>54</v>
      </c>
      <c r="AX6520" t="str">
        <f t="shared" si="546"/>
        <v>FOR</v>
      </c>
      <c r="AY6520" t="s">
        <v>55</v>
      </c>
    </row>
    <row r="6521" spans="1:51" hidden="1">
      <c r="A6521">
        <v>104083</v>
      </c>
      <c r="B6521" t="s">
        <v>1207</v>
      </c>
      <c r="C6521" t="str">
        <f t="shared" si="549"/>
        <v>02804530968</v>
      </c>
      <c r="D6521" t="str">
        <f t="shared" si="550"/>
        <v>06324460150</v>
      </c>
      <c r="E6521" t="s">
        <v>52</v>
      </c>
      <c r="F6521">
        <v>2014</v>
      </c>
      <c r="G6521">
        <v>42036467</v>
      </c>
      <c r="H6521" s="1">
        <v>41835</v>
      </c>
      <c r="I6521" s="1">
        <v>41851</v>
      </c>
      <c r="J6521" s="1">
        <v>41851</v>
      </c>
      <c r="K6521" s="1">
        <v>41941</v>
      </c>
      <c r="N6521" s="5"/>
      <c r="O6521" s="2">
        <v>8670.5400000000009</v>
      </c>
      <c r="P6521">
        <v>243</v>
      </c>
      <c r="Q6521" s="2">
        <v>2106941.2200000002</v>
      </c>
      <c r="R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 s="1">
        <v>42382</v>
      </c>
      <c r="AC6521" t="s">
        <v>53</v>
      </c>
      <c r="AD6521" t="s">
        <v>53</v>
      </c>
      <c r="AK6521">
        <v>0</v>
      </c>
      <c r="AU6521" s="6">
        <v>42184</v>
      </c>
      <c r="AV6521" s="6">
        <v>42184</v>
      </c>
      <c r="AW6521" t="s">
        <v>54</v>
      </c>
      <c r="AX6521" t="str">
        <f t="shared" si="546"/>
        <v>FOR</v>
      </c>
      <c r="AY6521" t="s">
        <v>55</v>
      </c>
    </row>
    <row r="6522" spans="1:51" hidden="1">
      <c r="A6522">
        <v>104083</v>
      </c>
      <c r="B6522" t="s">
        <v>1207</v>
      </c>
      <c r="C6522" t="str">
        <f t="shared" si="549"/>
        <v>02804530968</v>
      </c>
      <c r="D6522" t="str">
        <f t="shared" si="550"/>
        <v>06324460150</v>
      </c>
      <c r="E6522" t="s">
        <v>52</v>
      </c>
      <c r="F6522">
        <v>2014</v>
      </c>
      <c r="G6522">
        <v>42037361</v>
      </c>
      <c r="H6522" s="1">
        <v>41838</v>
      </c>
      <c r="I6522" s="1">
        <v>41872</v>
      </c>
      <c r="J6522" s="1">
        <v>41872</v>
      </c>
      <c r="K6522" s="1">
        <v>41962</v>
      </c>
      <c r="N6522" s="5"/>
      <c r="O6522">
        <v>17.32</v>
      </c>
      <c r="P6522">
        <v>222</v>
      </c>
      <c r="Q6522" s="2">
        <v>3845.04</v>
      </c>
      <c r="R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 s="1">
        <v>42382</v>
      </c>
      <c r="AC6522" t="s">
        <v>53</v>
      </c>
      <c r="AD6522" t="s">
        <v>53</v>
      </c>
      <c r="AK6522">
        <v>0</v>
      </c>
      <c r="AU6522" s="6">
        <v>42184</v>
      </c>
      <c r="AV6522" s="6">
        <v>42184</v>
      </c>
      <c r="AW6522" t="s">
        <v>54</v>
      </c>
      <c r="AX6522" t="str">
        <f t="shared" si="546"/>
        <v>FOR</v>
      </c>
      <c r="AY6522" t="s">
        <v>55</v>
      </c>
    </row>
    <row r="6523" spans="1:51" hidden="1">
      <c r="A6523">
        <v>104083</v>
      </c>
      <c r="B6523" t="s">
        <v>1207</v>
      </c>
      <c r="C6523" t="str">
        <f t="shared" si="549"/>
        <v>02804530968</v>
      </c>
      <c r="D6523" t="str">
        <f t="shared" si="550"/>
        <v>06324460150</v>
      </c>
      <c r="E6523" t="s">
        <v>52</v>
      </c>
      <c r="F6523">
        <v>2014</v>
      </c>
      <c r="G6523">
        <v>42038374</v>
      </c>
      <c r="H6523" s="1">
        <v>41845</v>
      </c>
      <c r="I6523" s="1">
        <v>41872</v>
      </c>
      <c r="J6523" s="1">
        <v>41872</v>
      </c>
      <c r="K6523" s="1">
        <v>41962</v>
      </c>
      <c r="N6523" s="5"/>
      <c r="O6523">
        <v>281.82</v>
      </c>
      <c r="P6523">
        <v>222</v>
      </c>
      <c r="Q6523" s="2">
        <v>62564.04</v>
      </c>
      <c r="R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 s="1">
        <v>42382</v>
      </c>
      <c r="AC6523" t="s">
        <v>53</v>
      </c>
      <c r="AD6523" t="s">
        <v>53</v>
      </c>
      <c r="AK6523">
        <v>0</v>
      </c>
      <c r="AU6523" s="6">
        <v>42184</v>
      </c>
      <c r="AV6523" s="6">
        <v>42184</v>
      </c>
      <c r="AW6523" t="s">
        <v>54</v>
      </c>
      <c r="AX6523" t="str">
        <f t="shared" si="546"/>
        <v>FOR</v>
      </c>
      <c r="AY6523" t="s">
        <v>55</v>
      </c>
    </row>
    <row r="6524" spans="1:51" hidden="1">
      <c r="A6524">
        <v>104083</v>
      </c>
      <c r="B6524" t="s">
        <v>1207</v>
      </c>
      <c r="C6524" t="str">
        <f t="shared" si="549"/>
        <v>02804530968</v>
      </c>
      <c r="D6524" t="str">
        <f t="shared" si="550"/>
        <v>06324460150</v>
      </c>
      <c r="E6524" t="s">
        <v>52</v>
      </c>
      <c r="F6524">
        <v>2014</v>
      </c>
      <c r="G6524">
        <v>42038721</v>
      </c>
      <c r="H6524" s="1">
        <v>41848</v>
      </c>
      <c r="I6524" s="1">
        <v>41873</v>
      </c>
      <c r="J6524" s="1">
        <v>41873</v>
      </c>
      <c r="K6524" s="1">
        <v>41963</v>
      </c>
      <c r="N6524" s="5"/>
      <c r="O6524">
        <v>424.56</v>
      </c>
      <c r="P6524">
        <v>221</v>
      </c>
      <c r="Q6524" s="2">
        <v>93827.76</v>
      </c>
      <c r="R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 s="1">
        <v>42382</v>
      </c>
      <c r="AC6524" t="s">
        <v>53</v>
      </c>
      <c r="AD6524" t="s">
        <v>53</v>
      </c>
      <c r="AK6524">
        <v>0</v>
      </c>
      <c r="AU6524" s="6">
        <v>42184</v>
      </c>
      <c r="AV6524" s="6">
        <v>42184</v>
      </c>
      <c r="AW6524" t="s">
        <v>54</v>
      </c>
      <c r="AX6524" t="str">
        <f t="shared" si="546"/>
        <v>FOR</v>
      </c>
      <c r="AY6524" t="s">
        <v>55</v>
      </c>
    </row>
    <row r="6525" spans="1:51" hidden="1">
      <c r="A6525">
        <v>104083</v>
      </c>
      <c r="B6525" t="s">
        <v>1207</v>
      </c>
      <c r="C6525" t="str">
        <f t="shared" si="549"/>
        <v>02804530968</v>
      </c>
      <c r="D6525" t="str">
        <f t="shared" si="550"/>
        <v>06324460150</v>
      </c>
      <c r="E6525" t="s">
        <v>52</v>
      </c>
      <c r="F6525">
        <v>2014</v>
      </c>
      <c r="G6525">
        <v>42038722</v>
      </c>
      <c r="H6525" s="1">
        <v>41848</v>
      </c>
      <c r="I6525" s="1">
        <v>41873</v>
      </c>
      <c r="J6525" s="1">
        <v>41873</v>
      </c>
      <c r="K6525" s="1">
        <v>41963</v>
      </c>
      <c r="N6525" s="5"/>
      <c r="O6525">
        <v>683.2</v>
      </c>
      <c r="P6525">
        <v>221</v>
      </c>
      <c r="Q6525" s="2">
        <v>150987.20000000001</v>
      </c>
      <c r="R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 s="1">
        <v>42382</v>
      </c>
      <c r="AC6525" t="s">
        <v>53</v>
      </c>
      <c r="AD6525" t="s">
        <v>53</v>
      </c>
      <c r="AK6525">
        <v>0</v>
      </c>
      <c r="AU6525" s="6">
        <v>42184</v>
      </c>
      <c r="AV6525" s="6">
        <v>42184</v>
      </c>
      <c r="AW6525" t="s">
        <v>54</v>
      </c>
      <c r="AX6525" t="str">
        <f t="shared" si="546"/>
        <v>FOR</v>
      </c>
      <c r="AY6525" t="s">
        <v>55</v>
      </c>
    </row>
    <row r="6526" spans="1:51" hidden="1">
      <c r="A6526">
        <v>104083</v>
      </c>
      <c r="B6526" t="s">
        <v>1207</v>
      </c>
      <c r="C6526" t="str">
        <f t="shared" si="549"/>
        <v>02804530968</v>
      </c>
      <c r="D6526" t="str">
        <f t="shared" si="550"/>
        <v>06324460150</v>
      </c>
      <c r="E6526" t="s">
        <v>52</v>
      </c>
      <c r="F6526">
        <v>2014</v>
      </c>
      <c r="G6526">
        <v>42038723</v>
      </c>
      <c r="H6526" s="1">
        <v>41848</v>
      </c>
      <c r="I6526" s="1">
        <v>41873</v>
      </c>
      <c r="J6526" s="1">
        <v>41873</v>
      </c>
      <c r="K6526" s="1">
        <v>41963</v>
      </c>
      <c r="N6526" s="5"/>
      <c r="O6526">
        <v>51.24</v>
      </c>
      <c r="P6526">
        <v>221</v>
      </c>
      <c r="Q6526" s="2">
        <v>11324.04</v>
      </c>
      <c r="R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 s="1">
        <v>42382</v>
      </c>
      <c r="AC6526" t="s">
        <v>53</v>
      </c>
      <c r="AD6526" t="s">
        <v>53</v>
      </c>
      <c r="AK6526">
        <v>0</v>
      </c>
      <c r="AU6526" s="6">
        <v>42184</v>
      </c>
      <c r="AV6526" s="6">
        <v>42184</v>
      </c>
      <c r="AW6526" t="s">
        <v>54</v>
      </c>
      <c r="AX6526" t="str">
        <f t="shared" si="546"/>
        <v>FOR</v>
      </c>
      <c r="AY6526" t="s">
        <v>55</v>
      </c>
    </row>
    <row r="6527" spans="1:51" hidden="1">
      <c r="A6527">
        <v>104083</v>
      </c>
      <c r="B6527" t="s">
        <v>1207</v>
      </c>
      <c r="C6527" t="str">
        <f t="shared" si="549"/>
        <v>02804530968</v>
      </c>
      <c r="D6527" t="str">
        <f t="shared" si="550"/>
        <v>06324460150</v>
      </c>
      <c r="E6527" t="s">
        <v>52</v>
      </c>
      <c r="F6527">
        <v>2014</v>
      </c>
      <c r="G6527">
        <v>42038724</v>
      </c>
      <c r="H6527" s="1">
        <v>41848</v>
      </c>
      <c r="I6527" s="1">
        <v>41873</v>
      </c>
      <c r="J6527" s="1">
        <v>41873</v>
      </c>
      <c r="K6527" s="1">
        <v>41963</v>
      </c>
      <c r="N6527" s="5"/>
      <c r="O6527" s="2">
        <v>4831.2</v>
      </c>
      <c r="P6527">
        <v>221</v>
      </c>
      <c r="Q6527" s="2">
        <v>1067695.2</v>
      </c>
      <c r="R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 s="1">
        <v>42382</v>
      </c>
      <c r="AC6527" t="s">
        <v>53</v>
      </c>
      <c r="AD6527" t="s">
        <v>53</v>
      </c>
      <c r="AK6527">
        <v>0</v>
      </c>
      <c r="AU6527" s="6">
        <v>42184</v>
      </c>
      <c r="AV6527" s="6">
        <v>42184</v>
      </c>
      <c r="AW6527" t="s">
        <v>54</v>
      </c>
      <c r="AX6527" t="str">
        <f t="shared" si="546"/>
        <v>FOR</v>
      </c>
      <c r="AY6527" t="s">
        <v>55</v>
      </c>
    </row>
    <row r="6528" spans="1:51" hidden="1">
      <c r="A6528">
        <v>104083</v>
      </c>
      <c r="B6528" t="s">
        <v>1207</v>
      </c>
      <c r="C6528" t="str">
        <f t="shared" si="549"/>
        <v>02804530968</v>
      </c>
      <c r="D6528" t="str">
        <f t="shared" si="550"/>
        <v>06324460150</v>
      </c>
      <c r="E6528" t="s">
        <v>52</v>
      </c>
      <c r="F6528">
        <v>2014</v>
      </c>
      <c r="G6528">
        <v>42038725</v>
      </c>
      <c r="H6528" s="1">
        <v>41848</v>
      </c>
      <c r="I6528" s="1">
        <v>41873</v>
      </c>
      <c r="J6528" s="1">
        <v>41873</v>
      </c>
      <c r="K6528" s="1">
        <v>41963</v>
      </c>
      <c r="N6528" s="5"/>
      <c r="O6528">
        <v>347.7</v>
      </c>
      <c r="P6528">
        <v>221</v>
      </c>
      <c r="Q6528" s="2">
        <v>76841.7</v>
      </c>
      <c r="R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 s="1">
        <v>42382</v>
      </c>
      <c r="AC6528" t="s">
        <v>53</v>
      </c>
      <c r="AD6528" t="s">
        <v>53</v>
      </c>
      <c r="AK6528">
        <v>0</v>
      </c>
      <c r="AU6528" s="6">
        <v>42184</v>
      </c>
      <c r="AV6528" s="6">
        <v>42184</v>
      </c>
      <c r="AW6528" t="s">
        <v>54</v>
      </c>
      <c r="AX6528" t="str">
        <f t="shared" si="546"/>
        <v>FOR</v>
      </c>
      <c r="AY6528" t="s">
        <v>55</v>
      </c>
    </row>
    <row r="6529" spans="1:51" hidden="1">
      <c r="A6529">
        <v>104083</v>
      </c>
      <c r="B6529" t="s">
        <v>1207</v>
      </c>
      <c r="C6529" t="str">
        <f t="shared" si="549"/>
        <v>02804530968</v>
      </c>
      <c r="D6529" t="str">
        <f t="shared" si="550"/>
        <v>06324460150</v>
      </c>
      <c r="E6529" t="s">
        <v>52</v>
      </c>
      <c r="F6529">
        <v>2014</v>
      </c>
      <c r="G6529">
        <v>42039233</v>
      </c>
      <c r="H6529" s="1">
        <v>41849</v>
      </c>
      <c r="I6529" s="1">
        <v>41873</v>
      </c>
      <c r="J6529" s="1">
        <v>41873</v>
      </c>
      <c r="K6529" s="1">
        <v>41963</v>
      </c>
      <c r="N6529" s="5"/>
      <c r="O6529">
        <v>658.8</v>
      </c>
      <c r="P6529">
        <v>221</v>
      </c>
      <c r="Q6529" s="2">
        <v>145594.79999999999</v>
      </c>
      <c r="R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 s="1">
        <v>42382</v>
      </c>
      <c r="AC6529" t="s">
        <v>53</v>
      </c>
      <c r="AD6529" t="s">
        <v>53</v>
      </c>
      <c r="AK6529">
        <v>0</v>
      </c>
      <c r="AU6529" s="6">
        <v>42184</v>
      </c>
      <c r="AV6529" s="6">
        <v>42184</v>
      </c>
      <c r="AW6529" t="s">
        <v>54</v>
      </c>
      <c r="AX6529" t="str">
        <f t="shared" si="546"/>
        <v>FOR</v>
      </c>
      <c r="AY6529" t="s">
        <v>55</v>
      </c>
    </row>
    <row r="6530" spans="1:51" hidden="1">
      <c r="A6530">
        <v>104083</v>
      </c>
      <c r="B6530" t="s">
        <v>1207</v>
      </c>
      <c r="C6530" t="str">
        <f t="shared" si="549"/>
        <v>02804530968</v>
      </c>
      <c r="D6530" t="str">
        <f t="shared" si="550"/>
        <v>06324460150</v>
      </c>
      <c r="E6530" t="s">
        <v>52</v>
      </c>
      <c r="F6530">
        <v>2014</v>
      </c>
      <c r="G6530">
        <v>42039526</v>
      </c>
      <c r="H6530" s="1">
        <v>41851</v>
      </c>
      <c r="I6530" s="1">
        <v>41876</v>
      </c>
      <c r="J6530" s="1">
        <v>41876</v>
      </c>
      <c r="K6530" s="1">
        <v>41966</v>
      </c>
      <c r="N6530" s="5"/>
      <c r="O6530">
        <v>143.72</v>
      </c>
      <c r="P6530">
        <v>218</v>
      </c>
      <c r="Q6530" s="2">
        <v>31330.959999999999</v>
      </c>
      <c r="R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 s="1">
        <v>42382</v>
      </c>
      <c r="AC6530" t="s">
        <v>53</v>
      </c>
      <c r="AD6530" t="s">
        <v>53</v>
      </c>
      <c r="AK6530">
        <v>0</v>
      </c>
      <c r="AU6530" s="6">
        <v>42184</v>
      </c>
      <c r="AV6530" s="6">
        <v>42184</v>
      </c>
      <c r="AW6530" t="s">
        <v>54</v>
      </c>
      <c r="AX6530" t="str">
        <f t="shared" si="546"/>
        <v>FOR</v>
      </c>
      <c r="AY6530" t="s">
        <v>55</v>
      </c>
    </row>
    <row r="6531" spans="1:51" hidden="1">
      <c r="A6531">
        <v>104083</v>
      </c>
      <c r="B6531" t="s">
        <v>1207</v>
      </c>
      <c r="C6531" t="str">
        <f t="shared" si="549"/>
        <v>02804530968</v>
      </c>
      <c r="D6531" t="str">
        <f t="shared" si="550"/>
        <v>06324460150</v>
      </c>
      <c r="E6531" t="s">
        <v>52</v>
      </c>
      <c r="F6531">
        <v>2014</v>
      </c>
      <c r="G6531">
        <v>42040193</v>
      </c>
      <c r="H6531" s="1">
        <v>41855</v>
      </c>
      <c r="I6531" s="1">
        <v>41877</v>
      </c>
      <c r="J6531" s="1">
        <v>41877</v>
      </c>
      <c r="K6531" s="1">
        <v>41967</v>
      </c>
      <c r="N6531" s="5"/>
      <c r="O6531" s="2">
        <v>1043.0999999999999</v>
      </c>
      <c r="P6531">
        <v>217</v>
      </c>
      <c r="Q6531" s="2">
        <v>226352.7</v>
      </c>
      <c r="R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 s="1">
        <v>42382</v>
      </c>
      <c r="AC6531" t="s">
        <v>53</v>
      </c>
      <c r="AD6531" t="s">
        <v>53</v>
      </c>
      <c r="AK6531">
        <v>0</v>
      </c>
      <c r="AU6531" s="6">
        <v>42184</v>
      </c>
      <c r="AV6531" s="6">
        <v>42184</v>
      </c>
      <c r="AW6531" t="s">
        <v>54</v>
      </c>
      <c r="AX6531" t="str">
        <f t="shared" ref="AX6531:AX6594" si="551">"FOR"</f>
        <v>FOR</v>
      </c>
      <c r="AY6531" t="s">
        <v>55</v>
      </c>
    </row>
    <row r="6532" spans="1:51" hidden="1">
      <c r="A6532">
        <v>104083</v>
      </c>
      <c r="B6532" t="s">
        <v>1207</v>
      </c>
      <c r="C6532" t="str">
        <f t="shared" si="549"/>
        <v>02804530968</v>
      </c>
      <c r="D6532" t="str">
        <f t="shared" si="550"/>
        <v>06324460150</v>
      </c>
      <c r="E6532" t="s">
        <v>52</v>
      </c>
      <c r="F6532">
        <v>2014</v>
      </c>
      <c r="G6532">
        <v>42041337</v>
      </c>
      <c r="H6532" s="1">
        <v>41859</v>
      </c>
      <c r="I6532" s="1">
        <v>41878</v>
      </c>
      <c r="J6532" s="1">
        <v>41878</v>
      </c>
      <c r="K6532" s="1">
        <v>41968</v>
      </c>
      <c r="N6532" s="5"/>
      <c r="O6532" s="2">
        <v>1737.28</v>
      </c>
      <c r="P6532">
        <v>216</v>
      </c>
      <c r="Q6532" s="2">
        <v>375252.47999999998</v>
      </c>
      <c r="R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 s="1">
        <v>42382</v>
      </c>
      <c r="AC6532" t="s">
        <v>53</v>
      </c>
      <c r="AD6532" t="s">
        <v>53</v>
      </c>
      <c r="AK6532">
        <v>0</v>
      </c>
      <c r="AU6532" s="6">
        <v>42184</v>
      </c>
      <c r="AV6532" s="6">
        <v>42184</v>
      </c>
      <c r="AW6532" t="s">
        <v>54</v>
      </c>
      <c r="AX6532" t="str">
        <f t="shared" si="551"/>
        <v>FOR</v>
      </c>
      <c r="AY6532" t="s">
        <v>55</v>
      </c>
    </row>
    <row r="6533" spans="1:51" hidden="1">
      <c r="A6533">
        <v>104083</v>
      </c>
      <c r="B6533" t="s">
        <v>1207</v>
      </c>
      <c r="C6533" t="str">
        <f t="shared" si="549"/>
        <v>02804530968</v>
      </c>
      <c r="D6533" t="str">
        <f t="shared" si="550"/>
        <v>06324460150</v>
      </c>
      <c r="E6533" t="s">
        <v>52</v>
      </c>
      <c r="F6533">
        <v>2014</v>
      </c>
      <c r="G6533">
        <v>42041913</v>
      </c>
      <c r="H6533" s="1">
        <v>41864</v>
      </c>
      <c r="I6533" s="1">
        <v>41878</v>
      </c>
      <c r="J6533" s="1">
        <v>41878</v>
      </c>
      <c r="K6533" s="1">
        <v>41968</v>
      </c>
      <c r="N6533" s="5"/>
      <c r="O6533">
        <v>287.43</v>
      </c>
      <c r="P6533">
        <v>216</v>
      </c>
      <c r="Q6533" s="2">
        <v>62084.88</v>
      </c>
      <c r="R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 s="1">
        <v>42382</v>
      </c>
      <c r="AC6533" t="s">
        <v>53</v>
      </c>
      <c r="AD6533" t="s">
        <v>53</v>
      </c>
      <c r="AK6533">
        <v>0</v>
      </c>
      <c r="AU6533" s="6">
        <v>42184</v>
      </c>
      <c r="AV6533" s="6">
        <v>42184</v>
      </c>
      <c r="AW6533" t="s">
        <v>54</v>
      </c>
      <c r="AX6533" t="str">
        <f t="shared" si="551"/>
        <v>FOR</v>
      </c>
      <c r="AY6533" t="s">
        <v>55</v>
      </c>
    </row>
    <row r="6534" spans="1:51" hidden="1">
      <c r="A6534">
        <v>104083</v>
      </c>
      <c r="B6534" t="s">
        <v>1207</v>
      </c>
      <c r="C6534" t="str">
        <f t="shared" si="549"/>
        <v>02804530968</v>
      </c>
      <c r="D6534" t="str">
        <f t="shared" si="550"/>
        <v>06324460150</v>
      </c>
      <c r="E6534" t="s">
        <v>52</v>
      </c>
      <c r="F6534">
        <v>2014</v>
      </c>
      <c r="G6534">
        <v>42044029</v>
      </c>
      <c r="H6534" s="1">
        <v>41885</v>
      </c>
      <c r="I6534" s="1">
        <v>41904</v>
      </c>
      <c r="J6534" s="1">
        <v>41904</v>
      </c>
      <c r="K6534" s="1">
        <v>41994</v>
      </c>
      <c r="N6534" s="5"/>
      <c r="O6534" s="2">
        <v>1348.1</v>
      </c>
      <c r="P6534">
        <v>255</v>
      </c>
      <c r="Q6534" s="2">
        <v>343765.5</v>
      </c>
      <c r="R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 s="1">
        <v>42382</v>
      </c>
      <c r="AC6534" t="s">
        <v>53</v>
      </c>
      <c r="AD6534" t="s">
        <v>53</v>
      </c>
      <c r="AK6534">
        <v>0</v>
      </c>
      <c r="AU6534" s="6">
        <v>42249</v>
      </c>
      <c r="AV6534" s="6">
        <v>42249</v>
      </c>
      <c r="AW6534" t="s">
        <v>54</v>
      </c>
      <c r="AX6534" t="str">
        <f t="shared" si="551"/>
        <v>FOR</v>
      </c>
      <c r="AY6534" t="s">
        <v>55</v>
      </c>
    </row>
    <row r="6535" spans="1:51" hidden="1">
      <c r="A6535">
        <v>104083</v>
      </c>
      <c r="B6535" t="s">
        <v>1207</v>
      </c>
      <c r="C6535" t="str">
        <f t="shared" si="549"/>
        <v>02804530968</v>
      </c>
      <c r="D6535" t="str">
        <f t="shared" si="550"/>
        <v>06324460150</v>
      </c>
      <c r="E6535" t="s">
        <v>52</v>
      </c>
      <c r="F6535">
        <v>2014</v>
      </c>
      <c r="G6535">
        <v>42044030</v>
      </c>
      <c r="H6535" s="1">
        <v>41885</v>
      </c>
      <c r="I6535" s="1">
        <v>41904</v>
      </c>
      <c r="J6535" s="1">
        <v>41904</v>
      </c>
      <c r="K6535" s="1">
        <v>41994</v>
      </c>
      <c r="N6535" s="5"/>
      <c r="O6535" s="2">
        <v>2362.16</v>
      </c>
      <c r="P6535">
        <v>255</v>
      </c>
      <c r="Q6535" s="2">
        <v>602350.80000000005</v>
      </c>
      <c r="R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 s="1">
        <v>42382</v>
      </c>
      <c r="AC6535" t="s">
        <v>53</v>
      </c>
      <c r="AD6535" t="s">
        <v>53</v>
      </c>
      <c r="AK6535">
        <v>0</v>
      </c>
      <c r="AU6535" s="6">
        <v>42249</v>
      </c>
      <c r="AV6535" s="6">
        <v>42249</v>
      </c>
      <c r="AW6535" t="s">
        <v>54</v>
      </c>
      <c r="AX6535" t="str">
        <f t="shared" si="551"/>
        <v>FOR</v>
      </c>
      <c r="AY6535" t="s">
        <v>55</v>
      </c>
    </row>
    <row r="6536" spans="1:51" hidden="1">
      <c r="A6536">
        <v>104083</v>
      </c>
      <c r="B6536" t="s">
        <v>1207</v>
      </c>
      <c r="C6536" t="str">
        <f t="shared" si="549"/>
        <v>02804530968</v>
      </c>
      <c r="D6536" t="str">
        <f t="shared" si="550"/>
        <v>06324460150</v>
      </c>
      <c r="E6536" t="s">
        <v>52</v>
      </c>
      <c r="F6536">
        <v>2014</v>
      </c>
      <c r="G6536">
        <v>42044280</v>
      </c>
      <c r="H6536" s="1">
        <v>41886</v>
      </c>
      <c r="I6536" s="1">
        <v>41904</v>
      </c>
      <c r="J6536" s="1">
        <v>41904</v>
      </c>
      <c r="K6536" s="1">
        <v>41994</v>
      </c>
      <c r="N6536" s="5"/>
      <c r="O6536">
        <v>499.59</v>
      </c>
      <c r="P6536">
        <v>255</v>
      </c>
      <c r="Q6536" s="2">
        <v>127395.45</v>
      </c>
      <c r="R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 s="1">
        <v>42382</v>
      </c>
      <c r="AC6536" t="s">
        <v>53</v>
      </c>
      <c r="AD6536" t="s">
        <v>53</v>
      </c>
      <c r="AK6536">
        <v>0</v>
      </c>
      <c r="AU6536" s="6">
        <v>42249</v>
      </c>
      <c r="AV6536" s="6">
        <v>42249</v>
      </c>
      <c r="AW6536" t="s">
        <v>54</v>
      </c>
      <c r="AX6536" t="str">
        <f t="shared" si="551"/>
        <v>FOR</v>
      </c>
      <c r="AY6536" t="s">
        <v>55</v>
      </c>
    </row>
    <row r="6537" spans="1:51" hidden="1">
      <c r="A6537">
        <v>104083</v>
      </c>
      <c r="B6537" t="s">
        <v>1207</v>
      </c>
      <c r="C6537" t="str">
        <f t="shared" si="549"/>
        <v>02804530968</v>
      </c>
      <c r="D6537" t="str">
        <f t="shared" si="550"/>
        <v>06324460150</v>
      </c>
      <c r="E6537" t="s">
        <v>52</v>
      </c>
      <c r="F6537">
        <v>2014</v>
      </c>
      <c r="G6537">
        <v>42044281</v>
      </c>
      <c r="H6537" s="1">
        <v>41886</v>
      </c>
      <c r="I6537" s="1">
        <v>41904</v>
      </c>
      <c r="J6537" s="1">
        <v>41904</v>
      </c>
      <c r="K6537" s="1">
        <v>41994</v>
      </c>
      <c r="N6537" s="5"/>
      <c r="O6537" s="2">
        <v>1991.04</v>
      </c>
      <c r="P6537">
        <v>255</v>
      </c>
      <c r="Q6537" s="2">
        <v>507715.2</v>
      </c>
      <c r="R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 s="1">
        <v>42382</v>
      </c>
      <c r="AC6537" t="s">
        <v>53</v>
      </c>
      <c r="AD6537" t="s">
        <v>53</v>
      </c>
      <c r="AK6537">
        <v>0</v>
      </c>
      <c r="AU6537" s="6">
        <v>42249</v>
      </c>
      <c r="AV6537" s="6">
        <v>42249</v>
      </c>
      <c r="AW6537" t="s">
        <v>54</v>
      </c>
      <c r="AX6537" t="str">
        <f t="shared" si="551"/>
        <v>FOR</v>
      </c>
      <c r="AY6537" t="s">
        <v>55</v>
      </c>
    </row>
    <row r="6538" spans="1:51" hidden="1">
      <c r="A6538">
        <v>104083</v>
      </c>
      <c r="B6538" t="s">
        <v>1207</v>
      </c>
      <c r="C6538" t="str">
        <f t="shared" si="549"/>
        <v>02804530968</v>
      </c>
      <c r="D6538" t="str">
        <f t="shared" si="550"/>
        <v>06324460150</v>
      </c>
      <c r="E6538" t="s">
        <v>52</v>
      </c>
      <c r="F6538">
        <v>2014</v>
      </c>
      <c r="G6538">
        <v>42044282</v>
      </c>
      <c r="H6538" s="1">
        <v>41886</v>
      </c>
      <c r="I6538" s="1">
        <v>41904</v>
      </c>
      <c r="J6538" s="1">
        <v>41904</v>
      </c>
      <c r="K6538" s="1">
        <v>41994</v>
      </c>
      <c r="N6538" s="5"/>
      <c r="O6538">
        <v>216.67</v>
      </c>
      <c r="P6538">
        <v>255</v>
      </c>
      <c r="Q6538" s="2">
        <v>55250.85</v>
      </c>
      <c r="R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 s="1">
        <v>42382</v>
      </c>
      <c r="AC6538" t="s">
        <v>53</v>
      </c>
      <c r="AD6538" t="s">
        <v>53</v>
      </c>
      <c r="AK6538">
        <v>0</v>
      </c>
      <c r="AU6538" s="6">
        <v>42249</v>
      </c>
      <c r="AV6538" s="6">
        <v>42249</v>
      </c>
      <c r="AW6538" t="s">
        <v>54</v>
      </c>
      <c r="AX6538" t="str">
        <f t="shared" si="551"/>
        <v>FOR</v>
      </c>
      <c r="AY6538" t="s">
        <v>55</v>
      </c>
    </row>
    <row r="6539" spans="1:51" hidden="1">
      <c r="A6539">
        <v>104083</v>
      </c>
      <c r="B6539" t="s">
        <v>1207</v>
      </c>
      <c r="C6539" t="str">
        <f t="shared" si="549"/>
        <v>02804530968</v>
      </c>
      <c r="D6539" t="str">
        <f t="shared" si="550"/>
        <v>06324460150</v>
      </c>
      <c r="E6539" t="s">
        <v>52</v>
      </c>
      <c r="F6539">
        <v>2014</v>
      </c>
      <c r="G6539">
        <v>42044283</v>
      </c>
      <c r="H6539" s="1">
        <v>41886</v>
      </c>
      <c r="I6539" s="1">
        <v>41904</v>
      </c>
      <c r="J6539" s="1">
        <v>41904</v>
      </c>
      <c r="K6539" s="1">
        <v>41994</v>
      </c>
      <c r="N6539" s="5"/>
      <c r="O6539" s="2">
        <v>1543.3</v>
      </c>
      <c r="P6539">
        <v>255</v>
      </c>
      <c r="Q6539" s="2">
        <v>393541.5</v>
      </c>
      <c r="R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 s="1">
        <v>42382</v>
      </c>
      <c r="AC6539" t="s">
        <v>53</v>
      </c>
      <c r="AD6539" t="s">
        <v>53</v>
      </c>
      <c r="AK6539">
        <v>0</v>
      </c>
      <c r="AU6539" s="6">
        <v>42249</v>
      </c>
      <c r="AV6539" s="6">
        <v>42249</v>
      </c>
      <c r="AW6539" t="s">
        <v>54</v>
      </c>
      <c r="AX6539" t="str">
        <f t="shared" si="551"/>
        <v>FOR</v>
      </c>
      <c r="AY6539" t="s">
        <v>55</v>
      </c>
    </row>
    <row r="6540" spans="1:51" hidden="1">
      <c r="A6540">
        <v>104083</v>
      </c>
      <c r="B6540" t="s">
        <v>1207</v>
      </c>
      <c r="C6540" t="str">
        <f t="shared" si="549"/>
        <v>02804530968</v>
      </c>
      <c r="D6540" t="str">
        <f t="shared" si="550"/>
        <v>06324460150</v>
      </c>
      <c r="E6540" t="s">
        <v>52</v>
      </c>
      <c r="F6540">
        <v>2014</v>
      </c>
      <c r="G6540">
        <v>42047575</v>
      </c>
      <c r="H6540" s="1">
        <v>41905</v>
      </c>
      <c r="I6540" s="1">
        <v>41920</v>
      </c>
      <c r="J6540" s="1">
        <v>41920</v>
      </c>
      <c r="K6540" s="1">
        <v>42010</v>
      </c>
      <c r="N6540" s="5"/>
      <c r="O6540">
        <v>90.28</v>
      </c>
      <c r="P6540">
        <v>239</v>
      </c>
      <c r="Q6540" s="2">
        <v>21576.92</v>
      </c>
      <c r="R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 s="1">
        <v>42382</v>
      </c>
      <c r="AC6540" t="s">
        <v>53</v>
      </c>
      <c r="AD6540" t="s">
        <v>53</v>
      </c>
      <c r="AK6540">
        <v>0</v>
      </c>
      <c r="AU6540" s="6">
        <v>42249</v>
      </c>
      <c r="AV6540" s="6">
        <v>42249</v>
      </c>
      <c r="AW6540" t="s">
        <v>54</v>
      </c>
      <c r="AX6540" t="str">
        <f t="shared" si="551"/>
        <v>FOR</v>
      </c>
      <c r="AY6540" t="s">
        <v>55</v>
      </c>
    </row>
    <row r="6541" spans="1:51" hidden="1">
      <c r="A6541">
        <v>104083</v>
      </c>
      <c r="B6541" t="s">
        <v>1207</v>
      </c>
      <c r="C6541" t="str">
        <f t="shared" si="549"/>
        <v>02804530968</v>
      </c>
      <c r="D6541" t="str">
        <f t="shared" si="550"/>
        <v>06324460150</v>
      </c>
      <c r="E6541" t="s">
        <v>52</v>
      </c>
      <c r="F6541">
        <v>2014</v>
      </c>
      <c r="G6541">
        <v>42047576</v>
      </c>
      <c r="H6541" s="1">
        <v>41905</v>
      </c>
      <c r="I6541" s="1">
        <v>41920</v>
      </c>
      <c r="J6541" s="1">
        <v>41920</v>
      </c>
      <c r="K6541" s="1">
        <v>42010</v>
      </c>
      <c r="N6541" s="5"/>
      <c r="O6541">
        <v>951.6</v>
      </c>
      <c r="P6541">
        <v>239</v>
      </c>
      <c r="Q6541" s="2">
        <v>227432.4</v>
      </c>
      <c r="R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 s="1">
        <v>42382</v>
      </c>
      <c r="AC6541" t="s">
        <v>53</v>
      </c>
      <c r="AD6541" t="s">
        <v>53</v>
      </c>
      <c r="AK6541">
        <v>0</v>
      </c>
      <c r="AU6541" s="6">
        <v>42249</v>
      </c>
      <c r="AV6541" s="6">
        <v>42249</v>
      </c>
      <c r="AW6541" t="s">
        <v>54</v>
      </c>
      <c r="AX6541" t="str">
        <f t="shared" si="551"/>
        <v>FOR</v>
      </c>
      <c r="AY6541" t="s">
        <v>55</v>
      </c>
    </row>
    <row r="6542" spans="1:51">
      <c r="A6542">
        <v>104083</v>
      </c>
      <c r="B6542" t="s">
        <v>1207</v>
      </c>
      <c r="C6542" t="str">
        <f t="shared" si="549"/>
        <v>02804530968</v>
      </c>
      <c r="D6542" t="str">
        <f t="shared" si="550"/>
        <v>06324460150</v>
      </c>
      <c r="E6542" t="s">
        <v>52</v>
      </c>
      <c r="F6542">
        <v>2014</v>
      </c>
      <c r="G6542">
        <v>42049080</v>
      </c>
      <c r="H6542" s="1">
        <v>41913</v>
      </c>
      <c r="I6542" s="1">
        <v>41929</v>
      </c>
      <c r="J6542" s="1">
        <v>41929</v>
      </c>
      <c r="K6542" s="1">
        <v>41989</v>
      </c>
      <c r="L6542" s="7">
        <v>2958.65</v>
      </c>
      <c r="M6542" s="5">
        <v>289</v>
      </c>
      <c r="N6542" s="7">
        <v>855049.85</v>
      </c>
      <c r="O6542" s="2">
        <v>2958.65</v>
      </c>
      <c r="P6542">
        <v>289</v>
      </c>
      <c r="Q6542" s="2">
        <v>855049.85</v>
      </c>
      <c r="R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 s="1">
        <v>42382</v>
      </c>
      <c r="AC6542" t="s">
        <v>53</v>
      </c>
      <c r="AD6542" t="s">
        <v>53</v>
      </c>
      <c r="AK6542">
        <v>0</v>
      </c>
      <c r="AU6542" s="6">
        <v>42278</v>
      </c>
      <c r="AV6542" s="6">
        <v>42278</v>
      </c>
      <c r="AW6542" t="s">
        <v>54</v>
      </c>
      <c r="AX6542" t="str">
        <f t="shared" si="551"/>
        <v>FOR</v>
      </c>
      <c r="AY6542" t="s">
        <v>55</v>
      </c>
    </row>
    <row r="6543" spans="1:51">
      <c r="A6543">
        <v>104083</v>
      </c>
      <c r="B6543" t="s">
        <v>1207</v>
      </c>
      <c r="C6543" t="str">
        <f t="shared" si="549"/>
        <v>02804530968</v>
      </c>
      <c r="D6543" t="str">
        <f t="shared" si="550"/>
        <v>06324460150</v>
      </c>
      <c r="E6543" t="s">
        <v>52</v>
      </c>
      <c r="F6543">
        <v>2014</v>
      </c>
      <c r="G6543">
        <v>42049282</v>
      </c>
      <c r="H6543" s="1">
        <v>41914</v>
      </c>
      <c r="I6543" s="1">
        <v>41929</v>
      </c>
      <c r="J6543" s="1">
        <v>41929</v>
      </c>
      <c r="K6543" s="1">
        <v>41989</v>
      </c>
      <c r="L6543" s="7">
        <v>1285.3900000000001</v>
      </c>
      <c r="M6543" s="5">
        <v>289</v>
      </c>
      <c r="N6543" s="7">
        <v>371477.71</v>
      </c>
      <c r="O6543" s="2">
        <v>1285.3900000000001</v>
      </c>
      <c r="P6543">
        <v>289</v>
      </c>
      <c r="Q6543" s="2">
        <v>371477.71</v>
      </c>
      <c r="R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 s="1">
        <v>42382</v>
      </c>
      <c r="AC6543" t="s">
        <v>53</v>
      </c>
      <c r="AD6543" t="s">
        <v>53</v>
      </c>
      <c r="AK6543">
        <v>0</v>
      </c>
      <c r="AU6543" s="6">
        <v>42278</v>
      </c>
      <c r="AV6543" s="6">
        <v>42278</v>
      </c>
      <c r="AW6543" t="s">
        <v>54</v>
      </c>
      <c r="AX6543" t="str">
        <f t="shared" si="551"/>
        <v>FOR</v>
      </c>
      <c r="AY6543" t="s">
        <v>55</v>
      </c>
    </row>
    <row r="6544" spans="1:51">
      <c r="A6544">
        <v>104083</v>
      </c>
      <c r="B6544" t="s">
        <v>1207</v>
      </c>
      <c r="C6544" t="str">
        <f t="shared" si="549"/>
        <v>02804530968</v>
      </c>
      <c r="D6544" t="str">
        <f t="shared" si="550"/>
        <v>06324460150</v>
      </c>
      <c r="E6544" t="s">
        <v>52</v>
      </c>
      <c r="F6544">
        <v>2014</v>
      </c>
      <c r="G6544">
        <v>42049283</v>
      </c>
      <c r="H6544" s="1">
        <v>41914</v>
      </c>
      <c r="I6544" s="1">
        <v>41929</v>
      </c>
      <c r="J6544" s="1">
        <v>41929</v>
      </c>
      <c r="K6544" s="1">
        <v>41989</v>
      </c>
      <c r="L6544" s="7">
        <v>6254.94</v>
      </c>
      <c r="M6544" s="5">
        <v>289</v>
      </c>
      <c r="N6544" s="7">
        <v>1807677.66</v>
      </c>
      <c r="O6544" s="2">
        <v>6254.94</v>
      </c>
      <c r="P6544">
        <v>289</v>
      </c>
      <c r="Q6544" s="2">
        <v>1807677.66</v>
      </c>
      <c r="R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 s="1">
        <v>42382</v>
      </c>
      <c r="AC6544" t="s">
        <v>53</v>
      </c>
      <c r="AD6544" t="s">
        <v>53</v>
      </c>
      <c r="AK6544">
        <v>0</v>
      </c>
      <c r="AU6544" s="6">
        <v>42278</v>
      </c>
      <c r="AV6544" s="6">
        <v>42278</v>
      </c>
      <c r="AW6544" t="s">
        <v>54</v>
      </c>
      <c r="AX6544" t="str">
        <f t="shared" si="551"/>
        <v>FOR</v>
      </c>
      <c r="AY6544" t="s">
        <v>55</v>
      </c>
    </row>
    <row r="6545" spans="1:51">
      <c r="A6545">
        <v>104083</v>
      </c>
      <c r="B6545" t="s">
        <v>1207</v>
      </c>
      <c r="C6545" t="str">
        <f t="shared" si="549"/>
        <v>02804530968</v>
      </c>
      <c r="D6545" t="str">
        <f t="shared" si="550"/>
        <v>06324460150</v>
      </c>
      <c r="E6545" t="s">
        <v>52</v>
      </c>
      <c r="F6545">
        <v>2014</v>
      </c>
      <c r="G6545">
        <v>42049284</v>
      </c>
      <c r="H6545" s="1">
        <v>41914</v>
      </c>
      <c r="I6545" s="1">
        <v>41929</v>
      </c>
      <c r="J6545" s="1">
        <v>41929</v>
      </c>
      <c r="K6545" s="1">
        <v>41989</v>
      </c>
      <c r="L6545" s="7">
        <v>215.57</v>
      </c>
      <c r="M6545" s="5">
        <v>289</v>
      </c>
      <c r="N6545" s="7">
        <v>62299.73</v>
      </c>
      <c r="O6545">
        <v>215.57</v>
      </c>
      <c r="P6545">
        <v>289</v>
      </c>
      <c r="Q6545" s="2">
        <v>62299.73</v>
      </c>
      <c r="R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 s="1">
        <v>42382</v>
      </c>
      <c r="AC6545" t="s">
        <v>53</v>
      </c>
      <c r="AD6545" t="s">
        <v>53</v>
      </c>
      <c r="AK6545">
        <v>0</v>
      </c>
      <c r="AU6545" s="6">
        <v>42278</v>
      </c>
      <c r="AV6545" s="6">
        <v>42278</v>
      </c>
      <c r="AW6545" t="s">
        <v>54</v>
      </c>
      <c r="AX6545" t="str">
        <f t="shared" si="551"/>
        <v>FOR</v>
      </c>
      <c r="AY6545" t="s">
        <v>55</v>
      </c>
    </row>
    <row r="6546" spans="1:51">
      <c r="A6546">
        <v>104083</v>
      </c>
      <c r="B6546" t="s">
        <v>1207</v>
      </c>
      <c r="C6546" t="str">
        <f t="shared" si="549"/>
        <v>02804530968</v>
      </c>
      <c r="D6546" t="str">
        <f t="shared" si="550"/>
        <v>06324460150</v>
      </c>
      <c r="E6546" t="s">
        <v>52</v>
      </c>
      <c r="F6546">
        <v>2014</v>
      </c>
      <c r="G6546">
        <v>42050420</v>
      </c>
      <c r="H6546" s="1">
        <v>41921</v>
      </c>
      <c r="I6546" s="1">
        <v>41939</v>
      </c>
      <c r="J6546" s="1">
        <v>41939</v>
      </c>
      <c r="K6546" s="1">
        <v>41999</v>
      </c>
      <c r="L6546" s="7">
        <v>1199.99</v>
      </c>
      <c r="M6546" s="5">
        <v>279</v>
      </c>
      <c r="N6546" s="7">
        <v>334797.21000000002</v>
      </c>
      <c r="O6546" s="2">
        <v>1199.99</v>
      </c>
      <c r="P6546">
        <v>279</v>
      </c>
      <c r="Q6546" s="2">
        <v>334797.21000000002</v>
      </c>
      <c r="R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 s="1">
        <v>42382</v>
      </c>
      <c r="AC6546" t="s">
        <v>53</v>
      </c>
      <c r="AD6546" t="s">
        <v>53</v>
      </c>
      <c r="AK6546">
        <v>0</v>
      </c>
      <c r="AU6546" s="6">
        <v>42278</v>
      </c>
      <c r="AV6546" s="6">
        <v>42278</v>
      </c>
      <c r="AW6546" t="s">
        <v>54</v>
      </c>
      <c r="AX6546" t="str">
        <f t="shared" si="551"/>
        <v>FOR</v>
      </c>
      <c r="AY6546" t="s">
        <v>55</v>
      </c>
    </row>
    <row r="6547" spans="1:51" hidden="1">
      <c r="A6547">
        <v>104083</v>
      </c>
      <c r="B6547" t="s">
        <v>1207</v>
      </c>
      <c r="C6547" t="str">
        <f t="shared" si="549"/>
        <v>02804530968</v>
      </c>
      <c r="D6547" t="str">
        <f t="shared" si="550"/>
        <v>06324460150</v>
      </c>
      <c r="E6547" t="s">
        <v>52</v>
      </c>
      <c r="F6547">
        <v>2014</v>
      </c>
      <c r="G6547">
        <v>42051199</v>
      </c>
      <c r="H6547" s="1">
        <v>41926</v>
      </c>
      <c r="I6547" s="1">
        <v>41941</v>
      </c>
      <c r="J6547" s="1">
        <v>41941</v>
      </c>
      <c r="K6547" s="1">
        <v>42001</v>
      </c>
      <c r="N6547" s="5"/>
      <c r="O6547">
        <v>-97.6</v>
      </c>
      <c r="P6547">
        <v>17</v>
      </c>
      <c r="Q6547" s="2">
        <v>-1659.2</v>
      </c>
      <c r="R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 s="1">
        <v>42382</v>
      </c>
      <c r="AC6547" t="s">
        <v>53</v>
      </c>
      <c r="AD6547" t="s">
        <v>53</v>
      </c>
      <c r="AK6547">
        <v>0</v>
      </c>
      <c r="AU6547" s="6">
        <v>42018</v>
      </c>
      <c r="AV6547" s="6">
        <v>42018</v>
      </c>
      <c r="AW6547" t="s">
        <v>54</v>
      </c>
      <c r="AX6547" t="str">
        <f t="shared" si="551"/>
        <v>FOR</v>
      </c>
      <c r="AY6547" t="s">
        <v>55</v>
      </c>
    </row>
    <row r="6548" spans="1:51">
      <c r="A6548">
        <v>104083</v>
      </c>
      <c r="B6548" t="s">
        <v>1207</v>
      </c>
      <c r="C6548" t="str">
        <f t="shared" ref="C6548:C6579" si="552">"02804530968"</f>
        <v>02804530968</v>
      </c>
      <c r="D6548" t="str">
        <f t="shared" ref="D6548:D6579" si="553">"06324460150"</f>
        <v>06324460150</v>
      </c>
      <c r="E6548" t="s">
        <v>52</v>
      </c>
      <c r="F6548">
        <v>2014</v>
      </c>
      <c r="G6548">
        <v>42051485</v>
      </c>
      <c r="H6548" s="1">
        <v>41929</v>
      </c>
      <c r="I6548" s="1">
        <v>41941</v>
      </c>
      <c r="J6548" s="1">
        <v>41941</v>
      </c>
      <c r="K6548" s="1">
        <v>42001</v>
      </c>
      <c r="L6548" s="7">
        <v>164.7</v>
      </c>
      <c r="M6548" s="5">
        <v>277</v>
      </c>
      <c r="N6548" s="7">
        <v>45621.9</v>
      </c>
      <c r="O6548">
        <v>164.7</v>
      </c>
      <c r="P6548">
        <v>277</v>
      </c>
      <c r="Q6548" s="2">
        <v>45621.9</v>
      </c>
      <c r="R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 s="1">
        <v>42382</v>
      </c>
      <c r="AC6548" t="s">
        <v>53</v>
      </c>
      <c r="AD6548" t="s">
        <v>53</v>
      </c>
      <c r="AK6548">
        <v>0</v>
      </c>
      <c r="AU6548" s="6">
        <v>42278</v>
      </c>
      <c r="AV6548" s="6">
        <v>42278</v>
      </c>
      <c r="AW6548" t="s">
        <v>54</v>
      </c>
      <c r="AX6548" t="str">
        <f t="shared" si="551"/>
        <v>FOR</v>
      </c>
      <c r="AY6548" t="s">
        <v>55</v>
      </c>
    </row>
    <row r="6549" spans="1:51">
      <c r="A6549">
        <v>104083</v>
      </c>
      <c r="B6549" t="s">
        <v>1207</v>
      </c>
      <c r="C6549" t="str">
        <f t="shared" si="552"/>
        <v>02804530968</v>
      </c>
      <c r="D6549" t="str">
        <f t="shared" si="553"/>
        <v>06324460150</v>
      </c>
      <c r="E6549" t="s">
        <v>52</v>
      </c>
      <c r="F6549">
        <v>2014</v>
      </c>
      <c r="G6549">
        <v>42052055</v>
      </c>
      <c r="H6549" s="1">
        <v>41929</v>
      </c>
      <c r="I6549" s="1">
        <v>41941</v>
      </c>
      <c r="J6549" s="1">
        <v>41941</v>
      </c>
      <c r="K6549" s="1">
        <v>42001</v>
      </c>
      <c r="L6549" s="7">
        <v>878.4</v>
      </c>
      <c r="M6549" s="5">
        <v>277</v>
      </c>
      <c r="N6549" s="7">
        <v>243316.8</v>
      </c>
      <c r="O6549">
        <v>878.4</v>
      </c>
      <c r="P6549">
        <v>277</v>
      </c>
      <c r="Q6549" s="2">
        <v>243316.8</v>
      </c>
      <c r="R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 s="1">
        <v>42382</v>
      </c>
      <c r="AC6549" t="s">
        <v>53</v>
      </c>
      <c r="AD6549" t="s">
        <v>53</v>
      </c>
      <c r="AK6549">
        <v>0</v>
      </c>
      <c r="AU6549" s="6">
        <v>42278</v>
      </c>
      <c r="AV6549" s="6">
        <v>42278</v>
      </c>
      <c r="AW6549" t="s">
        <v>54</v>
      </c>
      <c r="AX6549" t="str">
        <f t="shared" si="551"/>
        <v>FOR</v>
      </c>
      <c r="AY6549" t="s">
        <v>55</v>
      </c>
    </row>
    <row r="6550" spans="1:51">
      <c r="A6550">
        <v>104083</v>
      </c>
      <c r="B6550" t="s">
        <v>1207</v>
      </c>
      <c r="C6550" t="str">
        <f t="shared" si="552"/>
        <v>02804530968</v>
      </c>
      <c r="D6550" t="str">
        <f t="shared" si="553"/>
        <v>06324460150</v>
      </c>
      <c r="E6550" t="s">
        <v>52</v>
      </c>
      <c r="F6550">
        <v>2014</v>
      </c>
      <c r="G6550">
        <v>42052799</v>
      </c>
      <c r="H6550" s="1">
        <v>41934</v>
      </c>
      <c r="I6550" s="1">
        <v>41955</v>
      </c>
      <c r="J6550" s="1">
        <v>41955</v>
      </c>
      <c r="K6550" s="1">
        <v>42015</v>
      </c>
      <c r="L6550" s="7">
        <v>499.59</v>
      </c>
      <c r="M6550" s="5">
        <v>263</v>
      </c>
      <c r="N6550" s="7">
        <v>131392.17000000001</v>
      </c>
      <c r="O6550">
        <v>499.59</v>
      </c>
      <c r="P6550">
        <v>263</v>
      </c>
      <c r="Q6550" s="2">
        <v>131392.17000000001</v>
      </c>
      <c r="R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 s="1">
        <v>42382</v>
      </c>
      <c r="AC6550" t="s">
        <v>53</v>
      </c>
      <c r="AD6550" t="s">
        <v>53</v>
      </c>
      <c r="AK6550">
        <v>0</v>
      </c>
      <c r="AU6550" s="6">
        <v>42278</v>
      </c>
      <c r="AV6550" s="6">
        <v>42278</v>
      </c>
      <c r="AW6550" t="s">
        <v>54</v>
      </c>
      <c r="AX6550" t="str">
        <f t="shared" si="551"/>
        <v>FOR</v>
      </c>
      <c r="AY6550" t="s">
        <v>55</v>
      </c>
    </row>
    <row r="6551" spans="1:51">
      <c r="A6551">
        <v>104083</v>
      </c>
      <c r="B6551" t="s">
        <v>1207</v>
      </c>
      <c r="C6551" t="str">
        <f t="shared" si="552"/>
        <v>02804530968</v>
      </c>
      <c r="D6551" t="str">
        <f t="shared" si="553"/>
        <v>06324460150</v>
      </c>
      <c r="E6551" t="s">
        <v>52</v>
      </c>
      <c r="F6551">
        <v>2014</v>
      </c>
      <c r="G6551">
        <v>42052800</v>
      </c>
      <c r="H6551" s="1">
        <v>41934</v>
      </c>
      <c r="I6551" s="1">
        <v>41955</v>
      </c>
      <c r="J6551" s="1">
        <v>41955</v>
      </c>
      <c r="K6551" s="1">
        <v>42015</v>
      </c>
      <c r="L6551" s="7">
        <v>868.64</v>
      </c>
      <c r="M6551" s="5">
        <v>263</v>
      </c>
      <c r="N6551" s="7">
        <v>228452.32</v>
      </c>
      <c r="O6551">
        <v>868.64</v>
      </c>
      <c r="P6551">
        <v>263</v>
      </c>
      <c r="Q6551" s="2">
        <v>228452.32</v>
      </c>
      <c r="R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 s="1">
        <v>42382</v>
      </c>
      <c r="AC6551" t="s">
        <v>53</v>
      </c>
      <c r="AD6551" t="s">
        <v>53</v>
      </c>
      <c r="AK6551">
        <v>0</v>
      </c>
      <c r="AU6551" s="6">
        <v>42278</v>
      </c>
      <c r="AV6551" s="6">
        <v>42278</v>
      </c>
      <c r="AW6551" t="s">
        <v>54</v>
      </c>
      <c r="AX6551" t="str">
        <f t="shared" si="551"/>
        <v>FOR</v>
      </c>
      <c r="AY6551" t="s">
        <v>55</v>
      </c>
    </row>
    <row r="6552" spans="1:51">
      <c r="A6552">
        <v>104083</v>
      </c>
      <c r="B6552" t="s">
        <v>1207</v>
      </c>
      <c r="C6552" t="str">
        <f t="shared" si="552"/>
        <v>02804530968</v>
      </c>
      <c r="D6552" t="str">
        <f t="shared" si="553"/>
        <v>06324460150</v>
      </c>
      <c r="E6552" t="s">
        <v>52</v>
      </c>
      <c r="F6552">
        <v>2014</v>
      </c>
      <c r="G6552">
        <v>42052801</v>
      </c>
      <c r="H6552" s="1">
        <v>41934</v>
      </c>
      <c r="I6552" s="1">
        <v>41955</v>
      </c>
      <c r="J6552" s="1">
        <v>41955</v>
      </c>
      <c r="K6552" s="1">
        <v>42015</v>
      </c>
      <c r="L6552" s="7">
        <v>1675.06</v>
      </c>
      <c r="M6552" s="5">
        <v>263</v>
      </c>
      <c r="N6552" s="7">
        <v>440540.78</v>
      </c>
      <c r="O6552" s="2">
        <v>1675.06</v>
      </c>
      <c r="P6552">
        <v>263</v>
      </c>
      <c r="Q6552" s="2">
        <v>440540.78</v>
      </c>
      <c r="R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 s="1">
        <v>42382</v>
      </c>
      <c r="AC6552" t="s">
        <v>53</v>
      </c>
      <c r="AD6552" t="s">
        <v>53</v>
      </c>
      <c r="AK6552">
        <v>0</v>
      </c>
      <c r="AU6552" s="6">
        <v>42278</v>
      </c>
      <c r="AV6552" s="6">
        <v>42278</v>
      </c>
      <c r="AW6552" t="s">
        <v>54</v>
      </c>
      <c r="AX6552" t="str">
        <f t="shared" si="551"/>
        <v>FOR</v>
      </c>
      <c r="AY6552" t="s">
        <v>55</v>
      </c>
    </row>
    <row r="6553" spans="1:51">
      <c r="A6553">
        <v>104083</v>
      </c>
      <c r="B6553" t="s">
        <v>1207</v>
      </c>
      <c r="C6553" t="str">
        <f t="shared" si="552"/>
        <v>02804530968</v>
      </c>
      <c r="D6553" t="str">
        <f t="shared" si="553"/>
        <v>06324460150</v>
      </c>
      <c r="E6553" t="s">
        <v>52</v>
      </c>
      <c r="F6553">
        <v>2014</v>
      </c>
      <c r="G6553">
        <v>42052802</v>
      </c>
      <c r="H6553" s="1">
        <v>41934</v>
      </c>
      <c r="I6553" s="1">
        <v>41955</v>
      </c>
      <c r="J6553" s="1">
        <v>41955</v>
      </c>
      <c r="K6553" s="1">
        <v>42015</v>
      </c>
      <c r="L6553" s="7">
        <v>451.03</v>
      </c>
      <c r="M6553" s="5">
        <v>263</v>
      </c>
      <c r="N6553" s="7">
        <v>118620.89</v>
      </c>
      <c r="O6553">
        <v>451.03</v>
      </c>
      <c r="P6553">
        <v>263</v>
      </c>
      <c r="Q6553" s="2">
        <v>118620.89</v>
      </c>
      <c r="R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 s="1">
        <v>42382</v>
      </c>
      <c r="AC6553" t="s">
        <v>53</v>
      </c>
      <c r="AD6553" t="s">
        <v>53</v>
      </c>
      <c r="AK6553">
        <v>0</v>
      </c>
      <c r="AU6553" s="6">
        <v>42278</v>
      </c>
      <c r="AV6553" s="6">
        <v>42278</v>
      </c>
      <c r="AW6553" t="s">
        <v>54</v>
      </c>
      <c r="AX6553" t="str">
        <f t="shared" si="551"/>
        <v>FOR</v>
      </c>
      <c r="AY6553" t="s">
        <v>55</v>
      </c>
    </row>
    <row r="6554" spans="1:51">
      <c r="A6554">
        <v>104083</v>
      </c>
      <c r="B6554" t="s">
        <v>1207</v>
      </c>
      <c r="C6554" t="str">
        <f t="shared" si="552"/>
        <v>02804530968</v>
      </c>
      <c r="D6554" t="str">
        <f t="shared" si="553"/>
        <v>06324460150</v>
      </c>
      <c r="E6554" t="s">
        <v>52</v>
      </c>
      <c r="F6554">
        <v>2014</v>
      </c>
      <c r="G6554">
        <v>42052803</v>
      </c>
      <c r="H6554" s="1">
        <v>41934</v>
      </c>
      <c r="I6554" s="1">
        <v>41955</v>
      </c>
      <c r="J6554" s="1">
        <v>41955</v>
      </c>
      <c r="K6554" s="1">
        <v>42015</v>
      </c>
      <c r="L6554" s="7">
        <v>456.89</v>
      </c>
      <c r="M6554" s="5">
        <v>263</v>
      </c>
      <c r="N6554" s="7">
        <v>120162.07</v>
      </c>
      <c r="O6554">
        <v>456.89</v>
      </c>
      <c r="P6554">
        <v>263</v>
      </c>
      <c r="Q6554" s="2">
        <v>120162.07</v>
      </c>
      <c r="R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 s="1">
        <v>42382</v>
      </c>
      <c r="AC6554" t="s">
        <v>53</v>
      </c>
      <c r="AD6554" t="s">
        <v>53</v>
      </c>
      <c r="AK6554">
        <v>0</v>
      </c>
      <c r="AU6554" s="6">
        <v>42278</v>
      </c>
      <c r="AV6554" s="6">
        <v>42278</v>
      </c>
      <c r="AW6554" t="s">
        <v>54</v>
      </c>
      <c r="AX6554" t="str">
        <f t="shared" si="551"/>
        <v>FOR</v>
      </c>
      <c r="AY6554" t="s">
        <v>55</v>
      </c>
    </row>
    <row r="6555" spans="1:51">
      <c r="A6555">
        <v>104083</v>
      </c>
      <c r="B6555" t="s">
        <v>1207</v>
      </c>
      <c r="C6555" t="str">
        <f t="shared" si="552"/>
        <v>02804530968</v>
      </c>
      <c r="D6555" t="str">
        <f t="shared" si="553"/>
        <v>06324460150</v>
      </c>
      <c r="E6555" t="s">
        <v>52</v>
      </c>
      <c r="F6555">
        <v>2014</v>
      </c>
      <c r="G6555">
        <v>42053061</v>
      </c>
      <c r="H6555" s="1">
        <v>41935</v>
      </c>
      <c r="I6555" s="1">
        <v>41955</v>
      </c>
      <c r="J6555" s="1">
        <v>41955</v>
      </c>
      <c r="K6555" s="1">
        <v>42015</v>
      </c>
      <c r="L6555" s="7">
        <v>270.83999999999997</v>
      </c>
      <c r="M6555" s="5">
        <v>263</v>
      </c>
      <c r="N6555" s="7">
        <v>71230.92</v>
      </c>
      <c r="O6555">
        <v>270.83999999999997</v>
      </c>
      <c r="P6555">
        <v>263</v>
      </c>
      <c r="Q6555" s="2">
        <v>71230.92</v>
      </c>
      <c r="R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 s="1">
        <v>42382</v>
      </c>
      <c r="AC6555" t="s">
        <v>53</v>
      </c>
      <c r="AD6555" t="s">
        <v>53</v>
      </c>
      <c r="AK6555">
        <v>0</v>
      </c>
      <c r="AU6555" s="6">
        <v>42278</v>
      </c>
      <c r="AV6555" s="6">
        <v>42278</v>
      </c>
      <c r="AW6555" t="s">
        <v>54</v>
      </c>
      <c r="AX6555" t="str">
        <f t="shared" si="551"/>
        <v>FOR</v>
      </c>
      <c r="AY6555" t="s">
        <v>55</v>
      </c>
    </row>
    <row r="6556" spans="1:51">
      <c r="A6556">
        <v>104083</v>
      </c>
      <c r="B6556" t="s">
        <v>1207</v>
      </c>
      <c r="C6556" t="str">
        <f t="shared" si="552"/>
        <v>02804530968</v>
      </c>
      <c r="D6556" t="str">
        <f t="shared" si="553"/>
        <v>06324460150</v>
      </c>
      <c r="E6556" t="s">
        <v>52</v>
      </c>
      <c r="F6556">
        <v>2014</v>
      </c>
      <c r="G6556">
        <v>42055382</v>
      </c>
      <c r="H6556" s="1">
        <v>41948</v>
      </c>
      <c r="I6556" s="1">
        <v>41964</v>
      </c>
      <c r="J6556" s="1">
        <v>41964</v>
      </c>
      <c r="K6556" s="1">
        <v>42024</v>
      </c>
      <c r="L6556" s="7">
        <v>158.6</v>
      </c>
      <c r="M6556" s="5">
        <v>280</v>
      </c>
      <c r="N6556" s="7">
        <v>44408</v>
      </c>
      <c r="O6556">
        <v>158.6</v>
      </c>
      <c r="P6556">
        <v>280</v>
      </c>
      <c r="Q6556" s="2">
        <v>44408</v>
      </c>
      <c r="R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 s="1">
        <v>42382</v>
      </c>
      <c r="AC6556" t="s">
        <v>53</v>
      </c>
      <c r="AD6556" t="s">
        <v>53</v>
      </c>
      <c r="AK6556">
        <v>0</v>
      </c>
      <c r="AU6556" s="6">
        <v>42304</v>
      </c>
      <c r="AV6556" s="6">
        <v>42304</v>
      </c>
      <c r="AW6556" t="s">
        <v>54</v>
      </c>
      <c r="AX6556" t="str">
        <f t="shared" si="551"/>
        <v>FOR</v>
      </c>
      <c r="AY6556" t="s">
        <v>55</v>
      </c>
    </row>
    <row r="6557" spans="1:51" hidden="1">
      <c r="A6557">
        <v>104083</v>
      </c>
      <c r="B6557" t="s">
        <v>1207</v>
      </c>
      <c r="C6557" t="str">
        <f t="shared" si="552"/>
        <v>02804530968</v>
      </c>
      <c r="D6557" t="str">
        <f t="shared" si="553"/>
        <v>06324460150</v>
      </c>
      <c r="E6557" t="s">
        <v>52</v>
      </c>
      <c r="F6557">
        <v>2014</v>
      </c>
      <c r="G6557">
        <v>42055572</v>
      </c>
      <c r="H6557" s="1">
        <v>41949</v>
      </c>
      <c r="I6557" s="1">
        <v>41967</v>
      </c>
      <c r="J6557" s="1">
        <v>41967</v>
      </c>
      <c r="K6557" s="1">
        <v>42027</v>
      </c>
      <c r="N6557" s="5"/>
      <c r="O6557">
        <v>-50.82</v>
      </c>
      <c r="P6557">
        <v>-8</v>
      </c>
      <c r="Q6557">
        <v>406.56</v>
      </c>
      <c r="R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 s="1">
        <v>42382</v>
      </c>
      <c r="AC6557" t="s">
        <v>53</v>
      </c>
      <c r="AD6557" t="s">
        <v>53</v>
      </c>
      <c r="AK6557">
        <v>0</v>
      </c>
      <c r="AU6557" s="6">
        <v>42019</v>
      </c>
      <c r="AV6557" s="6">
        <v>42019</v>
      </c>
      <c r="AW6557" t="s">
        <v>54</v>
      </c>
      <c r="AX6557" t="str">
        <f t="shared" si="551"/>
        <v>FOR</v>
      </c>
      <c r="AY6557" t="s">
        <v>55</v>
      </c>
    </row>
    <row r="6558" spans="1:51" hidden="1">
      <c r="A6558">
        <v>104083</v>
      </c>
      <c r="B6558" t="s">
        <v>1207</v>
      </c>
      <c r="C6558" t="str">
        <f t="shared" si="552"/>
        <v>02804530968</v>
      </c>
      <c r="D6558" t="str">
        <f t="shared" si="553"/>
        <v>06324460150</v>
      </c>
      <c r="E6558" t="s">
        <v>52</v>
      </c>
      <c r="F6558">
        <v>2014</v>
      </c>
      <c r="G6558">
        <v>42055573</v>
      </c>
      <c r="H6558" s="1">
        <v>41949</v>
      </c>
      <c r="I6558" s="1">
        <v>41967</v>
      </c>
      <c r="J6558" s="1">
        <v>41967</v>
      </c>
      <c r="K6558" s="1">
        <v>42027</v>
      </c>
      <c r="N6558" s="5"/>
      <c r="O6558">
        <v>-50.82</v>
      </c>
      <c r="P6558">
        <v>-8</v>
      </c>
      <c r="Q6558">
        <v>406.56</v>
      </c>
      <c r="R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 s="1">
        <v>42382</v>
      </c>
      <c r="AC6558" t="s">
        <v>53</v>
      </c>
      <c r="AD6558" t="s">
        <v>53</v>
      </c>
      <c r="AK6558">
        <v>0</v>
      </c>
      <c r="AU6558" s="6">
        <v>42019</v>
      </c>
      <c r="AV6558" s="6">
        <v>42019</v>
      </c>
      <c r="AW6558" t="s">
        <v>54</v>
      </c>
      <c r="AX6558" t="str">
        <f t="shared" si="551"/>
        <v>FOR</v>
      </c>
      <c r="AY6558" t="s">
        <v>55</v>
      </c>
    </row>
    <row r="6559" spans="1:51">
      <c r="A6559">
        <v>104083</v>
      </c>
      <c r="B6559" t="s">
        <v>1207</v>
      </c>
      <c r="C6559" t="str">
        <f t="shared" si="552"/>
        <v>02804530968</v>
      </c>
      <c r="D6559" t="str">
        <f t="shared" si="553"/>
        <v>06324460150</v>
      </c>
      <c r="E6559" t="s">
        <v>52</v>
      </c>
      <c r="F6559">
        <v>2014</v>
      </c>
      <c r="G6559">
        <v>42056869</v>
      </c>
      <c r="H6559" s="1">
        <v>41956</v>
      </c>
      <c r="I6559" s="1">
        <v>41974</v>
      </c>
      <c r="J6559" s="1">
        <v>41974</v>
      </c>
      <c r="K6559" s="1">
        <v>42034</v>
      </c>
      <c r="L6559" s="7">
        <v>23.62</v>
      </c>
      <c r="M6559" s="5">
        <v>270</v>
      </c>
      <c r="N6559" s="7">
        <v>6377.4</v>
      </c>
      <c r="O6559">
        <v>23.62</v>
      </c>
      <c r="P6559">
        <v>270</v>
      </c>
      <c r="Q6559" s="2">
        <v>6377.4</v>
      </c>
      <c r="R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 s="1">
        <v>42382</v>
      </c>
      <c r="AC6559" t="s">
        <v>53</v>
      </c>
      <c r="AD6559" t="s">
        <v>53</v>
      </c>
      <c r="AK6559">
        <v>0</v>
      </c>
      <c r="AU6559" s="6">
        <v>42304</v>
      </c>
      <c r="AV6559" s="6">
        <v>42304</v>
      </c>
      <c r="AW6559" t="s">
        <v>54</v>
      </c>
      <c r="AX6559" t="str">
        <f t="shared" si="551"/>
        <v>FOR</v>
      </c>
      <c r="AY6559" t="s">
        <v>55</v>
      </c>
    </row>
    <row r="6560" spans="1:51">
      <c r="A6560">
        <v>104083</v>
      </c>
      <c r="B6560" t="s">
        <v>1207</v>
      </c>
      <c r="C6560" t="str">
        <f t="shared" si="552"/>
        <v>02804530968</v>
      </c>
      <c r="D6560" t="str">
        <f t="shared" si="553"/>
        <v>06324460150</v>
      </c>
      <c r="E6560" t="s">
        <v>52</v>
      </c>
      <c r="F6560">
        <v>2014</v>
      </c>
      <c r="G6560">
        <v>42056870</v>
      </c>
      <c r="H6560" s="1">
        <v>41956</v>
      </c>
      <c r="I6560" s="1">
        <v>41974</v>
      </c>
      <c r="J6560" s="1">
        <v>41974</v>
      </c>
      <c r="K6560" s="1">
        <v>42034</v>
      </c>
      <c r="L6560" s="7">
        <v>270.83999999999997</v>
      </c>
      <c r="M6560" s="5">
        <v>270</v>
      </c>
      <c r="N6560" s="7">
        <v>73126.8</v>
      </c>
      <c r="O6560">
        <v>270.83999999999997</v>
      </c>
      <c r="P6560">
        <v>270</v>
      </c>
      <c r="Q6560" s="2">
        <v>73126.8</v>
      </c>
      <c r="R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 s="1">
        <v>42382</v>
      </c>
      <c r="AC6560" t="s">
        <v>53</v>
      </c>
      <c r="AD6560" t="s">
        <v>53</v>
      </c>
      <c r="AK6560">
        <v>0</v>
      </c>
      <c r="AU6560" s="6">
        <v>42304</v>
      </c>
      <c r="AV6560" s="6">
        <v>42304</v>
      </c>
      <c r="AW6560" t="s">
        <v>54</v>
      </c>
      <c r="AX6560" t="str">
        <f t="shared" si="551"/>
        <v>FOR</v>
      </c>
      <c r="AY6560" t="s">
        <v>55</v>
      </c>
    </row>
    <row r="6561" spans="1:51">
      <c r="A6561">
        <v>104083</v>
      </c>
      <c r="B6561" t="s">
        <v>1207</v>
      </c>
      <c r="C6561" t="str">
        <f t="shared" si="552"/>
        <v>02804530968</v>
      </c>
      <c r="D6561" t="str">
        <f t="shared" si="553"/>
        <v>06324460150</v>
      </c>
      <c r="E6561" t="s">
        <v>52</v>
      </c>
      <c r="F6561">
        <v>2014</v>
      </c>
      <c r="G6561">
        <v>42056871</v>
      </c>
      <c r="H6561" s="1">
        <v>41956</v>
      </c>
      <c r="I6561" s="1">
        <v>41974</v>
      </c>
      <c r="J6561" s="1">
        <v>41974</v>
      </c>
      <c r="K6561" s="1">
        <v>42034</v>
      </c>
      <c r="L6561" s="7">
        <v>71.86</v>
      </c>
      <c r="M6561" s="5">
        <v>270</v>
      </c>
      <c r="N6561" s="7">
        <v>19402.2</v>
      </c>
      <c r="O6561">
        <v>71.86</v>
      </c>
      <c r="P6561">
        <v>270</v>
      </c>
      <c r="Q6561" s="2">
        <v>19402.2</v>
      </c>
      <c r="R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 s="1">
        <v>42382</v>
      </c>
      <c r="AC6561" t="s">
        <v>53</v>
      </c>
      <c r="AD6561" t="s">
        <v>53</v>
      </c>
      <c r="AK6561">
        <v>0</v>
      </c>
      <c r="AU6561" s="6">
        <v>42304</v>
      </c>
      <c r="AV6561" s="6">
        <v>42304</v>
      </c>
      <c r="AW6561" t="s">
        <v>54</v>
      </c>
      <c r="AX6561" t="str">
        <f t="shared" si="551"/>
        <v>FOR</v>
      </c>
      <c r="AY6561" t="s">
        <v>55</v>
      </c>
    </row>
    <row r="6562" spans="1:51">
      <c r="A6562">
        <v>104083</v>
      </c>
      <c r="B6562" t="s">
        <v>1207</v>
      </c>
      <c r="C6562" t="str">
        <f t="shared" si="552"/>
        <v>02804530968</v>
      </c>
      <c r="D6562" t="str">
        <f t="shared" si="553"/>
        <v>06324460150</v>
      </c>
      <c r="E6562" t="s">
        <v>52</v>
      </c>
      <c r="F6562">
        <v>2014</v>
      </c>
      <c r="G6562">
        <v>42057855</v>
      </c>
      <c r="H6562" s="1">
        <v>41962</v>
      </c>
      <c r="I6562" s="1">
        <v>41976</v>
      </c>
      <c r="J6562" s="1">
        <v>41976</v>
      </c>
      <c r="K6562" s="1">
        <v>42036</v>
      </c>
      <c r="L6562" s="7">
        <v>333.06</v>
      </c>
      <c r="M6562" s="5">
        <v>268</v>
      </c>
      <c r="N6562" s="7">
        <v>89260.08</v>
      </c>
      <c r="O6562">
        <v>333.06</v>
      </c>
      <c r="P6562">
        <v>268</v>
      </c>
      <c r="Q6562" s="2">
        <v>89260.08</v>
      </c>
      <c r="R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 s="1">
        <v>42382</v>
      </c>
      <c r="AC6562" t="s">
        <v>53</v>
      </c>
      <c r="AD6562" t="s">
        <v>53</v>
      </c>
      <c r="AK6562">
        <v>0</v>
      </c>
      <c r="AU6562" s="6">
        <v>42304</v>
      </c>
      <c r="AV6562" s="6">
        <v>42304</v>
      </c>
      <c r="AW6562" t="s">
        <v>54</v>
      </c>
      <c r="AX6562" t="str">
        <f t="shared" si="551"/>
        <v>FOR</v>
      </c>
      <c r="AY6562" t="s">
        <v>55</v>
      </c>
    </row>
    <row r="6563" spans="1:51">
      <c r="A6563">
        <v>104083</v>
      </c>
      <c r="B6563" t="s">
        <v>1207</v>
      </c>
      <c r="C6563" t="str">
        <f t="shared" si="552"/>
        <v>02804530968</v>
      </c>
      <c r="D6563" t="str">
        <f t="shared" si="553"/>
        <v>06324460150</v>
      </c>
      <c r="E6563" t="s">
        <v>52</v>
      </c>
      <c r="F6563">
        <v>2014</v>
      </c>
      <c r="G6563">
        <v>42057857</v>
      </c>
      <c r="H6563" s="1">
        <v>41962</v>
      </c>
      <c r="I6563" s="1">
        <v>41976</v>
      </c>
      <c r="J6563" s="1">
        <v>41976</v>
      </c>
      <c r="K6563" s="1">
        <v>42036</v>
      </c>
      <c r="L6563" s="7">
        <v>2006.29</v>
      </c>
      <c r="M6563" s="5">
        <v>268</v>
      </c>
      <c r="N6563" s="7">
        <v>537685.72</v>
      </c>
      <c r="O6563" s="2">
        <v>2006.29</v>
      </c>
      <c r="P6563">
        <v>268</v>
      </c>
      <c r="Q6563" s="2">
        <v>537685.72</v>
      </c>
      <c r="R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 s="1">
        <v>42382</v>
      </c>
      <c r="AC6563" t="s">
        <v>53</v>
      </c>
      <c r="AD6563" t="s">
        <v>53</v>
      </c>
      <c r="AK6563">
        <v>0</v>
      </c>
      <c r="AU6563" s="6">
        <v>42304</v>
      </c>
      <c r="AV6563" s="6">
        <v>42304</v>
      </c>
      <c r="AW6563" t="s">
        <v>54</v>
      </c>
      <c r="AX6563" t="str">
        <f t="shared" si="551"/>
        <v>FOR</v>
      </c>
      <c r="AY6563" t="s">
        <v>55</v>
      </c>
    </row>
    <row r="6564" spans="1:51">
      <c r="A6564">
        <v>104083</v>
      </c>
      <c r="B6564" t="s">
        <v>1207</v>
      </c>
      <c r="C6564" t="str">
        <f t="shared" si="552"/>
        <v>02804530968</v>
      </c>
      <c r="D6564" t="str">
        <f t="shared" si="553"/>
        <v>06324460150</v>
      </c>
      <c r="E6564" t="s">
        <v>52</v>
      </c>
      <c r="F6564">
        <v>2014</v>
      </c>
      <c r="G6564">
        <v>42058379</v>
      </c>
      <c r="H6564" s="1">
        <v>41964</v>
      </c>
      <c r="I6564" s="1">
        <v>41988</v>
      </c>
      <c r="J6564" s="1">
        <v>41988</v>
      </c>
      <c r="K6564" s="1">
        <v>42048</v>
      </c>
      <c r="L6564" s="7">
        <v>483.12</v>
      </c>
      <c r="M6564" s="5">
        <v>256</v>
      </c>
      <c r="N6564" s="7">
        <v>123678.72</v>
      </c>
      <c r="O6564">
        <v>483.12</v>
      </c>
      <c r="P6564">
        <v>256</v>
      </c>
      <c r="Q6564" s="2">
        <v>123678.72</v>
      </c>
      <c r="R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 s="1">
        <v>42382</v>
      </c>
      <c r="AC6564" t="s">
        <v>53</v>
      </c>
      <c r="AD6564" t="s">
        <v>53</v>
      </c>
      <c r="AK6564">
        <v>0</v>
      </c>
      <c r="AU6564" s="6">
        <v>42304</v>
      </c>
      <c r="AV6564" s="6">
        <v>42304</v>
      </c>
      <c r="AW6564" t="s">
        <v>54</v>
      </c>
      <c r="AX6564" t="str">
        <f t="shared" si="551"/>
        <v>FOR</v>
      </c>
      <c r="AY6564" t="s">
        <v>55</v>
      </c>
    </row>
    <row r="6565" spans="1:51">
      <c r="A6565">
        <v>104083</v>
      </c>
      <c r="B6565" t="s">
        <v>1207</v>
      </c>
      <c r="C6565" t="str">
        <f t="shared" si="552"/>
        <v>02804530968</v>
      </c>
      <c r="D6565" t="str">
        <f t="shared" si="553"/>
        <v>06324460150</v>
      </c>
      <c r="E6565" t="s">
        <v>52</v>
      </c>
      <c r="F6565">
        <v>2014</v>
      </c>
      <c r="G6565">
        <v>42058614</v>
      </c>
      <c r="H6565" s="1">
        <v>41967</v>
      </c>
      <c r="I6565" s="1">
        <v>41988</v>
      </c>
      <c r="J6565" s="1">
        <v>41988</v>
      </c>
      <c r="K6565" s="1">
        <v>42048</v>
      </c>
      <c r="L6565" s="7">
        <v>158.6</v>
      </c>
      <c r="M6565" s="5">
        <v>256</v>
      </c>
      <c r="N6565" s="7">
        <v>40601.599999999999</v>
      </c>
      <c r="O6565">
        <v>158.6</v>
      </c>
      <c r="P6565">
        <v>256</v>
      </c>
      <c r="Q6565" s="2">
        <v>40601.599999999999</v>
      </c>
      <c r="R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 s="1">
        <v>42382</v>
      </c>
      <c r="AC6565" t="s">
        <v>53</v>
      </c>
      <c r="AD6565" t="s">
        <v>53</v>
      </c>
      <c r="AK6565">
        <v>0</v>
      </c>
      <c r="AU6565" s="6">
        <v>42304</v>
      </c>
      <c r="AV6565" s="6">
        <v>42304</v>
      </c>
      <c r="AW6565" t="s">
        <v>54</v>
      </c>
      <c r="AX6565" t="str">
        <f t="shared" si="551"/>
        <v>FOR</v>
      </c>
      <c r="AY6565" t="s">
        <v>55</v>
      </c>
    </row>
    <row r="6566" spans="1:51">
      <c r="A6566">
        <v>104083</v>
      </c>
      <c r="B6566" t="s">
        <v>1207</v>
      </c>
      <c r="C6566" t="str">
        <f t="shared" si="552"/>
        <v>02804530968</v>
      </c>
      <c r="D6566" t="str">
        <f t="shared" si="553"/>
        <v>06324460150</v>
      </c>
      <c r="E6566" t="s">
        <v>52</v>
      </c>
      <c r="F6566">
        <v>2014</v>
      </c>
      <c r="G6566">
        <v>42059186</v>
      </c>
      <c r="H6566" s="1">
        <v>41969</v>
      </c>
      <c r="I6566" s="1">
        <v>41988</v>
      </c>
      <c r="J6566" s="1">
        <v>41988</v>
      </c>
      <c r="K6566" s="1">
        <v>42048</v>
      </c>
      <c r="L6566" s="7">
        <v>1098</v>
      </c>
      <c r="M6566" s="5">
        <v>256</v>
      </c>
      <c r="N6566" s="7">
        <v>281088</v>
      </c>
      <c r="O6566" s="2">
        <v>1098</v>
      </c>
      <c r="P6566">
        <v>256</v>
      </c>
      <c r="Q6566" s="2">
        <v>281088</v>
      </c>
      <c r="R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 s="1">
        <v>42382</v>
      </c>
      <c r="AC6566" t="s">
        <v>53</v>
      </c>
      <c r="AD6566" t="s">
        <v>53</v>
      </c>
      <c r="AK6566">
        <v>0</v>
      </c>
      <c r="AU6566" s="6">
        <v>42304</v>
      </c>
      <c r="AV6566" s="6">
        <v>42304</v>
      </c>
      <c r="AW6566" t="s">
        <v>54</v>
      </c>
      <c r="AX6566" t="str">
        <f t="shared" si="551"/>
        <v>FOR</v>
      </c>
      <c r="AY6566" t="s">
        <v>55</v>
      </c>
    </row>
    <row r="6567" spans="1:51">
      <c r="A6567">
        <v>104083</v>
      </c>
      <c r="B6567" t="s">
        <v>1207</v>
      </c>
      <c r="C6567" t="str">
        <f t="shared" si="552"/>
        <v>02804530968</v>
      </c>
      <c r="D6567" t="str">
        <f t="shared" si="553"/>
        <v>06324460150</v>
      </c>
      <c r="E6567" t="s">
        <v>52</v>
      </c>
      <c r="F6567">
        <v>2014</v>
      </c>
      <c r="G6567">
        <v>42060732</v>
      </c>
      <c r="H6567" s="1">
        <v>41977</v>
      </c>
      <c r="I6567" s="1">
        <v>41996</v>
      </c>
      <c r="J6567" s="1">
        <v>41996</v>
      </c>
      <c r="K6567" s="1">
        <v>42056</v>
      </c>
      <c r="L6567" s="7">
        <v>80.52</v>
      </c>
      <c r="M6567" s="5">
        <v>248</v>
      </c>
      <c r="N6567" s="7">
        <v>19968.96</v>
      </c>
      <c r="O6567">
        <v>80.52</v>
      </c>
      <c r="P6567">
        <v>248</v>
      </c>
      <c r="Q6567" s="2">
        <v>19968.96</v>
      </c>
      <c r="R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 s="1">
        <v>42382</v>
      </c>
      <c r="AC6567" t="s">
        <v>53</v>
      </c>
      <c r="AD6567" t="s">
        <v>53</v>
      </c>
      <c r="AK6567">
        <v>0</v>
      </c>
      <c r="AU6567" s="6">
        <v>42304</v>
      </c>
      <c r="AV6567" s="6">
        <v>42304</v>
      </c>
      <c r="AW6567" t="s">
        <v>54</v>
      </c>
      <c r="AX6567" t="str">
        <f t="shared" si="551"/>
        <v>FOR</v>
      </c>
      <c r="AY6567" t="s">
        <v>55</v>
      </c>
    </row>
    <row r="6568" spans="1:51">
      <c r="A6568">
        <v>104083</v>
      </c>
      <c r="B6568" t="s">
        <v>1207</v>
      </c>
      <c r="C6568" t="str">
        <f t="shared" si="552"/>
        <v>02804530968</v>
      </c>
      <c r="D6568" t="str">
        <f t="shared" si="553"/>
        <v>06324460150</v>
      </c>
      <c r="E6568" t="s">
        <v>52</v>
      </c>
      <c r="F6568">
        <v>2014</v>
      </c>
      <c r="G6568">
        <v>42061493</v>
      </c>
      <c r="H6568" s="1">
        <v>41983</v>
      </c>
      <c r="I6568" s="1">
        <v>42004</v>
      </c>
      <c r="J6568" s="1">
        <v>42004</v>
      </c>
      <c r="K6568" s="1">
        <v>42064</v>
      </c>
      <c r="L6568" s="7">
        <v>34.770000000000003</v>
      </c>
      <c r="M6568" s="5">
        <v>240</v>
      </c>
      <c r="N6568" s="7">
        <v>8344.7999999999993</v>
      </c>
      <c r="O6568">
        <v>34.770000000000003</v>
      </c>
      <c r="P6568">
        <v>240</v>
      </c>
      <c r="Q6568" s="2">
        <v>8344.7999999999993</v>
      </c>
      <c r="R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 s="1">
        <v>42382</v>
      </c>
      <c r="AC6568" t="s">
        <v>53</v>
      </c>
      <c r="AD6568" t="s">
        <v>53</v>
      </c>
      <c r="AK6568">
        <v>0</v>
      </c>
      <c r="AU6568" s="6">
        <v>42304</v>
      </c>
      <c r="AV6568" s="6">
        <v>42304</v>
      </c>
      <c r="AW6568" t="s">
        <v>54</v>
      </c>
      <c r="AX6568" t="str">
        <f t="shared" si="551"/>
        <v>FOR</v>
      </c>
      <c r="AY6568" t="s">
        <v>55</v>
      </c>
    </row>
    <row r="6569" spans="1:51">
      <c r="A6569">
        <v>104083</v>
      </c>
      <c r="B6569" t="s">
        <v>1207</v>
      </c>
      <c r="C6569" t="str">
        <f t="shared" si="552"/>
        <v>02804530968</v>
      </c>
      <c r="D6569" t="str">
        <f t="shared" si="553"/>
        <v>06324460150</v>
      </c>
      <c r="E6569" t="s">
        <v>52</v>
      </c>
      <c r="F6569">
        <v>2014</v>
      </c>
      <c r="G6569">
        <v>42061495</v>
      </c>
      <c r="H6569" s="1">
        <v>41983</v>
      </c>
      <c r="I6569" s="1">
        <v>42004</v>
      </c>
      <c r="J6569" s="1">
        <v>42004</v>
      </c>
      <c r="K6569" s="1">
        <v>42064</v>
      </c>
      <c r="L6569" s="7">
        <v>47.24</v>
      </c>
      <c r="M6569" s="5">
        <v>240</v>
      </c>
      <c r="N6569" s="7">
        <v>11337.6</v>
      </c>
      <c r="O6569">
        <v>47.24</v>
      </c>
      <c r="P6569">
        <v>240</v>
      </c>
      <c r="Q6569" s="2">
        <v>11337.6</v>
      </c>
      <c r="R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 s="1">
        <v>42382</v>
      </c>
      <c r="AC6569" t="s">
        <v>53</v>
      </c>
      <c r="AD6569" t="s">
        <v>53</v>
      </c>
      <c r="AK6569">
        <v>0</v>
      </c>
      <c r="AU6569" s="6">
        <v>42304</v>
      </c>
      <c r="AV6569" s="6">
        <v>42304</v>
      </c>
      <c r="AW6569" t="s">
        <v>54</v>
      </c>
      <c r="AX6569" t="str">
        <f t="shared" si="551"/>
        <v>FOR</v>
      </c>
      <c r="AY6569" t="s">
        <v>55</v>
      </c>
    </row>
    <row r="6570" spans="1:51">
      <c r="A6570">
        <v>104083</v>
      </c>
      <c r="B6570" t="s">
        <v>1207</v>
      </c>
      <c r="C6570" t="str">
        <f t="shared" si="552"/>
        <v>02804530968</v>
      </c>
      <c r="D6570" t="str">
        <f t="shared" si="553"/>
        <v>06324460150</v>
      </c>
      <c r="E6570" t="s">
        <v>52</v>
      </c>
      <c r="F6570">
        <v>2014</v>
      </c>
      <c r="G6570">
        <v>42061865</v>
      </c>
      <c r="H6570" s="1">
        <v>41984</v>
      </c>
      <c r="I6570" s="1">
        <v>41996</v>
      </c>
      <c r="J6570" s="1">
        <v>41996</v>
      </c>
      <c r="K6570" s="1">
        <v>42056</v>
      </c>
      <c r="L6570" s="7">
        <v>439.2</v>
      </c>
      <c r="M6570" s="5">
        <v>248</v>
      </c>
      <c r="N6570" s="7">
        <v>108921.60000000001</v>
      </c>
      <c r="O6570">
        <v>439.2</v>
      </c>
      <c r="P6570">
        <v>248</v>
      </c>
      <c r="Q6570" s="2">
        <v>108921.60000000001</v>
      </c>
      <c r="R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 s="1">
        <v>42382</v>
      </c>
      <c r="AC6570" t="s">
        <v>53</v>
      </c>
      <c r="AD6570" t="s">
        <v>53</v>
      </c>
      <c r="AK6570">
        <v>0</v>
      </c>
      <c r="AU6570" s="6">
        <v>42304</v>
      </c>
      <c r="AV6570" s="6">
        <v>42304</v>
      </c>
      <c r="AW6570" t="s">
        <v>54</v>
      </c>
      <c r="AX6570" t="str">
        <f t="shared" si="551"/>
        <v>FOR</v>
      </c>
      <c r="AY6570" t="s">
        <v>55</v>
      </c>
    </row>
    <row r="6571" spans="1:51">
      <c r="A6571">
        <v>104083</v>
      </c>
      <c r="B6571" t="s">
        <v>1207</v>
      </c>
      <c r="C6571" t="str">
        <f t="shared" si="552"/>
        <v>02804530968</v>
      </c>
      <c r="D6571" t="str">
        <f t="shared" si="553"/>
        <v>06324460150</v>
      </c>
      <c r="E6571" t="s">
        <v>52</v>
      </c>
      <c r="F6571">
        <v>2014</v>
      </c>
      <c r="G6571">
        <v>42062750</v>
      </c>
      <c r="H6571" s="1">
        <v>41989</v>
      </c>
      <c r="I6571" s="1">
        <v>42004</v>
      </c>
      <c r="J6571" s="1">
        <v>42004</v>
      </c>
      <c r="K6571" s="1">
        <v>42064</v>
      </c>
      <c r="L6571" s="7">
        <v>270.83999999999997</v>
      </c>
      <c r="M6571" s="5">
        <v>240</v>
      </c>
      <c r="N6571" s="7">
        <v>65001.599999999999</v>
      </c>
      <c r="O6571">
        <v>270.83999999999997</v>
      </c>
      <c r="P6571">
        <v>240</v>
      </c>
      <c r="Q6571" s="2">
        <v>65001.599999999999</v>
      </c>
      <c r="R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 s="1">
        <v>42382</v>
      </c>
      <c r="AC6571" t="s">
        <v>53</v>
      </c>
      <c r="AD6571" t="s">
        <v>53</v>
      </c>
      <c r="AK6571">
        <v>0</v>
      </c>
      <c r="AU6571" s="6">
        <v>42304</v>
      </c>
      <c r="AV6571" s="6">
        <v>42304</v>
      </c>
      <c r="AW6571" t="s">
        <v>54</v>
      </c>
      <c r="AX6571" t="str">
        <f t="shared" si="551"/>
        <v>FOR</v>
      </c>
      <c r="AY6571" t="s">
        <v>55</v>
      </c>
    </row>
    <row r="6572" spans="1:51">
      <c r="A6572">
        <v>104083</v>
      </c>
      <c r="B6572" t="s">
        <v>1207</v>
      </c>
      <c r="C6572" t="str">
        <f t="shared" si="552"/>
        <v>02804530968</v>
      </c>
      <c r="D6572" t="str">
        <f t="shared" si="553"/>
        <v>06324460150</v>
      </c>
      <c r="E6572" t="s">
        <v>52</v>
      </c>
      <c r="F6572">
        <v>2014</v>
      </c>
      <c r="G6572">
        <v>42062751</v>
      </c>
      <c r="H6572" s="1">
        <v>41989</v>
      </c>
      <c r="I6572" s="1">
        <v>42004</v>
      </c>
      <c r="J6572" s="1">
        <v>42004</v>
      </c>
      <c r="K6572" s="1">
        <v>42064</v>
      </c>
      <c r="L6572" s="7">
        <v>9.44</v>
      </c>
      <c r="M6572" s="5">
        <v>240</v>
      </c>
      <c r="N6572" s="7">
        <v>2265.6</v>
      </c>
      <c r="O6572">
        <v>9.44</v>
      </c>
      <c r="P6572">
        <v>240</v>
      </c>
      <c r="Q6572" s="2">
        <v>2265.6</v>
      </c>
      <c r="R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 s="1">
        <v>42382</v>
      </c>
      <c r="AC6572" t="s">
        <v>53</v>
      </c>
      <c r="AD6572" t="s">
        <v>53</v>
      </c>
      <c r="AK6572">
        <v>0</v>
      </c>
      <c r="AU6572" s="6">
        <v>42304</v>
      </c>
      <c r="AV6572" s="6">
        <v>42304</v>
      </c>
      <c r="AW6572" t="s">
        <v>54</v>
      </c>
      <c r="AX6572" t="str">
        <f t="shared" si="551"/>
        <v>FOR</v>
      </c>
      <c r="AY6572" t="s">
        <v>55</v>
      </c>
    </row>
    <row r="6573" spans="1:51">
      <c r="A6573">
        <v>104083</v>
      </c>
      <c r="B6573" t="s">
        <v>1207</v>
      </c>
      <c r="C6573" t="str">
        <f t="shared" si="552"/>
        <v>02804530968</v>
      </c>
      <c r="D6573" t="str">
        <f t="shared" si="553"/>
        <v>06324460150</v>
      </c>
      <c r="E6573" t="s">
        <v>52</v>
      </c>
      <c r="F6573">
        <v>2014</v>
      </c>
      <c r="G6573">
        <v>42062752</v>
      </c>
      <c r="H6573" s="1">
        <v>41989</v>
      </c>
      <c r="I6573" s="1">
        <v>42004</v>
      </c>
      <c r="J6573" s="1">
        <v>42004</v>
      </c>
      <c r="K6573" s="1">
        <v>42064</v>
      </c>
      <c r="L6573" s="7">
        <v>268.39999999999998</v>
      </c>
      <c r="M6573" s="5">
        <v>240</v>
      </c>
      <c r="N6573" s="7">
        <v>64416</v>
      </c>
      <c r="O6573">
        <v>268.39999999999998</v>
      </c>
      <c r="P6573">
        <v>240</v>
      </c>
      <c r="Q6573" s="2">
        <v>64416</v>
      </c>
      <c r="R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 s="1">
        <v>42382</v>
      </c>
      <c r="AC6573" t="s">
        <v>53</v>
      </c>
      <c r="AD6573" t="s">
        <v>53</v>
      </c>
      <c r="AK6573">
        <v>0</v>
      </c>
      <c r="AU6573" s="6">
        <v>42304</v>
      </c>
      <c r="AV6573" s="6">
        <v>42304</v>
      </c>
      <c r="AW6573" t="s">
        <v>54</v>
      </c>
      <c r="AX6573" t="str">
        <f t="shared" si="551"/>
        <v>FOR</v>
      </c>
      <c r="AY6573" t="s">
        <v>55</v>
      </c>
    </row>
    <row r="6574" spans="1:51">
      <c r="A6574">
        <v>104083</v>
      </c>
      <c r="B6574" t="s">
        <v>1207</v>
      </c>
      <c r="C6574" t="str">
        <f t="shared" si="552"/>
        <v>02804530968</v>
      </c>
      <c r="D6574" t="str">
        <f t="shared" si="553"/>
        <v>06324460150</v>
      </c>
      <c r="E6574" t="s">
        <v>52</v>
      </c>
      <c r="F6574">
        <v>2015</v>
      </c>
      <c r="G6574">
        <v>2152001738</v>
      </c>
      <c r="H6574" s="1">
        <v>42019</v>
      </c>
      <c r="I6574" s="1">
        <v>42066</v>
      </c>
      <c r="J6574" s="1">
        <v>42066</v>
      </c>
      <c r="K6574" s="1">
        <v>42126</v>
      </c>
      <c r="L6574" s="7">
        <v>798</v>
      </c>
      <c r="M6574" s="5">
        <v>230</v>
      </c>
      <c r="N6574" s="7">
        <v>183540</v>
      </c>
      <c r="O6574">
        <v>798</v>
      </c>
      <c r="P6574">
        <v>230</v>
      </c>
      <c r="Q6574" s="2">
        <v>183540</v>
      </c>
      <c r="R6574">
        <v>175.56</v>
      </c>
      <c r="V6574">
        <v>0</v>
      </c>
      <c r="W6574">
        <v>0</v>
      </c>
      <c r="X6574">
        <v>0</v>
      </c>
      <c r="Y6574">
        <v>973.56</v>
      </c>
      <c r="Z6574">
        <v>973.56</v>
      </c>
      <c r="AA6574">
        <v>973.56</v>
      </c>
      <c r="AB6574" s="1">
        <v>42382</v>
      </c>
      <c r="AC6574" t="s">
        <v>53</v>
      </c>
      <c r="AD6574" t="s">
        <v>53</v>
      </c>
      <c r="AK6574">
        <v>175.56</v>
      </c>
      <c r="AU6574" s="6">
        <v>42356</v>
      </c>
      <c r="AV6574" s="6">
        <v>42356</v>
      </c>
      <c r="AW6574" t="s">
        <v>54</v>
      </c>
      <c r="AX6574" t="str">
        <f t="shared" si="551"/>
        <v>FOR</v>
      </c>
      <c r="AY6574" t="s">
        <v>55</v>
      </c>
    </row>
    <row r="6575" spans="1:51">
      <c r="A6575">
        <v>104083</v>
      </c>
      <c r="B6575" t="s">
        <v>1207</v>
      </c>
      <c r="C6575" t="str">
        <f t="shared" si="552"/>
        <v>02804530968</v>
      </c>
      <c r="D6575" t="str">
        <f t="shared" si="553"/>
        <v>06324460150</v>
      </c>
      <c r="E6575" t="s">
        <v>52</v>
      </c>
      <c r="F6575">
        <v>2015</v>
      </c>
      <c r="G6575">
        <v>2152002696</v>
      </c>
      <c r="H6575" s="1">
        <v>42024</v>
      </c>
      <c r="I6575" s="1">
        <v>42039</v>
      </c>
      <c r="J6575" s="1">
        <v>42039</v>
      </c>
      <c r="K6575" s="1">
        <v>42099</v>
      </c>
      <c r="L6575" s="7">
        <v>409.5</v>
      </c>
      <c r="M6575" s="5">
        <v>257</v>
      </c>
      <c r="N6575" s="7">
        <v>105241.5</v>
      </c>
      <c r="O6575">
        <v>409.5</v>
      </c>
      <c r="P6575">
        <v>257</v>
      </c>
      <c r="Q6575" s="2">
        <v>105241.5</v>
      </c>
      <c r="R6575">
        <v>90.09</v>
      </c>
      <c r="V6575">
        <v>0</v>
      </c>
      <c r="W6575">
        <v>0</v>
      </c>
      <c r="X6575">
        <v>0</v>
      </c>
      <c r="Y6575">
        <v>499.59</v>
      </c>
      <c r="Z6575">
        <v>499.59</v>
      </c>
      <c r="AA6575">
        <v>499.59</v>
      </c>
      <c r="AB6575" s="1">
        <v>42382</v>
      </c>
      <c r="AC6575" t="s">
        <v>53</v>
      </c>
      <c r="AD6575" t="s">
        <v>53</v>
      </c>
      <c r="AK6575">
        <v>90.09</v>
      </c>
      <c r="AU6575" s="6">
        <v>42356</v>
      </c>
      <c r="AV6575" s="6">
        <v>42356</v>
      </c>
      <c r="AW6575" t="s">
        <v>54</v>
      </c>
      <c r="AX6575" t="str">
        <f t="shared" si="551"/>
        <v>FOR</v>
      </c>
      <c r="AY6575" t="s">
        <v>55</v>
      </c>
    </row>
    <row r="6576" spans="1:51">
      <c r="A6576">
        <v>104083</v>
      </c>
      <c r="B6576" t="s">
        <v>1207</v>
      </c>
      <c r="C6576" t="str">
        <f t="shared" si="552"/>
        <v>02804530968</v>
      </c>
      <c r="D6576" t="str">
        <f t="shared" si="553"/>
        <v>06324460150</v>
      </c>
      <c r="E6576" t="s">
        <v>52</v>
      </c>
      <c r="F6576">
        <v>2015</v>
      </c>
      <c r="G6576">
        <v>2152002697</v>
      </c>
      <c r="H6576" s="1">
        <v>42024</v>
      </c>
      <c r="I6576" s="1">
        <v>42039</v>
      </c>
      <c r="J6576" s="1">
        <v>42039</v>
      </c>
      <c r="K6576" s="1">
        <v>42099</v>
      </c>
      <c r="L6576" s="7">
        <v>252</v>
      </c>
      <c r="M6576" s="5">
        <v>257</v>
      </c>
      <c r="N6576" s="7">
        <v>64764</v>
      </c>
      <c r="O6576">
        <v>252</v>
      </c>
      <c r="P6576">
        <v>257</v>
      </c>
      <c r="Q6576" s="2">
        <v>64764</v>
      </c>
      <c r="R6576">
        <v>55.44</v>
      </c>
      <c r="V6576">
        <v>0</v>
      </c>
      <c r="W6576">
        <v>0</v>
      </c>
      <c r="X6576">
        <v>0</v>
      </c>
      <c r="Y6576">
        <v>307.44</v>
      </c>
      <c r="Z6576">
        <v>307.44</v>
      </c>
      <c r="AA6576">
        <v>307.44</v>
      </c>
      <c r="AB6576" s="1">
        <v>42382</v>
      </c>
      <c r="AC6576" t="s">
        <v>53</v>
      </c>
      <c r="AD6576" t="s">
        <v>53</v>
      </c>
      <c r="AK6576">
        <v>55.44</v>
      </c>
      <c r="AU6576" s="6">
        <v>42356</v>
      </c>
      <c r="AV6576" s="6">
        <v>42356</v>
      </c>
      <c r="AW6576" t="s">
        <v>54</v>
      </c>
      <c r="AX6576" t="str">
        <f t="shared" si="551"/>
        <v>FOR</v>
      </c>
      <c r="AY6576" t="s">
        <v>55</v>
      </c>
    </row>
    <row r="6577" spans="1:51">
      <c r="A6577">
        <v>104083</v>
      </c>
      <c r="B6577" t="s">
        <v>1207</v>
      </c>
      <c r="C6577" t="str">
        <f t="shared" si="552"/>
        <v>02804530968</v>
      </c>
      <c r="D6577" t="str">
        <f t="shared" si="553"/>
        <v>06324460150</v>
      </c>
      <c r="E6577" t="s">
        <v>52</v>
      </c>
      <c r="F6577">
        <v>2015</v>
      </c>
      <c r="G6577">
        <v>2152003697</v>
      </c>
      <c r="H6577" s="1">
        <v>42027</v>
      </c>
      <c r="I6577" s="1">
        <v>42039</v>
      </c>
      <c r="J6577" s="1">
        <v>42039</v>
      </c>
      <c r="K6577" s="1">
        <v>42099</v>
      </c>
      <c r="L6577" s="7">
        <v>9000</v>
      </c>
      <c r="M6577" s="5">
        <v>257</v>
      </c>
      <c r="N6577" s="7">
        <v>2313000</v>
      </c>
      <c r="O6577" s="2">
        <v>9000</v>
      </c>
      <c r="P6577">
        <v>257</v>
      </c>
      <c r="Q6577" s="2">
        <v>2313000</v>
      </c>
      <c r="R6577" s="2">
        <v>1980</v>
      </c>
      <c r="V6577">
        <v>0</v>
      </c>
      <c r="W6577">
        <v>0</v>
      </c>
      <c r="X6577">
        <v>0</v>
      </c>
      <c r="Y6577" s="2">
        <v>10980</v>
      </c>
      <c r="Z6577" s="2">
        <v>10980</v>
      </c>
      <c r="AA6577" s="2">
        <v>10980</v>
      </c>
      <c r="AB6577" s="1">
        <v>42382</v>
      </c>
      <c r="AC6577" t="s">
        <v>53</v>
      </c>
      <c r="AD6577" t="s">
        <v>53</v>
      </c>
      <c r="AK6577" s="2">
        <v>1980</v>
      </c>
      <c r="AU6577" s="6">
        <v>42356</v>
      </c>
      <c r="AV6577" s="6">
        <v>42356</v>
      </c>
      <c r="AW6577" t="s">
        <v>54</v>
      </c>
      <c r="AX6577" t="str">
        <f t="shared" si="551"/>
        <v>FOR</v>
      </c>
      <c r="AY6577" t="s">
        <v>55</v>
      </c>
    </row>
    <row r="6578" spans="1:51">
      <c r="A6578">
        <v>104083</v>
      </c>
      <c r="B6578" t="s">
        <v>1207</v>
      </c>
      <c r="C6578" t="str">
        <f t="shared" si="552"/>
        <v>02804530968</v>
      </c>
      <c r="D6578" t="str">
        <f t="shared" si="553"/>
        <v>06324460150</v>
      </c>
      <c r="E6578" t="s">
        <v>52</v>
      </c>
      <c r="F6578">
        <v>2015</v>
      </c>
      <c r="G6578">
        <v>2152003698</v>
      </c>
      <c r="H6578" s="1">
        <v>42027</v>
      </c>
      <c r="I6578" s="1">
        <v>42039</v>
      </c>
      <c r="J6578" s="1">
        <v>42039</v>
      </c>
      <c r="K6578" s="1">
        <v>42099</v>
      </c>
      <c r="L6578" s="7">
        <v>42</v>
      </c>
      <c r="M6578" s="5">
        <v>257</v>
      </c>
      <c r="N6578" s="7">
        <v>10794</v>
      </c>
      <c r="O6578">
        <v>42</v>
      </c>
      <c r="P6578">
        <v>257</v>
      </c>
      <c r="Q6578" s="2">
        <v>10794</v>
      </c>
      <c r="R6578">
        <v>9.24</v>
      </c>
      <c r="V6578">
        <v>0</v>
      </c>
      <c r="W6578">
        <v>0</v>
      </c>
      <c r="X6578">
        <v>0</v>
      </c>
      <c r="Y6578">
        <v>51.24</v>
      </c>
      <c r="Z6578">
        <v>51.24</v>
      </c>
      <c r="AA6578">
        <v>51.24</v>
      </c>
      <c r="AB6578" s="1">
        <v>42382</v>
      </c>
      <c r="AC6578" t="s">
        <v>53</v>
      </c>
      <c r="AD6578" t="s">
        <v>53</v>
      </c>
      <c r="AK6578">
        <v>9.24</v>
      </c>
      <c r="AU6578" s="6">
        <v>42356</v>
      </c>
      <c r="AV6578" s="6">
        <v>42356</v>
      </c>
      <c r="AW6578" t="s">
        <v>54</v>
      </c>
      <c r="AX6578" t="str">
        <f t="shared" si="551"/>
        <v>FOR</v>
      </c>
      <c r="AY6578" t="s">
        <v>55</v>
      </c>
    </row>
    <row r="6579" spans="1:51">
      <c r="A6579">
        <v>104083</v>
      </c>
      <c r="B6579" t="s">
        <v>1207</v>
      </c>
      <c r="C6579" t="str">
        <f t="shared" si="552"/>
        <v>02804530968</v>
      </c>
      <c r="D6579" t="str">
        <f t="shared" si="553"/>
        <v>06324460150</v>
      </c>
      <c r="E6579" t="s">
        <v>52</v>
      </c>
      <c r="F6579">
        <v>2015</v>
      </c>
      <c r="G6579">
        <v>2152003699</v>
      </c>
      <c r="H6579" s="1">
        <v>42027</v>
      </c>
      <c r="I6579" s="1">
        <v>42039</v>
      </c>
      <c r="J6579" s="1">
        <v>42039</v>
      </c>
      <c r="K6579" s="1">
        <v>42099</v>
      </c>
      <c r="L6579" s="7">
        <v>717</v>
      </c>
      <c r="M6579" s="5">
        <v>257</v>
      </c>
      <c r="N6579" s="7">
        <v>184269</v>
      </c>
      <c r="O6579">
        <v>717</v>
      </c>
      <c r="P6579">
        <v>257</v>
      </c>
      <c r="Q6579" s="2">
        <v>184269</v>
      </c>
      <c r="R6579">
        <v>157.74</v>
      </c>
      <c r="V6579">
        <v>0</v>
      </c>
      <c r="W6579">
        <v>0</v>
      </c>
      <c r="X6579">
        <v>0</v>
      </c>
      <c r="Y6579">
        <v>874.74</v>
      </c>
      <c r="Z6579">
        <v>874.74</v>
      </c>
      <c r="AA6579">
        <v>874.74</v>
      </c>
      <c r="AB6579" s="1">
        <v>42382</v>
      </c>
      <c r="AC6579" t="s">
        <v>53</v>
      </c>
      <c r="AD6579" t="s">
        <v>53</v>
      </c>
      <c r="AK6579">
        <v>157.74</v>
      </c>
      <c r="AU6579" s="6">
        <v>42356</v>
      </c>
      <c r="AV6579" s="6">
        <v>42356</v>
      </c>
      <c r="AW6579" t="s">
        <v>54</v>
      </c>
      <c r="AX6579" t="str">
        <f t="shared" si="551"/>
        <v>FOR</v>
      </c>
      <c r="AY6579" t="s">
        <v>55</v>
      </c>
    </row>
    <row r="6580" spans="1:51">
      <c r="A6580">
        <v>104083</v>
      </c>
      <c r="B6580" t="s">
        <v>1207</v>
      </c>
      <c r="C6580" t="str">
        <f t="shared" ref="C6580:C6589" si="554">"02804530968"</f>
        <v>02804530968</v>
      </c>
      <c r="D6580" t="str">
        <f t="shared" ref="D6580:D6589" si="555">"06324460150"</f>
        <v>06324460150</v>
      </c>
      <c r="E6580" t="s">
        <v>52</v>
      </c>
      <c r="F6580">
        <v>2015</v>
      </c>
      <c r="G6580">
        <v>2152004606</v>
      </c>
      <c r="H6580" s="1">
        <v>42032</v>
      </c>
      <c r="I6580" s="1">
        <v>42047</v>
      </c>
      <c r="J6580" s="1">
        <v>42047</v>
      </c>
      <c r="K6580" s="1">
        <v>42107</v>
      </c>
      <c r="L6580" s="7">
        <v>2520</v>
      </c>
      <c r="M6580" s="5">
        <v>249</v>
      </c>
      <c r="N6580" s="7">
        <v>627480</v>
      </c>
      <c r="O6580" s="2">
        <v>2520</v>
      </c>
      <c r="P6580">
        <v>249</v>
      </c>
      <c r="Q6580" s="2">
        <v>627480</v>
      </c>
      <c r="R6580">
        <v>554.4</v>
      </c>
      <c r="V6580">
        <v>0</v>
      </c>
      <c r="W6580">
        <v>0</v>
      </c>
      <c r="X6580">
        <v>0</v>
      </c>
      <c r="Y6580" s="2">
        <v>3074.4</v>
      </c>
      <c r="Z6580" s="2">
        <v>3074.4</v>
      </c>
      <c r="AA6580" s="2">
        <v>3074.4</v>
      </c>
      <c r="AB6580" s="1">
        <v>42382</v>
      </c>
      <c r="AC6580" t="s">
        <v>53</v>
      </c>
      <c r="AD6580" t="s">
        <v>53</v>
      </c>
      <c r="AK6580">
        <v>554.4</v>
      </c>
      <c r="AU6580" s="6">
        <v>42356</v>
      </c>
      <c r="AV6580" s="6">
        <v>42356</v>
      </c>
      <c r="AW6580" t="s">
        <v>54</v>
      </c>
      <c r="AX6580" t="str">
        <f t="shared" si="551"/>
        <v>FOR</v>
      </c>
      <c r="AY6580" t="s">
        <v>55</v>
      </c>
    </row>
    <row r="6581" spans="1:51">
      <c r="A6581">
        <v>104083</v>
      </c>
      <c r="B6581" t="s">
        <v>1207</v>
      </c>
      <c r="C6581" t="str">
        <f t="shared" si="554"/>
        <v>02804530968</v>
      </c>
      <c r="D6581" t="str">
        <f t="shared" si="555"/>
        <v>06324460150</v>
      </c>
      <c r="E6581" t="s">
        <v>52</v>
      </c>
      <c r="F6581">
        <v>2015</v>
      </c>
      <c r="G6581">
        <v>2152004607</v>
      </c>
      <c r="H6581" s="1">
        <v>42032</v>
      </c>
      <c r="I6581" s="1">
        <v>42047</v>
      </c>
      <c r="J6581" s="1">
        <v>42047</v>
      </c>
      <c r="K6581" s="1">
        <v>42107</v>
      </c>
      <c r="L6581" s="7">
        <v>1859.2</v>
      </c>
      <c r="M6581" s="5">
        <v>249</v>
      </c>
      <c r="N6581" s="7">
        <v>462940.8</v>
      </c>
      <c r="O6581" s="2">
        <v>1859.2</v>
      </c>
      <c r="P6581">
        <v>249</v>
      </c>
      <c r="Q6581" s="2">
        <v>462940.8</v>
      </c>
      <c r="R6581">
        <v>409.02</v>
      </c>
      <c r="V6581">
        <v>0</v>
      </c>
      <c r="W6581">
        <v>0</v>
      </c>
      <c r="X6581">
        <v>0</v>
      </c>
      <c r="Y6581" s="2">
        <v>2268.2199999999998</v>
      </c>
      <c r="Z6581" s="2">
        <v>2268.2199999999998</v>
      </c>
      <c r="AA6581" s="2">
        <v>2268.2199999999998</v>
      </c>
      <c r="AB6581" s="1">
        <v>42382</v>
      </c>
      <c r="AC6581" t="s">
        <v>53</v>
      </c>
      <c r="AD6581" t="s">
        <v>53</v>
      </c>
      <c r="AK6581">
        <v>409.02</v>
      </c>
      <c r="AU6581" s="6">
        <v>42356</v>
      </c>
      <c r="AV6581" s="6">
        <v>42356</v>
      </c>
      <c r="AW6581" t="s">
        <v>54</v>
      </c>
      <c r="AX6581" t="str">
        <f t="shared" si="551"/>
        <v>FOR</v>
      </c>
      <c r="AY6581" t="s">
        <v>55</v>
      </c>
    </row>
    <row r="6582" spans="1:51">
      <c r="A6582">
        <v>104083</v>
      </c>
      <c r="B6582" t="s">
        <v>1207</v>
      </c>
      <c r="C6582" t="str">
        <f t="shared" si="554"/>
        <v>02804530968</v>
      </c>
      <c r="D6582" t="str">
        <f t="shared" si="555"/>
        <v>06324460150</v>
      </c>
      <c r="E6582" t="s">
        <v>52</v>
      </c>
      <c r="F6582">
        <v>2015</v>
      </c>
      <c r="G6582">
        <v>2152004608</v>
      </c>
      <c r="H6582" s="1">
        <v>42032</v>
      </c>
      <c r="I6582" s="1">
        <v>42047</v>
      </c>
      <c r="J6582" s="1">
        <v>42047</v>
      </c>
      <c r="K6582" s="1">
        <v>42107</v>
      </c>
      <c r="L6582" s="7">
        <v>298.2</v>
      </c>
      <c r="M6582" s="5">
        <v>249</v>
      </c>
      <c r="N6582" s="7">
        <v>74251.8</v>
      </c>
      <c r="O6582">
        <v>298.2</v>
      </c>
      <c r="P6582">
        <v>249</v>
      </c>
      <c r="Q6582" s="2">
        <v>74251.8</v>
      </c>
      <c r="R6582">
        <v>65.599999999999994</v>
      </c>
      <c r="V6582">
        <v>0</v>
      </c>
      <c r="W6582">
        <v>0</v>
      </c>
      <c r="X6582">
        <v>0</v>
      </c>
      <c r="Y6582">
        <v>363.8</v>
      </c>
      <c r="Z6582">
        <v>363.8</v>
      </c>
      <c r="AA6582">
        <v>363.8</v>
      </c>
      <c r="AB6582" s="1">
        <v>42382</v>
      </c>
      <c r="AC6582" t="s">
        <v>53</v>
      </c>
      <c r="AD6582" t="s">
        <v>53</v>
      </c>
      <c r="AK6582">
        <v>65.599999999999994</v>
      </c>
      <c r="AU6582" s="6">
        <v>42356</v>
      </c>
      <c r="AV6582" s="6">
        <v>42356</v>
      </c>
      <c r="AW6582" t="s">
        <v>54</v>
      </c>
      <c r="AX6582" t="str">
        <f t="shared" si="551"/>
        <v>FOR</v>
      </c>
      <c r="AY6582" t="s">
        <v>55</v>
      </c>
    </row>
    <row r="6583" spans="1:51">
      <c r="A6583">
        <v>104083</v>
      </c>
      <c r="B6583" t="s">
        <v>1207</v>
      </c>
      <c r="C6583" t="str">
        <f t="shared" si="554"/>
        <v>02804530968</v>
      </c>
      <c r="D6583" t="str">
        <f t="shared" si="555"/>
        <v>06324460150</v>
      </c>
      <c r="E6583" t="s">
        <v>52</v>
      </c>
      <c r="F6583">
        <v>2015</v>
      </c>
      <c r="G6583">
        <v>2152004609</v>
      </c>
      <c r="H6583" s="1">
        <v>42032</v>
      </c>
      <c r="I6583" s="1">
        <v>42047</v>
      </c>
      <c r="J6583" s="1">
        <v>42047</v>
      </c>
      <c r="K6583" s="1">
        <v>42107</v>
      </c>
      <c r="L6583" s="7">
        <v>1233</v>
      </c>
      <c r="M6583" s="5">
        <v>249</v>
      </c>
      <c r="N6583" s="7">
        <v>307017</v>
      </c>
      <c r="O6583" s="2">
        <v>1233</v>
      </c>
      <c r="P6583">
        <v>249</v>
      </c>
      <c r="Q6583" s="2">
        <v>307017</v>
      </c>
      <c r="R6583">
        <v>271.26</v>
      </c>
      <c r="V6583">
        <v>0</v>
      </c>
      <c r="W6583">
        <v>0</v>
      </c>
      <c r="X6583">
        <v>0</v>
      </c>
      <c r="Y6583" s="2">
        <v>1504.26</v>
      </c>
      <c r="Z6583" s="2">
        <v>1504.26</v>
      </c>
      <c r="AA6583" s="2">
        <v>1504.26</v>
      </c>
      <c r="AB6583" s="1">
        <v>42382</v>
      </c>
      <c r="AC6583" t="s">
        <v>53</v>
      </c>
      <c r="AD6583" t="s">
        <v>53</v>
      </c>
      <c r="AK6583">
        <v>271.26</v>
      </c>
      <c r="AU6583" s="6">
        <v>42356</v>
      </c>
      <c r="AV6583" s="6">
        <v>42356</v>
      </c>
      <c r="AW6583" t="s">
        <v>54</v>
      </c>
      <c r="AX6583" t="str">
        <f t="shared" si="551"/>
        <v>FOR</v>
      </c>
      <c r="AY6583" t="s">
        <v>55</v>
      </c>
    </row>
    <row r="6584" spans="1:51">
      <c r="A6584">
        <v>104083</v>
      </c>
      <c r="B6584" t="s">
        <v>1207</v>
      </c>
      <c r="C6584" t="str">
        <f t="shared" si="554"/>
        <v>02804530968</v>
      </c>
      <c r="D6584" t="str">
        <f t="shared" si="555"/>
        <v>06324460150</v>
      </c>
      <c r="E6584" t="s">
        <v>52</v>
      </c>
      <c r="F6584">
        <v>2015</v>
      </c>
      <c r="G6584">
        <v>2152004970</v>
      </c>
      <c r="H6584" s="1">
        <v>42033</v>
      </c>
      <c r="I6584" s="1">
        <v>42047</v>
      </c>
      <c r="J6584" s="1">
        <v>42047</v>
      </c>
      <c r="K6584" s="1">
        <v>42107</v>
      </c>
      <c r="L6584" s="7">
        <v>195</v>
      </c>
      <c r="M6584" s="5">
        <v>249</v>
      </c>
      <c r="N6584" s="7">
        <v>48555</v>
      </c>
      <c r="O6584">
        <v>195</v>
      </c>
      <c r="P6584">
        <v>249</v>
      </c>
      <c r="Q6584" s="2">
        <v>48555</v>
      </c>
      <c r="R6584">
        <v>42.9</v>
      </c>
      <c r="V6584">
        <v>0</v>
      </c>
      <c r="W6584">
        <v>0</v>
      </c>
      <c r="X6584">
        <v>0</v>
      </c>
      <c r="Y6584">
        <v>237.9</v>
      </c>
      <c r="Z6584">
        <v>237.9</v>
      </c>
      <c r="AA6584">
        <v>237.9</v>
      </c>
      <c r="AB6584" s="1">
        <v>42382</v>
      </c>
      <c r="AC6584" t="s">
        <v>53</v>
      </c>
      <c r="AD6584" t="s">
        <v>53</v>
      </c>
      <c r="AK6584">
        <v>42.9</v>
      </c>
      <c r="AU6584" s="6">
        <v>42356</v>
      </c>
      <c r="AV6584" s="6">
        <v>42356</v>
      </c>
      <c r="AW6584" t="s">
        <v>54</v>
      </c>
      <c r="AX6584" t="str">
        <f t="shared" si="551"/>
        <v>FOR</v>
      </c>
      <c r="AY6584" t="s">
        <v>55</v>
      </c>
    </row>
    <row r="6585" spans="1:51">
      <c r="A6585">
        <v>104083</v>
      </c>
      <c r="B6585" t="s">
        <v>1207</v>
      </c>
      <c r="C6585" t="str">
        <f t="shared" si="554"/>
        <v>02804530968</v>
      </c>
      <c r="D6585" t="str">
        <f t="shared" si="555"/>
        <v>06324460150</v>
      </c>
      <c r="E6585" t="s">
        <v>52</v>
      </c>
      <c r="F6585">
        <v>2015</v>
      </c>
      <c r="G6585">
        <v>2152005623</v>
      </c>
      <c r="H6585" s="1">
        <v>42034</v>
      </c>
      <c r="I6585" s="1">
        <v>42047</v>
      </c>
      <c r="J6585" s="1">
        <v>42047</v>
      </c>
      <c r="K6585" s="1">
        <v>42107</v>
      </c>
      <c r="L6585" s="7">
        <v>1425</v>
      </c>
      <c r="M6585" s="5">
        <v>249</v>
      </c>
      <c r="N6585" s="7">
        <v>354825</v>
      </c>
      <c r="O6585" s="2">
        <v>1425</v>
      </c>
      <c r="P6585">
        <v>249</v>
      </c>
      <c r="Q6585" s="2">
        <v>354825</v>
      </c>
      <c r="R6585">
        <v>313.5</v>
      </c>
      <c r="V6585">
        <v>0</v>
      </c>
      <c r="W6585">
        <v>0</v>
      </c>
      <c r="X6585">
        <v>0</v>
      </c>
      <c r="Y6585" s="2">
        <v>1738.5</v>
      </c>
      <c r="Z6585" s="2">
        <v>1738.5</v>
      </c>
      <c r="AA6585" s="2">
        <v>1738.5</v>
      </c>
      <c r="AB6585" s="1">
        <v>42382</v>
      </c>
      <c r="AC6585" t="s">
        <v>53</v>
      </c>
      <c r="AD6585" t="s">
        <v>53</v>
      </c>
      <c r="AK6585">
        <v>313.5</v>
      </c>
      <c r="AU6585" s="6">
        <v>42356</v>
      </c>
      <c r="AV6585" s="6">
        <v>42356</v>
      </c>
      <c r="AW6585" t="s">
        <v>54</v>
      </c>
      <c r="AX6585" t="str">
        <f t="shared" si="551"/>
        <v>FOR</v>
      </c>
      <c r="AY6585" t="s">
        <v>55</v>
      </c>
    </row>
    <row r="6586" spans="1:51">
      <c r="A6586">
        <v>104083</v>
      </c>
      <c r="B6586" t="s">
        <v>1207</v>
      </c>
      <c r="C6586" t="str">
        <f t="shared" si="554"/>
        <v>02804530968</v>
      </c>
      <c r="D6586" t="str">
        <f t="shared" si="555"/>
        <v>06324460150</v>
      </c>
      <c r="E6586" t="s">
        <v>52</v>
      </c>
      <c r="F6586">
        <v>2015</v>
      </c>
      <c r="G6586">
        <v>2152005624</v>
      </c>
      <c r="H6586" s="1">
        <v>42034</v>
      </c>
      <c r="I6586" s="1">
        <v>42047</v>
      </c>
      <c r="J6586" s="1">
        <v>42047</v>
      </c>
      <c r="K6586" s="1">
        <v>42107</v>
      </c>
      <c r="L6586" s="7">
        <v>440</v>
      </c>
      <c r="M6586" s="5">
        <v>249</v>
      </c>
      <c r="N6586" s="7">
        <v>109560</v>
      </c>
      <c r="O6586">
        <v>440</v>
      </c>
      <c r="P6586">
        <v>249</v>
      </c>
      <c r="Q6586" s="2">
        <v>109560</v>
      </c>
      <c r="R6586">
        <v>96.8</v>
      </c>
      <c r="V6586">
        <v>0</v>
      </c>
      <c r="W6586">
        <v>0</v>
      </c>
      <c r="X6586">
        <v>0</v>
      </c>
      <c r="Y6586">
        <v>536.79999999999995</v>
      </c>
      <c r="Z6586">
        <v>536.79999999999995</v>
      </c>
      <c r="AA6586">
        <v>536.79999999999995</v>
      </c>
      <c r="AB6586" s="1">
        <v>42382</v>
      </c>
      <c r="AC6586" t="s">
        <v>53</v>
      </c>
      <c r="AD6586" t="s">
        <v>53</v>
      </c>
      <c r="AK6586">
        <v>96.8</v>
      </c>
      <c r="AU6586" s="6">
        <v>42356</v>
      </c>
      <c r="AV6586" s="6">
        <v>42356</v>
      </c>
      <c r="AW6586" t="s">
        <v>54</v>
      </c>
      <c r="AX6586" t="str">
        <f t="shared" si="551"/>
        <v>FOR</v>
      </c>
      <c r="AY6586" t="s">
        <v>55</v>
      </c>
    </row>
    <row r="6587" spans="1:51">
      <c r="A6587">
        <v>104083</v>
      </c>
      <c r="B6587" t="s">
        <v>1207</v>
      </c>
      <c r="C6587" t="str">
        <f t="shared" si="554"/>
        <v>02804530968</v>
      </c>
      <c r="D6587" t="str">
        <f t="shared" si="555"/>
        <v>06324460150</v>
      </c>
      <c r="E6587" t="s">
        <v>52</v>
      </c>
      <c r="F6587">
        <v>2015</v>
      </c>
      <c r="G6587">
        <v>2152005739</v>
      </c>
      <c r="H6587" s="1">
        <v>42035</v>
      </c>
      <c r="I6587" s="1">
        <v>42053</v>
      </c>
      <c r="J6587" s="1">
        <v>42053</v>
      </c>
      <c r="K6587" s="1">
        <v>42113</v>
      </c>
      <c r="L6587" s="7">
        <v>50</v>
      </c>
      <c r="M6587" s="5">
        <v>243</v>
      </c>
      <c r="N6587" s="7">
        <v>12150</v>
      </c>
      <c r="O6587">
        <v>50</v>
      </c>
      <c r="P6587">
        <v>243</v>
      </c>
      <c r="Q6587" s="2">
        <v>12150</v>
      </c>
      <c r="R6587">
        <v>11</v>
      </c>
      <c r="V6587">
        <v>0</v>
      </c>
      <c r="W6587">
        <v>0</v>
      </c>
      <c r="X6587">
        <v>0</v>
      </c>
      <c r="Y6587">
        <v>61</v>
      </c>
      <c r="Z6587">
        <v>61</v>
      </c>
      <c r="AA6587">
        <v>61</v>
      </c>
      <c r="AB6587" s="1">
        <v>42382</v>
      </c>
      <c r="AC6587" t="s">
        <v>53</v>
      </c>
      <c r="AD6587" t="s">
        <v>53</v>
      </c>
      <c r="AK6587">
        <v>11</v>
      </c>
      <c r="AU6587" s="6">
        <v>42356</v>
      </c>
      <c r="AV6587" s="6">
        <v>42356</v>
      </c>
      <c r="AW6587" t="s">
        <v>54</v>
      </c>
      <c r="AX6587" t="str">
        <f t="shared" si="551"/>
        <v>FOR</v>
      </c>
      <c r="AY6587" t="s">
        <v>55</v>
      </c>
    </row>
    <row r="6588" spans="1:51">
      <c r="A6588">
        <v>104083</v>
      </c>
      <c r="B6588" t="s">
        <v>1207</v>
      </c>
      <c r="C6588" t="str">
        <f t="shared" si="554"/>
        <v>02804530968</v>
      </c>
      <c r="D6588" t="str">
        <f t="shared" si="555"/>
        <v>06324460150</v>
      </c>
      <c r="E6588" t="s">
        <v>52</v>
      </c>
      <c r="F6588">
        <v>2015</v>
      </c>
      <c r="G6588">
        <v>2152005740</v>
      </c>
      <c r="H6588" s="1">
        <v>42035</v>
      </c>
      <c r="I6588" s="1">
        <v>42053</v>
      </c>
      <c r="J6588" s="1">
        <v>42053</v>
      </c>
      <c r="K6588" s="1">
        <v>42113</v>
      </c>
      <c r="L6588" s="7">
        <v>2425.12</v>
      </c>
      <c r="M6588" s="5">
        <v>243</v>
      </c>
      <c r="N6588" s="7">
        <v>589304.16</v>
      </c>
      <c r="O6588" s="2">
        <v>2425.12</v>
      </c>
      <c r="P6588">
        <v>243</v>
      </c>
      <c r="Q6588" s="2">
        <v>589304.16</v>
      </c>
      <c r="R6588">
        <v>533.53</v>
      </c>
      <c r="V6588">
        <v>0</v>
      </c>
      <c r="W6588">
        <v>0</v>
      </c>
      <c r="X6588">
        <v>0</v>
      </c>
      <c r="Y6588" s="2">
        <v>2958.65</v>
      </c>
      <c r="Z6588" s="2">
        <v>2958.65</v>
      </c>
      <c r="AA6588" s="2">
        <v>2958.65</v>
      </c>
      <c r="AB6588" s="1">
        <v>42382</v>
      </c>
      <c r="AC6588" t="s">
        <v>53</v>
      </c>
      <c r="AD6588" t="s">
        <v>53</v>
      </c>
      <c r="AK6588">
        <v>533.53</v>
      </c>
      <c r="AU6588" s="6">
        <v>42356</v>
      </c>
      <c r="AV6588" s="6">
        <v>42356</v>
      </c>
      <c r="AW6588" t="s">
        <v>54</v>
      </c>
      <c r="AX6588" t="str">
        <f t="shared" si="551"/>
        <v>FOR</v>
      </c>
      <c r="AY6588" t="s">
        <v>55</v>
      </c>
    </row>
    <row r="6589" spans="1:51">
      <c r="A6589">
        <v>104083</v>
      </c>
      <c r="B6589" t="s">
        <v>1207</v>
      </c>
      <c r="C6589" t="str">
        <f t="shared" si="554"/>
        <v>02804530968</v>
      </c>
      <c r="D6589" t="str">
        <f t="shared" si="555"/>
        <v>06324460150</v>
      </c>
      <c r="E6589" t="s">
        <v>52</v>
      </c>
      <c r="F6589">
        <v>2015</v>
      </c>
      <c r="G6589">
        <v>2152005741</v>
      </c>
      <c r="H6589" s="1">
        <v>42035</v>
      </c>
      <c r="I6589" s="1">
        <v>42053</v>
      </c>
      <c r="J6589" s="1">
        <v>42053</v>
      </c>
      <c r="K6589" s="1">
        <v>42113</v>
      </c>
      <c r="L6589" s="7">
        <v>117.8</v>
      </c>
      <c r="M6589" s="5">
        <v>243</v>
      </c>
      <c r="N6589" s="7">
        <v>28625.4</v>
      </c>
      <c r="O6589">
        <v>117.8</v>
      </c>
      <c r="P6589">
        <v>243</v>
      </c>
      <c r="Q6589" s="2">
        <v>28625.4</v>
      </c>
      <c r="R6589">
        <v>25.92</v>
      </c>
      <c r="V6589">
        <v>0</v>
      </c>
      <c r="W6589">
        <v>0</v>
      </c>
      <c r="X6589">
        <v>0</v>
      </c>
      <c r="Y6589">
        <v>143.72</v>
      </c>
      <c r="Z6589">
        <v>143.72</v>
      </c>
      <c r="AA6589">
        <v>143.72</v>
      </c>
      <c r="AB6589" s="1">
        <v>42382</v>
      </c>
      <c r="AC6589" t="s">
        <v>53</v>
      </c>
      <c r="AD6589" t="s">
        <v>53</v>
      </c>
      <c r="AK6589">
        <v>25.92</v>
      </c>
      <c r="AU6589" s="6">
        <v>42356</v>
      </c>
      <c r="AV6589" s="6">
        <v>42356</v>
      </c>
      <c r="AW6589" t="s">
        <v>54</v>
      </c>
      <c r="AX6589" t="str">
        <f t="shared" si="551"/>
        <v>FOR</v>
      </c>
      <c r="AY6589" t="s">
        <v>55</v>
      </c>
    </row>
    <row r="6590" spans="1:51" hidden="1">
      <c r="A6590">
        <v>104084</v>
      </c>
      <c r="B6590" t="s">
        <v>1208</v>
      </c>
      <c r="C6590" t="str">
        <f t="shared" ref="C6590:D6617" si="556">"13144290155"</f>
        <v>13144290155</v>
      </c>
      <c r="D6590" t="str">
        <f t="shared" si="556"/>
        <v>13144290155</v>
      </c>
      <c r="E6590" t="s">
        <v>52</v>
      </c>
      <c r="F6590">
        <v>2013</v>
      </c>
      <c r="G6590">
        <v>13311851</v>
      </c>
      <c r="H6590" s="1">
        <v>41585</v>
      </c>
      <c r="I6590" s="1">
        <v>41597</v>
      </c>
      <c r="J6590" s="1">
        <v>41597</v>
      </c>
      <c r="K6590" s="1">
        <v>41687</v>
      </c>
      <c r="N6590" s="5"/>
      <c r="O6590" s="2">
        <v>3050</v>
      </c>
      <c r="P6590">
        <v>385</v>
      </c>
      <c r="Q6590" s="2">
        <v>1174250</v>
      </c>
      <c r="R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 s="1">
        <v>42382</v>
      </c>
      <c r="AC6590" t="s">
        <v>53</v>
      </c>
      <c r="AD6590" t="s">
        <v>53</v>
      </c>
      <c r="AK6590">
        <v>0</v>
      </c>
      <c r="AU6590" s="6">
        <v>42072</v>
      </c>
      <c r="AV6590" s="6">
        <v>42072</v>
      </c>
      <c r="AW6590" t="s">
        <v>54</v>
      </c>
      <c r="AX6590" t="str">
        <f t="shared" si="551"/>
        <v>FOR</v>
      </c>
      <c r="AY6590" t="s">
        <v>55</v>
      </c>
    </row>
    <row r="6591" spans="1:51" hidden="1">
      <c r="A6591">
        <v>104084</v>
      </c>
      <c r="B6591" t="s">
        <v>1208</v>
      </c>
      <c r="C6591" t="str">
        <f t="shared" si="556"/>
        <v>13144290155</v>
      </c>
      <c r="D6591" t="str">
        <f t="shared" si="556"/>
        <v>13144290155</v>
      </c>
      <c r="E6591" t="s">
        <v>52</v>
      </c>
      <c r="F6591">
        <v>2014</v>
      </c>
      <c r="G6591">
        <v>14300624</v>
      </c>
      <c r="H6591" s="1">
        <v>41654</v>
      </c>
      <c r="I6591" s="1">
        <v>41669</v>
      </c>
      <c r="J6591" s="1">
        <v>41669</v>
      </c>
      <c r="K6591" s="1">
        <v>41759</v>
      </c>
      <c r="N6591" s="5"/>
      <c r="O6591" s="2">
        <v>7259</v>
      </c>
      <c r="P6591">
        <v>265</v>
      </c>
      <c r="Q6591" s="2">
        <v>1923635</v>
      </c>
      <c r="R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 s="1">
        <v>42382</v>
      </c>
      <c r="AC6591" t="s">
        <v>53</v>
      </c>
      <c r="AD6591" t="s">
        <v>53</v>
      </c>
      <c r="AK6591">
        <v>0</v>
      </c>
      <c r="AU6591" s="6">
        <v>42024</v>
      </c>
      <c r="AV6591" s="6">
        <v>42024</v>
      </c>
      <c r="AW6591" t="s">
        <v>54</v>
      </c>
      <c r="AX6591" t="str">
        <f t="shared" si="551"/>
        <v>FOR</v>
      </c>
      <c r="AY6591" t="s">
        <v>55</v>
      </c>
    </row>
    <row r="6592" spans="1:51" hidden="1">
      <c r="A6592">
        <v>104084</v>
      </c>
      <c r="B6592" t="s">
        <v>1208</v>
      </c>
      <c r="C6592" t="str">
        <f t="shared" si="556"/>
        <v>13144290155</v>
      </c>
      <c r="D6592" t="str">
        <f t="shared" si="556"/>
        <v>13144290155</v>
      </c>
      <c r="E6592" t="s">
        <v>52</v>
      </c>
      <c r="F6592">
        <v>2014</v>
      </c>
      <c r="G6592">
        <v>14302736</v>
      </c>
      <c r="H6592" s="1">
        <v>41696</v>
      </c>
      <c r="I6592" s="1">
        <v>41711</v>
      </c>
      <c r="J6592" s="1">
        <v>41711</v>
      </c>
      <c r="K6592" s="1">
        <v>41801</v>
      </c>
      <c r="N6592" s="5"/>
      <c r="O6592" s="2">
        <v>20739.63</v>
      </c>
      <c r="P6592">
        <v>240</v>
      </c>
      <c r="Q6592" s="2">
        <v>4977511.2</v>
      </c>
      <c r="R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 s="1">
        <v>42382</v>
      </c>
      <c r="AC6592" t="s">
        <v>53</v>
      </c>
      <c r="AD6592" t="s">
        <v>53</v>
      </c>
      <c r="AK6592">
        <v>0</v>
      </c>
      <c r="AU6592" s="6">
        <v>42041</v>
      </c>
      <c r="AV6592" s="6">
        <v>42041</v>
      </c>
      <c r="AW6592" t="s">
        <v>54</v>
      </c>
      <c r="AX6592" t="str">
        <f t="shared" si="551"/>
        <v>FOR</v>
      </c>
      <c r="AY6592" t="s">
        <v>55</v>
      </c>
    </row>
    <row r="6593" spans="1:51" hidden="1">
      <c r="A6593">
        <v>104084</v>
      </c>
      <c r="B6593" t="s">
        <v>1208</v>
      </c>
      <c r="C6593" t="str">
        <f t="shared" si="556"/>
        <v>13144290155</v>
      </c>
      <c r="D6593" t="str">
        <f t="shared" si="556"/>
        <v>13144290155</v>
      </c>
      <c r="E6593" t="s">
        <v>52</v>
      </c>
      <c r="F6593">
        <v>2014</v>
      </c>
      <c r="G6593">
        <v>14302860</v>
      </c>
      <c r="H6593" s="1">
        <v>41701</v>
      </c>
      <c r="I6593" s="1">
        <v>41719</v>
      </c>
      <c r="J6593" s="1">
        <v>41719</v>
      </c>
      <c r="K6593" s="1">
        <v>41809</v>
      </c>
      <c r="N6593" s="5"/>
      <c r="O6593">
        <v>946.72</v>
      </c>
      <c r="P6593">
        <v>263</v>
      </c>
      <c r="Q6593" s="2">
        <v>248987.36</v>
      </c>
      <c r="R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 s="1">
        <v>42382</v>
      </c>
      <c r="AC6593" t="s">
        <v>53</v>
      </c>
      <c r="AD6593" t="s">
        <v>53</v>
      </c>
      <c r="AK6593">
        <v>0</v>
      </c>
      <c r="AU6593" s="6">
        <v>42072</v>
      </c>
      <c r="AV6593" s="6">
        <v>42072</v>
      </c>
      <c r="AW6593" t="s">
        <v>54</v>
      </c>
      <c r="AX6593" t="str">
        <f t="shared" si="551"/>
        <v>FOR</v>
      </c>
      <c r="AY6593" t="s">
        <v>55</v>
      </c>
    </row>
    <row r="6594" spans="1:51" hidden="1">
      <c r="A6594">
        <v>104084</v>
      </c>
      <c r="B6594" t="s">
        <v>1208</v>
      </c>
      <c r="C6594" t="str">
        <f t="shared" si="556"/>
        <v>13144290155</v>
      </c>
      <c r="D6594" t="str">
        <f t="shared" si="556"/>
        <v>13144290155</v>
      </c>
      <c r="E6594" t="s">
        <v>52</v>
      </c>
      <c r="F6594">
        <v>2014</v>
      </c>
      <c r="G6594">
        <v>14302996</v>
      </c>
      <c r="H6594" s="1">
        <v>41702</v>
      </c>
      <c r="I6594" s="1">
        <v>41719</v>
      </c>
      <c r="J6594" s="1">
        <v>41719</v>
      </c>
      <c r="K6594" s="1">
        <v>41809</v>
      </c>
      <c r="N6594" s="5"/>
      <c r="O6594">
        <v>148.06</v>
      </c>
      <c r="P6594">
        <v>263</v>
      </c>
      <c r="Q6594" s="2">
        <v>38939.78</v>
      </c>
      <c r="R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 s="1">
        <v>42382</v>
      </c>
      <c r="AC6594" t="s">
        <v>53</v>
      </c>
      <c r="AD6594" t="s">
        <v>53</v>
      </c>
      <c r="AK6594">
        <v>0</v>
      </c>
      <c r="AU6594" s="6">
        <v>42072</v>
      </c>
      <c r="AV6594" s="6">
        <v>42072</v>
      </c>
      <c r="AW6594" t="s">
        <v>54</v>
      </c>
      <c r="AX6594" t="str">
        <f t="shared" si="551"/>
        <v>FOR</v>
      </c>
      <c r="AY6594" t="s">
        <v>55</v>
      </c>
    </row>
    <row r="6595" spans="1:51" hidden="1">
      <c r="A6595">
        <v>104084</v>
      </c>
      <c r="B6595" t="s">
        <v>1208</v>
      </c>
      <c r="C6595" t="str">
        <f t="shared" si="556"/>
        <v>13144290155</v>
      </c>
      <c r="D6595" t="str">
        <f t="shared" si="556"/>
        <v>13144290155</v>
      </c>
      <c r="E6595" t="s">
        <v>52</v>
      </c>
      <c r="F6595">
        <v>2014</v>
      </c>
      <c r="G6595">
        <v>14303356</v>
      </c>
      <c r="H6595" s="1">
        <v>41709</v>
      </c>
      <c r="I6595" s="1">
        <v>41725</v>
      </c>
      <c r="J6595" s="1">
        <v>41725</v>
      </c>
      <c r="K6595" s="1">
        <v>41815</v>
      </c>
      <c r="N6595" s="5"/>
      <c r="O6595" s="2">
        <v>12370.8</v>
      </c>
      <c r="P6595">
        <v>260</v>
      </c>
      <c r="Q6595" s="2">
        <v>3216408</v>
      </c>
      <c r="R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 s="1">
        <v>42382</v>
      </c>
      <c r="AC6595" t="s">
        <v>53</v>
      </c>
      <c r="AD6595" t="s">
        <v>53</v>
      </c>
      <c r="AK6595">
        <v>0</v>
      </c>
      <c r="AU6595" s="6">
        <v>42075</v>
      </c>
      <c r="AV6595" s="6">
        <v>42075</v>
      </c>
      <c r="AW6595" t="s">
        <v>54</v>
      </c>
      <c r="AX6595" t="str">
        <f t="shared" ref="AX6595:AX6658" si="557">"FOR"</f>
        <v>FOR</v>
      </c>
      <c r="AY6595" t="s">
        <v>55</v>
      </c>
    </row>
    <row r="6596" spans="1:51" hidden="1">
      <c r="A6596">
        <v>104084</v>
      </c>
      <c r="B6596" t="s">
        <v>1208</v>
      </c>
      <c r="C6596" t="str">
        <f t="shared" si="556"/>
        <v>13144290155</v>
      </c>
      <c r="D6596" t="str">
        <f t="shared" si="556"/>
        <v>13144290155</v>
      </c>
      <c r="E6596" t="s">
        <v>52</v>
      </c>
      <c r="F6596">
        <v>2014</v>
      </c>
      <c r="G6596">
        <v>14303604</v>
      </c>
      <c r="H6596" s="1">
        <v>41712</v>
      </c>
      <c r="I6596" s="1">
        <v>41725</v>
      </c>
      <c r="J6596" s="1">
        <v>41725</v>
      </c>
      <c r="K6596" s="1">
        <v>41815</v>
      </c>
      <c r="N6596" s="5"/>
      <c r="O6596">
        <v>353.8</v>
      </c>
      <c r="P6596">
        <v>260</v>
      </c>
      <c r="Q6596" s="2">
        <v>91988</v>
      </c>
      <c r="R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 s="1">
        <v>42382</v>
      </c>
      <c r="AC6596" t="s">
        <v>53</v>
      </c>
      <c r="AD6596" t="s">
        <v>53</v>
      </c>
      <c r="AK6596">
        <v>0</v>
      </c>
      <c r="AU6596" s="6">
        <v>42075</v>
      </c>
      <c r="AV6596" s="6">
        <v>42075</v>
      </c>
      <c r="AW6596" t="s">
        <v>54</v>
      </c>
      <c r="AX6596" t="str">
        <f t="shared" si="557"/>
        <v>FOR</v>
      </c>
      <c r="AY6596" t="s">
        <v>55</v>
      </c>
    </row>
    <row r="6597" spans="1:51" hidden="1">
      <c r="A6597">
        <v>104084</v>
      </c>
      <c r="B6597" t="s">
        <v>1208</v>
      </c>
      <c r="C6597" t="str">
        <f t="shared" si="556"/>
        <v>13144290155</v>
      </c>
      <c r="D6597" t="str">
        <f t="shared" si="556"/>
        <v>13144290155</v>
      </c>
      <c r="E6597" t="s">
        <v>52</v>
      </c>
      <c r="F6597">
        <v>2014</v>
      </c>
      <c r="G6597">
        <v>14304007</v>
      </c>
      <c r="H6597" s="1">
        <v>41719</v>
      </c>
      <c r="I6597" s="1">
        <v>41736</v>
      </c>
      <c r="J6597" s="1">
        <v>41736</v>
      </c>
      <c r="K6597" s="1">
        <v>41826</v>
      </c>
      <c r="N6597" s="5"/>
      <c r="O6597">
        <v>683.2</v>
      </c>
      <c r="P6597">
        <v>249</v>
      </c>
      <c r="Q6597" s="2">
        <v>170116.8</v>
      </c>
      <c r="R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 s="1">
        <v>42382</v>
      </c>
      <c r="AC6597" t="s">
        <v>53</v>
      </c>
      <c r="AD6597" t="s">
        <v>53</v>
      </c>
      <c r="AK6597">
        <v>0</v>
      </c>
      <c r="AU6597" s="6">
        <v>42075</v>
      </c>
      <c r="AV6597" s="6">
        <v>42075</v>
      </c>
      <c r="AW6597" t="s">
        <v>54</v>
      </c>
      <c r="AX6597" t="str">
        <f t="shared" si="557"/>
        <v>FOR</v>
      </c>
      <c r="AY6597" t="s">
        <v>55</v>
      </c>
    </row>
    <row r="6598" spans="1:51" hidden="1">
      <c r="A6598">
        <v>104084</v>
      </c>
      <c r="B6598" t="s">
        <v>1208</v>
      </c>
      <c r="C6598" t="str">
        <f t="shared" si="556"/>
        <v>13144290155</v>
      </c>
      <c r="D6598" t="str">
        <f t="shared" si="556"/>
        <v>13144290155</v>
      </c>
      <c r="E6598" t="s">
        <v>52</v>
      </c>
      <c r="F6598">
        <v>2014</v>
      </c>
      <c r="G6598">
        <v>14304300</v>
      </c>
      <c r="H6598" s="1">
        <v>41729</v>
      </c>
      <c r="I6598" s="1">
        <v>41743</v>
      </c>
      <c r="J6598" s="1">
        <v>41743</v>
      </c>
      <c r="K6598" s="1">
        <v>41833</v>
      </c>
      <c r="N6598" s="5"/>
      <c r="O6598">
        <v>473.36</v>
      </c>
      <c r="P6598">
        <v>242</v>
      </c>
      <c r="Q6598" s="2">
        <v>114553.12</v>
      </c>
      <c r="R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 s="1">
        <v>42382</v>
      </c>
      <c r="AC6598" t="s">
        <v>53</v>
      </c>
      <c r="AD6598" t="s">
        <v>53</v>
      </c>
      <c r="AK6598">
        <v>0</v>
      </c>
      <c r="AU6598" s="6">
        <v>42075</v>
      </c>
      <c r="AV6598" s="6">
        <v>42075</v>
      </c>
      <c r="AW6598" t="s">
        <v>54</v>
      </c>
      <c r="AX6598" t="str">
        <f t="shared" si="557"/>
        <v>FOR</v>
      </c>
      <c r="AY6598" t="s">
        <v>55</v>
      </c>
    </row>
    <row r="6599" spans="1:51" hidden="1">
      <c r="A6599">
        <v>104084</v>
      </c>
      <c r="B6599" t="s">
        <v>1208</v>
      </c>
      <c r="C6599" t="str">
        <f t="shared" si="556"/>
        <v>13144290155</v>
      </c>
      <c r="D6599" t="str">
        <f t="shared" si="556"/>
        <v>13144290155</v>
      </c>
      <c r="E6599" t="s">
        <v>52</v>
      </c>
      <c r="F6599">
        <v>2014</v>
      </c>
      <c r="G6599">
        <v>14304485</v>
      </c>
      <c r="H6599" s="1">
        <v>41731</v>
      </c>
      <c r="I6599" s="1">
        <v>41743</v>
      </c>
      <c r="J6599" s="1">
        <v>41743</v>
      </c>
      <c r="K6599" s="1">
        <v>41833</v>
      </c>
      <c r="N6599" s="5"/>
      <c r="O6599">
        <v>515.33000000000004</v>
      </c>
      <c r="P6599">
        <v>263</v>
      </c>
      <c r="Q6599" s="2">
        <v>135531.79</v>
      </c>
      <c r="R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 s="1">
        <v>42382</v>
      </c>
      <c r="AC6599" t="s">
        <v>53</v>
      </c>
      <c r="AD6599" t="s">
        <v>53</v>
      </c>
      <c r="AK6599">
        <v>0</v>
      </c>
      <c r="AU6599" s="6">
        <v>42096</v>
      </c>
      <c r="AV6599" s="6">
        <v>42096</v>
      </c>
      <c r="AW6599" t="s">
        <v>54</v>
      </c>
      <c r="AX6599" t="str">
        <f t="shared" si="557"/>
        <v>FOR</v>
      </c>
      <c r="AY6599" t="s">
        <v>55</v>
      </c>
    </row>
    <row r="6600" spans="1:51" hidden="1">
      <c r="A6600">
        <v>104084</v>
      </c>
      <c r="B6600" t="s">
        <v>1208</v>
      </c>
      <c r="C6600" t="str">
        <f t="shared" si="556"/>
        <v>13144290155</v>
      </c>
      <c r="D6600" t="str">
        <f t="shared" si="556"/>
        <v>13144290155</v>
      </c>
      <c r="E6600" t="s">
        <v>52</v>
      </c>
      <c r="F6600">
        <v>2014</v>
      </c>
      <c r="G6600">
        <v>14304935</v>
      </c>
      <c r="H6600" s="1">
        <v>41740</v>
      </c>
      <c r="I6600" s="1">
        <v>41771</v>
      </c>
      <c r="J6600" s="1">
        <v>41771</v>
      </c>
      <c r="K6600" s="1">
        <v>41861</v>
      </c>
      <c r="N6600" s="5"/>
      <c r="O6600">
        <v>353.8</v>
      </c>
      <c r="P6600">
        <v>235</v>
      </c>
      <c r="Q6600" s="2">
        <v>83143</v>
      </c>
      <c r="R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 s="1">
        <v>42382</v>
      </c>
      <c r="AC6600" t="s">
        <v>53</v>
      </c>
      <c r="AD6600" t="s">
        <v>53</v>
      </c>
      <c r="AK6600">
        <v>0</v>
      </c>
      <c r="AU6600" s="6">
        <v>42096</v>
      </c>
      <c r="AV6600" s="6">
        <v>42096</v>
      </c>
      <c r="AW6600" t="s">
        <v>54</v>
      </c>
      <c r="AX6600" t="str">
        <f t="shared" si="557"/>
        <v>FOR</v>
      </c>
      <c r="AY6600" t="s">
        <v>55</v>
      </c>
    </row>
    <row r="6601" spans="1:51" hidden="1">
      <c r="A6601">
        <v>104084</v>
      </c>
      <c r="B6601" t="s">
        <v>1208</v>
      </c>
      <c r="C6601" t="str">
        <f t="shared" si="556"/>
        <v>13144290155</v>
      </c>
      <c r="D6601" t="str">
        <f t="shared" si="556"/>
        <v>13144290155</v>
      </c>
      <c r="E6601" t="s">
        <v>52</v>
      </c>
      <c r="F6601">
        <v>2014</v>
      </c>
      <c r="G6601">
        <v>14306121</v>
      </c>
      <c r="H6601" s="1">
        <v>41774</v>
      </c>
      <c r="I6601" s="1">
        <v>41789</v>
      </c>
      <c r="J6601" s="1">
        <v>41789</v>
      </c>
      <c r="K6601" s="1">
        <v>41879</v>
      </c>
      <c r="N6601" s="5"/>
      <c r="O6601" s="2">
        <v>3050</v>
      </c>
      <c r="P6601">
        <v>217</v>
      </c>
      <c r="Q6601" s="2">
        <v>661850</v>
      </c>
      <c r="R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 s="1">
        <v>42382</v>
      </c>
      <c r="AC6601" t="s">
        <v>53</v>
      </c>
      <c r="AD6601" t="s">
        <v>53</v>
      </c>
      <c r="AK6601">
        <v>0</v>
      </c>
      <c r="AU6601" s="6">
        <v>42096</v>
      </c>
      <c r="AV6601" s="6">
        <v>42096</v>
      </c>
      <c r="AW6601" t="s">
        <v>54</v>
      </c>
      <c r="AX6601" t="str">
        <f t="shared" si="557"/>
        <v>FOR</v>
      </c>
      <c r="AY6601" t="s">
        <v>55</v>
      </c>
    </row>
    <row r="6602" spans="1:51" hidden="1">
      <c r="A6602">
        <v>104084</v>
      </c>
      <c r="B6602" t="s">
        <v>1208</v>
      </c>
      <c r="C6602" t="str">
        <f t="shared" si="556"/>
        <v>13144290155</v>
      </c>
      <c r="D6602" t="str">
        <f t="shared" si="556"/>
        <v>13144290155</v>
      </c>
      <c r="E6602" t="s">
        <v>52</v>
      </c>
      <c r="F6602">
        <v>2014</v>
      </c>
      <c r="G6602">
        <v>14307904</v>
      </c>
      <c r="H6602" s="1">
        <v>41815</v>
      </c>
      <c r="I6602" s="1">
        <v>41837</v>
      </c>
      <c r="J6602" s="1">
        <v>41837</v>
      </c>
      <c r="K6602" s="1">
        <v>41927</v>
      </c>
      <c r="N6602" s="5"/>
      <c r="O6602" s="2">
        <v>1464</v>
      </c>
      <c r="P6602">
        <v>231</v>
      </c>
      <c r="Q6602" s="2">
        <v>338184</v>
      </c>
      <c r="R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 s="1">
        <v>42382</v>
      </c>
      <c r="AC6602" t="s">
        <v>53</v>
      </c>
      <c r="AD6602" t="s">
        <v>53</v>
      </c>
      <c r="AK6602">
        <v>0</v>
      </c>
      <c r="AU6602" s="6">
        <v>42158</v>
      </c>
      <c r="AV6602" s="6">
        <v>42158</v>
      </c>
      <c r="AW6602" t="s">
        <v>54</v>
      </c>
      <c r="AX6602" t="str">
        <f t="shared" si="557"/>
        <v>FOR</v>
      </c>
      <c r="AY6602" t="s">
        <v>55</v>
      </c>
    </row>
    <row r="6603" spans="1:51" hidden="1">
      <c r="A6603">
        <v>104084</v>
      </c>
      <c r="B6603" t="s">
        <v>1208</v>
      </c>
      <c r="C6603" t="str">
        <f t="shared" si="556"/>
        <v>13144290155</v>
      </c>
      <c r="D6603" t="str">
        <f t="shared" si="556"/>
        <v>13144290155</v>
      </c>
      <c r="E6603" t="s">
        <v>52</v>
      </c>
      <c r="F6603">
        <v>2014</v>
      </c>
      <c r="G6603">
        <v>14308808</v>
      </c>
      <c r="H6603" s="1">
        <v>41836</v>
      </c>
      <c r="I6603" s="1">
        <v>41849</v>
      </c>
      <c r="J6603" s="1">
        <v>41849</v>
      </c>
      <c r="K6603" s="1">
        <v>41939</v>
      </c>
      <c r="N6603" s="5"/>
      <c r="O6603" s="2">
        <v>9711.2000000000007</v>
      </c>
      <c r="P6603">
        <v>245</v>
      </c>
      <c r="Q6603" s="2">
        <v>2379244</v>
      </c>
      <c r="R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 s="1">
        <v>42382</v>
      </c>
      <c r="AC6603" t="s">
        <v>53</v>
      </c>
      <c r="AD6603" t="s">
        <v>53</v>
      </c>
      <c r="AK6603">
        <v>0</v>
      </c>
      <c r="AU6603" s="6">
        <v>42184</v>
      </c>
      <c r="AV6603" s="6">
        <v>42184</v>
      </c>
      <c r="AW6603" t="s">
        <v>54</v>
      </c>
      <c r="AX6603" t="str">
        <f t="shared" si="557"/>
        <v>FOR</v>
      </c>
      <c r="AY6603" t="s">
        <v>55</v>
      </c>
    </row>
    <row r="6604" spans="1:51" hidden="1">
      <c r="A6604">
        <v>104084</v>
      </c>
      <c r="B6604" t="s">
        <v>1208</v>
      </c>
      <c r="C6604" t="str">
        <f t="shared" si="556"/>
        <v>13144290155</v>
      </c>
      <c r="D6604" t="str">
        <f t="shared" si="556"/>
        <v>13144290155</v>
      </c>
      <c r="E6604" t="s">
        <v>52</v>
      </c>
      <c r="F6604">
        <v>2014</v>
      </c>
      <c r="G6604">
        <v>14308943</v>
      </c>
      <c r="H6604" s="1">
        <v>41838</v>
      </c>
      <c r="I6604" s="1">
        <v>41849</v>
      </c>
      <c r="J6604" s="1">
        <v>41849</v>
      </c>
      <c r="K6604" s="1">
        <v>41939</v>
      </c>
      <c r="N6604" s="5"/>
      <c r="O6604" s="2">
        <v>10045.129999999999</v>
      </c>
      <c r="P6604">
        <v>245</v>
      </c>
      <c r="Q6604" s="2">
        <v>2461056.85</v>
      </c>
      <c r="R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 s="1">
        <v>42382</v>
      </c>
      <c r="AC6604" t="s">
        <v>53</v>
      </c>
      <c r="AD6604" t="s">
        <v>53</v>
      </c>
      <c r="AK6604">
        <v>0</v>
      </c>
      <c r="AU6604" s="6">
        <v>42184</v>
      </c>
      <c r="AV6604" s="6">
        <v>42184</v>
      </c>
      <c r="AW6604" t="s">
        <v>54</v>
      </c>
      <c r="AX6604" t="str">
        <f t="shared" si="557"/>
        <v>FOR</v>
      </c>
      <c r="AY6604" t="s">
        <v>55</v>
      </c>
    </row>
    <row r="6605" spans="1:51" hidden="1">
      <c r="A6605">
        <v>104084</v>
      </c>
      <c r="B6605" t="s">
        <v>1208</v>
      </c>
      <c r="C6605" t="str">
        <f t="shared" si="556"/>
        <v>13144290155</v>
      </c>
      <c r="D6605" t="str">
        <f t="shared" si="556"/>
        <v>13144290155</v>
      </c>
      <c r="E6605" t="s">
        <v>52</v>
      </c>
      <c r="F6605">
        <v>2014</v>
      </c>
      <c r="G6605">
        <v>14309843</v>
      </c>
      <c r="H6605" s="1">
        <v>41852</v>
      </c>
      <c r="I6605" s="1">
        <v>41883</v>
      </c>
      <c r="J6605" s="1">
        <v>41883</v>
      </c>
      <c r="K6605" s="1">
        <v>41973</v>
      </c>
      <c r="N6605" s="5"/>
      <c r="O6605">
        <v>946.72</v>
      </c>
      <c r="P6605">
        <v>211</v>
      </c>
      <c r="Q6605" s="2">
        <v>199757.92</v>
      </c>
      <c r="R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 s="1">
        <v>42382</v>
      </c>
      <c r="AC6605" t="s">
        <v>53</v>
      </c>
      <c r="AD6605" t="s">
        <v>53</v>
      </c>
      <c r="AK6605">
        <v>0</v>
      </c>
      <c r="AU6605" s="6">
        <v>42184</v>
      </c>
      <c r="AV6605" s="6">
        <v>42184</v>
      </c>
      <c r="AW6605" t="s">
        <v>54</v>
      </c>
      <c r="AX6605" t="str">
        <f t="shared" si="557"/>
        <v>FOR</v>
      </c>
      <c r="AY6605" t="s">
        <v>55</v>
      </c>
    </row>
    <row r="6606" spans="1:51" hidden="1">
      <c r="A6606">
        <v>104084</v>
      </c>
      <c r="B6606" t="s">
        <v>1208</v>
      </c>
      <c r="C6606" t="str">
        <f t="shared" si="556"/>
        <v>13144290155</v>
      </c>
      <c r="D6606" t="str">
        <f t="shared" si="556"/>
        <v>13144290155</v>
      </c>
      <c r="E6606" t="s">
        <v>52</v>
      </c>
      <c r="F6606">
        <v>2014</v>
      </c>
      <c r="G6606">
        <v>14311555</v>
      </c>
      <c r="H6606" s="1">
        <v>41908</v>
      </c>
      <c r="I6606" s="1">
        <v>41928</v>
      </c>
      <c r="J6606" s="1">
        <v>41928</v>
      </c>
      <c r="K6606" s="1">
        <v>41988</v>
      </c>
      <c r="N6606" s="5"/>
      <c r="O6606" s="2">
        <v>1061.4000000000001</v>
      </c>
      <c r="P6606">
        <v>261</v>
      </c>
      <c r="Q6606" s="2">
        <v>277025.40000000002</v>
      </c>
      <c r="R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 s="1">
        <v>42382</v>
      </c>
      <c r="AC6606" t="s">
        <v>53</v>
      </c>
      <c r="AD6606" t="s">
        <v>53</v>
      </c>
      <c r="AK6606">
        <v>0</v>
      </c>
      <c r="AU6606" s="6">
        <v>42249</v>
      </c>
      <c r="AV6606" s="6">
        <v>42249</v>
      </c>
      <c r="AW6606" t="s">
        <v>54</v>
      </c>
      <c r="AX6606" t="str">
        <f t="shared" si="557"/>
        <v>FOR</v>
      </c>
      <c r="AY6606" t="s">
        <v>55</v>
      </c>
    </row>
    <row r="6607" spans="1:51" hidden="1">
      <c r="A6607">
        <v>104084</v>
      </c>
      <c r="B6607" t="s">
        <v>1208</v>
      </c>
      <c r="C6607" t="str">
        <f t="shared" si="556"/>
        <v>13144290155</v>
      </c>
      <c r="D6607" t="str">
        <f t="shared" si="556"/>
        <v>13144290155</v>
      </c>
      <c r="E6607" t="s">
        <v>52</v>
      </c>
      <c r="F6607">
        <v>2014</v>
      </c>
      <c r="G6607">
        <v>14311620</v>
      </c>
      <c r="H6607" s="1">
        <v>41908</v>
      </c>
      <c r="I6607" s="1">
        <v>41928</v>
      </c>
      <c r="J6607" s="1">
        <v>41928</v>
      </c>
      <c r="K6607" s="1">
        <v>41988</v>
      </c>
      <c r="N6607" s="5"/>
      <c r="O6607" s="2">
        <v>1756.8</v>
      </c>
      <c r="P6607">
        <v>261</v>
      </c>
      <c r="Q6607" s="2">
        <v>458524.8</v>
      </c>
      <c r="R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 s="1">
        <v>42382</v>
      </c>
      <c r="AC6607" t="s">
        <v>53</v>
      </c>
      <c r="AD6607" t="s">
        <v>53</v>
      </c>
      <c r="AK6607">
        <v>0</v>
      </c>
      <c r="AU6607" s="6">
        <v>42249</v>
      </c>
      <c r="AV6607" s="6">
        <v>42249</v>
      </c>
      <c r="AW6607" t="s">
        <v>54</v>
      </c>
      <c r="AX6607" t="str">
        <f t="shared" si="557"/>
        <v>FOR</v>
      </c>
      <c r="AY6607" t="s">
        <v>55</v>
      </c>
    </row>
    <row r="6608" spans="1:51">
      <c r="A6608">
        <v>104084</v>
      </c>
      <c r="B6608" t="s">
        <v>1208</v>
      </c>
      <c r="C6608" t="str">
        <f t="shared" si="556"/>
        <v>13144290155</v>
      </c>
      <c r="D6608" t="str">
        <f t="shared" si="556"/>
        <v>13144290155</v>
      </c>
      <c r="E6608" t="s">
        <v>52</v>
      </c>
      <c r="F6608">
        <v>2014</v>
      </c>
      <c r="G6608">
        <v>14312218</v>
      </c>
      <c r="H6608" s="1">
        <v>41921</v>
      </c>
      <c r="I6608" s="1">
        <v>41935</v>
      </c>
      <c r="J6608" s="1">
        <v>41935</v>
      </c>
      <c r="K6608" s="1">
        <v>41995</v>
      </c>
      <c r="L6608" s="7">
        <v>2562</v>
      </c>
      <c r="M6608" s="5">
        <v>288</v>
      </c>
      <c r="N6608" s="7">
        <v>737856</v>
      </c>
      <c r="O6608" s="2">
        <v>2562</v>
      </c>
      <c r="P6608">
        <v>288</v>
      </c>
      <c r="Q6608" s="2">
        <v>737856</v>
      </c>
      <c r="R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 s="1">
        <v>42382</v>
      </c>
      <c r="AC6608" t="s">
        <v>53</v>
      </c>
      <c r="AD6608" t="s">
        <v>53</v>
      </c>
      <c r="AK6608">
        <v>0</v>
      </c>
      <c r="AU6608" s="6">
        <v>42283</v>
      </c>
      <c r="AV6608" s="6">
        <v>42283</v>
      </c>
      <c r="AW6608" t="s">
        <v>54</v>
      </c>
      <c r="AX6608" t="str">
        <f t="shared" si="557"/>
        <v>FOR</v>
      </c>
      <c r="AY6608" t="s">
        <v>55</v>
      </c>
    </row>
    <row r="6609" spans="1:51">
      <c r="A6609">
        <v>104084</v>
      </c>
      <c r="B6609" t="s">
        <v>1208</v>
      </c>
      <c r="C6609" t="str">
        <f t="shared" si="556"/>
        <v>13144290155</v>
      </c>
      <c r="D6609" t="str">
        <f t="shared" si="556"/>
        <v>13144290155</v>
      </c>
      <c r="E6609" t="s">
        <v>52</v>
      </c>
      <c r="F6609">
        <v>2014</v>
      </c>
      <c r="G6609">
        <v>14312315</v>
      </c>
      <c r="H6609" s="1">
        <v>41922</v>
      </c>
      <c r="I6609" s="1">
        <v>41935</v>
      </c>
      <c r="J6609" s="1">
        <v>41935</v>
      </c>
      <c r="K6609" s="1">
        <v>41995</v>
      </c>
      <c r="L6609" s="7">
        <v>473.36</v>
      </c>
      <c r="M6609" s="5">
        <v>288</v>
      </c>
      <c r="N6609" s="7">
        <v>136327.67999999999</v>
      </c>
      <c r="O6609">
        <v>473.36</v>
      </c>
      <c r="P6609">
        <v>288</v>
      </c>
      <c r="Q6609" s="2">
        <v>136327.67999999999</v>
      </c>
      <c r="R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 s="1">
        <v>42382</v>
      </c>
      <c r="AC6609" t="s">
        <v>53</v>
      </c>
      <c r="AD6609" t="s">
        <v>53</v>
      </c>
      <c r="AK6609">
        <v>0</v>
      </c>
      <c r="AU6609" s="6">
        <v>42283</v>
      </c>
      <c r="AV6609" s="6">
        <v>42283</v>
      </c>
      <c r="AW6609" t="s">
        <v>54</v>
      </c>
      <c r="AX6609" t="str">
        <f t="shared" si="557"/>
        <v>FOR</v>
      </c>
      <c r="AY6609" t="s">
        <v>55</v>
      </c>
    </row>
    <row r="6610" spans="1:51">
      <c r="A6610">
        <v>104084</v>
      </c>
      <c r="B6610" t="s">
        <v>1208</v>
      </c>
      <c r="C6610" t="str">
        <f t="shared" si="556"/>
        <v>13144290155</v>
      </c>
      <c r="D6610" t="str">
        <f t="shared" si="556"/>
        <v>13144290155</v>
      </c>
      <c r="E6610" t="s">
        <v>52</v>
      </c>
      <c r="F6610">
        <v>2014</v>
      </c>
      <c r="G6610">
        <v>14312735</v>
      </c>
      <c r="H6610" s="1">
        <v>41933</v>
      </c>
      <c r="I6610" s="1">
        <v>41950</v>
      </c>
      <c r="J6610" s="1">
        <v>41950</v>
      </c>
      <c r="K6610" s="1">
        <v>42010</v>
      </c>
      <c r="L6610" s="7">
        <v>5856</v>
      </c>
      <c r="M6610" s="5">
        <v>273</v>
      </c>
      <c r="N6610" s="7">
        <v>1598688</v>
      </c>
      <c r="O6610" s="2">
        <v>5856</v>
      </c>
      <c r="P6610">
        <v>273</v>
      </c>
      <c r="Q6610" s="2">
        <v>1598688</v>
      </c>
      <c r="R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 s="1">
        <v>42382</v>
      </c>
      <c r="AC6610" t="s">
        <v>53</v>
      </c>
      <c r="AD6610" t="s">
        <v>53</v>
      </c>
      <c r="AK6610">
        <v>0</v>
      </c>
      <c r="AU6610" s="6">
        <v>42283</v>
      </c>
      <c r="AV6610" s="6">
        <v>42283</v>
      </c>
      <c r="AW6610" t="s">
        <v>54</v>
      </c>
      <c r="AX6610" t="str">
        <f t="shared" si="557"/>
        <v>FOR</v>
      </c>
      <c r="AY6610" t="s">
        <v>55</v>
      </c>
    </row>
    <row r="6611" spans="1:51">
      <c r="A6611">
        <v>104084</v>
      </c>
      <c r="B6611" t="s">
        <v>1208</v>
      </c>
      <c r="C6611" t="str">
        <f t="shared" si="556"/>
        <v>13144290155</v>
      </c>
      <c r="D6611" t="str">
        <f t="shared" si="556"/>
        <v>13144290155</v>
      </c>
      <c r="E6611" t="s">
        <v>52</v>
      </c>
      <c r="F6611">
        <v>2014</v>
      </c>
      <c r="G6611">
        <v>2014313757</v>
      </c>
      <c r="H6611" s="1">
        <v>41955</v>
      </c>
      <c r="I6611" s="1">
        <v>42264</v>
      </c>
      <c r="J6611" s="1">
        <v>42264</v>
      </c>
      <c r="K6611" s="1">
        <v>42324</v>
      </c>
      <c r="L6611" s="7">
        <v>1480.65</v>
      </c>
      <c r="M6611" s="5">
        <v>-25</v>
      </c>
      <c r="N6611" s="7">
        <v>-37016.25</v>
      </c>
      <c r="O6611" s="2">
        <v>1480.65</v>
      </c>
      <c r="P6611">
        <v>-25</v>
      </c>
      <c r="Q6611" s="2">
        <v>-37016.25</v>
      </c>
      <c r="R6611">
        <v>0</v>
      </c>
      <c r="V6611">
        <v>0</v>
      </c>
      <c r="W6611">
        <v>0</v>
      </c>
      <c r="X6611">
        <v>0</v>
      </c>
      <c r="Y6611">
        <v>0</v>
      </c>
      <c r="Z6611" s="2">
        <v>1480.65</v>
      </c>
      <c r="AA6611">
        <v>0</v>
      </c>
      <c r="AB6611" s="1">
        <v>42382</v>
      </c>
      <c r="AC6611" t="s">
        <v>53</v>
      </c>
      <c r="AD6611" t="s">
        <v>53</v>
      </c>
      <c r="AK6611">
        <v>0</v>
      </c>
      <c r="AU6611" s="6">
        <v>42299</v>
      </c>
      <c r="AV6611" s="6">
        <v>42299</v>
      </c>
      <c r="AW6611" t="s">
        <v>54</v>
      </c>
      <c r="AX6611" t="str">
        <f t="shared" si="557"/>
        <v>FOR</v>
      </c>
      <c r="AY6611" t="s">
        <v>55</v>
      </c>
    </row>
    <row r="6612" spans="1:51">
      <c r="A6612">
        <v>104084</v>
      </c>
      <c r="B6612" t="s">
        <v>1208</v>
      </c>
      <c r="C6612" t="str">
        <f t="shared" si="556"/>
        <v>13144290155</v>
      </c>
      <c r="D6612" t="str">
        <f t="shared" si="556"/>
        <v>13144290155</v>
      </c>
      <c r="E6612" t="s">
        <v>52</v>
      </c>
      <c r="F6612">
        <v>2014</v>
      </c>
      <c r="G6612">
        <v>2014314210</v>
      </c>
      <c r="H6612" s="1">
        <v>41963</v>
      </c>
      <c r="I6612" s="1">
        <v>42264</v>
      </c>
      <c r="J6612" s="1">
        <v>42264</v>
      </c>
      <c r="K6612" s="1">
        <v>42324</v>
      </c>
      <c r="L6612" s="7">
        <v>2562</v>
      </c>
      <c r="M6612" s="5">
        <v>-25</v>
      </c>
      <c r="N6612" s="7">
        <v>-64050</v>
      </c>
      <c r="O6612" s="2">
        <v>2562</v>
      </c>
      <c r="P6612">
        <v>-25</v>
      </c>
      <c r="Q6612" s="2">
        <v>-64050</v>
      </c>
      <c r="R6612">
        <v>0</v>
      </c>
      <c r="V6612">
        <v>0</v>
      </c>
      <c r="W6612">
        <v>0</v>
      </c>
      <c r="X6612">
        <v>0</v>
      </c>
      <c r="Y6612">
        <v>0</v>
      </c>
      <c r="Z6612" s="2">
        <v>2562</v>
      </c>
      <c r="AA6612">
        <v>0</v>
      </c>
      <c r="AB6612" s="1">
        <v>42382</v>
      </c>
      <c r="AC6612" t="s">
        <v>53</v>
      </c>
      <c r="AD6612" t="s">
        <v>53</v>
      </c>
      <c r="AK6612">
        <v>0</v>
      </c>
      <c r="AU6612" s="6">
        <v>42299</v>
      </c>
      <c r="AV6612" s="6">
        <v>42299</v>
      </c>
      <c r="AW6612" t="s">
        <v>54</v>
      </c>
      <c r="AX6612" t="str">
        <f t="shared" si="557"/>
        <v>FOR</v>
      </c>
      <c r="AY6612" t="s">
        <v>55</v>
      </c>
    </row>
    <row r="6613" spans="1:51">
      <c r="A6613">
        <v>104084</v>
      </c>
      <c r="B6613" t="s">
        <v>1208</v>
      </c>
      <c r="C6613" t="str">
        <f t="shared" si="556"/>
        <v>13144290155</v>
      </c>
      <c r="D6613" t="str">
        <f t="shared" si="556"/>
        <v>13144290155</v>
      </c>
      <c r="E6613" t="s">
        <v>52</v>
      </c>
      <c r="F6613">
        <v>2014</v>
      </c>
      <c r="G6613">
        <v>2014314212</v>
      </c>
      <c r="H6613" s="1">
        <v>41963</v>
      </c>
      <c r="I6613" s="1">
        <v>42264</v>
      </c>
      <c r="J6613" s="1">
        <v>42264</v>
      </c>
      <c r="K6613" s="1">
        <v>42324</v>
      </c>
      <c r="L6613" s="7">
        <v>8883.92</v>
      </c>
      <c r="M6613" s="5">
        <v>16</v>
      </c>
      <c r="N6613" s="7">
        <v>142142.72</v>
      </c>
      <c r="O6613" s="2">
        <v>8883.92</v>
      </c>
      <c r="P6613">
        <v>16</v>
      </c>
      <c r="Q6613" s="2">
        <v>142142.72</v>
      </c>
      <c r="R6613">
        <v>0</v>
      </c>
      <c r="V6613">
        <v>0</v>
      </c>
      <c r="W6613">
        <v>0</v>
      </c>
      <c r="X6613">
        <v>0</v>
      </c>
      <c r="Y6613">
        <v>0</v>
      </c>
      <c r="Z6613" s="2">
        <v>8883.92</v>
      </c>
      <c r="AA6613">
        <v>0</v>
      </c>
      <c r="AB6613" s="1">
        <v>42382</v>
      </c>
      <c r="AC6613" t="s">
        <v>53</v>
      </c>
      <c r="AD6613" t="s">
        <v>53</v>
      </c>
      <c r="AK6613">
        <v>0</v>
      </c>
      <c r="AU6613" s="6">
        <v>42340</v>
      </c>
      <c r="AV6613" s="6">
        <v>42340</v>
      </c>
      <c r="AW6613" t="s">
        <v>54</v>
      </c>
      <c r="AX6613" t="str">
        <f t="shared" si="557"/>
        <v>FOR</v>
      </c>
      <c r="AY6613" t="s">
        <v>55</v>
      </c>
    </row>
    <row r="6614" spans="1:51">
      <c r="A6614">
        <v>104084</v>
      </c>
      <c r="B6614" t="s">
        <v>1208</v>
      </c>
      <c r="C6614" t="str">
        <f t="shared" si="556"/>
        <v>13144290155</v>
      </c>
      <c r="D6614" t="str">
        <f t="shared" si="556"/>
        <v>13144290155</v>
      </c>
      <c r="E6614" t="s">
        <v>52</v>
      </c>
      <c r="F6614">
        <v>2014</v>
      </c>
      <c r="G6614">
        <v>2014315608</v>
      </c>
      <c r="H6614" s="1">
        <v>41995</v>
      </c>
      <c r="I6614" s="1">
        <v>42264</v>
      </c>
      <c r="J6614" s="1">
        <v>42264</v>
      </c>
      <c r="K6614" s="1">
        <v>42324</v>
      </c>
      <c r="L6614" s="7">
        <v>536.79999999999995</v>
      </c>
      <c r="M6614" s="5">
        <v>-25</v>
      </c>
      <c r="N6614" s="7">
        <v>-13420</v>
      </c>
      <c r="O6614">
        <v>536.79999999999995</v>
      </c>
      <c r="P6614">
        <v>-25</v>
      </c>
      <c r="Q6614" s="2">
        <v>-13420</v>
      </c>
      <c r="R6614">
        <v>0</v>
      </c>
      <c r="V6614">
        <v>0</v>
      </c>
      <c r="W6614">
        <v>0</v>
      </c>
      <c r="X6614">
        <v>0</v>
      </c>
      <c r="Y6614">
        <v>0</v>
      </c>
      <c r="Z6614">
        <v>536.79999999999995</v>
      </c>
      <c r="AA6614">
        <v>0</v>
      </c>
      <c r="AB6614" s="1">
        <v>42382</v>
      </c>
      <c r="AC6614" t="s">
        <v>53</v>
      </c>
      <c r="AD6614" t="s">
        <v>53</v>
      </c>
      <c r="AK6614">
        <v>0</v>
      </c>
      <c r="AU6614" s="6">
        <v>42299</v>
      </c>
      <c r="AV6614" s="6">
        <v>42299</v>
      </c>
      <c r="AW6614" t="s">
        <v>54</v>
      </c>
      <c r="AX6614" t="str">
        <f t="shared" si="557"/>
        <v>FOR</v>
      </c>
      <c r="AY6614" t="s">
        <v>55</v>
      </c>
    </row>
    <row r="6615" spans="1:51">
      <c r="A6615">
        <v>104084</v>
      </c>
      <c r="B6615" t="s">
        <v>1208</v>
      </c>
      <c r="C6615" t="str">
        <f t="shared" si="556"/>
        <v>13144290155</v>
      </c>
      <c r="D6615" t="str">
        <f t="shared" si="556"/>
        <v>13144290155</v>
      </c>
      <c r="E6615" t="s">
        <v>52</v>
      </c>
      <c r="F6615">
        <v>2015</v>
      </c>
      <c r="G6615">
        <v>2015300327</v>
      </c>
      <c r="H6615" s="1">
        <v>42019</v>
      </c>
      <c r="I6615" s="1">
        <v>42265</v>
      </c>
      <c r="J6615" s="1">
        <v>42265</v>
      </c>
      <c r="K6615" s="1">
        <v>42325</v>
      </c>
      <c r="L6615" s="7">
        <v>8580</v>
      </c>
      <c r="M6615" s="5">
        <v>30</v>
      </c>
      <c r="N6615" s="7">
        <v>257400</v>
      </c>
      <c r="O6615" s="2">
        <v>8580</v>
      </c>
      <c r="P6615">
        <v>30</v>
      </c>
      <c r="Q6615" s="2">
        <v>257400</v>
      </c>
      <c r="R6615" s="2">
        <v>1887.6</v>
      </c>
      <c r="V6615">
        <v>0</v>
      </c>
      <c r="W6615">
        <v>0</v>
      </c>
      <c r="X6615">
        <v>0</v>
      </c>
      <c r="Y6615" s="2">
        <v>10467.6</v>
      </c>
      <c r="Z6615" s="2">
        <v>10467.6</v>
      </c>
      <c r="AA6615" s="2">
        <v>10467.6</v>
      </c>
      <c r="AB6615" s="1">
        <v>42382</v>
      </c>
      <c r="AC6615" t="s">
        <v>53</v>
      </c>
      <c r="AD6615" t="s">
        <v>53</v>
      </c>
      <c r="AF6615" s="2">
        <v>1887.6</v>
      </c>
      <c r="AK6615">
        <v>0</v>
      </c>
      <c r="AU6615" s="6">
        <v>42355</v>
      </c>
      <c r="AV6615" s="6">
        <v>42355</v>
      </c>
      <c r="AW6615" t="s">
        <v>54</v>
      </c>
      <c r="AX6615" t="str">
        <f t="shared" si="557"/>
        <v>FOR</v>
      </c>
      <c r="AY6615" t="s">
        <v>55</v>
      </c>
    </row>
    <row r="6616" spans="1:51">
      <c r="A6616">
        <v>104084</v>
      </c>
      <c r="B6616" t="s">
        <v>1208</v>
      </c>
      <c r="C6616" t="str">
        <f t="shared" si="556"/>
        <v>13144290155</v>
      </c>
      <c r="D6616" t="str">
        <f t="shared" si="556"/>
        <v>13144290155</v>
      </c>
      <c r="E6616" t="s">
        <v>52</v>
      </c>
      <c r="F6616">
        <v>2015</v>
      </c>
      <c r="G6616">
        <v>2015300328</v>
      </c>
      <c r="H6616" s="1">
        <v>42019</v>
      </c>
      <c r="I6616" s="1">
        <v>42265</v>
      </c>
      <c r="J6616" s="1">
        <v>42265</v>
      </c>
      <c r="K6616" s="1">
        <v>42325</v>
      </c>
      <c r="L6616" s="7">
        <v>3150</v>
      </c>
      <c r="M6616" s="5">
        <v>30</v>
      </c>
      <c r="N6616" s="7">
        <v>94500</v>
      </c>
      <c r="O6616" s="2">
        <v>3150</v>
      </c>
      <c r="P6616">
        <v>30</v>
      </c>
      <c r="Q6616" s="2">
        <v>94500</v>
      </c>
      <c r="R6616">
        <v>693</v>
      </c>
      <c r="V6616">
        <v>0</v>
      </c>
      <c r="W6616">
        <v>0</v>
      </c>
      <c r="X6616">
        <v>0</v>
      </c>
      <c r="Y6616" s="2">
        <v>3843</v>
      </c>
      <c r="Z6616" s="2">
        <v>3843</v>
      </c>
      <c r="AA6616" s="2">
        <v>3843</v>
      </c>
      <c r="AB6616" s="1">
        <v>42382</v>
      </c>
      <c r="AC6616" t="s">
        <v>53</v>
      </c>
      <c r="AD6616" t="s">
        <v>53</v>
      </c>
      <c r="AF6616">
        <v>693</v>
      </c>
      <c r="AK6616">
        <v>0</v>
      </c>
      <c r="AU6616" s="6">
        <v>42355</v>
      </c>
      <c r="AV6616" s="6">
        <v>42355</v>
      </c>
      <c r="AW6616" t="s">
        <v>54</v>
      </c>
      <c r="AX6616" t="str">
        <f t="shared" si="557"/>
        <v>FOR</v>
      </c>
      <c r="AY6616" t="s">
        <v>55</v>
      </c>
    </row>
    <row r="6617" spans="1:51">
      <c r="A6617">
        <v>104084</v>
      </c>
      <c r="B6617" t="s">
        <v>1208</v>
      </c>
      <c r="C6617" t="str">
        <f t="shared" si="556"/>
        <v>13144290155</v>
      </c>
      <c r="D6617" t="str">
        <f t="shared" si="556"/>
        <v>13144290155</v>
      </c>
      <c r="E6617" t="s">
        <v>52</v>
      </c>
      <c r="F6617">
        <v>2015</v>
      </c>
      <c r="G6617">
        <v>2015300403</v>
      </c>
      <c r="H6617" s="1">
        <v>42020</v>
      </c>
      <c r="I6617" s="1">
        <v>42265</v>
      </c>
      <c r="J6617" s="1">
        <v>42265</v>
      </c>
      <c r="K6617" s="1">
        <v>42325</v>
      </c>
      <c r="L6617" s="7">
        <v>19622.900000000001</v>
      </c>
      <c r="M6617" s="5">
        <v>30</v>
      </c>
      <c r="N6617" s="7">
        <v>588687</v>
      </c>
      <c r="O6617" s="2">
        <v>19622.900000000001</v>
      </c>
      <c r="P6617">
        <v>30</v>
      </c>
      <c r="Q6617" s="2">
        <v>588687</v>
      </c>
      <c r="R6617" s="2">
        <v>4317.04</v>
      </c>
      <c r="V6617">
        <v>0</v>
      </c>
      <c r="W6617">
        <v>0</v>
      </c>
      <c r="X6617">
        <v>0</v>
      </c>
      <c r="Y6617" s="2">
        <v>23939.94</v>
      </c>
      <c r="Z6617" s="2">
        <v>23939.94</v>
      </c>
      <c r="AA6617" s="2">
        <v>23939.94</v>
      </c>
      <c r="AB6617" s="1">
        <v>42382</v>
      </c>
      <c r="AC6617" t="s">
        <v>53</v>
      </c>
      <c r="AD6617" t="s">
        <v>53</v>
      </c>
      <c r="AF6617" s="2">
        <v>4317.04</v>
      </c>
      <c r="AK6617">
        <v>0</v>
      </c>
      <c r="AU6617" s="6">
        <v>42355</v>
      </c>
      <c r="AV6617" s="6">
        <v>42355</v>
      </c>
      <c r="AW6617" t="s">
        <v>54</v>
      </c>
      <c r="AX6617" t="str">
        <f t="shared" si="557"/>
        <v>FOR</v>
      </c>
      <c r="AY6617" t="s">
        <v>55</v>
      </c>
    </row>
    <row r="6618" spans="1:51" hidden="1">
      <c r="A6618">
        <v>104092</v>
      </c>
      <c r="B6618" t="s">
        <v>1209</v>
      </c>
      <c r="C6618" t="str">
        <f>"11954900152"</f>
        <v>11954900152</v>
      </c>
      <c r="D6618" t="str">
        <f>"04875890156"</f>
        <v>04875890156</v>
      </c>
      <c r="E6618" t="s">
        <v>52</v>
      </c>
      <c r="F6618">
        <v>2014</v>
      </c>
      <c r="G6618">
        <v>11133</v>
      </c>
      <c r="H6618" s="1">
        <v>41775</v>
      </c>
      <c r="I6618" s="1">
        <v>41800</v>
      </c>
      <c r="J6618" s="1">
        <v>41800</v>
      </c>
      <c r="K6618" s="1">
        <v>41890</v>
      </c>
      <c r="N6618" s="5"/>
      <c r="O6618">
        <v>574.4</v>
      </c>
      <c r="P6618">
        <v>241</v>
      </c>
      <c r="Q6618" s="2">
        <v>138430.39999999999</v>
      </c>
      <c r="R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 s="1">
        <v>42382</v>
      </c>
      <c r="AC6618" t="s">
        <v>53</v>
      </c>
      <c r="AD6618" t="s">
        <v>53</v>
      </c>
      <c r="AK6618">
        <v>0</v>
      </c>
      <c r="AU6618" s="6">
        <v>42131</v>
      </c>
      <c r="AV6618" s="6">
        <v>42131</v>
      </c>
      <c r="AW6618" t="s">
        <v>54</v>
      </c>
      <c r="AX6618" t="str">
        <f t="shared" si="557"/>
        <v>FOR</v>
      </c>
      <c r="AY6618" t="s">
        <v>55</v>
      </c>
    </row>
    <row r="6619" spans="1:51" hidden="1">
      <c r="A6619">
        <v>104092</v>
      </c>
      <c r="B6619" t="s">
        <v>1209</v>
      </c>
      <c r="C6619" t="str">
        <f>"11954900152"</f>
        <v>11954900152</v>
      </c>
      <c r="D6619" t="str">
        <f>"04875890156"</f>
        <v>04875890156</v>
      </c>
      <c r="E6619" t="s">
        <v>52</v>
      </c>
      <c r="F6619">
        <v>2014</v>
      </c>
      <c r="G6619">
        <v>11643</v>
      </c>
      <c r="H6619" s="1">
        <v>41828</v>
      </c>
      <c r="I6619" s="1">
        <v>41841</v>
      </c>
      <c r="J6619" s="1">
        <v>41841</v>
      </c>
      <c r="K6619" s="1">
        <v>41931</v>
      </c>
      <c r="N6619" s="5"/>
      <c r="O6619">
        <v>574.4</v>
      </c>
      <c r="P6619">
        <v>253</v>
      </c>
      <c r="Q6619" s="2">
        <v>145323.20000000001</v>
      </c>
      <c r="R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 s="1">
        <v>42382</v>
      </c>
      <c r="AC6619" t="s">
        <v>53</v>
      </c>
      <c r="AD6619" t="s">
        <v>53</v>
      </c>
      <c r="AK6619">
        <v>0</v>
      </c>
      <c r="AU6619" s="6">
        <v>42184</v>
      </c>
      <c r="AV6619" s="6">
        <v>42184</v>
      </c>
      <c r="AW6619" t="s">
        <v>54</v>
      </c>
      <c r="AX6619" t="str">
        <f t="shared" si="557"/>
        <v>FOR</v>
      </c>
      <c r="AY6619" t="s">
        <v>55</v>
      </c>
    </row>
    <row r="6620" spans="1:51" hidden="1">
      <c r="A6620">
        <v>104092</v>
      </c>
      <c r="B6620" t="s">
        <v>1209</v>
      </c>
      <c r="C6620" t="str">
        <f>"11954900152"</f>
        <v>11954900152</v>
      </c>
      <c r="D6620" t="str">
        <f>"04875890156"</f>
        <v>04875890156</v>
      </c>
      <c r="E6620" t="s">
        <v>52</v>
      </c>
      <c r="F6620">
        <v>2014</v>
      </c>
      <c r="G6620">
        <v>12458</v>
      </c>
      <c r="H6620" s="1">
        <v>41914</v>
      </c>
      <c r="I6620" s="1">
        <v>41929</v>
      </c>
      <c r="J6620" s="1">
        <v>41929</v>
      </c>
      <c r="K6620" s="1">
        <v>41989</v>
      </c>
      <c r="N6620" s="5"/>
      <c r="O6620">
        <v>574.4</v>
      </c>
      <c r="P6620">
        <v>195</v>
      </c>
      <c r="Q6620" s="2">
        <v>112008</v>
      </c>
      <c r="R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 s="1">
        <v>42382</v>
      </c>
      <c r="AC6620" t="s">
        <v>53</v>
      </c>
      <c r="AD6620" t="s">
        <v>53</v>
      </c>
      <c r="AK6620">
        <v>0</v>
      </c>
      <c r="AU6620" s="6">
        <v>42184</v>
      </c>
      <c r="AV6620" s="6">
        <v>42184</v>
      </c>
      <c r="AW6620" t="s">
        <v>54</v>
      </c>
      <c r="AX6620" t="str">
        <f t="shared" si="557"/>
        <v>FOR</v>
      </c>
      <c r="AY6620" t="s">
        <v>55</v>
      </c>
    </row>
    <row r="6621" spans="1:51" hidden="1">
      <c r="A6621">
        <v>104093</v>
      </c>
      <c r="B6621" t="s">
        <v>1210</v>
      </c>
      <c r="C6621" t="str">
        <f t="shared" ref="C6621:C6684" si="558">"06032681006"</f>
        <v>06032681006</v>
      </c>
      <c r="D6621" t="str">
        <f t="shared" ref="D6621:D6684" si="559">"12572900152"</f>
        <v>12572900152</v>
      </c>
      <c r="E6621" t="s">
        <v>52</v>
      </c>
      <c r="F6621">
        <v>2011</v>
      </c>
      <c r="G6621">
        <v>63982</v>
      </c>
      <c r="H6621" s="1">
        <v>40562</v>
      </c>
      <c r="I6621" s="1">
        <v>41939</v>
      </c>
      <c r="J6621" s="1">
        <v>41939</v>
      </c>
      <c r="K6621" s="1">
        <v>41999</v>
      </c>
      <c r="N6621" s="5"/>
      <c r="O6621">
        <v>74.88</v>
      </c>
      <c r="P6621">
        <v>25</v>
      </c>
      <c r="Q6621" s="2">
        <v>1872</v>
      </c>
      <c r="R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 s="1">
        <v>42382</v>
      </c>
      <c r="AC6621" t="s">
        <v>53</v>
      </c>
      <c r="AD6621" t="s">
        <v>53</v>
      </c>
      <c r="AK6621">
        <v>0</v>
      </c>
      <c r="AU6621" s="6">
        <v>42024</v>
      </c>
      <c r="AV6621" s="6">
        <v>42024</v>
      </c>
      <c r="AW6621" t="s">
        <v>54</v>
      </c>
      <c r="AX6621" t="str">
        <f t="shared" si="557"/>
        <v>FOR</v>
      </c>
      <c r="AY6621" t="s">
        <v>55</v>
      </c>
    </row>
    <row r="6622" spans="1:51" hidden="1">
      <c r="A6622">
        <v>104093</v>
      </c>
      <c r="B6622" t="s">
        <v>1210</v>
      </c>
      <c r="C6622" t="str">
        <f t="shared" si="558"/>
        <v>06032681006</v>
      </c>
      <c r="D6622" t="str">
        <f t="shared" si="559"/>
        <v>12572900152</v>
      </c>
      <c r="E6622" t="s">
        <v>52</v>
      </c>
      <c r="F6622">
        <v>2011</v>
      </c>
      <c r="G6622">
        <v>25003871</v>
      </c>
      <c r="H6622" s="1">
        <v>40750</v>
      </c>
      <c r="I6622" s="1">
        <v>41939</v>
      </c>
      <c r="J6622" s="1">
        <v>41939</v>
      </c>
      <c r="K6622" s="1">
        <v>41999</v>
      </c>
      <c r="N6622" s="5"/>
      <c r="O6622" s="2">
        <v>16529.759999999998</v>
      </c>
      <c r="P6622">
        <v>25</v>
      </c>
      <c r="Q6622" s="2">
        <v>413244</v>
      </c>
      <c r="R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 s="1">
        <v>42382</v>
      </c>
      <c r="AC6622" t="s">
        <v>53</v>
      </c>
      <c r="AD6622" t="s">
        <v>53</v>
      </c>
      <c r="AK6622">
        <v>0</v>
      </c>
      <c r="AU6622" s="6">
        <v>42024</v>
      </c>
      <c r="AV6622" s="6">
        <v>42024</v>
      </c>
      <c r="AW6622" t="s">
        <v>54</v>
      </c>
      <c r="AX6622" t="str">
        <f t="shared" si="557"/>
        <v>FOR</v>
      </c>
      <c r="AY6622" t="s">
        <v>55</v>
      </c>
    </row>
    <row r="6623" spans="1:51" hidden="1">
      <c r="A6623">
        <v>104093</v>
      </c>
      <c r="B6623" t="s">
        <v>1210</v>
      </c>
      <c r="C6623" t="str">
        <f t="shared" si="558"/>
        <v>06032681006</v>
      </c>
      <c r="D6623" t="str">
        <f t="shared" si="559"/>
        <v>12572900152</v>
      </c>
      <c r="E6623" t="s">
        <v>52</v>
      </c>
      <c r="F6623">
        <v>2011</v>
      </c>
      <c r="G6623">
        <v>25003872</v>
      </c>
      <c r="H6623" s="1">
        <v>40750</v>
      </c>
      <c r="I6623" s="1">
        <v>41939</v>
      </c>
      <c r="J6623" s="1">
        <v>41939</v>
      </c>
      <c r="K6623" s="1">
        <v>41999</v>
      </c>
      <c r="N6623" s="5"/>
      <c r="O6623" s="2">
        <v>4539.6000000000004</v>
      </c>
      <c r="P6623">
        <v>25</v>
      </c>
      <c r="Q6623" s="2">
        <v>113490</v>
      </c>
      <c r="R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 s="1">
        <v>42382</v>
      </c>
      <c r="AC6623" t="s">
        <v>53</v>
      </c>
      <c r="AD6623" t="s">
        <v>53</v>
      </c>
      <c r="AK6623">
        <v>0</v>
      </c>
      <c r="AU6623" s="6">
        <v>42024</v>
      </c>
      <c r="AV6623" s="6">
        <v>42024</v>
      </c>
      <c r="AW6623" t="s">
        <v>54</v>
      </c>
      <c r="AX6623" t="str">
        <f t="shared" si="557"/>
        <v>FOR</v>
      </c>
      <c r="AY6623" t="s">
        <v>55</v>
      </c>
    </row>
    <row r="6624" spans="1:51" hidden="1">
      <c r="A6624">
        <v>104093</v>
      </c>
      <c r="B6624" t="s">
        <v>1210</v>
      </c>
      <c r="C6624" t="str">
        <f t="shared" si="558"/>
        <v>06032681006</v>
      </c>
      <c r="D6624" t="str">
        <f t="shared" si="559"/>
        <v>12572900152</v>
      </c>
      <c r="E6624" t="s">
        <v>52</v>
      </c>
      <c r="F6624">
        <v>2012</v>
      </c>
      <c r="G6624">
        <v>25042322</v>
      </c>
      <c r="H6624" s="1">
        <v>40968</v>
      </c>
      <c r="I6624" s="1">
        <v>41975</v>
      </c>
      <c r="J6624" s="1">
        <v>41975</v>
      </c>
      <c r="K6624" s="1">
        <v>42035</v>
      </c>
      <c r="N6624" s="5"/>
      <c r="O6624">
        <v>-920.21</v>
      </c>
      <c r="P6624">
        <v>-11</v>
      </c>
      <c r="Q6624" s="2">
        <v>10122.31</v>
      </c>
      <c r="R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 s="1">
        <v>42382</v>
      </c>
      <c r="AC6624" t="s">
        <v>53</v>
      </c>
      <c r="AD6624" t="s">
        <v>53</v>
      </c>
      <c r="AK6624">
        <v>0</v>
      </c>
      <c r="AU6624" s="6">
        <v>42024</v>
      </c>
      <c r="AV6624" s="6">
        <v>42024</v>
      </c>
      <c r="AW6624" t="s">
        <v>54</v>
      </c>
      <c r="AX6624" t="str">
        <f t="shared" si="557"/>
        <v>FOR</v>
      </c>
      <c r="AY6624" t="s">
        <v>55</v>
      </c>
    </row>
    <row r="6625" spans="1:51" hidden="1">
      <c r="A6625">
        <v>104093</v>
      </c>
      <c r="B6625" t="s">
        <v>1210</v>
      </c>
      <c r="C6625" t="str">
        <f t="shared" si="558"/>
        <v>06032681006</v>
      </c>
      <c r="D6625" t="str">
        <f t="shared" si="559"/>
        <v>12572900152</v>
      </c>
      <c r="E6625" t="s">
        <v>52</v>
      </c>
      <c r="F6625">
        <v>2013</v>
      </c>
      <c r="G6625">
        <v>25130607</v>
      </c>
      <c r="H6625" s="1">
        <v>41484</v>
      </c>
      <c r="I6625" s="1">
        <v>41939</v>
      </c>
      <c r="J6625" s="1">
        <v>41939</v>
      </c>
      <c r="K6625" s="1">
        <v>41999</v>
      </c>
      <c r="N6625" s="5"/>
      <c r="O6625">
        <v>252.72</v>
      </c>
      <c r="P6625">
        <v>25</v>
      </c>
      <c r="Q6625" s="2">
        <v>6318</v>
      </c>
      <c r="R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 s="1">
        <v>42382</v>
      </c>
      <c r="AC6625" t="s">
        <v>53</v>
      </c>
      <c r="AD6625" t="s">
        <v>53</v>
      </c>
      <c r="AK6625">
        <v>0</v>
      </c>
      <c r="AU6625" s="6">
        <v>42024</v>
      </c>
      <c r="AV6625" s="6">
        <v>42024</v>
      </c>
      <c r="AW6625" t="s">
        <v>54</v>
      </c>
      <c r="AX6625" t="str">
        <f t="shared" si="557"/>
        <v>FOR</v>
      </c>
      <c r="AY6625" t="s">
        <v>55</v>
      </c>
    </row>
    <row r="6626" spans="1:51" hidden="1">
      <c r="A6626">
        <v>104093</v>
      </c>
      <c r="B6626" t="s">
        <v>1210</v>
      </c>
      <c r="C6626" t="str">
        <f t="shared" si="558"/>
        <v>06032681006</v>
      </c>
      <c r="D6626" t="str">
        <f t="shared" si="559"/>
        <v>12572900152</v>
      </c>
      <c r="E6626" t="s">
        <v>52</v>
      </c>
      <c r="F6626">
        <v>2013</v>
      </c>
      <c r="G6626">
        <v>25130608</v>
      </c>
      <c r="H6626" s="1">
        <v>41484</v>
      </c>
      <c r="I6626" s="1">
        <v>41939</v>
      </c>
      <c r="J6626" s="1">
        <v>41939</v>
      </c>
      <c r="K6626" s="1">
        <v>41999</v>
      </c>
      <c r="N6626" s="5"/>
      <c r="O6626">
        <v>707.62</v>
      </c>
      <c r="P6626">
        <v>25</v>
      </c>
      <c r="Q6626" s="2">
        <v>17690.5</v>
      </c>
      <c r="R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 s="1">
        <v>42382</v>
      </c>
      <c r="AC6626" t="s">
        <v>53</v>
      </c>
      <c r="AD6626" t="s">
        <v>53</v>
      </c>
      <c r="AK6626">
        <v>0</v>
      </c>
      <c r="AU6626" s="6">
        <v>42024</v>
      </c>
      <c r="AV6626" s="6">
        <v>42024</v>
      </c>
      <c r="AW6626" t="s">
        <v>54</v>
      </c>
      <c r="AX6626" t="str">
        <f t="shared" si="557"/>
        <v>FOR</v>
      </c>
      <c r="AY6626" t="s">
        <v>55</v>
      </c>
    </row>
    <row r="6627" spans="1:51" hidden="1">
      <c r="A6627">
        <v>104093</v>
      </c>
      <c r="B6627" t="s">
        <v>1210</v>
      </c>
      <c r="C6627" t="str">
        <f t="shared" si="558"/>
        <v>06032681006</v>
      </c>
      <c r="D6627" t="str">
        <f t="shared" si="559"/>
        <v>12572900152</v>
      </c>
      <c r="E6627" t="s">
        <v>52</v>
      </c>
      <c r="F6627">
        <v>2013</v>
      </c>
      <c r="G6627">
        <v>25130609</v>
      </c>
      <c r="H6627" s="1">
        <v>41484</v>
      </c>
      <c r="I6627" s="1">
        <v>41939</v>
      </c>
      <c r="J6627" s="1">
        <v>41939</v>
      </c>
      <c r="K6627" s="1">
        <v>41999</v>
      </c>
      <c r="N6627" s="5"/>
      <c r="O6627">
        <v>74.88</v>
      </c>
      <c r="P6627">
        <v>25</v>
      </c>
      <c r="Q6627" s="2">
        <v>1872</v>
      </c>
      <c r="R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 s="1">
        <v>42382</v>
      </c>
      <c r="AC6627" t="s">
        <v>53</v>
      </c>
      <c r="AD6627" t="s">
        <v>53</v>
      </c>
      <c r="AK6627">
        <v>0</v>
      </c>
      <c r="AU6627" s="6">
        <v>42024</v>
      </c>
      <c r="AV6627" s="6">
        <v>42024</v>
      </c>
      <c r="AW6627" t="s">
        <v>54</v>
      </c>
      <c r="AX6627" t="str">
        <f t="shared" si="557"/>
        <v>FOR</v>
      </c>
      <c r="AY6627" t="s">
        <v>55</v>
      </c>
    </row>
    <row r="6628" spans="1:51" hidden="1">
      <c r="A6628">
        <v>104093</v>
      </c>
      <c r="B6628" t="s">
        <v>1210</v>
      </c>
      <c r="C6628" t="str">
        <f t="shared" si="558"/>
        <v>06032681006</v>
      </c>
      <c r="D6628" t="str">
        <f t="shared" si="559"/>
        <v>12572900152</v>
      </c>
      <c r="E6628" t="s">
        <v>52</v>
      </c>
      <c r="F6628">
        <v>2013</v>
      </c>
      <c r="G6628">
        <v>25130610</v>
      </c>
      <c r="H6628" s="1">
        <v>41484</v>
      </c>
      <c r="I6628" s="1">
        <v>41939</v>
      </c>
      <c r="J6628" s="1">
        <v>41939</v>
      </c>
      <c r="K6628" s="1">
        <v>41999</v>
      </c>
      <c r="N6628" s="5"/>
      <c r="O6628">
        <v>74.88</v>
      </c>
      <c r="P6628">
        <v>25</v>
      </c>
      <c r="Q6628" s="2">
        <v>1872</v>
      </c>
      <c r="R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 s="1">
        <v>42382</v>
      </c>
      <c r="AC6628" t="s">
        <v>53</v>
      </c>
      <c r="AD6628" t="s">
        <v>53</v>
      </c>
      <c r="AK6628">
        <v>0</v>
      </c>
      <c r="AU6628" s="6">
        <v>42024</v>
      </c>
      <c r="AV6628" s="6">
        <v>42024</v>
      </c>
      <c r="AW6628" t="s">
        <v>54</v>
      </c>
      <c r="AX6628" t="str">
        <f t="shared" si="557"/>
        <v>FOR</v>
      </c>
      <c r="AY6628" t="s">
        <v>55</v>
      </c>
    </row>
    <row r="6629" spans="1:51" hidden="1">
      <c r="A6629">
        <v>104093</v>
      </c>
      <c r="B6629" t="s">
        <v>1210</v>
      </c>
      <c r="C6629" t="str">
        <f t="shared" si="558"/>
        <v>06032681006</v>
      </c>
      <c r="D6629" t="str">
        <f t="shared" si="559"/>
        <v>12572900152</v>
      </c>
      <c r="E6629" t="s">
        <v>52</v>
      </c>
      <c r="F6629">
        <v>2013</v>
      </c>
      <c r="G6629">
        <v>25130611</v>
      </c>
      <c r="H6629" s="1">
        <v>41484</v>
      </c>
      <c r="I6629" s="1">
        <v>41939</v>
      </c>
      <c r="J6629" s="1">
        <v>41939</v>
      </c>
      <c r="K6629" s="1">
        <v>41999</v>
      </c>
      <c r="N6629" s="5"/>
      <c r="O6629">
        <v>252.72</v>
      </c>
      <c r="P6629">
        <v>25</v>
      </c>
      <c r="Q6629" s="2">
        <v>6318</v>
      </c>
      <c r="R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 s="1">
        <v>42382</v>
      </c>
      <c r="AC6629" t="s">
        <v>53</v>
      </c>
      <c r="AD6629" t="s">
        <v>53</v>
      </c>
      <c r="AK6629">
        <v>0</v>
      </c>
      <c r="AU6629" s="6">
        <v>42024</v>
      </c>
      <c r="AV6629" s="6">
        <v>42024</v>
      </c>
      <c r="AW6629" t="s">
        <v>54</v>
      </c>
      <c r="AX6629" t="str">
        <f t="shared" si="557"/>
        <v>FOR</v>
      </c>
      <c r="AY6629" t="s">
        <v>55</v>
      </c>
    </row>
    <row r="6630" spans="1:51" hidden="1">
      <c r="A6630">
        <v>104093</v>
      </c>
      <c r="B6630" t="s">
        <v>1210</v>
      </c>
      <c r="C6630" t="str">
        <f t="shared" si="558"/>
        <v>06032681006</v>
      </c>
      <c r="D6630" t="str">
        <f t="shared" si="559"/>
        <v>12572900152</v>
      </c>
      <c r="E6630" t="s">
        <v>52</v>
      </c>
      <c r="F6630">
        <v>2013</v>
      </c>
      <c r="G6630">
        <v>25130612</v>
      </c>
      <c r="H6630" s="1">
        <v>41484</v>
      </c>
      <c r="I6630" s="1">
        <v>41939</v>
      </c>
      <c r="J6630" s="1">
        <v>41939</v>
      </c>
      <c r="K6630" s="1">
        <v>41999</v>
      </c>
      <c r="N6630" s="5"/>
      <c r="O6630">
        <v>707.62</v>
      </c>
      <c r="P6630">
        <v>25</v>
      </c>
      <c r="Q6630" s="2">
        <v>17690.5</v>
      </c>
      <c r="R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 s="1">
        <v>42382</v>
      </c>
      <c r="AC6630" t="s">
        <v>53</v>
      </c>
      <c r="AD6630" t="s">
        <v>53</v>
      </c>
      <c r="AK6630">
        <v>0</v>
      </c>
      <c r="AU6630" s="6">
        <v>42024</v>
      </c>
      <c r="AV6630" s="6">
        <v>42024</v>
      </c>
      <c r="AW6630" t="s">
        <v>54</v>
      </c>
      <c r="AX6630" t="str">
        <f t="shared" si="557"/>
        <v>FOR</v>
      </c>
      <c r="AY6630" t="s">
        <v>55</v>
      </c>
    </row>
    <row r="6631" spans="1:51" hidden="1">
      <c r="A6631">
        <v>104093</v>
      </c>
      <c r="B6631" t="s">
        <v>1210</v>
      </c>
      <c r="C6631" t="str">
        <f t="shared" si="558"/>
        <v>06032681006</v>
      </c>
      <c r="D6631" t="str">
        <f t="shared" si="559"/>
        <v>12572900152</v>
      </c>
      <c r="E6631" t="s">
        <v>52</v>
      </c>
      <c r="F6631">
        <v>2013</v>
      </c>
      <c r="G6631">
        <v>25147157</v>
      </c>
      <c r="H6631" s="1">
        <v>41586</v>
      </c>
      <c r="I6631" s="1">
        <v>41607</v>
      </c>
      <c r="J6631" s="1">
        <v>41607</v>
      </c>
      <c r="K6631" s="1">
        <v>41697</v>
      </c>
      <c r="N6631" s="5"/>
      <c r="O6631">
        <v>252.72</v>
      </c>
      <c r="P6631">
        <v>327</v>
      </c>
      <c r="Q6631" s="2">
        <v>82639.44</v>
      </c>
      <c r="R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 s="1">
        <v>42382</v>
      </c>
      <c r="AC6631" t="s">
        <v>53</v>
      </c>
      <c r="AD6631" t="s">
        <v>53</v>
      </c>
      <c r="AK6631">
        <v>0</v>
      </c>
      <c r="AU6631" s="6">
        <v>42024</v>
      </c>
      <c r="AV6631" s="6">
        <v>42024</v>
      </c>
      <c r="AW6631" t="s">
        <v>54</v>
      </c>
      <c r="AX6631" t="str">
        <f t="shared" si="557"/>
        <v>FOR</v>
      </c>
      <c r="AY6631" t="s">
        <v>55</v>
      </c>
    </row>
    <row r="6632" spans="1:51" hidden="1">
      <c r="A6632">
        <v>104093</v>
      </c>
      <c r="B6632" t="s">
        <v>1210</v>
      </c>
      <c r="C6632" t="str">
        <f t="shared" si="558"/>
        <v>06032681006</v>
      </c>
      <c r="D6632" t="str">
        <f t="shared" si="559"/>
        <v>12572900152</v>
      </c>
      <c r="E6632" t="s">
        <v>52</v>
      </c>
      <c r="F6632">
        <v>2013</v>
      </c>
      <c r="G6632">
        <v>25148138</v>
      </c>
      <c r="H6632" s="1">
        <v>41592</v>
      </c>
      <c r="I6632" s="1">
        <v>41611</v>
      </c>
      <c r="J6632" s="1">
        <v>41611</v>
      </c>
      <c r="K6632" s="1">
        <v>41701</v>
      </c>
      <c r="N6632" s="5"/>
      <c r="O6632">
        <v>936</v>
      </c>
      <c r="P6632">
        <v>429</v>
      </c>
      <c r="Q6632" s="2">
        <v>401544</v>
      </c>
      <c r="R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 s="1">
        <v>42382</v>
      </c>
      <c r="AC6632" t="s">
        <v>53</v>
      </c>
      <c r="AD6632" t="s">
        <v>53</v>
      </c>
      <c r="AK6632">
        <v>0</v>
      </c>
      <c r="AU6632" s="6">
        <v>42130</v>
      </c>
      <c r="AV6632" s="6">
        <v>42130</v>
      </c>
      <c r="AW6632" t="s">
        <v>54</v>
      </c>
      <c r="AX6632" t="str">
        <f t="shared" si="557"/>
        <v>FOR</v>
      </c>
      <c r="AY6632" t="s">
        <v>55</v>
      </c>
    </row>
    <row r="6633" spans="1:51" hidden="1">
      <c r="A6633">
        <v>104093</v>
      </c>
      <c r="B6633" t="s">
        <v>1210</v>
      </c>
      <c r="C6633" t="str">
        <f t="shared" si="558"/>
        <v>06032681006</v>
      </c>
      <c r="D6633" t="str">
        <f t="shared" si="559"/>
        <v>12572900152</v>
      </c>
      <c r="E6633" t="s">
        <v>52</v>
      </c>
      <c r="F6633">
        <v>2014</v>
      </c>
      <c r="G6633">
        <v>25081298</v>
      </c>
      <c r="H6633" s="1">
        <v>41205</v>
      </c>
      <c r="I6633" s="1">
        <v>41939</v>
      </c>
      <c r="J6633" s="1">
        <v>41939</v>
      </c>
      <c r="K6633" s="1">
        <v>41999</v>
      </c>
      <c r="N6633" s="5"/>
      <c r="O6633" s="2">
        <v>1737.84</v>
      </c>
      <c r="P6633">
        <v>25</v>
      </c>
      <c r="Q6633" s="2">
        <v>43446</v>
      </c>
      <c r="R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 s="1">
        <v>42382</v>
      </c>
      <c r="AC6633" t="s">
        <v>53</v>
      </c>
      <c r="AD6633" t="s">
        <v>53</v>
      </c>
      <c r="AK6633">
        <v>0</v>
      </c>
      <c r="AU6633" s="6">
        <v>42024</v>
      </c>
      <c r="AV6633" s="6">
        <v>42024</v>
      </c>
      <c r="AW6633" t="s">
        <v>54</v>
      </c>
      <c r="AX6633" t="str">
        <f t="shared" si="557"/>
        <v>FOR</v>
      </c>
      <c r="AY6633" t="s">
        <v>55</v>
      </c>
    </row>
    <row r="6634" spans="1:51" hidden="1">
      <c r="A6634">
        <v>104093</v>
      </c>
      <c r="B6634" t="s">
        <v>1210</v>
      </c>
      <c r="C6634" t="str">
        <f t="shared" si="558"/>
        <v>06032681006</v>
      </c>
      <c r="D6634" t="str">
        <f t="shared" si="559"/>
        <v>12572900152</v>
      </c>
      <c r="E6634" t="s">
        <v>52</v>
      </c>
      <c r="F6634">
        <v>2014</v>
      </c>
      <c r="G6634">
        <v>25159198</v>
      </c>
      <c r="H6634" s="1">
        <v>41656</v>
      </c>
      <c r="I6634" s="1">
        <v>41673</v>
      </c>
      <c r="J6634" s="1">
        <v>41673</v>
      </c>
      <c r="K6634" s="1">
        <v>41763</v>
      </c>
      <c r="N6634" s="5"/>
      <c r="O6634">
        <v>926.64</v>
      </c>
      <c r="P6634">
        <v>261</v>
      </c>
      <c r="Q6634" s="2">
        <v>241853.04</v>
      </c>
      <c r="R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 s="1">
        <v>42382</v>
      </c>
      <c r="AC6634" t="s">
        <v>53</v>
      </c>
      <c r="AD6634" t="s">
        <v>53</v>
      </c>
      <c r="AK6634">
        <v>0</v>
      </c>
      <c r="AU6634" s="6">
        <v>42024</v>
      </c>
      <c r="AV6634" s="6">
        <v>42024</v>
      </c>
      <c r="AW6634" t="s">
        <v>54</v>
      </c>
      <c r="AX6634" t="str">
        <f t="shared" si="557"/>
        <v>FOR</v>
      </c>
      <c r="AY6634" t="s">
        <v>55</v>
      </c>
    </row>
    <row r="6635" spans="1:51" hidden="1">
      <c r="A6635">
        <v>104093</v>
      </c>
      <c r="B6635" t="s">
        <v>1210</v>
      </c>
      <c r="C6635" t="str">
        <f t="shared" si="558"/>
        <v>06032681006</v>
      </c>
      <c r="D6635" t="str">
        <f t="shared" si="559"/>
        <v>12572900152</v>
      </c>
      <c r="E6635" t="s">
        <v>52</v>
      </c>
      <c r="F6635">
        <v>2014</v>
      </c>
      <c r="G6635">
        <v>25159199</v>
      </c>
      <c r="H6635" s="1">
        <v>41656</v>
      </c>
      <c r="I6635" s="1">
        <v>41673</v>
      </c>
      <c r="J6635" s="1">
        <v>41673</v>
      </c>
      <c r="K6635" s="1">
        <v>41763</v>
      </c>
      <c r="N6635" s="5"/>
      <c r="O6635">
        <v>252.72</v>
      </c>
      <c r="P6635">
        <v>261</v>
      </c>
      <c r="Q6635" s="2">
        <v>65959.92</v>
      </c>
      <c r="R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 s="1">
        <v>42382</v>
      </c>
      <c r="AC6635" t="s">
        <v>53</v>
      </c>
      <c r="AD6635" t="s">
        <v>53</v>
      </c>
      <c r="AK6635">
        <v>0</v>
      </c>
      <c r="AU6635" s="6">
        <v>42024</v>
      </c>
      <c r="AV6635" s="6">
        <v>42024</v>
      </c>
      <c r="AW6635" t="s">
        <v>54</v>
      </c>
      <c r="AX6635" t="str">
        <f t="shared" si="557"/>
        <v>FOR</v>
      </c>
      <c r="AY6635" t="s">
        <v>55</v>
      </c>
    </row>
    <row r="6636" spans="1:51" hidden="1">
      <c r="A6636">
        <v>104093</v>
      </c>
      <c r="B6636" t="s">
        <v>1210</v>
      </c>
      <c r="C6636" t="str">
        <f t="shared" si="558"/>
        <v>06032681006</v>
      </c>
      <c r="D6636" t="str">
        <f t="shared" si="559"/>
        <v>12572900152</v>
      </c>
      <c r="E6636" t="s">
        <v>52</v>
      </c>
      <c r="F6636">
        <v>2014</v>
      </c>
      <c r="G6636">
        <v>25159200</v>
      </c>
      <c r="H6636" s="1">
        <v>41656</v>
      </c>
      <c r="I6636" s="1">
        <v>41673</v>
      </c>
      <c r="J6636" s="1">
        <v>41673</v>
      </c>
      <c r="K6636" s="1">
        <v>41763</v>
      </c>
      <c r="N6636" s="5"/>
      <c r="O6636">
        <v>926.64</v>
      </c>
      <c r="P6636">
        <v>261</v>
      </c>
      <c r="Q6636" s="2">
        <v>241853.04</v>
      </c>
      <c r="R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 s="1">
        <v>42382</v>
      </c>
      <c r="AC6636" t="s">
        <v>53</v>
      </c>
      <c r="AD6636" t="s">
        <v>53</v>
      </c>
      <c r="AK6636">
        <v>0</v>
      </c>
      <c r="AU6636" s="6">
        <v>42024</v>
      </c>
      <c r="AV6636" s="6">
        <v>42024</v>
      </c>
      <c r="AW6636" t="s">
        <v>54</v>
      </c>
      <c r="AX6636" t="str">
        <f t="shared" si="557"/>
        <v>FOR</v>
      </c>
      <c r="AY6636" t="s">
        <v>55</v>
      </c>
    </row>
    <row r="6637" spans="1:51" hidden="1">
      <c r="A6637">
        <v>104093</v>
      </c>
      <c r="B6637" t="s">
        <v>1210</v>
      </c>
      <c r="C6637" t="str">
        <f t="shared" si="558"/>
        <v>06032681006</v>
      </c>
      <c r="D6637" t="str">
        <f t="shared" si="559"/>
        <v>12572900152</v>
      </c>
      <c r="E6637" t="s">
        <v>52</v>
      </c>
      <c r="F6637">
        <v>2014</v>
      </c>
      <c r="G6637">
        <v>25159201</v>
      </c>
      <c r="H6637" s="1">
        <v>41656</v>
      </c>
      <c r="I6637" s="1">
        <v>41673</v>
      </c>
      <c r="J6637" s="1">
        <v>41673</v>
      </c>
      <c r="K6637" s="1">
        <v>41763</v>
      </c>
      <c r="N6637" s="5"/>
      <c r="O6637">
        <v>74.88</v>
      </c>
      <c r="P6637">
        <v>261</v>
      </c>
      <c r="Q6637" s="2">
        <v>19543.68</v>
      </c>
      <c r="R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 s="1">
        <v>42382</v>
      </c>
      <c r="AC6637" t="s">
        <v>53</v>
      </c>
      <c r="AD6637" t="s">
        <v>53</v>
      </c>
      <c r="AK6637">
        <v>0</v>
      </c>
      <c r="AU6637" s="6">
        <v>42024</v>
      </c>
      <c r="AV6637" s="6">
        <v>42024</v>
      </c>
      <c r="AW6637" t="s">
        <v>54</v>
      </c>
      <c r="AX6637" t="str">
        <f t="shared" si="557"/>
        <v>FOR</v>
      </c>
      <c r="AY6637" t="s">
        <v>55</v>
      </c>
    </row>
    <row r="6638" spans="1:51" hidden="1">
      <c r="A6638">
        <v>104093</v>
      </c>
      <c r="B6638" t="s">
        <v>1210</v>
      </c>
      <c r="C6638" t="str">
        <f t="shared" si="558"/>
        <v>06032681006</v>
      </c>
      <c r="D6638" t="str">
        <f t="shared" si="559"/>
        <v>12572900152</v>
      </c>
      <c r="E6638" t="s">
        <v>52</v>
      </c>
      <c r="F6638">
        <v>2014</v>
      </c>
      <c r="G6638">
        <v>25159202</v>
      </c>
      <c r="H6638" s="1">
        <v>41656</v>
      </c>
      <c r="I6638" s="1">
        <v>41673</v>
      </c>
      <c r="J6638" s="1">
        <v>41673</v>
      </c>
      <c r="K6638" s="1">
        <v>41763</v>
      </c>
      <c r="N6638" s="5"/>
      <c r="O6638">
        <v>252.72</v>
      </c>
      <c r="P6638">
        <v>261</v>
      </c>
      <c r="Q6638" s="2">
        <v>65959.92</v>
      </c>
      <c r="R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 s="1">
        <v>42382</v>
      </c>
      <c r="AC6638" t="s">
        <v>53</v>
      </c>
      <c r="AD6638" t="s">
        <v>53</v>
      </c>
      <c r="AK6638">
        <v>0</v>
      </c>
      <c r="AU6638" s="6">
        <v>42024</v>
      </c>
      <c r="AV6638" s="6">
        <v>42024</v>
      </c>
      <c r="AW6638" t="s">
        <v>54</v>
      </c>
      <c r="AX6638" t="str">
        <f t="shared" si="557"/>
        <v>FOR</v>
      </c>
      <c r="AY6638" t="s">
        <v>55</v>
      </c>
    </row>
    <row r="6639" spans="1:51" hidden="1">
      <c r="A6639">
        <v>104093</v>
      </c>
      <c r="B6639" t="s">
        <v>1210</v>
      </c>
      <c r="C6639" t="str">
        <f t="shared" si="558"/>
        <v>06032681006</v>
      </c>
      <c r="D6639" t="str">
        <f t="shared" si="559"/>
        <v>12572900152</v>
      </c>
      <c r="E6639" t="s">
        <v>52</v>
      </c>
      <c r="F6639">
        <v>2014</v>
      </c>
      <c r="G6639">
        <v>25159203</v>
      </c>
      <c r="H6639" s="1">
        <v>41656</v>
      </c>
      <c r="I6639" s="1">
        <v>41673</v>
      </c>
      <c r="J6639" s="1">
        <v>41673</v>
      </c>
      <c r="K6639" s="1">
        <v>41763</v>
      </c>
      <c r="N6639" s="5"/>
      <c r="O6639">
        <v>252.72</v>
      </c>
      <c r="P6639">
        <v>261</v>
      </c>
      <c r="Q6639" s="2">
        <v>65959.92</v>
      </c>
      <c r="R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 s="1">
        <v>42382</v>
      </c>
      <c r="AC6639" t="s">
        <v>53</v>
      </c>
      <c r="AD6639" t="s">
        <v>53</v>
      </c>
      <c r="AK6639">
        <v>0</v>
      </c>
      <c r="AU6639" s="6">
        <v>42024</v>
      </c>
      <c r="AV6639" s="6">
        <v>42024</v>
      </c>
      <c r="AW6639" t="s">
        <v>54</v>
      </c>
      <c r="AX6639" t="str">
        <f t="shared" si="557"/>
        <v>FOR</v>
      </c>
      <c r="AY6639" t="s">
        <v>55</v>
      </c>
    </row>
    <row r="6640" spans="1:51" hidden="1">
      <c r="A6640">
        <v>104093</v>
      </c>
      <c r="B6640" t="s">
        <v>1210</v>
      </c>
      <c r="C6640" t="str">
        <f t="shared" si="558"/>
        <v>06032681006</v>
      </c>
      <c r="D6640" t="str">
        <f t="shared" si="559"/>
        <v>12572900152</v>
      </c>
      <c r="E6640" t="s">
        <v>52</v>
      </c>
      <c r="F6640">
        <v>2014</v>
      </c>
      <c r="G6640">
        <v>25159204</v>
      </c>
      <c r="H6640" s="1">
        <v>41656</v>
      </c>
      <c r="I6640" s="1">
        <v>41673</v>
      </c>
      <c r="J6640" s="1">
        <v>41673</v>
      </c>
      <c r="K6640" s="1">
        <v>41763</v>
      </c>
      <c r="N6640" s="5"/>
      <c r="O6640">
        <v>707.62</v>
      </c>
      <c r="P6640">
        <v>261</v>
      </c>
      <c r="Q6640" s="2">
        <v>184688.82</v>
      </c>
      <c r="R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 s="1">
        <v>42382</v>
      </c>
      <c r="AC6640" t="s">
        <v>53</v>
      </c>
      <c r="AD6640" t="s">
        <v>53</v>
      </c>
      <c r="AK6640">
        <v>0</v>
      </c>
      <c r="AU6640" s="6">
        <v>42024</v>
      </c>
      <c r="AV6640" s="6">
        <v>42024</v>
      </c>
      <c r="AW6640" t="s">
        <v>54</v>
      </c>
      <c r="AX6640" t="str">
        <f t="shared" si="557"/>
        <v>FOR</v>
      </c>
      <c r="AY6640" t="s">
        <v>55</v>
      </c>
    </row>
    <row r="6641" spans="1:51" hidden="1">
      <c r="A6641">
        <v>104093</v>
      </c>
      <c r="B6641" t="s">
        <v>1210</v>
      </c>
      <c r="C6641" t="str">
        <f t="shared" si="558"/>
        <v>06032681006</v>
      </c>
      <c r="D6641" t="str">
        <f t="shared" si="559"/>
        <v>12572900152</v>
      </c>
      <c r="E6641" t="s">
        <v>52</v>
      </c>
      <c r="F6641">
        <v>2014</v>
      </c>
      <c r="G6641">
        <v>25159205</v>
      </c>
      <c r="H6641" s="1">
        <v>41656</v>
      </c>
      <c r="I6641" s="1">
        <v>41673</v>
      </c>
      <c r="J6641" s="1">
        <v>41673</v>
      </c>
      <c r="K6641" s="1">
        <v>41763</v>
      </c>
      <c r="N6641" s="5"/>
      <c r="O6641">
        <v>74.88</v>
      </c>
      <c r="P6641">
        <v>261</v>
      </c>
      <c r="Q6641" s="2">
        <v>19543.68</v>
      </c>
      <c r="R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 s="1">
        <v>42382</v>
      </c>
      <c r="AC6641" t="s">
        <v>53</v>
      </c>
      <c r="AD6641" t="s">
        <v>53</v>
      </c>
      <c r="AK6641">
        <v>0</v>
      </c>
      <c r="AU6641" s="6">
        <v>42024</v>
      </c>
      <c r="AV6641" s="6">
        <v>42024</v>
      </c>
      <c r="AW6641" t="s">
        <v>54</v>
      </c>
      <c r="AX6641" t="str">
        <f t="shared" si="557"/>
        <v>FOR</v>
      </c>
      <c r="AY6641" t="s">
        <v>55</v>
      </c>
    </row>
    <row r="6642" spans="1:51" hidden="1">
      <c r="A6642">
        <v>104093</v>
      </c>
      <c r="B6642" t="s">
        <v>1210</v>
      </c>
      <c r="C6642" t="str">
        <f t="shared" si="558"/>
        <v>06032681006</v>
      </c>
      <c r="D6642" t="str">
        <f t="shared" si="559"/>
        <v>12572900152</v>
      </c>
      <c r="E6642" t="s">
        <v>52</v>
      </c>
      <c r="F6642">
        <v>2014</v>
      </c>
      <c r="G6642">
        <v>25159206</v>
      </c>
      <c r="H6642" s="1">
        <v>41656</v>
      </c>
      <c r="I6642" s="1">
        <v>41673</v>
      </c>
      <c r="J6642" s="1">
        <v>41673</v>
      </c>
      <c r="K6642" s="1">
        <v>41763</v>
      </c>
      <c r="N6642" s="5"/>
      <c r="O6642">
        <v>252.72</v>
      </c>
      <c r="P6642">
        <v>261</v>
      </c>
      <c r="Q6642" s="2">
        <v>65959.92</v>
      </c>
      <c r="R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 s="1">
        <v>42382</v>
      </c>
      <c r="AC6642" t="s">
        <v>53</v>
      </c>
      <c r="AD6642" t="s">
        <v>53</v>
      </c>
      <c r="AK6642">
        <v>0</v>
      </c>
      <c r="AU6642" s="6">
        <v>42024</v>
      </c>
      <c r="AV6642" s="6">
        <v>42024</v>
      </c>
      <c r="AW6642" t="s">
        <v>54</v>
      </c>
      <c r="AX6642" t="str">
        <f t="shared" si="557"/>
        <v>FOR</v>
      </c>
      <c r="AY6642" t="s">
        <v>55</v>
      </c>
    </row>
    <row r="6643" spans="1:51" hidden="1">
      <c r="A6643">
        <v>104093</v>
      </c>
      <c r="B6643" t="s">
        <v>1210</v>
      </c>
      <c r="C6643" t="str">
        <f t="shared" si="558"/>
        <v>06032681006</v>
      </c>
      <c r="D6643" t="str">
        <f t="shared" si="559"/>
        <v>12572900152</v>
      </c>
      <c r="E6643" t="s">
        <v>52</v>
      </c>
      <c r="F6643">
        <v>2014</v>
      </c>
      <c r="G6643">
        <v>25159207</v>
      </c>
      <c r="H6643" s="1">
        <v>41656</v>
      </c>
      <c r="I6643" s="1">
        <v>41673</v>
      </c>
      <c r="J6643" s="1">
        <v>41673</v>
      </c>
      <c r="K6643" s="1">
        <v>41763</v>
      </c>
      <c r="N6643" s="5"/>
      <c r="O6643">
        <v>707.62</v>
      </c>
      <c r="P6643">
        <v>261</v>
      </c>
      <c r="Q6643" s="2">
        <v>184688.82</v>
      </c>
      <c r="R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 s="1">
        <v>42382</v>
      </c>
      <c r="AC6643" t="s">
        <v>53</v>
      </c>
      <c r="AD6643" t="s">
        <v>53</v>
      </c>
      <c r="AK6643">
        <v>0</v>
      </c>
      <c r="AU6643" s="6">
        <v>42024</v>
      </c>
      <c r="AV6643" s="6">
        <v>42024</v>
      </c>
      <c r="AW6643" t="s">
        <v>54</v>
      </c>
      <c r="AX6643" t="str">
        <f t="shared" si="557"/>
        <v>FOR</v>
      </c>
      <c r="AY6643" t="s">
        <v>55</v>
      </c>
    </row>
    <row r="6644" spans="1:51" hidden="1">
      <c r="A6644">
        <v>104093</v>
      </c>
      <c r="B6644" t="s">
        <v>1210</v>
      </c>
      <c r="C6644" t="str">
        <f t="shared" si="558"/>
        <v>06032681006</v>
      </c>
      <c r="D6644" t="str">
        <f t="shared" si="559"/>
        <v>12572900152</v>
      </c>
      <c r="E6644" t="s">
        <v>52</v>
      </c>
      <c r="F6644">
        <v>2014</v>
      </c>
      <c r="G6644">
        <v>25159208</v>
      </c>
      <c r="H6644" s="1">
        <v>41656</v>
      </c>
      <c r="I6644" s="1">
        <v>41673</v>
      </c>
      <c r="J6644" s="1">
        <v>41673</v>
      </c>
      <c r="K6644" s="1">
        <v>41763</v>
      </c>
      <c r="N6644" s="5"/>
      <c r="O6644">
        <v>252.72</v>
      </c>
      <c r="P6644">
        <v>261</v>
      </c>
      <c r="Q6644" s="2">
        <v>65959.92</v>
      </c>
      <c r="R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 s="1">
        <v>42382</v>
      </c>
      <c r="AC6644" t="s">
        <v>53</v>
      </c>
      <c r="AD6644" t="s">
        <v>53</v>
      </c>
      <c r="AK6644">
        <v>0</v>
      </c>
      <c r="AU6644" s="6">
        <v>42024</v>
      </c>
      <c r="AV6644" s="6">
        <v>42024</v>
      </c>
      <c r="AW6644" t="s">
        <v>54</v>
      </c>
      <c r="AX6644" t="str">
        <f t="shared" si="557"/>
        <v>FOR</v>
      </c>
      <c r="AY6644" t="s">
        <v>55</v>
      </c>
    </row>
    <row r="6645" spans="1:51" hidden="1">
      <c r="A6645">
        <v>104093</v>
      </c>
      <c r="B6645" t="s">
        <v>1210</v>
      </c>
      <c r="C6645" t="str">
        <f t="shared" si="558"/>
        <v>06032681006</v>
      </c>
      <c r="D6645" t="str">
        <f t="shared" si="559"/>
        <v>12572900152</v>
      </c>
      <c r="E6645" t="s">
        <v>52</v>
      </c>
      <c r="F6645">
        <v>2014</v>
      </c>
      <c r="G6645">
        <v>25159209</v>
      </c>
      <c r="H6645" s="1">
        <v>41656</v>
      </c>
      <c r="I6645" s="1">
        <v>41673</v>
      </c>
      <c r="J6645" s="1">
        <v>41673</v>
      </c>
      <c r="K6645" s="1">
        <v>41763</v>
      </c>
      <c r="N6645" s="5"/>
      <c r="O6645">
        <v>707.62</v>
      </c>
      <c r="P6645">
        <v>261</v>
      </c>
      <c r="Q6645" s="2">
        <v>184688.82</v>
      </c>
      <c r="R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 s="1">
        <v>42382</v>
      </c>
      <c r="AC6645" t="s">
        <v>53</v>
      </c>
      <c r="AD6645" t="s">
        <v>53</v>
      </c>
      <c r="AK6645">
        <v>0</v>
      </c>
      <c r="AU6645" s="6">
        <v>42024</v>
      </c>
      <c r="AV6645" s="6">
        <v>42024</v>
      </c>
      <c r="AW6645" t="s">
        <v>54</v>
      </c>
      <c r="AX6645" t="str">
        <f t="shared" si="557"/>
        <v>FOR</v>
      </c>
      <c r="AY6645" t="s">
        <v>55</v>
      </c>
    </row>
    <row r="6646" spans="1:51" hidden="1">
      <c r="A6646">
        <v>104093</v>
      </c>
      <c r="B6646" t="s">
        <v>1210</v>
      </c>
      <c r="C6646" t="str">
        <f t="shared" si="558"/>
        <v>06032681006</v>
      </c>
      <c r="D6646" t="str">
        <f t="shared" si="559"/>
        <v>12572900152</v>
      </c>
      <c r="E6646" t="s">
        <v>52</v>
      </c>
      <c r="F6646">
        <v>2014</v>
      </c>
      <c r="G6646">
        <v>25159210</v>
      </c>
      <c r="H6646" s="1">
        <v>41656</v>
      </c>
      <c r="I6646" s="1">
        <v>41673</v>
      </c>
      <c r="J6646" s="1">
        <v>41673</v>
      </c>
      <c r="K6646" s="1">
        <v>41763</v>
      </c>
      <c r="N6646" s="5"/>
      <c r="O6646">
        <v>252.72</v>
      </c>
      <c r="P6646">
        <v>261</v>
      </c>
      <c r="Q6646" s="2">
        <v>65959.92</v>
      </c>
      <c r="R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 s="1">
        <v>42382</v>
      </c>
      <c r="AC6646" t="s">
        <v>53</v>
      </c>
      <c r="AD6646" t="s">
        <v>53</v>
      </c>
      <c r="AK6646">
        <v>0</v>
      </c>
      <c r="AU6646" s="6">
        <v>42024</v>
      </c>
      <c r="AV6646" s="6">
        <v>42024</v>
      </c>
      <c r="AW6646" t="s">
        <v>54</v>
      </c>
      <c r="AX6646" t="str">
        <f t="shared" si="557"/>
        <v>FOR</v>
      </c>
      <c r="AY6646" t="s">
        <v>55</v>
      </c>
    </row>
    <row r="6647" spans="1:51" hidden="1">
      <c r="A6647">
        <v>104093</v>
      </c>
      <c r="B6647" t="s">
        <v>1210</v>
      </c>
      <c r="C6647" t="str">
        <f t="shared" si="558"/>
        <v>06032681006</v>
      </c>
      <c r="D6647" t="str">
        <f t="shared" si="559"/>
        <v>12572900152</v>
      </c>
      <c r="E6647" t="s">
        <v>52</v>
      </c>
      <c r="F6647">
        <v>2014</v>
      </c>
      <c r="G6647">
        <v>25159211</v>
      </c>
      <c r="H6647" s="1">
        <v>41656</v>
      </c>
      <c r="I6647" s="1">
        <v>41673</v>
      </c>
      <c r="J6647" s="1">
        <v>41673</v>
      </c>
      <c r="K6647" s="1">
        <v>41763</v>
      </c>
      <c r="N6647" s="5"/>
      <c r="O6647">
        <v>74.88</v>
      </c>
      <c r="P6647">
        <v>261</v>
      </c>
      <c r="Q6647" s="2">
        <v>19543.68</v>
      </c>
      <c r="R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 s="1">
        <v>42382</v>
      </c>
      <c r="AC6647" t="s">
        <v>53</v>
      </c>
      <c r="AD6647" t="s">
        <v>53</v>
      </c>
      <c r="AK6647">
        <v>0</v>
      </c>
      <c r="AU6647" s="6">
        <v>42024</v>
      </c>
      <c r="AV6647" s="6">
        <v>42024</v>
      </c>
      <c r="AW6647" t="s">
        <v>54</v>
      </c>
      <c r="AX6647" t="str">
        <f t="shared" si="557"/>
        <v>FOR</v>
      </c>
      <c r="AY6647" t="s">
        <v>55</v>
      </c>
    </row>
    <row r="6648" spans="1:51" hidden="1">
      <c r="A6648">
        <v>104093</v>
      </c>
      <c r="B6648" t="s">
        <v>1210</v>
      </c>
      <c r="C6648" t="str">
        <f t="shared" si="558"/>
        <v>06032681006</v>
      </c>
      <c r="D6648" t="str">
        <f t="shared" si="559"/>
        <v>12572900152</v>
      </c>
      <c r="E6648" t="s">
        <v>52</v>
      </c>
      <c r="F6648">
        <v>2014</v>
      </c>
      <c r="G6648">
        <v>25159212</v>
      </c>
      <c r="H6648" s="1">
        <v>41656</v>
      </c>
      <c r="I6648" s="1">
        <v>41673</v>
      </c>
      <c r="J6648" s="1">
        <v>41673</v>
      </c>
      <c r="K6648" s="1">
        <v>41763</v>
      </c>
      <c r="N6648" s="5"/>
      <c r="O6648">
        <v>707.62</v>
      </c>
      <c r="P6648">
        <v>261</v>
      </c>
      <c r="Q6648" s="2">
        <v>184688.82</v>
      </c>
      <c r="R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 s="1">
        <v>42382</v>
      </c>
      <c r="AC6648" t="s">
        <v>53</v>
      </c>
      <c r="AD6648" t="s">
        <v>53</v>
      </c>
      <c r="AK6648">
        <v>0</v>
      </c>
      <c r="AU6648" s="6">
        <v>42024</v>
      </c>
      <c r="AV6648" s="6">
        <v>42024</v>
      </c>
      <c r="AW6648" t="s">
        <v>54</v>
      </c>
      <c r="AX6648" t="str">
        <f t="shared" si="557"/>
        <v>FOR</v>
      </c>
      <c r="AY6648" t="s">
        <v>55</v>
      </c>
    </row>
    <row r="6649" spans="1:51" hidden="1">
      <c r="A6649">
        <v>104093</v>
      </c>
      <c r="B6649" t="s">
        <v>1210</v>
      </c>
      <c r="C6649" t="str">
        <f t="shared" si="558"/>
        <v>06032681006</v>
      </c>
      <c r="D6649" t="str">
        <f t="shared" si="559"/>
        <v>12572900152</v>
      </c>
      <c r="E6649" t="s">
        <v>52</v>
      </c>
      <c r="F6649">
        <v>2014</v>
      </c>
      <c r="G6649">
        <v>25159213</v>
      </c>
      <c r="H6649" s="1">
        <v>41656</v>
      </c>
      <c r="I6649" s="1">
        <v>41673</v>
      </c>
      <c r="J6649" s="1">
        <v>41673</v>
      </c>
      <c r="K6649" s="1">
        <v>41763</v>
      </c>
      <c r="N6649" s="5"/>
      <c r="O6649">
        <v>926.64</v>
      </c>
      <c r="P6649">
        <v>261</v>
      </c>
      <c r="Q6649" s="2">
        <v>241853.04</v>
      </c>
      <c r="R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 s="1">
        <v>42382</v>
      </c>
      <c r="AC6649" t="s">
        <v>53</v>
      </c>
      <c r="AD6649" t="s">
        <v>53</v>
      </c>
      <c r="AK6649">
        <v>0</v>
      </c>
      <c r="AU6649" s="6">
        <v>42024</v>
      </c>
      <c r="AV6649" s="6">
        <v>42024</v>
      </c>
      <c r="AW6649" t="s">
        <v>54</v>
      </c>
      <c r="AX6649" t="str">
        <f t="shared" si="557"/>
        <v>FOR</v>
      </c>
      <c r="AY6649" t="s">
        <v>55</v>
      </c>
    </row>
    <row r="6650" spans="1:51" hidden="1">
      <c r="A6650">
        <v>104093</v>
      </c>
      <c r="B6650" t="s">
        <v>1210</v>
      </c>
      <c r="C6650" t="str">
        <f t="shared" si="558"/>
        <v>06032681006</v>
      </c>
      <c r="D6650" t="str">
        <f t="shared" si="559"/>
        <v>12572900152</v>
      </c>
      <c r="E6650" t="s">
        <v>52</v>
      </c>
      <c r="F6650">
        <v>2014</v>
      </c>
      <c r="G6650">
        <v>25159214</v>
      </c>
      <c r="H6650" s="1">
        <v>41656</v>
      </c>
      <c r="I6650" s="1">
        <v>41676</v>
      </c>
      <c r="J6650" s="1">
        <v>41676</v>
      </c>
      <c r="K6650" s="1">
        <v>41766</v>
      </c>
      <c r="N6650" s="5"/>
      <c r="O6650">
        <v>252.72</v>
      </c>
      <c r="P6650">
        <v>258</v>
      </c>
      <c r="Q6650" s="2">
        <v>65201.760000000002</v>
      </c>
      <c r="R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 s="1">
        <v>42382</v>
      </c>
      <c r="AC6650" t="s">
        <v>53</v>
      </c>
      <c r="AD6650" t="s">
        <v>53</v>
      </c>
      <c r="AK6650">
        <v>0</v>
      </c>
      <c r="AU6650" s="6">
        <v>42024</v>
      </c>
      <c r="AV6650" s="6">
        <v>42024</v>
      </c>
      <c r="AW6650" t="s">
        <v>54</v>
      </c>
      <c r="AX6650" t="str">
        <f t="shared" si="557"/>
        <v>FOR</v>
      </c>
      <c r="AY6650" t="s">
        <v>55</v>
      </c>
    </row>
    <row r="6651" spans="1:51" hidden="1">
      <c r="A6651">
        <v>104093</v>
      </c>
      <c r="B6651" t="s">
        <v>1210</v>
      </c>
      <c r="C6651" t="str">
        <f t="shared" si="558"/>
        <v>06032681006</v>
      </c>
      <c r="D6651" t="str">
        <f t="shared" si="559"/>
        <v>12572900152</v>
      </c>
      <c r="E6651" t="s">
        <v>52</v>
      </c>
      <c r="F6651">
        <v>2014</v>
      </c>
      <c r="G6651">
        <v>25159215</v>
      </c>
      <c r="H6651" s="1">
        <v>41656</v>
      </c>
      <c r="I6651" s="1">
        <v>41673</v>
      </c>
      <c r="J6651" s="1">
        <v>41673</v>
      </c>
      <c r="K6651" s="1">
        <v>41763</v>
      </c>
      <c r="N6651" s="5"/>
      <c r="O6651">
        <v>74.88</v>
      </c>
      <c r="P6651">
        <v>261</v>
      </c>
      <c r="Q6651" s="2">
        <v>19543.68</v>
      </c>
      <c r="R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 s="1">
        <v>42382</v>
      </c>
      <c r="AC6651" t="s">
        <v>53</v>
      </c>
      <c r="AD6651" t="s">
        <v>53</v>
      </c>
      <c r="AK6651">
        <v>0</v>
      </c>
      <c r="AU6651" s="6">
        <v>42024</v>
      </c>
      <c r="AV6651" s="6">
        <v>42024</v>
      </c>
      <c r="AW6651" t="s">
        <v>54</v>
      </c>
      <c r="AX6651" t="str">
        <f t="shared" si="557"/>
        <v>FOR</v>
      </c>
      <c r="AY6651" t="s">
        <v>55</v>
      </c>
    </row>
    <row r="6652" spans="1:51" hidden="1">
      <c r="A6652">
        <v>104093</v>
      </c>
      <c r="B6652" t="s">
        <v>1210</v>
      </c>
      <c r="C6652" t="str">
        <f t="shared" si="558"/>
        <v>06032681006</v>
      </c>
      <c r="D6652" t="str">
        <f t="shared" si="559"/>
        <v>12572900152</v>
      </c>
      <c r="E6652" t="s">
        <v>52</v>
      </c>
      <c r="F6652">
        <v>2014</v>
      </c>
      <c r="G6652">
        <v>25159216</v>
      </c>
      <c r="H6652" s="1">
        <v>41656</v>
      </c>
      <c r="I6652" s="1">
        <v>41673</v>
      </c>
      <c r="J6652" s="1">
        <v>41673</v>
      </c>
      <c r="K6652" s="1">
        <v>41763</v>
      </c>
      <c r="N6652" s="5"/>
      <c r="O6652">
        <v>74.88</v>
      </c>
      <c r="P6652">
        <v>261</v>
      </c>
      <c r="Q6652" s="2">
        <v>19543.68</v>
      </c>
      <c r="R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 s="1">
        <v>42382</v>
      </c>
      <c r="AC6652" t="s">
        <v>53</v>
      </c>
      <c r="AD6652" t="s">
        <v>53</v>
      </c>
      <c r="AK6652">
        <v>0</v>
      </c>
      <c r="AU6652" s="6">
        <v>42024</v>
      </c>
      <c r="AV6652" s="6">
        <v>42024</v>
      </c>
      <c r="AW6652" t="s">
        <v>54</v>
      </c>
      <c r="AX6652" t="str">
        <f t="shared" si="557"/>
        <v>FOR</v>
      </c>
      <c r="AY6652" t="s">
        <v>55</v>
      </c>
    </row>
    <row r="6653" spans="1:51" hidden="1">
      <c r="A6653">
        <v>104093</v>
      </c>
      <c r="B6653" t="s">
        <v>1210</v>
      </c>
      <c r="C6653" t="str">
        <f t="shared" si="558"/>
        <v>06032681006</v>
      </c>
      <c r="D6653" t="str">
        <f t="shared" si="559"/>
        <v>12572900152</v>
      </c>
      <c r="E6653" t="s">
        <v>52</v>
      </c>
      <c r="F6653">
        <v>2014</v>
      </c>
      <c r="G6653">
        <v>25159217</v>
      </c>
      <c r="H6653" s="1">
        <v>41656</v>
      </c>
      <c r="I6653" s="1">
        <v>41673</v>
      </c>
      <c r="J6653" s="1">
        <v>41673</v>
      </c>
      <c r="K6653" s="1">
        <v>41763</v>
      </c>
      <c r="N6653" s="5"/>
      <c r="O6653">
        <v>403.42</v>
      </c>
      <c r="P6653">
        <v>261</v>
      </c>
      <c r="Q6653" s="2">
        <v>105292.62</v>
      </c>
      <c r="R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 s="1">
        <v>42382</v>
      </c>
      <c r="AC6653" t="s">
        <v>53</v>
      </c>
      <c r="AD6653" t="s">
        <v>53</v>
      </c>
      <c r="AK6653">
        <v>0</v>
      </c>
      <c r="AU6653" s="6">
        <v>42024</v>
      </c>
      <c r="AV6653" s="6">
        <v>42024</v>
      </c>
      <c r="AW6653" t="s">
        <v>54</v>
      </c>
      <c r="AX6653" t="str">
        <f t="shared" si="557"/>
        <v>FOR</v>
      </c>
      <c r="AY6653" t="s">
        <v>55</v>
      </c>
    </row>
    <row r="6654" spans="1:51" hidden="1">
      <c r="A6654">
        <v>104093</v>
      </c>
      <c r="B6654" t="s">
        <v>1210</v>
      </c>
      <c r="C6654" t="str">
        <f t="shared" si="558"/>
        <v>06032681006</v>
      </c>
      <c r="D6654" t="str">
        <f t="shared" si="559"/>
        <v>12572900152</v>
      </c>
      <c r="E6654" t="s">
        <v>52</v>
      </c>
      <c r="F6654">
        <v>2014</v>
      </c>
      <c r="G6654">
        <v>25159218</v>
      </c>
      <c r="H6654" s="1">
        <v>41656</v>
      </c>
      <c r="I6654" s="1">
        <v>41673</v>
      </c>
      <c r="J6654" s="1">
        <v>41673</v>
      </c>
      <c r="K6654" s="1">
        <v>41763</v>
      </c>
      <c r="N6654" s="5"/>
      <c r="O6654">
        <v>74.88</v>
      </c>
      <c r="P6654">
        <v>261</v>
      </c>
      <c r="Q6654" s="2">
        <v>19543.68</v>
      </c>
      <c r="R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 s="1">
        <v>42382</v>
      </c>
      <c r="AC6654" t="s">
        <v>53</v>
      </c>
      <c r="AD6654" t="s">
        <v>53</v>
      </c>
      <c r="AK6654">
        <v>0</v>
      </c>
      <c r="AU6654" s="6">
        <v>42024</v>
      </c>
      <c r="AV6654" s="6">
        <v>42024</v>
      </c>
      <c r="AW6654" t="s">
        <v>54</v>
      </c>
      <c r="AX6654" t="str">
        <f t="shared" si="557"/>
        <v>FOR</v>
      </c>
      <c r="AY6654" t="s">
        <v>55</v>
      </c>
    </row>
    <row r="6655" spans="1:51" hidden="1">
      <c r="A6655">
        <v>104093</v>
      </c>
      <c r="B6655" t="s">
        <v>1210</v>
      </c>
      <c r="C6655" t="str">
        <f t="shared" si="558"/>
        <v>06032681006</v>
      </c>
      <c r="D6655" t="str">
        <f t="shared" si="559"/>
        <v>12572900152</v>
      </c>
      <c r="E6655" t="s">
        <v>52</v>
      </c>
      <c r="F6655">
        <v>2014</v>
      </c>
      <c r="G6655">
        <v>25159219</v>
      </c>
      <c r="H6655" s="1">
        <v>41656</v>
      </c>
      <c r="I6655" s="1">
        <v>41673</v>
      </c>
      <c r="J6655" s="1">
        <v>41673</v>
      </c>
      <c r="K6655" s="1">
        <v>41763</v>
      </c>
      <c r="N6655" s="5"/>
      <c r="O6655">
        <v>74.88</v>
      </c>
      <c r="P6655">
        <v>261</v>
      </c>
      <c r="Q6655" s="2">
        <v>19543.68</v>
      </c>
      <c r="R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 s="1">
        <v>42382</v>
      </c>
      <c r="AC6655" t="s">
        <v>53</v>
      </c>
      <c r="AD6655" t="s">
        <v>53</v>
      </c>
      <c r="AK6655">
        <v>0</v>
      </c>
      <c r="AU6655" s="6">
        <v>42024</v>
      </c>
      <c r="AV6655" s="6">
        <v>42024</v>
      </c>
      <c r="AW6655" t="s">
        <v>54</v>
      </c>
      <c r="AX6655" t="str">
        <f t="shared" si="557"/>
        <v>FOR</v>
      </c>
      <c r="AY6655" t="s">
        <v>55</v>
      </c>
    </row>
    <row r="6656" spans="1:51" hidden="1">
      <c r="A6656">
        <v>104093</v>
      </c>
      <c r="B6656" t="s">
        <v>1210</v>
      </c>
      <c r="C6656" t="str">
        <f t="shared" si="558"/>
        <v>06032681006</v>
      </c>
      <c r="D6656" t="str">
        <f t="shared" si="559"/>
        <v>12572900152</v>
      </c>
      <c r="E6656" t="s">
        <v>52</v>
      </c>
      <c r="F6656">
        <v>2014</v>
      </c>
      <c r="G6656">
        <v>25159220</v>
      </c>
      <c r="H6656" s="1">
        <v>41656</v>
      </c>
      <c r="I6656" s="1">
        <v>41673</v>
      </c>
      <c r="J6656" s="1">
        <v>41673</v>
      </c>
      <c r="K6656" s="1">
        <v>41763</v>
      </c>
      <c r="N6656" s="5"/>
      <c r="O6656">
        <v>74.88</v>
      </c>
      <c r="P6656">
        <v>261</v>
      </c>
      <c r="Q6656" s="2">
        <v>19543.68</v>
      </c>
      <c r="R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 s="1">
        <v>42382</v>
      </c>
      <c r="AC6656" t="s">
        <v>53</v>
      </c>
      <c r="AD6656" t="s">
        <v>53</v>
      </c>
      <c r="AK6656">
        <v>0</v>
      </c>
      <c r="AU6656" s="6">
        <v>42024</v>
      </c>
      <c r="AV6656" s="6">
        <v>42024</v>
      </c>
      <c r="AW6656" t="s">
        <v>54</v>
      </c>
      <c r="AX6656" t="str">
        <f t="shared" si="557"/>
        <v>FOR</v>
      </c>
      <c r="AY6656" t="s">
        <v>55</v>
      </c>
    </row>
    <row r="6657" spans="1:51" hidden="1">
      <c r="A6657">
        <v>104093</v>
      </c>
      <c r="B6657" t="s">
        <v>1210</v>
      </c>
      <c r="C6657" t="str">
        <f t="shared" si="558"/>
        <v>06032681006</v>
      </c>
      <c r="D6657" t="str">
        <f t="shared" si="559"/>
        <v>12572900152</v>
      </c>
      <c r="E6657" t="s">
        <v>52</v>
      </c>
      <c r="F6657">
        <v>2014</v>
      </c>
      <c r="G6657">
        <v>25159221</v>
      </c>
      <c r="H6657" s="1">
        <v>41656</v>
      </c>
      <c r="I6657" s="1">
        <v>41673</v>
      </c>
      <c r="J6657" s="1">
        <v>41673</v>
      </c>
      <c r="K6657" s="1">
        <v>41763</v>
      </c>
      <c r="N6657" s="5"/>
      <c r="O6657">
        <v>74.88</v>
      </c>
      <c r="P6657">
        <v>261</v>
      </c>
      <c r="Q6657" s="2">
        <v>19543.68</v>
      </c>
      <c r="R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 s="1">
        <v>42382</v>
      </c>
      <c r="AC6657" t="s">
        <v>53</v>
      </c>
      <c r="AD6657" t="s">
        <v>53</v>
      </c>
      <c r="AK6657">
        <v>0</v>
      </c>
      <c r="AU6657" s="6">
        <v>42024</v>
      </c>
      <c r="AV6657" s="6">
        <v>42024</v>
      </c>
      <c r="AW6657" t="s">
        <v>54</v>
      </c>
      <c r="AX6657" t="str">
        <f t="shared" si="557"/>
        <v>FOR</v>
      </c>
      <c r="AY6657" t="s">
        <v>55</v>
      </c>
    </row>
    <row r="6658" spans="1:51" hidden="1">
      <c r="A6658">
        <v>104093</v>
      </c>
      <c r="B6658" t="s">
        <v>1210</v>
      </c>
      <c r="C6658" t="str">
        <f t="shared" si="558"/>
        <v>06032681006</v>
      </c>
      <c r="D6658" t="str">
        <f t="shared" si="559"/>
        <v>12572900152</v>
      </c>
      <c r="E6658" t="s">
        <v>52</v>
      </c>
      <c r="F6658">
        <v>2014</v>
      </c>
      <c r="G6658">
        <v>25159222</v>
      </c>
      <c r="H6658" s="1">
        <v>41656</v>
      </c>
      <c r="I6658" s="1">
        <v>41673</v>
      </c>
      <c r="J6658" s="1">
        <v>41673</v>
      </c>
      <c r="K6658" s="1">
        <v>41763</v>
      </c>
      <c r="N6658" s="5"/>
      <c r="O6658">
        <v>74.88</v>
      </c>
      <c r="P6658">
        <v>261</v>
      </c>
      <c r="Q6658" s="2">
        <v>19543.68</v>
      </c>
      <c r="R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 s="1">
        <v>42382</v>
      </c>
      <c r="AC6658" t="s">
        <v>53</v>
      </c>
      <c r="AD6658" t="s">
        <v>53</v>
      </c>
      <c r="AK6658">
        <v>0</v>
      </c>
      <c r="AU6658" s="6">
        <v>42024</v>
      </c>
      <c r="AV6658" s="6">
        <v>42024</v>
      </c>
      <c r="AW6658" t="s">
        <v>54</v>
      </c>
      <c r="AX6658" t="str">
        <f t="shared" si="557"/>
        <v>FOR</v>
      </c>
      <c r="AY6658" t="s">
        <v>55</v>
      </c>
    </row>
    <row r="6659" spans="1:51" hidden="1">
      <c r="A6659">
        <v>104093</v>
      </c>
      <c r="B6659" t="s">
        <v>1210</v>
      </c>
      <c r="C6659" t="str">
        <f t="shared" si="558"/>
        <v>06032681006</v>
      </c>
      <c r="D6659" t="str">
        <f t="shared" si="559"/>
        <v>12572900152</v>
      </c>
      <c r="E6659" t="s">
        <v>52</v>
      </c>
      <c r="F6659">
        <v>2014</v>
      </c>
      <c r="G6659">
        <v>25159223</v>
      </c>
      <c r="H6659" s="1">
        <v>41656</v>
      </c>
      <c r="I6659" s="1">
        <v>41673</v>
      </c>
      <c r="J6659" s="1">
        <v>41673</v>
      </c>
      <c r="K6659" s="1">
        <v>41763</v>
      </c>
      <c r="N6659" s="5"/>
      <c r="O6659">
        <v>707.62</v>
      </c>
      <c r="P6659">
        <v>261</v>
      </c>
      <c r="Q6659" s="2">
        <v>184688.82</v>
      </c>
      <c r="R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 s="1">
        <v>42382</v>
      </c>
      <c r="AC6659" t="s">
        <v>53</v>
      </c>
      <c r="AD6659" t="s">
        <v>53</v>
      </c>
      <c r="AK6659">
        <v>0</v>
      </c>
      <c r="AU6659" s="6">
        <v>42024</v>
      </c>
      <c r="AV6659" s="6">
        <v>42024</v>
      </c>
      <c r="AW6659" t="s">
        <v>54</v>
      </c>
      <c r="AX6659" t="str">
        <f t="shared" ref="AX6659:AX6722" si="560">"FOR"</f>
        <v>FOR</v>
      </c>
      <c r="AY6659" t="s">
        <v>55</v>
      </c>
    </row>
    <row r="6660" spans="1:51" hidden="1">
      <c r="A6660">
        <v>104093</v>
      </c>
      <c r="B6660" t="s">
        <v>1210</v>
      </c>
      <c r="C6660" t="str">
        <f t="shared" si="558"/>
        <v>06032681006</v>
      </c>
      <c r="D6660" t="str">
        <f t="shared" si="559"/>
        <v>12572900152</v>
      </c>
      <c r="E6660" t="s">
        <v>52</v>
      </c>
      <c r="F6660">
        <v>2014</v>
      </c>
      <c r="G6660">
        <v>25159224</v>
      </c>
      <c r="H6660" s="1">
        <v>41656</v>
      </c>
      <c r="I6660" s="1">
        <v>41673</v>
      </c>
      <c r="J6660" s="1">
        <v>41673</v>
      </c>
      <c r="K6660" s="1">
        <v>41763</v>
      </c>
      <c r="N6660" s="5"/>
      <c r="O6660">
        <v>252.72</v>
      </c>
      <c r="P6660">
        <v>261</v>
      </c>
      <c r="Q6660" s="2">
        <v>65959.92</v>
      </c>
      <c r="R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 s="1">
        <v>42382</v>
      </c>
      <c r="AC6660" t="s">
        <v>53</v>
      </c>
      <c r="AD6660" t="s">
        <v>53</v>
      </c>
      <c r="AK6660">
        <v>0</v>
      </c>
      <c r="AU6660" s="6">
        <v>42024</v>
      </c>
      <c r="AV6660" s="6">
        <v>42024</v>
      </c>
      <c r="AW6660" t="s">
        <v>54</v>
      </c>
      <c r="AX6660" t="str">
        <f t="shared" si="560"/>
        <v>FOR</v>
      </c>
      <c r="AY6660" t="s">
        <v>55</v>
      </c>
    </row>
    <row r="6661" spans="1:51" hidden="1">
      <c r="A6661">
        <v>104093</v>
      </c>
      <c r="B6661" t="s">
        <v>1210</v>
      </c>
      <c r="C6661" t="str">
        <f t="shared" si="558"/>
        <v>06032681006</v>
      </c>
      <c r="D6661" t="str">
        <f t="shared" si="559"/>
        <v>12572900152</v>
      </c>
      <c r="E6661" t="s">
        <v>52</v>
      </c>
      <c r="F6661">
        <v>2014</v>
      </c>
      <c r="G6661">
        <v>25159264</v>
      </c>
      <c r="H6661" s="1">
        <v>41656</v>
      </c>
      <c r="I6661" s="1">
        <v>41673</v>
      </c>
      <c r="J6661" s="1">
        <v>41673</v>
      </c>
      <c r="K6661" s="1">
        <v>41763</v>
      </c>
      <c r="N6661" s="5"/>
      <c r="O6661">
        <v>74.88</v>
      </c>
      <c r="P6661">
        <v>261</v>
      </c>
      <c r="Q6661" s="2">
        <v>19543.68</v>
      </c>
      <c r="R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 s="1">
        <v>42382</v>
      </c>
      <c r="AC6661" t="s">
        <v>53</v>
      </c>
      <c r="AD6661" t="s">
        <v>53</v>
      </c>
      <c r="AK6661">
        <v>0</v>
      </c>
      <c r="AU6661" s="6">
        <v>42024</v>
      </c>
      <c r="AV6661" s="6">
        <v>42024</v>
      </c>
      <c r="AW6661" t="s">
        <v>54</v>
      </c>
      <c r="AX6661" t="str">
        <f t="shared" si="560"/>
        <v>FOR</v>
      </c>
      <c r="AY6661" t="s">
        <v>55</v>
      </c>
    </row>
    <row r="6662" spans="1:51" hidden="1">
      <c r="A6662">
        <v>104093</v>
      </c>
      <c r="B6662" t="s">
        <v>1210</v>
      </c>
      <c r="C6662" t="str">
        <f t="shared" si="558"/>
        <v>06032681006</v>
      </c>
      <c r="D6662" t="str">
        <f t="shared" si="559"/>
        <v>12572900152</v>
      </c>
      <c r="E6662" t="s">
        <v>52</v>
      </c>
      <c r="F6662">
        <v>2014</v>
      </c>
      <c r="G6662">
        <v>25159265</v>
      </c>
      <c r="H6662" s="1">
        <v>41656</v>
      </c>
      <c r="I6662" s="1">
        <v>41673</v>
      </c>
      <c r="J6662" s="1">
        <v>41673</v>
      </c>
      <c r="K6662" s="1">
        <v>41763</v>
      </c>
      <c r="N6662" s="5"/>
      <c r="O6662">
        <v>74.88</v>
      </c>
      <c r="P6662">
        <v>261</v>
      </c>
      <c r="Q6662" s="2">
        <v>19543.68</v>
      </c>
      <c r="R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 s="1">
        <v>42382</v>
      </c>
      <c r="AC6662" t="s">
        <v>53</v>
      </c>
      <c r="AD6662" t="s">
        <v>53</v>
      </c>
      <c r="AK6662">
        <v>0</v>
      </c>
      <c r="AU6662" s="6">
        <v>42024</v>
      </c>
      <c r="AV6662" s="6">
        <v>42024</v>
      </c>
      <c r="AW6662" t="s">
        <v>54</v>
      </c>
      <c r="AX6662" t="str">
        <f t="shared" si="560"/>
        <v>FOR</v>
      </c>
      <c r="AY6662" t="s">
        <v>55</v>
      </c>
    </row>
    <row r="6663" spans="1:51" hidden="1">
      <c r="A6663">
        <v>104093</v>
      </c>
      <c r="B6663" t="s">
        <v>1210</v>
      </c>
      <c r="C6663" t="str">
        <f t="shared" si="558"/>
        <v>06032681006</v>
      </c>
      <c r="D6663" t="str">
        <f t="shared" si="559"/>
        <v>12572900152</v>
      </c>
      <c r="E6663" t="s">
        <v>52</v>
      </c>
      <c r="F6663">
        <v>2014</v>
      </c>
      <c r="G6663">
        <v>25159511</v>
      </c>
      <c r="H6663" s="1">
        <v>41659</v>
      </c>
      <c r="I6663" s="1">
        <v>41680</v>
      </c>
      <c r="J6663" s="1">
        <v>41680</v>
      </c>
      <c r="K6663" s="1">
        <v>41770</v>
      </c>
      <c r="N6663" s="5"/>
      <c r="O6663">
        <v>74.88</v>
      </c>
      <c r="P6663">
        <v>254</v>
      </c>
      <c r="Q6663" s="2">
        <v>19019.52</v>
      </c>
      <c r="R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 s="1">
        <v>42382</v>
      </c>
      <c r="AC6663" t="s">
        <v>53</v>
      </c>
      <c r="AD6663" t="s">
        <v>53</v>
      </c>
      <c r="AK6663">
        <v>0</v>
      </c>
      <c r="AU6663" s="6">
        <v>42024</v>
      </c>
      <c r="AV6663" s="6">
        <v>42024</v>
      </c>
      <c r="AW6663" t="s">
        <v>54</v>
      </c>
      <c r="AX6663" t="str">
        <f t="shared" si="560"/>
        <v>FOR</v>
      </c>
      <c r="AY6663" t="s">
        <v>55</v>
      </c>
    </row>
    <row r="6664" spans="1:51" hidden="1">
      <c r="A6664">
        <v>104093</v>
      </c>
      <c r="B6664" t="s">
        <v>1210</v>
      </c>
      <c r="C6664" t="str">
        <f t="shared" si="558"/>
        <v>06032681006</v>
      </c>
      <c r="D6664" t="str">
        <f t="shared" si="559"/>
        <v>12572900152</v>
      </c>
      <c r="E6664" t="s">
        <v>52</v>
      </c>
      <c r="F6664">
        <v>2014</v>
      </c>
      <c r="G6664">
        <v>25159581</v>
      </c>
      <c r="H6664" s="1">
        <v>41659</v>
      </c>
      <c r="I6664" s="1">
        <v>41680</v>
      </c>
      <c r="J6664" s="1">
        <v>41680</v>
      </c>
      <c r="K6664" s="1">
        <v>41770</v>
      </c>
      <c r="N6664" s="5"/>
      <c r="O6664">
        <v>936</v>
      </c>
      <c r="P6664">
        <v>254</v>
      </c>
      <c r="Q6664" s="2">
        <v>237744</v>
      </c>
      <c r="R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 s="1">
        <v>42382</v>
      </c>
      <c r="AC6664" t="s">
        <v>53</v>
      </c>
      <c r="AD6664" t="s">
        <v>53</v>
      </c>
      <c r="AK6664">
        <v>0</v>
      </c>
      <c r="AU6664" s="6">
        <v>42024</v>
      </c>
      <c r="AV6664" s="6">
        <v>42024</v>
      </c>
      <c r="AW6664" t="s">
        <v>54</v>
      </c>
      <c r="AX6664" t="str">
        <f t="shared" si="560"/>
        <v>FOR</v>
      </c>
      <c r="AY6664" t="s">
        <v>55</v>
      </c>
    </row>
    <row r="6665" spans="1:51" hidden="1">
      <c r="A6665">
        <v>104093</v>
      </c>
      <c r="B6665" t="s">
        <v>1210</v>
      </c>
      <c r="C6665" t="str">
        <f t="shared" si="558"/>
        <v>06032681006</v>
      </c>
      <c r="D6665" t="str">
        <f t="shared" si="559"/>
        <v>12572900152</v>
      </c>
      <c r="E6665" t="s">
        <v>52</v>
      </c>
      <c r="F6665">
        <v>2014</v>
      </c>
      <c r="G6665">
        <v>25159582</v>
      </c>
      <c r="H6665" s="1">
        <v>41659</v>
      </c>
      <c r="I6665" s="1">
        <v>41680</v>
      </c>
      <c r="J6665" s="1">
        <v>41680</v>
      </c>
      <c r="K6665" s="1">
        <v>41770</v>
      </c>
      <c r="N6665" s="5"/>
      <c r="O6665">
        <v>936</v>
      </c>
      <c r="P6665">
        <v>254</v>
      </c>
      <c r="Q6665" s="2">
        <v>237744</v>
      </c>
      <c r="R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 s="1">
        <v>42382</v>
      </c>
      <c r="AC6665" t="s">
        <v>53</v>
      </c>
      <c r="AD6665" t="s">
        <v>53</v>
      </c>
      <c r="AK6665">
        <v>0</v>
      </c>
      <c r="AU6665" s="6">
        <v>42024</v>
      </c>
      <c r="AV6665" s="6">
        <v>42024</v>
      </c>
      <c r="AW6665" t="s">
        <v>54</v>
      </c>
      <c r="AX6665" t="str">
        <f t="shared" si="560"/>
        <v>FOR</v>
      </c>
      <c r="AY6665" t="s">
        <v>55</v>
      </c>
    </row>
    <row r="6666" spans="1:51" hidden="1">
      <c r="A6666">
        <v>104093</v>
      </c>
      <c r="B6666" t="s">
        <v>1210</v>
      </c>
      <c r="C6666" t="str">
        <f t="shared" si="558"/>
        <v>06032681006</v>
      </c>
      <c r="D6666" t="str">
        <f t="shared" si="559"/>
        <v>12572900152</v>
      </c>
      <c r="E6666" t="s">
        <v>52</v>
      </c>
      <c r="F6666">
        <v>2014</v>
      </c>
      <c r="G6666">
        <v>25159583</v>
      </c>
      <c r="H6666" s="1">
        <v>41659</v>
      </c>
      <c r="I6666" s="1">
        <v>41680</v>
      </c>
      <c r="J6666" s="1">
        <v>41680</v>
      </c>
      <c r="K6666" s="1">
        <v>41770</v>
      </c>
      <c r="N6666" s="5"/>
      <c r="O6666">
        <v>936</v>
      </c>
      <c r="P6666">
        <v>254</v>
      </c>
      <c r="Q6666" s="2">
        <v>237744</v>
      </c>
      <c r="R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 s="1">
        <v>42382</v>
      </c>
      <c r="AC6666" t="s">
        <v>53</v>
      </c>
      <c r="AD6666" t="s">
        <v>53</v>
      </c>
      <c r="AK6666">
        <v>0</v>
      </c>
      <c r="AU6666" s="6">
        <v>42024</v>
      </c>
      <c r="AV6666" s="6">
        <v>42024</v>
      </c>
      <c r="AW6666" t="s">
        <v>54</v>
      </c>
      <c r="AX6666" t="str">
        <f t="shared" si="560"/>
        <v>FOR</v>
      </c>
      <c r="AY6666" t="s">
        <v>55</v>
      </c>
    </row>
    <row r="6667" spans="1:51" hidden="1">
      <c r="A6667">
        <v>104093</v>
      </c>
      <c r="B6667" t="s">
        <v>1210</v>
      </c>
      <c r="C6667" t="str">
        <f t="shared" si="558"/>
        <v>06032681006</v>
      </c>
      <c r="D6667" t="str">
        <f t="shared" si="559"/>
        <v>12572900152</v>
      </c>
      <c r="E6667" t="s">
        <v>52</v>
      </c>
      <c r="F6667">
        <v>2014</v>
      </c>
      <c r="G6667">
        <v>25159584</v>
      </c>
      <c r="H6667" s="1">
        <v>41659</v>
      </c>
      <c r="I6667" s="1">
        <v>41680</v>
      </c>
      <c r="J6667" s="1">
        <v>41680</v>
      </c>
      <c r="K6667" s="1">
        <v>41770</v>
      </c>
      <c r="N6667" s="5"/>
      <c r="O6667">
        <v>936</v>
      </c>
      <c r="P6667">
        <v>254</v>
      </c>
      <c r="Q6667" s="2">
        <v>237744</v>
      </c>
      <c r="R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 s="1">
        <v>42382</v>
      </c>
      <c r="AC6667" t="s">
        <v>53</v>
      </c>
      <c r="AD6667" t="s">
        <v>53</v>
      </c>
      <c r="AK6667">
        <v>0</v>
      </c>
      <c r="AU6667" s="6">
        <v>42024</v>
      </c>
      <c r="AV6667" s="6">
        <v>42024</v>
      </c>
      <c r="AW6667" t="s">
        <v>54</v>
      </c>
      <c r="AX6667" t="str">
        <f t="shared" si="560"/>
        <v>FOR</v>
      </c>
      <c r="AY6667" t="s">
        <v>55</v>
      </c>
    </row>
    <row r="6668" spans="1:51" hidden="1">
      <c r="A6668">
        <v>104093</v>
      </c>
      <c r="B6668" t="s">
        <v>1210</v>
      </c>
      <c r="C6668" t="str">
        <f t="shared" si="558"/>
        <v>06032681006</v>
      </c>
      <c r="D6668" t="str">
        <f t="shared" si="559"/>
        <v>12572900152</v>
      </c>
      <c r="E6668" t="s">
        <v>52</v>
      </c>
      <c r="F6668">
        <v>2014</v>
      </c>
      <c r="G6668">
        <v>25159585</v>
      </c>
      <c r="H6668" s="1">
        <v>41659</v>
      </c>
      <c r="I6668" s="1">
        <v>41680</v>
      </c>
      <c r="J6668" s="1">
        <v>41680</v>
      </c>
      <c r="K6668" s="1">
        <v>41770</v>
      </c>
      <c r="N6668" s="5"/>
      <c r="O6668">
        <v>936</v>
      </c>
      <c r="P6668">
        <v>254</v>
      </c>
      <c r="Q6668" s="2">
        <v>237744</v>
      </c>
      <c r="R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 s="1">
        <v>42382</v>
      </c>
      <c r="AC6668" t="s">
        <v>53</v>
      </c>
      <c r="AD6668" t="s">
        <v>53</v>
      </c>
      <c r="AK6668">
        <v>0</v>
      </c>
      <c r="AU6668" s="6">
        <v>42024</v>
      </c>
      <c r="AV6668" s="6">
        <v>42024</v>
      </c>
      <c r="AW6668" t="s">
        <v>54</v>
      </c>
      <c r="AX6668" t="str">
        <f t="shared" si="560"/>
        <v>FOR</v>
      </c>
      <c r="AY6668" t="s">
        <v>55</v>
      </c>
    </row>
    <row r="6669" spans="1:51" hidden="1">
      <c r="A6669">
        <v>104093</v>
      </c>
      <c r="B6669" t="s">
        <v>1210</v>
      </c>
      <c r="C6669" t="str">
        <f t="shared" si="558"/>
        <v>06032681006</v>
      </c>
      <c r="D6669" t="str">
        <f t="shared" si="559"/>
        <v>12572900152</v>
      </c>
      <c r="E6669" t="s">
        <v>52</v>
      </c>
      <c r="F6669">
        <v>2014</v>
      </c>
      <c r="G6669">
        <v>25159586</v>
      </c>
      <c r="H6669" s="1">
        <v>41659</v>
      </c>
      <c r="I6669" s="1">
        <v>41680</v>
      </c>
      <c r="J6669" s="1">
        <v>41680</v>
      </c>
      <c r="K6669" s="1">
        <v>41770</v>
      </c>
      <c r="N6669" s="5"/>
      <c r="O6669">
        <v>936</v>
      </c>
      <c r="P6669">
        <v>254</v>
      </c>
      <c r="Q6669" s="2">
        <v>237744</v>
      </c>
      <c r="R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 s="1">
        <v>42382</v>
      </c>
      <c r="AC6669" t="s">
        <v>53</v>
      </c>
      <c r="AD6669" t="s">
        <v>53</v>
      </c>
      <c r="AK6669">
        <v>0</v>
      </c>
      <c r="AU6669" s="6">
        <v>42024</v>
      </c>
      <c r="AV6669" s="6">
        <v>42024</v>
      </c>
      <c r="AW6669" t="s">
        <v>54</v>
      </c>
      <c r="AX6669" t="str">
        <f t="shared" si="560"/>
        <v>FOR</v>
      </c>
      <c r="AY6669" t="s">
        <v>55</v>
      </c>
    </row>
    <row r="6670" spans="1:51" hidden="1">
      <c r="A6670">
        <v>104093</v>
      </c>
      <c r="B6670" t="s">
        <v>1210</v>
      </c>
      <c r="C6670" t="str">
        <f t="shared" si="558"/>
        <v>06032681006</v>
      </c>
      <c r="D6670" t="str">
        <f t="shared" si="559"/>
        <v>12572900152</v>
      </c>
      <c r="E6670" t="s">
        <v>52</v>
      </c>
      <c r="F6670">
        <v>2014</v>
      </c>
      <c r="G6670">
        <v>25159660</v>
      </c>
      <c r="H6670" s="1">
        <v>41659</v>
      </c>
      <c r="I6670" s="1">
        <v>41680</v>
      </c>
      <c r="J6670" s="1">
        <v>41680</v>
      </c>
      <c r="K6670" s="1">
        <v>41770</v>
      </c>
      <c r="N6670" s="5"/>
      <c r="O6670" s="2">
        <v>1613.91</v>
      </c>
      <c r="P6670">
        <v>254</v>
      </c>
      <c r="Q6670" s="2">
        <v>409933.14</v>
      </c>
      <c r="R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 s="1">
        <v>42382</v>
      </c>
      <c r="AC6670" t="s">
        <v>53</v>
      </c>
      <c r="AD6670" t="s">
        <v>53</v>
      </c>
      <c r="AK6670">
        <v>0</v>
      </c>
      <c r="AU6670" s="6">
        <v>42024</v>
      </c>
      <c r="AV6670" s="6">
        <v>42024</v>
      </c>
      <c r="AW6670" t="s">
        <v>54</v>
      </c>
      <c r="AX6670" t="str">
        <f t="shared" si="560"/>
        <v>FOR</v>
      </c>
      <c r="AY6670" t="s">
        <v>55</v>
      </c>
    </row>
    <row r="6671" spans="1:51" hidden="1">
      <c r="A6671">
        <v>104093</v>
      </c>
      <c r="B6671" t="s">
        <v>1210</v>
      </c>
      <c r="C6671" t="str">
        <f t="shared" si="558"/>
        <v>06032681006</v>
      </c>
      <c r="D6671" t="str">
        <f t="shared" si="559"/>
        <v>12572900152</v>
      </c>
      <c r="E6671" t="s">
        <v>52</v>
      </c>
      <c r="F6671">
        <v>2014</v>
      </c>
      <c r="G6671">
        <v>25159792</v>
      </c>
      <c r="H6671" s="1">
        <v>41660</v>
      </c>
      <c r="I6671" s="1">
        <v>41680</v>
      </c>
      <c r="J6671" s="1">
        <v>41680</v>
      </c>
      <c r="K6671" s="1">
        <v>41770</v>
      </c>
      <c r="N6671" s="5"/>
      <c r="O6671">
        <v>74.88</v>
      </c>
      <c r="P6671">
        <v>254</v>
      </c>
      <c r="Q6671" s="2">
        <v>19019.52</v>
      </c>
      <c r="R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 s="1">
        <v>42382</v>
      </c>
      <c r="AC6671" t="s">
        <v>53</v>
      </c>
      <c r="AD6671" t="s">
        <v>53</v>
      </c>
      <c r="AK6671">
        <v>0</v>
      </c>
      <c r="AU6671" s="6">
        <v>42024</v>
      </c>
      <c r="AV6671" s="6">
        <v>42024</v>
      </c>
      <c r="AW6671" t="s">
        <v>54</v>
      </c>
      <c r="AX6671" t="str">
        <f t="shared" si="560"/>
        <v>FOR</v>
      </c>
      <c r="AY6671" t="s">
        <v>55</v>
      </c>
    </row>
    <row r="6672" spans="1:51" hidden="1">
      <c r="A6672">
        <v>104093</v>
      </c>
      <c r="B6672" t="s">
        <v>1210</v>
      </c>
      <c r="C6672" t="str">
        <f t="shared" si="558"/>
        <v>06032681006</v>
      </c>
      <c r="D6672" t="str">
        <f t="shared" si="559"/>
        <v>12572900152</v>
      </c>
      <c r="E6672" t="s">
        <v>52</v>
      </c>
      <c r="F6672">
        <v>2014</v>
      </c>
      <c r="G6672">
        <v>25159831</v>
      </c>
      <c r="H6672" s="1">
        <v>41660</v>
      </c>
      <c r="I6672" s="1">
        <v>41680</v>
      </c>
      <c r="J6672" s="1">
        <v>41680</v>
      </c>
      <c r="K6672" s="1">
        <v>41770</v>
      </c>
      <c r="N6672" s="5"/>
      <c r="O6672">
        <v>252.72</v>
      </c>
      <c r="P6672">
        <v>254</v>
      </c>
      <c r="Q6672" s="2">
        <v>64190.879999999997</v>
      </c>
      <c r="R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 s="1">
        <v>42382</v>
      </c>
      <c r="AC6672" t="s">
        <v>53</v>
      </c>
      <c r="AD6672" t="s">
        <v>53</v>
      </c>
      <c r="AK6672">
        <v>0</v>
      </c>
      <c r="AU6672" s="6">
        <v>42024</v>
      </c>
      <c r="AV6672" s="6">
        <v>42024</v>
      </c>
      <c r="AW6672" t="s">
        <v>54</v>
      </c>
      <c r="AX6672" t="str">
        <f t="shared" si="560"/>
        <v>FOR</v>
      </c>
      <c r="AY6672" t="s">
        <v>55</v>
      </c>
    </row>
    <row r="6673" spans="1:51" hidden="1">
      <c r="A6673">
        <v>104093</v>
      </c>
      <c r="B6673" t="s">
        <v>1210</v>
      </c>
      <c r="C6673" t="str">
        <f t="shared" si="558"/>
        <v>06032681006</v>
      </c>
      <c r="D6673" t="str">
        <f t="shared" si="559"/>
        <v>12572900152</v>
      </c>
      <c r="E6673" t="s">
        <v>52</v>
      </c>
      <c r="F6673">
        <v>2014</v>
      </c>
      <c r="G6673">
        <v>25159832</v>
      </c>
      <c r="H6673" s="1">
        <v>41660</v>
      </c>
      <c r="I6673" s="1">
        <v>41680</v>
      </c>
      <c r="J6673" s="1">
        <v>41680</v>
      </c>
      <c r="K6673" s="1">
        <v>41770</v>
      </c>
      <c r="N6673" s="5"/>
      <c r="O6673">
        <v>707.62</v>
      </c>
      <c r="P6673">
        <v>254</v>
      </c>
      <c r="Q6673" s="2">
        <v>179735.48</v>
      </c>
      <c r="R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 s="1">
        <v>42382</v>
      </c>
      <c r="AC6673" t="s">
        <v>53</v>
      </c>
      <c r="AD6673" t="s">
        <v>53</v>
      </c>
      <c r="AK6673">
        <v>0</v>
      </c>
      <c r="AU6673" s="6">
        <v>42024</v>
      </c>
      <c r="AV6673" s="6">
        <v>42024</v>
      </c>
      <c r="AW6673" t="s">
        <v>54</v>
      </c>
      <c r="AX6673" t="str">
        <f t="shared" si="560"/>
        <v>FOR</v>
      </c>
      <c r="AY6673" t="s">
        <v>55</v>
      </c>
    </row>
    <row r="6674" spans="1:51" hidden="1">
      <c r="A6674">
        <v>104093</v>
      </c>
      <c r="B6674" t="s">
        <v>1210</v>
      </c>
      <c r="C6674" t="str">
        <f t="shared" si="558"/>
        <v>06032681006</v>
      </c>
      <c r="D6674" t="str">
        <f t="shared" si="559"/>
        <v>12572900152</v>
      </c>
      <c r="E6674" t="s">
        <v>52</v>
      </c>
      <c r="F6674">
        <v>2014</v>
      </c>
      <c r="G6674">
        <v>25159833</v>
      </c>
      <c r="H6674" s="1">
        <v>41660</v>
      </c>
      <c r="I6674" s="1">
        <v>41680</v>
      </c>
      <c r="J6674" s="1">
        <v>41680</v>
      </c>
      <c r="K6674" s="1">
        <v>41770</v>
      </c>
      <c r="N6674" s="5"/>
      <c r="O6674">
        <v>252.72</v>
      </c>
      <c r="P6674">
        <v>254</v>
      </c>
      <c r="Q6674" s="2">
        <v>64190.879999999997</v>
      </c>
      <c r="R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 s="1">
        <v>42382</v>
      </c>
      <c r="AC6674" t="s">
        <v>53</v>
      </c>
      <c r="AD6674" t="s">
        <v>53</v>
      </c>
      <c r="AK6674">
        <v>0</v>
      </c>
      <c r="AU6674" s="6">
        <v>42024</v>
      </c>
      <c r="AV6674" s="6">
        <v>42024</v>
      </c>
      <c r="AW6674" t="s">
        <v>54</v>
      </c>
      <c r="AX6674" t="str">
        <f t="shared" si="560"/>
        <v>FOR</v>
      </c>
      <c r="AY6674" t="s">
        <v>55</v>
      </c>
    </row>
    <row r="6675" spans="1:51" hidden="1">
      <c r="A6675">
        <v>104093</v>
      </c>
      <c r="B6675" t="s">
        <v>1210</v>
      </c>
      <c r="C6675" t="str">
        <f t="shared" si="558"/>
        <v>06032681006</v>
      </c>
      <c r="D6675" t="str">
        <f t="shared" si="559"/>
        <v>12572900152</v>
      </c>
      <c r="E6675" t="s">
        <v>52</v>
      </c>
      <c r="F6675">
        <v>2014</v>
      </c>
      <c r="G6675">
        <v>25159834</v>
      </c>
      <c r="H6675" s="1">
        <v>41660</v>
      </c>
      <c r="I6675" s="1">
        <v>41680</v>
      </c>
      <c r="J6675" s="1">
        <v>41680</v>
      </c>
      <c r="K6675" s="1">
        <v>41770</v>
      </c>
      <c r="N6675" s="5"/>
      <c r="O6675">
        <v>74.88</v>
      </c>
      <c r="P6675">
        <v>254</v>
      </c>
      <c r="Q6675" s="2">
        <v>19019.52</v>
      </c>
      <c r="R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 s="1">
        <v>42382</v>
      </c>
      <c r="AC6675" t="s">
        <v>53</v>
      </c>
      <c r="AD6675" t="s">
        <v>53</v>
      </c>
      <c r="AK6675">
        <v>0</v>
      </c>
      <c r="AU6675" s="6">
        <v>42024</v>
      </c>
      <c r="AV6675" s="6">
        <v>42024</v>
      </c>
      <c r="AW6675" t="s">
        <v>54</v>
      </c>
      <c r="AX6675" t="str">
        <f t="shared" si="560"/>
        <v>FOR</v>
      </c>
      <c r="AY6675" t="s">
        <v>55</v>
      </c>
    </row>
    <row r="6676" spans="1:51" hidden="1">
      <c r="A6676">
        <v>104093</v>
      </c>
      <c r="B6676" t="s">
        <v>1210</v>
      </c>
      <c r="C6676" t="str">
        <f t="shared" si="558"/>
        <v>06032681006</v>
      </c>
      <c r="D6676" t="str">
        <f t="shared" si="559"/>
        <v>12572900152</v>
      </c>
      <c r="E6676" t="s">
        <v>52</v>
      </c>
      <c r="F6676">
        <v>2014</v>
      </c>
      <c r="G6676">
        <v>25159835</v>
      </c>
      <c r="H6676" s="1">
        <v>41660</v>
      </c>
      <c r="I6676" s="1">
        <v>41680</v>
      </c>
      <c r="J6676" s="1">
        <v>41680</v>
      </c>
      <c r="K6676" s="1">
        <v>41770</v>
      </c>
      <c r="N6676" s="5"/>
      <c r="O6676">
        <v>74.88</v>
      </c>
      <c r="P6676">
        <v>254</v>
      </c>
      <c r="Q6676" s="2">
        <v>19019.52</v>
      </c>
      <c r="R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 s="1">
        <v>42382</v>
      </c>
      <c r="AC6676" t="s">
        <v>53</v>
      </c>
      <c r="AD6676" t="s">
        <v>53</v>
      </c>
      <c r="AK6676">
        <v>0</v>
      </c>
      <c r="AU6676" s="6">
        <v>42024</v>
      </c>
      <c r="AV6676" s="6">
        <v>42024</v>
      </c>
      <c r="AW6676" t="s">
        <v>54</v>
      </c>
      <c r="AX6676" t="str">
        <f t="shared" si="560"/>
        <v>FOR</v>
      </c>
      <c r="AY6676" t="s">
        <v>55</v>
      </c>
    </row>
    <row r="6677" spans="1:51" hidden="1">
      <c r="A6677">
        <v>104093</v>
      </c>
      <c r="B6677" t="s">
        <v>1210</v>
      </c>
      <c r="C6677" t="str">
        <f t="shared" si="558"/>
        <v>06032681006</v>
      </c>
      <c r="D6677" t="str">
        <f t="shared" si="559"/>
        <v>12572900152</v>
      </c>
      <c r="E6677" t="s">
        <v>52</v>
      </c>
      <c r="F6677">
        <v>2014</v>
      </c>
      <c r="G6677">
        <v>25159836</v>
      </c>
      <c r="H6677" s="1">
        <v>41660</v>
      </c>
      <c r="I6677" s="1">
        <v>41680</v>
      </c>
      <c r="J6677" s="1">
        <v>41680</v>
      </c>
      <c r="K6677" s="1">
        <v>41770</v>
      </c>
      <c r="N6677" s="5"/>
      <c r="O6677">
        <v>926.64</v>
      </c>
      <c r="P6677">
        <v>254</v>
      </c>
      <c r="Q6677" s="2">
        <v>235366.56</v>
      </c>
      <c r="R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 s="1">
        <v>42382</v>
      </c>
      <c r="AC6677" t="s">
        <v>53</v>
      </c>
      <c r="AD6677" t="s">
        <v>53</v>
      </c>
      <c r="AK6677">
        <v>0</v>
      </c>
      <c r="AU6677" s="6">
        <v>42024</v>
      </c>
      <c r="AV6677" s="6">
        <v>42024</v>
      </c>
      <c r="AW6677" t="s">
        <v>54</v>
      </c>
      <c r="AX6677" t="str">
        <f t="shared" si="560"/>
        <v>FOR</v>
      </c>
      <c r="AY6677" t="s">
        <v>55</v>
      </c>
    </row>
    <row r="6678" spans="1:51" hidden="1">
      <c r="A6678">
        <v>104093</v>
      </c>
      <c r="B6678" t="s">
        <v>1210</v>
      </c>
      <c r="C6678" t="str">
        <f t="shared" si="558"/>
        <v>06032681006</v>
      </c>
      <c r="D6678" t="str">
        <f t="shared" si="559"/>
        <v>12572900152</v>
      </c>
      <c r="E6678" t="s">
        <v>52</v>
      </c>
      <c r="F6678">
        <v>2014</v>
      </c>
      <c r="G6678">
        <v>25160104</v>
      </c>
      <c r="H6678" s="1">
        <v>41661</v>
      </c>
      <c r="I6678" s="1">
        <v>41680</v>
      </c>
      <c r="J6678" s="1">
        <v>41680</v>
      </c>
      <c r="K6678" s="1">
        <v>41770</v>
      </c>
      <c r="N6678" s="5"/>
      <c r="O6678" s="2">
        <v>9180.5</v>
      </c>
      <c r="P6678">
        <v>254</v>
      </c>
      <c r="Q6678" s="2">
        <v>2331847</v>
      </c>
      <c r="R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 s="1">
        <v>42382</v>
      </c>
      <c r="AC6678" t="s">
        <v>53</v>
      </c>
      <c r="AD6678" t="s">
        <v>53</v>
      </c>
      <c r="AK6678">
        <v>0</v>
      </c>
      <c r="AU6678" s="6">
        <v>42024</v>
      </c>
      <c r="AV6678" s="6">
        <v>42024</v>
      </c>
      <c r="AW6678" t="s">
        <v>54</v>
      </c>
      <c r="AX6678" t="str">
        <f t="shared" si="560"/>
        <v>FOR</v>
      </c>
      <c r="AY6678" t="s">
        <v>55</v>
      </c>
    </row>
    <row r="6679" spans="1:51" hidden="1">
      <c r="A6679">
        <v>104093</v>
      </c>
      <c r="B6679" t="s">
        <v>1210</v>
      </c>
      <c r="C6679" t="str">
        <f t="shared" si="558"/>
        <v>06032681006</v>
      </c>
      <c r="D6679" t="str">
        <f t="shared" si="559"/>
        <v>12572900152</v>
      </c>
      <c r="E6679" t="s">
        <v>52</v>
      </c>
      <c r="F6679">
        <v>2014</v>
      </c>
      <c r="G6679">
        <v>25160138</v>
      </c>
      <c r="H6679" s="1">
        <v>41661</v>
      </c>
      <c r="I6679" s="1">
        <v>41680</v>
      </c>
      <c r="J6679" s="1">
        <v>41680</v>
      </c>
      <c r="K6679" s="1">
        <v>41770</v>
      </c>
      <c r="N6679" s="5"/>
      <c r="O6679" s="2">
        <v>17004</v>
      </c>
      <c r="P6679">
        <v>254</v>
      </c>
      <c r="Q6679" s="2">
        <v>4319016</v>
      </c>
      <c r="R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 s="1">
        <v>42382</v>
      </c>
      <c r="AC6679" t="s">
        <v>53</v>
      </c>
      <c r="AD6679" t="s">
        <v>53</v>
      </c>
      <c r="AK6679">
        <v>0</v>
      </c>
      <c r="AU6679" s="6">
        <v>42024</v>
      </c>
      <c r="AV6679" s="6">
        <v>42024</v>
      </c>
      <c r="AW6679" t="s">
        <v>54</v>
      </c>
      <c r="AX6679" t="str">
        <f t="shared" si="560"/>
        <v>FOR</v>
      </c>
      <c r="AY6679" t="s">
        <v>55</v>
      </c>
    </row>
    <row r="6680" spans="1:51" hidden="1">
      <c r="A6680">
        <v>104093</v>
      </c>
      <c r="B6680" t="s">
        <v>1210</v>
      </c>
      <c r="C6680" t="str">
        <f t="shared" si="558"/>
        <v>06032681006</v>
      </c>
      <c r="D6680" t="str">
        <f t="shared" si="559"/>
        <v>12572900152</v>
      </c>
      <c r="E6680" t="s">
        <v>52</v>
      </c>
      <c r="F6680">
        <v>2014</v>
      </c>
      <c r="G6680">
        <v>25160333</v>
      </c>
      <c r="H6680" s="1">
        <v>41662</v>
      </c>
      <c r="I6680" s="1">
        <v>42080</v>
      </c>
      <c r="J6680" s="1">
        <v>42080</v>
      </c>
      <c r="K6680" s="1">
        <v>42140</v>
      </c>
      <c r="N6680" s="5"/>
      <c r="O6680" s="2">
        <v>3007.3</v>
      </c>
      <c r="P6680">
        <v>-10</v>
      </c>
      <c r="Q6680" s="2">
        <v>-30073</v>
      </c>
      <c r="R6680">
        <v>0</v>
      </c>
      <c r="V6680">
        <v>0</v>
      </c>
      <c r="W6680">
        <v>0</v>
      </c>
      <c r="X6680">
        <v>0</v>
      </c>
      <c r="Y6680">
        <v>0</v>
      </c>
      <c r="Z6680" s="2">
        <v>3007.3</v>
      </c>
      <c r="AA6680">
        <v>0</v>
      </c>
      <c r="AB6680" s="1">
        <v>42382</v>
      </c>
      <c r="AC6680" t="s">
        <v>53</v>
      </c>
      <c r="AD6680" t="s">
        <v>53</v>
      </c>
      <c r="AK6680">
        <v>0</v>
      </c>
      <c r="AU6680" s="6">
        <v>42130</v>
      </c>
      <c r="AV6680" s="6">
        <v>42130</v>
      </c>
      <c r="AW6680" t="s">
        <v>54</v>
      </c>
      <c r="AX6680" t="str">
        <f t="shared" si="560"/>
        <v>FOR</v>
      </c>
      <c r="AY6680" t="s">
        <v>55</v>
      </c>
    </row>
    <row r="6681" spans="1:51" hidden="1">
      <c r="A6681">
        <v>104093</v>
      </c>
      <c r="B6681" t="s">
        <v>1210</v>
      </c>
      <c r="C6681" t="str">
        <f t="shared" si="558"/>
        <v>06032681006</v>
      </c>
      <c r="D6681" t="str">
        <f t="shared" si="559"/>
        <v>12572900152</v>
      </c>
      <c r="E6681" t="s">
        <v>52</v>
      </c>
      <c r="F6681">
        <v>2014</v>
      </c>
      <c r="G6681">
        <v>25160353</v>
      </c>
      <c r="H6681" s="1">
        <v>41662</v>
      </c>
      <c r="I6681" s="1">
        <v>42080</v>
      </c>
      <c r="J6681" s="1">
        <v>42080</v>
      </c>
      <c r="K6681" s="1">
        <v>42140</v>
      </c>
      <c r="N6681" s="5"/>
      <c r="O6681">
        <v>948.48</v>
      </c>
      <c r="P6681">
        <v>-10</v>
      </c>
      <c r="Q6681" s="2">
        <v>-9484.7999999999993</v>
      </c>
      <c r="R6681">
        <v>0</v>
      </c>
      <c r="V6681">
        <v>0</v>
      </c>
      <c r="W6681">
        <v>0</v>
      </c>
      <c r="X6681">
        <v>0</v>
      </c>
      <c r="Y6681">
        <v>0</v>
      </c>
      <c r="Z6681">
        <v>948.48</v>
      </c>
      <c r="AA6681">
        <v>0</v>
      </c>
      <c r="AB6681" s="1">
        <v>42382</v>
      </c>
      <c r="AC6681" t="s">
        <v>53</v>
      </c>
      <c r="AD6681" t="s">
        <v>53</v>
      </c>
      <c r="AK6681">
        <v>0</v>
      </c>
      <c r="AU6681" s="6">
        <v>42130</v>
      </c>
      <c r="AV6681" s="6">
        <v>42130</v>
      </c>
      <c r="AW6681" t="s">
        <v>54</v>
      </c>
      <c r="AX6681" t="str">
        <f t="shared" si="560"/>
        <v>FOR</v>
      </c>
      <c r="AY6681" t="s">
        <v>55</v>
      </c>
    </row>
    <row r="6682" spans="1:51" hidden="1">
      <c r="A6682">
        <v>104093</v>
      </c>
      <c r="B6682" t="s">
        <v>1210</v>
      </c>
      <c r="C6682" t="str">
        <f t="shared" si="558"/>
        <v>06032681006</v>
      </c>
      <c r="D6682" t="str">
        <f t="shared" si="559"/>
        <v>12572900152</v>
      </c>
      <c r="E6682" t="s">
        <v>52</v>
      </c>
      <c r="F6682">
        <v>2014</v>
      </c>
      <c r="G6682">
        <v>25160918</v>
      </c>
      <c r="H6682" s="1">
        <v>41666</v>
      </c>
      <c r="I6682" s="1">
        <v>41687</v>
      </c>
      <c r="J6682" s="1">
        <v>41687</v>
      </c>
      <c r="K6682" s="1">
        <v>41777</v>
      </c>
      <c r="N6682" s="5"/>
      <c r="O6682" s="2">
        <v>1141.92</v>
      </c>
      <c r="P6682">
        <v>247</v>
      </c>
      <c r="Q6682" s="2">
        <v>282054.24</v>
      </c>
      <c r="R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 s="1">
        <v>42382</v>
      </c>
      <c r="AC6682" t="s">
        <v>53</v>
      </c>
      <c r="AD6682" t="s">
        <v>53</v>
      </c>
      <c r="AK6682">
        <v>0</v>
      </c>
      <c r="AU6682" s="6">
        <v>42024</v>
      </c>
      <c r="AV6682" s="6">
        <v>42024</v>
      </c>
      <c r="AW6682" t="s">
        <v>54</v>
      </c>
      <c r="AX6682" t="str">
        <f t="shared" si="560"/>
        <v>FOR</v>
      </c>
      <c r="AY6682" t="s">
        <v>55</v>
      </c>
    </row>
    <row r="6683" spans="1:51" hidden="1">
      <c r="A6683">
        <v>104093</v>
      </c>
      <c r="B6683" t="s">
        <v>1210</v>
      </c>
      <c r="C6683" t="str">
        <f t="shared" si="558"/>
        <v>06032681006</v>
      </c>
      <c r="D6683" t="str">
        <f t="shared" si="559"/>
        <v>12572900152</v>
      </c>
      <c r="E6683" t="s">
        <v>52</v>
      </c>
      <c r="F6683">
        <v>2014</v>
      </c>
      <c r="G6683">
        <v>25161150</v>
      </c>
      <c r="H6683" s="1">
        <v>41667</v>
      </c>
      <c r="I6683" s="1">
        <v>41687</v>
      </c>
      <c r="J6683" s="1">
        <v>41687</v>
      </c>
      <c r="K6683" s="1">
        <v>41777</v>
      </c>
      <c r="N6683" s="5"/>
      <c r="O6683">
        <v>74.88</v>
      </c>
      <c r="P6683">
        <v>247</v>
      </c>
      <c r="Q6683" s="2">
        <v>18495.36</v>
      </c>
      <c r="R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 s="1">
        <v>42382</v>
      </c>
      <c r="AC6683" t="s">
        <v>53</v>
      </c>
      <c r="AD6683" t="s">
        <v>53</v>
      </c>
      <c r="AK6683">
        <v>0</v>
      </c>
      <c r="AU6683" s="6">
        <v>42024</v>
      </c>
      <c r="AV6683" s="6">
        <v>42024</v>
      </c>
      <c r="AW6683" t="s">
        <v>54</v>
      </c>
      <c r="AX6683" t="str">
        <f t="shared" si="560"/>
        <v>FOR</v>
      </c>
      <c r="AY6683" t="s">
        <v>55</v>
      </c>
    </row>
    <row r="6684" spans="1:51" hidden="1">
      <c r="A6684">
        <v>104093</v>
      </c>
      <c r="B6684" t="s">
        <v>1210</v>
      </c>
      <c r="C6684" t="str">
        <f t="shared" si="558"/>
        <v>06032681006</v>
      </c>
      <c r="D6684" t="str">
        <f t="shared" si="559"/>
        <v>12572900152</v>
      </c>
      <c r="E6684" t="s">
        <v>52</v>
      </c>
      <c r="F6684">
        <v>2014</v>
      </c>
      <c r="G6684">
        <v>25161151</v>
      </c>
      <c r="H6684" s="1">
        <v>41667</v>
      </c>
      <c r="I6684" s="1">
        <v>41687</v>
      </c>
      <c r="J6684" s="1">
        <v>41687</v>
      </c>
      <c r="K6684" s="1">
        <v>41777</v>
      </c>
      <c r="N6684" s="5"/>
      <c r="O6684">
        <v>252.72</v>
      </c>
      <c r="P6684">
        <v>247</v>
      </c>
      <c r="Q6684" s="2">
        <v>62421.84</v>
      </c>
      <c r="R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 s="1">
        <v>42382</v>
      </c>
      <c r="AC6684" t="s">
        <v>53</v>
      </c>
      <c r="AD6684" t="s">
        <v>53</v>
      </c>
      <c r="AK6684">
        <v>0</v>
      </c>
      <c r="AU6684" s="6">
        <v>42024</v>
      </c>
      <c r="AV6684" s="6">
        <v>42024</v>
      </c>
      <c r="AW6684" t="s">
        <v>54</v>
      </c>
      <c r="AX6684" t="str">
        <f t="shared" si="560"/>
        <v>FOR</v>
      </c>
      <c r="AY6684" t="s">
        <v>55</v>
      </c>
    </row>
    <row r="6685" spans="1:51" hidden="1">
      <c r="A6685">
        <v>104093</v>
      </c>
      <c r="B6685" t="s">
        <v>1210</v>
      </c>
      <c r="C6685" t="str">
        <f t="shared" ref="C6685:C6748" si="561">"06032681006"</f>
        <v>06032681006</v>
      </c>
      <c r="D6685" t="str">
        <f t="shared" ref="D6685:D6748" si="562">"12572900152"</f>
        <v>12572900152</v>
      </c>
      <c r="E6685" t="s">
        <v>52</v>
      </c>
      <c r="F6685">
        <v>2014</v>
      </c>
      <c r="G6685">
        <v>25161152</v>
      </c>
      <c r="H6685" s="1">
        <v>41667</v>
      </c>
      <c r="I6685" s="1">
        <v>41687</v>
      </c>
      <c r="J6685" s="1">
        <v>41687</v>
      </c>
      <c r="K6685" s="1">
        <v>41777</v>
      </c>
      <c r="N6685" s="5"/>
      <c r="O6685">
        <v>74.88</v>
      </c>
      <c r="P6685">
        <v>247</v>
      </c>
      <c r="Q6685" s="2">
        <v>18495.36</v>
      </c>
      <c r="R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 s="1">
        <v>42382</v>
      </c>
      <c r="AC6685" t="s">
        <v>53</v>
      </c>
      <c r="AD6685" t="s">
        <v>53</v>
      </c>
      <c r="AK6685">
        <v>0</v>
      </c>
      <c r="AU6685" s="6">
        <v>42024</v>
      </c>
      <c r="AV6685" s="6">
        <v>42024</v>
      </c>
      <c r="AW6685" t="s">
        <v>54</v>
      </c>
      <c r="AX6685" t="str">
        <f t="shared" si="560"/>
        <v>FOR</v>
      </c>
      <c r="AY6685" t="s">
        <v>55</v>
      </c>
    </row>
    <row r="6686" spans="1:51" hidden="1">
      <c r="A6686">
        <v>104093</v>
      </c>
      <c r="B6686" t="s">
        <v>1210</v>
      </c>
      <c r="C6686" t="str">
        <f t="shared" si="561"/>
        <v>06032681006</v>
      </c>
      <c r="D6686" t="str">
        <f t="shared" si="562"/>
        <v>12572900152</v>
      </c>
      <c r="E6686" t="s">
        <v>52</v>
      </c>
      <c r="F6686">
        <v>2014</v>
      </c>
      <c r="G6686">
        <v>25161153</v>
      </c>
      <c r="H6686" s="1">
        <v>41667</v>
      </c>
      <c r="I6686" s="1">
        <v>41687</v>
      </c>
      <c r="J6686" s="1">
        <v>41687</v>
      </c>
      <c r="K6686" s="1">
        <v>41777</v>
      </c>
      <c r="N6686" s="5"/>
      <c r="O6686">
        <v>74.88</v>
      </c>
      <c r="P6686">
        <v>247</v>
      </c>
      <c r="Q6686" s="2">
        <v>18495.36</v>
      </c>
      <c r="R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 s="1">
        <v>42382</v>
      </c>
      <c r="AC6686" t="s">
        <v>53</v>
      </c>
      <c r="AD6686" t="s">
        <v>53</v>
      </c>
      <c r="AK6686">
        <v>0</v>
      </c>
      <c r="AU6686" s="6">
        <v>42024</v>
      </c>
      <c r="AV6686" s="6">
        <v>42024</v>
      </c>
      <c r="AW6686" t="s">
        <v>54</v>
      </c>
      <c r="AX6686" t="str">
        <f t="shared" si="560"/>
        <v>FOR</v>
      </c>
      <c r="AY6686" t="s">
        <v>55</v>
      </c>
    </row>
    <row r="6687" spans="1:51" hidden="1">
      <c r="A6687">
        <v>104093</v>
      </c>
      <c r="B6687" t="s">
        <v>1210</v>
      </c>
      <c r="C6687" t="str">
        <f t="shared" si="561"/>
        <v>06032681006</v>
      </c>
      <c r="D6687" t="str">
        <f t="shared" si="562"/>
        <v>12572900152</v>
      </c>
      <c r="E6687" t="s">
        <v>52</v>
      </c>
      <c r="F6687">
        <v>2014</v>
      </c>
      <c r="G6687">
        <v>25161155</v>
      </c>
      <c r="H6687" s="1">
        <v>41667</v>
      </c>
      <c r="I6687" s="1">
        <v>41687</v>
      </c>
      <c r="J6687" s="1">
        <v>41687</v>
      </c>
      <c r="K6687" s="1">
        <v>41777</v>
      </c>
      <c r="N6687" s="5"/>
      <c r="O6687">
        <v>252.72</v>
      </c>
      <c r="P6687">
        <v>247</v>
      </c>
      <c r="Q6687" s="2">
        <v>62421.84</v>
      </c>
      <c r="R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 s="1">
        <v>42382</v>
      </c>
      <c r="AC6687" t="s">
        <v>53</v>
      </c>
      <c r="AD6687" t="s">
        <v>53</v>
      </c>
      <c r="AK6687">
        <v>0</v>
      </c>
      <c r="AU6687" s="6">
        <v>42024</v>
      </c>
      <c r="AV6687" s="6">
        <v>42024</v>
      </c>
      <c r="AW6687" t="s">
        <v>54</v>
      </c>
      <c r="AX6687" t="str">
        <f t="shared" si="560"/>
        <v>FOR</v>
      </c>
      <c r="AY6687" t="s">
        <v>55</v>
      </c>
    </row>
    <row r="6688" spans="1:51" hidden="1">
      <c r="A6688">
        <v>104093</v>
      </c>
      <c r="B6688" t="s">
        <v>1210</v>
      </c>
      <c r="C6688" t="str">
        <f t="shared" si="561"/>
        <v>06032681006</v>
      </c>
      <c r="D6688" t="str">
        <f t="shared" si="562"/>
        <v>12572900152</v>
      </c>
      <c r="E6688" t="s">
        <v>52</v>
      </c>
      <c r="F6688">
        <v>2014</v>
      </c>
      <c r="G6688">
        <v>25161156</v>
      </c>
      <c r="H6688" s="1">
        <v>41667</v>
      </c>
      <c r="I6688" s="1">
        <v>41687</v>
      </c>
      <c r="J6688" s="1">
        <v>41687</v>
      </c>
      <c r="K6688" s="1">
        <v>41777</v>
      </c>
      <c r="N6688" s="5"/>
      <c r="O6688">
        <v>74.88</v>
      </c>
      <c r="P6688">
        <v>247</v>
      </c>
      <c r="Q6688" s="2">
        <v>18495.36</v>
      </c>
      <c r="R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 s="1">
        <v>42382</v>
      </c>
      <c r="AC6688" t="s">
        <v>53</v>
      </c>
      <c r="AD6688" t="s">
        <v>53</v>
      </c>
      <c r="AK6688">
        <v>0</v>
      </c>
      <c r="AU6688" s="6">
        <v>42024</v>
      </c>
      <c r="AV6688" s="6">
        <v>42024</v>
      </c>
      <c r="AW6688" t="s">
        <v>54</v>
      </c>
      <c r="AX6688" t="str">
        <f t="shared" si="560"/>
        <v>FOR</v>
      </c>
      <c r="AY6688" t="s">
        <v>55</v>
      </c>
    </row>
    <row r="6689" spans="1:51" hidden="1">
      <c r="A6689">
        <v>104093</v>
      </c>
      <c r="B6689" t="s">
        <v>1210</v>
      </c>
      <c r="C6689" t="str">
        <f t="shared" si="561"/>
        <v>06032681006</v>
      </c>
      <c r="D6689" t="str">
        <f t="shared" si="562"/>
        <v>12572900152</v>
      </c>
      <c r="E6689" t="s">
        <v>52</v>
      </c>
      <c r="F6689">
        <v>2014</v>
      </c>
      <c r="G6689">
        <v>25161157</v>
      </c>
      <c r="H6689" s="1">
        <v>41667</v>
      </c>
      <c r="I6689" s="1">
        <v>41687</v>
      </c>
      <c r="J6689" s="1">
        <v>41687</v>
      </c>
      <c r="K6689" s="1">
        <v>41777</v>
      </c>
      <c r="N6689" s="5"/>
      <c r="O6689">
        <v>74.88</v>
      </c>
      <c r="P6689">
        <v>247</v>
      </c>
      <c r="Q6689" s="2">
        <v>18495.36</v>
      </c>
      <c r="R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 s="1">
        <v>42382</v>
      </c>
      <c r="AC6689" t="s">
        <v>53</v>
      </c>
      <c r="AD6689" t="s">
        <v>53</v>
      </c>
      <c r="AK6689">
        <v>0</v>
      </c>
      <c r="AU6689" s="6">
        <v>42024</v>
      </c>
      <c r="AV6689" s="6">
        <v>42024</v>
      </c>
      <c r="AW6689" t="s">
        <v>54</v>
      </c>
      <c r="AX6689" t="str">
        <f t="shared" si="560"/>
        <v>FOR</v>
      </c>
      <c r="AY6689" t="s">
        <v>55</v>
      </c>
    </row>
    <row r="6690" spans="1:51" hidden="1">
      <c r="A6690">
        <v>104093</v>
      </c>
      <c r="B6690" t="s">
        <v>1210</v>
      </c>
      <c r="C6690" t="str">
        <f t="shared" si="561"/>
        <v>06032681006</v>
      </c>
      <c r="D6690" t="str">
        <f t="shared" si="562"/>
        <v>12572900152</v>
      </c>
      <c r="E6690" t="s">
        <v>52</v>
      </c>
      <c r="F6690">
        <v>2014</v>
      </c>
      <c r="G6690">
        <v>25161158</v>
      </c>
      <c r="H6690" s="1">
        <v>41667</v>
      </c>
      <c r="I6690" s="1">
        <v>41687</v>
      </c>
      <c r="J6690" s="1">
        <v>41687</v>
      </c>
      <c r="K6690" s="1">
        <v>41777</v>
      </c>
      <c r="N6690" s="5"/>
      <c r="O6690">
        <v>74.88</v>
      </c>
      <c r="P6690">
        <v>247</v>
      </c>
      <c r="Q6690" s="2">
        <v>18495.36</v>
      </c>
      <c r="R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 s="1">
        <v>42382</v>
      </c>
      <c r="AC6690" t="s">
        <v>53</v>
      </c>
      <c r="AD6690" t="s">
        <v>53</v>
      </c>
      <c r="AK6690">
        <v>0</v>
      </c>
      <c r="AU6690" s="6">
        <v>42024</v>
      </c>
      <c r="AV6690" s="6">
        <v>42024</v>
      </c>
      <c r="AW6690" t="s">
        <v>54</v>
      </c>
      <c r="AX6690" t="str">
        <f t="shared" si="560"/>
        <v>FOR</v>
      </c>
      <c r="AY6690" t="s">
        <v>55</v>
      </c>
    </row>
    <row r="6691" spans="1:51" hidden="1">
      <c r="A6691">
        <v>104093</v>
      </c>
      <c r="B6691" t="s">
        <v>1210</v>
      </c>
      <c r="C6691" t="str">
        <f t="shared" si="561"/>
        <v>06032681006</v>
      </c>
      <c r="D6691" t="str">
        <f t="shared" si="562"/>
        <v>12572900152</v>
      </c>
      <c r="E6691" t="s">
        <v>52</v>
      </c>
      <c r="F6691">
        <v>2014</v>
      </c>
      <c r="G6691">
        <v>25161159</v>
      </c>
      <c r="H6691" s="1">
        <v>41667</v>
      </c>
      <c r="I6691" s="1">
        <v>41687</v>
      </c>
      <c r="J6691" s="1">
        <v>41687</v>
      </c>
      <c r="K6691" s="1">
        <v>41777</v>
      </c>
      <c r="N6691" s="5"/>
      <c r="O6691">
        <v>74.88</v>
      </c>
      <c r="P6691">
        <v>247</v>
      </c>
      <c r="Q6691" s="2">
        <v>18495.36</v>
      </c>
      <c r="R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 s="1">
        <v>42382</v>
      </c>
      <c r="AC6691" t="s">
        <v>53</v>
      </c>
      <c r="AD6691" t="s">
        <v>53</v>
      </c>
      <c r="AK6691">
        <v>0</v>
      </c>
      <c r="AU6691" s="6">
        <v>42024</v>
      </c>
      <c r="AV6691" s="6">
        <v>42024</v>
      </c>
      <c r="AW6691" t="s">
        <v>54</v>
      </c>
      <c r="AX6691" t="str">
        <f t="shared" si="560"/>
        <v>FOR</v>
      </c>
      <c r="AY6691" t="s">
        <v>55</v>
      </c>
    </row>
    <row r="6692" spans="1:51" hidden="1">
      <c r="A6692">
        <v>104093</v>
      </c>
      <c r="B6692" t="s">
        <v>1210</v>
      </c>
      <c r="C6692" t="str">
        <f t="shared" si="561"/>
        <v>06032681006</v>
      </c>
      <c r="D6692" t="str">
        <f t="shared" si="562"/>
        <v>12572900152</v>
      </c>
      <c r="E6692" t="s">
        <v>52</v>
      </c>
      <c r="F6692">
        <v>2014</v>
      </c>
      <c r="G6692">
        <v>25161161</v>
      </c>
      <c r="H6692" s="1">
        <v>41667</v>
      </c>
      <c r="I6692" s="1">
        <v>41687</v>
      </c>
      <c r="J6692" s="1">
        <v>41687</v>
      </c>
      <c r="K6692" s="1">
        <v>41777</v>
      </c>
      <c r="N6692" s="5"/>
      <c r="O6692">
        <v>707.62</v>
      </c>
      <c r="P6692">
        <v>247</v>
      </c>
      <c r="Q6692" s="2">
        <v>174782.14</v>
      </c>
      <c r="R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 s="1">
        <v>42382</v>
      </c>
      <c r="AC6692" t="s">
        <v>53</v>
      </c>
      <c r="AD6692" t="s">
        <v>53</v>
      </c>
      <c r="AK6692">
        <v>0</v>
      </c>
      <c r="AU6692" s="6">
        <v>42024</v>
      </c>
      <c r="AV6692" s="6">
        <v>42024</v>
      </c>
      <c r="AW6692" t="s">
        <v>54</v>
      </c>
      <c r="AX6692" t="str">
        <f t="shared" si="560"/>
        <v>FOR</v>
      </c>
      <c r="AY6692" t="s">
        <v>55</v>
      </c>
    </row>
    <row r="6693" spans="1:51" hidden="1">
      <c r="A6693">
        <v>104093</v>
      </c>
      <c r="B6693" t="s">
        <v>1210</v>
      </c>
      <c r="C6693" t="str">
        <f t="shared" si="561"/>
        <v>06032681006</v>
      </c>
      <c r="D6693" t="str">
        <f t="shared" si="562"/>
        <v>12572900152</v>
      </c>
      <c r="E6693" t="s">
        <v>52</v>
      </c>
      <c r="F6693">
        <v>2014</v>
      </c>
      <c r="G6693">
        <v>25161162</v>
      </c>
      <c r="H6693" s="1">
        <v>41667</v>
      </c>
      <c r="I6693" s="1">
        <v>41687</v>
      </c>
      <c r="J6693" s="1">
        <v>41687</v>
      </c>
      <c r="K6693" s="1">
        <v>41777</v>
      </c>
      <c r="N6693" s="5"/>
      <c r="O6693">
        <v>74.88</v>
      </c>
      <c r="P6693">
        <v>247</v>
      </c>
      <c r="Q6693" s="2">
        <v>18495.36</v>
      </c>
      <c r="R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 s="1">
        <v>42382</v>
      </c>
      <c r="AC6693" t="s">
        <v>53</v>
      </c>
      <c r="AD6693" t="s">
        <v>53</v>
      </c>
      <c r="AK6693">
        <v>0</v>
      </c>
      <c r="AU6693" s="6">
        <v>42024</v>
      </c>
      <c r="AV6693" s="6">
        <v>42024</v>
      </c>
      <c r="AW6693" t="s">
        <v>54</v>
      </c>
      <c r="AX6693" t="str">
        <f t="shared" si="560"/>
        <v>FOR</v>
      </c>
      <c r="AY6693" t="s">
        <v>55</v>
      </c>
    </row>
    <row r="6694" spans="1:51" hidden="1">
      <c r="A6694">
        <v>104093</v>
      </c>
      <c r="B6694" t="s">
        <v>1210</v>
      </c>
      <c r="C6694" t="str">
        <f t="shared" si="561"/>
        <v>06032681006</v>
      </c>
      <c r="D6694" t="str">
        <f t="shared" si="562"/>
        <v>12572900152</v>
      </c>
      <c r="E6694" t="s">
        <v>52</v>
      </c>
      <c r="F6694">
        <v>2014</v>
      </c>
      <c r="G6694">
        <v>25161163</v>
      </c>
      <c r="H6694" s="1">
        <v>41667</v>
      </c>
      <c r="I6694" s="1">
        <v>41687</v>
      </c>
      <c r="J6694" s="1">
        <v>41687</v>
      </c>
      <c r="K6694" s="1">
        <v>41777</v>
      </c>
      <c r="N6694" s="5"/>
      <c r="O6694">
        <v>252.72</v>
      </c>
      <c r="P6694">
        <v>247</v>
      </c>
      <c r="Q6694" s="2">
        <v>62421.84</v>
      </c>
      <c r="R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 s="1">
        <v>42382</v>
      </c>
      <c r="AC6694" t="s">
        <v>53</v>
      </c>
      <c r="AD6694" t="s">
        <v>53</v>
      </c>
      <c r="AK6694">
        <v>0</v>
      </c>
      <c r="AU6694" s="6">
        <v>42024</v>
      </c>
      <c r="AV6694" s="6">
        <v>42024</v>
      </c>
      <c r="AW6694" t="s">
        <v>54</v>
      </c>
      <c r="AX6694" t="str">
        <f t="shared" si="560"/>
        <v>FOR</v>
      </c>
      <c r="AY6694" t="s">
        <v>55</v>
      </c>
    </row>
    <row r="6695" spans="1:51" hidden="1">
      <c r="A6695">
        <v>104093</v>
      </c>
      <c r="B6695" t="s">
        <v>1210</v>
      </c>
      <c r="C6695" t="str">
        <f t="shared" si="561"/>
        <v>06032681006</v>
      </c>
      <c r="D6695" t="str">
        <f t="shared" si="562"/>
        <v>12572900152</v>
      </c>
      <c r="E6695" t="s">
        <v>52</v>
      </c>
      <c r="F6695">
        <v>2014</v>
      </c>
      <c r="G6695">
        <v>25161164</v>
      </c>
      <c r="H6695" s="1">
        <v>41667</v>
      </c>
      <c r="I6695" s="1">
        <v>41687</v>
      </c>
      <c r="J6695" s="1">
        <v>41687</v>
      </c>
      <c r="K6695" s="1">
        <v>41777</v>
      </c>
      <c r="N6695" s="5"/>
      <c r="O6695">
        <v>707.62</v>
      </c>
      <c r="P6695">
        <v>247</v>
      </c>
      <c r="Q6695" s="2">
        <v>174782.14</v>
      </c>
      <c r="R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 s="1">
        <v>42382</v>
      </c>
      <c r="AC6695" t="s">
        <v>53</v>
      </c>
      <c r="AD6695" t="s">
        <v>53</v>
      </c>
      <c r="AK6695">
        <v>0</v>
      </c>
      <c r="AU6695" s="6">
        <v>42024</v>
      </c>
      <c r="AV6695" s="6">
        <v>42024</v>
      </c>
      <c r="AW6695" t="s">
        <v>54</v>
      </c>
      <c r="AX6695" t="str">
        <f t="shared" si="560"/>
        <v>FOR</v>
      </c>
      <c r="AY6695" t="s">
        <v>55</v>
      </c>
    </row>
    <row r="6696" spans="1:51" hidden="1">
      <c r="A6696">
        <v>104093</v>
      </c>
      <c r="B6696" t="s">
        <v>1210</v>
      </c>
      <c r="C6696" t="str">
        <f t="shared" si="561"/>
        <v>06032681006</v>
      </c>
      <c r="D6696" t="str">
        <f t="shared" si="562"/>
        <v>12572900152</v>
      </c>
      <c r="E6696" t="s">
        <v>52</v>
      </c>
      <c r="F6696">
        <v>2014</v>
      </c>
      <c r="G6696">
        <v>25162082</v>
      </c>
      <c r="H6696" s="1">
        <v>41670</v>
      </c>
      <c r="I6696" s="1">
        <v>41689</v>
      </c>
      <c r="J6696" s="1">
        <v>41689</v>
      </c>
      <c r="K6696" s="1">
        <v>41779</v>
      </c>
      <c r="N6696" s="5"/>
      <c r="O6696">
        <v>707.62</v>
      </c>
      <c r="P6696">
        <v>245</v>
      </c>
      <c r="Q6696" s="2">
        <v>173366.9</v>
      </c>
      <c r="R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 s="1">
        <v>42382</v>
      </c>
      <c r="AC6696" t="s">
        <v>53</v>
      </c>
      <c r="AD6696" t="s">
        <v>53</v>
      </c>
      <c r="AK6696">
        <v>0</v>
      </c>
      <c r="AU6696" s="6">
        <v>42024</v>
      </c>
      <c r="AV6696" s="6">
        <v>42024</v>
      </c>
      <c r="AW6696" t="s">
        <v>54</v>
      </c>
      <c r="AX6696" t="str">
        <f t="shared" si="560"/>
        <v>FOR</v>
      </c>
      <c r="AY6696" t="s">
        <v>55</v>
      </c>
    </row>
    <row r="6697" spans="1:51" hidden="1">
      <c r="A6697">
        <v>104093</v>
      </c>
      <c r="B6697" t="s">
        <v>1210</v>
      </c>
      <c r="C6697" t="str">
        <f t="shared" si="561"/>
        <v>06032681006</v>
      </c>
      <c r="D6697" t="str">
        <f t="shared" si="562"/>
        <v>12572900152</v>
      </c>
      <c r="E6697" t="s">
        <v>52</v>
      </c>
      <c r="F6697">
        <v>2014</v>
      </c>
      <c r="G6697">
        <v>25162083</v>
      </c>
      <c r="H6697" s="1">
        <v>41670</v>
      </c>
      <c r="I6697" s="1">
        <v>41689</v>
      </c>
      <c r="J6697" s="1">
        <v>41689</v>
      </c>
      <c r="K6697" s="1">
        <v>41779</v>
      </c>
      <c r="N6697" s="5"/>
      <c r="O6697">
        <v>252.72</v>
      </c>
      <c r="P6697">
        <v>245</v>
      </c>
      <c r="Q6697" s="2">
        <v>61916.4</v>
      </c>
      <c r="R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 s="1">
        <v>42382</v>
      </c>
      <c r="AC6697" t="s">
        <v>53</v>
      </c>
      <c r="AD6697" t="s">
        <v>53</v>
      </c>
      <c r="AK6697">
        <v>0</v>
      </c>
      <c r="AU6697" s="6">
        <v>42024</v>
      </c>
      <c r="AV6697" s="6">
        <v>42024</v>
      </c>
      <c r="AW6697" t="s">
        <v>54</v>
      </c>
      <c r="AX6697" t="str">
        <f t="shared" si="560"/>
        <v>FOR</v>
      </c>
      <c r="AY6697" t="s">
        <v>55</v>
      </c>
    </row>
    <row r="6698" spans="1:51" hidden="1">
      <c r="A6698">
        <v>104093</v>
      </c>
      <c r="B6698" t="s">
        <v>1210</v>
      </c>
      <c r="C6698" t="str">
        <f t="shared" si="561"/>
        <v>06032681006</v>
      </c>
      <c r="D6698" t="str">
        <f t="shared" si="562"/>
        <v>12572900152</v>
      </c>
      <c r="E6698" t="s">
        <v>52</v>
      </c>
      <c r="F6698">
        <v>2014</v>
      </c>
      <c r="G6698">
        <v>25162084</v>
      </c>
      <c r="H6698" s="1">
        <v>41670</v>
      </c>
      <c r="I6698" s="1">
        <v>41689</v>
      </c>
      <c r="J6698" s="1">
        <v>41689</v>
      </c>
      <c r="K6698" s="1">
        <v>41779</v>
      </c>
      <c r="N6698" s="5"/>
      <c r="O6698">
        <v>74.88</v>
      </c>
      <c r="P6698">
        <v>245</v>
      </c>
      <c r="Q6698" s="2">
        <v>18345.599999999999</v>
      </c>
      <c r="R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 s="1">
        <v>42382</v>
      </c>
      <c r="AC6698" t="s">
        <v>53</v>
      </c>
      <c r="AD6698" t="s">
        <v>53</v>
      </c>
      <c r="AK6698">
        <v>0</v>
      </c>
      <c r="AU6698" s="6">
        <v>42024</v>
      </c>
      <c r="AV6698" s="6">
        <v>42024</v>
      </c>
      <c r="AW6698" t="s">
        <v>54</v>
      </c>
      <c r="AX6698" t="str">
        <f t="shared" si="560"/>
        <v>FOR</v>
      </c>
      <c r="AY6698" t="s">
        <v>55</v>
      </c>
    </row>
    <row r="6699" spans="1:51" hidden="1">
      <c r="A6699">
        <v>104093</v>
      </c>
      <c r="B6699" t="s">
        <v>1210</v>
      </c>
      <c r="C6699" t="str">
        <f t="shared" si="561"/>
        <v>06032681006</v>
      </c>
      <c r="D6699" t="str">
        <f t="shared" si="562"/>
        <v>12572900152</v>
      </c>
      <c r="E6699" t="s">
        <v>52</v>
      </c>
      <c r="F6699">
        <v>2014</v>
      </c>
      <c r="G6699">
        <v>25162085</v>
      </c>
      <c r="H6699" s="1">
        <v>41670</v>
      </c>
      <c r="I6699" s="1">
        <v>41689</v>
      </c>
      <c r="J6699" s="1">
        <v>41689</v>
      </c>
      <c r="K6699" s="1">
        <v>41779</v>
      </c>
      <c r="N6699" s="5"/>
      <c r="O6699">
        <v>707.62</v>
      </c>
      <c r="P6699">
        <v>245</v>
      </c>
      <c r="Q6699" s="2">
        <v>173366.9</v>
      </c>
      <c r="R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 s="1">
        <v>42382</v>
      </c>
      <c r="AC6699" t="s">
        <v>53</v>
      </c>
      <c r="AD6699" t="s">
        <v>53</v>
      </c>
      <c r="AK6699">
        <v>0</v>
      </c>
      <c r="AU6699" s="6">
        <v>42024</v>
      </c>
      <c r="AV6699" s="6">
        <v>42024</v>
      </c>
      <c r="AW6699" t="s">
        <v>54</v>
      </c>
      <c r="AX6699" t="str">
        <f t="shared" si="560"/>
        <v>FOR</v>
      </c>
      <c r="AY6699" t="s">
        <v>55</v>
      </c>
    </row>
    <row r="6700" spans="1:51" hidden="1">
      <c r="A6700">
        <v>104093</v>
      </c>
      <c r="B6700" t="s">
        <v>1210</v>
      </c>
      <c r="C6700" t="str">
        <f t="shared" si="561"/>
        <v>06032681006</v>
      </c>
      <c r="D6700" t="str">
        <f t="shared" si="562"/>
        <v>12572900152</v>
      </c>
      <c r="E6700" t="s">
        <v>52</v>
      </c>
      <c r="F6700">
        <v>2014</v>
      </c>
      <c r="G6700">
        <v>25162190</v>
      </c>
      <c r="H6700" s="1">
        <v>41670</v>
      </c>
      <c r="I6700" s="1">
        <v>41689</v>
      </c>
      <c r="J6700" s="1">
        <v>41689</v>
      </c>
      <c r="K6700" s="1">
        <v>41779</v>
      </c>
      <c r="N6700" s="5"/>
      <c r="O6700">
        <v>546.55999999999995</v>
      </c>
      <c r="P6700">
        <v>245</v>
      </c>
      <c r="Q6700" s="2">
        <v>133907.20000000001</v>
      </c>
      <c r="R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 s="1">
        <v>42382</v>
      </c>
      <c r="AC6700" t="s">
        <v>53</v>
      </c>
      <c r="AD6700" t="s">
        <v>53</v>
      </c>
      <c r="AK6700">
        <v>0</v>
      </c>
      <c r="AU6700" s="6">
        <v>42024</v>
      </c>
      <c r="AV6700" s="6">
        <v>42024</v>
      </c>
      <c r="AW6700" t="s">
        <v>54</v>
      </c>
      <c r="AX6700" t="str">
        <f t="shared" si="560"/>
        <v>FOR</v>
      </c>
      <c r="AY6700" t="s">
        <v>55</v>
      </c>
    </row>
    <row r="6701" spans="1:51" hidden="1">
      <c r="A6701">
        <v>104093</v>
      </c>
      <c r="B6701" t="s">
        <v>1210</v>
      </c>
      <c r="C6701" t="str">
        <f t="shared" si="561"/>
        <v>06032681006</v>
      </c>
      <c r="D6701" t="str">
        <f t="shared" si="562"/>
        <v>12572900152</v>
      </c>
      <c r="E6701" t="s">
        <v>52</v>
      </c>
      <c r="F6701">
        <v>2014</v>
      </c>
      <c r="G6701">
        <v>25162437</v>
      </c>
      <c r="H6701" s="1">
        <v>41673</v>
      </c>
      <c r="I6701" s="1">
        <v>41689</v>
      </c>
      <c r="J6701" s="1">
        <v>41689</v>
      </c>
      <c r="K6701" s="1">
        <v>41779</v>
      </c>
      <c r="N6701" s="5"/>
      <c r="O6701">
        <v>988.42</v>
      </c>
      <c r="P6701">
        <v>260</v>
      </c>
      <c r="Q6701" s="2">
        <v>256989.2</v>
      </c>
      <c r="R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 s="1">
        <v>42382</v>
      </c>
      <c r="AC6701" t="s">
        <v>53</v>
      </c>
      <c r="AD6701" t="s">
        <v>53</v>
      </c>
      <c r="AK6701">
        <v>0</v>
      </c>
      <c r="AU6701" s="6">
        <v>42039</v>
      </c>
      <c r="AV6701" s="6">
        <v>42039</v>
      </c>
      <c r="AW6701" t="s">
        <v>54</v>
      </c>
      <c r="AX6701" t="str">
        <f t="shared" si="560"/>
        <v>FOR</v>
      </c>
      <c r="AY6701" t="s">
        <v>55</v>
      </c>
    </row>
    <row r="6702" spans="1:51" hidden="1">
      <c r="A6702">
        <v>104093</v>
      </c>
      <c r="B6702" t="s">
        <v>1210</v>
      </c>
      <c r="C6702" t="str">
        <f t="shared" si="561"/>
        <v>06032681006</v>
      </c>
      <c r="D6702" t="str">
        <f t="shared" si="562"/>
        <v>12572900152</v>
      </c>
      <c r="E6702" t="s">
        <v>52</v>
      </c>
      <c r="F6702">
        <v>2014</v>
      </c>
      <c r="G6702">
        <v>25162512</v>
      </c>
      <c r="H6702" s="1">
        <v>41673</v>
      </c>
      <c r="I6702" s="1">
        <v>41689</v>
      </c>
      <c r="J6702" s="1">
        <v>41689</v>
      </c>
      <c r="K6702" s="1">
        <v>41779</v>
      </c>
      <c r="N6702" s="5"/>
      <c r="O6702" s="2">
        <v>1937.52</v>
      </c>
      <c r="P6702">
        <v>260</v>
      </c>
      <c r="Q6702" s="2">
        <v>503755.2</v>
      </c>
      <c r="R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 s="1">
        <v>42382</v>
      </c>
      <c r="AC6702" t="s">
        <v>53</v>
      </c>
      <c r="AD6702" t="s">
        <v>53</v>
      </c>
      <c r="AK6702">
        <v>0</v>
      </c>
      <c r="AU6702" s="6">
        <v>42039</v>
      </c>
      <c r="AV6702" s="6">
        <v>42039</v>
      </c>
      <c r="AW6702" t="s">
        <v>54</v>
      </c>
      <c r="AX6702" t="str">
        <f t="shared" si="560"/>
        <v>FOR</v>
      </c>
      <c r="AY6702" t="s">
        <v>55</v>
      </c>
    </row>
    <row r="6703" spans="1:51" hidden="1">
      <c r="A6703">
        <v>104093</v>
      </c>
      <c r="B6703" t="s">
        <v>1210</v>
      </c>
      <c r="C6703" t="str">
        <f t="shared" si="561"/>
        <v>06032681006</v>
      </c>
      <c r="D6703" t="str">
        <f t="shared" si="562"/>
        <v>12572900152</v>
      </c>
      <c r="E6703" t="s">
        <v>52</v>
      </c>
      <c r="F6703">
        <v>2014</v>
      </c>
      <c r="G6703">
        <v>25163498</v>
      </c>
      <c r="H6703" s="1">
        <v>41680</v>
      </c>
      <c r="I6703" s="1">
        <v>41695</v>
      </c>
      <c r="J6703" s="1">
        <v>41695</v>
      </c>
      <c r="K6703" s="1">
        <v>41785</v>
      </c>
      <c r="N6703" s="5"/>
      <c r="O6703">
        <v>252.72</v>
      </c>
      <c r="P6703">
        <v>254</v>
      </c>
      <c r="Q6703" s="2">
        <v>64190.879999999997</v>
      </c>
      <c r="R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 s="1">
        <v>42382</v>
      </c>
      <c r="AC6703" t="s">
        <v>53</v>
      </c>
      <c r="AD6703" t="s">
        <v>53</v>
      </c>
      <c r="AK6703">
        <v>0</v>
      </c>
      <c r="AU6703" s="6">
        <v>42039</v>
      </c>
      <c r="AV6703" s="6">
        <v>42039</v>
      </c>
      <c r="AW6703" t="s">
        <v>54</v>
      </c>
      <c r="AX6703" t="str">
        <f t="shared" si="560"/>
        <v>FOR</v>
      </c>
      <c r="AY6703" t="s">
        <v>55</v>
      </c>
    </row>
    <row r="6704" spans="1:51" hidden="1">
      <c r="A6704">
        <v>104093</v>
      </c>
      <c r="B6704" t="s">
        <v>1210</v>
      </c>
      <c r="C6704" t="str">
        <f t="shared" si="561"/>
        <v>06032681006</v>
      </c>
      <c r="D6704" t="str">
        <f t="shared" si="562"/>
        <v>12572900152</v>
      </c>
      <c r="E6704" t="s">
        <v>52</v>
      </c>
      <c r="F6704">
        <v>2014</v>
      </c>
      <c r="G6704">
        <v>25163511</v>
      </c>
      <c r="H6704" s="1">
        <v>41680</v>
      </c>
      <c r="I6704" s="1">
        <v>41695</v>
      </c>
      <c r="J6704" s="1">
        <v>41695</v>
      </c>
      <c r="K6704" s="1">
        <v>41785</v>
      </c>
      <c r="N6704" s="5"/>
      <c r="O6704">
        <v>936</v>
      </c>
      <c r="P6704">
        <v>254</v>
      </c>
      <c r="Q6704" s="2">
        <v>237744</v>
      </c>
      <c r="R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 s="1">
        <v>42382</v>
      </c>
      <c r="AC6704" t="s">
        <v>53</v>
      </c>
      <c r="AD6704" t="s">
        <v>53</v>
      </c>
      <c r="AK6704">
        <v>0</v>
      </c>
      <c r="AU6704" s="6">
        <v>42039</v>
      </c>
      <c r="AV6704" s="6">
        <v>42039</v>
      </c>
      <c r="AW6704" t="s">
        <v>54</v>
      </c>
      <c r="AX6704" t="str">
        <f t="shared" si="560"/>
        <v>FOR</v>
      </c>
      <c r="AY6704" t="s">
        <v>55</v>
      </c>
    </row>
    <row r="6705" spans="1:51" hidden="1">
      <c r="A6705">
        <v>104093</v>
      </c>
      <c r="B6705" t="s">
        <v>1210</v>
      </c>
      <c r="C6705" t="str">
        <f t="shared" si="561"/>
        <v>06032681006</v>
      </c>
      <c r="D6705" t="str">
        <f t="shared" si="562"/>
        <v>12572900152</v>
      </c>
      <c r="E6705" t="s">
        <v>52</v>
      </c>
      <c r="F6705">
        <v>2014</v>
      </c>
      <c r="G6705">
        <v>25163934</v>
      </c>
      <c r="H6705" s="1">
        <v>41681</v>
      </c>
      <c r="I6705" s="1">
        <v>41701</v>
      </c>
      <c r="J6705" s="1">
        <v>41701</v>
      </c>
      <c r="K6705" s="1">
        <v>41791</v>
      </c>
      <c r="N6705" s="5"/>
      <c r="O6705" s="2">
        <v>1238.6400000000001</v>
      </c>
      <c r="P6705">
        <v>248</v>
      </c>
      <c r="Q6705" s="2">
        <v>307182.71999999997</v>
      </c>
      <c r="R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 s="1">
        <v>42382</v>
      </c>
      <c r="AC6705" t="s">
        <v>53</v>
      </c>
      <c r="AD6705" t="s">
        <v>53</v>
      </c>
      <c r="AK6705">
        <v>0</v>
      </c>
      <c r="AU6705" s="6">
        <v>42039</v>
      </c>
      <c r="AV6705" s="6">
        <v>42039</v>
      </c>
      <c r="AW6705" t="s">
        <v>54</v>
      </c>
      <c r="AX6705" t="str">
        <f t="shared" si="560"/>
        <v>FOR</v>
      </c>
      <c r="AY6705" t="s">
        <v>55</v>
      </c>
    </row>
    <row r="6706" spans="1:51" hidden="1">
      <c r="A6706">
        <v>104093</v>
      </c>
      <c r="B6706" t="s">
        <v>1210</v>
      </c>
      <c r="C6706" t="str">
        <f t="shared" si="561"/>
        <v>06032681006</v>
      </c>
      <c r="D6706" t="str">
        <f t="shared" si="562"/>
        <v>12572900152</v>
      </c>
      <c r="E6706" t="s">
        <v>52</v>
      </c>
      <c r="F6706">
        <v>2014</v>
      </c>
      <c r="G6706">
        <v>25164223</v>
      </c>
      <c r="H6706" s="1">
        <v>41682</v>
      </c>
      <c r="I6706" s="1">
        <v>41698</v>
      </c>
      <c r="J6706" s="1">
        <v>41698</v>
      </c>
      <c r="K6706" s="1">
        <v>41788</v>
      </c>
      <c r="N6706" s="5"/>
      <c r="O6706">
        <v>683.28</v>
      </c>
      <c r="P6706">
        <v>251</v>
      </c>
      <c r="Q6706" s="2">
        <v>171503.28</v>
      </c>
      <c r="R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 s="1">
        <v>42382</v>
      </c>
      <c r="AC6706" t="s">
        <v>53</v>
      </c>
      <c r="AD6706" t="s">
        <v>53</v>
      </c>
      <c r="AK6706">
        <v>0</v>
      </c>
      <c r="AU6706" s="6">
        <v>42039</v>
      </c>
      <c r="AV6706" s="6">
        <v>42039</v>
      </c>
      <c r="AW6706" t="s">
        <v>54</v>
      </c>
      <c r="AX6706" t="str">
        <f t="shared" si="560"/>
        <v>FOR</v>
      </c>
      <c r="AY6706" t="s">
        <v>55</v>
      </c>
    </row>
    <row r="6707" spans="1:51" hidden="1">
      <c r="A6707">
        <v>104093</v>
      </c>
      <c r="B6707" t="s">
        <v>1210</v>
      </c>
      <c r="C6707" t="str">
        <f t="shared" si="561"/>
        <v>06032681006</v>
      </c>
      <c r="D6707" t="str">
        <f t="shared" si="562"/>
        <v>12572900152</v>
      </c>
      <c r="E6707" t="s">
        <v>52</v>
      </c>
      <c r="F6707">
        <v>2014</v>
      </c>
      <c r="G6707">
        <v>25164303</v>
      </c>
      <c r="H6707" s="1">
        <v>41683</v>
      </c>
      <c r="I6707" s="1">
        <v>41698</v>
      </c>
      <c r="J6707" s="1">
        <v>41698</v>
      </c>
      <c r="K6707" s="1">
        <v>41788</v>
      </c>
      <c r="N6707" s="5"/>
      <c r="O6707">
        <v>74.88</v>
      </c>
      <c r="P6707">
        <v>251</v>
      </c>
      <c r="Q6707" s="2">
        <v>18794.88</v>
      </c>
      <c r="R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 s="1">
        <v>42382</v>
      </c>
      <c r="AC6707" t="s">
        <v>53</v>
      </c>
      <c r="AD6707" t="s">
        <v>53</v>
      </c>
      <c r="AK6707">
        <v>0</v>
      </c>
      <c r="AU6707" s="6">
        <v>42039</v>
      </c>
      <c r="AV6707" s="6">
        <v>42039</v>
      </c>
      <c r="AW6707" t="s">
        <v>54</v>
      </c>
      <c r="AX6707" t="str">
        <f t="shared" si="560"/>
        <v>FOR</v>
      </c>
      <c r="AY6707" t="s">
        <v>55</v>
      </c>
    </row>
    <row r="6708" spans="1:51" hidden="1">
      <c r="A6708">
        <v>104093</v>
      </c>
      <c r="B6708" t="s">
        <v>1210</v>
      </c>
      <c r="C6708" t="str">
        <f t="shared" si="561"/>
        <v>06032681006</v>
      </c>
      <c r="D6708" t="str">
        <f t="shared" si="562"/>
        <v>12572900152</v>
      </c>
      <c r="E6708" t="s">
        <v>52</v>
      </c>
      <c r="F6708">
        <v>2014</v>
      </c>
      <c r="G6708">
        <v>25164304</v>
      </c>
      <c r="H6708" s="1">
        <v>41683</v>
      </c>
      <c r="I6708" s="1">
        <v>41698</v>
      </c>
      <c r="J6708" s="1">
        <v>41698</v>
      </c>
      <c r="K6708" s="1">
        <v>41788</v>
      </c>
      <c r="N6708" s="5"/>
      <c r="O6708">
        <v>748.8</v>
      </c>
      <c r="P6708">
        <v>251</v>
      </c>
      <c r="Q6708" s="2">
        <v>187948.79999999999</v>
      </c>
      <c r="R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 s="1">
        <v>42382</v>
      </c>
      <c r="AC6708" t="s">
        <v>53</v>
      </c>
      <c r="AD6708" t="s">
        <v>53</v>
      </c>
      <c r="AK6708">
        <v>0</v>
      </c>
      <c r="AU6708" s="6">
        <v>42039</v>
      </c>
      <c r="AV6708" s="6">
        <v>42039</v>
      </c>
      <c r="AW6708" t="s">
        <v>54</v>
      </c>
      <c r="AX6708" t="str">
        <f t="shared" si="560"/>
        <v>FOR</v>
      </c>
      <c r="AY6708" t="s">
        <v>55</v>
      </c>
    </row>
    <row r="6709" spans="1:51" hidden="1">
      <c r="A6709">
        <v>104093</v>
      </c>
      <c r="B6709" t="s">
        <v>1210</v>
      </c>
      <c r="C6709" t="str">
        <f t="shared" si="561"/>
        <v>06032681006</v>
      </c>
      <c r="D6709" t="str">
        <f t="shared" si="562"/>
        <v>12572900152</v>
      </c>
      <c r="E6709" t="s">
        <v>52</v>
      </c>
      <c r="F6709">
        <v>2014</v>
      </c>
      <c r="G6709">
        <v>25164305</v>
      </c>
      <c r="H6709" s="1">
        <v>41683</v>
      </c>
      <c r="I6709" s="1">
        <v>41698</v>
      </c>
      <c r="J6709" s="1">
        <v>41698</v>
      </c>
      <c r="K6709" s="1">
        <v>41788</v>
      </c>
      <c r="N6709" s="5"/>
      <c r="O6709">
        <v>74.88</v>
      </c>
      <c r="P6709">
        <v>251</v>
      </c>
      <c r="Q6709" s="2">
        <v>18794.88</v>
      </c>
      <c r="R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 s="1">
        <v>42382</v>
      </c>
      <c r="AC6709" t="s">
        <v>53</v>
      </c>
      <c r="AD6709" t="s">
        <v>53</v>
      </c>
      <c r="AK6709">
        <v>0</v>
      </c>
      <c r="AU6709" s="6">
        <v>42039</v>
      </c>
      <c r="AV6709" s="6">
        <v>42039</v>
      </c>
      <c r="AW6709" t="s">
        <v>54</v>
      </c>
      <c r="AX6709" t="str">
        <f t="shared" si="560"/>
        <v>FOR</v>
      </c>
      <c r="AY6709" t="s">
        <v>55</v>
      </c>
    </row>
    <row r="6710" spans="1:51" hidden="1">
      <c r="A6710">
        <v>104093</v>
      </c>
      <c r="B6710" t="s">
        <v>1210</v>
      </c>
      <c r="C6710" t="str">
        <f t="shared" si="561"/>
        <v>06032681006</v>
      </c>
      <c r="D6710" t="str">
        <f t="shared" si="562"/>
        <v>12572900152</v>
      </c>
      <c r="E6710" t="s">
        <v>52</v>
      </c>
      <c r="F6710">
        <v>2014</v>
      </c>
      <c r="G6710">
        <v>25164337</v>
      </c>
      <c r="H6710" s="1">
        <v>41683</v>
      </c>
      <c r="I6710" s="1">
        <v>41698</v>
      </c>
      <c r="J6710" s="1">
        <v>41698</v>
      </c>
      <c r="K6710" s="1">
        <v>41788</v>
      </c>
      <c r="N6710" s="5"/>
      <c r="O6710">
        <v>74.88</v>
      </c>
      <c r="P6710">
        <v>251</v>
      </c>
      <c r="Q6710" s="2">
        <v>18794.88</v>
      </c>
      <c r="R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 s="1">
        <v>42382</v>
      </c>
      <c r="AC6710" t="s">
        <v>53</v>
      </c>
      <c r="AD6710" t="s">
        <v>53</v>
      </c>
      <c r="AK6710">
        <v>0</v>
      </c>
      <c r="AU6710" s="6">
        <v>42039</v>
      </c>
      <c r="AV6710" s="6">
        <v>42039</v>
      </c>
      <c r="AW6710" t="s">
        <v>54</v>
      </c>
      <c r="AX6710" t="str">
        <f t="shared" si="560"/>
        <v>FOR</v>
      </c>
      <c r="AY6710" t="s">
        <v>55</v>
      </c>
    </row>
    <row r="6711" spans="1:51" hidden="1">
      <c r="A6711">
        <v>104093</v>
      </c>
      <c r="B6711" t="s">
        <v>1210</v>
      </c>
      <c r="C6711" t="str">
        <f t="shared" si="561"/>
        <v>06032681006</v>
      </c>
      <c r="D6711" t="str">
        <f t="shared" si="562"/>
        <v>12572900152</v>
      </c>
      <c r="E6711" t="s">
        <v>52</v>
      </c>
      <c r="F6711">
        <v>2014</v>
      </c>
      <c r="G6711">
        <v>25164423</v>
      </c>
      <c r="H6711" s="1">
        <v>41683</v>
      </c>
      <c r="I6711" s="1">
        <v>41698</v>
      </c>
      <c r="J6711" s="1">
        <v>41698</v>
      </c>
      <c r="K6711" s="1">
        <v>41788</v>
      </c>
      <c r="N6711" s="5"/>
      <c r="O6711">
        <v>98.82</v>
      </c>
      <c r="P6711">
        <v>251</v>
      </c>
      <c r="Q6711" s="2">
        <v>24803.82</v>
      </c>
      <c r="R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 s="1">
        <v>42382</v>
      </c>
      <c r="AC6711" t="s">
        <v>53</v>
      </c>
      <c r="AD6711" t="s">
        <v>53</v>
      </c>
      <c r="AK6711">
        <v>0</v>
      </c>
      <c r="AU6711" s="6">
        <v>42039</v>
      </c>
      <c r="AV6711" s="6">
        <v>42039</v>
      </c>
      <c r="AW6711" t="s">
        <v>54</v>
      </c>
      <c r="AX6711" t="str">
        <f t="shared" si="560"/>
        <v>FOR</v>
      </c>
      <c r="AY6711" t="s">
        <v>55</v>
      </c>
    </row>
    <row r="6712" spans="1:51" hidden="1">
      <c r="A6712">
        <v>104093</v>
      </c>
      <c r="B6712" t="s">
        <v>1210</v>
      </c>
      <c r="C6712" t="str">
        <f t="shared" si="561"/>
        <v>06032681006</v>
      </c>
      <c r="D6712" t="str">
        <f t="shared" si="562"/>
        <v>12572900152</v>
      </c>
      <c r="E6712" t="s">
        <v>52</v>
      </c>
      <c r="F6712">
        <v>2014</v>
      </c>
      <c r="G6712">
        <v>25164455</v>
      </c>
      <c r="H6712" s="1">
        <v>41683</v>
      </c>
      <c r="I6712" s="1">
        <v>41698</v>
      </c>
      <c r="J6712" s="1">
        <v>41698</v>
      </c>
      <c r="K6712" s="1">
        <v>41788</v>
      </c>
      <c r="N6712" s="5"/>
      <c r="O6712">
        <v>430.56</v>
      </c>
      <c r="P6712">
        <v>251</v>
      </c>
      <c r="Q6712" s="2">
        <v>108070.56</v>
      </c>
      <c r="R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 s="1">
        <v>42382</v>
      </c>
      <c r="AC6712" t="s">
        <v>53</v>
      </c>
      <c r="AD6712" t="s">
        <v>53</v>
      </c>
      <c r="AK6712">
        <v>0</v>
      </c>
      <c r="AU6712" s="6">
        <v>42039</v>
      </c>
      <c r="AV6712" s="6">
        <v>42039</v>
      </c>
      <c r="AW6712" t="s">
        <v>54</v>
      </c>
      <c r="AX6712" t="str">
        <f t="shared" si="560"/>
        <v>FOR</v>
      </c>
      <c r="AY6712" t="s">
        <v>55</v>
      </c>
    </row>
    <row r="6713" spans="1:51" hidden="1">
      <c r="A6713">
        <v>104093</v>
      </c>
      <c r="B6713" t="s">
        <v>1210</v>
      </c>
      <c r="C6713" t="str">
        <f t="shared" si="561"/>
        <v>06032681006</v>
      </c>
      <c r="D6713" t="str">
        <f t="shared" si="562"/>
        <v>12572900152</v>
      </c>
      <c r="E6713" t="s">
        <v>52</v>
      </c>
      <c r="F6713">
        <v>2014</v>
      </c>
      <c r="G6713">
        <v>25164555</v>
      </c>
      <c r="H6713" s="1">
        <v>41684</v>
      </c>
      <c r="I6713" s="1">
        <v>41698</v>
      </c>
      <c r="J6713" s="1">
        <v>41698</v>
      </c>
      <c r="K6713" s="1">
        <v>41788</v>
      </c>
      <c r="N6713" s="5"/>
      <c r="O6713">
        <v>936</v>
      </c>
      <c r="P6713">
        <v>251</v>
      </c>
      <c r="Q6713" s="2">
        <v>234936</v>
      </c>
      <c r="R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 s="1">
        <v>42382</v>
      </c>
      <c r="AC6713" t="s">
        <v>53</v>
      </c>
      <c r="AD6713" t="s">
        <v>53</v>
      </c>
      <c r="AK6713">
        <v>0</v>
      </c>
      <c r="AU6713" s="6">
        <v>42039</v>
      </c>
      <c r="AV6713" s="6">
        <v>42039</v>
      </c>
      <c r="AW6713" t="s">
        <v>54</v>
      </c>
      <c r="AX6713" t="str">
        <f t="shared" si="560"/>
        <v>FOR</v>
      </c>
      <c r="AY6713" t="s">
        <v>55</v>
      </c>
    </row>
    <row r="6714" spans="1:51" hidden="1">
      <c r="A6714">
        <v>104093</v>
      </c>
      <c r="B6714" t="s">
        <v>1210</v>
      </c>
      <c r="C6714" t="str">
        <f t="shared" si="561"/>
        <v>06032681006</v>
      </c>
      <c r="D6714" t="str">
        <f t="shared" si="562"/>
        <v>12572900152</v>
      </c>
      <c r="E6714" t="s">
        <v>52</v>
      </c>
      <c r="F6714">
        <v>2014</v>
      </c>
      <c r="G6714">
        <v>25164556</v>
      </c>
      <c r="H6714" s="1">
        <v>41684</v>
      </c>
      <c r="I6714" s="1">
        <v>41698</v>
      </c>
      <c r="J6714" s="1">
        <v>41698</v>
      </c>
      <c r="K6714" s="1">
        <v>41788</v>
      </c>
      <c r="N6714" s="5"/>
      <c r="O6714">
        <v>74.88</v>
      </c>
      <c r="P6714">
        <v>251</v>
      </c>
      <c r="Q6714" s="2">
        <v>18794.88</v>
      </c>
      <c r="R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 s="1">
        <v>42382</v>
      </c>
      <c r="AC6714" t="s">
        <v>53</v>
      </c>
      <c r="AD6714" t="s">
        <v>53</v>
      </c>
      <c r="AK6714">
        <v>0</v>
      </c>
      <c r="AU6714" s="6">
        <v>42039</v>
      </c>
      <c r="AV6714" s="6">
        <v>42039</v>
      </c>
      <c r="AW6714" t="s">
        <v>54</v>
      </c>
      <c r="AX6714" t="str">
        <f t="shared" si="560"/>
        <v>FOR</v>
      </c>
      <c r="AY6714" t="s">
        <v>55</v>
      </c>
    </row>
    <row r="6715" spans="1:51" hidden="1">
      <c r="A6715">
        <v>104093</v>
      </c>
      <c r="B6715" t="s">
        <v>1210</v>
      </c>
      <c r="C6715" t="str">
        <f t="shared" si="561"/>
        <v>06032681006</v>
      </c>
      <c r="D6715" t="str">
        <f t="shared" si="562"/>
        <v>12572900152</v>
      </c>
      <c r="E6715" t="s">
        <v>52</v>
      </c>
      <c r="F6715">
        <v>2014</v>
      </c>
      <c r="G6715">
        <v>25164557</v>
      </c>
      <c r="H6715" s="1">
        <v>41684</v>
      </c>
      <c r="I6715" s="1">
        <v>41698</v>
      </c>
      <c r="J6715" s="1">
        <v>41698</v>
      </c>
      <c r="K6715" s="1">
        <v>41788</v>
      </c>
      <c r="N6715" s="5"/>
      <c r="O6715">
        <v>74.88</v>
      </c>
      <c r="P6715">
        <v>251</v>
      </c>
      <c r="Q6715" s="2">
        <v>18794.88</v>
      </c>
      <c r="R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 s="1">
        <v>42382</v>
      </c>
      <c r="AC6715" t="s">
        <v>53</v>
      </c>
      <c r="AD6715" t="s">
        <v>53</v>
      </c>
      <c r="AK6715">
        <v>0</v>
      </c>
      <c r="AU6715" s="6">
        <v>42039</v>
      </c>
      <c r="AV6715" s="6">
        <v>42039</v>
      </c>
      <c r="AW6715" t="s">
        <v>54</v>
      </c>
      <c r="AX6715" t="str">
        <f t="shared" si="560"/>
        <v>FOR</v>
      </c>
      <c r="AY6715" t="s">
        <v>55</v>
      </c>
    </row>
    <row r="6716" spans="1:51" hidden="1">
      <c r="A6716">
        <v>104093</v>
      </c>
      <c r="B6716" t="s">
        <v>1210</v>
      </c>
      <c r="C6716" t="str">
        <f t="shared" si="561"/>
        <v>06032681006</v>
      </c>
      <c r="D6716" t="str">
        <f t="shared" si="562"/>
        <v>12572900152</v>
      </c>
      <c r="E6716" t="s">
        <v>52</v>
      </c>
      <c r="F6716">
        <v>2014</v>
      </c>
      <c r="G6716">
        <v>25164558</v>
      </c>
      <c r="H6716" s="1">
        <v>41684</v>
      </c>
      <c r="I6716" s="1">
        <v>41698</v>
      </c>
      <c r="J6716" s="1">
        <v>41698</v>
      </c>
      <c r="K6716" s="1">
        <v>41788</v>
      </c>
      <c r="N6716" s="5"/>
      <c r="O6716">
        <v>707.62</v>
      </c>
      <c r="P6716">
        <v>251</v>
      </c>
      <c r="Q6716" s="2">
        <v>177612.62</v>
      </c>
      <c r="R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 s="1">
        <v>42382</v>
      </c>
      <c r="AC6716" t="s">
        <v>53</v>
      </c>
      <c r="AD6716" t="s">
        <v>53</v>
      </c>
      <c r="AK6716">
        <v>0</v>
      </c>
      <c r="AU6716" s="6">
        <v>42039</v>
      </c>
      <c r="AV6716" s="6">
        <v>42039</v>
      </c>
      <c r="AW6716" t="s">
        <v>54</v>
      </c>
      <c r="AX6716" t="str">
        <f t="shared" si="560"/>
        <v>FOR</v>
      </c>
      <c r="AY6716" t="s">
        <v>55</v>
      </c>
    </row>
    <row r="6717" spans="1:51" hidden="1">
      <c r="A6717">
        <v>104093</v>
      </c>
      <c r="B6717" t="s">
        <v>1210</v>
      </c>
      <c r="C6717" t="str">
        <f t="shared" si="561"/>
        <v>06032681006</v>
      </c>
      <c r="D6717" t="str">
        <f t="shared" si="562"/>
        <v>12572900152</v>
      </c>
      <c r="E6717" t="s">
        <v>52</v>
      </c>
      <c r="F6717">
        <v>2014</v>
      </c>
      <c r="G6717">
        <v>25164559</v>
      </c>
      <c r="H6717" s="1">
        <v>41684</v>
      </c>
      <c r="I6717" s="1">
        <v>41698</v>
      </c>
      <c r="J6717" s="1">
        <v>41698</v>
      </c>
      <c r="K6717" s="1">
        <v>41788</v>
      </c>
      <c r="N6717" s="5"/>
      <c r="O6717">
        <v>74.88</v>
      </c>
      <c r="P6717">
        <v>251</v>
      </c>
      <c r="Q6717" s="2">
        <v>18794.88</v>
      </c>
      <c r="R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 s="1">
        <v>42382</v>
      </c>
      <c r="AC6717" t="s">
        <v>53</v>
      </c>
      <c r="AD6717" t="s">
        <v>53</v>
      </c>
      <c r="AK6717">
        <v>0</v>
      </c>
      <c r="AU6717" s="6">
        <v>42039</v>
      </c>
      <c r="AV6717" s="6">
        <v>42039</v>
      </c>
      <c r="AW6717" t="s">
        <v>54</v>
      </c>
      <c r="AX6717" t="str">
        <f t="shared" si="560"/>
        <v>FOR</v>
      </c>
      <c r="AY6717" t="s">
        <v>55</v>
      </c>
    </row>
    <row r="6718" spans="1:51" hidden="1">
      <c r="A6718">
        <v>104093</v>
      </c>
      <c r="B6718" t="s">
        <v>1210</v>
      </c>
      <c r="C6718" t="str">
        <f t="shared" si="561"/>
        <v>06032681006</v>
      </c>
      <c r="D6718" t="str">
        <f t="shared" si="562"/>
        <v>12572900152</v>
      </c>
      <c r="E6718" t="s">
        <v>52</v>
      </c>
      <c r="F6718">
        <v>2014</v>
      </c>
      <c r="G6718">
        <v>25164560</v>
      </c>
      <c r="H6718" s="1">
        <v>41684</v>
      </c>
      <c r="I6718" s="1">
        <v>41698</v>
      </c>
      <c r="J6718" s="1">
        <v>41698</v>
      </c>
      <c r="K6718" s="1">
        <v>41788</v>
      </c>
      <c r="N6718" s="5"/>
      <c r="O6718">
        <v>252.72</v>
      </c>
      <c r="P6718">
        <v>251</v>
      </c>
      <c r="Q6718" s="2">
        <v>63432.72</v>
      </c>
      <c r="R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 s="1">
        <v>42382</v>
      </c>
      <c r="AC6718" t="s">
        <v>53</v>
      </c>
      <c r="AD6718" t="s">
        <v>53</v>
      </c>
      <c r="AK6718">
        <v>0</v>
      </c>
      <c r="AU6718" s="6">
        <v>42039</v>
      </c>
      <c r="AV6718" s="6">
        <v>42039</v>
      </c>
      <c r="AW6718" t="s">
        <v>54</v>
      </c>
      <c r="AX6718" t="str">
        <f t="shared" si="560"/>
        <v>FOR</v>
      </c>
      <c r="AY6718" t="s">
        <v>55</v>
      </c>
    </row>
    <row r="6719" spans="1:51" hidden="1">
      <c r="A6719">
        <v>104093</v>
      </c>
      <c r="B6719" t="s">
        <v>1210</v>
      </c>
      <c r="C6719" t="str">
        <f t="shared" si="561"/>
        <v>06032681006</v>
      </c>
      <c r="D6719" t="str">
        <f t="shared" si="562"/>
        <v>12572900152</v>
      </c>
      <c r="E6719" t="s">
        <v>52</v>
      </c>
      <c r="F6719">
        <v>2014</v>
      </c>
      <c r="G6719">
        <v>25164916</v>
      </c>
      <c r="H6719" s="1">
        <v>41687</v>
      </c>
      <c r="I6719" s="1">
        <v>41711</v>
      </c>
      <c r="J6719" s="1">
        <v>41711</v>
      </c>
      <c r="K6719" s="1">
        <v>41801</v>
      </c>
      <c r="N6719" s="5"/>
      <c r="O6719">
        <v>134.78</v>
      </c>
      <c r="P6719">
        <v>238</v>
      </c>
      <c r="Q6719" s="2">
        <v>32077.64</v>
      </c>
      <c r="R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 s="1">
        <v>42382</v>
      </c>
      <c r="AC6719" t="s">
        <v>53</v>
      </c>
      <c r="AD6719" t="s">
        <v>53</v>
      </c>
      <c r="AK6719">
        <v>0</v>
      </c>
      <c r="AU6719" s="6">
        <v>42039</v>
      </c>
      <c r="AV6719" s="6">
        <v>42039</v>
      </c>
      <c r="AW6719" t="s">
        <v>54</v>
      </c>
      <c r="AX6719" t="str">
        <f t="shared" si="560"/>
        <v>FOR</v>
      </c>
      <c r="AY6719" t="s">
        <v>55</v>
      </c>
    </row>
    <row r="6720" spans="1:51" hidden="1">
      <c r="A6720">
        <v>104093</v>
      </c>
      <c r="B6720" t="s">
        <v>1210</v>
      </c>
      <c r="C6720" t="str">
        <f t="shared" si="561"/>
        <v>06032681006</v>
      </c>
      <c r="D6720" t="str">
        <f t="shared" si="562"/>
        <v>12572900152</v>
      </c>
      <c r="E6720" t="s">
        <v>52</v>
      </c>
      <c r="F6720">
        <v>2014</v>
      </c>
      <c r="G6720">
        <v>25165263</v>
      </c>
      <c r="H6720" s="1">
        <v>41688</v>
      </c>
      <c r="I6720" s="1">
        <v>41711</v>
      </c>
      <c r="J6720" s="1">
        <v>41711</v>
      </c>
      <c r="K6720" s="1">
        <v>41801</v>
      </c>
      <c r="N6720" s="5"/>
      <c r="O6720">
        <v>215.28</v>
      </c>
      <c r="P6720">
        <v>238</v>
      </c>
      <c r="Q6720" s="2">
        <v>51236.639999999999</v>
      </c>
      <c r="R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 s="1">
        <v>42382</v>
      </c>
      <c r="AC6720" t="s">
        <v>53</v>
      </c>
      <c r="AD6720" t="s">
        <v>53</v>
      </c>
      <c r="AK6720">
        <v>0</v>
      </c>
      <c r="AU6720" s="6">
        <v>42039</v>
      </c>
      <c r="AV6720" s="6">
        <v>42039</v>
      </c>
      <c r="AW6720" t="s">
        <v>54</v>
      </c>
      <c r="AX6720" t="str">
        <f t="shared" si="560"/>
        <v>FOR</v>
      </c>
      <c r="AY6720" t="s">
        <v>55</v>
      </c>
    </row>
    <row r="6721" spans="1:51" hidden="1">
      <c r="A6721">
        <v>104093</v>
      </c>
      <c r="B6721" t="s">
        <v>1210</v>
      </c>
      <c r="C6721" t="str">
        <f t="shared" si="561"/>
        <v>06032681006</v>
      </c>
      <c r="D6721" t="str">
        <f t="shared" si="562"/>
        <v>12572900152</v>
      </c>
      <c r="E6721" t="s">
        <v>52</v>
      </c>
      <c r="F6721">
        <v>2014</v>
      </c>
      <c r="G6721">
        <v>25165563</v>
      </c>
      <c r="H6721" s="1">
        <v>41690</v>
      </c>
      <c r="I6721" s="1">
        <v>41711</v>
      </c>
      <c r="J6721" s="1">
        <v>41711</v>
      </c>
      <c r="K6721" s="1">
        <v>41801</v>
      </c>
      <c r="N6721" s="5"/>
      <c r="O6721">
        <v>74.88</v>
      </c>
      <c r="P6721">
        <v>238</v>
      </c>
      <c r="Q6721" s="2">
        <v>17821.439999999999</v>
      </c>
      <c r="R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 s="1">
        <v>42382</v>
      </c>
      <c r="AC6721" t="s">
        <v>53</v>
      </c>
      <c r="AD6721" t="s">
        <v>53</v>
      </c>
      <c r="AK6721">
        <v>0</v>
      </c>
      <c r="AU6721" s="6">
        <v>42039</v>
      </c>
      <c r="AV6721" s="6">
        <v>42039</v>
      </c>
      <c r="AW6721" t="s">
        <v>54</v>
      </c>
      <c r="AX6721" t="str">
        <f t="shared" si="560"/>
        <v>FOR</v>
      </c>
      <c r="AY6721" t="s">
        <v>55</v>
      </c>
    </row>
    <row r="6722" spans="1:51" hidden="1">
      <c r="A6722">
        <v>104093</v>
      </c>
      <c r="B6722" t="s">
        <v>1210</v>
      </c>
      <c r="C6722" t="str">
        <f t="shared" si="561"/>
        <v>06032681006</v>
      </c>
      <c r="D6722" t="str">
        <f t="shared" si="562"/>
        <v>12572900152</v>
      </c>
      <c r="E6722" t="s">
        <v>52</v>
      </c>
      <c r="F6722">
        <v>2014</v>
      </c>
      <c r="G6722">
        <v>25165564</v>
      </c>
      <c r="H6722" s="1">
        <v>41690</v>
      </c>
      <c r="I6722" s="1">
        <v>41711</v>
      </c>
      <c r="J6722" s="1">
        <v>41711</v>
      </c>
      <c r="K6722" s="1">
        <v>41801</v>
      </c>
      <c r="N6722" s="5"/>
      <c r="O6722">
        <v>74.88</v>
      </c>
      <c r="P6722">
        <v>238</v>
      </c>
      <c r="Q6722" s="2">
        <v>17821.439999999999</v>
      </c>
      <c r="R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 s="1">
        <v>42382</v>
      </c>
      <c r="AC6722" t="s">
        <v>53</v>
      </c>
      <c r="AD6722" t="s">
        <v>53</v>
      </c>
      <c r="AK6722">
        <v>0</v>
      </c>
      <c r="AU6722" s="6">
        <v>42039</v>
      </c>
      <c r="AV6722" s="6">
        <v>42039</v>
      </c>
      <c r="AW6722" t="s">
        <v>54</v>
      </c>
      <c r="AX6722" t="str">
        <f t="shared" si="560"/>
        <v>FOR</v>
      </c>
      <c r="AY6722" t="s">
        <v>55</v>
      </c>
    </row>
    <row r="6723" spans="1:51" hidden="1">
      <c r="A6723">
        <v>104093</v>
      </c>
      <c r="B6723" t="s">
        <v>1210</v>
      </c>
      <c r="C6723" t="str">
        <f t="shared" si="561"/>
        <v>06032681006</v>
      </c>
      <c r="D6723" t="str">
        <f t="shared" si="562"/>
        <v>12572900152</v>
      </c>
      <c r="E6723" t="s">
        <v>52</v>
      </c>
      <c r="F6723">
        <v>2014</v>
      </c>
      <c r="G6723">
        <v>25165565</v>
      </c>
      <c r="H6723" s="1">
        <v>41690</v>
      </c>
      <c r="I6723" s="1">
        <v>41711</v>
      </c>
      <c r="J6723" s="1">
        <v>41711</v>
      </c>
      <c r="K6723" s="1">
        <v>41801</v>
      </c>
      <c r="N6723" s="5"/>
      <c r="O6723">
        <v>252.72</v>
      </c>
      <c r="P6723">
        <v>238</v>
      </c>
      <c r="Q6723" s="2">
        <v>60147.360000000001</v>
      </c>
      <c r="R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 s="1">
        <v>42382</v>
      </c>
      <c r="AC6723" t="s">
        <v>53</v>
      </c>
      <c r="AD6723" t="s">
        <v>53</v>
      </c>
      <c r="AK6723">
        <v>0</v>
      </c>
      <c r="AU6723" s="6">
        <v>42039</v>
      </c>
      <c r="AV6723" s="6">
        <v>42039</v>
      </c>
      <c r="AW6723" t="s">
        <v>54</v>
      </c>
      <c r="AX6723" t="str">
        <f t="shared" ref="AX6723:AX6786" si="563">"FOR"</f>
        <v>FOR</v>
      </c>
      <c r="AY6723" t="s">
        <v>55</v>
      </c>
    </row>
    <row r="6724" spans="1:51" hidden="1">
      <c r="A6724">
        <v>104093</v>
      </c>
      <c r="B6724" t="s">
        <v>1210</v>
      </c>
      <c r="C6724" t="str">
        <f t="shared" si="561"/>
        <v>06032681006</v>
      </c>
      <c r="D6724" t="str">
        <f t="shared" si="562"/>
        <v>12572900152</v>
      </c>
      <c r="E6724" t="s">
        <v>52</v>
      </c>
      <c r="F6724">
        <v>2014</v>
      </c>
      <c r="G6724">
        <v>25165566</v>
      </c>
      <c r="H6724" s="1">
        <v>41690</v>
      </c>
      <c r="I6724" s="1">
        <v>41711</v>
      </c>
      <c r="J6724" s="1">
        <v>41711</v>
      </c>
      <c r="K6724" s="1">
        <v>41801</v>
      </c>
      <c r="N6724" s="5"/>
      <c r="O6724">
        <v>74.88</v>
      </c>
      <c r="P6724">
        <v>238</v>
      </c>
      <c r="Q6724" s="2">
        <v>17821.439999999999</v>
      </c>
      <c r="R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 s="1">
        <v>42382</v>
      </c>
      <c r="AC6724" t="s">
        <v>53</v>
      </c>
      <c r="AD6724" t="s">
        <v>53</v>
      </c>
      <c r="AK6724">
        <v>0</v>
      </c>
      <c r="AU6724" s="6">
        <v>42039</v>
      </c>
      <c r="AV6724" s="6">
        <v>42039</v>
      </c>
      <c r="AW6724" t="s">
        <v>54</v>
      </c>
      <c r="AX6724" t="str">
        <f t="shared" si="563"/>
        <v>FOR</v>
      </c>
      <c r="AY6724" t="s">
        <v>55</v>
      </c>
    </row>
    <row r="6725" spans="1:51" hidden="1">
      <c r="A6725">
        <v>104093</v>
      </c>
      <c r="B6725" t="s">
        <v>1210</v>
      </c>
      <c r="C6725" t="str">
        <f t="shared" si="561"/>
        <v>06032681006</v>
      </c>
      <c r="D6725" t="str">
        <f t="shared" si="562"/>
        <v>12572900152</v>
      </c>
      <c r="E6725" t="s">
        <v>52</v>
      </c>
      <c r="F6725">
        <v>2014</v>
      </c>
      <c r="G6725">
        <v>25165567</v>
      </c>
      <c r="H6725" s="1">
        <v>41690</v>
      </c>
      <c r="I6725" s="1">
        <v>41711</v>
      </c>
      <c r="J6725" s="1">
        <v>41711</v>
      </c>
      <c r="K6725" s="1">
        <v>41801</v>
      </c>
      <c r="N6725" s="5"/>
      <c r="O6725">
        <v>707.62</v>
      </c>
      <c r="P6725">
        <v>238</v>
      </c>
      <c r="Q6725" s="2">
        <v>168413.56</v>
      </c>
      <c r="R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 s="1">
        <v>42382</v>
      </c>
      <c r="AC6725" t="s">
        <v>53</v>
      </c>
      <c r="AD6725" t="s">
        <v>53</v>
      </c>
      <c r="AK6725">
        <v>0</v>
      </c>
      <c r="AU6725" s="6">
        <v>42039</v>
      </c>
      <c r="AV6725" s="6">
        <v>42039</v>
      </c>
      <c r="AW6725" t="s">
        <v>54</v>
      </c>
      <c r="AX6725" t="str">
        <f t="shared" si="563"/>
        <v>FOR</v>
      </c>
      <c r="AY6725" t="s">
        <v>55</v>
      </c>
    </row>
    <row r="6726" spans="1:51" hidden="1">
      <c r="A6726">
        <v>104093</v>
      </c>
      <c r="B6726" t="s">
        <v>1210</v>
      </c>
      <c r="C6726" t="str">
        <f t="shared" si="561"/>
        <v>06032681006</v>
      </c>
      <c r="D6726" t="str">
        <f t="shared" si="562"/>
        <v>12572900152</v>
      </c>
      <c r="E6726" t="s">
        <v>52</v>
      </c>
      <c r="F6726">
        <v>2014</v>
      </c>
      <c r="G6726">
        <v>25165619</v>
      </c>
      <c r="H6726" s="1">
        <v>41690</v>
      </c>
      <c r="I6726" s="1">
        <v>41711</v>
      </c>
      <c r="J6726" s="1">
        <v>41711</v>
      </c>
      <c r="K6726" s="1">
        <v>41801</v>
      </c>
      <c r="N6726" s="5"/>
      <c r="O6726">
        <v>926.64</v>
      </c>
      <c r="P6726">
        <v>238</v>
      </c>
      <c r="Q6726" s="2">
        <v>220540.32</v>
      </c>
      <c r="R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 s="1">
        <v>42382</v>
      </c>
      <c r="AC6726" t="s">
        <v>53</v>
      </c>
      <c r="AD6726" t="s">
        <v>53</v>
      </c>
      <c r="AK6726">
        <v>0</v>
      </c>
      <c r="AU6726" s="6">
        <v>42039</v>
      </c>
      <c r="AV6726" s="6">
        <v>42039</v>
      </c>
      <c r="AW6726" t="s">
        <v>54</v>
      </c>
      <c r="AX6726" t="str">
        <f t="shared" si="563"/>
        <v>FOR</v>
      </c>
      <c r="AY6726" t="s">
        <v>55</v>
      </c>
    </row>
    <row r="6727" spans="1:51" hidden="1">
      <c r="A6727">
        <v>104093</v>
      </c>
      <c r="B6727" t="s">
        <v>1210</v>
      </c>
      <c r="C6727" t="str">
        <f t="shared" si="561"/>
        <v>06032681006</v>
      </c>
      <c r="D6727" t="str">
        <f t="shared" si="562"/>
        <v>12572900152</v>
      </c>
      <c r="E6727" t="s">
        <v>52</v>
      </c>
      <c r="F6727">
        <v>2014</v>
      </c>
      <c r="G6727">
        <v>25165671</v>
      </c>
      <c r="H6727" s="1">
        <v>41690</v>
      </c>
      <c r="I6727" s="1">
        <v>41711</v>
      </c>
      <c r="J6727" s="1">
        <v>41711</v>
      </c>
      <c r="K6727" s="1">
        <v>41801</v>
      </c>
      <c r="N6727" s="5"/>
      <c r="O6727" s="2">
        <v>2895.36</v>
      </c>
      <c r="P6727">
        <v>238</v>
      </c>
      <c r="Q6727" s="2">
        <v>689095.68000000005</v>
      </c>
      <c r="R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 s="1">
        <v>42382</v>
      </c>
      <c r="AC6727" t="s">
        <v>53</v>
      </c>
      <c r="AD6727" t="s">
        <v>53</v>
      </c>
      <c r="AK6727">
        <v>0</v>
      </c>
      <c r="AU6727" s="6">
        <v>42039</v>
      </c>
      <c r="AV6727" s="6">
        <v>42039</v>
      </c>
      <c r="AW6727" t="s">
        <v>54</v>
      </c>
      <c r="AX6727" t="str">
        <f t="shared" si="563"/>
        <v>FOR</v>
      </c>
      <c r="AY6727" t="s">
        <v>55</v>
      </c>
    </row>
    <row r="6728" spans="1:51" hidden="1">
      <c r="A6728">
        <v>104093</v>
      </c>
      <c r="B6728" t="s">
        <v>1210</v>
      </c>
      <c r="C6728" t="str">
        <f t="shared" si="561"/>
        <v>06032681006</v>
      </c>
      <c r="D6728" t="str">
        <f t="shared" si="562"/>
        <v>12572900152</v>
      </c>
      <c r="E6728" t="s">
        <v>52</v>
      </c>
      <c r="F6728">
        <v>2014</v>
      </c>
      <c r="G6728">
        <v>25165672</v>
      </c>
      <c r="H6728" s="1">
        <v>41690</v>
      </c>
      <c r="I6728" s="1">
        <v>41711</v>
      </c>
      <c r="J6728" s="1">
        <v>41711</v>
      </c>
      <c r="K6728" s="1">
        <v>41801</v>
      </c>
      <c r="N6728" s="5"/>
      <c r="O6728" s="2">
        <v>3403.8</v>
      </c>
      <c r="P6728">
        <v>238</v>
      </c>
      <c r="Q6728" s="2">
        <v>810104.4</v>
      </c>
      <c r="R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 s="1">
        <v>42382</v>
      </c>
      <c r="AC6728" t="s">
        <v>53</v>
      </c>
      <c r="AD6728" t="s">
        <v>53</v>
      </c>
      <c r="AK6728">
        <v>0</v>
      </c>
      <c r="AU6728" s="6">
        <v>42039</v>
      </c>
      <c r="AV6728" s="6">
        <v>42039</v>
      </c>
      <c r="AW6728" t="s">
        <v>54</v>
      </c>
      <c r="AX6728" t="str">
        <f t="shared" si="563"/>
        <v>FOR</v>
      </c>
      <c r="AY6728" t="s">
        <v>55</v>
      </c>
    </row>
    <row r="6729" spans="1:51" hidden="1">
      <c r="A6729">
        <v>104093</v>
      </c>
      <c r="B6729" t="s">
        <v>1210</v>
      </c>
      <c r="C6729" t="str">
        <f t="shared" si="561"/>
        <v>06032681006</v>
      </c>
      <c r="D6729" t="str">
        <f t="shared" si="562"/>
        <v>12572900152</v>
      </c>
      <c r="E6729" t="s">
        <v>52</v>
      </c>
      <c r="F6729">
        <v>2014</v>
      </c>
      <c r="G6729">
        <v>25165967</v>
      </c>
      <c r="H6729" s="1">
        <v>41691</v>
      </c>
      <c r="I6729" s="1">
        <v>41712</v>
      </c>
      <c r="J6729" s="1">
        <v>41712</v>
      </c>
      <c r="K6729" s="1">
        <v>41802</v>
      </c>
      <c r="N6729" s="5"/>
      <c r="O6729">
        <v>707.6</v>
      </c>
      <c r="P6729">
        <v>237</v>
      </c>
      <c r="Q6729" s="2">
        <v>167701.20000000001</v>
      </c>
      <c r="R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 s="1">
        <v>42382</v>
      </c>
      <c r="AC6729" t="s">
        <v>53</v>
      </c>
      <c r="AD6729" t="s">
        <v>53</v>
      </c>
      <c r="AK6729">
        <v>0</v>
      </c>
      <c r="AU6729" s="6">
        <v>42039</v>
      </c>
      <c r="AV6729" s="6">
        <v>42039</v>
      </c>
      <c r="AW6729" t="s">
        <v>54</v>
      </c>
      <c r="AX6729" t="str">
        <f t="shared" si="563"/>
        <v>FOR</v>
      </c>
      <c r="AY6729" t="s">
        <v>55</v>
      </c>
    </row>
    <row r="6730" spans="1:51" hidden="1">
      <c r="A6730">
        <v>104093</v>
      </c>
      <c r="B6730" t="s">
        <v>1210</v>
      </c>
      <c r="C6730" t="str">
        <f t="shared" si="561"/>
        <v>06032681006</v>
      </c>
      <c r="D6730" t="str">
        <f t="shared" si="562"/>
        <v>12572900152</v>
      </c>
      <c r="E6730" t="s">
        <v>52</v>
      </c>
      <c r="F6730">
        <v>2014</v>
      </c>
      <c r="G6730">
        <v>25166165</v>
      </c>
      <c r="H6730" s="1">
        <v>41694</v>
      </c>
      <c r="I6730" s="1">
        <v>41711</v>
      </c>
      <c r="J6730" s="1">
        <v>41711</v>
      </c>
      <c r="K6730" s="1">
        <v>41801</v>
      </c>
      <c r="N6730" s="5"/>
      <c r="O6730">
        <v>74.88</v>
      </c>
      <c r="P6730">
        <v>238</v>
      </c>
      <c r="Q6730" s="2">
        <v>17821.439999999999</v>
      </c>
      <c r="R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 s="1">
        <v>42382</v>
      </c>
      <c r="AC6730" t="s">
        <v>53</v>
      </c>
      <c r="AD6730" t="s">
        <v>53</v>
      </c>
      <c r="AK6730">
        <v>0</v>
      </c>
      <c r="AU6730" s="6">
        <v>42039</v>
      </c>
      <c r="AV6730" s="6">
        <v>42039</v>
      </c>
      <c r="AW6730" t="s">
        <v>54</v>
      </c>
      <c r="AX6730" t="str">
        <f t="shared" si="563"/>
        <v>FOR</v>
      </c>
      <c r="AY6730" t="s">
        <v>55</v>
      </c>
    </row>
    <row r="6731" spans="1:51" hidden="1">
      <c r="A6731">
        <v>104093</v>
      </c>
      <c r="B6731" t="s">
        <v>1210</v>
      </c>
      <c r="C6731" t="str">
        <f t="shared" si="561"/>
        <v>06032681006</v>
      </c>
      <c r="D6731" t="str">
        <f t="shared" si="562"/>
        <v>12572900152</v>
      </c>
      <c r="E6731" t="s">
        <v>52</v>
      </c>
      <c r="F6731">
        <v>2014</v>
      </c>
      <c r="G6731">
        <v>25166166</v>
      </c>
      <c r="H6731" s="1">
        <v>41694</v>
      </c>
      <c r="I6731" s="1">
        <v>41711</v>
      </c>
      <c r="J6731" s="1">
        <v>41711</v>
      </c>
      <c r="K6731" s="1">
        <v>41801</v>
      </c>
      <c r="N6731" s="5"/>
      <c r="O6731">
        <v>252.72</v>
      </c>
      <c r="P6731">
        <v>238</v>
      </c>
      <c r="Q6731" s="2">
        <v>60147.360000000001</v>
      </c>
      <c r="R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 s="1">
        <v>42382</v>
      </c>
      <c r="AC6731" t="s">
        <v>53</v>
      </c>
      <c r="AD6731" t="s">
        <v>53</v>
      </c>
      <c r="AK6731">
        <v>0</v>
      </c>
      <c r="AU6731" s="6">
        <v>42039</v>
      </c>
      <c r="AV6731" s="6">
        <v>42039</v>
      </c>
      <c r="AW6731" t="s">
        <v>54</v>
      </c>
      <c r="AX6731" t="str">
        <f t="shared" si="563"/>
        <v>FOR</v>
      </c>
      <c r="AY6731" t="s">
        <v>55</v>
      </c>
    </row>
    <row r="6732" spans="1:51" hidden="1">
      <c r="A6732">
        <v>104093</v>
      </c>
      <c r="B6732" t="s">
        <v>1210</v>
      </c>
      <c r="C6732" t="str">
        <f t="shared" si="561"/>
        <v>06032681006</v>
      </c>
      <c r="D6732" t="str">
        <f t="shared" si="562"/>
        <v>12572900152</v>
      </c>
      <c r="E6732" t="s">
        <v>52</v>
      </c>
      <c r="F6732">
        <v>2014</v>
      </c>
      <c r="G6732">
        <v>25166278</v>
      </c>
      <c r="H6732" s="1">
        <v>41694</v>
      </c>
      <c r="I6732" s="1">
        <v>41711</v>
      </c>
      <c r="J6732" s="1">
        <v>41711</v>
      </c>
      <c r="K6732" s="1">
        <v>41801</v>
      </c>
      <c r="N6732" s="5"/>
      <c r="O6732">
        <v>683.2</v>
      </c>
      <c r="P6732">
        <v>238</v>
      </c>
      <c r="Q6732" s="2">
        <v>162601.60000000001</v>
      </c>
      <c r="R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 s="1">
        <v>42382</v>
      </c>
      <c r="AC6732" t="s">
        <v>53</v>
      </c>
      <c r="AD6732" t="s">
        <v>53</v>
      </c>
      <c r="AK6732">
        <v>0</v>
      </c>
      <c r="AU6732" s="6">
        <v>42039</v>
      </c>
      <c r="AV6732" s="6">
        <v>42039</v>
      </c>
      <c r="AW6732" t="s">
        <v>54</v>
      </c>
      <c r="AX6732" t="str">
        <f t="shared" si="563"/>
        <v>FOR</v>
      </c>
      <c r="AY6732" t="s">
        <v>55</v>
      </c>
    </row>
    <row r="6733" spans="1:51" hidden="1">
      <c r="A6733">
        <v>104093</v>
      </c>
      <c r="B6733" t="s">
        <v>1210</v>
      </c>
      <c r="C6733" t="str">
        <f t="shared" si="561"/>
        <v>06032681006</v>
      </c>
      <c r="D6733" t="str">
        <f t="shared" si="562"/>
        <v>12572900152</v>
      </c>
      <c r="E6733" t="s">
        <v>52</v>
      </c>
      <c r="F6733">
        <v>2014</v>
      </c>
      <c r="G6733">
        <v>25166563</v>
      </c>
      <c r="H6733" s="1">
        <v>41695</v>
      </c>
      <c r="I6733" s="1">
        <v>41716</v>
      </c>
      <c r="J6733" s="1">
        <v>41716</v>
      </c>
      <c r="K6733" s="1">
        <v>41806</v>
      </c>
      <c r="N6733" s="5"/>
      <c r="O6733">
        <v>585.6</v>
      </c>
      <c r="P6733">
        <v>233</v>
      </c>
      <c r="Q6733" s="2">
        <v>136444.79999999999</v>
      </c>
      <c r="R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 s="1">
        <v>42382</v>
      </c>
      <c r="AC6733" t="s">
        <v>53</v>
      </c>
      <c r="AD6733" t="s">
        <v>53</v>
      </c>
      <c r="AK6733">
        <v>0</v>
      </c>
      <c r="AU6733" s="6">
        <v>42039</v>
      </c>
      <c r="AV6733" s="6">
        <v>42039</v>
      </c>
      <c r="AW6733" t="s">
        <v>54</v>
      </c>
      <c r="AX6733" t="str">
        <f t="shared" si="563"/>
        <v>FOR</v>
      </c>
      <c r="AY6733" t="s">
        <v>55</v>
      </c>
    </row>
    <row r="6734" spans="1:51" hidden="1">
      <c r="A6734">
        <v>104093</v>
      </c>
      <c r="B6734" t="s">
        <v>1210</v>
      </c>
      <c r="C6734" t="str">
        <f t="shared" si="561"/>
        <v>06032681006</v>
      </c>
      <c r="D6734" t="str">
        <f t="shared" si="562"/>
        <v>12572900152</v>
      </c>
      <c r="E6734" t="s">
        <v>52</v>
      </c>
      <c r="F6734">
        <v>2014</v>
      </c>
      <c r="G6734">
        <v>25166808</v>
      </c>
      <c r="H6734" s="1">
        <v>41696</v>
      </c>
      <c r="I6734" s="1">
        <v>41712</v>
      </c>
      <c r="J6734" s="1">
        <v>41712</v>
      </c>
      <c r="K6734" s="1">
        <v>41802</v>
      </c>
      <c r="N6734" s="5"/>
      <c r="O6734">
        <v>278.16000000000003</v>
      </c>
      <c r="P6734">
        <v>237</v>
      </c>
      <c r="Q6734" s="2">
        <v>65923.92</v>
      </c>
      <c r="R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 s="1">
        <v>42382</v>
      </c>
      <c r="AC6734" t="s">
        <v>53</v>
      </c>
      <c r="AD6734" t="s">
        <v>53</v>
      </c>
      <c r="AK6734">
        <v>0</v>
      </c>
      <c r="AU6734" s="6">
        <v>42039</v>
      </c>
      <c r="AV6734" s="6">
        <v>42039</v>
      </c>
      <c r="AW6734" t="s">
        <v>54</v>
      </c>
      <c r="AX6734" t="str">
        <f t="shared" si="563"/>
        <v>FOR</v>
      </c>
      <c r="AY6734" t="s">
        <v>55</v>
      </c>
    </row>
    <row r="6735" spans="1:51" hidden="1">
      <c r="A6735">
        <v>104093</v>
      </c>
      <c r="B6735" t="s">
        <v>1210</v>
      </c>
      <c r="C6735" t="str">
        <f t="shared" si="561"/>
        <v>06032681006</v>
      </c>
      <c r="D6735" t="str">
        <f t="shared" si="562"/>
        <v>12572900152</v>
      </c>
      <c r="E6735" t="s">
        <v>52</v>
      </c>
      <c r="F6735">
        <v>2014</v>
      </c>
      <c r="G6735">
        <v>25167159</v>
      </c>
      <c r="H6735" s="1">
        <v>41697</v>
      </c>
      <c r="I6735" s="1">
        <v>41716</v>
      </c>
      <c r="J6735" s="1">
        <v>41716</v>
      </c>
      <c r="K6735" s="1">
        <v>41806</v>
      </c>
      <c r="N6735" s="5"/>
      <c r="O6735">
        <v>234</v>
      </c>
      <c r="P6735">
        <v>233</v>
      </c>
      <c r="Q6735" s="2">
        <v>54522</v>
      </c>
      <c r="R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 s="1">
        <v>42382</v>
      </c>
      <c r="AC6735" t="s">
        <v>53</v>
      </c>
      <c r="AD6735" t="s">
        <v>53</v>
      </c>
      <c r="AK6735">
        <v>0</v>
      </c>
      <c r="AU6735" s="6">
        <v>42039</v>
      </c>
      <c r="AV6735" s="6">
        <v>42039</v>
      </c>
      <c r="AW6735" t="s">
        <v>54</v>
      </c>
      <c r="AX6735" t="str">
        <f t="shared" si="563"/>
        <v>FOR</v>
      </c>
      <c r="AY6735" t="s">
        <v>55</v>
      </c>
    </row>
    <row r="6736" spans="1:51" hidden="1">
      <c r="A6736">
        <v>104093</v>
      </c>
      <c r="B6736" t="s">
        <v>1210</v>
      </c>
      <c r="C6736" t="str">
        <f t="shared" si="561"/>
        <v>06032681006</v>
      </c>
      <c r="D6736" t="str">
        <f t="shared" si="562"/>
        <v>12572900152</v>
      </c>
      <c r="E6736" t="s">
        <v>52</v>
      </c>
      <c r="F6736">
        <v>2014</v>
      </c>
      <c r="G6736">
        <v>25167458</v>
      </c>
      <c r="H6736" s="1">
        <v>41698</v>
      </c>
      <c r="I6736" s="1">
        <v>41716</v>
      </c>
      <c r="J6736" s="1">
        <v>41716</v>
      </c>
      <c r="K6736" s="1">
        <v>41806</v>
      </c>
      <c r="N6736" s="5"/>
      <c r="O6736" s="2">
        <v>3294</v>
      </c>
      <c r="P6736">
        <v>233</v>
      </c>
      <c r="Q6736" s="2">
        <v>767502</v>
      </c>
      <c r="R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 s="1">
        <v>42382</v>
      </c>
      <c r="AC6736" t="s">
        <v>53</v>
      </c>
      <c r="AD6736" t="s">
        <v>53</v>
      </c>
      <c r="AK6736">
        <v>0</v>
      </c>
      <c r="AU6736" s="6">
        <v>42039</v>
      </c>
      <c r="AV6736" s="6">
        <v>42039</v>
      </c>
      <c r="AW6736" t="s">
        <v>54</v>
      </c>
      <c r="AX6736" t="str">
        <f t="shared" si="563"/>
        <v>FOR</v>
      </c>
      <c r="AY6736" t="s">
        <v>55</v>
      </c>
    </row>
    <row r="6737" spans="1:51" hidden="1">
      <c r="A6737">
        <v>104093</v>
      </c>
      <c r="B6737" t="s">
        <v>1210</v>
      </c>
      <c r="C6737" t="str">
        <f t="shared" si="561"/>
        <v>06032681006</v>
      </c>
      <c r="D6737" t="str">
        <f t="shared" si="562"/>
        <v>12572900152</v>
      </c>
      <c r="E6737" t="s">
        <v>52</v>
      </c>
      <c r="F6737">
        <v>2014</v>
      </c>
      <c r="G6737">
        <v>25167758</v>
      </c>
      <c r="H6737" s="1">
        <v>41701</v>
      </c>
      <c r="I6737" s="1">
        <v>41715</v>
      </c>
      <c r="J6737" s="1">
        <v>41715</v>
      </c>
      <c r="K6737" s="1">
        <v>41805</v>
      </c>
      <c r="N6737" s="5"/>
      <c r="O6737" s="2">
        <v>4087.2</v>
      </c>
      <c r="P6737">
        <v>256</v>
      </c>
      <c r="Q6737" s="2">
        <v>1046323.2</v>
      </c>
      <c r="R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 s="1">
        <v>42382</v>
      </c>
      <c r="AC6737" t="s">
        <v>53</v>
      </c>
      <c r="AD6737" t="s">
        <v>53</v>
      </c>
      <c r="AK6737">
        <v>0</v>
      </c>
      <c r="AU6737" s="6">
        <v>42061</v>
      </c>
      <c r="AV6737" s="6">
        <v>42061</v>
      </c>
      <c r="AW6737" t="s">
        <v>54</v>
      </c>
      <c r="AX6737" t="str">
        <f t="shared" si="563"/>
        <v>FOR</v>
      </c>
      <c r="AY6737" t="s">
        <v>55</v>
      </c>
    </row>
    <row r="6738" spans="1:51" hidden="1">
      <c r="A6738">
        <v>104093</v>
      </c>
      <c r="B6738" t="s">
        <v>1210</v>
      </c>
      <c r="C6738" t="str">
        <f t="shared" si="561"/>
        <v>06032681006</v>
      </c>
      <c r="D6738" t="str">
        <f t="shared" si="562"/>
        <v>12572900152</v>
      </c>
      <c r="E6738" t="s">
        <v>52</v>
      </c>
      <c r="F6738">
        <v>2014</v>
      </c>
      <c r="G6738">
        <v>25167913</v>
      </c>
      <c r="H6738" s="1">
        <v>41702</v>
      </c>
      <c r="I6738" s="1">
        <v>41719</v>
      </c>
      <c r="J6738" s="1">
        <v>41719</v>
      </c>
      <c r="K6738" s="1">
        <v>41809</v>
      </c>
      <c r="N6738" s="5"/>
      <c r="O6738">
        <v>252.72</v>
      </c>
      <c r="P6738">
        <v>252</v>
      </c>
      <c r="Q6738" s="2">
        <v>63685.440000000002</v>
      </c>
      <c r="R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 s="1">
        <v>42382</v>
      </c>
      <c r="AC6738" t="s">
        <v>53</v>
      </c>
      <c r="AD6738" t="s">
        <v>53</v>
      </c>
      <c r="AK6738">
        <v>0</v>
      </c>
      <c r="AU6738" s="6">
        <v>42061</v>
      </c>
      <c r="AV6738" s="6">
        <v>42061</v>
      </c>
      <c r="AW6738" t="s">
        <v>54</v>
      </c>
      <c r="AX6738" t="str">
        <f t="shared" si="563"/>
        <v>FOR</v>
      </c>
      <c r="AY6738" t="s">
        <v>55</v>
      </c>
    </row>
    <row r="6739" spans="1:51" hidden="1">
      <c r="A6739">
        <v>104093</v>
      </c>
      <c r="B6739" t="s">
        <v>1210</v>
      </c>
      <c r="C6739" t="str">
        <f t="shared" si="561"/>
        <v>06032681006</v>
      </c>
      <c r="D6739" t="str">
        <f t="shared" si="562"/>
        <v>12572900152</v>
      </c>
      <c r="E6739" t="s">
        <v>52</v>
      </c>
      <c r="F6739">
        <v>2014</v>
      </c>
      <c r="G6739">
        <v>25167914</v>
      </c>
      <c r="H6739" s="1">
        <v>41702</v>
      </c>
      <c r="I6739" s="1">
        <v>41719</v>
      </c>
      <c r="J6739" s="1">
        <v>41719</v>
      </c>
      <c r="K6739" s="1">
        <v>41809</v>
      </c>
      <c r="N6739" s="5"/>
      <c r="O6739">
        <v>74.88</v>
      </c>
      <c r="P6739">
        <v>252</v>
      </c>
      <c r="Q6739" s="2">
        <v>18869.759999999998</v>
      </c>
      <c r="R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 s="1">
        <v>42382</v>
      </c>
      <c r="AC6739" t="s">
        <v>53</v>
      </c>
      <c r="AD6739" t="s">
        <v>53</v>
      </c>
      <c r="AK6739">
        <v>0</v>
      </c>
      <c r="AU6739" s="6">
        <v>42061</v>
      </c>
      <c r="AV6739" s="6">
        <v>42061</v>
      </c>
      <c r="AW6739" t="s">
        <v>54</v>
      </c>
      <c r="AX6739" t="str">
        <f t="shared" si="563"/>
        <v>FOR</v>
      </c>
      <c r="AY6739" t="s">
        <v>55</v>
      </c>
    </row>
    <row r="6740" spans="1:51" hidden="1">
      <c r="A6740">
        <v>104093</v>
      </c>
      <c r="B6740" t="s">
        <v>1210</v>
      </c>
      <c r="C6740" t="str">
        <f t="shared" si="561"/>
        <v>06032681006</v>
      </c>
      <c r="D6740" t="str">
        <f t="shared" si="562"/>
        <v>12572900152</v>
      </c>
      <c r="E6740" t="s">
        <v>52</v>
      </c>
      <c r="F6740">
        <v>2014</v>
      </c>
      <c r="G6740">
        <v>25167950</v>
      </c>
      <c r="H6740" s="1">
        <v>41702</v>
      </c>
      <c r="I6740" s="1">
        <v>41719</v>
      </c>
      <c r="J6740" s="1">
        <v>41719</v>
      </c>
      <c r="K6740" s="1">
        <v>41809</v>
      </c>
      <c r="N6740" s="5"/>
      <c r="O6740">
        <v>74.88</v>
      </c>
      <c r="P6740">
        <v>252</v>
      </c>
      <c r="Q6740" s="2">
        <v>18869.759999999998</v>
      </c>
      <c r="R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 s="1">
        <v>42382</v>
      </c>
      <c r="AC6740" t="s">
        <v>53</v>
      </c>
      <c r="AD6740" t="s">
        <v>53</v>
      </c>
      <c r="AK6740">
        <v>0</v>
      </c>
      <c r="AU6740" s="6">
        <v>42061</v>
      </c>
      <c r="AV6740" s="6">
        <v>42061</v>
      </c>
      <c r="AW6740" t="s">
        <v>54</v>
      </c>
      <c r="AX6740" t="str">
        <f t="shared" si="563"/>
        <v>FOR</v>
      </c>
      <c r="AY6740" t="s">
        <v>55</v>
      </c>
    </row>
    <row r="6741" spans="1:51" hidden="1">
      <c r="A6741">
        <v>104093</v>
      </c>
      <c r="B6741" t="s">
        <v>1210</v>
      </c>
      <c r="C6741" t="str">
        <f t="shared" si="561"/>
        <v>06032681006</v>
      </c>
      <c r="D6741" t="str">
        <f t="shared" si="562"/>
        <v>12572900152</v>
      </c>
      <c r="E6741" t="s">
        <v>52</v>
      </c>
      <c r="F6741">
        <v>2014</v>
      </c>
      <c r="G6741">
        <v>25167951</v>
      </c>
      <c r="H6741" s="1">
        <v>41702</v>
      </c>
      <c r="I6741" s="1">
        <v>41719</v>
      </c>
      <c r="J6741" s="1">
        <v>41719</v>
      </c>
      <c r="K6741" s="1">
        <v>41809</v>
      </c>
      <c r="N6741" s="5"/>
      <c r="O6741">
        <v>926.64</v>
      </c>
      <c r="P6741">
        <v>252</v>
      </c>
      <c r="Q6741" s="2">
        <v>233513.28</v>
      </c>
      <c r="R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 s="1">
        <v>42382</v>
      </c>
      <c r="AC6741" t="s">
        <v>53</v>
      </c>
      <c r="AD6741" t="s">
        <v>53</v>
      </c>
      <c r="AK6741">
        <v>0</v>
      </c>
      <c r="AU6741" s="6">
        <v>42061</v>
      </c>
      <c r="AV6741" s="6">
        <v>42061</v>
      </c>
      <c r="AW6741" t="s">
        <v>54</v>
      </c>
      <c r="AX6741" t="str">
        <f t="shared" si="563"/>
        <v>FOR</v>
      </c>
      <c r="AY6741" t="s">
        <v>55</v>
      </c>
    </row>
    <row r="6742" spans="1:51" hidden="1">
      <c r="A6742">
        <v>104093</v>
      </c>
      <c r="B6742" t="s">
        <v>1210</v>
      </c>
      <c r="C6742" t="str">
        <f t="shared" si="561"/>
        <v>06032681006</v>
      </c>
      <c r="D6742" t="str">
        <f t="shared" si="562"/>
        <v>12572900152</v>
      </c>
      <c r="E6742" t="s">
        <v>52</v>
      </c>
      <c r="F6742">
        <v>2014</v>
      </c>
      <c r="G6742">
        <v>25168009</v>
      </c>
      <c r="H6742" s="1">
        <v>41702</v>
      </c>
      <c r="I6742" s="1">
        <v>41719</v>
      </c>
      <c r="J6742" s="1">
        <v>41719</v>
      </c>
      <c r="K6742" s="1">
        <v>41809</v>
      </c>
      <c r="N6742" s="5"/>
      <c r="O6742" s="2">
        <v>2470.5</v>
      </c>
      <c r="P6742">
        <v>230</v>
      </c>
      <c r="Q6742" s="2">
        <v>568215</v>
      </c>
      <c r="R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 s="1">
        <v>42382</v>
      </c>
      <c r="AC6742" t="s">
        <v>53</v>
      </c>
      <c r="AD6742" t="s">
        <v>53</v>
      </c>
      <c r="AK6742">
        <v>0</v>
      </c>
      <c r="AU6742" s="6">
        <v>42039</v>
      </c>
      <c r="AV6742" s="6">
        <v>42039</v>
      </c>
      <c r="AW6742" t="s">
        <v>54</v>
      </c>
      <c r="AX6742" t="str">
        <f t="shared" si="563"/>
        <v>FOR</v>
      </c>
      <c r="AY6742" t="s">
        <v>55</v>
      </c>
    </row>
    <row r="6743" spans="1:51" hidden="1">
      <c r="A6743">
        <v>104093</v>
      </c>
      <c r="B6743" t="s">
        <v>1210</v>
      </c>
      <c r="C6743" t="str">
        <f t="shared" si="561"/>
        <v>06032681006</v>
      </c>
      <c r="D6743" t="str">
        <f t="shared" si="562"/>
        <v>12572900152</v>
      </c>
      <c r="E6743" t="s">
        <v>52</v>
      </c>
      <c r="F6743">
        <v>2014</v>
      </c>
      <c r="G6743">
        <v>25168234</v>
      </c>
      <c r="H6743" s="1">
        <v>41703</v>
      </c>
      <c r="I6743" s="1">
        <v>41719</v>
      </c>
      <c r="J6743" s="1">
        <v>41719</v>
      </c>
      <c r="K6743" s="1">
        <v>41809</v>
      </c>
      <c r="N6743" s="5"/>
      <c r="O6743">
        <v>237.12</v>
      </c>
      <c r="P6743">
        <v>252</v>
      </c>
      <c r="Q6743" s="2">
        <v>59754.239999999998</v>
      </c>
      <c r="R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 s="1">
        <v>42382</v>
      </c>
      <c r="AC6743" t="s">
        <v>53</v>
      </c>
      <c r="AD6743" t="s">
        <v>53</v>
      </c>
      <c r="AK6743">
        <v>0</v>
      </c>
      <c r="AU6743" s="6">
        <v>42061</v>
      </c>
      <c r="AV6743" s="6">
        <v>42061</v>
      </c>
      <c r="AW6743" t="s">
        <v>54</v>
      </c>
      <c r="AX6743" t="str">
        <f t="shared" si="563"/>
        <v>FOR</v>
      </c>
      <c r="AY6743" t="s">
        <v>55</v>
      </c>
    </row>
    <row r="6744" spans="1:51" hidden="1">
      <c r="A6744">
        <v>104093</v>
      </c>
      <c r="B6744" t="s">
        <v>1210</v>
      </c>
      <c r="C6744" t="str">
        <f t="shared" si="561"/>
        <v>06032681006</v>
      </c>
      <c r="D6744" t="str">
        <f t="shared" si="562"/>
        <v>12572900152</v>
      </c>
      <c r="E6744" t="s">
        <v>52</v>
      </c>
      <c r="F6744">
        <v>2014</v>
      </c>
      <c r="G6744">
        <v>25168398</v>
      </c>
      <c r="H6744" s="1">
        <v>41704</v>
      </c>
      <c r="I6744" s="1">
        <v>41724</v>
      </c>
      <c r="J6744" s="1">
        <v>41724</v>
      </c>
      <c r="K6744" s="1">
        <v>41814</v>
      </c>
      <c r="N6744" s="5"/>
      <c r="O6744">
        <v>74.88</v>
      </c>
      <c r="P6744">
        <v>247</v>
      </c>
      <c r="Q6744" s="2">
        <v>18495.36</v>
      </c>
      <c r="R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 s="1">
        <v>42382</v>
      </c>
      <c r="AC6744" t="s">
        <v>53</v>
      </c>
      <c r="AD6744" t="s">
        <v>53</v>
      </c>
      <c r="AK6744">
        <v>0</v>
      </c>
      <c r="AU6744" s="6">
        <v>42061</v>
      </c>
      <c r="AV6744" s="6">
        <v>42061</v>
      </c>
      <c r="AW6744" t="s">
        <v>54</v>
      </c>
      <c r="AX6744" t="str">
        <f t="shared" si="563"/>
        <v>FOR</v>
      </c>
      <c r="AY6744" t="s">
        <v>55</v>
      </c>
    </row>
    <row r="6745" spans="1:51" hidden="1">
      <c r="A6745">
        <v>104093</v>
      </c>
      <c r="B6745" t="s">
        <v>1210</v>
      </c>
      <c r="C6745" t="str">
        <f t="shared" si="561"/>
        <v>06032681006</v>
      </c>
      <c r="D6745" t="str">
        <f t="shared" si="562"/>
        <v>12572900152</v>
      </c>
      <c r="E6745" t="s">
        <v>52</v>
      </c>
      <c r="F6745">
        <v>2014</v>
      </c>
      <c r="G6745">
        <v>25168399</v>
      </c>
      <c r="H6745" s="1">
        <v>41704</v>
      </c>
      <c r="I6745" s="1">
        <v>41724</v>
      </c>
      <c r="J6745" s="1">
        <v>41724</v>
      </c>
      <c r="K6745" s="1">
        <v>41814</v>
      </c>
      <c r="N6745" s="5"/>
      <c r="O6745">
        <v>74.88</v>
      </c>
      <c r="P6745">
        <v>247</v>
      </c>
      <c r="Q6745" s="2">
        <v>18495.36</v>
      </c>
      <c r="R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 s="1">
        <v>42382</v>
      </c>
      <c r="AC6745" t="s">
        <v>53</v>
      </c>
      <c r="AD6745" t="s">
        <v>53</v>
      </c>
      <c r="AK6745">
        <v>0</v>
      </c>
      <c r="AU6745" s="6">
        <v>42061</v>
      </c>
      <c r="AV6745" s="6">
        <v>42061</v>
      </c>
      <c r="AW6745" t="s">
        <v>54</v>
      </c>
      <c r="AX6745" t="str">
        <f t="shared" si="563"/>
        <v>FOR</v>
      </c>
      <c r="AY6745" t="s">
        <v>55</v>
      </c>
    </row>
    <row r="6746" spans="1:51" hidden="1">
      <c r="A6746">
        <v>104093</v>
      </c>
      <c r="B6746" t="s">
        <v>1210</v>
      </c>
      <c r="C6746" t="str">
        <f t="shared" si="561"/>
        <v>06032681006</v>
      </c>
      <c r="D6746" t="str">
        <f t="shared" si="562"/>
        <v>12572900152</v>
      </c>
      <c r="E6746" t="s">
        <v>52</v>
      </c>
      <c r="F6746">
        <v>2014</v>
      </c>
      <c r="G6746">
        <v>25168400</v>
      </c>
      <c r="H6746" s="1">
        <v>41704</v>
      </c>
      <c r="I6746" s="1">
        <v>41724</v>
      </c>
      <c r="J6746" s="1">
        <v>41724</v>
      </c>
      <c r="K6746" s="1">
        <v>41814</v>
      </c>
      <c r="N6746" s="5"/>
      <c r="O6746">
        <v>74.88</v>
      </c>
      <c r="P6746">
        <v>247</v>
      </c>
      <c r="Q6746" s="2">
        <v>18495.36</v>
      </c>
      <c r="R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 s="1">
        <v>42382</v>
      </c>
      <c r="AC6746" t="s">
        <v>53</v>
      </c>
      <c r="AD6746" t="s">
        <v>53</v>
      </c>
      <c r="AK6746">
        <v>0</v>
      </c>
      <c r="AU6746" s="6">
        <v>42061</v>
      </c>
      <c r="AV6746" s="6">
        <v>42061</v>
      </c>
      <c r="AW6746" t="s">
        <v>54</v>
      </c>
      <c r="AX6746" t="str">
        <f t="shared" si="563"/>
        <v>FOR</v>
      </c>
      <c r="AY6746" t="s">
        <v>55</v>
      </c>
    </row>
    <row r="6747" spans="1:51" hidden="1">
      <c r="A6747">
        <v>104093</v>
      </c>
      <c r="B6747" t="s">
        <v>1210</v>
      </c>
      <c r="C6747" t="str">
        <f t="shared" si="561"/>
        <v>06032681006</v>
      </c>
      <c r="D6747" t="str">
        <f t="shared" si="562"/>
        <v>12572900152</v>
      </c>
      <c r="E6747" t="s">
        <v>52</v>
      </c>
      <c r="F6747">
        <v>2014</v>
      </c>
      <c r="G6747">
        <v>25168401</v>
      </c>
      <c r="H6747" s="1">
        <v>41704</v>
      </c>
      <c r="I6747" s="1">
        <v>41724</v>
      </c>
      <c r="J6747" s="1">
        <v>41724</v>
      </c>
      <c r="K6747" s="1">
        <v>41814</v>
      </c>
      <c r="N6747" s="5"/>
      <c r="O6747">
        <v>74.88</v>
      </c>
      <c r="P6747">
        <v>247</v>
      </c>
      <c r="Q6747" s="2">
        <v>18495.36</v>
      </c>
      <c r="R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 s="1">
        <v>42382</v>
      </c>
      <c r="AC6747" t="s">
        <v>53</v>
      </c>
      <c r="AD6747" t="s">
        <v>53</v>
      </c>
      <c r="AK6747">
        <v>0</v>
      </c>
      <c r="AU6747" s="6">
        <v>42061</v>
      </c>
      <c r="AV6747" s="6">
        <v>42061</v>
      </c>
      <c r="AW6747" t="s">
        <v>54</v>
      </c>
      <c r="AX6747" t="str">
        <f t="shared" si="563"/>
        <v>FOR</v>
      </c>
      <c r="AY6747" t="s">
        <v>55</v>
      </c>
    </row>
    <row r="6748" spans="1:51" hidden="1">
      <c r="A6748">
        <v>104093</v>
      </c>
      <c r="B6748" t="s">
        <v>1210</v>
      </c>
      <c r="C6748" t="str">
        <f t="shared" si="561"/>
        <v>06032681006</v>
      </c>
      <c r="D6748" t="str">
        <f t="shared" si="562"/>
        <v>12572900152</v>
      </c>
      <c r="E6748" t="s">
        <v>52</v>
      </c>
      <c r="F6748">
        <v>2014</v>
      </c>
      <c r="G6748">
        <v>25168402</v>
      </c>
      <c r="H6748" s="1">
        <v>41704</v>
      </c>
      <c r="I6748" s="1">
        <v>41724</v>
      </c>
      <c r="J6748" s="1">
        <v>41724</v>
      </c>
      <c r="K6748" s="1">
        <v>41814</v>
      </c>
      <c r="N6748" s="5"/>
      <c r="O6748">
        <v>403.42</v>
      </c>
      <c r="P6748">
        <v>247</v>
      </c>
      <c r="Q6748" s="2">
        <v>99644.74</v>
      </c>
      <c r="R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 s="1">
        <v>42382</v>
      </c>
      <c r="AC6748" t="s">
        <v>53</v>
      </c>
      <c r="AD6748" t="s">
        <v>53</v>
      </c>
      <c r="AK6748">
        <v>0</v>
      </c>
      <c r="AU6748" s="6">
        <v>42061</v>
      </c>
      <c r="AV6748" s="6">
        <v>42061</v>
      </c>
      <c r="AW6748" t="s">
        <v>54</v>
      </c>
      <c r="AX6748" t="str">
        <f t="shared" si="563"/>
        <v>FOR</v>
      </c>
      <c r="AY6748" t="s">
        <v>55</v>
      </c>
    </row>
    <row r="6749" spans="1:51" hidden="1">
      <c r="A6749">
        <v>104093</v>
      </c>
      <c r="B6749" t="s">
        <v>1210</v>
      </c>
      <c r="C6749" t="str">
        <f t="shared" ref="C6749:C6812" si="564">"06032681006"</f>
        <v>06032681006</v>
      </c>
      <c r="D6749" t="str">
        <f t="shared" ref="D6749:D6812" si="565">"12572900152"</f>
        <v>12572900152</v>
      </c>
      <c r="E6749" t="s">
        <v>52</v>
      </c>
      <c r="F6749">
        <v>2014</v>
      </c>
      <c r="G6749">
        <v>25168403</v>
      </c>
      <c r="H6749" s="1">
        <v>41704</v>
      </c>
      <c r="I6749" s="1">
        <v>41724</v>
      </c>
      <c r="J6749" s="1">
        <v>41724</v>
      </c>
      <c r="K6749" s="1">
        <v>41814</v>
      </c>
      <c r="N6749" s="5"/>
      <c r="O6749">
        <v>252.72</v>
      </c>
      <c r="P6749">
        <v>247</v>
      </c>
      <c r="Q6749" s="2">
        <v>62421.84</v>
      </c>
      <c r="R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 s="1">
        <v>42382</v>
      </c>
      <c r="AC6749" t="s">
        <v>53</v>
      </c>
      <c r="AD6749" t="s">
        <v>53</v>
      </c>
      <c r="AK6749">
        <v>0</v>
      </c>
      <c r="AU6749" s="6">
        <v>42061</v>
      </c>
      <c r="AV6749" s="6">
        <v>42061</v>
      </c>
      <c r="AW6749" t="s">
        <v>54</v>
      </c>
      <c r="AX6749" t="str">
        <f t="shared" si="563"/>
        <v>FOR</v>
      </c>
      <c r="AY6749" t="s">
        <v>55</v>
      </c>
    </row>
    <row r="6750" spans="1:51" hidden="1">
      <c r="A6750">
        <v>104093</v>
      </c>
      <c r="B6750" t="s">
        <v>1210</v>
      </c>
      <c r="C6750" t="str">
        <f t="shared" si="564"/>
        <v>06032681006</v>
      </c>
      <c r="D6750" t="str">
        <f t="shared" si="565"/>
        <v>12572900152</v>
      </c>
      <c r="E6750" t="s">
        <v>52</v>
      </c>
      <c r="F6750">
        <v>2014</v>
      </c>
      <c r="G6750">
        <v>25168404</v>
      </c>
      <c r="H6750" s="1">
        <v>41704</v>
      </c>
      <c r="I6750" s="1">
        <v>41724</v>
      </c>
      <c r="J6750" s="1">
        <v>41724</v>
      </c>
      <c r="K6750" s="1">
        <v>41814</v>
      </c>
      <c r="N6750" s="5"/>
      <c r="O6750">
        <v>74.88</v>
      </c>
      <c r="P6750">
        <v>247</v>
      </c>
      <c r="Q6750" s="2">
        <v>18495.36</v>
      </c>
      <c r="R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 s="1">
        <v>42382</v>
      </c>
      <c r="AC6750" t="s">
        <v>53</v>
      </c>
      <c r="AD6750" t="s">
        <v>53</v>
      </c>
      <c r="AK6750">
        <v>0</v>
      </c>
      <c r="AU6750" s="6">
        <v>42061</v>
      </c>
      <c r="AV6750" s="6">
        <v>42061</v>
      </c>
      <c r="AW6750" t="s">
        <v>54</v>
      </c>
      <c r="AX6750" t="str">
        <f t="shared" si="563"/>
        <v>FOR</v>
      </c>
      <c r="AY6750" t="s">
        <v>55</v>
      </c>
    </row>
    <row r="6751" spans="1:51" hidden="1">
      <c r="A6751">
        <v>104093</v>
      </c>
      <c r="B6751" t="s">
        <v>1210</v>
      </c>
      <c r="C6751" t="str">
        <f t="shared" si="564"/>
        <v>06032681006</v>
      </c>
      <c r="D6751" t="str">
        <f t="shared" si="565"/>
        <v>12572900152</v>
      </c>
      <c r="E6751" t="s">
        <v>52</v>
      </c>
      <c r="F6751">
        <v>2014</v>
      </c>
      <c r="G6751">
        <v>25168405</v>
      </c>
      <c r="H6751" s="1">
        <v>41704</v>
      </c>
      <c r="I6751" s="1">
        <v>41724</v>
      </c>
      <c r="J6751" s="1">
        <v>41724</v>
      </c>
      <c r="K6751" s="1">
        <v>41814</v>
      </c>
      <c r="N6751" s="5"/>
      <c r="O6751">
        <v>74.88</v>
      </c>
      <c r="P6751">
        <v>247</v>
      </c>
      <c r="Q6751" s="2">
        <v>18495.36</v>
      </c>
      <c r="R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 s="1">
        <v>42382</v>
      </c>
      <c r="AC6751" t="s">
        <v>53</v>
      </c>
      <c r="AD6751" t="s">
        <v>53</v>
      </c>
      <c r="AK6751">
        <v>0</v>
      </c>
      <c r="AU6751" s="6">
        <v>42061</v>
      </c>
      <c r="AV6751" s="6">
        <v>42061</v>
      </c>
      <c r="AW6751" t="s">
        <v>54</v>
      </c>
      <c r="AX6751" t="str">
        <f t="shared" si="563"/>
        <v>FOR</v>
      </c>
      <c r="AY6751" t="s">
        <v>55</v>
      </c>
    </row>
    <row r="6752" spans="1:51" hidden="1">
      <c r="A6752">
        <v>104093</v>
      </c>
      <c r="B6752" t="s">
        <v>1210</v>
      </c>
      <c r="C6752" t="str">
        <f t="shared" si="564"/>
        <v>06032681006</v>
      </c>
      <c r="D6752" t="str">
        <f t="shared" si="565"/>
        <v>12572900152</v>
      </c>
      <c r="E6752" t="s">
        <v>52</v>
      </c>
      <c r="F6752">
        <v>2014</v>
      </c>
      <c r="G6752">
        <v>25168406</v>
      </c>
      <c r="H6752" s="1">
        <v>41704</v>
      </c>
      <c r="I6752" s="1">
        <v>41724</v>
      </c>
      <c r="J6752" s="1">
        <v>41724</v>
      </c>
      <c r="K6752" s="1">
        <v>41814</v>
      </c>
      <c r="N6752" s="5"/>
      <c r="O6752">
        <v>74.88</v>
      </c>
      <c r="P6752">
        <v>247</v>
      </c>
      <c r="Q6752" s="2">
        <v>18495.36</v>
      </c>
      <c r="R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 s="1">
        <v>42382</v>
      </c>
      <c r="AC6752" t="s">
        <v>53</v>
      </c>
      <c r="AD6752" t="s">
        <v>53</v>
      </c>
      <c r="AK6752">
        <v>0</v>
      </c>
      <c r="AU6752" s="6">
        <v>42061</v>
      </c>
      <c r="AV6752" s="6">
        <v>42061</v>
      </c>
      <c r="AW6752" t="s">
        <v>54</v>
      </c>
      <c r="AX6752" t="str">
        <f t="shared" si="563"/>
        <v>FOR</v>
      </c>
      <c r="AY6752" t="s">
        <v>55</v>
      </c>
    </row>
    <row r="6753" spans="1:51" hidden="1">
      <c r="A6753">
        <v>104093</v>
      </c>
      <c r="B6753" t="s">
        <v>1210</v>
      </c>
      <c r="C6753" t="str">
        <f t="shared" si="564"/>
        <v>06032681006</v>
      </c>
      <c r="D6753" t="str">
        <f t="shared" si="565"/>
        <v>12572900152</v>
      </c>
      <c r="E6753" t="s">
        <v>52</v>
      </c>
      <c r="F6753">
        <v>2014</v>
      </c>
      <c r="G6753">
        <v>25168407</v>
      </c>
      <c r="H6753" s="1">
        <v>41704</v>
      </c>
      <c r="I6753" s="1">
        <v>41724</v>
      </c>
      <c r="J6753" s="1">
        <v>41724</v>
      </c>
      <c r="K6753" s="1">
        <v>41814</v>
      </c>
      <c r="N6753" s="5"/>
      <c r="O6753">
        <v>252.72</v>
      </c>
      <c r="P6753">
        <v>247</v>
      </c>
      <c r="Q6753" s="2">
        <v>62421.84</v>
      </c>
      <c r="R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 s="1">
        <v>42382</v>
      </c>
      <c r="AC6753" t="s">
        <v>53</v>
      </c>
      <c r="AD6753" t="s">
        <v>53</v>
      </c>
      <c r="AK6753">
        <v>0</v>
      </c>
      <c r="AU6753" s="6">
        <v>42061</v>
      </c>
      <c r="AV6753" s="6">
        <v>42061</v>
      </c>
      <c r="AW6753" t="s">
        <v>54</v>
      </c>
      <c r="AX6753" t="str">
        <f t="shared" si="563"/>
        <v>FOR</v>
      </c>
      <c r="AY6753" t="s">
        <v>55</v>
      </c>
    </row>
    <row r="6754" spans="1:51" hidden="1">
      <c r="A6754">
        <v>104093</v>
      </c>
      <c r="B6754" t="s">
        <v>1210</v>
      </c>
      <c r="C6754" t="str">
        <f t="shared" si="564"/>
        <v>06032681006</v>
      </c>
      <c r="D6754" t="str">
        <f t="shared" si="565"/>
        <v>12572900152</v>
      </c>
      <c r="E6754" t="s">
        <v>52</v>
      </c>
      <c r="F6754">
        <v>2014</v>
      </c>
      <c r="G6754">
        <v>25168408</v>
      </c>
      <c r="H6754" s="1">
        <v>41704</v>
      </c>
      <c r="I6754" s="1">
        <v>41724</v>
      </c>
      <c r="J6754" s="1">
        <v>41724</v>
      </c>
      <c r="K6754" s="1">
        <v>41814</v>
      </c>
      <c r="N6754" s="5"/>
      <c r="O6754">
        <v>926.64</v>
      </c>
      <c r="P6754">
        <v>247</v>
      </c>
      <c r="Q6754" s="2">
        <v>228880.08</v>
      </c>
      <c r="R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 s="1">
        <v>42382</v>
      </c>
      <c r="AC6754" t="s">
        <v>53</v>
      </c>
      <c r="AD6754" t="s">
        <v>53</v>
      </c>
      <c r="AK6754">
        <v>0</v>
      </c>
      <c r="AU6754" s="6">
        <v>42061</v>
      </c>
      <c r="AV6754" s="6">
        <v>42061</v>
      </c>
      <c r="AW6754" t="s">
        <v>54</v>
      </c>
      <c r="AX6754" t="str">
        <f t="shared" si="563"/>
        <v>FOR</v>
      </c>
      <c r="AY6754" t="s">
        <v>55</v>
      </c>
    </row>
    <row r="6755" spans="1:51" hidden="1">
      <c r="A6755">
        <v>104093</v>
      </c>
      <c r="B6755" t="s">
        <v>1210</v>
      </c>
      <c r="C6755" t="str">
        <f t="shared" si="564"/>
        <v>06032681006</v>
      </c>
      <c r="D6755" t="str">
        <f t="shared" si="565"/>
        <v>12572900152</v>
      </c>
      <c r="E6755" t="s">
        <v>52</v>
      </c>
      <c r="F6755">
        <v>2014</v>
      </c>
      <c r="G6755">
        <v>25168810</v>
      </c>
      <c r="H6755" s="1">
        <v>41705</v>
      </c>
      <c r="I6755" s="1">
        <v>41724</v>
      </c>
      <c r="J6755" s="1">
        <v>41724</v>
      </c>
      <c r="K6755" s="1">
        <v>41814</v>
      </c>
      <c r="N6755" s="5"/>
      <c r="O6755">
        <v>702.72</v>
      </c>
      <c r="P6755">
        <v>247</v>
      </c>
      <c r="Q6755" s="2">
        <v>173571.84</v>
      </c>
      <c r="R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 s="1">
        <v>42382</v>
      </c>
      <c r="AC6755" t="s">
        <v>53</v>
      </c>
      <c r="AD6755" t="s">
        <v>53</v>
      </c>
      <c r="AK6755">
        <v>0</v>
      </c>
      <c r="AU6755" s="6">
        <v>42061</v>
      </c>
      <c r="AV6755" s="6">
        <v>42061</v>
      </c>
      <c r="AW6755" t="s">
        <v>54</v>
      </c>
      <c r="AX6755" t="str">
        <f t="shared" si="563"/>
        <v>FOR</v>
      </c>
      <c r="AY6755" t="s">
        <v>55</v>
      </c>
    </row>
    <row r="6756" spans="1:51" hidden="1">
      <c r="A6756">
        <v>104093</v>
      </c>
      <c r="B6756" t="s">
        <v>1210</v>
      </c>
      <c r="C6756" t="str">
        <f t="shared" si="564"/>
        <v>06032681006</v>
      </c>
      <c r="D6756" t="str">
        <f t="shared" si="565"/>
        <v>12572900152</v>
      </c>
      <c r="E6756" t="s">
        <v>52</v>
      </c>
      <c r="F6756">
        <v>2014</v>
      </c>
      <c r="G6756">
        <v>25169241</v>
      </c>
      <c r="H6756" s="1">
        <v>41709</v>
      </c>
      <c r="I6756" s="1">
        <v>41724</v>
      </c>
      <c r="J6756" s="1">
        <v>41724</v>
      </c>
      <c r="K6756" s="1">
        <v>41814</v>
      </c>
      <c r="N6756" s="5"/>
      <c r="O6756" s="2">
        <v>3660</v>
      </c>
      <c r="P6756">
        <v>247</v>
      </c>
      <c r="Q6756" s="2">
        <v>904020</v>
      </c>
      <c r="R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 s="1">
        <v>42382</v>
      </c>
      <c r="AC6756" t="s">
        <v>53</v>
      </c>
      <c r="AD6756" t="s">
        <v>53</v>
      </c>
      <c r="AK6756">
        <v>0</v>
      </c>
      <c r="AU6756" s="6">
        <v>42061</v>
      </c>
      <c r="AV6756" s="6">
        <v>42061</v>
      </c>
      <c r="AW6756" t="s">
        <v>54</v>
      </c>
      <c r="AX6756" t="str">
        <f t="shared" si="563"/>
        <v>FOR</v>
      </c>
      <c r="AY6756" t="s">
        <v>55</v>
      </c>
    </row>
    <row r="6757" spans="1:51" hidden="1">
      <c r="A6757">
        <v>104093</v>
      </c>
      <c r="B6757" t="s">
        <v>1210</v>
      </c>
      <c r="C6757" t="str">
        <f t="shared" si="564"/>
        <v>06032681006</v>
      </c>
      <c r="D6757" t="str">
        <f t="shared" si="565"/>
        <v>12572900152</v>
      </c>
      <c r="E6757" t="s">
        <v>52</v>
      </c>
      <c r="F6757">
        <v>2014</v>
      </c>
      <c r="G6757">
        <v>25169347</v>
      </c>
      <c r="H6757" s="1">
        <v>41709</v>
      </c>
      <c r="I6757" s="1">
        <v>41724</v>
      </c>
      <c r="J6757" s="1">
        <v>41724</v>
      </c>
      <c r="K6757" s="1">
        <v>41814</v>
      </c>
      <c r="N6757" s="5"/>
      <c r="O6757" s="2">
        <v>1797.12</v>
      </c>
      <c r="P6757">
        <v>247</v>
      </c>
      <c r="Q6757" s="2">
        <v>443888.64000000001</v>
      </c>
      <c r="R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 s="1">
        <v>42382</v>
      </c>
      <c r="AC6757" t="s">
        <v>53</v>
      </c>
      <c r="AD6757" t="s">
        <v>53</v>
      </c>
      <c r="AK6757">
        <v>0</v>
      </c>
      <c r="AU6757" s="6">
        <v>42061</v>
      </c>
      <c r="AV6757" s="6">
        <v>42061</v>
      </c>
      <c r="AW6757" t="s">
        <v>54</v>
      </c>
      <c r="AX6757" t="str">
        <f t="shared" si="563"/>
        <v>FOR</v>
      </c>
      <c r="AY6757" t="s">
        <v>55</v>
      </c>
    </row>
    <row r="6758" spans="1:51" hidden="1">
      <c r="A6758">
        <v>104093</v>
      </c>
      <c r="B6758" t="s">
        <v>1210</v>
      </c>
      <c r="C6758" t="str">
        <f t="shared" si="564"/>
        <v>06032681006</v>
      </c>
      <c r="D6758" t="str">
        <f t="shared" si="565"/>
        <v>12572900152</v>
      </c>
      <c r="E6758" t="s">
        <v>52</v>
      </c>
      <c r="F6758">
        <v>2014</v>
      </c>
      <c r="G6758">
        <v>25169430</v>
      </c>
      <c r="H6758" s="1">
        <v>41710</v>
      </c>
      <c r="I6758" s="1">
        <v>41724</v>
      </c>
      <c r="J6758" s="1">
        <v>41724</v>
      </c>
      <c r="K6758" s="1">
        <v>41814</v>
      </c>
      <c r="N6758" s="5"/>
      <c r="O6758">
        <v>74.88</v>
      </c>
      <c r="P6758">
        <v>247</v>
      </c>
      <c r="Q6758" s="2">
        <v>18495.36</v>
      </c>
      <c r="R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 s="1">
        <v>42382</v>
      </c>
      <c r="AC6758" t="s">
        <v>53</v>
      </c>
      <c r="AD6758" t="s">
        <v>53</v>
      </c>
      <c r="AK6758">
        <v>0</v>
      </c>
      <c r="AU6758" s="6">
        <v>42061</v>
      </c>
      <c r="AV6758" s="6">
        <v>42061</v>
      </c>
      <c r="AW6758" t="s">
        <v>54</v>
      </c>
      <c r="AX6758" t="str">
        <f t="shared" si="563"/>
        <v>FOR</v>
      </c>
      <c r="AY6758" t="s">
        <v>55</v>
      </c>
    </row>
    <row r="6759" spans="1:51" hidden="1">
      <c r="A6759">
        <v>104093</v>
      </c>
      <c r="B6759" t="s">
        <v>1210</v>
      </c>
      <c r="C6759" t="str">
        <f t="shared" si="564"/>
        <v>06032681006</v>
      </c>
      <c r="D6759" t="str">
        <f t="shared" si="565"/>
        <v>12572900152</v>
      </c>
      <c r="E6759" t="s">
        <v>52</v>
      </c>
      <c r="F6759">
        <v>2014</v>
      </c>
      <c r="G6759">
        <v>25169431</v>
      </c>
      <c r="H6759" s="1">
        <v>41710</v>
      </c>
      <c r="I6759" s="1">
        <v>41724</v>
      </c>
      <c r="J6759" s="1">
        <v>41724</v>
      </c>
      <c r="K6759" s="1">
        <v>41814</v>
      </c>
      <c r="N6759" s="5"/>
      <c r="O6759">
        <v>707.62</v>
      </c>
      <c r="P6759">
        <v>247</v>
      </c>
      <c r="Q6759" s="2">
        <v>174782.14</v>
      </c>
      <c r="R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 s="1">
        <v>42382</v>
      </c>
      <c r="AC6759" t="s">
        <v>53</v>
      </c>
      <c r="AD6759" t="s">
        <v>53</v>
      </c>
      <c r="AK6759">
        <v>0</v>
      </c>
      <c r="AU6759" s="6">
        <v>42061</v>
      </c>
      <c r="AV6759" s="6">
        <v>42061</v>
      </c>
      <c r="AW6759" t="s">
        <v>54</v>
      </c>
      <c r="AX6759" t="str">
        <f t="shared" si="563"/>
        <v>FOR</v>
      </c>
      <c r="AY6759" t="s">
        <v>55</v>
      </c>
    </row>
    <row r="6760" spans="1:51" hidden="1">
      <c r="A6760">
        <v>104093</v>
      </c>
      <c r="B6760" t="s">
        <v>1210</v>
      </c>
      <c r="C6760" t="str">
        <f t="shared" si="564"/>
        <v>06032681006</v>
      </c>
      <c r="D6760" t="str">
        <f t="shared" si="565"/>
        <v>12572900152</v>
      </c>
      <c r="E6760" t="s">
        <v>52</v>
      </c>
      <c r="F6760">
        <v>2014</v>
      </c>
      <c r="G6760">
        <v>25169432</v>
      </c>
      <c r="H6760" s="1">
        <v>41710</v>
      </c>
      <c r="I6760" s="1">
        <v>41724</v>
      </c>
      <c r="J6760" s="1">
        <v>41724</v>
      </c>
      <c r="K6760" s="1">
        <v>41814</v>
      </c>
      <c r="N6760" s="5"/>
      <c r="O6760">
        <v>252.72</v>
      </c>
      <c r="P6760">
        <v>247</v>
      </c>
      <c r="Q6760" s="2">
        <v>62421.84</v>
      </c>
      <c r="R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 s="1">
        <v>42382</v>
      </c>
      <c r="AC6760" t="s">
        <v>53</v>
      </c>
      <c r="AD6760" t="s">
        <v>53</v>
      </c>
      <c r="AK6760">
        <v>0</v>
      </c>
      <c r="AU6760" s="6">
        <v>42061</v>
      </c>
      <c r="AV6760" s="6">
        <v>42061</v>
      </c>
      <c r="AW6760" t="s">
        <v>54</v>
      </c>
      <c r="AX6760" t="str">
        <f t="shared" si="563"/>
        <v>FOR</v>
      </c>
      <c r="AY6760" t="s">
        <v>55</v>
      </c>
    </row>
    <row r="6761" spans="1:51" hidden="1">
      <c r="A6761">
        <v>104093</v>
      </c>
      <c r="B6761" t="s">
        <v>1210</v>
      </c>
      <c r="C6761" t="str">
        <f t="shared" si="564"/>
        <v>06032681006</v>
      </c>
      <c r="D6761" t="str">
        <f t="shared" si="565"/>
        <v>12572900152</v>
      </c>
      <c r="E6761" t="s">
        <v>52</v>
      </c>
      <c r="F6761">
        <v>2014</v>
      </c>
      <c r="G6761">
        <v>25169433</v>
      </c>
      <c r="H6761" s="1">
        <v>41710</v>
      </c>
      <c r="I6761" s="1">
        <v>41724</v>
      </c>
      <c r="J6761" s="1">
        <v>41724</v>
      </c>
      <c r="K6761" s="1">
        <v>41814</v>
      </c>
      <c r="N6761" s="5"/>
      <c r="O6761">
        <v>74.88</v>
      </c>
      <c r="P6761">
        <v>247</v>
      </c>
      <c r="Q6761" s="2">
        <v>18495.36</v>
      </c>
      <c r="R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 s="1">
        <v>42382</v>
      </c>
      <c r="AC6761" t="s">
        <v>53</v>
      </c>
      <c r="AD6761" t="s">
        <v>53</v>
      </c>
      <c r="AK6761">
        <v>0</v>
      </c>
      <c r="AU6761" s="6">
        <v>42061</v>
      </c>
      <c r="AV6761" s="6">
        <v>42061</v>
      </c>
      <c r="AW6761" t="s">
        <v>54</v>
      </c>
      <c r="AX6761" t="str">
        <f t="shared" si="563"/>
        <v>FOR</v>
      </c>
      <c r="AY6761" t="s">
        <v>55</v>
      </c>
    </row>
    <row r="6762" spans="1:51" hidden="1">
      <c r="A6762">
        <v>104093</v>
      </c>
      <c r="B6762" t="s">
        <v>1210</v>
      </c>
      <c r="C6762" t="str">
        <f t="shared" si="564"/>
        <v>06032681006</v>
      </c>
      <c r="D6762" t="str">
        <f t="shared" si="565"/>
        <v>12572900152</v>
      </c>
      <c r="E6762" t="s">
        <v>52</v>
      </c>
      <c r="F6762">
        <v>2014</v>
      </c>
      <c r="G6762">
        <v>25169434</v>
      </c>
      <c r="H6762" s="1">
        <v>41710</v>
      </c>
      <c r="I6762" s="1">
        <v>41724</v>
      </c>
      <c r="J6762" s="1">
        <v>41724</v>
      </c>
      <c r="K6762" s="1">
        <v>41814</v>
      </c>
      <c r="N6762" s="5"/>
      <c r="O6762">
        <v>403.42</v>
      </c>
      <c r="P6762">
        <v>247</v>
      </c>
      <c r="Q6762" s="2">
        <v>99644.74</v>
      </c>
      <c r="R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 s="1">
        <v>42382</v>
      </c>
      <c r="AC6762" t="s">
        <v>53</v>
      </c>
      <c r="AD6762" t="s">
        <v>53</v>
      </c>
      <c r="AK6762">
        <v>0</v>
      </c>
      <c r="AU6762" s="6">
        <v>42061</v>
      </c>
      <c r="AV6762" s="6">
        <v>42061</v>
      </c>
      <c r="AW6762" t="s">
        <v>54</v>
      </c>
      <c r="AX6762" t="str">
        <f t="shared" si="563"/>
        <v>FOR</v>
      </c>
      <c r="AY6762" t="s">
        <v>55</v>
      </c>
    </row>
    <row r="6763" spans="1:51" hidden="1">
      <c r="A6763">
        <v>104093</v>
      </c>
      <c r="B6763" t="s">
        <v>1210</v>
      </c>
      <c r="C6763" t="str">
        <f t="shared" si="564"/>
        <v>06032681006</v>
      </c>
      <c r="D6763" t="str">
        <f t="shared" si="565"/>
        <v>12572900152</v>
      </c>
      <c r="E6763" t="s">
        <v>52</v>
      </c>
      <c r="F6763">
        <v>2014</v>
      </c>
      <c r="G6763">
        <v>25169435</v>
      </c>
      <c r="H6763" s="1">
        <v>41710</v>
      </c>
      <c r="I6763" s="1">
        <v>41724</v>
      </c>
      <c r="J6763" s="1">
        <v>41724</v>
      </c>
      <c r="K6763" s="1">
        <v>41814</v>
      </c>
      <c r="N6763" s="5"/>
      <c r="O6763">
        <v>74.88</v>
      </c>
      <c r="P6763">
        <v>247</v>
      </c>
      <c r="Q6763" s="2">
        <v>18495.36</v>
      </c>
      <c r="R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 s="1">
        <v>42382</v>
      </c>
      <c r="AC6763" t="s">
        <v>53</v>
      </c>
      <c r="AD6763" t="s">
        <v>53</v>
      </c>
      <c r="AK6763">
        <v>0</v>
      </c>
      <c r="AU6763" s="6">
        <v>42061</v>
      </c>
      <c r="AV6763" s="6">
        <v>42061</v>
      </c>
      <c r="AW6763" t="s">
        <v>54</v>
      </c>
      <c r="AX6763" t="str">
        <f t="shared" si="563"/>
        <v>FOR</v>
      </c>
      <c r="AY6763" t="s">
        <v>55</v>
      </c>
    </row>
    <row r="6764" spans="1:51" hidden="1">
      <c r="A6764">
        <v>104093</v>
      </c>
      <c r="B6764" t="s">
        <v>1210</v>
      </c>
      <c r="C6764" t="str">
        <f t="shared" si="564"/>
        <v>06032681006</v>
      </c>
      <c r="D6764" t="str">
        <f t="shared" si="565"/>
        <v>12572900152</v>
      </c>
      <c r="E6764" t="s">
        <v>52</v>
      </c>
      <c r="F6764">
        <v>2014</v>
      </c>
      <c r="G6764">
        <v>25169436</v>
      </c>
      <c r="H6764" s="1">
        <v>41710</v>
      </c>
      <c r="I6764" s="1">
        <v>41724</v>
      </c>
      <c r="J6764" s="1">
        <v>41724</v>
      </c>
      <c r="K6764" s="1">
        <v>41814</v>
      </c>
      <c r="N6764" s="5"/>
      <c r="O6764">
        <v>74.88</v>
      </c>
      <c r="P6764">
        <v>247</v>
      </c>
      <c r="Q6764" s="2">
        <v>18495.36</v>
      </c>
      <c r="R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 s="1">
        <v>42382</v>
      </c>
      <c r="AC6764" t="s">
        <v>53</v>
      </c>
      <c r="AD6764" t="s">
        <v>53</v>
      </c>
      <c r="AK6764">
        <v>0</v>
      </c>
      <c r="AU6764" s="6">
        <v>42061</v>
      </c>
      <c r="AV6764" s="6">
        <v>42061</v>
      </c>
      <c r="AW6764" t="s">
        <v>54</v>
      </c>
      <c r="AX6764" t="str">
        <f t="shared" si="563"/>
        <v>FOR</v>
      </c>
      <c r="AY6764" t="s">
        <v>55</v>
      </c>
    </row>
    <row r="6765" spans="1:51" hidden="1">
      <c r="A6765">
        <v>104093</v>
      </c>
      <c r="B6765" t="s">
        <v>1210</v>
      </c>
      <c r="C6765" t="str">
        <f t="shared" si="564"/>
        <v>06032681006</v>
      </c>
      <c r="D6765" t="str">
        <f t="shared" si="565"/>
        <v>12572900152</v>
      </c>
      <c r="E6765" t="s">
        <v>52</v>
      </c>
      <c r="F6765">
        <v>2014</v>
      </c>
      <c r="G6765">
        <v>25169437</v>
      </c>
      <c r="H6765" s="1">
        <v>41710</v>
      </c>
      <c r="I6765" s="1">
        <v>41724</v>
      </c>
      <c r="J6765" s="1">
        <v>41724</v>
      </c>
      <c r="K6765" s="1">
        <v>41814</v>
      </c>
      <c r="N6765" s="5"/>
      <c r="O6765">
        <v>74.88</v>
      </c>
      <c r="P6765">
        <v>247</v>
      </c>
      <c r="Q6765" s="2">
        <v>18495.36</v>
      </c>
      <c r="R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 s="1">
        <v>42382</v>
      </c>
      <c r="AC6765" t="s">
        <v>53</v>
      </c>
      <c r="AD6765" t="s">
        <v>53</v>
      </c>
      <c r="AK6765">
        <v>0</v>
      </c>
      <c r="AU6765" s="6">
        <v>42061</v>
      </c>
      <c r="AV6765" s="6">
        <v>42061</v>
      </c>
      <c r="AW6765" t="s">
        <v>54</v>
      </c>
      <c r="AX6765" t="str">
        <f t="shared" si="563"/>
        <v>FOR</v>
      </c>
      <c r="AY6765" t="s">
        <v>55</v>
      </c>
    </row>
    <row r="6766" spans="1:51" hidden="1">
      <c r="A6766">
        <v>104093</v>
      </c>
      <c r="B6766" t="s">
        <v>1210</v>
      </c>
      <c r="C6766" t="str">
        <f t="shared" si="564"/>
        <v>06032681006</v>
      </c>
      <c r="D6766" t="str">
        <f t="shared" si="565"/>
        <v>12572900152</v>
      </c>
      <c r="E6766" t="s">
        <v>52</v>
      </c>
      <c r="F6766">
        <v>2014</v>
      </c>
      <c r="G6766">
        <v>25169855</v>
      </c>
      <c r="H6766" s="1">
        <v>41711</v>
      </c>
      <c r="I6766" s="1">
        <v>41730</v>
      </c>
      <c r="J6766" s="1">
        <v>41730</v>
      </c>
      <c r="K6766" s="1">
        <v>41820</v>
      </c>
      <c r="N6766" s="5"/>
      <c r="O6766">
        <v>468</v>
      </c>
      <c r="P6766">
        <v>241</v>
      </c>
      <c r="Q6766" s="2">
        <v>112788</v>
      </c>
      <c r="R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 s="1">
        <v>42382</v>
      </c>
      <c r="AC6766" t="s">
        <v>53</v>
      </c>
      <c r="AD6766" t="s">
        <v>53</v>
      </c>
      <c r="AK6766">
        <v>0</v>
      </c>
      <c r="AU6766" s="6">
        <v>42061</v>
      </c>
      <c r="AV6766" s="6">
        <v>42061</v>
      </c>
      <c r="AW6766" t="s">
        <v>54</v>
      </c>
      <c r="AX6766" t="str">
        <f t="shared" si="563"/>
        <v>FOR</v>
      </c>
      <c r="AY6766" t="s">
        <v>55</v>
      </c>
    </row>
    <row r="6767" spans="1:51" hidden="1">
      <c r="A6767">
        <v>104093</v>
      </c>
      <c r="B6767" t="s">
        <v>1210</v>
      </c>
      <c r="C6767" t="str">
        <f t="shared" si="564"/>
        <v>06032681006</v>
      </c>
      <c r="D6767" t="str">
        <f t="shared" si="565"/>
        <v>12572900152</v>
      </c>
      <c r="E6767" t="s">
        <v>52</v>
      </c>
      <c r="F6767">
        <v>2014</v>
      </c>
      <c r="G6767">
        <v>25169973</v>
      </c>
      <c r="H6767" s="1">
        <v>41712</v>
      </c>
      <c r="I6767" s="1">
        <v>41737</v>
      </c>
      <c r="J6767" s="1">
        <v>41737</v>
      </c>
      <c r="K6767" s="1">
        <v>41827</v>
      </c>
      <c r="N6767" s="5"/>
      <c r="O6767">
        <v>926.64</v>
      </c>
      <c r="P6767">
        <v>234</v>
      </c>
      <c r="Q6767" s="2">
        <v>216833.76</v>
      </c>
      <c r="R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 s="1">
        <v>42382</v>
      </c>
      <c r="AC6767" t="s">
        <v>53</v>
      </c>
      <c r="AD6767" t="s">
        <v>53</v>
      </c>
      <c r="AK6767">
        <v>0</v>
      </c>
      <c r="AU6767" s="6">
        <v>42061</v>
      </c>
      <c r="AV6767" s="6">
        <v>42061</v>
      </c>
      <c r="AW6767" t="s">
        <v>54</v>
      </c>
      <c r="AX6767" t="str">
        <f t="shared" si="563"/>
        <v>FOR</v>
      </c>
      <c r="AY6767" t="s">
        <v>55</v>
      </c>
    </row>
    <row r="6768" spans="1:51" hidden="1">
      <c r="A6768">
        <v>104093</v>
      </c>
      <c r="B6768" t="s">
        <v>1210</v>
      </c>
      <c r="C6768" t="str">
        <f t="shared" si="564"/>
        <v>06032681006</v>
      </c>
      <c r="D6768" t="str">
        <f t="shared" si="565"/>
        <v>12572900152</v>
      </c>
      <c r="E6768" t="s">
        <v>52</v>
      </c>
      <c r="F6768">
        <v>2014</v>
      </c>
      <c r="G6768">
        <v>25169974</v>
      </c>
      <c r="H6768" s="1">
        <v>41712</v>
      </c>
      <c r="I6768" s="1">
        <v>41737</v>
      </c>
      <c r="J6768" s="1">
        <v>41737</v>
      </c>
      <c r="K6768" s="1">
        <v>41827</v>
      </c>
      <c r="N6768" s="5"/>
      <c r="O6768">
        <v>926.64</v>
      </c>
      <c r="P6768">
        <v>234</v>
      </c>
      <c r="Q6768" s="2">
        <v>216833.76</v>
      </c>
      <c r="R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 s="1">
        <v>42382</v>
      </c>
      <c r="AC6768" t="s">
        <v>53</v>
      </c>
      <c r="AD6768" t="s">
        <v>53</v>
      </c>
      <c r="AK6768">
        <v>0</v>
      </c>
      <c r="AU6768" s="6">
        <v>42061</v>
      </c>
      <c r="AV6768" s="6">
        <v>42061</v>
      </c>
      <c r="AW6768" t="s">
        <v>54</v>
      </c>
      <c r="AX6768" t="str">
        <f t="shared" si="563"/>
        <v>FOR</v>
      </c>
      <c r="AY6768" t="s">
        <v>55</v>
      </c>
    </row>
    <row r="6769" spans="1:51" hidden="1">
      <c r="A6769">
        <v>104093</v>
      </c>
      <c r="B6769" t="s">
        <v>1210</v>
      </c>
      <c r="C6769" t="str">
        <f t="shared" si="564"/>
        <v>06032681006</v>
      </c>
      <c r="D6769" t="str">
        <f t="shared" si="565"/>
        <v>12572900152</v>
      </c>
      <c r="E6769" t="s">
        <v>52</v>
      </c>
      <c r="F6769">
        <v>2014</v>
      </c>
      <c r="G6769">
        <v>25169975</v>
      </c>
      <c r="H6769" s="1">
        <v>41712</v>
      </c>
      <c r="I6769" s="1">
        <v>41737</v>
      </c>
      <c r="J6769" s="1">
        <v>41737</v>
      </c>
      <c r="K6769" s="1">
        <v>41827</v>
      </c>
      <c r="N6769" s="5"/>
      <c r="O6769">
        <v>74.88</v>
      </c>
      <c r="P6769">
        <v>234</v>
      </c>
      <c r="Q6769" s="2">
        <v>17521.919999999998</v>
      </c>
      <c r="R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 s="1">
        <v>42382</v>
      </c>
      <c r="AC6769" t="s">
        <v>53</v>
      </c>
      <c r="AD6769" t="s">
        <v>53</v>
      </c>
      <c r="AK6769">
        <v>0</v>
      </c>
      <c r="AU6769" s="6">
        <v>42061</v>
      </c>
      <c r="AV6769" s="6">
        <v>42061</v>
      </c>
      <c r="AW6769" t="s">
        <v>54</v>
      </c>
      <c r="AX6769" t="str">
        <f t="shared" si="563"/>
        <v>FOR</v>
      </c>
      <c r="AY6769" t="s">
        <v>55</v>
      </c>
    </row>
    <row r="6770" spans="1:51" hidden="1">
      <c r="A6770">
        <v>104093</v>
      </c>
      <c r="B6770" t="s">
        <v>1210</v>
      </c>
      <c r="C6770" t="str">
        <f t="shared" si="564"/>
        <v>06032681006</v>
      </c>
      <c r="D6770" t="str">
        <f t="shared" si="565"/>
        <v>12572900152</v>
      </c>
      <c r="E6770" t="s">
        <v>52</v>
      </c>
      <c r="F6770">
        <v>2014</v>
      </c>
      <c r="G6770">
        <v>25169976</v>
      </c>
      <c r="H6770" s="1">
        <v>41712</v>
      </c>
      <c r="I6770" s="1">
        <v>41737</v>
      </c>
      <c r="J6770" s="1">
        <v>41737</v>
      </c>
      <c r="K6770" s="1">
        <v>41827</v>
      </c>
      <c r="N6770" s="5"/>
      <c r="O6770">
        <v>74.88</v>
      </c>
      <c r="P6770">
        <v>234</v>
      </c>
      <c r="Q6770" s="2">
        <v>17521.919999999998</v>
      </c>
      <c r="R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 s="1">
        <v>42382</v>
      </c>
      <c r="AC6770" t="s">
        <v>53</v>
      </c>
      <c r="AD6770" t="s">
        <v>53</v>
      </c>
      <c r="AK6770">
        <v>0</v>
      </c>
      <c r="AU6770" s="6">
        <v>42061</v>
      </c>
      <c r="AV6770" s="6">
        <v>42061</v>
      </c>
      <c r="AW6770" t="s">
        <v>54</v>
      </c>
      <c r="AX6770" t="str">
        <f t="shared" si="563"/>
        <v>FOR</v>
      </c>
      <c r="AY6770" t="s">
        <v>55</v>
      </c>
    </row>
    <row r="6771" spans="1:51" hidden="1">
      <c r="A6771">
        <v>104093</v>
      </c>
      <c r="B6771" t="s">
        <v>1210</v>
      </c>
      <c r="C6771" t="str">
        <f t="shared" si="564"/>
        <v>06032681006</v>
      </c>
      <c r="D6771" t="str">
        <f t="shared" si="565"/>
        <v>12572900152</v>
      </c>
      <c r="E6771" t="s">
        <v>52</v>
      </c>
      <c r="F6771">
        <v>2014</v>
      </c>
      <c r="G6771">
        <v>25169977</v>
      </c>
      <c r="H6771" s="1">
        <v>41712</v>
      </c>
      <c r="I6771" s="1">
        <v>41737</v>
      </c>
      <c r="J6771" s="1">
        <v>41737</v>
      </c>
      <c r="K6771" s="1">
        <v>41827</v>
      </c>
      <c r="N6771" s="5"/>
      <c r="O6771">
        <v>74.88</v>
      </c>
      <c r="P6771">
        <v>234</v>
      </c>
      <c r="Q6771" s="2">
        <v>17521.919999999998</v>
      </c>
      <c r="R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 s="1">
        <v>42382</v>
      </c>
      <c r="AC6771" t="s">
        <v>53</v>
      </c>
      <c r="AD6771" t="s">
        <v>53</v>
      </c>
      <c r="AK6771">
        <v>0</v>
      </c>
      <c r="AU6771" s="6">
        <v>42061</v>
      </c>
      <c r="AV6771" s="6">
        <v>42061</v>
      </c>
      <c r="AW6771" t="s">
        <v>54</v>
      </c>
      <c r="AX6771" t="str">
        <f t="shared" si="563"/>
        <v>FOR</v>
      </c>
      <c r="AY6771" t="s">
        <v>55</v>
      </c>
    </row>
    <row r="6772" spans="1:51" hidden="1">
      <c r="A6772">
        <v>104093</v>
      </c>
      <c r="B6772" t="s">
        <v>1210</v>
      </c>
      <c r="C6772" t="str">
        <f t="shared" si="564"/>
        <v>06032681006</v>
      </c>
      <c r="D6772" t="str">
        <f t="shared" si="565"/>
        <v>12572900152</v>
      </c>
      <c r="E6772" t="s">
        <v>52</v>
      </c>
      <c r="F6772">
        <v>2014</v>
      </c>
      <c r="G6772">
        <v>25169978</v>
      </c>
      <c r="H6772" s="1">
        <v>41712</v>
      </c>
      <c r="I6772" s="1">
        <v>41737</v>
      </c>
      <c r="J6772" s="1">
        <v>41737</v>
      </c>
      <c r="K6772" s="1">
        <v>41827</v>
      </c>
      <c r="N6772" s="5"/>
      <c r="O6772">
        <v>252.72</v>
      </c>
      <c r="P6772">
        <v>234</v>
      </c>
      <c r="Q6772" s="2">
        <v>59136.480000000003</v>
      </c>
      <c r="R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 s="1">
        <v>42382</v>
      </c>
      <c r="AC6772" t="s">
        <v>53</v>
      </c>
      <c r="AD6772" t="s">
        <v>53</v>
      </c>
      <c r="AK6772">
        <v>0</v>
      </c>
      <c r="AU6772" s="6">
        <v>42061</v>
      </c>
      <c r="AV6772" s="6">
        <v>42061</v>
      </c>
      <c r="AW6772" t="s">
        <v>54</v>
      </c>
      <c r="AX6772" t="str">
        <f t="shared" si="563"/>
        <v>FOR</v>
      </c>
      <c r="AY6772" t="s">
        <v>55</v>
      </c>
    </row>
    <row r="6773" spans="1:51" hidden="1">
      <c r="A6773">
        <v>104093</v>
      </c>
      <c r="B6773" t="s">
        <v>1210</v>
      </c>
      <c r="C6773" t="str">
        <f t="shared" si="564"/>
        <v>06032681006</v>
      </c>
      <c r="D6773" t="str">
        <f t="shared" si="565"/>
        <v>12572900152</v>
      </c>
      <c r="E6773" t="s">
        <v>52</v>
      </c>
      <c r="F6773">
        <v>2014</v>
      </c>
      <c r="G6773">
        <v>25169990</v>
      </c>
      <c r="H6773" s="1">
        <v>41712</v>
      </c>
      <c r="I6773" s="1">
        <v>41737</v>
      </c>
      <c r="J6773" s="1">
        <v>41737</v>
      </c>
      <c r="K6773" s="1">
        <v>41827</v>
      </c>
      <c r="N6773" s="5"/>
      <c r="O6773">
        <v>936</v>
      </c>
      <c r="P6773">
        <v>234</v>
      </c>
      <c r="Q6773" s="2">
        <v>219024</v>
      </c>
      <c r="R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 s="1">
        <v>42382</v>
      </c>
      <c r="AC6773" t="s">
        <v>53</v>
      </c>
      <c r="AD6773" t="s">
        <v>53</v>
      </c>
      <c r="AK6773">
        <v>0</v>
      </c>
      <c r="AU6773" s="6">
        <v>42061</v>
      </c>
      <c r="AV6773" s="6">
        <v>42061</v>
      </c>
      <c r="AW6773" t="s">
        <v>54</v>
      </c>
      <c r="AX6773" t="str">
        <f t="shared" si="563"/>
        <v>FOR</v>
      </c>
      <c r="AY6773" t="s">
        <v>55</v>
      </c>
    </row>
    <row r="6774" spans="1:51" hidden="1">
      <c r="A6774">
        <v>104093</v>
      </c>
      <c r="B6774" t="s">
        <v>1210</v>
      </c>
      <c r="C6774" t="str">
        <f t="shared" si="564"/>
        <v>06032681006</v>
      </c>
      <c r="D6774" t="str">
        <f t="shared" si="565"/>
        <v>12572900152</v>
      </c>
      <c r="E6774" t="s">
        <v>52</v>
      </c>
      <c r="F6774">
        <v>2014</v>
      </c>
      <c r="G6774">
        <v>25169991</v>
      </c>
      <c r="H6774" s="1">
        <v>41712</v>
      </c>
      <c r="I6774" s="1">
        <v>41737</v>
      </c>
      <c r="J6774" s="1">
        <v>41737</v>
      </c>
      <c r="K6774" s="1">
        <v>41827</v>
      </c>
      <c r="N6774" s="5"/>
      <c r="O6774">
        <v>936</v>
      </c>
      <c r="P6774">
        <v>234</v>
      </c>
      <c r="Q6774" s="2">
        <v>219024</v>
      </c>
      <c r="R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 s="1">
        <v>42382</v>
      </c>
      <c r="AC6774" t="s">
        <v>53</v>
      </c>
      <c r="AD6774" t="s">
        <v>53</v>
      </c>
      <c r="AK6774">
        <v>0</v>
      </c>
      <c r="AU6774" s="6">
        <v>42061</v>
      </c>
      <c r="AV6774" s="6">
        <v>42061</v>
      </c>
      <c r="AW6774" t="s">
        <v>54</v>
      </c>
      <c r="AX6774" t="str">
        <f t="shared" si="563"/>
        <v>FOR</v>
      </c>
      <c r="AY6774" t="s">
        <v>55</v>
      </c>
    </row>
    <row r="6775" spans="1:51" hidden="1">
      <c r="A6775">
        <v>104093</v>
      </c>
      <c r="B6775" t="s">
        <v>1210</v>
      </c>
      <c r="C6775" t="str">
        <f t="shared" si="564"/>
        <v>06032681006</v>
      </c>
      <c r="D6775" t="str">
        <f t="shared" si="565"/>
        <v>12572900152</v>
      </c>
      <c r="E6775" t="s">
        <v>52</v>
      </c>
      <c r="F6775">
        <v>2014</v>
      </c>
      <c r="G6775">
        <v>25170104</v>
      </c>
      <c r="H6775" s="1">
        <v>41712</v>
      </c>
      <c r="I6775" s="1">
        <v>41737</v>
      </c>
      <c r="J6775" s="1">
        <v>41737</v>
      </c>
      <c r="K6775" s="1">
        <v>41827</v>
      </c>
      <c r="N6775" s="5"/>
      <c r="O6775" s="2">
        <v>3669.12</v>
      </c>
      <c r="P6775">
        <v>234</v>
      </c>
      <c r="Q6775" s="2">
        <v>858574.08</v>
      </c>
      <c r="R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 s="1">
        <v>42382</v>
      </c>
      <c r="AC6775" t="s">
        <v>53</v>
      </c>
      <c r="AD6775" t="s">
        <v>53</v>
      </c>
      <c r="AK6775">
        <v>0</v>
      </c>
      <c r="AU6775" s="6">
        <v>42061</v>
      </c>
      <c r="AV6775" s="6">
        <v>42061</v>
      </c>
      <c r="AW6775" t="s">
        <v>54</v>
      </c>
      <c r="AX6775" t="str">
        <f t="shared" si="563"/>
        <v>FOR</v>
      </c>
      <c r="AY6775" t="s">
        <v>55</v>
      </c>
    </row>
    <row r="6776" spans="1:51" hidden="1">
      <c r="A6776">
        <v>104093</v>
      </c>
      <c r="B6776" t="s">
        <v>1210</v>
      </c>
      <c r="C6776" t="str">
        <f t="shared" si="564"/>
        <v>06032681006</v>
      </c>
      <c r="D6776" t="str">
        <f t="shared" si="565"/>
        <v>12572900152</v>
      </c>
      <c r="E6776" t="s">
        <v>52</v>
      </c>
      <c r="F6776">
        <v>2014</v>
      </c>
      <c r="G6776">
        <v>25170105</v>
      </c>
      <c r="H6776" s="1">
        <v>41712</v>
      </c>
      <c r="I6776" s="1">
        <v>41737</v>
      </c>
      <c r="J6776" s="1">
        <v>41737</v>
      </c>
      <c r="K6776" s="1">
        <v>41827</v>
      </c>
      <c r="N6776" s="5"/>
      <c r="O6776" s="2">
        <v>1863.68</v>
      </c>
      <c r="P6776">
        <v>234</v>
      </c>
      <c r="Q6776" s="2">
        <v>436101.12</v>
      </c>
      <c r="R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 s="1">
        <v>42382</v>
      </c>
      <c r="AC6776" t="s">
        <v>53</v>
      </c>
      <c r="AD6776" t="s">
        <v>53</v>
      </c>
      <c r="AK6776">
        <v>0</v>
      </c>
      <c r="AU6776" s="6">
        <v>42061</v>
      </c>
      <c r="AV6776" s="6">
        <v>42061</v>
      </c>
      <c r="AW6776" t="s">
        <v>54</v>
      </c>
      <c r="AX6776" t="str">
        <f t="shared" si="563"/>
        <v>FOR</v>
      </c>
      <c r="AY6776" t="s">
        <v>55</v>
      </c>
    </row>
    <row r="6777" spans="1:51" hidden="1">
      <c r="A6777">
        <v>104093</v>
      </c>
      <c r="B6777" t="s">
        <v>1210</v>
      </c>
      <c r="C6777" t="str">
        <f t="shared" si="564"/>
        <v>06032681006</v>
      </c>
      <c r="D6777" t="str">
        <f t="shared" si="565"/>
        <v>12572900152</v>
      </c>
      <c r="E6777" t="s">
        <v>52</v>
      </c>
      <c r="F6777">
        <v>2014</v>
      </c>
      <c r="G6777">
        <v>25170348</v>
      </c>
      <c r="H6777" s="1">
        <v>41715</v>
      </c>
      <c r="I6777" s="1">
        <v>41737</v>
      </c>
      <c r="J6777" s="1">
        <v>41737</v>
      </c>
      <c r="K6777" s="1">
        <v>41827</v>
      </c>
      <c r="N6777" s="5"/>
      <c r="O6777">
        <v>232.96</v>
      </c>
      <c r="P6777">
        <v>234</v>
      </c>
      <c r="Q6777" s="2">
        <v>54512.639999999999</v>
      </c>
      <c r="R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 s="1">
        <v>42382</v>
      </c>
      <c r="AC6777" t="s">
        <v>53</v>
      </c>
      <c r="AD6777" t="s">
        <v>53</v>
      </c>
      <c r="AK6777">
        <v>0</v>
      </c>
      <c r="AU6777" s="6">
        <v>42061</v>
      </c>
      <c r="AV6777" s="6">
        <v>42061</v>
      </c>
      <c r="AW6777" t="s">
        <v>54</v>
      </c>
      <c r="AX6777" t="str">
        <f t="shared" si="563"/>
        <v>FOR</v>
      </c>
      <c r="AY6777" t="s">
        <v>55</v>
      </c>
    </row>
    <row r="6778" spans="1:51" hidden="1">
      <c r="A6778">
        <v>104093</v>
      </c>
      <c r="B6778" t="s">
        <v>1210</v>
      </c>
      <c r="C6778" t="str">
        <f t="shared" si="564"/>
        <v>06032681006</v>
      </c>
      <c r="D6778" t="str">
        <f t="shared" si="565"/>
        <v>12572900152</v>
      </c>
      <c r="E6778" t="s">
        <v>52</v>
      </c>
      <c r="F6778">
        <v>2014</v>
      </c>
      <c r="G6778">
        <v>25170783</v>
      </c>
      <c r="H6778" s="1">
        <v>41717</v>
      </c>
      <c r="I6778" s="1">
        <v>41736</v>
      </c>
      <c r="J6778" s="1">
        <v>41736</v>
      </c>
      <c r="K6778" s="1">
        <v>41826</v>
      </c>
      <c r="N6778" s="5"/>
      <c r="O6778">
        <v>403.42</v>
      </c>
      <c r="P6778">
        <v>235</v>
      </c>
      <c r="Q6778" s="2">
        <v>94803.7</v>
      </c>
      <c r="R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 s="1">
        <v>42382</v>
      </c>
      <c r="AC6778" t="s">
        <v>53</v>
      </c>
      <c r="AD6778" t="s">
        <v>53</v>
      </c>
      <c r="AK6778">
        <v>0</v>
      </c>
      <c r="AU6778" s="6">
        <v>42061</v>
      </c>
      <c r="AV6778" s="6">
        <v>42061</v>
      </c>
      <c r="AW6778" t="s">
        <v>54</v>
      </c>
      <c r="AX6778" t="str">
        <f t="shared" si="563"/>
        <v>FOR</v>
      </c>
      <c r="AY6778" t="s">
        <v>55</v>
      </c>
    </row>
    <row r="6779" spans="1:51" hidden="1">
      <c r="A6779">
        <v>104093</v>
      </c>
      <c r="B6779" t="s">
        <v>1210</v>
      </c>
      <c r="C6779" t="str">
        <f t="shared" si="564"/>
        <v>06032681006</v>
      </c>
      <c r="D6779" t="str">
        <f t="shared" si="565"/>
        <v>12572900152</v>
      </c>
      <c r="E6779" t="s">
        <v>52</v>
      </c>
      <c r="F6779">
        <v>2014</v>
      </c>
      <c r="G6779">
        <v>25170969</v>
      </c>
      <c r="H6779" s="1">
        <v>41717</v>
      </c>
      <c r="I6779" s="1">
        <v>41736</v>
      </c>
      <c r="J6779" s="1">
        <v>41736</v>
      </c>
      <c r="K6779" s="1">
        <v>41826</v>
      </c>
      <c r="N6779" s="5"/>
      <c r="O6779" s="2">
        <v>1113.8399999999999</v>
      </c>
      <c r="P6779">
        <v>235</v>
      </c>
      <c r="Q6779" s="2">
        <v>261752.4</v>
      </c>
      <c r="R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 s="1">
        <v>42382</v>
      </c>
      <c r="AC6779" t="s">
        <v>53</v>
      </c>
      <c r="AD6779" t="s">
        <v>53</v>
      </c>
      <c r="AK6779">
        <v>0</v>
      </c>
      <c r="AU6779" s="6">
        <v>42061</v>
      </c>
      <c r="AV6779" s="6">
        <v>42061</v>
      </c>
      <c r="AW6779" t="s">
        <v>54</v>
      </c>
      <c r="AX6779" t="str">
        <f t="shared" si="563"/>
        <v>FOR</v>
      </c>
      <c r="AY6779" t="s">
        <v>55</v>
      </c>
    </row>
    <row r="6780" spans="1:51" hidden="1">
      <c r="A6780">
        <v>104093</v>
      </c>
      <c r="B6780" t="s">
        <v>1210</v>
      </c>
      <c r="C6780" t="str">
        <f t="shared" si="564"/>
        <v>06032681006</v>
      </c>
      <c r="D6780" t="str">
        <f t="shared" si="565"/>
        <v>12572900152</v>
      </c>
      <c r="E6780" t="s">
        <v>52</v>
      </c>
      <c r="F6780">
        <v>2014</v>
      </c>
      <c r="G6780">
        <v>25171096</v>
      </c>
      <c r="H6780" s="1">
        <v>41718</v>
      </c>
      <c r="I6780" s="1">
        <v>41737</v>
      </c>
      <c r="J6780" s="1">
        <v>41737</v>
      </c>
      <c r="K6780" s="1">
        <v>41827</v>
      </c>
      <c r="N6780" s="5"/>
      <c r="O6780">
        <v>468.48</v>
      </c>
      <c r="P6780">
        <v>234</v>
      </c>
      <c r="Q6780" s="2">
        <v>109624.32000000001</v>
      </c>
      <c r="R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 s="1">
        <v>42382</v>
      </c>
      <c r="AC6780" t="s">
        <v>53</v>
      </c>
      <c r="AD6780" t="s">
        <v>53</v>
      </c>
      <c r="AK6780">
        <v>0</v>
      </c>
      <c r="AU6780" s="6">
        <v>42061</v>
      </c>
      <c r="AV6780" s="6">
        <v>42061</v>
      </c>
      <c r="AW6780" t="s">
        <v>54</v>
      </c>
      <c r="AX6780" t="str">
        <f t="shared" si="563"/>
        <v>FOR</v>
      </c>
      <c r="AY6780" t="s">
        <v>55</v>
      </c>
    </row>
    <row r="6781" spans="1:51" hidden="1">
      <c r="A6781">
        <v>104093</v>
      </c>
      <c r="B6781" t="s">
        <v>1210</v>
      </c>
      <c r="C6781" t="str">
        <f t="shared" si="564"/>
        <v>06032681006</v>
      </c>
      <c r="D6781" t="str">
        <f t="shared" si="565"/>
        <v>12572900152</v>
      </c>
      <c r="E6781" t="s">
        <v>52</v>
      </c>
      <c r="F6781">
        <v>2014</v>
      </c>
      <c r="G6781">
        <v>25171106</v>
      </c>
      <c r="H6781" s="1">
        <v>41718</v>
      </c>
      <c r="I6781" s="1">
        <v>41737</v>
      </c>
      <c r="J6781" s="1">
        <v>41737</v>
      </c>
      <c r="K6781" s="1">
        <v>41827</v>
      </c>
      <c r="N6781" s="5"/>
      <c r="O6781">
        <v>232.96</v>
      </c>
      <c r="P6781">
        <v>234</v>
      </c>
      <c r="Q6781" s="2">
        <v>54512.639999999999</v>
      </c>
      <c r="R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 s="1">
        <v>42382</v>
      </c>
      <c r="AC6781" t="s">
        <v>53</v>
      </c>
      <c r="AD6781" t="s">
        <v>53</v>
      </c>
      <c r="AK6781">
        <v>0</v>
      </c>
      <c r="AU6781" s="6">
        <v>42061</v>
      </c>
      <c r="AV6781" s="6">
        <v>42061</v>
      </c>
      <c r="AW6781" t="s">
        <v>54</v>
      </c>
      <c r="AX6781" t="str">
        <f t="shared" si="563"/>
        <v>FOR</v>
      </c>
      <c r="AY6781" t="s">
        <v>55</v>
      </c>
    </row>
    <row r="6782" spans="1:51" hidden="1">
      <c r="A6782">
        <v>104093</v>
      </c>
      <c r="B6782" t="s">
        <v>1210</v>
      </c>
      <c r="C6782" t="str">
        <f t="shared" si="564"/>
        <v>06032681006</v>
      </c>
      <c r="D6782" t="str">
        <f t="shared" si="565"/>
        <v>12572900152</v>
      </c>
      <c r="E6782" t="s">
        <v>52</v>
      </c>
      <c r="F6782">
        <v>2014</v>
      </c>
      <c r="G6782">
        <v>25171170</v>
      </c>
      <c r="H6782" s="1">
        <v>41718</v>
      </c>
      <c r="I6782" s="1">
        <v>41737</v>
      </c>
      <c r="J6782" s="1">
        <v>41737</v>
      </c>
      <c r="K6782" s="1">
        <v>41827</v>
      </c>
      <c r="N6782" s="5"/>
      <c r="O6782" s="2">
        <v>2227.6799999999998</v>
      </c>
      <c r="P6782">
        <v>234</v>
      </c>
      <c r="Q6782" s="2">
        <v>521277.12</v>
      </c>
      <c r="R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 s="1">
        <v>42382</v>
      </c>
      <c r="AC6782" t="s">
        <v>53</v>
      </c>
      <c r="AD6782" t="s">
        <v>53</v>
      </c>
      <c r="AK6782">
        <v>0</v>
      </c>
      <c r="AU6782" s="6">
        <v>42061</v>
      </c>
      <c r="AV6782" s="6">
        <v>42061</v>
      </c>
      <c r="AW6782" t="s">
        <v>54</v>
      </c>
      <c r="AX6782" t="str">
        <f t="shared" si="563"/>
        <v>FOR</v>
      </c>
      <c r="AY6782" t="s">
        <v>55</v>
      </c>
    </row>
    <row r="6783" spans="1:51" hidden="1">
      <c r="A6783">
        <v>104093</v>
      </c>
      <c r="B6783" t="s">
        <v>1210</v>
      </c>
      <c r="C6783" t="str">
        <f t="shared" si="564"/>
        <v>06032681006</v>
      </c>
      <c r="D6783" t="str">
        <f t="shared" si="565"/>
        <v>12572900152</v>
      </c>
      <c r="E6783" t="s">
        <v>52</v>
      </c>
      <c r="F6783">
        <v>2014</v>
      </c>
      <c r="G6783">
        <v>25171634</v>
      </c>
      <c r="H6783" s="1">
        <v>41722</v>
      </c>
      <c r="I6783" s="1">
        <v>41737</v>
      </c>
      <c r="J6783" s="1">
        <v>41737</v>
      </c>
      <c r="K6783" s="1">
        <v>41827</v>
      </c>
      <c r="N6783" s="5"/>
      <c r="O6783">
        <v>232.96</v>
      </c>
      <c r="P6783">
        <v>234</v>
      </c>
      <c r="Q6783" s="2">
        <v>54512.639999999999</v>
      </c>
      <c r="R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 s="1">
        <v>42382</v>
      </c>
      <c r="AC6783" t="s">
        <v>53</v>
      </c>
      <c r="AD6783" t="s">
        <v>53</v>
      </c>
      <c r="AK6783">
        <v>0</v>
      </c>
      <c r="AU6783" s="6">
        <v>42061</v>
      </c>
      <c r="AV6783" s="6">
        <v>42061</v>
      </c>
      <c r="AW6783" t="s">
        <v>54</v>
      </c>
      <c r="AX6783" t="str">
        <f t="shared" si="563"/>
        <v>FOR</v>
      </c>
      <c r="AY6783" t="s">
        <v>55</v>
      </c>
    </row>
    <row r="6784" spans="1:51" hidden="1">
      <c r="A6784">
        <v>104093</v>
      </c>
      <c r="B6784" t="s">
        <v>1210</v>
      </c>
      <c r="C6784" t="str">
        <f t="shared" si="564"/>
        <v>06032681006</v>
      </c>
      <c r="D6784" t="str">
        <f t="shared" si="565"/>
        <v>12572900152</v>
      </c>
      <c r="E6784" t="s">
        <v>52</v>
      </c>
      <c r="F6784">
        <v>2014</v>
      </c>
      <c r="G6784">
        <v>25171791</v>
      </c>
      <c r="H6784" s="1">
        <v>41723</v>
      </c>
      <c r="I6784" s="1">
        <v>41737</v>
      </c>
      <c r="J6784" s="1">
        <v>41737</v>
      </c>
      <c r="K6784" s="1">
        <v>41827</v>
      </c>
      <c r="N6784" s="5"/>
      <c r="O6784">
        <v>465.92</v>
      </c>
      <c r="P6784">
        <v>234</v>
      </c>
      <c r="Q6784" s="2">
        <v>109025.28</v>
      </c>
      <c r="R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 s="1">
        <v>42382</v>
      </c>
      <c r="AC6784" t="s">
        <v>53</v>
      </c>
      <c r="AD6784" t="s">
        <v>53</v>
      </c>
      <c r="AK6784">
        <v>0</v>
      </c>
      <c r="AU6784" s="6">
        <v>42061</v>
      </c>
      <c r="AV6784" s="6">
        <v>42061</v>
      </c>
      <c r="AW6784" t="s">
        <v>54</v>
      </c>
      <c r="AX6784" t="str">
        <f t="shared" si="563"/>
        <v>FOR</v>
      </c>
      <c r="AY6784" t="s">
        <v>55</v>
      </c>
    </row>
    <row r="6785" spans="1:51" hidden="1">
      <c r="A6785">
        <v>104093</v>
      </c>
      <c r="B6785" t="s">
        <v>1210</v>
      </c>
      <c r="C6785" t="str">
        <f t="shared" si="564"/>
        <v>06032681006</v>
      </c>
      <c r="D6785" t="str">
        <f t="shared" si="565"/>
        <v>12572900152</v>
      </c>
      <c r="E6785" t="s">
        <v>52</v>
      </c>
      <c r="F6785">
        <v>2014</v>
      </c>
      <c r="G6785">
        <v>25171792</v>
      </c>
      <c r="H6785" s="1">
        <v>41723</v>
      </c>
      <c r="I6785" s="1">
        <v>41737</v>
      </c>
      <c r="J6785" s="1">
        <v>41737</v>
      </c>
      <c r="K6785" s="1">
        <v>41827</v>
      </c>
      <c r="N6785" s="5"/>
      <c r="O6785">
        <v>465.92</v>
      </c>
      <c r="P6785">
        <v>234</v>
      </c>
      <c r="Q6785" s="2">
        <v>109025.28</v>
      </c>
      <c r="R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 s="1">
        <v>42382</v>
      </c>
      <c r="AC6785" t="s">
        <v>53</v>
      </c>
      <c r="AD6785" t="s">
        <v>53</v>
      </c>
      <c r="AK6785">
        <v>0</v>
      </c>
      <c r="AU6785" s="6">
        <v>42061</v>
      </c>
      <c r="AV6785" s="6">
        <v>42061</v>
      </c>
      <c r="AW6785" t="s">
        <v>54</v>
      </c>
      <c r="AX6785" t="str">
        <f t="shared" si="563"/>
        <v>FOR</v>
      </c>
      <c r="AY6785" t="s">
        <v>55</v>
      </c>
    </row>
    <row r="6786" spans="1:51" hidden="1">
      <c r="A6786">
        <v>104093</v>
      </c>
      <c r="B6786" t="s">
        <v>1210</v>
      </c>
      <c r="C6786" t="str">
        <f t="shared" si="564"/>
        <v>06032681006</v>
      </c>
      <c r="D6786" t="str">
        <f t="shared" si="565"/>
        <v>12572900152</v>
      </c>
      <c r="E6786" t="s">
        <v>52</v>
      </c>
      <c r="F6786">
        <v>2014</v>
      </c>
      <c r="G6786">
        <v>25172249</v>
      </c>
      <c r="H6786" s="1">
        <v>41724</v>
      </c>
      <c r="I6786" s="1">
        <v>41737</v>
      </c>
      <c r="J6786" s="1">
        <v>41737</v>
      </c>
      <c r="K6786" s="1">
        <v>41827</v>
      </c>
      <c r="N6786" s="5"/>
      <c r="O6786">
        <v>582.4</v>
      </c>
      <c r="P6786">
        <v>234</v>
      </c>
      <c r="Q6786" s="2">
        <v>136281.60000000001</v>
      </c>
      <c r="R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 s="1">
        <v>42382</v>
      </c>
      <c r="AC6786" t="s">
        <v>53</v>
      </c>
      <c r="AD6786" t="s">
        <v>53</v>
      </c>
      <c r="AK6786">
        <v>0</v>
      </c>
      <c r="AU6786" s="6">
        <v>42061</v>
      </c>
      <c r="AV6786" s="6">
        <v>42061</v>
      </c>
      <c r="AW6786" t="s">
        <v>54</v>
      </c>
      <c r="AX6786" t="str">
        <f t="shared" si="563"/>
        <v>FOR</v>
      </c>
      <c r="AY6786" t="s">
        <v>55</v>
      </c>
    </row>
    <row r="6787" spans="1:51" hidden="1">
      <c r="A6787">
        <v>104093</v>
      </c>
      <c r="B6787" t="s">
        <v>1210</v>
      </c>
      <c r="C6787" t="str">
        <f t="shared" si="564"/>
        <v>06032681006</v>
      </c>
      <c r="D6787" t="str">
        <f t="shared" si="565"/>
        <v>12572900152</v>
      </c>
      <c r="E6787" t="s">
        <v>52</v>
      </c>
      <c r="F6787">
        <v>2014</v>
      </c>
      <c r="G6787">
        <v>25172606</v>
      </c>
      <c r="H6787" s="1">
        <v>41725</v>
      </c>
      <c r="I6787" s="1">
        <v>41739</v>
      </c>
      <c r="J6787" s="1">
        <v>41739</v>
      </c>
      <c r="K6787" s="1">
        <v>41829</v>
      </c>
      <c r="N6787" s="5"/>
      <c r="O6787">
        <v>988.2</v>
      </c>
      <c r="P6787">
        <v>210</v>
      </c>
      <c r="Q6787" s="2">
        <v>207522</v>
      </c>
      <c r="R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 s="1">
        <v>42382</v>
      </c>
      <c r="AC6787" t="s">
        <v>53</v>
      </c>
      <c r="AD6787" t="s">
        <v>53</v>
      </c>
      <c r="AK6787">
        <v>0</v>
      </c>
      <c r="AU6787" s="6">
        <v>42039</v>
      </c>
      <c r="AV6787" s="6">
        <v>42039</v>
      </c>
      <c r="AW6787" t="s">
        <v>54</v>
      </c>
      <c r="AX6787" t="str">
        <f t="shared" ref="AX6787:AX6850" si="566">"FOR"</f>
        <v>FOR</v>
      </c>
      <c r="AY6787" t="s">
        <v>55</v>
      </c>
    </row>
    <row r="6788" spans="1:51" hidden="1">
      <c r="A6788">
        <v>104093</v>
      </c>
      <c r="B6788" t="s">
        <v>1210</v>
      </c>
      <c r="C6788" t="str">
        <f t="shared" si="564"/>
        <v>06032681006</v>
      </c>
      <c r="D6788" t="str">
        <f t="shared" si="565"/>
        <v>12572900152</v>
      </c>
      <c r="E6788" t="s">
        <v>52</v>
      </c>
      <c r="F6788">
        <v>2014</v>
      </c>
      <c r="G6788">
        <v>25172634</v>
      </c>
      <c r="H6788" s="1">
        <v>41725</v>
      </c>
      <c r="I6788" s="1">
        <v>41737</v>
      </c>
      <c r="J6788" s="1">
        <v>41737</v>
      </c>
      <c r="K6788" s="1">
        <v>41827</v>
      </c>
      <c r="N6788" s="5"/>
      <c r="O6788" s="2">
        <v>3403.8</v>
      </c>
      <c r="P6788">
        <v>234</v>
      </c>
      <c r="Q6788" s="2">
        <v>796489.2</v>
      </c>
      <c r="R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 s="1">
        <v>42382</v>
      </c>
      <c r="AC6788" t="s">
        <v>53</v>
      </c>
      <c r="AD6788" t="s">
        <v>53</v>
      </c>
      <c r="AK6788">
        <v>0</v>
      </c>
      <c r="AU6788" s="6">
        <v>42061</v>
      </c>
      <c r="AV6788" s="6">
        <v>42061</v>
      </c>
      <c r="AW6788" t="s">
        <v>54</v>
      </c>
      <c r="AX6788" t="str">
        <f t="shared" si="566"/>
        <v>FOR</v>
      </c>
      <c r="AY6788" t="s">
        <v>55</v>
      </c>
    </row>
    <row r="6789" spans="1:51" hidden="1">
      <c r="A6789">
        <v>104093</v>
      </c>
      <c r="B6789" t="s">
        <v>1210</v>
      </c>
      <c r="C6789" t="str">
        <f t="shared" si="564"/>
        <v>06032681006</v>
      </c>
      <c r="D6789" t="str">
        <f t="shared" si="565"/>
        <v>12572900152</v>
      </c>
      <c r="E6789" t="s">
        <v>52</v>
      </c>
      <c r="F6789">
        <v>2014</v>
      </c>
      <c r="G6789">
        <v>25172645</v>
      </c>
      <c r="H6789" s="1">
        <v>41725</v>
      </c>
      <c r="I6789" s="1">
        <v>41737</v>
      </c>
      <c r="J6789" s="1">
        <v>41737</v>
      </c>
      <c r="K6789" s="1">
        <v>41827</v>
      </c>
      <c r="N6789" s="5"/>
      <c r="O6789" s="2">
        <v>1966.64</v>
      </c>
      <c r="P6789">
        <v>234</v>
      </c>
      <c r="Q6789" s="2">
        <v>460193.76</v>
      </c>
      <c r="R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 s="1">
        <v>42382</v>
      </c>
      <c r="AC6789" t="s">
        <v>53</v>
      </c>
      <c r="AD6789" t="s">
        <v>53</v>
      </c>
      <c r="AK6789">
        <v>0</v>
      </c>
      <c r="AU6789" s="6">
        <v>42061</v>
      </c>
      <c r="AV6789" s="6">
        <v>42061</v>
      </c>
      <c r="AW6789" t="s">
        <v>54</v>
      </c>
      <c r="AX6789" t="str">
        <f t="shared" si="566"/>
        <v>FOR</v>
      </c>
      <c r="AY6789" t="s">
        <v>55</v>
      </c>
    </row>
    <row r="6790" spans="1:51" hidden="1">
      <c r="A6790">
        <v>104093</v>
      </c>
      <c r="B6790" t="s">
        <v>1210</v>
      </c>
      <c r="C6790" t="str">
        <f t="shared" si="564"/>
        <v>06032681006</v>
      </c>
      <c r="D6790" t="str">
        <f t="shared" si="565"/>
        <v>12572900152</v>
      </c>
      <c r="E6790" t="s">
        <v>52</v>
      </c>
      <c r="F6790">
        <v>2014</v>
      </c>
      <c r="G6790">
        <v>25172820</v>
      </c>
      <c r="H6790" s="1">
        <v>41726</v>
      </c>
      <c r="I6790" s="1">
        <v>41737</v>
      </c>
      <c r="J6790" s="1">
        <v>41737</v>
      </c>
      <c r="K6790" s="1">
        <v>41827</v>
      </c>
      <c r="N6790" s="5"/>
      <c r="O6790" s="2">
        <v>3801.2</v>
      </c>
      <c r="P6790">
        <v>234</v>
      </c>
      <c r="Q6790" s="2">
        <v>889480.8</v>
      </c>
      <c r="R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 s="1">
        <v>42382</v>
      </c>
      <c r="AC6790" t="s">
        <v>53</v>
      </c>
      <c r="AD6790" t="s">
        <v>53</v>
      </c>
      <c r="AK6790">
        <v>0</v>
      </c>
      <c r="AU6790" s="6">
        <v>42061</v>
      </c>
      <c r="AV6790" s="6">
        <v>42061</v>
      </c>
      <c r="AW6790" t="s">
        <v>54</v>
      </c>
      <c r="AX6790" t="str">
        <f t="shared" si="566"/>
        <v>FOR</v>
      </c>
      <c r="AY6790" t="s">
        <v>55</v>
      </c>
    </row>
    <row r="6791" spans="1:51" hidden="1">
      <c r="A6791">
        <v>104093</v>
      </c>
      <c r="B6791" t="s">
        <v>1210</v>
      </c>
      <c r="C6791" t="str">
        <f t="shared" si="564"/>
        <v>06032681006</v>
      </c>
      <c r="D6791" t="str">
        <f t="shared" si="565"/>
        <v>12572900152</v>
      </c>
      <c r="E6791" t="s">
        <v>52</v>
      </c>
      <c r="F6791">
        <v>2014</v>
      </c>
      <c r="G6791">
        <v>25173030</v>
      </c>
      <c r="H6791" s="1">
        <v>41726</v>
      </c>
      <c r="I6791" s="1">
        <v>41737</v>
      </c>
      <c r="J6791" s="1">
        <v>41737</v>
      </c>
      <c r="K6791" s="1">
        <v>41827</v>
      </c>
      <c r="N6791" s="5"/>
      <c r="O6791">
        <v>711.36</v>
      </c>
      <c r="P6791">
        <v>234</v>
      </c>
      <c r="Q6791" s="2">
        <v>166458.23999999999</v>
      </c>
      <c r="R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 s="1">
        <v>42382</v>
      </c>
      <c r="AC6791" t="s">
        <v>53</v>
      </c>
      <c r="AD6791" t="s">
        <v>53</v>
      </c>
      <c r="AK6791">
        <v>0</v>
      </c>
      <c r="AU6791" s="6">
        <v>42061</v>
      </c>
      <c r="AV6791" s="6">
        <v>42061</v>
      </c>
      <c r="AW6791" t="s">
        <v>54</v>
      </c>
      <c r="AX6791" t="str">
        <f t="shared" si="566"/>
        <v>FOR</v>
      </c>
      <c r="AY6791" t="s">
        <v>55</v>
      </c>
    </row>
    <row r="6792" spans="1:51" hidden="1">
      <c r="A6792">
        <v>104093</v>
      </c>
      <c r="B6792" t="s">
        <v>1210</v>
      </c>
      <c r="C6792" t="str">
        <f t="shared" si="564"/>
        <v>06032681006</v>
      </c>
      <c r="D6792" t="str">
        <f t="shared" si="565"/>
        <v>12572900152</v>
      </c>
      <c r="E6792" t="s">
        <v>52</v>
      </c>
      <c r="F6792">
        <v>2014</v>
      </c>
      <c r="G6792">
        <v>25173206</v>
      </c>
      <c r="H6792" s="1">
        <v>41729</v>
      </c>
      <c r="I6792" s="1">
        <v>41739</v>
      </c>
      <c r="J6792" s="1">
        <v>41739</v>
      </c>
      <c r="K6792" s="1">
        <v>41829</v>
      </c>
      <c r="N6792" s="5"/>
      <c r="O6792">
        <v>74.88</v>
      </c>
      <c r="P6792">
        <v>232</v>
      </c>
      <c r="Q6792" s="2">
        <v>17372.16</v>
      </c>
      <c r="R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 s="1">
        <v>42382</v>
      </c>
      <c r="AC6792" t="s">
        <v>53</v>
      </c>
      <c r="AD6792" t="s">
        <v>53</v>
      </c>
      <c r="AK6792">
        <v>0</v>
      </c>
      <c r="AU6792" s="6">
        <v>42061</v>
      </c>
      <c r="AV6792" s="6">
        <v>42061</v>
      </c>
      <c r="AW6792" t="s">
        <v>54</v>
      </c>
      <c r="AX6792" t="str">
        <f t="shared" si="566"/>
        <v>FOR</v>
      </c>
      <c r="AY6792" t="s">
        <v>55</v>
      </c>
    </row>
    <row r="6793" spans="1:51" hidden="1">
      <c r="A6793">
        <v>104093</v>
      </c>
      <c r="B6793" t="s">
        <v>1210</v>
      </c>
      <c r="C6793" t="str">
        <f t="shared" si="564"/>
        <v>06032681006</v>
      </c>
      <c r="D6793" t="str">
        <f t="shared" si="565"/>
        <v>12572900152</v>
      </c>
      <c r="E6793" t="s">
        <v>52</v>
      </c>
      <c r="F6793">
        <v>2014</v>
      </c>
      <c r="G6793">
        <v>25173207</v>
      </c>
      <c r="H6793" s="1">
        <v>41729</v>
      </c>
      <c r="I6793" s="1">
        <v>41739</v>
      </c>
      <c r="J6793" s="1">
        <v>41739</v>
      </c>
      <c r="K6793" s="1">
        <v>41829</v>
      </c>
      <c r="N6793" s="5"/>
      <c r="O6793">
        <v>707.62</v>
      </c>
      <c r="P6793">
        <v>232</v>
      </c>
      <c r="Q6793" s="2">
        <v>164167.84</v>
      </c>
      <c r="R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 s="1">
        <v>42382</v>
      </c>
      <c r="AC6793" t="s">
        <v>53</v>
      </c>
      <c r="AD6793" t="s">
        <v>53</v>
      </c>
      <c r="AK6793">
        <v>0</v>
      </c>
      <c r="AU6793" s="6">
        <v>42061</v>
      </c>
      <c r="AV6793" s="6">
        <v>42061</v>
      </c>
      <c r="AW6793" t="s">
        <v>54</v>
      </c>
      <c r="AX6793" t="str">
        <f t="shared" si="566"/>
        <v>FOR</v>
      </c>
      <c r="AY6793" t="s">
        <v>55</v>
      </c>
    </row>
    <row r="6794" spans="1:51" hidden="1">
      <c r="A6794">
        <v>104093</v>
      </c>
      <c r="B6794" t="s">
        <v>1210</v>
      </c>
      <c r="C6794" t="str">
        <f t="shared" si="564"/>
        <v>06032681006</v>
      </c>
      <c r="D6794" t="str">
        <f t="shared" si="565"/>
        <v>12572900152</v>
      </c>
      <c r="E6794" t="s">
        <v>52</v>
      </c>
      <c r="F6794">
        <v>2014</v>
      </c>
      <c r="G6794">
        <v>25173208</v>
      </c>
      <c r="H6794" s="1">
        <v>41729</v>
      </c>
      <c r="I6794" s="1">
        <v>41739</v>
      </c>
      <c r="J6794" s="1">
        <v>41739</v>
      </c>
      <c r="K6794" s="1">
        <v>41829</v>
      </c>
      <c r="N6794" s="5"/>
      <c r="O6794">
        <v>252.72</v>
      </c>
      <c r="P6794">
        <v>232</v>
      </c>
      <c r="Q6794" s="2">
        <v>58631.040000000001</v>
      </c>
      <c r="R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 s="1">
        <v>42382</v>
      </c>
      <c r="AC6794" t="s">
        <v>53</v>
      </c>
      <c r="AD6794" t="s">
        <v>53</v>
      </c>
      <c r="AK6794">
        <v>0</v>
      </c>
      <c r="AU6794" s="6">
        <v>42061</v>
      </c>
      <c r="AV6794" s="6">
        <v>42061</v>
      </c>
      <c r="AW6794" t="s">
        <v>54</v>
      </c>
      <c r="AX6794" t="str">
        <f t="shared" si="566"/>
        <v>FOR</v>
      </c>
      <c r="AY6794" t="s">
        <v>55</v>
      </c>
    </row>
    <row r="6795" spans="1:51" hidden="1">
      <c r="A6795">
        <v>104093</v>
      </c>
      <c r="B6795" t="s">
        <v>1210</v>
      </c>
      <c r="C6795" t="str">
        <f t="shared" si="564"/>
        <v>06032681006</v>
      </c>
      <c r="D6795" t="str">
        <f t="shared" si="565"/>
        <v>12572900152</v>
      </c>
      <c r="E6795" t="s">
        <v>52</v>
      </c>
      <c r="F6795">
        <v>2014</v>
      </c>
      <c r="G6795">
        <v>25173209</v>
      </c>
      <c r="H6795" s="1">
        <v>41729</v>
      </c>
      <c r="I6795" s="1">
        <v>41739</v>
      </c>
      <c r="J6795" s="1">
        <v>41739</v>
      </c>
      <c r="K6795" s="1">
        <v>41829</v>
      </c>
      <c r="N6795" s="5"/>
      <c r="O6795">
        <v>74.88</v>
      </c>
      <c r="P6795">
        <v>232</v>
      </c>
      <c r="Q6795" s="2">
        <v>17372.16</v>
      </c>
      <c r="R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 s="1">
        <v>42382</v>
      </c>
      <c r="AC6795" t="s">
        <v>53</v>
      </c>
      <c r="AD6795" t="s">
        <v>53</v>
      </c>
      <c r="AK6795">
        <v>0</v>
      </c>
      <c r="AU6795" s="6">
        <v>42061</v>
      </c>
      <c r="AV6795" s="6">
        <v>42061</v>
      </c>
      <c r="AW6795" t="s">
        <v>54</v>
      </c>
      <c r="AX6795" t="str">
        <f t="shared" si="566"/>
        <v>FOR</v>
      </c>
      <c r="AY6795" t="s">
        <v>55</v>
      </c>
    </row>
    <row r="6796" spans="1:51" hidden="1">
      <c r="A6796">
        <v>104093</v>
      </c>
      <c r="B6796" t="s">
        <v>1210</v>
      </c>
      <c r="C6796" t="str">
        <f t="shared" si="564"/>
        <v>06032681006</v>
      </c>
      <c r="D6796" t="str">
        <f t="shared" si="565"/>
        <v>12572900152</v>
      </c>
      <c r="E6796" t="s">
        <v>52</v>
      </c>
      <c r="F6796">
        <v>2014</v>
      </c>
      <c r="G6796">
        <v>25173210</v>
      </c>
      <c r="H6796" s="1">
        <v>41729</v>
      </c>
      <c r="I6796" s="1">
        <v>41739</v>
      </c>
      <c r="J6796" s="1">
        <v>41739</v>
      </c>
      <c r="K6796" s="1">
        <v>41829</v>
      </c>
      <c r="N6796" s="5"/>
      <c r="O6796">
        <v>252.72</v>
      </c>
      <c r="P6796">
        <v>232</v>
      </c>
      <c r="Q6796" s="2">
        <v>58631.040000000001</v>
      </c>
      <c r="R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 s="1">
        <v>42382</v>
      </c>
      <c r="AC6796" t="s">
        <v>53</v>
      </c>
      <c r="AD6796" t="s">
        <v>53</v>
      </c>
      <c r="AK6796">
        <v>0</v>
      </c>
      <c r="AU6796" s="6">
        <v>42061</v>
      </c>
      <c r="AV6796" s="6">
        <v>42061</v>
      </c>
      <c r="AW6796" t="s">
        <v>54</v>
      </c>
      <c r="AX6796" t="str">
        <f t="shared" si="566"/>
        <v>FOR</v>
      </c>
      <c r="AY6796" t="s">
        <v>55</v>
      </c>
    </row>
    <row r="6797" spans="1:51" hidden="1">
      <c r="A6797">
        <v>104093</v>
      </c>
      <c r="B6797" t="s">
        <v>1210</v>
      </c>
      <c r="C6797" t="str">
        <f t="shared" si="564"/>
        <v>06032681006</v>
      </c>
      <c r="D6797" t="str">
        <f t="shared" si="565"/>
        <v>12572900152</v>
      </c>
      <c r="E6797" t="s">
        <v>52</v>
      </c>
      <c r="F6797">
        <v>2014</v>
      </c>
      <c r="G6797">
        <v>25173211</v>
      </c>
      <c r="H6797" s="1">
        <v>41729</v>
      </c>
      <c r="I6797" s="1">
        <v>41739</v>
      </c>
      <c r="J6797" s="1">
        <v>41739</v>
      </c>
      <c r="K6797" s="1">
        <v>41829</v>
      </c>
      <c r="N6797" s="5"/>
      <c r="O6797">
        <v>707.62</v>
      </c>
      <c r="P6797">
        <v>232</v>
      </c>
      <c r="Q6797" s="2">
        <v>164167.84</v>
      </c>
      <c r="R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 s="1">
        <v>42382</v>
      </c>
      <c r="AC6797" t="s">
        <v>53</v>
      </c>
      <c r="AD6797" t="s">
        <v>53</v>
      </c>
      <c r="AK6797">
        <v>0</v>
      </c>
      <c r="AU6797" s="6">
        <v>42061</v>
      </c>
      <c r="AV6797" s="6">
        <v>42061</v>
      </c>
      <c r="AW6797" t="s">
        <v>54</v>
      </c>
      <c r="AX6797" t="str">
        <f t="shared" si="566"/>
        <v>FOR</v>
      </c>
      <c r="AY6797" t="s">
        <v>55</v>
      </c>
    </row>
    <row r="6798" spans="1:51" hidden="1">
      <c r="A6798">
        <v>104093</v>
      </c>
      <c r="B6798" t="s">
        <v>1210</v>
      </c>
      <c r="C6798" t="str">
        <f t="shared" si="564"/>
        <v>06032681006</v>
      </c>
      <c r="D6798" t="str">
        <f t="shared" si="565"/>
        <v>12572900152</v>
      </c>
      <c r="E6798" t="s">
        <v>52</v>
      </c>
      <c r="F6798">
        <v>2014</v>
      </c>
      <c r="G6798">
        <v>25174018</v>
      </c>
      <c r="H6798" s="1">
        <v>41732</v>
      </c>
      <c r="I6798" s="1">
        <v>41751</v>
      </c>
      <c r="J6798" s="1">
        <v>41751</v>
      </c>
      <c r="K6798" s="1">
        <v>41841</v>
      </c>
      <c r="N6798" s="5"/>
      <c r="O6798" s="2">
        <v>3660</v>
      </c>
      <c r="P6798">
        <v>220</v>
      </c>
      <c r="Q6798" s="2">
        <v>805200</v>
      </c>
      <c r="R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 s="1">
        <v>42382</v>
      </c>
      <c r="AC6798" t="s">
        <v>53</v>
      </c>
      <c r="AD6798" t="s">
        <v>53</v>
      </c>
      <c r="AK6798">
        <v>0</v>
      </c>
      <c r="AU6798" s="6">
        <v>42061</v>
      </c>
      <c r="AV6798" s="6">
        <v>42061</v>
      </c>
      <c r="AW6798" t="s">
        <v>54</v>
      </c>
      <c r="AX6798" t="str">
        <f t="shared" si="566"/>
        <v>FOR</v>
      </c>
      <c r="AY6798" t="s">
        <v>55</v>
      </c>
    </row>
    <row r="6799" spans="1:51" hidden="1">
      <c r="A6799">
        <v>104093</v>
      </c>
      <c r="B6799" t="s">
        <v>1210</v>
      </c>
      <c r="C6799" t="str">
        <f t="shared" si="564"/>
        <v>06032681006</v>
      </c>
      <c r="D6799" t="str">
        <f t="shared" si="565"/>
        <v>12572900152</v>
      </c>
      <c r="E6799" t="s">
        <v>52</v>
      </c>
      <c r="F6799">
        <v>2014</v>
      </c>
      <c r="G6799">
        <v>25174369</v>
      </c>
      <c r="H6799" s="1">
        <v>41736</v>
      </c>
      <c r="I6799" s="1">
        <v>41753</v>
      </c>
      <c r="J6799" s="1">
        <v>41753</v>
      </c>
      <c r="K6799" s="1">
        <v>41843</v>
      </c>
      <c r="N6799" s="5"/>
      <c r="O6799">
        <v>252.72</v>
      </c>
      <c r="P6799">
        <v>258</v>
      </c>
      <c r="Q6799" s="2">
        <v>65201.760000000002</v>
      </c>
      <c r="R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 s="1">
        <v>42382</v>
      </c>
      <c r="AC6799" t="s">
        <v>53</v>
      </c>
      <c r="AD6799" t="s">
        <v>53</v>
      </c>
      <c r="AK6799">
        <v>0</v>
      </c>
      <c r="AU6799" s="6">
        <v>42101</v>
      </c>
      <c r="AV6799" s="6">
        <v>42101</v>
      </c>
      <c r="AW6799" t="s">
        <v>54</v>
      </c>
      <c r="AX6799" t="str">
        <f t="shared" si="566"/>
        <v>FOR</v>
      </c>
      <c r="AY6799" t="s">
        <v>55</v>
      </c>
    </row>
    <row r="6800" spans="1:51" hidden="1">
      <c r="A6800">
        <v>104093</v>
      </c>
      <c r="B6800" t="s">
        <v>1210</v>
      </c>
      <c r="C6800" t="str">
        <f t="shared" si="564"/>
        <v>06032681006</v>
      </c>
      <c r="D6800" t="str">
        <f t="shared" si="565"/>
        <v>12572900152</v>
      </c>
      <c r="E6800" t="s">
        <v>52</v>
      </c>
      <c r="F6800">
        <v>2014</v>
      </c>
      <c r="G6800">
        <v>25174370</v>
      </c>
      <c r="H6800" s="1">
        <v>41736</v>
      </c>
      <c r="I6800" s="1">
        <v>41757</v>
      </c>
      <c r="J6800" s="1">
        <v>41757</v>
      </c>
      <c r="K6800" s="1">
        <v>41847</v>
      </c>
      <c r="N6800" s="5"/>
      <c r="O6800">
        <v>707.62</v>
      </c>
      <c r="P6800">
        <v>254</v>
      </c>
      <c r="Q6800" s="2">
        <v>179735.48</v>
      </c>
      <c r="R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 s="1">
        <v>42382</v>
      </c>
      <c r="AC6800" t="s">
        <v>53</v>
      </c>
      <c r="AD6800" t="s">
        <v>53</v>
      </c>
      <c r="AK6800">
        <v>0</v>
      </c>
      <c r="AU6800" s="6">
        <v>42101</v>
      </c>
      <c r="AV6800" s="6">
        <v>42101</v>
      </c>
      <c r="AW6800" t="s">
        <v>54</v>
      </c>
      <c r="AX6800" t="str">
        <f t="shared" si="566"/>
        <v>FOR</v>
      </c>
      <c r="AY6800" t="s">
        <v>55</v>
      </c>
    </row>
    <row r="6801" spans="1:51" hidden="1">
      <c r="A6801">
        <v>104093</v>
      </c>
      <c r="B6801" t="s">
        <v>1210</v>
      </c>
      <c r="C6801" t="str">
        <f t="shared" si="564"/>
        <v>06032681006</v>
      </c>
      <c r="D6801" t="str">
        <f t="shared" si="565"/>
        <v>12572900152</v>
      </c>
      <c r="E6801" t="s">
        <v>52</v>
      </c>
      <c r="F6801">
        <v>2014</v>
      </c>
      <c r="G6801">
        <v>25174371</v>
      </c>
      <c r="H6801" s="1">
        <v>41736</v>
      </c>
      <c r="I6801" s="1">
        <v>41757</v>
      </c>
      <c r="J6801" s="1">
        <v>41757</v>
      </c>
      <c r="K6801" s="1">
        <v>41847</v>
      </c>
      <c r="N6801" s="5"/>
      <c r="O6801">
        <v>74.88</v>
      </c>
      <c r="P6801">
        <v>254</v>
      </c>
      <c r="Q6801" s="2">
        <v>19019.52</v>
      </c>
      <c r="R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 s="1">
        <v>42382</v>
      </c>
      <c r="AC6801" t="s">
        <v>53</v>
      </c>
      <c r="AD6801" t="s">
        <v>53</v>
      </c>
      <c r="AK6801">
        <v>0</v>
      </c>
      <c r="AU6801" s="6">
        <v>42101</v>
      </c>
      <c r="AV6801" s="6">
        <v>42101</v>
      </c>
      <c r="AW6801" t="s">
        <v>54</v>
      </c>
      <c r="AX6801" t="str">
        <f t="shared" si="566"/>
        <v>FOR</v>
      </c>
      <c r="AY6801" t="s">
        <v>55</v>
      </c>
    </row>
    <row r="6802" spans="1:51" hidden="1">
      <c r="A6802">
        <v>104093</v>
      </c>
      <c r="B6802" t="s">
        <v>1210</v>
      </c>
      <c r="C6802" t="str">
        <f t="shared" si="564"/>
        <v>06032681006</v>
      </c>
      <c r="D6802" t="str">
        <f t="shared" si="565"/>
        <v>12572900152</v>
      </c>
      <c r="E6802" t="s">
        <v>52</v>
      </c>
      <c r="F6802">
        <v>2014</v>
      </c>
      <c r="G6802">
        <v>25174638</v>
      </c>
      <c r="H6802" s="1">
        <v>41737</v>
      </c>
      <c r="I6802" s="1">
        <v>41753</v>
      </c>
      <c r="J6802" s="1">
        <v>41753</v>
      </c>
      <c r="K6802" s="1">
        <v>41843</v>
      </c>
      <c r="N6802" s="5"/>
      <c r="O6802">
        <v>74.88</v>
      </c>
      <c r="P6802">
        <v>258</v>
      </c>
      <c r="Q6802" s="2">
        <v>19319.04</v>
      </c>
      <c r="R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 s="1">
        <v>42382</v>
      </c>
      <c r="AC6802" t="s">
        <v>53</v>
      </c>
      <c r="AD6802" t="s">
        <v>53</v>
      </c>
      <c r="AK6802">
        <v>0</v>
      </c>
      <c r="AU6802" s="6">
        <v>42101</v>
      </c>
      <c r="AV6802" s="6">
        <v>42101</v>
      </c>
      <c r="AW6802" t="s">
        <v>54</v>
      </c>
      <c r="AX6802" t="str">
        <f t="shared" si="566"/>
        <v>FOR</v>
      </c>
      <c r="AY6802" t="s">
        <v>55</v>
      </c>
    </row>
    <row r="6803" spans="1:51" hidden="1">
      <c r="A6803">
        <v>104093</v>
      </c>
      <c r="B6803" t="s">
        <v>1210</v>
      </c>
      <c r="C6803" t="str">
        <f t="shared" si="564"/>
        <v>06032681006</v>
      </c>
      <c r="D6803" t="str">
        <f t="shared" si="565"/>
        <v>12572900152</v>
      </c>
      <c r="E6803" t="s">
        <v>52</v>
      </c>
      <c r="F6803">
        <v>2014</v>
      </c>
      <c r="G6803">
        <v>25174639</v>
      </c>
      <c r="H6803" s="1">
        <v>41737</v>
      </c>
      <c r="I6803" s="1">
        <v>41753</v>
      </c>
      <c r="J6803" s="1">
        <v>41753</v>
      </c>
      <c r="K6803" s="1">
        <v>41843</v>
      </c>
      <c r="N6803" s="5"/>
      <c r="O6803">
        <v>74.88</v>
      </c>
      <c r="P6803">
        <v>258</v>
      </c>
      <c r="Q6803" s="2">
        <v>19319.04</v>
      </c>
      <c r="R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 s="1">
        <v>42382</v>
      </c>
      <c r="AC6803" t="s">
        <v>53</v>
      </c>
      <c r="AD6803" t="s">
        <v>53</v>
      </c>
      <c r="AK6803">
        <v>0</v>
      </c>
      <c r="AU6803" s="6">
        <v>42101</v>
      </c>
      <c r="AV6803" s="6">
        <v>42101</v>
      </c>
      <c r="AW6803" t="s">
        <v>54</v>
      </c>
      <c r="AX6803" t="str">
        <f t="shared" si="566"/>
        <v>FOR</v>
      </c>
      <c r="AY6803" t="s">
        <v>55</v>
      </c>
    </row>
    <row r="6804" spans="1:51" hidden="1">
      <c r="A6804">
        <v>104093</v>
      </c>
      <c r="B6804" t="s">
        <v>1210</v>
      </c>
      <c r="C6804" t="str">
        <f t="shared" si="564"/>
        <v>06032681006</v>
      </c>
      <c r="D6804" t="str">
        <f t="shared" si="565"/>
        <v>12572900152</v>
      </c>
      <c r="E6804" t="s">
        <v>52</v>
      </c>
      <c r="F6804">
        <v>2014</v>
      </c>
      <c r="G6804">
        <v>25174640</v>
      </c>
      <c r="H6804" s="1">
        <v>41737</v>
      </c>
      <c r="I6804" s="1">
        <v>41753</v>
      </c>
      <c r="J6804" s="1">
        <v>41753</v>
      </c>
      <c r="K6804" s="1">
        <v>41843</v>
      </c>
      <c r="N6804" s="5"/>
      <c r="O6804">
        <v>74.88</v>
      </c>
      <c r="P6804">
        <v>258</v>
      </c>
      <c r="Q6804" s="2">
        <v>19319.04</v>
      </c>
      <c r="R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 s="1">
        <v>42382</v>
      </c>
      <c r="AC6804" t="s">
        <v>53</v>
      </c>
      <c r="AD6804" t="s">
        <v>53</v>
      </c>
      <c r="AK6804">
        <v>0</v>
      </c>
      <c r="AU6804" s="6">
        <v>42101</v>
      </c>
      <c r="AV6804" s="6">
        <v>42101</v>
      </c>
      <c r="AW6804" t="s">
        <v>54</v>
      </c>
      <c r="AX6804" t="str">
        <f t="shared" si="566"/>
        <v>FOR</v>
      </c>
      <c r="AY6804" t="s">
        <v>55</v>
      </c>
    </row>
    <row r="6805" spans="1:51" hidden="1">
      <c r="A6805">
        <v>104093</v>
      </c>
      <c r="B6805" t="s">
        <v>1210</v>
      </c>
      <c r="C6805" t="str">
        <f t="shared" si="564"/>
        <v>06032681006</v>
      </c>
      <c r="D6805" t="str">
        <f t="shared" si="565"/>
        <v>12572900152</v>
      </c>
      <c r="E6805" t="s">
        <v>52</v>
      </c>
      <c r="F6805">
        <v>2014</v>
      </c>
      <c r="G6805">
        <v>25174641</v>
      </c>
      <c r="H6805" s="1">
        <v>41737</v>
      </c>
      <c r="I6805" s="1">
        <v>41753</v>
      </c>
      <c r="J6805" s="1">
        <v>41753</v>
      </c>
      <c r="K6805" s="1">
        <v>41843</v>
      </c>
      <c r="N6805" s="5"/>
      <c r="O6805">
        <v>74.88</v>
      </c>
      <c r="P6805">
        <v>258</v>
      </c>
      <c r="Q6805" s="2">
        <v>19319.04</v>
      </c>
      <c r="R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 s="1">
        <v>42382</v>
      </c>
      <c r="AC6805" t="s">
        <v>53</v>
      </c>
      <c r="AD6805" t="s">
        <v>53</v>
      </c>
      <c r="AK6805">
        <v>0</v>
      </c>
      <c r="AU6805" s="6">
        <v>42101</v>
      </c>
      <c r="AV6805" s="6">
        <v>42101</v>
      </c>
      <c r="AW6805" t="s">
        <v>54</v>
      </c>
      <c r="AX6805" t="str">
        <f t="shared" si="566"/>
        <v>FOR</v>
      </c>
      <c r="AY6805" t="s">
        <v>55</v>
      </c>
    </row>
    <row r="6806" spans="1:51" hidden="1">
      <c r="A6806">
        <v>104093</v>
      </c>
      <c r="B6806" t="s">
        <v>1210</v>
      </c>
      <c r="C6806" t="str">
        <f t="shared" si="564"/>
        <v>06032681006</v>
      </c>
      <c r="D6806" t="str">
        <f t="shared" si="565"/>
        <v>12572900152</v>
      </c>
      <c r="E6806" t="s">
        <v>52</v>
      </c>
      <c r="F6806">
        <v>2014</v>
      </c>
      <c r="G6806">
        <v>25174642</v>
      </c>
      <c r="H6806" s="1">
        <v>41737</v>
      </c>
      <c r="I6806" s="1">
        <v>41753</v>
      </c>
      <c r="J6806" s="1">
        <v>41753</v>
      </c>
      <c r="K6806" s="1">
        <v>41843</v>
      </c>
      <c r="N6806" s="5"/>
      <c r="O6806">
        <v>74.88</v>
      </c>
      <c r="P6806">
        <v>258</v>
      </c>
      <c r="Q6806" s="2">
        <v>19319.04</v>
      </c>
      <c r="R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 s="1">
        <v>42382</v>
      </c>
      <c r="AC6806" t="s">
        <v>53</v>
      </c>
      <c r="AD6806" t="s">
        <v>53</v>
      </c>
      <c r="AK6806">
        <v>0</v>
      </c>
      <c r="AU6806" s="6">
        <v>42101</v>
      </c>
      <c r="AV6806" s="6">
        <v>42101</v>
      </c>
      <c r="AW6806" t="s">
        <v>54</v>
      </c>
      <c r="AX6806" t="str">
        <f t="shared" si="566"/>
        <v>FOR</v>
      </c>
      <c r="AY6806" t="s">
        <v>55</v>
      </c>
    </row>
    <row r="6807" spans="1:51" hidden="1">
      <c r="A6807">
        <v>104093</v>
      </c>
      <c r="B6807" t="s">
        <v>1210</v>
      </c>
      <c r="C6807" t="str">
        <f t="shared" si="564"/>
        <v>06032681006</v>
      </c>
      <c r="D6807" t="str">
        <f t="shared" si="565"/>
        <v>12572900152</v>
      </c>
      <c r="E6807" t="s">
        <v>52</v>
      </c>
      <c r="F6807">
        <v>2014</v>
      </c>
      <c r="G6807">
        <v>25174643</v>
      </c>
      <c r="H6807" s="1">
        <v>41737</v>
      </c>
      <c r="I6807" s="1">
        <v>41753</v>
      </c>
      <c r="J6807" s="1">
        <v>41753</v>
      </c>
      <c r="K6807" s="1">
        <v>41843</v>
      </c>
      <c r="N6807" s="5"/>
      <c r="O6807">
        <v>403.42</v>
      </c>
      <c r="P6807">
        <v>258</v>
      </c>
      <c r="Q6807" s="2">
        <v>104082.36</v>
      </c>
      <c r="R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 s="1">
        <v>42382</v>
      </c>
      <c r="AC6807" t="s">
        <v>53</v>
      </c>
      <c r="AD6807" t="s">
        <v>53</v>
      </c>
      <c r="AK6807">
        <v>0</v>
      </c>
      <c r="AU6807" s="6">
        <v>42101</v>
      </c>
      <c r="AV6807" s="6">
        <v>42101</v>
      </c>
      <c r="AW6807" t="s">
        <v>54</v>
      </c>
      <c r="AX6807" t="str">
        <f t="shared" si="566"/>
        <v>FOR</v>
      </c>
      <c r="AY6807" t="s">
        <v>55</v>
      </c>
    </row>
    <row r="6808" spans="1:51" hidden="1">
      <c r="A6808">
        <v>104093</v>
      </c>
      <c r="B6808" t="s">
        <v>1210</v>
      </c>
      <c r="C6808" t="str">
        <f t="shared" si="564"/>
        <v>06032681006</v>
      </c>
      <c r="D6808" t="str">
        <f t="shared" si="565"/>
        <v>12572900152</v>
      </c>
      <c r="E6808" t="s">
        <v>52</v>
      </c>
      <c r="F6808">
        <v>2014</v>
      </c>
      <c r="G6808">
        <v>25174810</v>
      </c>
      <c r="H6808" s="1">
        <v>41737</v>
      </c>
      <c r="I6808" s="1">
        <v>41771</v>
      </c>
      <c r="J6808" s="1">
        <v>41771</v>
      </c>
      <c r="K6808" s="1">
        <v>41861</v>
      </c>
      <c r="N6808" s="5"/>
      <c r="O6808">
        <v>430.56</v>
      </c>
      <c r="P6808">
        <v>240</v>
      </c>
      <c r="Q6808" s="2">
        <v>103334.39999999999</v>
      </c>
      <c r="R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 s="1">
        <v>42382</v>
      </c>
      <c r="AC6808" t="s">
        <v>53</v>
      </c>
      <c r="AD6808" t="s">
        <v>53</v>
      </c>
      <c r="AK6808">
        <v>0</v>
      </c>
      <c r="AU6808" s="6">
        <v>42101</v>
      </c>
      <c r="AV6808" s="6">
        <v>42101</v>
      </c>
      <c r="AW6808" t="s">
        <v>54</v>
      </c>
      <c r="AX6808" t="str">
        <f t="shared" si="566"/>
        <v>FOR</v>
      </c>
      <c r="AY6808" t="s">
        <v>55</v>
      </c>
    </row>
    <row r="6809" spans="1:51" hidden="1">
      <c r="A6809">
        <v>104093</v>
      </c>
      <c r="B6809" t="s">
        <v>1210</v>
      </c>
      <c r="C6809" t="str">
        <f t="shared" si="564"/>
        <v>06032681006</v>
      </c>
      <c r="D6809" t="str">
        <f t="shared" si="565"/>
        <v>12572900152</v>
      </c>
      <c r="E6809" t="s">
        <v>52</v>
      </c>
      <c r="F6809">
        <v>2014</v>
      </c>
      <c r="G6809">
        <v>25175419</v>
      </c>
      <c r="H6809" s="1">
        <v>41740</v>
      </c>
      <c r="I6809" s="1">
        <v>41764</v>
      </c>
      <c r="J6809" s="1">
        <v>41764</v>
      </c>
      <c r="K6809" s="1">
        <v>41854</v>
      </c>
      <c r="N6809" s="5"/>
      <c r="O6809" s="2">
        <v>2687.36</v>
      </c>
      <c r="P6809">
        <v>247</v>
      </c>
      <c r="Q6809" s="2">
        <v>663777.92000000004</v>
      </c>
      <c r="R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 s="1">
        <v>42382</v>
      </c>
      <c r="AC6809" t="s">
        <v>53</v>
      </c>
      <c r="AD6809" t="s">
        <v>53</v>
      </c>
      <c r="AK6809">
        <v>0</v>
      </c>
      <c r="AU6809" s="6">
        <v>42101</v>
      </c>
      <c r="AV6809" s="6">
        <v>42101</v>
      </c>
      <c r="AW6809" t="s">
        <v>54</v>
      </c>
      <c r="AX6809" t="str">
        <f t="shared" si="566"/>
        <v>FOR</v>
      </c>
      <c r="AY6809" t="s">
        <v>55</v>
      </c>
    </row>
    <row r="6810" spans="1:51" hidden="1">
      <c r="A6810">
        <v>104093</v>
      </c>
      <c r="B6810" t="s">
        <v>1210</v>
      </c>
      <c r="C6810" t="str">
        <f t="shared" si="564"/>
        <v>06032681006</v>
      </c>
      <c r="D6810" t="str">
        <f t="shared" si="565"/>
        <v>12572900152</v>
      </c>
      <c r="E6810" t="s">
        <v>52</v>
      </c>
      <c r="F6810">
        <v>2014</v>
      </c>
      <c r="G6810">
        <v>25175496</v>
      </c>
      <c r="H6810" s="1">
        <v>41740</v>
      </c>
      <c r="I6810" s="1">
        <v>41764</v>
      </c>
      <c r="J6810" s="1">
        <v>41764</v>
      </c>
      <c r="K6810" s="1">
        <v>41854</v>
      </c>
      <c r="N6810" s="5"/>
      <c r="O6810" s="2">
        <v>7318.48</v>
      </c>
      <c r="P6810">
        <v>247</v>
      </c>
      <c r="Q6810" s="2">
        <v>1807664.56</v>
      </c>
      <c r="R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 s="1">
        <v>42382</v>
      </c>
      <c r="AC6810" t="s">
        <v>53</v>
      </c>
      <c r="AD6810" t="s">
        <v>53</v>
      </c>
      <c r="AK6810">
        <v>0</v>
      </c>
      <c r="AU6810" s="6">
        <v>42101</v>
      </c>
      <c r="AV6810" s="6">
        <v>42101</v>
      </c>
      <c r="AW6810" t="s">
        <v>54</v>
      </c>
      <c r="AX6810" t="str">
        <f t="shared" si="566"/>
        <v>FOR</v>
      </c>
      <c r="AY6810" t="s">
        <v>55</v>
      </c>
    </row>
    <row r="6811" spans="1:51" hidden="1">
      <c r="A6811">
        <v>104093</v>
      </c>
      <c r="B6811" t="s">
        <v>1210</v>
      </c>
      <c r="C6811" t="str">
        <f t="shared" si="564"/>
        <v>06032681006</v>
      </c>
      <c r="D6811" t="str">
        <f t="shared" si="565"/>
        <v>12572900152</v>
      </c>
      <c r="E6811" t="s">
        <v>52</v>
      </c>
      <c r="F6811">
        <v>2014</v>
      </c>
      <c r="G6811">
        <v>25176082</v>
      </c>
      <c r="H6811" s="1">
        <v>41744</v>
      </c>
      <c r="I6811" s="1">
        <v>41764</v>
      </c>
      <c r="J6811" s="1">
        <v>41764</v>
      </c>
      <c r="K6811" s="1">
        <v>41854</v>
      </c>
      <c r="N6811" s="5"/>
      <c r="O6811" s="2">
        <v>3848</v>
      </c>
      <c r="P6811">
        <v>247</v>
      </c>
      <c r="Q6811" s="2">
        <v>950456</v>
      </c>
      <c r="R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 s="1">
        <v>42382</v>
      </c>
      <c r="AC6811" t="s">
        <v>53</v>
      </c>
      <c r="AD6811" t="s">
        <v>53</v>
      </c>
      <c r="AK6811">
        <v>0</v>
      </c>
      <c r="AU6811" s="6">
        <v>42101</v>
      </c>
      <c r="AV6811" s="6">
        <v>42101</v>
      </c>
      <c r="AW6811" t="s">
        <v>54</v>
      </c>
      <c r="AX6811" t="str">
        <f t="shared" si="566"/>
        <v>FOR</v>
      </c>
      <c r="AY6811" t="s">
        <v>55</v>
      </c>
    </row>
    <row r="6812" spans="1:51" hidden="1">
      <c r="A6812">
        <v>104093</v>
      </c>
      <c r="B6812" t="s">
        <v>1210</v>
      </c>
      <c r="C6812" t="str">
        <f t="shared" si="564"/>
        <v>06032681006</v>
      </c>
      <c r="D6812" t="str">
        <f t="shared" si="565"/>
        <v>12572900152</v>
      </c>
      <c r="E6812" t="s">
        <v>52</v>
      </c>
      <c r="F6812">
        <v>2014</v>
      </c>
      <c r="G6812">
        <v>25176228</v>
      </c>
      <c r="H6812" s="1">
        <v>41745</v>
      </c>
      <c r="I6812" s="1">
        <v>41758</v>
      </c>
      <c r="J6812" s="1">
        <v>41758</v>
      </c>
      <c r="K6812" s="1">
        <v>41848</v>
      </c>
      <c r="N6812" s="5"/>
      <c r="O6812">
        <v>252.72</v>
      </c>
      <c r="P6812">
        <v>253</v>
      </c>
      <c r="Q6812" s="2">
        <v>63938.16</v>
      </c>
      <c r="R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 s="1">
        <v>42382</v>
      </c>
      <c r="AC6812" t="s">
        <v>53</v>
      </c>
      <c r="AD6812" t="s">
        <v>53</v>
      </c>
      <c r="AK6812">
        <v>0</v>
      </c>
      <c r="AU6812" s="6">
        <v>42101</v>
      </c>
      <c r="AV6812" s="6">
        <v>42101</v>
      </c>
      <c r="AW6812" t="s">
        <v>54</v>
      </c>
      <c r="AX6812" t="str">
        <f t="shared" si="566"/>
        <v>FOR</v>
      </c>
      <c r="AY6812" t="s">
        <v>55</v>
      </c>
    </row>
    <row r="6813" spans="1:51" hidden="1">
      <c r="A6813">
        <v>104093</v>
      </c>
      <c r="B6813" t="s">
        <v>1210</v>
      </c>
      <c r="C6813" t="str">
        <f t="shared" ref="C6813:C6876" si="567">"06032681006"</f>
        <v>06032681006</v>
      </c>
      <c r="D6813" t="str">
        <f t="shared" ref="D6813:D6876" si="568">"12572900152"</f>
        <v>12572900152</v>
      </c>
      <c r="E6813" t="s">
        <v>52</v>
      </c>
      <c r="F6813">
        <v>2014</v>
      </c>
      <c r="G6813">
        <v>25176229</v>
      </c>
      <c r="H6813" s="1">
        <v>41745</v>
      </c>
      <c r="I6813" s="1">
        <v>41758</v>
      </c>
      <c r="J6813" s="1">
        <v>41758</v>
      </c>
      <c r="K6813" s="1">
        <v>41848</v>
      </c>
      <c r="N6813" s="5"/>
      <c r="O6813">
        <v>74.88</v>
      </c>
      <c r="P6813">
        <v>253</v>
      </c>
      <c r="Q6813" s="2">
        <v>18944.64</v>
      </c>
      <c r="R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 s="1">
        <v>42382</v>
      </c>
      <c r="AC6813" t="s">
        <v>53</v>
      </c>
      <c r="AD6813" t="s">
        <v>53</v>
      </c>
      <c r="AK6813">
        <v>0</v>
      </c>
      <c r="AU6813" s="6">
        <v>42101</v>
      </c>
      <c r="AV6813" s="6">
        <v>42101</v>
      </c>
      <c r="AW6813" t="s">
        <v>54</v>
      </c>
      <c r="AX6813" t="str">
        <f t="shared" si="566"/>
        <v>FOR</v>
      </c>
      <c r="AY6813" t="s">
        <v>55</v>
      </c>
    </row>
    <row r="6814" spans="1:51" hidden="1">
      <c r="A6814">
        <v>104093</v>
      </c>
      <c r="B6814" t="s">
        <v>1210</v>
      </c>
      <c r="C6814" t="str">
        <f t="shared" si="567"/>
        <v>06032681006</v>
      </c>
      <c r="D6814" t="str">
        <f t="shared" si="568"/>
        <v>12572900152</v>
      </c>
      <c r="E6814" t="s">
        <v>52</v>
      </c>
      <c r="F6814">
        <v>2014</v>
      </c>
      <c r="G6814">
        <v>25176230</v>
      </c>
      <c r="H6814" s="1">
        <v>41745</v>
      </c>
      <c r="I6814" s="1">
        <v>41758</v>
      </c>
      <c r="J6814" s="1">
        <v>41758</v>
      </c>
      <c r="K6814" s="1">
        <v>41848</v>
      </c>
      <c r="N6814" s="5"/>
      <c r="O6814">
        <v>926.64</v>
      </c>
      <c r="P6814">
        <v>253</v>
      </c>
      <c r="Q6814" s="2">
        <v>234439.92</v>
      </c>
      <c r="R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 s="1">
        <v>42382</v>
      </c>
      <c r="AC6814" t="s">
        <v>53</v>
      </c>
      <c r="AD6814" t="s">
        <v>53</v>
      </c>
      <c r="AK6814">
        <v>0</v>
      </c>
      <c r="AU6814" s="6">
        <v>42101</v>
      </c>
      <c r="AV6814" s="6">
        <v>42101</v>
      </c>
      <c r="AW6814" t="s">
        <v>54</v>
      </c>
      <c r="AX6814" t="str">
        <f t="shared" si="566"/>
        <v>FOR</v>
      </c>
      <c r="AY6814" t="s">
        <v>55</v>
      </c>
    </row>
    <row r="6815" spans="1:51" hidden="1">
      <c r="A6815">
        <v>104093</v>
      </c>
      <c r="B6815" t="s">
        <v>1210</v>
      </c>
      <c r="C6815" t="str">
        <f t="shared" si="567"/>
        <v>06032681006</v>
      </c>
      <c r="D6815" t="str">
        <f t="shared" si="568"/>
        <v>12572900152</v>
      </c>
      <c r="E6815" t="s">
        <v>52</v>
      </c>
      <c r="F6815">
        <v>2014</v>
      </c>
      <c r="G6815">
        <v>25176231</v>
      </c>
      <c r="H6815" s="1">
        <v>41745</v>
      </c>
      <c r="I6815" s="1">
        <v>41758</v>
      </c>
      <c r="J6815" s="1">
        <v>41758</v>
      </c>
      <c r="K6815" s="1">
        <v>41848</v>
      </c>
      <c r="N6815" s="5"/>
      <c r="O6815">
        <v>74.88</v>
      </c>
      <c r="P6815">
        <v>253</v>
      </c>
      <c r="Q6815" s="2">
        <v>18944.64</v>
      </c>
      <c r="R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 s="1">
        <v>42382</v>
      </c>
      <c r="AC6815" t="s">
        <v>53</v>
      </c>
      <c r="AD6815" t="s">
        <v>53</v>
      </c>
      <c r="AK6815">
        <v>0</v>
      </c>
      <c r="AU6815" s="6">
        <v>42101</v>
      </c>
      <c r="AV6815" s="6">
        <v>42101</v>
      </c>
      <c r="AW6815" t="s">
        <v>54</v>
      </c>
      <c r="AX6815" t="str">
        <f t="shared" si="566"/>
        <v>FOR</v>
      </c>
      <c r="AY6815" t="s">
        <v>55</v>
      </c>
    </row>
    <row r="6816" spans="1:51" hidden="1">
      <c r="A6816">
        <v>104093</v>
      </c>
      <c r="B6816" t="s">
        <v>1210</v>
      </c>
      <c r="C6816" t="str">
        <f t="shared" si="567"/>
        <v>06032681006</v>
      </c>
      <c r="D6816" t="str">
        <f t="shared" si="568"/>
        <v>12572900152</v>
      </c>
      <c r="E6816" t="s">
        <v>52</v>
      </c>
      <c r="F6816">
        <v>2014</v>
      </c>
      <c r="G6816">
        <v>25176232</v>
      </c>
      <c r="H6816" s="1">
        <v>41745</v>
      </c>
      <c r="I6816" s="1">
        <v>41758</v>
      </c>
      <c r="J6816" s="1">
        <v>41758</v>
      </c>
      <c r="K6816" s="1">
        <v>41848</v>
      </c>
      <c r="N6816" s="5"/>
      <c r="O6816">
        <v>74.88</v>
      </c>
      <c r="P6816">
        <v>253</v>
      </c>
      <c r="Q6816" s="2">
        <v>18944.64</v>
      </c>
      <c r="R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 s="1">
        <v>42382</v>
      </c>
      <c r="AC6816" t="s">
        <v>53</v>
      </c>
      <c r="AD6816" t="s">
        <v>53</v>
      </c>
      <c r="AK6816">
        <v>0</v>
      </c>
      <c r="AU6816" s="6">
        <v>42101</v>
      </c>
      <c r="AV6816" s="6">
        <v>42101</v>
      </c>
      <c r="AW6816" t="s">
        <v>54</v>
      </c>
      <c r="AX6816" t="str">
        <f t="shared" si="566"/>
        <v>FOR</v>
      </c>
      <c r="AY6816" t="s">
        <v>55</v>
      </c>
    </row>
    <row r="6817" spans="1:51" hidden="1">
      <c r="A6817">
        <v>104093</v>
      </c>
      <c r="B6817" t="s">
        <v>1210</v>
      </c>
      <c r="C6817" t="str">
        <f t="shared" si="567"/>
        <v>06032681006</v>
      </c>
      <c r="D6817" t="str">
        <f t="shared" si="568"/>
        <v>12572900152</v>
      </c>
      <c r="E6817" t="s">
        <v>52</v>
      </c>
      <c r="F6817">
        <v>2014</v>
      </c>
      <c r="G6817">
        <v>25176233</v>
      </c>
      <c r="H6817" s="1">
        <v>41745</v>
      </c>
      <c r="I6817" s="1">
        <v>41758</v>
      </c>
      <c r="J6817" s="1">
        <v>41758</v>
      </c>
      <c r="K6817" s="1">
        <v>41848</v>
      </c>
      <c r="N6817" s="5"/>
      <c r="O6817">
        <v>403.42</v>
      </c>
      <c r="P6817">
        <v>253</v>
      </c>
      <c r="Q6817" s="2">
        <v>102065.26</v>
      </c>
      <c r="R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 s="1">
        <v>42382</v>
      </c>
      <c r="AC6817" t="s">
        <v>53</v>
      </c>
      <c r="AD6817" t="s">
        <v>53</v>
      </c>
      <c r="AK6817">
        <v>0</v>
      </c>
      <c r="AU6817" s="6">
        <v>42101</v>
      </c>
      <c r="AV6817" s="6">
        <v>42101</v>
      </c>
      <c r="AW6817" t="s">
        <v>54</v>
      </c>
      <c r="AX6817" t="str">
        <f t="shared" si="566"/>
        <v>FOR</v>
      </c>
      <c r="AY6817" t="s">
        <v>55</v>
      </c>
    </row>
    <row r="6818" spans="1:51" hidden="1">
      <c r="A6818">
        <v>104093</v>
      </c>
      <c r="B6818" t="s">
        <v>1210</v>
      </c>
      <c r="C6818" t="str">
        <f t="shared" si="567"/>
        <v>06032681006</v>
      </c>
      <c r="D6818" t="str">
        <f t="shared" si="568"/>
        <v>12572900152</v>
      </c>
      <c r="E6818" t="s">
        <v>52</v>
      </c>
      <c r="F6818">
        <v>2014</v>
      </c>
      <c r="G6818">
        <v>25176234</v>
      </c>
      <c r="H6818" s="1">
        <v>41745</v>
      </c>
      <c r="I6818" s="1">
        <v>41758</v>
      </c>
      <c r="J6818" s="1">
        <v>41758</v>
      </c>
      <c r="K6818" s="1">
        <v>41848</v>
      </c>
      <c r="N6818" s="5"/>
      <c r="O6818">
        <v>74.88</v>
      </c>
      <c r="P6818">
        <v>253</v>
      </c>
      <c r="Q6818" s="2">
        <v>18944.64</v>
      </c>
      <c r="R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 s="1">
        <v>42382</v>
      </c>
      <c r="AC6818" t="s">
        <v>53</v>
      </c>
      <c r="AD6818" t="s">
        <v>53</v>
      </c>
      <c r="AK6818">
        <v>0</v>
      </c>
      <c r="AU6818" s="6">
        <v>42101</v>
      </c>
      <c r="AV6818" s="6">
        <v>42101</v>
      </c>
      <c r="AW6818" t="s">
        <v>54</v>
      </c>
      <c r="AX6818" t="str">
        <f t="shared" si="566"/>
        <v>FOR</v>
      </c>
      <c r="AY6818" t="s">
        <v>55</v>
      </c>
    </row>
    <row r="6819" spans="1:51" hidden="1">
      <c r="A6819">
        <v>104093</v>
      </c>
      <c r="B6819" t="s">
        <v>1210</v>
      </c>
      <c r="C6819" t="str">
        <f t="shared" si="567"/>
        <v>06032681006</v>
      </c>
      <c r="D6819" t="str">
        <f t="shared" si="568"/>
        <v>12572900152</v>
      </c>
      <c r="E6819" t="s">
        <v>52</v>
      </c>
      <c r="F6819">
        <v>2014</v>
      </c>
      <c r="G6819">
        <v>25176235</v>
      </c>
      <c r="H6819" s="1">
        <v>41745</v>
      </c>
      <c r="I6819" s="1">
        <v>41758</v>
      </c>
      <c r="J6819" s="1">
        <v>41758</v>
      </c>
      <c r="K6819" s="1">
        <v>41848</v>
      </c>
      <c r="N6819" s="5"/>
      <c r="O6819">
        <v>74.88</v>
      </c>
      <c r="P6819">
        <v>253</v>
      </c>
      <c r="Q6819" s="2">
        <v>18944.64</v>
      </c>
      <c r="R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 s="1">
        <v>42382</v>
      </c>
      <c r="AC6819" t="s">
        <v>53</v>
      </c>
      <c r="AD6819" t="s">
        <v>53</v>
      </c>
      <c r="AK6819">
        <v>0</v>
      </c>
      <c r="AU6819" s="6">
        <v>42101</v>
      </c>
      <c r="AV6819" s="6">
        <v>42101</v>
      </c>
      <c r="AW6819" t="s">
        <v>54</v>
      </c>
      <c r="AX6819" t="str">
        <f t="shared" si="566"/>
        <v>FOR</v>
      </c>
      <c r="AY6819" t="s">
        <v>55</v>
      </c>
    </row>
    <row r="6820" spans="1:51" hidden="1">
      <c r="A6820">
        <v>104093</v>
      </c>
      <c r="B6820" t="s">
        <v>1210</v>
      </c>
      <c r="C6820" t="str">
        <f t="shared" si="567"/>
        <v>06032681006</v>
      </c>
      <c r="D6820" t="str">
        <f t="shared" si="568"/>
        <v>12572900152</v>
      </c>
      <c r="E6820" t="s">
        <v>52</v>
      </c>
      <c r="F6820">
        <v>2014</v>
      </c>
      <c r="G6820">
        <v>25176236</v>
      </c>
      <c r="H6820" s="1">
        <v>41745</v>
      </c>
      <c r="I6820" s="1">
        <v>41758</v>
      </c>
      <c r="J6820" s="1">
        <v>41758</v>
      </c>
      <c r="K6820" s="1">
        <v>41848</v>
      </c>
      <c r="N6820" s="5"/>
      <c r="O6820">
        <v>74.88</v>
      </c>
      <c r="P6820">
        <v>253</v>
      </c>
      <c r="Q6820" s="2">
        <v>18944.64</v>
      </c>
      <c r="R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 s="1">
        <v>42382</v>
      </c>
      <c r="AC6820" t="s">
        <v>53</v>
      </c>
      <c r="AD6820" t="s">
        <v>53</v>
      </c>
      <c r="AK6820">
        <v>0</v>
      </c>
      <c r="AU6820" s="6">
        <v>42101</v>
      </c>
      <c r="AV6820" s="6">
        <v>42101</v>
      </c>
      <c r="AW6820" t="s">
        <v>54</v>
      </c>
      <c r="AX6820" t="str">
        <f t="shared" si="566"/>
        <v>FOR</v>
      </c>
      <c r="AY6820" t="s">
        <v>55</v>
      </c>
    </row>
    <row r="6821" spans="1:51" hidden="1">
      <c r="A6821">
        <v>104093</v>
      </c>
      <c r="B6821" t="s">
        <v>1210</v>
      </c>
      <c r="C6821" t="str">
        <f t="shared" si="567"/>
        <v>06032681006</v>
      </c>
      <c r="D6821" t="str">
        <f t="shared" si="568"/>
        <v>12572900152</v>
      </c>
      <c r="E6821" t="s">
        <v>52</v>
      </c>
      <c r="F6821">
        <v>2014</v>
      </c>
      <c r="G6821">
        <v>25176324</v>
      </c>
      <c r="H6821" s="1">
        <v>41745</v>
      </c>
      <c r="I6821" s="1">
        <v>41758</v>
      </c>
      <c r="J6821" s="1">
        <v>41758</v>
      </c>
      <c r="K6821" s="1">
        <v>41848</v>
      </c>
      <c r="N6821" s="5"/>
      <c r="O6821" s="2">
        <v>3623.4</v>
      </c>
      <c r="P6821">
        <v>213</v>
      </c>
      <c r="Q6821" s="2">
        <v>771784.2</v>
      </c>
      <c r="R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 s="1">
        <v>42382</v>
      </c>
      <c r="AC6821" t="s">
        <v>53</v>
      </c>
      <c r="AD6821" t="s">
        <v>53</v>
      </c>
      <c r="AK6821">
        <v>0</v>
      </c>
      <c r="AU6821" s="6">
        <v>42061</v>
      </c>
      <c r="AV6821" s="6">
        <v>42061</v>
      </c>
      <c r="AW6821" t="s">
        <v>54</v>
      </c>
      <c r="AX6821" t="str">
        <f t="shared" si="566"/>
        <v>FOR</v>
      </c>
      <c r="AY6821" t="s">
        <v>55</v>
      </c>
    </row>
    <row r="6822" spans="1:51" hidden="1">
      <c r="A6822">
        <v>104093</v>
      </c>
      <c r="B6822" t="s">
        <v>1210</v>
      </c>
      <c r="C6822" t="str">
        <f t="shared" si="567"/>
        <v>06032681006</v>
      </c>
      <c r="D6822" t="str">
        <f t="shared" si="568"/>
        <v>12572900152</v>
      </c>
      <c r="E6822" t="s">
        <v>52</v>
      </c>
      <c r="F6822">
        <v>2014</v>
      </c>
      <c r="G6822">
        <v>25176817</v>
      </c>
      <c r="H6822" s="1">
        <v>41747</v>
      </c>
      <c r="I6822" s="1">
        <v>41778</v>
      </c>
      <c r="J6822" s="1">
        <v>41778</v>
      </c>
      <c r="K6822" s="1">
        <v>41868</v>
      </c>
      <c r="N6822" s="5"/>
      <c r="O6822" s="2">
        <v>5392.4</v>
      </c>
      <c r="P6822">
        <v>193</v>
      </c>
      <c r="Q6822" s="2">
        <v>1040733.2</v>
      </c>
      <c r="R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 s="1">
        <v>42382</v>
      </c>
      <c r="AC6822" t="s">
        <v>53</v>
      </c>
      <c r="AD6822" t="s">
        <v>53</v>
      </c>
      <c r="AK6822">
        <v>0</v>
      </c>
      <c r="AU6822" s="6">
        <v>42061</v>
      </c>
      <c r="AV6822" s="6">
        <v>42061</v>
      </c>
      <c r="AW6822" t="s">
        <v>54</v>
      </c>
      <c r="AX6822" t="str">
        <f t="shared" si="566"/>
        <v>FOR</v>
      </c>
      <c r="AY6822" t="s">
        <v>55</v>
      </c>
    </row>
    <row r="6823" spans="1:51" hidden="1">
      <c r="A6823">
        <v>104093</v>
      </c>
      <c r="B6823" t="s">
        <v>1210</v>
      </c>
      <c r="C6823" t="str">
        <f t="shared" si="567"/>
        <v>06032681006</v>
      </c>
      <c r="D6823" t="str">
        <f t="shared" si="568"/>
        <v>12572900152</v>
      </c>
      <c r="E6823" t="s">
        <v>52</v>
      </c>
      <c r="F6823">
        <v>2014</v>
      </c>
      <c r="G6823">
        <v>25177488</v>
      </c>
      <c r="H6823" s="1">
        <v>41753</v>
      </c>
      <c r="I6823" s="1">
        <v>41781</v>
      </c>
      <c r="J6823" s="1">
        <v>41781</v>
      </c>
      <c r="K6823" s="1">
        <v>41871</v>
      </c>
      <c r="N6823" s="5"/>
      <c r="O6823">
        <v>74.88</v>
      </c>
      <c r="P6823">
        <v>230</v>
      </c>
      <c r="Q6823" s="2">
        <v>17222.400000000001</v>
      </c>
      <c r="R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 s="1">
        <v>42382</v>
      </c>
      <c r="AC6823" t="s">
        <v>53</v>
      </c>
      <c r="AD6823" t="s">
        <v>53</v>
      </c>
      <c r="AK6823">
        <v>0</v>
      </c>
      <c r="AU6823" s="6">
        <v>42101</v>
      </c>
      <c r="AV6823" s="6">
        <v>42101</v>
      </c>
      <c r="AW6823" t="s">
        <v>54</v>
      </c>
      <c r="AX6823" t="str">
        <f t="shared" si="566"/>
        <v>FOR</v>
      </c>
      <c r="AY6823" t="s">
        <v>55</v>
      </c>
    </row>
    <row r="6824" spans="1:51" hidden="1">
      <c r="A6824">
        <v>104093</v>
      </c>
      <c r="B6824" t="s">
        <v>1210</v>
      </c>
      <c r="C6824" t="str">
        <f t="shared" si="567"/>
        <v>06032681006</v>
      </c>
      <c r="D6824" t="str">
        <f t="shared" si="568"/>
        <v>12572900152</v>
      </c>
      <c r="E6824" t="s">
        <v>52</v>
      </c>
      <c r="F6824">
        <v>2014</v>
      </c>
      <c r="G6824">
        <v>25177489</v>
      </c>
      <c r="H6824" s="1">
        <v>41753</v>
      </c>
      <c r="I6824" s="1">
        <v>41781</v>
      </c>
      <c r="J6824" s="1">
        <v>41781</v>
      </c>
      <c r="K6824" s="1">
        <v>41871</v>
      </c>
      <c r="N6824" s="5"/>
      <c r="O6824">
        <v>707.62</v>
      </c>
      <c r="P6824">
        <v>230</v>
      </c>
      <c r="Q6824" s="2">
        <v>162752.6</v>
      </c>
      <c r="R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 s="1">
        <v>42382</v>
      </c>
      <c r="AC6824" t="s">
        <v>53</v>
      </c>
      <c r="AD6824" t="s">
        <v>53</v>
      </c>
      <c r="AK6824">
        <v>0</v>
      </c>
      <c r="AU6824" s="6">
        <v>42101</v>
      </c>
      <c r="AV6824" s="6">
        <v>42101</v>
      </c>
      <c r="AW6824" t="s">
        <v>54</v>
      </c>
      <c r="AX6824" t="str">
        <f t="shared" si="566"/>
        <v>FOR</v>
      </c>
      <c r="AY6824" t="s">
        <v>55</v>
      </c>
    </row>
    <row r="6825" spans="1:51" hidden="1">
      <c r="A6825">
        <v>104093</v>
      </c>
      <c r="B6825" t="s">
        <v>1210</v>
      </c>
      <c r="C6825" t="str">
        <f t="shared" si="567"/>
        <v>06032681006</v>
      </c>
      <c r="D6825" t="str">
        <f t="shared" si="568"/>
        <v>12572900152</v>
      </c>
      <c r="E6825" t="s">
        <v>52</v>
      </c>
      <c r="F6825">
        <v>2014</v>
      </c>
      <c r="G6825">
        <v>25177490</v>
      </c>
      <c r="H6825" s="1">
        <v>41753</v>
      </c>
      <c r="I6825" s="1">
        <v>41781</v>
      </c>
      <c r="J6825" s="1">
        <v>41781</v>
      </c>
      <c r="K6825" s="1">
        <v>41871</v>
      </c>
      <c r="N6825" s="5"/>
      <c r="O6825">
        <v>252.72</v>
      </c>
      <c r="P6825">
        <v>230</v>
      </c>
      <c r="Q6825" s="2">
        <v>58125.599999999999</v>
      </c>
      <c r="R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 s="1">
        <v>42382</v>
      </c>
      <c r="AC6825" t="s">
        <v>53</v>
      </c>
      <c r="AD6825" t="s">
        <v>53</v>
      </c>
      <c r="AK6825">
        <v>0</v>
      </c>
      <c r="AU6825" s="6">
        <v>42101</v>
      </c>
      <c r="AV6825" s="6">
        <v>42101</v>
      </c>
      <c r="AW6825" t="s">
        <v>54</v>
      </c>
      <c r="AX6825" t="str">
        <f t="shared" si="566"/>
        <v>FOR</v>
      </c>
      <c r="AY6825" t="s">
        <v>55</v>
      </c>
    </row>
    <row r="6826" spans="1:51" hidden="1">
      <c r="A6826">
        <v>104093</v>
      </c>
      <c r="B6826" t="s">
        <v>1210</v>
      </c>
      <c r="C6826" t="str">
        <f t="shared" si="567"/>
        <v>06032681006</v>
      </c>
      <c r="D6826" t="str">
        <f t="shared" si="568"/>
        <v>12572900152</v>
      </c>
      <c r="E6826" t="s">
        <v>52</v>
      </c>
      <c r="F6826">
        <v>2014</v>
      </c>
      <c r="G6826">
        <v>25177491</v>
      </c>
      <c r="H6826" s="1">
        <v>41753</v>
      </c>
      <c r="I6826" s="1">
        <v>41781</v>
      </c>
      <c r="J6826" s="1">
        <v>41781</v>
      </c>
      <c r="K6826" s="1">
        <v>41871</v>
      </c>
      <c r="N6826" s="5"/>
      <c r="O6826">
        <v>252.72</v>
      </c>
      <c r="P6826">
        <v>230</v>
      </c>
      <c r="Q6826" s="2">
        <v>58125.599999999999</v>
      </c>
      <c r="R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 s="1">
        <v>42382</v>
      </c>
      <c r="AC6826" t="s">
        <v>53</v>
      </c>
      <c r="AD6826" t="s">
        <v>53</v>
      </c>
      <c r="AK6826">
        <v>0</v>
      </c>
      <c r="AU6826" s="6">
        <v>42101</v>
      </c>
      <c r="AV6826" s="6">
        <v>42101</v>
      </c>
      <c r="AW6826" t="s">
        <v>54</v>
      </c>
      <c r="AX6826" t="str">
        <f t="shared" si="566"/>
        <v>FOR</v>
      </c>
      <c r="AY6826" t="s">
        <v>55</v>
      </c>
    </row>
    <row r="6827" spans="1:51" hidden="1">
      <c r="A6827">
        <v>104093</v>
      </c>
      <c r="B6827" t="s">
        <v>1210</v>
      </c>
      <c r="C6827" t="str">
        <f t="shared" si="567"/>
        <v>06032681006</v>
      </c>
      <c r="D6827" t="str">
        <f t="shared" si="568"/>
        <v>12572900152</v>
      </c>
      <c r="E6827" t="s">
        <v>52</v>
      </c>
      <c r="F6827">
        <v>2014</v>
      </c>
      <c r="G6827">
        <v>25177492</v>
      </c>
      <c r="H6827" s="1">
        <v>41753</v>
      </c>
      <c r="I6827" s="1">
        <v>41781</v>
      </c>
      <c r="J6827" s="1">
        <v>41781</v>
      </c>
      <c r="K6827" s="1">
        <v>41871</v>
      </c>
      <c r="N6827" s="5"/>
      <c r="O6827">
        <v>74.88</v>
      </c>
      <c r="P6827">
        <v>230</v>
      </c>
      <c r="Q6827" s="2">
        <v>17222.400000000001</v>
      </c>
      <c r="R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 s="1">
        <v>42382</v>
      </c>
      <c r="AC6827" t="s">
        <v>53</v>
      </c>
      <c r="AD6827" t="s">
        <v>53</v>
      </c>
      <c r="AK6827">
        <v>0</v>
      </c>
      <c r="AU6827" s="6">
        <v>42101</v>
      </c>
      <c r="AV6827" s="6">
        <v>42101</v>
      </c>
      <c r="AW6827" t="s">
        <v>54</v>
      </c>
      <c r="AX6827" t="str">
        <f t="shared" si="566"/>
        <v>FOR</v>
      </c>
      <c r="AY6827" t="s">
        <v>55</v>
      </c>
    </row>
    <row r="6828" spans="1:51" hidden="1">
      <c r="A6828">
        <v>104093</v>
      </c>
      <c r="B6828" t="s">
        <v>1210</v>
      </c>
      <c r="C6828" t="str">
        <f t="shared" si="567"/>
        <v>06032681006</v>
      </c>
      <c r="D6828" t="str">
        <f t="shared" si="568"/>
        <v>12572900152</v>
      </c>
      <c r="E6828" t="s">
        <v>52</v>
      </c>
      <c r="F6828">
        <v>2014</v>
      </c>
      <c r="G6828">
        <v>25177493</v>
      </c>
      <c r="H6828" s="1">
        <v>41753</v>
      </c>
      <c r="I6828" s="1">
        <v>41781</v>
      </c>
      <c r="J6828" s="1">
        <v>41781</v>
      </c>
      <c r="K6828" s="1">
        <v>41871</v>
      </c>
      <c r="N6828" s="5"/>
      <c r="O6828">
        <v>252.72</v>
      </c>
      <c r="P6828">
        <v>230</v>
      </c>
      <c r="Q6828" s="2">
        <v>58125.599999999999</v>
      </c>
      <c r="R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 s="1">
        <v>42382</v>
      </c>
      <c r="AC6828" t="s">
        <v>53</v>
      </c>
      <c r="AD6828" t="s">
        <v>53</v>
      </c>
      <c r="AK6828">
        <v>0</v>
      </c>
      <c r="AU6828" s="6">
        <v>42101</v>
      </c>
      <c r="AV6828" s="6">
        <v>42101</v>
      </c>
      <c r="AW6828" t="s">
        <v>54</v>
      </c>
      <c r="AX6828" t="str">
        <f t="shared" si="566"/>
        <v>FOR</v>
      </c>
      <c r="AY6828" t="s">
        <v>55</v>
      </c>
    </row>
    <row r="6829" spans="1:51" hidden="1">
      <c r="A6829">
        <v>104093</v>
      </c>
      <c r="B6829" t="s">
        <v>1210</v>
      </c>
      <c r="C6829" t="str">
        <f t="shared" si="567"/>
        <v>06032681006</v>
      </c>
      <c r="D6829" t="str">
        <f t="shared" si="568"/>
        <v>12572900152</v>
      </c>
      <c r="E6829" t="s">
        <v>52</v>
      </c>
      <c r="F6829">
        <v>2014</v>
      </c>
      <c r="G6829">
        <v>25177494</v>
      </c>
      <c r="H6829" s="1">
        <v>41753</v>
      </c>
      <c r="I6829" s="1">
        <v>41781</v>
      </c>
      <c r="J6829" s="1">
        <v>41781</v>
      </c>
      <c r="K6829" s="1">
        <v>41871</v>
      </c>
      <c r="N6829" s="5"/>
      <c r="O6829">
        <v>74.88</v>
      </c>
      <c r="P6829">
        <v>230</v>
      </c>
      <c r="Q6829" s="2">
        <v>17222.400000000001</v>
      </c>
      <c r="R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 s="1">
        <v>42382</v>
      </c>
      <c r="AC6829" t="s">
        <v>53</v>
      </c>
      <c r="AD6829" t="s">
        <v>53</v>
      </c>
      <c r="AK6829">
        <v>0</v>
      </c>
      <c r="AU6829" s="6">
        <v>42101</v>
      </c>
      <c r="AV6829" s="6">
        <v>42101</v>
      </c>
      <c r="AW6829" t="s">
        <v>54</v>
      </c>
      <c r="AX6829" t="str">
        <f t="shared" si="566"/>
        <v>FOR</v>
      </c>
      <c r="AY6829" t="s">
        <v>55</v>
      </c>
    </row>
    <row r="6830" spans="1:51" hidden="1">
      <c r="A6830">
        <v>104093</v>
      </c>
      <c r="B6830" t="s">
        <v>1210</v>
      </c>
      <c r="C6830" t="str">
        <f t="shared" si="567"/>
        <v>06032681006</v>
      </c>
      <c r="D6830" t="str">
        <f t="shared" si="568"/>
        <v>12572900152</v>
      </c>
      <c r="E6830" t="s">
        <v>52</v>
      </c>
      <c r="F6830">
        <v>2014</v>
      </c>
      <c r="G6830">
        <v>25177495</v>
      </c>
      <c r="H6830" s="1">
        <v>41753</v>
      </c>
      <c r="I6830" s="1">
        <v>41781</v>
      </c>
      <c r="J6830" s="1">
        <v>41781</v>
      </c>
      <c r="K6830" s="1">
        <v>41871</v>
      </c>
      <c r="N6830" s="5"/>
      <c r="O6830">
        <v>707.62</v>
      </c>
      <c r="P6830">
        <v>230</v>
      </c>
      <c r="Q6830" s="2">
        <v>162752.6</v>
      </c>
      <c r="R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 s="1">
        <v>42382</v>
      </c>
      <c r="AC6830" t="s">
        <v>53</v>
      </c>
      <c r="AD6830" t="s">
        <v>53</v>
      </c>
      <c r="AK6830">
        <v>0</v>
      </c>
      <c r="AU6830" s="6">
        <v>42101</v>
      </c>
      <c r="AV6830" s="6">
        <v>42101</v>
      </c>
      <c r="AW6830" t="s">
        <v>54</v>
      </c>
      <c r="AX6830" t="str">
        <f t="shared" si="566"/>
        <v>FOR</v>
      </c>
      <c r="AY6830" t="s">
        <v>55</v>
      </c>
    </row>
    <row r="6831" spans="1:51" hidden="1">
      <c r="A6831">
        <v>104093</v>
      </c>
      <c r="B6831" t="s">
        <v>1210</v>
      </c>
      <c r="C6831" t="str">
        <f t="shared" si="567"/>
        <v>06032681006</v>
      </c>
      <c r="D6831" t="str">
        <f t="shared" si="568"/>
        <v>12572900152</v>
      </c>
      <c r="E6831" t="s">
        <v>52</v>
      </c>
      <c r="F6831">
        <v>2014</v>
      </c>
      <c r="G6831">
        <v>25178190</v>
      </c>
      <c r="H6831" s="1">
        <v>41758</v>
      </c>
      <c r="I6831" s="1">
        <v>41778</v>
      </c>
      <c r="J6831" s="1">
        <v>41778</v>
      </c>
      <c r="K6831" s="1">
        <v>41868</v>
      </c>
      <c r="N6831" s="5"/>
      <c r="O6831">
        <v>854</v>
      </c>
      <c r="P6831">
        <v>233</v>
      </c>
      <c r="Q6831" s="2">
        <v>198982</v>
      </c>
      <c r="R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 s="1">
        <v>42382</v>
      </c>
      <c r="AC6831" t="s">
        <v>53</v>
      </c>
      <c r="AD6831" t="s">
        <v>53</v>
      </c>
      <c r="AK6831">
        <v>0</v>
      </c>
      <c r="AU6831" s="6">
        <v>42101</v>
      </c>
      <c r="AV6831" s="6">
        <v>42101</v>
      </c>
      <c r="AW6831" t="s">
        <v>54</v>
      </c>
      <c r="AX6831" t="str">
        <f t="shared" si="566"/>
        <v>FOR</v>
      </c>
      <c r="AY6831" t="s">
        <v>55</v>
      </c>
    </row>
    <row r="6832" spans="1:51" hidden="1">
      <c r="A6832">
        <v>104093</v>
      </c>
      <c r="B6832" t="s">
        <v>1210</v>
      </c>
      <c r="C6832" t="str">
        <f t="shared" si="567"/>
        <v>06032681006</v>
      </c>
      <c r="D6832" t="str">
        <f t="shared" si="568"/>
        <v>12572900152</v>
      </c>
      <c r="E6832" t="s">
        <v>52</v>
      </c>
      <c r="F6832">
        <v>2014</v>
      </c>
      <c r="G6832">
        <v>25178273</v>
      </c>
      <c r="H6832" s="1">
        <v>41758</v>
      </c>
      <c r="I6832" s="1">
        <v>41778</v>
      </c>
      <c r="J6832" s="1">
        <v>41778</v>
      </c>
      <c r="K6832" s="1">
        <v>41868</v>
      </c>
      <c r="N6832" s="5"/>
      <c r="O6832" s="2">
        <v>4781.42</v>
      </c>
      <c r="P6832">
        <v>193</v>
      </c>
      <c r="Q6832" s="2">
        <v>922814.06</v>
      </c>
      <c r="R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 s="1">
        <v>42382</v>
      </c>
      <c r="AC6832" t="s">
        <v>53</v>
      </c>
      <c r="AD6832" t="s">
        <v>53</v>
      </c>
      <c r="AK6832">
        <v>0</v>
      </c>
      <c r="AU6832" s="6">
        <v>42061</v>
      </c>
      <c r="AV6832" s="6">
        <v>42061</v>
      </c>
      <c r="AW6832" t="s">
        <v>54</v>
      </c>
      <c r="AX6832" t="str">
        <f t="shared" si="566"/>
        <v>FOR</v>
      </c>
      <c r="AY6832" t="s">
        <v>55</v>
      </c>
    </row>
    <row r="6833" spans="1:51" hidden="1">
      <c r="A6833">
        <v>104093</v>
      </c>
      <c r="B6833" t="s">
        <v>1210</v>
      </c>
      <c r="C6833" t="str">
        <f t="shared" si="567"/>
        <v>06032681006</v>
      </c>
      <c r="D6833" t="str">
        <f t="shared" si="568"/>
        <v>12572900152</v>
      </c>
      <c r="E6833" t="s">
        <v>52</v>
      </c>
      <c r="F6833">
        <v>2014</v>
      </c>
      <c r="G6833">
        <v>25178506</v>
      </c>
      <c r="H6833" s="1">
        <v>41759</v>
      </c>
      <c r="I6833" s="1">
        <v>41782</v>
      </c>
      <c r="J6833" s="1">
        <v>41782</v>
      </c>
      <c r="K6833" s="1">
        <v>41872</v>
      </c>
      <c r="N6833" s="5"/>
      <c r="O6833">
        <v>74.88</v>
      </c>
      <c r="P6833">
        <v>229</v>
      </c>
      <c r="Q6833" s="2">
        <v>17147.52</v>
      </c>
      <c r="R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 s="1">
        <v>42382</v>
      </c>
      <c r="AC6833" t="s">
        <v>53</v>
      </c>
      <c r="AD6833" t="s">
        <v>53</v>
      </c>
      <c r="AK6833">
        <v>0</v>
      </c>
      <c r="AU6833" s="6">
        <v>42101</v>
      </c>
      <c r="AV6833" s="6">
        <v>42101</v>
      </c>
      <c r="AW6833" t="s">
        <v>54</v>
      </c>
      <c r="AX6833" t="str">
        <f t="shared" si="566"/>
        <v>FOR</v>
      </c>
      <c r="AY6833" t="s">
        <v>55</v>
      </c>
    </row>
    <row r="6834" spans="1:51" hidden="1">
      <c r="A6834">
        <v>104093</v>
      </c>
      <c r="B6834" t="s">
        <v>1210</v>
      </c>
      <c r="C6834" t="str">
        <f t="shared" si="567"/>
        <v>06032681006</v>
      </c>
      <c r="D6834" t="str">
        <f t="shared" si="568"/>
        <v>12572900152</v>
      </c>
      <c r="E6834" t="s">
        <v>52</v>
      </c>
      <c r="F6834">
        <v>2014</v>
      </c>
      <c r="G6834">
        <v>25178507</v>
      </c>
      <c r="H6834" s="1">
        <v>41759</v>
      </c>
      <c r="I6834" s="1">
        <v>41782</v>
      </c>
      <c r="J6834" s="1">
        <v>41782</v>
      </c>
      <c r="K6834" s="1">
        <v>41872</v>
      </c>
      <c r="N6834" s="5"/>
      <c r="O6834">
        <v>707.62</v>
      </c>
      <c r="P6834">
        <v>229</v>
      </c>
      <c r="Q6834" s="2">
        <v>162044.98000000001</v>
      </c>
      <c r="R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 s="1">
        <v>42382</v>
      </c>
      <c r="AC6834" t="s">
        <v>53</v>
      </c>
      <c r="AD6834" t="s">
        <v>53</v>
      </c>
      <c r="AK6834">
        <v>0</v>
      </c>
      <c r="AU6834" s="6">
        <v>42101</v>
      </c>
      <c r="AV6834" s="6">
        <v>42101</v>
      </c>
      <c r="AW6834" t="s">
        <v>54</v>
      </c>
      <c r="AX6834" t="str">
        <f t="shared" si="566"/>
        <v>FOR</v>
      </c>
      <c r="AY6834" t="s">
        <v>55</v>
      </c>
    </row>
    <row r="6835" spans="1:51" hidden="1">
      <c r="A6835">
        <v>104093</v>
      </c>
      <c r="B6835" t="s">
        <v>1210</v>
      </c>
      <c r="C6835" t="str">
        <f t="shared" si="567"/>
        <v>06032681006</v>
      </c>
      <c r="D6835" t="str">
        <f t="shared" si="568"/>
        <v>12572900152</v>
      </c>
      <c r="E6835" t="s">
        <v>52</v>
      </c>
      <c r="F6835">
        <v>2014</v>
      </c>
      <c r="G6835">
        <v>25178508</v>
      </c>
      <c r="H6835" s="1">
        <v>41759</v>
      </c>
      <c r="I6835" s="1">
        <v>41782</v>
      </c>
      <c r="J6835" s="1">
        <v>41782</v>
      </c>
      <c r="K6835" s="1">
        <v>41872</v>
      </c>
      <c r="N6835" s="5"/>
      <c r="O6835">
        <v>74.88</v>
      </c>
      <c r="P6835">
        <v>229</v>
      </c>
      <c r="Q6835" s="2">
        <v>17147.52</v>
      </c>
      <c r="R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 s="1">
        <v>42382</v>
      </c>
      <c r="AC6835" t="s">
        <v>53</v>
      </c>
      <c r="AD6835" t="s">
        <v>53</v>
      </c>
      <c r="AK6835">
        <v>0</v>
      </c>
      <c r="AU6835" s="6">
        <v>42101</v>
      </c>
      <c r="AV6835" s="6">
        <v>42101</v>
      </c>
      <c r="AW6835" t="s">
        <v>54</v>
      </c>
      <c r="AX6835" t="str">
        <f t="shared" si="566"/>
        <v>FOR</v>
      </c>
      <c r="AY6835" t="s">
        <v>55</v>
      </c>
    </row>
    <row r="6836" spans="1:51" hidden="1">
      <c r="A6836">
        <v>104093</v>
      </c>
      <c r="B6836" t="s">
        <v>1210</v>
      </c>
      <c r="C6836" t="str">
        <f t="shared" si="567"/>
        <v>06032681006</v>
      </c>
      <c r="D6836" t="str">
        <f t="shared" si="568"/>
        <v>12572900152</v>
      </c>
      <c r="E6836" t="s">
        <v>52</v>
      </c>
      <c r="F6836">
        <v>2014</v>
      </c>
      <c r="G6836">
        <v>25178510</v>
      </c>
      <c r="H6836" s="1">
        <v>41759</v>
      </c>
      <c r="I6836" s="1">
        <v>41782</v>
      </c>
      <c r="J6836" s="1">
        <v>41782</v>
      </c>
      <c r="K6836" s="1">
        <v>41872</v>
      </c>
      <c r="N6836" s="5"/>
      <c r="O6836">
        <v>252.72</v>
      </c>
      <c r="P6836">
        <v>229</v>
      </c>
      <c r="Q6836" s="2">
        <v>57872.88</v>
      </c>
      <c r="R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 s="1">
        <v>42382</v>
      </c>
      <c r="AC6836" t="s">
        <v>53</v>
      </c>
      <c r="AD6836" t="s">
        <v>53</v>
      </c>
      <c r="AK6836">
        <v>0</v>
      </c>
      <c r="AU6836" s="6">
        <v>42101</v>
      </c>
      <c r="AV6836" s="6">
        <v>42101</v>
      </c>
      <c r="AW6836" t="s">
        <v>54</v>
      </c>
      <c r="AX6836" t="str">
        <f t="shared" si="566"/>
        <v>FOR</v>
      </c>
      <c r="AY6836" t="s">
        <v>55</v>
      </c>
    </row>
    <row r="6837" spans="1:51" hidden="1">
      <c r="A6837">
        <v>104093</v>
      </c>
      <c r="B6837" t="s">
        <v>1210</v>
      </c>
      <c r="C6837" t="str">
        <f t="shared" si="567"/>
        <v>06032681006</v>
      </c>
      <c r="D6837" t="str">
        <f t="shared" si="568"/>
        <v>12572900152</v>
      </c>
      <c r="E6837" t="s">
        <v>52</v>
      </c>
      <c r="F6837">
        <v>2014</v>
      </c>
      <c r="G6837">
        <v>25178539</v>
      </c>
      <c r="H6837" s="1">
        <v>41759</v>
      </c>
      <c r="I6837" s="1">
        <v>41782</v>
      </c>
      <c r="J6837" s="1">
        <v>41782</v>
      </c>
      <c r="K6837" s="1">
        <v>41872</v>
      </c>
      <c r="N6837" s="5"/>
      <c r="O6837">
        <v>707.62</v>
      </c>
      <c r="P6837">
        <v>229</v>
      </c>
      <c r="Q6837" s="2">
        <v>162044.98000000001</v>
      </c>
      <c r="R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 s="1">
        <v>42382</v>
      </c>
      <c r="AC6837" t="s">
        <v>53</v>
      </c>
      <c r="AD6837" t="s">
        <v>53</v>
      </c>
      <c r="AK6837">
        <v>0</v>
      </c>
      <c r="AU6837" s="6">
        <v>42101</v>
      </c>
      <c r="AV6837" s="6">
        <v>42101</v>
      </c>
      <c r="AW6837" t="s">
        <v>54</v>
      </c>
      <c r="AX6837" t="str">
        <f t="shared" si="566"/>
        <v>FOR</v>
      </c>
      <c r="AY6837" t="s">
        <v>55</v>
      </c>
    </row>
    <row r="6838" spans="1:51" hidden="1">
      <c r="A6838">
        <v>104093</v>
      </c>
      <c r="B6838" t="s">
        <v>1210</v>
      </c>
      <c r="C6838" t="str">
        <f t="shared" si="567"/>
        <v>06032681006</v>
      </c>
      <c r="D6838" t="str">
        <f t="shared" si="568"/>
        <v>12572900152</v>
      </c>
      <c r="E6838" t="s">
        <v>52</v>
      </c>
      <c r="F6838">
        <v>2014</v>
      </c>
      <c r="G6838">
        <v>25178540</v>
      </c>
      <c r="H6838" s="1">
        <v>41759</v>
      </c>
      <c r="I6838" s="1">
        <v>41782</v>
      </c>
      <c r="J6838" s="1">
        <v>41782</v>
      </c>
      <c r="K6838" s="1">
        <v>41872</v>
      </c>
      <c r="N6838" s="5"/>
      <c r="O6838">
        <v>252.72</v>
      </c>
      <c r="P6838">
        <v>229</v>
      </c>
      <c r="Q6838" s="2">
        <v>57872.88</v>
      </c>
      <c r="R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 s="1">
        <v>42382</v>
      </c>
      <c r="AC6838" t="s">
        <v>53</v>
      </c>
      <c r="AD6838" t="s">
        <v>53</v>
      </c>
      <c r="AK6838">
        <v>0</v>
      </c>
      <c r="AU6838" s="6">
        <v>42101</v>
      </c>
      <c r="AV6838" s="6">
        <v>42101</v>
      </c>
      <c r="AW6838" t="s">
        <v>54</v>
      </c>
      <c r="AX6838" t="str">
        <f t="shared" si="566"/>
        <v>FOR</v>
      </c>
      <c r="AY6838" t="s">
        <v>55</v>
      </c>
    </row>
    <row r="6839" spans="1:51" hidden="1">
      <c r="A6839">
        <v>104093</v>
      </c>
      <c r="B6839" t="s">
        <v>1210</v>
      </c>
      <c r="C6839" t="str">
        <f t="shared" si="567"/>
        <v>06032681006</v>
      </c>
      <c r="D6839" t="str">
        <f t="shared" si="568"/>
        <v>12572900152</v>
      </c>
      <c r="E6839" t="s">
        <v>52</v>
      </c>
      <c r="F6839">
        <v>2014</v>
      </c>
      <c r="G6839">
        <v>25178541</v>
      </c>
      <c r="H6839" s="1">
        <v>41759</v>
      </c>
      <c r="I6839" s="1">
        <v>41782</v>
      </c>
      <c r="J6839" s="1">
        <v>41782</v>
      </c>
      <c r="K6839" s="1">
        <v>41872</v>
      </c>
      <c r="N6839" s="5"/>
      <c r="O6839">
        <v>74.88</v>
      </c>
      <c r="P6839">
        <v>229</v>
      </c>
      <c r="Q6839" s="2">
        <v>17147.52</v>
      </c>
      <c r="R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 s="1">
        <v>42382</v>
      </c>
      <c r="AC6839" t="s">
        <v>53</v>
      </c>
      <c r="AD6839" t="s">
        <v>53</v>
      </c>
      <c r="AK6839">
        <v>0</v>
      </c>
      <c r="AU6839" s="6">
        <v>42101</v>
      </c>
      <c r="AV6839" s="6">
        <v>42101</v>
      </c>
      <c r="AW6839" t="s">
        <v>54</v>
      </c>
      <c r="AX6839" t="str">
        <f t="shared" si="566"/>
        <v>FOR</v>
      </c>
      <c r="AY6839" t="s">
        <v>55</v>
      </c>
    </row>
    <row r="6840" spans="1:51" hidden="1">
      <c r="A6840">
        <v>104093</v>
      </c>
      <c r="B6840" t="s">
        <v>1210</v>
      </c>
      <c r="C6840" t="str">
        <f t="shared" si="567"/>
        <v>06032681006</v>
      </c>
      <c r="D6840" t="str">
        <f t="shared" si="568"/>
        <v>12572900152</v>
      </c>
      <c r="E6840" t="s">
        <v>52</v>
      </c>
      <c r="F6840">
        <v>2014</v>
      </c>
      <c r="G6840">
        <v>25178542</v>
      </c>
      <c r="H6840" s="1">
        <v>41759</v>
      </c>
      <c r="I6840" s="1">
        <v>41782</v>
      </c>
      <c r="J6840" s="1">
        <v>41782</v>
      </c>
      <c r="K6840" s="1">
        <v>41872</v>
      </c>
      <c r="N6840" s="5"/>
      <c r="O6840">
        <v>707.62</v>
      </c>
      <c r="P6840">
        <v>229</v>
      </c>
      <c r="Q6840" s="2">
        <v>162044.98000000001</v>
      </c>
      <c r="R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 s="1">
        <v>42382</v>
      </c>
      <c r="AC6840" t="s">
        <v>53</v>
      </c>
      <c r="AD6840" t="s">
        <v>53</v>
      </c>
      <c r="AK6840">
        <v>0</v>
      </c>
      <c r="AU6840" s="6">
        <v>42101</v>
      </c>
      <c r="AV6840" s="6">
        <v>42101</v>
      </c>
      <c r="AW6840" t="s">
        <v>54</v>
      </c>
      <c r="AX6840" t="str">
        <f t="shared" si="566"/>
        <v>FOR</v>
      </c>
      <c r="AY6840" t="s">
        <v>55</v>
      </c>
    </row>
    <row r="6841" spans="1:51" hidden="1">
      <c r="A6841">
        <v>104093</v>
      </c>
      <c r="B6841" t="s">
        <v>1210</v>
      </c>
      <c r="C6841" t="str">
        <f t="shared" si="567"/>
        <v>06032681006</v>
      </c>
      <c r="D6841" t="str">
        <f t="shared" si="568"/>
        <v>12572900152</v>
      </c>
      <c r="E6841" t="s">
        <v>52</v>
      </c>
      <c r="F6841">
        <v>2014</v>
      </c>
      <c r="G6841">
        <v>25178543</v>
      </c>
      <c r="H6841" s="1">
        <v>41759</v>
      </c>
      <c r="I6841" s="1">
        <v>41782</v>
      </c>
      <c r="J6841" s="1">
        <v>41782</v>
      </c>
      <c r="K6841" s="1">
        <v>41872</v>
      </c>
      <c r="N6841" s="5"/>
      <c r="O6841">
        <v>252.72</v>
      </c>
      <c r="P6841">
        <v>229</v>
      </c>
      <c r="Q6841" s="2">
        <v>57872.88</v>
      </c>
      <c r="R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 s="1">
        <v>42382</v>
      </c>
      <c r="AC6841" t="s">
        <v>53</v>
      </c>
      <c r="AD6841" t="s">
        <v>53</v>
      </c>
      <c r="AK6841">
        <v>0</v>
      </c>
      <c r="AU6841" s="6">
        <v>42101</v>
      </c>
      <c r="AV6841" s="6">
        <v>42101</v>
      </c>
      <c r="AW6841" t="s">
        <v>54</v>
      </c>
      <c r="AX6841" t="str">
        <f t="shared" si="566"/>
        <v>FOR</v>
      </c>
      <c r="AY6841" t="s">
        <v>55</v>
      </c>
    </row>
    <row r="6842" spans="1:51" hidden="1">
      <c r="A6842">
        <v>104093</v>
      </c>
      <c r="B6842" t="s">
        <v>1210</v>
      </c>
      <c r="C6842" t="str">
        <f t="shared" si="567"/>
        <v>06032681006</v>
      </c>
      <c r="D6842" t="str">
        <f t="shared" si="568"/>
        <v>12572900152</v>
      </c>
      <c r="E6842" t="s">
        <v>52</v>
      </c>
      <c r="F6842">
        <v>2014</v>
      </c>
      <c r="G6842">
        <v>25178697</v>
      </c>
      <c r="H6842" s="1">
        <v>41759</v>
      </c>
      <c r="I6842" s="1">
        <v>41782</v>
      </c>
      <c r="J6842" s="1">
        <v>41782</v>
      </c>
      <c r="K6842" s="1">
        <v>41872</v>
      </c>
      <c r="N6842" s="5"/>
      <c r="O6842">
        <v>707.62</v>
      </c>
      <c r="P6842">
        <v>229</v>
      </c>
      <c r="Q6842" s="2">
        <v>162044.98000000001</v>
      </c>
      <c r="R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 s="1">
        <v>42382</v>
      </c>
      <c r="AC6842" t="s">
        <v>53</v>
      </c>
      <c r="AD6842" t="s">
        <v>53</v>
      </c>
      <c r="AK6842">
        <v>0</v>
      </c>
      <c r="AU6842" s="6">
        <v>42101</v>
      </c>
      <c r="AV6842" s="6">
        <v>42101</v>
      </c>
      <c r="AW6842" t="s">
        <v>54</v>
      </c>
      <c r="AX6842" t="str">
        <f t="shared" si="566"/>
        <v>FOR</v>
      </c>
      <c r="AY6842" t="s">
        <v>55</v>
      </c>
    </row>
    <row r="6843" spans="1:51" hidden="1">
      <c r="A6843">
        <v>104093</v>
      </c>
      <c r="B6843" t="s">
        <v>1210</v>
      </c>
      <c r="C6843" t="str">
        <f t="shared" si="567"/>
        <v>06032681006</v>
      </c>
      <c r="D6843" t="str">
        <f t="shared" si="568"/>
        <v>12572900152</v>
      </c>
      <c r="E6843" t="s">
        <v>52</v>
      </c>
      <c r="F6843">
        <v>2014</v>
      </c>
      <c r="G6843">
        <v>25179306</v>
      </c>
      <c r="H6843" s="1">
        <v>41765</v>
      </c>
      <c r="I6843" s="1">
        <v>41782</v>
      </c>
      <c r="J6843" s="1">
        <v>41782</v>
      </c>
      <c r="K6843" s="1">
        <v>41872</v>
      </c>
      <c r="N6843" s="5"/>
      <c r="O6843">
        <v>403.42</v>
      </c>
      <c r="P6843">
        <v>258</v>
      </c>
      <c r="Q6843" s="2">
        <v>104082.36</v>
      </c>
      <c r="R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 s="1">
        <v>42382</v>
      </c>
      <c r="AC6843" t="s">
        <v>53</v>
      </c>
      <c r="AD6843" t="s">
        <v>53</v>
      </c>
      <c r="AK6843">
        <v>0</v>
      </c>
      <c r="AU6843" s="6">
        <v>42130</v>
      </c>
      <c r="AV6843" s="6">
        <v>42130</v>
      </c>
      <c r="AW6843" t="s">
        <v>54</v>
      </c>
      <c r="AX6843" t="str">
        <f t="shared" si="566"/>
        <v>FOR</v>
      </c>
      <c r="AY6843" t="s">
        <v>55</v>
      </c>
    </row>
    <row r="6844" spans="1:51" hidden="1">
      <c r="A6844">
        <v>104093</v>
      </c>
      <c r="B6844" t="s">
        <v>1210</v>
      </c>
      <c r="C6844" t="str">
        <f t="shared" si="567"/>
        <v>06032681006</v>
      </c>
      <c r="D6844" t="str">
        <f t="shared" si="568"/>
        <v>12572900152</v>
      </c>
      <c r="E6844" t="s">
        <v>52</v>
      </c>
      <c r="F6844">
        <v>2014</v>
      </c>
      <c r="G6844">
        <v>25180316</v>
      </c>
      <c r="H6844" s="1">
        <v>41771</v>
      </c>
      <c r="I6844" s="1">
        <v>41788</v>
      </c>
      <c r="J6844" s="1">
        <v>41788</v>
      </c>
      <c r="K6844" s="1">
        <v>41878</v>
      </c>
      <c r="N6844" s="5"/>
      <c r="O6844">
        <v>707.62</v>
      </c>
      <c r="P6844">
        <v>252</v>
      </c>
      <c r="Q6844" s="2">
        <v>178320.24</v>
      </c>
      <c r="R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 s="1">
        <v>42382</v>
      </c>
      <c r="AC6844" t="s">
        <v>53</v>
      </c>
      <c r="AD6844" t="s">
        <v>53</v>
      </c>
      <c r="AK6844">
        <v>0</v>
      </c>
      <c r="AU6844" s="6">
        <v>42130</v>
      </c>
      <c r="AV6844" s="6">
        <v>42130</v>
      </c>
      <c r="AW6844" t="s">
        <v>54</v>
      </c>
      <c r="AX6844" t="str">
        <f t="shared" si="566"/>
        <v>FOR</v>
      </c>
      <c r="AY6844" t="s">
        <v>55</v>
      </c>
    </row>
    <row r="6845" spans="1:51" hidden="1">
      <c r="A6845">
        <v>104093</v>
      </c>
      <c r="B6845" t="s">
        <v>1210</v>
      </c>
      <c r="C6845" t="str">
        <f t="shared" si="567"/>
        <v>06032681006</v>
      </c>
      <c r="D6845" t="str">
        <f t="shared" si="568"/>
        <v>12572900152</v>
      </c>
      <c r="E6845" t="s">
        <v>52</v>
      </c>
      <c r="F6845">
        <v>2014</v>
      </c>
      <c r="G6845">
        <v>25180317</v>
      </c>
      <c r="H6845" s="1">
        <v>41771</v>
      </c>
      <c r="I6845" s="1">
        <v>41788</v>
      </c>
      <c r="J6845" s="1">
        <v>41788</v>
      </c>
      <c r="K6845" s="1">
        <v>41878</v>
      </c>
      <c r="N6845" s="5"/>
      <c r="O6845">
        <v>74.88</v>
      </c>
      <c r="P6845">
        <v>252</v>
      </c>
      <c r="Q6845" s="2">
        <v>18869.759999999998</v>
      </c>
      <c r="R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 s="1">
        <v>42382</v>
      </c>
      <c r="AC6845" t="s">
        <v>53</v>
      </c>
      <c r="AD6845" t="s">
        <v>53</v>
      </c>
      <c r="AK6845">
        <v>0</v>
      </c>
      <c r="AU6845" s="6">
        <v>42130</v>
      </c>
      <c r="AV6845" s="6">
        <v>42130</v>
      </c>
      <c r="AW6845" t="s">
        <v>54</v>
      </c>
      <c r="AX6845" t="str">
        <f t="shared" si="566"/>
        <v>FOR</v>
      </c>
      <c r="AY6845" t="s">
        <v>55</v>
      </c>
    </row>
    <row r="6846" spans="1:51" hidden="1">
      <c r="A6846">
        <v>104093</v>
      </c>
      <c r="B6846" t="s">
        <v>1210</v>
      </c>
      <c r="C6846" t="str">
        <f t="shared" si="567"/>
        <v>06032681006</v>
      </c>
      <c r="D6846" t="str">
        <f t="shared" si="568"/>
        <v>12572900152</v>
      </c>
      <c r="E6846" t="s">
        <v>52</v>
      </c>
      <c r="F6846">
        <v>2014</v>
      </c>
      <c r="G6846">
        <v>25180394</v>
      </c>
      <c r="H6846" s="1">
        <v>41771</v>
      </c>
      <c r="I6846" s="1">
        <v>41788</v>
      </c>
      <c r="J6846" s="1">
        <v>41788</v>
      </c>
      <c r="K6846" s="1">
        <v>41878</v>
      </c>
      <c r="N6846" s="5"/>
      <c r="O6846">
        <v>252.72</v>
      </c>
      <c r="P6846">
        <v>252</v>
      </c>
      <c r="Q6846" s="2">
        <v>63685.440000000002</v>
      </c>
      <c r="R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 s="1">
        <v>42382</v>
      </c>
      <c r="AC6846" t="s">
        <v>53</v>
      </c>
      <c r="AD6846" t="s">
        <v>53</v>
      </c>
      <c r="AK6846">
        <v>0</v>
      </c>
      <c r="AU6846" s="6">
        <v>42130</v>
      </c>
      <c r="AV6846" s="6">
        <v>42130</v>
      </c>
      <c r="AW6846" t="s">
        <v>54</v>
      </c>
      <c r="AX6846" t="str">
        <f t="shared" si="566"/>
        <v>FOR</v>
      </c>
      <c r="AY6846" t="s">
        <v>55</v>
      </c>
    </row>
    <row r="6847" spans="1:51" hidden="1">
      <c r="A6847">
        <v>104093</v>
      </c>
      <c r="B6847" t="s">
        <v>1210</v>
      </c>
      <c r="C6847" t="str">
        <f t="shared" si="567"/>
        <v>06032681006</v>
      </c>
      <c r="D6847" t="str">
        <f t="shared" si="568"/>
        <v>12572900152</v>
      </c>
      <c r="E6847" t="s">
        <v>52</v>
      </c>
      <c r="F6847">
        <v>2014</v>
      </c>
      <c r="G6847">
        <v>25180602</v>
      </c>
      <c r="H6847" s="1">
        <v>41772</v>
      </c>
      <c r="I6847" s="1">
        <v>41796</v>
      </c>
      <c r="J6847" s="1">
        <v>41796</v>
      </c>
      <c r="K6847" s="1">
        <v>41886</v>
      </c>
      <c r="N6847" s="5"/>
      <c r="O6847">
        <v>936</v>
      </c>
      <c r="P6847">
        <v>244</v>
      </c>
      <c r="Q6847" s="2">
        <v>228384</v>
      </c>
      <c r="R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 s="1">
        <v>42382</v>
      </c>
      <c r="AC6847" t="s">
        <v>53</v>
      </c>
      <c r="AD6847" t="s">
        <v>53</v>
      </c>
      <c r="AK6847">
        <v>0</v>
      </c>
      <c r="AU6847" s="6">
        <v>42130</v>
      </c>
      <c r="AV6847" s="6">
        <v>42130</v>
      </c>
      <c r="AW6847" t="s">
        <v>54</v>
      </c>
      <c r="AX6847" t="str">
        <f t="shared" si="566"/>
        <v>FOR</v>
      </c>
      <c r="AY6847" t="s">
        <v>55</v>
      </c>
    </row>
    <row r="6848" spans="1:51" hidden="1">
      <c r="A6848">
        <v>104093</v>
      </c>
      <c r="B6848" t="s">
        <v>1210</v>
      </c>
      <c r="C6848" t="str">
        <f t="shared" si="567"/>
        <v>06032681006</v>
      </c>
      <c r="D6848" t="str">
        <f t="shared" si="568"/>
        <v>12572900152</v>
      </c>
      <c r="E6848" t="s">
        <v>52</v>
      </c>
      <c r="F6848">
        <v>2014</v>
      </c>
      <c r="G6848">
        <v>25180838</v>
      </c>
      <c r="H6848" s="1">
        <v>41773</v>
      </c>
      <c r="I6848" s="1">
        <v>41796</v>
      </c>
      <c r="J6848" s="1">
        <v>41796</v>
      </c>
      <c r="K6848" s="1">
        <v>41886</v>
      </c>
      <c r="N6848" s="5"/>
      <c r="O6848">
        <v>936</v>
      </c>
      <c r="P6848">
        <v>244</v>
      </c>
      <c r="Q6848" s="2">
        <v>228384</v>
      </c>
      <c r="R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 s="1">
        <v>42382</v>
      </c>
      <c r="AC6848" t="s">
        <v>53</v>
      </c>
      <c r="AD6848" t="s">
        <v>53</v>
      </c>
      <c r="AK6848">
        <v>0</v>
      </c>
      <c r="AU6848" s="6">
        <v>42130</v>
      </c>
      <c r="AV6848" s="6">
        <v>42130</v>
      </c>
      <c r="AW6848" t="s">
        <v>54</v>
      </c>
      <c r="AX6848" t="str">
        <f t="shared" si="566"/>
        <v>FOR</v>
      </c>
      <c r="AY6848" t="s">
        <v>55</v>
      </c>
    </row>
    <row r="6849" spans="1:51" hidden="1">
      <c r="A6849">
        <v>104093</v>
      </c>
      <c r="B6849" t="s">
        <v>1210</v>
      </c>
      <c r="C6849" t="str">
        <f t="shared" si="567"/>
        <v>06032681006</v>
      </c>
      <c r="D6849" t="str">
        <f t="shared" si="568"/>
        <v>12572900152</v>
      </c>
      <c r="E6849" t="s">
        <v>52</v>
      </c>
      <c r="F6849">
        <v>2014</v>
      </c>
      <c r="G6849">
        <v>25180839</v>
      </c>
      <c r="H6849" s="1">
        <v>41773</v>
      </c>
      <c r="I6849" s="1">
        <v>41796</v>
      </c>
      <c r="J6849" s="1">
        <v>41796</v>
      </c>
      <c r="K6849" s="1">
        <v>41886</v>
      </c>
      <c r="N6849" s="5"/>
      <c r="O6849">
        <v>936</v>
      </c>
      <c r="P6849">
        <v>244</v>
      </c>
      <c r="Q6849" s="2">
        <v>228384</v>
      </c>
      <c r="R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 s="1">
        <v>42382</v>
      </c>
      <c r="AC6849" t="s">
        <v>53</v>
      </c>
      <c r="AD6849" t="s">
        <v>53</v>
      </c>
      <c r="AK6849">
        <v>0</v>
      </c>
      <c r="AU6849" s="6">
        <v>42130</v>
      </c>
      <c r="AV6849" s="6">
        <v>42130</v>
      </c>
      <c r="AW6849" t="s">
        <v>54</v>
      </c>
      <c r="AX6849" t="str">
        <f t="shared" si="566"/>
        <v>FOR</v>
      </c>
      <c r="AY6849" t="s">
        <v>55</v>
      </c>
    </row>
    <row r="6850" spans="1:51" hidden="1">
      <c r="A6850">
        <v>104093</v>
      </c>
      <c r="B6850" t="s">
        <v>1210</v>
      </c>
      <c r="C6850" t="str">
        <f t="shared" si="567"/>
        <v>06032681006</v>
      </c>
      <c r="D6850" t="str">
        <f t="shared" si="568"/>
        <v>12572900152</v>
      </c>
      <c r="E6850" t="s">
        <v>52</v>
      </c>
      <c r="F6850">
        <v>2014</v>
      </c>
      <c r="G6850">
        <v>25180840</v>
      </c>
      <c r="H6850" s="1">
        <v>41773</v>
      </c>
      <c r="I6850" s="1">
        <v>41796</v>
      </c>
      <c r="J6850" s="1">
        <v>41796</v>
      </c>
      <c r="K6850" s="1">
        <v>41886</v>
      </c>
      <c r="N6850" s="5"/>
      <c r="O6850">
        <v>936</v>
      </c>
      <c r="P6850">
        <v>244</v>
      </c>
      <c r="Q6850" s="2">
        <v>228384</v>
      </c>
      <c r="R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 s="1">
        <v>42382</v>
      </c>
      <c r="AC6850" t="s">
        <v>53</v>
      </c>
      <c r="AD6850" t="s">
        <v>53</v>
      </c>
      <c r="AK6850">
        <v>0</v>
      </c>
      <c r="AU6850" s="6">
        <v>42130</v>
      </c>
      <c r="AV6850" s="6">
        <v>42130</v>
      </c>
      <c r="AW6850" t="s">
        <v>54</v>
      </c>
      <c r="AX6850" t="str">
        <f t="shared" si="566"/>
        <v>FOR</v>
      </c>
      <c r="AY6850" t="s">
        <v>55</v>
      </c>
    </row>
    <row r="6851" spans="1:51" hidden="1">
      <c r="A6851">
        <v>104093</v>
      </c>
      <c r="B6851" t="s">
        <v>1210</v>
      </c>
      <c r="C6851" t="str">
        <f t="shared" si="567"/>
        <v>06032681006</v>
      </c>
      <c r="D6851" t="str">
        <f t="shared" si="568"/>
        <v>12572900152</v>
      </c>
      <c r="E6851" t="s">
        <v>52</v>
      </c>
      <c r="F6851">
        <v>2014</v>
      </c>
      <c r="G6851">
        <v>25182974</v>
      </c>
      <c r="H6851" s="1">
        <v>41785</v>
      </c>
      <c r="I6851" s="1">
        <v>41796</v>
      </c>
      <c r="J6851" s="1">
        <v>41796</v>
      </c>
      <c r="K6851" s="1">
        <v>41886</v>
      </c>
      <c r="N6851" s="5"/>
      <c r="O6851" s="2">
        <v>3458.7</v>
      </c>
      <c r="P6851">
        <v>215</v>
      </c>
      <c r="Q6851" s="2">
        <v>743620.5</v>
      </c>
      <c r="R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 s="1">
        <v>42382</v>
      </c>
      <c r="AC6851" t="s">
        <v>53</v>
      </c>
      <c r="AD6851" t="s">
        <v>53</v>
      </c>
      <c r="AK6851">
        <v>0</v>
      </c>
      <c r="AU6851" s="6">
        <v>42101</v>
      </c>
      <c r="AV6851" s="6">
        <v>42101</v>
      </c>
      <c r="AW6851" t="s">
        <v>54</v>
      </c>
      <c r="AX6851" t="str">
        <f t="shared" ref="AX6851:AX6914" si="569">"FOR"</f>
        <v>FOR</v>
      </c>
      <c r="AY6851" t="s">
        <v>55</v>
      </c>
    </row>
    <row r="6852" spans="1:51" hidden="1">
      <c r="A6852">
        <v>104093</v>
      </c>
      <c r="B6852" t="s">
        <v>1210</v>
      </c>
      <c r="C6852" t="str">
        <f t="shared" si="567"/>
        <v>06032681006</v>
      </c>
      <c r="D6852" t="str">
        <f t="shared" si="568"/>
        <v>12572900152</v>
      </c>
      <c r="E6852" t="s">
        <v>52</v>
      </c>
      <c r="F6852">
        <v>2014</v>
      </c>
      <c r="G6852">
        <v>25183748</v>
      </c>
      <c r="H6852" s="1">
        <v>41788</v>
      </c>
      <c r="I6852" s="1">
        <v>41807</v>
      </c>
      <c r="J6852" s="1">
        <v>41807</v>
      </c>
      <c r="K6852" s="1">
        <v>41897</v>
      </c>
      <c r="N6852" s="5"/>
      <c r="O6852">
        <v>403.42</v>
      </c>
      <c r="P6852">
        <v>233</v>
      </c>
      <c r="Q6852" s="2">
        <v>93996.86</v>
      </c>
      <c r="R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 s="1">
        <v>42382</v>
      </c>
      <c r="AC6852" t="s">
        <v>53</v>
      </c>
      <c r="AD6852" t="s">
        <v>53</v>
      </c>
      <c r="AK6852">
        <v>0</v>
      </c>
      <c r="AU6852" s="6">
        <v>42130</v>
      </c>
      <c r="AV6852" s="6">
        <v>42130</v>
      </c>
      <c r="AW6852" t="s">
        <v>54</v>
      </c>
      <c r="AX6852" t="str">
        <f t="shared" si="569"/>
        <v>FOR</v>
      </c>
      <c r="AY6852" t="s">
        <v>55</v>
      </c>
    </row>
    <row r="6853" spans="1:51" hidden="1">
      <c r="A6853">
        <v>104093</v>
      </c>
      <c r="B6853" t="s">
        <v>1210</v>
      </c>
      <c r="C6853" t="str">
        <f t="shared" si="567"/>
        <v>06032681006</v>
      </c>
      <c r="D6853" t="str">
        <f t="shared" si="568"/>
        <v>12572900152</v>
      </c>
      <c r="E6853" t="s">
        <v>52</v>
      </c>
      <c r="F6853">
        <v>2014</v>
      </c>
      <c r="G6853">
        <v>25183749</v>
      </c>
      <c r="H6853" s="1">
        <v>41788</v>
      </c>
      <c r="I6853" s="1">
        <v>41807</v>
      </c>
      <c r="J6853" s="1">
        <v>41807</v>
      </c>
      <c r="K6853" s="1">
        <v>41897</v>
      </c>
      <c r="N6853" s="5"/>
      <c r="O6853">
        <v>74.88</v>
      </c>
      <c r="P6853">
        <v>233</v>
      </c>
      <c r="Q6853" s="2">
        <v>17447.04</v>
      </c>
      <c r="R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 s="1">
        <v>42382</v>
      </c>
      <c r="AC6853" t="s">
        <v>53</v>
      </c>
      <c r="AD6853" t="s">
        <v>53</v>
      </c>
      <c r="AK6853">
        <v>0</v>
      </c>
      <c r="AU6853" s="6">
        <v>42130</v>
      </c>
      <c r="AV6853" s="6">
        <v>42130</v>
      </c>
      <c r="AW6853" t="s">
        <v>54</v>
      </c>
      <c r="AX6853" t="str">
        <f t="shared" si="569"/>
        <v>FOR</v>
      </c>
      <c r="AY6853" t="s">
        <v>55</v>
      </c>
    </row>
    <row r="6854" spans="1:51" hidden="1">
      <c r="A6854">
        <v>104093</v>
      </c>
      <c r="B6854" t="s">
        <v>1210</v>
      </c>
      <c r="C6854" t="str">
        <f t="shared" si="567"/>
        <v>06032681006</v>
      </c>
      <c r="D6854" t="str">
        <f t="shared" si="568"/>
        <v>12572900152</v>
      </c>
      <c r="E6854" t="s">
        <v>52</v>
      </c>
      <c r="F6854">
        <v>2014</v>
      </c>
      <c r="G6854">
        <v>25183750</v>
      </c>
      <c r="H6854" s="1">
        <v>41788</v>
      </c>
      <c r="I6854" s="1">
        <v>41807</v>
      </c>
      <c r="J6854" s="1">
        <v>41807</v>
      </c>
      <c r="K6854" s="1">
        <v>41897</v>
      </c>
      <c r="N6854" s="5"/>
      <c r="O6854">
        <v>74.88</v>
      </c>
      <c r="P6854">
        <v>233</v>
      </c>
      <c r="Q6854" s="2">
        <v>17447.04</v>
      </c>
      <c r="R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 s="1">
        <v>42382</v>
      </c>
      <c r="AC6854" t="s">
        <v>53</v>
      </c>
      <c r="AD6854" t="s">
        <v>53</v>
      </c>
      <c r="AK6854">
        <v>0</v>
      </c>
      <c r="AU6854" s="6">
        <v>42130</v>
      </c>
      <c r="AV6854" s="6">
        <v>42130</v>
      </c>
      <c r="AW6854" t="s">
        <v>54</v>
      </c>
      <c r="AX6854" t="str">
        <f t="shared" si="569"/>
        <v>FOR</v>
      </c>
      <c r="AY6854" t="s">
        <v>55</v>
      </c>
    </row>
    <row r="6855" spans="1:51" hidden="1">
      <c r="A6855">
        <v>104093</v>
      </c>
      <c r="B6855" t="s">
        <v>1210</v>
      </c>
      <c r="C6855" t="str">
        <f t="shared" si="567"/>
        <v>06032681006</v>
      </c>
      <c r="D6855" t="str">
        <f t="shared" si="568"/>
        <v>12572900152</v>
      </c>
      <c r="E6855" t="s">
        <v>52</v>
      </c>
      <c r="F6855">
        <v>2014</v>
      </c>
      <c r="G6855">
        <v>25183751</v>
      </c>
      <c r="H6855" s="1">
        <v>41788</v>
      </c>
      <c r="I6855" s="1">
        <v>41807</v>
      </c>
      <c r="J6855" s="1">
        <v>41807</v>
      </c>
      <c r="K6855" s="1">
        <v>41897</v>
      </c>
      <c r="N6855" s="5"/>
      <c r="O6855">
        <v>74.88</v>
      </c>
      <c r="P6855">
        <v>233</v>
      </c>
      <c r="Q6855" s="2">
        <v>17447.04</v>
      </c>
      <c r="R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 s="1">
        <v>42382</v>
      </c>
      <c r="AC6855" t="s">
        <v>53</v>
      </c>
      <c r="AD6855" t="s">
        <v>53</v>
      </c>
      <c r="AK6855">
        <v>0</v>
      </c>
      <c r="AU6855" s="6">
        <v>42130</v>
      </c>
      <c r="AV6855" s="6">
        <v>42130</v>
      </c>
      <c r="AW6855" t="s">
        <v>54</v>
      </c>
      <c r="AX6855" t="str">
        <f t="shared" si="569"/>
        <v>FOR</v>
      </c>
      <c r="AY6855" t="s">
        <v>55</v>
      </c>
    </row>
    <row r="6856" spans="1:51" hidden="1">
      <c r="A6856">
        <v>104093</v>
      </c>
      <c r="B6856" t="s">
        <v>1210</v>
      </c>
      <c r="C6856" t="str">
        <f t="shared" si="567"/>
        <v>06032681006</v>
      </c>
      <c r="D6856" t="str">
        <f t="shared" si="568"/>
        <v>12572900152</v>
      </c>
      <c r="E6856" t="s">
        <v>52</v>
      </c>
      <c r="F6856">
        <v>2014</v>
      </c>
      <c r="G6856">
        <v>25183752</v>
      </c>
      <c r="H6856" s="1">
        <v>41788</v>
      </c>
      <c r="I6856" s="1">
        <v>41807</v>
      </c>
      <c r="J6856" s="1">
        <v>41807</v>
      </c>
      <c r="K6856" s="1">
        <v>41897</v>
      </c>
      <c r="N6856" s="5"/>
      <c r="O6856">
        <v>252.72</v>
      </c>
      <c r="P6856">
        <v>233</v>
      </c>
      <c r="Q6856" s="2">
        <v>58883.76</v>
      </c>
      <c r="R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 s="1">
        <v>42382</v>
      </c>
      <c r="AC6856" t="s">
        <v>53</v>
      </c>
      <c r="AD6856" t="s">
        <v>53</v>
      </c>
      <c r="AK6856">
        <v>0</v>
      </c>
      <c r="AU6856" s="6">
        <v>42130</v>
      </c>
      <c r="AV6856" s="6">
        <v>42130</v>
      </c>
      <c r="AW6856" t="s">
        <v>54</v>
      </c>
      <c r="AX6856" t="str">
        <f t="shared" si="569"/>
        <v>FOR</v>
      </c>
      <c r="AY6856" t="s">
        <v>55</v>
      </c>
    </row>
    <row r="6857" spans="1:51" hidden="1">
      <c r="A6857">
        <v>104093</v>
      </c>
      <c r="B6857" t="s">
        <v>1210</v>
      </c>
      <c r="C6857" t="str">
        <f t="shared" si="567"/>
        <v>06032681006</v>
      </c>
      <c r="D6857" t="str">
        <f t="shared" si="568"/>
        <v>12572900152</v>
      </c>
      <c r="E6857" t="s">
        <v>52</v>
      </c>
      <c r="F6857">
        <v>2014</v>
      </c>
      <c r="G6857">
        <v>25183753</v>
      </c>
      <c r="H6857" s="1">
        <v>41788</v>
      </c>
      <c r="I6857" s="1">
        <v>41807</v>
      </c>
      <c r="J6857" s="1">
        <v>41807</v>
      </c>
      <c r="K6857" s="1">
        <v>41897</v>
      </c>
      <c r="N6857" s="5"/>
      <c r="O6857">
        <v>707.62</v>
      </c>
      <c r="P6857">
        <v>233</v>
      </c>
      <c r="Q6857" s="2">
        <v>164875.46</v>
      </c>
      <c r="R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 s="1">
        <v>42382</v>
      </c>
      <c r="AC6857" t="s">
        <v>53</v>
      </c>
      <c r="AD6857" t="s">
        <v>53</v>
      </c>
      <c r="AK6857">
        <v>0</v>
      </c>
      <c r="AU6857" s="6">
        <v>42130</v>
      </c>
      <c r="AV6857" s="6">
        <v>42130</v>
      </c>
      <c r="AW6857" t="s">
        <v>54</v>
      </c>
      <c r="AX6857" t="str">
        <f t="shared" si="569"/>
        <v>FOR</v>
      </c>
      <c r="AY6857" t="s">
        <v>55</v>
      </c>
    </row>
    <row r="6858" spans="1:51" hidden="1">
      <c r="A6858">
        <v>104093</v>
      </c>
      <c r="B6858" t="s">
        <v>1210</v>
      </c>
      <c r="C6858" t="str">
        <f t="shared" si="567"/>
        <v>06032681006</v>
      </c>
      <c r="D6858" t="str">
        <f t="shared" si="568"/>
        <v>12572900152</v>
      </c>
      <c r="E6858" t="s">
        <v>52</v>
      </c>
      <c r="F6858">
        <v>2014</v>
      </c>
      <c r="G6858">
        <v>25183754</v>
      </c>
      <c r="H6858" s="1">
        <v>41788</v>
      </c>
      <c r="I6858" s="1">
        <v>41807</v>
      </c>
      <c r="J6858" s="1">
        <v>41807</v>
      </c>
      <c r="K6858" s="1">
        <v>41897</v>
      </c>
      <c r="N6858" s="5"/>
      <c r="O6858">
        <v>707.62</v>
      </c>
      <c r="P6858">
        <v>233</v>
      </c>
      <c r="Q6858" s="2">
        <v>164875.46</v>
      </c>
      <c r="R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 s="1">
        <v>42382</v>
      </c>
      <c r="AC6858" t="s">
        <v>53</v>
      </c>
      <c r="AD6858" t="s">
        <v>53</v>
      </c>
      <c r="AK6858">
        <v>0</v>
      </c>
      <c r="AU6858" s="6">
        <v>42130</v>
      </c>
      <c r="AV6858" s="6">
        <v>42130</v>
      </c>
      <c r="AW6858" t="s">
        <v>54</v>
      </c>
      <c r="AX6858" t="str">
        <f t="shared" si="569"/>
        <v>FOR</v>
      </c>
      <c r="AY6858" t="s">
        <v>55</v>
      </c>
    </row>
    <row r="6859" spans="1:51" hidden="1">
      <c r="A6859">
        <v>104093</v>
      </c>
      <c r="B6859" t="s">
        <v>1210</v>
      </c>
      <c r="C6859" t="str">
        <f t="shared" si="567"/>
        <v>06032681006</v>
      </c>
      <c r="D6859" t="str">
        <f t="shared" si="568"/>
        <v>12572900152</v>
      </c>
      <c r="E6859" t="s">
        <v>52</v>
      </c>
      <c r="F6859">
        <v>2014</v>
      </c>
      <c r="G6859">
        <v>25183755</v>
      </c>
      <c r="H6859" s="1">
        <v>41788</v>
      </c>
      <c r="I6859" s="1">
        <v>41815</v>
      </c>
      <c r="J6859" s="1">
        <v>41815</v>
      </c>
      <c r="K6859" s="1">
        <v>41905</v>
      </c>
      <c r="N6859" s="5"/>
      <c r="O6859">
        <v>252.72</v>
      </c>
      <c r="P6859">
        <v>225</v>
      </c>
      <c r="Q6859" s="2">
        <v>56862</v>
      </c>
      <c r="R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 s="1">
        <v>42382</v>
      </c>
      <c r="AC6859" t="s">
        <v>53</v>
      </c>
      <c r="AD6859" t="s">
        <v>53</v>
      </c>
      <c r="AK6859">
        <v>0</v>
      </c>
      <c r="AU6859" s="6">
        <v>42130</v>
      </c>
      <c r="AV6859" s="6">
        <v>42130</v>
      </c>
      <c r="AW6859" t="s">
        <v>54</v>
      </c>
      <c r="AX6859" t="str">
        <f t="shared" si="569"/>
        <v>FOR</v>
      </c>
      <c r="AY6859" t="s">
        <v>55</v>
      </c>
    </row>
    <row r="6860" spans="1:51" hidden="1">
      <c r="A6860">
        <v>104093</v>
      </c>
      <c r="B6860" t="s">
        <v>1210</v>
      </c>
      <c r="C6860" t="str">
        <f t="shared" si="567"/>
        <v>06032681006</v>
      </c>
      <c r="D6860" t="str">
        <f t="shared" si="568"/>
        <v>12572900152</v>
      </c>
      <c r="E6860" t="s">
        <v>52</v>
      </c>
      <c r="F6860">
        <v>2014</v>
      </c>
      <c r="G6860">
        <v>25183756</v>
      </c>
      <c r="H6860" s="1">
        <v>41788</v>
      </c>
      <c r="I6860" s="1">
        <v>41807</v>
      </c>
      <c r="J6860" s="1">
        <v>41807</v>
      </c>
      <c r="K6860" s="1">
        <v>41897</v>
      </c>
      <c r="N6860" s="5"/>
      <c r="O6860">
        <v>74.88</v>
      </c>
      <c r="P6860">
        <v>233</v>
      </c>
      <c r="Q6860" s="2">
        <v>17447.04</v>
      </c>
      <c r="R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 s="1">
        <v>42382</v>
      </c>
      <c r="AC6860" t="s">
        <v>53</v>
      </c>
      <c r="AD6860" t="s">
        <v>53</v>
      </c>
      <c r="AK6860">
        <v>0</v>
      </c>
      <c r="AU6860" s="6">
        <v>42130</v>
      </c>
      <c r="AV6860" s="6">
        <v>42130</v>
      </c>
      <c r="AW6860" t="s">
        <v>54</v>
      </c>
      <c r="AX6860" t="str">
        <f t="shared" si="569"/>
        <v>FOR</v>
      </c>
      <c r="AY6860" t="s">
        <v>55</v>
      </c>
    </row>
    <row r="6861" spans="1:51" hidden="1">
      <c r="A6861">
        <v>104093</v>
      </c>
      <c r="B6861" t="s">
        <v>1210</v>
      </c>
      <c r="C6861" t="str">
        <f t="shared" si="567"/>
        <v>06032681006</v>
      </c>
      <c r="D6861" t="str">
        <f t="shared" si="568"/>
        <v>12572900152</v>
      </c>
      <c r="E6861" t="s">
        <v>52</v>
      </c>
      <c r="F6861">
        <v>2014</v>
      </c>
      <c r="G6861">
        <v>25183757</v>
      </c>
      <c r="H6861" s="1">
        <v>41788</v>
      </c>
      <c r="I6861" s="1">
        <v>41807</v>
      </c>
      <c r="J6861" s="1">
        <v>41807</v>
      </c>
      <c r="K6861" s="1">
        <v>41897</v>
      </c>
      <c r="N6861" s="5"/>
      <c r="O6861">
        <v>74.88</v>
      </c>
      <c r="P6861">
        <v>233</v>
      </c>
      <c r="Q6861" s="2">
        <v>17447.04</v>
      </c>
      <c r="R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 s="1">
        <v>42382</v>
      </c>
      <c r="AC6861" t="s">
        <v>53</v>
      </c>
      <c r="AD6861" t="s">
        <v>53</v>
      </c>
      <c r="AK6861">
        <v>0</v>
      </c>
      <c r="AU6861" s="6">
        <v>42130</v>
      </c>
      <c r="AV6861" s="6">
        <v>42130</v>
      </c>
      <c r="AW6861" t="s">
        <v>54</v>
      </c>
      <c r="AX6861" t="str">
        <f t="shared" si="569"/>
        <v>FOR</v>
      </c>
      <c r="AY6861" t="s">
        <v>55</v>
      </c>
    </row>
    <row r="6862" spans="1:51" hidden="1">
      <c r="A6862">
        <v>104093</v>
      </c>
      <c r="B6862" t="s">
        <v>1210</v>
      </c>
      <c r="C6862" t="str">
        <f t="shared" si="567"/>
        <v>06032681006</v>
      </c>
      <c r="D6862" t="str">
        <f t="shared" si="568"/>
        <v>12572900152</v>
      </c>
      <c r="E6862" t="s">
        <v>52</v>
      </c>
      <c r="F6862">
        <v>2014</v>
      </c>
      <c r="G6862">
        <v>25183810</v>
      </c>
      <c r="H6862" s="1">
        <v>41788</v>
      </c>
      <c r="I6862" s="1">
        <v>41807</v>
      </c>
      <c r="J6862" s="1">
        <v>41807</v>
      </c>
      <c r="K6862" s="1">
        <v>41897</v>
      </c>
      <c r="N6862" s="5"/>
      <c r="O6862">
        <v>74.88</v>
      </c>
      <c r="P6862">
        <v>233</v>
      </c>
      <c r="Q6862" s="2">
        <v>17447.04</v>
      </c>
      <c r="R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 s="1">
        <v>42382</v>
      </c>
      <c r="AC6862" t="s">
        <v>53</v>
      </c>
      <c r="AD6862" t="s">
        <v>53</v>
      </c>
      <c r="AK6862">
        <v>0</v>
      </c>
      <c r="AU6862" s="6">
        <v>42130</v>
      </c>
      <c r="AV6862" s="6">
        <v>42130</v>
      </c>
      <c r="AW6862" t="s">
        <v>54</v>
      </c>
      <c r="AX6862" t="str">
        <f t="shared" si="569"/>
        <v>FOR</v>
      </c>
      <c r="AY6862" t="s">
        <v>55</v>
      </c>
    </row>
    <row r="6863" spans="1:51" hidden="1">
      <c r="A6863">
        <v>104093</v>
      </c>
      <c r="B6863" t="s">
        <v>1210</v>
      </c>
      <c r="C6863" t="str">
        <f t="shared" si="567"/>
        <v>06032681006</v>
      </c>
      <c r="D6863" t="str">
        <f t="shared" si="568"/>
        <v>12572900152</v>
      </c>
      <c r="E6863" t="s">
        <v>52</v>
      </c>
      <c r="F6863">
        <v>2014</v>
      </c>
      <c r="G6863">
        <v>25184599</v>
      </c>
      <c r="H6863" s="1">
        <v>41793</v>
      </c>
      <c r="I6863" s="1">
        <v>41815</v>
      </c>
      <c r="J6863" s="1">
        <v>41815</v>
      </c>
      <c r="K6863" s="1">
        <v>41905</v>
      </c>
      <c r="N6863" s="5"/>
      <c r="O6863" s="2">
        <v>1647</v>
      </c>
      <c r="P6863">
        <v>258</v>
      </c>
      <c r="Q6863" s="2">
        <v>424926</v>
      </c>
      <c r="R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 s="1">
        <v>42382</v>
      </c>
      <c r="AC6863" t="s">
        <v>53</v>
      </c>
      <c r="AD6863" t="s">
        <v>53</v>
      </c>
      <c r="AK6863">
        <v>0</v>
      </c>
      <c r="AU6863" s="6">
        <v>42163</v>
      </c>
      <c r="AV6863" s="6">
        <v>42163</v>
      </c>
      <c r="AW6863" t="s">
        <v>54</v>
      </c>
      <c r="AX6863" t="str">
        <f t="shared" si="569"/>
        <v>FOR</v>
      </c>
      <c r="AY6863" t="s">
        <v>55</v>
      </c>
    </row>
    <row r="6864" spans="1:51" hidden="1">
      <c r="A6864">
        <v>104093</v>
      </c>
      <c r="B6864" t="s">
        <v>1210</v>
      </c>
      <c r="C6864" t="str">
        <f t="shared" si="567"/>
        <v>06032681006</v>
      </c>
      <c r="D6864" t="str">
        <f t="shared" si="568"/>
        <v>12572900152</v>
      </c>
      <c r="E6864" t="s">
        <v>52</v>
      </c>
      <c r="F6864">
        <v>2014</v>
      </c>
      <c r="G6864">
        <v>25184624</v>
      </c>
      <c r="H6864" s="1">
        <v>41793</v>
      </c>
      <c r="I6864" s="1">
        <v>41815</v>
      </c>
      <c r="J6864" s="1">
        <v>41815</v>
      </c>
      <c r="K6864" s="1">
        <v>41905</v>
      </c>
      <c r="N6864" s="5"/>
      <c r="O6864" s="2">
        <v>13119.6</v>
      </c>
      <c r="P6864">
        <v>258</v>
      </c>
      <c r="Q6864" s="2">
        <v>3384856.8</v>
      </c>
      <c r="R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 s="1">
        <v>42382</v>
      </c>
      <c r="AC6864" t="s">
        <v>53</v>
      </c>
      <c r="AD6864" t="s">
        <v>53</v>
      </c>
      <c r="AK6864">
        <v>0</v>
      </c>
      <c r="AU6864" s="6">
        <v>42163</v>
      </c>
      <c r="AV6864" s="6">
        <v>42163</v>
      </c>
      <c r="AW6864" t="s">
        <v>54</v>
      </c>
      <c r="AX6864" t="str">
        <f t="shared" si="569"/>
        <v>FOR</v>
      </c>
      <c r="AY6864" t="s">
        <v>55</v>
      </c>
    </row>
    <row r="6865" spans="1:51" hidden="1">
      <c r="A6865">
        <v>104093</v>
      </c>
      <c r="B6865" t="s">
        <v>1210</v>
      </c>
      <c r="C6865" t="str">
        <f t="shared" si="567"/>
        <v>06032681006</v>
      </c>
      <c r="D6865" t="str">
        <f t="shared" si="568"/>
        <v>12572900152</v>
      </c>
      <c r="E6865" t="s">
        <v>52</v>
      </c>
      <c r="F6865">
        <v>2014</v>
      </c>
      <c r="G6865">
        <v>25186465</v>
      </c>
      <c r="H6865" s="1">
        <v>41803</v>
      </c>
      <c r="I6865" s="1">
        <v>41827</v>
      </c>
      <c r="J6865" s="1">
        <v>41827</v>
      </c>
      <c r="K6865" s="1">
        <v>41917</v>
      </c>
      <c r="N6865" s="5"/>
      <c r="O6865">
        <v>936</v>
      </c>
      <c r="P6865">
        <v>246</v>
      </c>
      <c r="Q6865" s="2">
        <v>230256</v>
      </c>
      <c r="R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 s="1">
        <v>42382</v>
      </c>
      <c r="AC6865" t="s">
        <v>53</v>
      </c>
      <c r="AD6865" t="s">
        <v>53</v>
      </c>
      <c r="AK6865">
        <v>0</v>
      </c>
      <c r="AU6865" s="6">
        <v>42163</v>
      </c>
      <c r="AV6865" s="6">
        <v>42163</v>
      </c>
      <c r="AW6865" t="s">
        <v>54</v>
      </c>
      <c r="AX6865" t="str">
        <f t="shared" si="569"/>
        <v>FOR</v>
      </c>
      <c r="AY6865" t="s">
        <v>55</v>
      </c>
    </row>
    <row r="6866" spans="1:51" hidden="1">
      <c r="A6866">
        <v>104093</v>
      </c>
      <c r="B6866" t="s">
        <v>1210</v>
      </c>
      <c r="C6866" t="str">
        <f t="shared" si="567"/>
        <v>06032681006</v>
      </c>
      <c r="D6866" t="str">
        <f t="shared" si="568"/>
        <v>12572900152</v>
      </c>
      <c r="E6866" t="s">
        <v>52</v>
      </c>
      <c r="F6866">
        <v>2014</v>
      </c>
      <c r="G6866">
        <v>25186466</v>
      </c>
      <c r="H6866" s="1">
        <v>41803</v>
      </c>
      <c r="I6866" s="1">
        <v>41827</v>
      </c>
      <c r="J6866" s="1">
        <v>41827</v>
      </c>
      <c r="K6866" s="1">
        <v>41917</v>
      </c>
      <c r="N6866" s="5"/>
      <c r="O6866">
        <v>936</v>
      </c>
      <c r="P6866">
        <v>246</v>
      </c>
      <c r="Q6866" s="2">
        <v>230256</v>
      </c>
      <c r="R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 s="1">
        <v>42382</v>
      </c>
      <c r="AC6866" t="s">
        <v>53</v>
      </c>
      <c r="AD6866" t="s">
        <v>53</v>
      </c>
      <c r="AK6866">
        <v>0</v>
      </c>
      <c r="AU6866" s="6">
        <v>42163</v>
      </c>
      <c r="AV6866" s="6">
        <v>42163</v>
      </c>
      <c r="AW6866" t="s">
        <v>54</v>
      </c>
      <c r="AX6866" t="str">
        <f t="shared" si="569"/>
        <v>FOR</v>
      </c>
      <c r="AY6866" t="s">
        <v>55</v>
      </c>
    </row>
    <row r="6867" spans="1:51" hidden="1">
      <c r="A6867">
        <v>104093</v>
      </c>
      <c r="B6867" t="s">
        <v>1210</v>
      </c>
      <c r="C6867" t="str">
        <f t="shared" si="567"/>
        <v>06032681006</v>
      </c>
      <c r="D6867" t="str">
        <f t="shared" si="568"/>
        <v>12572900152</v>
      </c>
      <c r="E6867" t="s">
        <v>52</v>
      </c>
      <c r="F6867">
        <v>2014</v>
      </c>
      <c r="G6867">
        <v>25186467</v>
      </c>
      <c r="H6867" s="1">
        <v>41803</v>
      </c>
      <c r="I6867" s="1">
        <v>41827</v>
      </c>
      <c r="J6867" s="1">
        <v>41827</v>
      </c>
      <c r="K6867" s="1">
        <v>41917</v>
      </c>
      <c r="N6867" s="5"/>
      <c r="O6867">
        <v>936</v>
      </c>
      <c r="P6867">
        <v>246</v>
      </c>
      <c r="Q6867" s="2">
        <v>230256</v>
      </c>
      <c r="R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 s="1">
        <v>42382</v>
      </c>
      <c r="AC6867" t="s">
        <v>53</v>
      </c>
      <c r="AD6867" t="s">
        <v>53</v>
      </c>
      <c r="AK6867">
        <v>0</v>
      </c>
      <c r="AU6867" s="6">
        <v>42163</v>
      </c>
      <c r="AV6867" s="6">
        <v>42163</v>
      </c>
      <c r="AW6867" t="s">
        <v>54</v>
      </c>
      <c r="AX6867" t="str">
        <f t="shared" si="569"/>
        <v>FOR</v>
      </c>
      <c r="AY6867" t="s">
        <v>55</v>
      </c>
    </row>
    <row r="6868" spans="1:51" hidden="1">
      <c r="A6868">
        <v>104093</v>
      </c>
      <c r="B6868" t="s">
        <v>1210</v>
      </c>
      <c r="C6868" t="str">
        <f t="shared" si="567"/>
        <v>06032681006</v>
      </c>
      <c r="D6868" t="str">
        <f t="shared" si="568"/>
        <v>12572900152</v>
      </c>
      <c r="E6868" t="s">
        <v>52</v>
      </c>
      <c r="F6868">
        <v>2014</v>
      </c>
      <c r="G6868">
        <v>25186468</v>
      </c>
      <c r="H6868" s="1">
        <v>41803</v>
      </c>
      <c r="I6868" s="1">
        <v>41827</v>
      </c>
      <c r="J6868" s="1">
        <v>41827</v>
      </c>
      <c r="K6868" s="1">
        <v>41917</v>
      </c>
      <c r="N6868" s="5"/>
      <c r="O6868">
        <v>936</v>
      </c>
      <c r="P6868">
        <v>246</v>
      </c>
      <c r="Q6868" s="2">
        <v>230256</v>
      </c>
      <c r="R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 s="1">
        <v>42382</v>
      </c>
      <c r="AC6868" t="s">
        <v>53</v>
      </c>
      <c r="AD6868" t="s">
        <v>53</v>
      </c>
      <c r="AK6868">
        <v>0</v>
      </c>
      <c r="AU6868" s="6">
        <v>42163</v>
      </c>
      <c r="AV6868" s="6">
        <v>42163</v>
      </c>
      <c r="AW6868" t="s">
        <v>54</v>
      </c>
      <c r="AX6868" t="str">
        <f t="shared" si="569"/>
        <v>FOR</v>
      </c>
      <c r="AY6868" t="s">
        <v>55</v>
      </c>
    </row>
    <row r="6869" spans="1:51" hidden="1">
      <c r="A6869">
        <v>104093</v>
      </c>
      <c r="B6869" t="s">
        <v>1210</v>
      </c>
      <c r="C6869" t="str">
        <f t="shared" si="567"/>
        <v>06032681006</v>
      </c>
      <c r="D6869" t="str">
        <f t="shared" si="568"/>
        <v>12572900152</v>
      </c>
      <c r="E6869" t="s">
        <v>52</v>
      </c>
      <c r="F6869">
        <v>2014</v>
      </c>
      <c r="G6869">
        <v>25186475</v>
      </c>
      <c r="H6869" s="1">
        <v>41803</v>
      </c>
      <c r="I6869" s="1">
        <v>41827</v>
      </c>
      <c r="J6869" s="1">
        <v>41827</v>
      </c>
      <c r="K6869" s="1">
        <v>41917</v>
      </c>
      <c r="N6869" s="5"/>
      <c r="O6869" s="2">
        <v>3801.2</v>
      </c>
      <c r="P6869">
        <v>246</v>
      </c>
      <c r="Q6869" s="2">
        <v>935095.2</v>
      </c>
      <c r="R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 s="1">
        <v>42382</v>
      </c>
      <c r="AC6869" t="s">
        <v>53</v>
      </c>
      <c r="AD6869" t="s">
        <v>53</v>
      </c>
      <c r="AK6869">
        <v>0</v>
      </c>
      <c r="AU6869" s="6">
        <v>42163</v>
      </c>
      <c r="AV6869" s="6">
        <v>42163</v>
      </c>
      <c r="AW6869" t="s">
        <v>54</v>
      </c>
      <c r="AX6869" t="str">
        <f t="shared" si="569"/>
        <v>FOR</v>
      </c>
      <c r="AY6869" t="s">
        <v>55</v>
      </c>
    </row>
    <row r="6870" spans="1:51" hidden="1">
      <c r="A6870">
        <v>104093</v>
      </c>
      <c r="B6870" t="s">
        <v>1210</v>
      </c>
      <c r="C6870" t="str">
        <f t="shared" si="567"/>
        <v>06032681006</v>
      </c>
      <c r="D6870" t="str">
        <f t="shared" si="568"/>
        <v>12572900152</v>
      </c>
      <c r="E6870" t="s">
        <v>52</v>
      </c>
      <c r="F6870">
        <v>2014</v>
      </c>
      <c r="G6870">
        <v>25186484</v>
      </c>
      <c r="H6870" s="1">
        <v>41803</v>
      </c>
      <c r="I6870" s="1">
        <v>41827</v>
      </c>
      <c r="J6870" s="1">
        <v>41827</v>
      </c>
      <c r="K6870" s="1">
        <v>41917</v>
      </c>
      <c r="N6870" s="5"/>
      <c r="O6870">
        <v>936</v>
      </c>
      <c r="P6870">
        <v>246</v>
      </c>
      <c r="Q6870" s="2">
        <v>230256</v>
      </c>
      <c r="R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 s="1">
        <v>42382</v>
      </c>
      <c r="AC6870" t="s">
        <v>53</v>
      </c>
      <c r="AD6870" t="s">
        <v>53</v>
      </c>
      <c r="AK6870">
        <v>0</v>
      </c>
      <c r="AU6870" s="6">
        <v>42163</v>
      </c>
      <c r="AV6870" s="6">
        <v>42163</v>
      </c>
      <c r="AW6870" t="s">
        <v>54</v>
      </c>
      <c r="AX6870" t="str">
        <f t="shared" si="569"/>
        <v>FOR</v>
      </c>
      <c r="AY6870" t="s">
        <v>55</v>
      </c>
    </row>
    <row r="6871" spans="1:51" hidden="1">
      <c r="A6871">
        <v>104093</v>
      </c>
      <c r="B6871" t="s">
        <v>1210</v>
      </c>
      <c r="C6871" t="str">
        <f t="shared" si="567"/>
        <v>06032681006</v>
      </c>
      <c r="D6871" t="str">
        <f t="shared" si="568"/>
        <v>12572900152</v>
      </c>
      <c r="E6871" t="s">
        <v>52</v>
      </c>
      <c r="F6871">
        <v>2014</v>
      </c>
      <c r="G6871">
        <v>25186499</v>
      </c>
      <c r="H6871" s="1">
        <v>41803</v>
      </c>
      <c r="I6871" s="1">
        <v>41827</v>
      </c>
      <c r="J6871" s="1">
        <v>41827</v>
      </c>
      <c r="K6871" s="1">
        <v>41917</v>
      </c>
      <c r="N6871" s="5"/>
      <c r="O6871">
        <v>936</v>
      </c>
      <c r="P6871">
        <v>246</v>
      </c>
      <c r="Q6871" s="2">
        <v>230256</v>
      </c>
      <c r="R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 s="1">
        <v>42382</v>
      </c>
      <c r="AC6871" t="s">
        <v>53</v>
      </c>
      <c r="AD6871" t="s">
        <v>53</v>
      </c>
      <c r="AK6871">
        <v>0</v>
      </c>
      <c r="AU6871" s="6">
        <v>42163</v>
      </c>
      <c r="AV6871" s="6">
        <v>42163</v>
      </c>
      <c r="AW6871" t="s">
        <v>54</v>
      </c>
      <c r="AX6871" t="str">
        <f t="shared" si="569"/>
        <v>FOR</v>
      </c>
      <c r="AY6871" t="s">
        <v>55</v>
      </c>
    </row>
    <row r="6872" spans="1:51" hidden="1">
      <c r="A6872">
        <v>104093</v>
      </c>
      <c r="B6872" t="s">
        <v>1210</v>
      </c>
      <c r="C6872" t="str">
        <f t="shared" si="567"/>
        <v>06032681006</v>
      </c>
      <c r="D6872" t="str">
        <f t="shared" si="568"/>
        <v>12572900152</v>
      </c>
      <c r="E6872" t="s">
        <v>52</v>
      </c>
      <c r="F6872">
        <v>2014</v>
      </c>
      <c r="G6872">
        <v>25186500</v>
      </c>
      <c r="H6872" s="1">
        <v>41803</v>
      </c>
      <c r="I6872" s="1">
        <v>41827</v>
      </c>
      <c r="J6872" s="1">
        <v>41827</v>
      </c>
      <c r="K6872" s="1">
        <v>41917</v>
      </c>
      <c r="N6872" s="5"/>
      <c r="O6872">
        <v>936</v>
      </c>
      <c r="P6872">
        <v>246</v>
      </c>
      <c r="Q6872" s="2">
        <v>230256</v>
      </c>
      <c r="R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 s="1">
        <v>42382</v>
      </c>
      <c r="AC6872" t="s">
        <v>53</v>
      </c>
      <c r="AD6872" t="s">
        <v>53</v>
      </c>
      <c r="AK6872">
        <v>0</v>
      </c>
      <c r="AU6872" s="6">
        <v>42163</v>
      </c>
      <c r="AV6872" s="6">
        <v>42163</v>
      </c>
      <c r="AW6872" t="s">
        <v>54</v>
      </c>
      <c r="AX6872" t="str">
        <f t="shared" si="569"/>
        <v>FOR</v>
      </c>
      <c r="AY6872" t="s">
        <v>55</v>
      </c>
    </row>
    <row r="6873" spans="1:51" hidden="1">
      <c r="A6873">
        <v>104093</v>
      </c>
      <c r="B6873" t="s">
        <v>1210</v>
      </c>
      <c r="C6873" t="str">
        <f t="shared" si="567"/>
        <v>06032681006</v>
      </c>
      <c r="D6873" t="str">
        <f t="shared" si="568"/>
        <v>12572900152</v>
      </c>
      <c r="E6873" t="s">
        <v>52</v>
      </c>
      <c r="F6873">
        <v>2014</v>
      </c>
      <c r="G6873">
        <v>25186523</v>
      </c>
      <c r="H6873" s="1">
        <v>41803</v>
      </c>
      <c r="I6873" s="1">
        <v>41827</v>
      </c>
      <c r="J6873" s="1">
        <v>41827</v>
      </c>
      <c r="K6873" s="1">
        <v>41917</v>
      </c>
      <c r="N6873" s="5"/>
      <c r="O6873">
        <v>936</v>
      </c>
      <c r="P6873">
        <v>246</v>
      </c>
      <c r="Q6873" s="2">
        <v>230256</v>
      </c>
      <c r="R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 s="1">
        <v>42382</v>
      </c>
      <c r="AC6873" t="s">
        <v>53</v>
      </c>
      <c r="AD6873" t="s">
        <v>53</v>
      </c>
      <c r="AK6873">
        <v>0</v>
      </c>
      <c r="AU6873" s="6">
        <v>42163</v>
      </c>
      <c r="AV6873" s="6">
        <v>42163</v>
      </c>
      <c r="AW6873" t="s">
        <v>54</v>
      </c>
      <c r="AX6873" t="str">
        <f t="shared" si="569"/>
        <v>FOR</v>
      </c>
      <c r="AY6873" t="s">
        <v>55</v>
      </c>
    </row>
    <row r="6874" spans="1:51" hidden="1">
      <c r="A6874">
        <v>104093</v>
      </c>
      <c r="B6874" t="s">
        <v>1210</v>
      </c>
      <c r="C6874" t="str">
        <f t="shared" si="567"/>
        <v>06032681006</v>
      </c>
      <c r="D6874" t="str">
        <f t="shared" si="568"/>
        <v>12572900152</v>
      </c>
      <c r="E6874" t="s">
        <v>52</v>
      </c>
      <c r="F6874">
        <v>2014</v>
      </c>
      <c r="G6874">
        <v>25186524</v>
      </c>
      <c r="H6874" s="1">
        <v>41803</v>
      </c>
      <c r="I6874" s="1">
        <v>41827</v>
      </c>
      <c r="J6874" s="1">
        <v>41827</v>
      </c>
      <c r="K6874" s="1">
        <v>41917</v>
      </c>
      <c r="N6874" s="5"/>
      <c r="O6874">
        <v>936</v>
      </c>
      <c r="P6874">
        <v>246</v>
      </c>
      <c r="Q6874" s="2">
        <v>230256</v>
      </c>
      <c r="R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 s="1">
        <v>42382</v>
      </c>
      <c r="AC6874" t="s">
        <v>53</v>
      </c>
      <c r="AD6874" t="s">
        <v>53</v>
      </c>
      <c r="AK6874">
        <v>0</v>
      </c>
      <c r="AU6874" s="6">
        <v>42163</v>
      </c>
      <c r="AV6874" s="6">
        <v>42163</v>
      </c>
      <c r="AW6874" t="s">
        <v>54</v>
      </c>
      <c r="AX6874" t="str">
        <f t="shared" si="569"/>
        <v>FOR</v>
      </c>
      <c r="AY6874" t="s">
        <v>55</v>
      </c>
    </row>
    <row r="6875" spans="1:51" hidden="1">
      <c r="A6875">
        <v>104093</v>
      </c>
      <c r="B6875" t="s">
        <v>1210</v>
      </c>
      <c r="C6875" t="str">
        <f t="shared" si="567"/>
        <v>06032681006</v>
      </c>
      <c r="D6875" t="str">
        <f t="shared" si="568"/>
        <v>12572900152</v>
      </c>
      <c r="E6875" t="s">
        <v>52</v>
      </c>
      <c r="F6875">
        <v>2014</v>
      </c>
      <c r="G6875">
        <v>25186525</v>
      </c>
      <c r="H6875" s="1">
        <v>41803</v>
      </c>
      <c r="I6875" s="1">
        <v>41830</v>
      </c>
      <c r="J6875" s="1">
        <v>41830</v>
      </c>
      <c r="K6875" s="1">
        <v>41920</v>
      </c>
      <c r="N6875" s="5"/>
      <c r="O6875">
        <v>936</v>
      </c>
      <c r="P6875">
        <v>357</v>
      </c>
      <c r="Q6875" s="2">
        <v>334152</v>
      </c>
      <c r="R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 s="1">
        <v>42382</v>
      </c>
      <c r="AC6875" t="s">
        <v>53</v>
      </c>
      <c r="AD6875" t="s">
        <v>53</v>
      </c>
      <c r="AK6875">
        <v>0</v>
      </c>
      <c r="AU6875" s="6">
        <v>42277</v>
      </c>
      <c r="AV6875" s="6">
        <v>42277</v>
      </c>
      <c r="AW6875" t="s">
        <v>54</v>
      </c>
      <c r="AX6875" t="str">
        <f t="shared" si="569"/>
        <v>FOR</v>
      </c>
      <c r="AY6875" t="s">
        <v>55</v>
      </c>
    </row>
    <row r="6876" spans="1:51" hidden="1">
      <c r="A6876">
        <v>104093</v>
      </c>
      <c r="B6876" t="s">
        <v>1210</v>
      </c>
      <c r="C6876" t="str">
        <f t="shared" si="567"/>
        <v>06032681006</v>
      </c>
      <c r="D6876" t="str">
        <f t="shared" si="568"/>
        <v>12572900152</v>
      </c>
      <c r="E6876" t="s">
        <v>52</v>
      </c>
      <c r="F6876">
        <v>2014</v>
      </c>
      <c r="G6876">
        <v>25186671</v>
      </c>
      <c r="H6876" s="1">
        <v>41806</v>
      </c>
      <c r="I6876" s="1">
        <v>41821</v>
      </c>
      <c r="J6876" s="1">
        <v>41821</v>
      </c>
      <c r="K6876" s="1">
        <v>41911</v>
      </c>
      <c r="N6876" s="5"/>
      <c r="O6876">
        <v>74.88</v>
      </c>
      <c r="P6876">
        <v>252</v>
      </c>
      <c r="Q6876" s="2">
        <v>18869.759999999998</v>
      </c>
      <c r="R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 s="1">
        <v>42382</v>
      </c>
      <c r="AC6876" t="s">
        <v>53</v>
      </c>
      <c r="AD6876" t="s">
        <v>53</v>
      </c>
      <c r="AK6876">
        <v>0</v>
      </c>
      <c r="AU6876" s="6">
        <v>42163</v>
      </c>
      <c r="AV6876" s="6">
        <v>42163</v>
      </c>
      <c r="AW6876" t="s">
        <v>54</v>
      </c>
      <c r="AX6876" t="str">
        <f t="shared" si="569"/>
        <v>FOR</v>
      </c>
      <c r="AY6876" t="s">
        <v>55</v>
      </c>
    </row>
    <row r="6877" spans="1:51" hidden="1">
      <c r="A6877">
        <v>104093</v>
      </c>
      <c r="B6877" t="s">
        <v>1210</v>
      </c>
      <c r="C6877" t="str">
        <f t="shared" ref="C6877:C6940" si="570">"06032681006"</f>
        <v>06032681006</v>
      </c>
      <c r="D6877" t="str">
        <f t="shared" ref="D6877:D6940" si="571">"12572900152"</f>
        <v>12572900152</v>
      </c>
      <c r="E6877" t="s">
        <v>52</v>
      </c>
      <c r="F6877">
        <v>2014</v>
      </c>
      <c r="G6877">
        <v>25186672</v>
      </c>
      <c r="H6877" s="1">
        <v>41806</v>
      </c>
      <c r="I6877" s="1">
        <v>41821</v>
      </c>
      <c r="J6877" s="1">
        <v>41821</v>
      </c>
      <c r="K6877" s="1">
        <v>41911</v>
      </c>
      <c r="N6877" s="5"/>
      <c r="O6877">
        <v>74.88</v>
      </c>
      <c r="P6877">
        <v>252</v>
      </c>
      <c r="Q6877" s="2">
        <v>18869.759999999998</v>
      </c>
      <c r="R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 s="1">
        <v>42382</v>
      </c>
      <c r="AC6877" t="s">
        <v>53</v>
      </c>
      <c r="AD6877" t="s">
        <v>53</v>
      </c>
      <c r="AK6877">
        <v>0</v>
      </c>
      <c r="AU6877" s="6">
        <v>42163</v>
      </c>
      <c r="AV6877" s="6">
        <v>42163</v>
      </c>
      <c r="AW6877" t="s">
        <v>54</v>
      </c>
      <c r="AX6877" t="str">
        <f t="shared" si="569"/>
        <v>FOR</v>
      </c>
      <c r="AY6877" t="s">
        <v>55</v>
      </c>
    </row>
    <row r="6878" spans="1:51" hidden="1">
      <c r="A6878">
        <v>104093</v>
      </c>
      <c r="B6878" t="s">
        <v>1210</v>
      </c>
      <c r="C6878" t="str">
        <f t="shared" si="570"/>
        <v>06032681006</v>
      </c>
      <c r="D6878" t="str">
        <f t="shared" si="571"/>
        <v>12572900152</v>
      </c>
      <c r="E6878" t="s">
        <v>52</v>
      </c>
      <c r="F6878">
        <v>2014</v>
      </c>
      <c r="G6878">
        <v>25186673</v>
      </c>
      <c r="H6878" s="1">
        <v>41806</v>
      </c>
      <c r="I6878" s="1">
        <v>41821</v>
      </c>
      <c r="J6878" s="1">
        <v>41821</v>
      </c>
      <c r="K6878" s="1">
        <v>41911</v>
      </c>
      <c r="N6878" s="5"/>
      <c r="O6878">
        <v>74.88</v>
      </c>
      <c r="P6878">
        <v>252</v>
      </c>
      <c r="Q6878" s="2">
        <v>18869.759999999998</v>
      </c>
      <c r="R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 s="1">
        <v>42382</v>
      </c>
      <c r="AC6878" t="s">
        <v>53</v>
      </c>
      <c r="AD6878" t="s">
        <v>53</v>
      </c>
      <c r="AK6878">
        <v>0</v>
      </c>
      <c r="AU6878" s="6">
        <v>42163</v>
      </c>
      <c r="AV6878" s="6">
        <v>42163</v>
      </c>
      <c r="AW6878" t="s">
        <v>54</v>
      </c>
      <c r="AX6878" t="str">
        <f t="shared" si="569"/>
        <v>FOR</v>
      </c>
      <c r="AY6878" t="s">
        <v>55</v>
      </c>
    </row>
    <row r="6879" spans="1:51" hidden="1">
      <c r="A6879">
        <v>104093</v>
      </c>
      <c r="B6879" t="s">
        <v>1210</v>
      </c>
      <c r="C6879" t="str">
        <f t="shared" si="570"/>
        <v>06032681006</v>
      </c>
      <c r="D6879" t="str">
        <f t="shared" si="571"/>
        <v>12572900152</v>
      </c>
      <c r="E6879" t="s">
        <v>52</v>
      </c>
      <c r="F6879">
        <v>2014</v>
      </c>
      <c r="G6879">
        <v>25186674</v>
      </c>
      <c r="H6879" s="1">
        <v>41806</v>
      </c>
      <c r="I6879" s="1">
        <v>41821</v>
      </c>
      <c r="J6879" s="1">
        <v>41821</v>
      </c>
      <c r="K6879" s="1">
        <v>41911</v>
      </c>
      <c r="N6879" s="5"/>
      <c r="O6879">
        <v>74.88</v>
      </c>
      <c r="P6879">
        <v>252</v>
      </c>
      <c r="Q6879" s="2">
        <v>18869.759999999998</v>
      </c>
      <c r="R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 s="1">
        <v>42382</v>
      </c>
      <c r="AC6879" t="s">
        <v>53</v>
      </c>
      <c r="AD6879" t="s">
        <v>53</v>
      </c>
      <c r="AK6879">
        <v>0</v>
      </c>
      <c r="AU6879" s="6">
        <v>42163</v>
      </c>
      <c r="AV6879" s="6">
        <v>42163</v>
      </c>
      <c r="AW6879" t="s">
        <v>54</v>
      </c>
      <c r="AX6879" t="str">
        <f t="shared" si="569"/>
        <v>FOR</v>
      </c>
      <c r="AY6879" t="s">
        <v>55</v>
      </c>
    </row>
    <row r="6880" spans="1:51" hidden="1">
      <c r="A6880">
        <v>104093</v>
      </c>
      <c r="B6880" t="s">
        <v>1210</v>
      </c>
      <c r="C6880" t="str">
        <f t="shared" si="570"/>
        <v>06032681006</v>
      </c>
      <c r="D6880" t="str">
        <f t="shared" si="571"/>
        <v>12572900152</v>
      </c>
      <c r="E6880" t="s">
        <v>52</v>
      </c>
      <c r="F6880">
        <v>2014</v>
      </c>
      <c r="G6880">
        <v>25186675</v>
      </c>
      <c r="H6880" s="1">
        <v>41806</v>
      </c>
      <c r="I6880" s="1">
        <v>41821</v>
      </c>
      <c r="J6880" s="1">
        <v>41821</v>
      </c>
      <c r="K6880" s="1">
        <v>41911</v>
      </c>
      <c r="N6880" s="5"/>
      <c r="O6880">
        <v>707.62</v>
      </c>
      <c r="P6880">
        <v>252</v>
      </c>
      <c r="Q6880" s="2">
        <v>178320.24</v>
      </c>
      <c r="R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 s="1">
        <v>42382</v>
      </c>
      <c r="AC6880" t="s">
        <v>53</v>
      </c>
      <c r="AD6880" t="s">
        <v>53</v>
      </c>
      <c r="AK6880">
        <v>0</v>
      </c>
      <c r="AU6880" s="6">
        <v>42163</v>
      </c>
      <c r="AV6880" s="6">
        <v>42163</v>
      </c>
      <c r="AW6880" t="s">
        <v>54</v>
      </c>
      <c r="AX6880" t="str">
        <f t="shared" si="569"/>
        <v>FOR</v>
      </c>
      <c r="AY6880" t="s">
        <v>55</v>
      </c>
    </row>
    <row r="6881" spans="1:51" hidden="1">
      <c r="A6881">
        <v>104093</v>
      </c>
      <c r="B6881" t="s">
        <v>1210</v>
      </c>
      <c r="C6881" t="str">
        <f t="shared" si="570"/>
        <v>06032681006</v>
      </c>
      <c r="D6881" t="str">
        <f t="shared" si="571"/>
        <v>12572900152</v>
      </c>
      <c r="E6881" t="s">
        <v>52</v>
      </c>
      <c r="F6881">
        <v>2014</v>
      </c>
      <c r="G6881">
        <v>25186676</v>
      </c>
      <c r="H6881" s="1">
        <v>41806</v>
      </c>
      <c r="I6881" s="1">
        <v>41821</v>
      </c>
      <c r="J6881" s="1">
        <v>41821</v>
      </c>
      <c r="K6881" s="1">
        <v>41911</v>
      </c>
      <c r="N6881" s="5"/>
      <c r="O6881">
        <v>926.64</v>
      </c>
      <c r="P6881">
        <v>252</v>
      </c>
      <c r="Q6881" s="2">
        <v>233513.28</v>
      </c>
      <c r="R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 s="1">
        <v>42382</v>
      </c>
      <c r="AC6881" t="s">
        <v>53</v>
      </c>
      <c r="AD6881" t="s">
        <v>53</v>
      </c>
      <c r="AK6881">
        <v>0</v>
      </c>
      <c r="AU6881" s="6">
        <v>42163</v>
      </c>
      <c r="AV6881" s="6">
        <v>42163</v>
      </c>
      <c r="AW6881" t="s">
        <v>54</v>
      </c>
      <c r="AX6881" t="str">
        <f t="shared" si="569"/>
        <v>FOR</v>
      </c>
      <c r="AY6881" t="s">
        <v>55</v>
      </c>
    </row>
    <row r="6882" spans="1:51" hidden="1">
      <c r="A6882">
        <v>104093</v>
      </c>
      <c r="B6882" t="s">
        <v>1210</v>
      </c>
      <c r="C6882" t="str">
        <f t="shared" si="570"/>
        <v>06032681006</v>
      </c>
      <c r="D6882" t="str">
        <f t="shared" si="571"/>
        <v>12572900152</v>
      </c>
      <c r="E6882" t="s">
        <v>52</v>
      </c>
      <c r="F6882">
        <v>2014</v>
      </c>
      <c r="G6882">
        <v>25186677</v>
      </c>
      <c r="H6882" s="1">
        <v>41806</v>
      </c>
      <c r="I6882" s="1">
        <v>41821</v>
      </c>
      <c r="J6882" s="1">
        <v>41821</v>
      </c>
      <c r="K6882" s="1">
        <v>41911</v>
      </c>
      <c r="N6882" s="5"/>
      <c r="O6882">
        <v>403.42</v>
      </c>
      <c r="P6882">
        <v>252</v>
      </c>
      <c r="Q6882" s="2">
        <v>101661.84</v>
      </c>
      <c r="R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 s="1">
        <v>42382</v>
      </c>
      <c r="AC6882" t="s">
        <v>53</v>
      </c>
      <c r="AD6882" t="s">
        <v>53</v>
      </c>
      <c r="AK6882">
        <v>0</v>
      </c>
      <c r="AU6882" s="6">
        <v>42163</v>
      </c>
      <c r="AV6882" s="6">
        <v>42163</v>
      </c>
      <c r="AW6882" t="s">
        <v>54</v>
      </c>
      <c r="AX6882" t="str">
        <f t="shared" si="569"/>
        <v>FOR</v>
      </c>
      <c r="AY6882" t="s">
        <v>55</v>
      </c>
    </row>
    <row r="6883" spans="1:51" hidden="1">
      <c r="A6883">
        <v>104093</v>
      </c>
      <c r="B6883" t="s">
        <v>1210</v>
      </c>
      <c r="C6883" t="str">
        <f t="shared" si="570"/>
        <v>06032681006</v>
      </c>
      <c r="D6883" t="str">
        <f t="shared" si="571"/>
        <v>12572900152</v>
      </c>
      <c r="E6883" t="s">
        <v>52</v>
      </c>
      <c r="F6883">
        <v>2014</v>
      </c>
      <c r="G6883">
        <v>25186678</v>
      </c>
      <c r="H6883" s="1">
        <v>41806</v>
      </c>
      <c r="I6883" s="1">
        <v>41821</v>
      </c>
      <c r="J6883" s="1">
        <v>41821</v>
      </c>
      <c r="K6883" s="1">
        <v>41911</v>
      </c>
      <c r="N6883" s="5"/>
      <c r="O6883">
        <v>252.72</v>
      </c>
      <c r="P6883">
        <v>252</v>
      </c>
      <c r="Q6883" s="2">
        <v>63685.440000000002</v>
      </c>
      <c r="R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 s="1">
        <v>42382</v>
      </c>
      <c r="AC6883" t="s">
        <v>53</v>
      </c>
      <c r="AD6883" t="s">
        <v>53</v>
      </c>
      <c r="AK6883">
        <v>0</v>
      </c>
      <c r="AU6883" s="6">
        <v>42163</v>
      </c>
      <c r="AV6883" s="6">
        <v>42163</v>
      </c>
      <c r="AW6883" t="s">
        <v>54</v>
      </c>
      <c r="AX6883" t="str">
        <f t="shared" si="569"/>
        <v>FOR</v>
      </c>
      <c r="AY6883" t="s">
        <v>55</v>
      </c>
    </row>
    <row r="6884" spans="1:51" hidden="1">
      <c r="A6884">
        <v>104093</v>
      </c>
      <c r="B6884" t="s">
        <v>1210</v>
      </c>
      <c r="C6884" t="str">
        <f t="shared" si="570"/>
        <v>06032681006</v>
      </c>
      <c r="D6884" t="str">
        <f t="shared" si="571"/>
        <v>12572900152</v>
      </c>
      <c r="E6884" t="s">
        <v>52</v>
      </c>
      <c r="F6884">
        <v>2014</v>
      </c>
      <c r="G6884">
        <v>25186879</v>
      </c>
      <c r="H6884" s="1">
        <v>41807</v>
      </c>
      <c r="I6884" s="1">
        <v>41821</v>
      </c>
      <c r="J6884" s="1">
        <v>41821</v>
      </c>
      <c r="K6884" s="1">
        <v>41911</v>
      </c>
      <c r="N6884" s="5"/>
      <c r="O6884">
        <v>74.88</v>
      </c>
      <c r="P6884">
        <v>252</v>
      </c>
      <c r="Q6884" s="2">
        <v>18869.759999999998</v>
      </c>
      <c r="R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 s="1">
        <v>42382</v>
      </c>
      <c r="AC6884" t="s">
        <v>53</v>
      </c>
      <c r="AD6884" t="s">
        <v>53</v>
      </c>
      <c r="AK6884">
        <v>0</v>
      </c>
      <c r="AU6884" s="6">
        <v>42163</v>
      </c>
      <c r="AV6884" s="6">
        <v>42163</v>
      </c>
      <c r="AW6884" t="s">
        <v>54</v>
      </c>
      <c r="AX6884" t="str">
        <f t="shared" si="569"/>
        <v>FOR</v>
      </c>
      <c r="AY6884" t="s">
        <v>55</v>
      </c>
    </row>
    <row r="6885" spans="1:51" hidden="1">
      <c r="A6885">
        <v>104093</v>
      </c>
      <c r="B6885" t="s">
        <v>1210</v>
      </c>
      <c r="C6885" t="str">
        <f t="shared" si="570"/>
        <v>06032681006</v>
      </c>
      <c r="D6885" t="str">
        <f t="shared" si="571"/>
        <v>12572900152</v>
      </c>
      <c r="E6885" t="s">
        <v>52</v>
      </c>
      <c r="F6885">
        <v>2014</v>
      </c>
      <c r="G6885">
        <v>25186880</v>
      </c>
      <c r="H6885" s="1">
        <v>41807</v>
      </c>
      <c r="I6885" s="1">
        <v>41821</v>
      </c>
      <c r="J6885" s="1">
        <v>41821</v>
      </c>
      <c r="K6885" s="1">
        <v>41911</v>
      </c>
      <c r="N6885" s="5"/>
      <c r="O6885">
        <v>403.42</v>
      </c>
      <c r="P6885">
        <v>252</v>
      </c>
      <c r="Q6885" s="2">
        <v>101661.84</v>
      </c>
      <c r="R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 s="1">
        <v>42382</v>
      </c>
      <c r="AC6885" t="s">
        <v>53</v>
      </c>
      <c r="AD6885" t="s">
        <v>53</v>
      </c>
      <c r="AK6885">
        <v>0</v>
      </c>
      <c r="AU6885" s="6">
        <v>42163</v>
      </c>
      <c r="AV6885" s="6">
        <v>42163</v>
      </c>
      <c r="AW6885" t="s">
        <v>54</v>
      </c>
      <c r="AX6885" t="str">
        <f t="shared" si="569"/>
        <v>FOR</v>
      </c>
      <c r="AY6885" t="s">
        <v>55</v>
      </c>
    </row>
    <row r="6886" spans="1:51" hidden="1">
      <c r="A6886">
        <v>104093</v>
      </c>
      <c r="B6886" t="s">
        <v>1210</v>
      </c>
      <c r="C6886" t="str">
        <f t="shared" si="570"/>
        <v>06032681006</v>
      </c>
      <c r="D6886" t="str">
        <f t="shared" si="571"/>
        <v>12572900152</v>
      </c>
      <c r="E6886" t="s">
        <v>52</v>
      </c>
      <c r="F6886">
        <v>2014</v>
      </c>
      <c r="G6886">
        <v>25186881</v>
      </c>
      <c r="H6886" s="1">
        <v>41807</v>
      </c>
      <c r="I6886" s="1">
        <v>41821</v>
      </c>
      <c r="J6886" s="1">
        <v>41821</v>
      </c>
      <c r="K6886" s="1">
        <v>41911</v>
      </c>
      <c r="N6886" s="5"/>
      <c r="O6886">
        <v>74.88</v>
      </c>
      <c r="P6886">
        <v>252</v>
      </c>
      <c r="Q6886" s="2">
        <v>18869.759999999998</v>
      </c>
      <c r="R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 s="1">
        <v>42382</v>
      </c>
      <c r="AC6886" t="s">
        <v>53</v>
      </c>
      <c r="AD6886" t="s">
        <v>53</v>
      </c>
      <c r="AK6886">
        <v>0</v>
      </c>
      <c r="AU6886" s="6">
        <v>42163</v>
      </c>
      <c r="AV6886" s="6">
        <v>42163</v>
      </c>
      <c r="AW6886" t="s">
        <v>54</v>
      </c>
      <c r="AX6886" t="str">
        <f t="shared" si="569"/>
        <v>FOR</v>
      </c>
      <c r="AY6886" t="s">
        <v>55</v>
      </c>
    </row>
    <row r="6887" spans="1:51" hidden="1">
      <c r="A6887">
        <v>104093</v>
      </c>
      <c r="B6887" t="s">
        <v>1210</v>
      </c>
      <c r="C6887" t="str">
        <f t="shared" si="570"/>
        <v>06032681006</v>
      </c>
      <c r="D6887" t="str">
        <f t="shared" si="571"/>
        <v>12572900152</v>
      </c>
      <c r="E6887" t="s">
        <v>52</v>
      </c>
      <c r="F6887">
        <v>2014</v>
      </c>
      <c r="G6887">
        <v>25186882</v>
      </c>
      <c r="H6887" s="1">
        <v>41807</v>
      </c>
      <c r="I6887" s="1">
        <v>41821</v>
      </c>
      <c r="J6887" s="1">
        <v>41821</v>
      </c>
      <c r="K6887" s="1">
        <v>41911</v>
      </c>
      <c r="N6887" s="5"/>
      <c r="O6887">
        <v>74.88</v>
      </c>
      <c r="P6887">
        <v>252</v>
      </c>
      <c r="Q6887" s="2">
        <v>18869.759999999998</v>
      </c>
      <c r="R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 s="1">
        <v>42382</v>
      </c>
      <c r="AC6887" t="s">
        <v>53</v>
      </c>
      <c r="AD6887" t="s">
        <v>53</v>
      </c>
      <c r="AK6887">
        <v>0</v>
      </c>
      <c r="AU6887" s="6">
        <v>42163</v>
      </c>
      <c r="AV6887" s="6">
        <v>42163</v>
      </c>
      <c r="AW6887" t="s">
        <v>54</v>
      </c>
      <c r="AX6887" t="str">
        <f t="shared" si="569"/>
        <v>FOR</v>
      </c>
      <c r="AY6887" t="s">
        <v>55</v>
      </c>
    </row>
    <row r="6888" spans="1:51" hidden="1">
      <c r="A6888">
        <v>104093</v>
      </c>
      <c r="B6888" t="s">
        <v>1210</v>
      </c>
      <c r="C6888" t="str">
        <f t="shared" si="570"/>
        <v>06032681006</v>
      </c>
      <c r="D6888" t="str">
        <f t="shared" si="571"/>
        <v>12572900152</v>
      </c>
      <c r="E6888" t="s">
        <v>52</v>
      </c>
      <c r="F6888">
        <v>2014</v>
      </c>
      <c r="G6888">
        <v>25186883</v>
      </c>
      <c r="H6888" s="1">
        <v>41807</v>
      </c>
      <c r="I6888" s="1">
        <v>41821</v>
      </c>
      <c r="J6888" s="1">
        <v>41821</v>
      </c>
      <c r="K6888" s="1">
        <v>41911</v>
      </c>
      <c r="N6888" s="5"/>
      <c r="O6888">
        <v>403.42</v>
      </c>
      <c r="P6888">
        <v>252</v>
      </c>
      <c r="Q6888" s="2">
        <v>101661.84</v>
      </c>
      <c r="R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 s="1">
        <v>42382</v>
      </c>
      <c r="AC6888" t="s">
        <v>53</v>
      </c>
      <c r="AD6888" t="s">
        <v>53</v>
      </c>
      <c r="AK6888">
        <v>0</v>
      </c>
      <c r="AU6888" s="6">
        <v>42163</v>
      </c>
      <c r="AV6888" s="6">
        <v>42163</v>
      </c>
      <c r="AW6888" t="s">
        <v>54</v>
      </c>
      <c r="AX6888" t="str">
        <f t="shared" si="569"/>
        <v>FOR</v>
      </c>
      <c r="AY6888" t="s">
        <v>55</v>
      </c>
    </row>
    <row r="6889" spans="1:51" hidden="1">
      <c r="A6889">
        <v>104093</v>
      </c>
      <c r="B6889" t="s">
        <v>1210</v>
      </c>
      <c r="C6889" t="str">
        <f t="shared" si="570"/>
        <v>06032681006</v>
      </c>
      <c r="D6889" t="str">
        <f t="shared" si="571"/>
        <v>12572900152</v>
      </c>
      <c r="E6889" t="s">
        <v>52</v>
      </c>
      <c r="F6889">
        <v>2014</v>
      </c>
      <c r="G6889">
        <v>25186945</v>
      </c>
      <c r="H6889" s="1">
        <v>41807</v>
      </c>
      <c r="I6889" s="1">
        <v>41821</v>
      </c>
      <c r="J6889" s="1">
        <v>41821</v>
      </c>
      <c r="K6889" s="1">
        <v>41911</v>
      </c>
      <c r="N6889" s="5"/>
      <c r="O6889" s="2">
        <v>2781.6</v>
      </c>
      <c r="P6889">
        <v>221</v>
      </c>
      <c r="Q6889" s="2">
        <v>614733.6</v>
      </c>
      <c r="R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 s="1">
        <v>42382</v>
      </c>
      <c r="AC6889" t="s">
        <v>53</v>
      </c>
      <c r="AD6889" t="s">
        <v>53</v>
      </c>
      <c r="AK6889">
        <v>0</v>
      </c>
      <c r="AU6889" s="6">
        <v>42132</v>
      </c>
      <c r="AV6889" s="6">
        <v>42132</v>
      </c>
      <c r="AW6889" t="s">
        <v>54</v>
      </c>
      <c r="AX6889" t="str">
        <f t="shared" si="569"/>
        <v>FOR</v>
      </c>
      <c r="AY6889" t="s">
        <v>55</v>
      </c>
    </row>
    <row r="6890" spans="1:51" hidden="1">
      <c r="A6890">
        <v>104093</v>
      </c>
      <c r="B6890" t="s">
        <v>1210</v>
      </c>
      <c r="C6890" t="str">
        <f t="shared" si="570"/>
        <v>06032681006</v>
      </c>
      <c r="D6890" t="str">
        <f t="shared" si="571"/>
        <v>12572900152</v>
      </c>
      <c r="E6890" t="s">
        <v>52</v>
      </c>
      <c r="F6890">
        <v>2014</v>
      </c>
      <c r="G6890">
        <v>25187171</v>
      </c>
      <c r="H6890" s="1">
        <v>41808</v>
      </c>
      <c r="I6890" s="1">
        <v>41827</v>
      </c>
      <c r="J6890" s="1">
        <v>41827</v>
      </c>
      <c r="K6890" s="1">
        <v>41917</v>
      </c>
      <c r="N6890" s="5"/>
      <c r="O6890">
        <v>695.4</v>
      </c>
      <c r="P6890">
        <v>215</v>
      </c>
      <c r="Q6890" s="2">
        <v>149511</v>
      </c>
      <c r="R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 s="1">
        <v>42382</v>
      </c>
      <c r="AC6890" t="s">
        <v>53</v>
      </c>
      <c r="AD6890" t="s">
        <v>53</v>
      </c>
      <c r="AK6890">
        <v>0</v>
      </c>
      <c r="AU6890" s="6">
        <v>42132</v>
      </c>
      <c r="AV6890" s="6">
        <v>42132</v>
      </c>
      <c r="AW6890" t="s">
        <v>54</v>
      </c>
      <c r="AX6890" t="str">
        <f t="shared" si="569"/>
        <v>FOR</v>
      </c>
      <c r="AY6890" t="s">
        <v>55</v>
      </c>
    </row>
    <row r="6891" spans="1:51" hidden="1">
      <c r="A6891">
        <v>104093</v>
      </c>
      <c r="B6891" t="s">
        <v>1210</v>
      </c>
      <c r="C6891" t="str">
        <f t="shared" si="570"/>
        <v>06032681006</v>
      </c>
      <c r="D6891" t="str">
        <f t="shared" si="571"/>
        <v>12572900152</v>
      </c>
      <c r="E6891" t="s">
        <v>52</v>
      </c>
      <c r="F6891">
        <v>2014</v>
      </c>
      <c r="G6891">
        <v>25187570</v>
      </c>
      <c r="H6891" s="1">
        <v>41810</v>
      </c>
      <c r="I6891" s="1">
        <v>41827</v>
      </c>
      <c r="J6891" s="1">
        <v>41827</v>
      </c>
      <c r="K6891" s="1">
        <v>41917</v>
      </c>
      <c r="N6891" s="5"/>
      <c r="O6891">
        <v>74.88</v>
      </c>
      <c r="P6891">
        <v>246</v>
      </c>
      <c r="Q6891" s="2">
        <v>18420.48</v>
      </c>
      <c r="R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 s="1">
        <v>42382</v>
      </c>
      <c r="AC6891" t="s">
        <v>53</v>
      </c>
      <c r="AD6891" t="s">
        <v>53</v>
      </c>
      <c r="AK6891">
        <v>0</v>
      </c>
      <c r="AU6891" s="6">
        <v>42163</v>
      </c>
      <c r="AV6891" s="6">
        <v>42163</v>
      </c>
      <c r="AW6891" t="s">
        <v>54</v>
      </c>
      <c r="AX6891" t="str">
        <f t="shared" si="569"/>
        <v>FOR</v>
      </c>
      <c r="AY6891" t="s">
        <v>55</v>
      </c>
    </row>
    <row r="6892" spans="1:51" hidden="1">
      <c r="A6892">
        <v>104093</v>
      </c>
      <c r="B6892" t="s">
        <v>1210</v>
      </c>
      <c r="C6892" t="str">
        <f t="shared" si="570"/>
        <v>06032681006</v>
      </c>
      <c r="D6892" t="str">
        <f t="shared" si="571"/>
        <v>12572900152</v>
      </c>
      <c r="E6892" t="s">
        <v>52</v>
      </c>
      <c r="F6892">
        <v>2014</v>
      </c>
      <c r="G6892">
        <v>25187571</v>
      </c>
      <c r="H6892" s="1">
        <v>41810</v>
      </c>
      <c r="I6892" s="1">
        <v>41827</v>
      </c>
      <c r="J6892" s="1">
        <v>41827</v>
      </c>
      <c r="K6892" s="1">
        <v>41917</v>
      </c>
      <c r="N6892" s="5"/>
      <c r="O6892">
        <v>252.72</v>
      </c>
      <c r="P6892">
        <v>246</v>
      </c>
      <c r="Q6892" s="2">
        <v>62169.120000000003</v>
      </c>
      <c r="R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 s="1">
        <v>42382</v>
      </c>
      <c r="AC6892" t="s">
        <v>53</v>
      </c>
      <c r="AD6892" t="s">
        <v>53</v>
      </c>
      <c r="AK6892">
        <v>0</v>
      </c>
      <c r="AU6892" s="6">
        <v>42163</v>
      </c>
      <c r="AV6892" s="6">
        <v>42163</v>
      </c>
      <c r="AW6892" t="s">
        <v>54</v>
      </c>
      <c r="AX6892" t="str">
        <f t="shared" si="569"/>
        <v>FOR</v>
      </c>
      <c r="AY6892" t="s">
        <v>55</v>
      </c>
    </row>
    <row r="6893" spans="1:51" hidden="1">
      <c r="A6893">
        <v>104093</v>
      </c>
      <c r="B6893" t="s">
        <v>1210</v>
      </c>
      <c r="C6893" t="str">
        <f t="shared" si="570"/>
        <v>06032681006</v>
      </c>
      <c r="D6893" t="str">
        <f t="shared" si="571"/>
        <v>12572900152</v>
      </c>
      <c r="E6893" t="s">
        <v>52</v>
      </c>
      <c r="F6893">
        <v>2014</v>
      </c>
      <c r="G6893">
        <v>25187572</v>
      </c>
      <c r="H6893" s="1">
        <v>41810</v>
      </c>
      <c r="I6893" s="1">
        <v>41827</v>
      </c>
      <c r="J6893" s="1">
        <v>41827</v>
      </c>
      <c r="K6893" s="1">
        <v>41917</v>
      </c>
      <c r="N6893" s="5"/>
      <c r="O6893">
        <v>707.62</v>
      </c>
      <c r="P6893">
        <v>246</v>
      </c>
      <c r="Q6893" s="2">
        <v>174074.52</v>
      </c>
      <c r="R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 s="1">
        <v>42382</v>
      </c>
      <c r="AC6893" t="s">
        <v>53</v>
      </c>
      <c r="AD6893" t="s">
        <v>53</v>
      </c>
      <c r="AK6893">
        <v>0</v>
      </c>
      <c r="AU6893" s="6">
        <v>42163</v>
      </c>
      <c r="AV6893" s="6">
        <v>42163</v>
      </c>
      <c r="AW6893" t="s">
        <v>54</v>
      </c>
      <c r="AX6893" t="str">
        <f t="shared" si="569"/>
        <v>FOR</v>
      </c>
      <c r="AY6893" t="s">
        <v>55</v>
      </c>
    </row>
    <row r="6894" spans="1:51" hidden="1">
      <c r="A6894">
        <v>104093</v>
      </c>
      <c r="B6894" t="s">
        <v>1210</v>
      </c>
      <c r="C6894" t="str">
        <f t="shared" si="570"/>
        <v>06032681006</v>
      </c>
      <c r="D6894" t="str">
        <f t="shared" si="571"/>
        <v>12572900152</v>
      </c>
      <c r="E6894" t="s">
        <v>52</v>
      </c>
      <c r="F6894">
        <v>2014</v>
      </c>
      <c r="G6894">
        <v>25187732</v>
      </c>
      <c r="H6894" s="1">
        <v>41810</v>
      </c>
      <c r="I6894" s="1">
        <v>41827</v>
      </c>
      <c r="J6894" s="1">
        <v>41827</v>
      </c>
      <c r="K6894" s="1">
        <v>41917</v>
      </c>
      <c r="N6894" s="5"/>
      <c r="O6894" s="2">
        <v>1830</v>
      </c>
      <c r="P6894">
        <v>215</v>
      </c>
      <c r="Q6894" s="2">
        <v>393450</v>
      </c>
      <c r="R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 s="1">
        <v>42382</v>
      </c>
      <c r="AC6894" t="s">
        <v>53</v>
      </c>
      <c r="AD6894" t="s">
        <v>53</v>
      </c>
      <c r="AK6894">
        <v>0</v>
      </c>
      <c r="AU6894" s="6">
        <v>42132</v>
      </c>
      <c r="AV6894" s="6">
        <v>42132</v>
      </c>
      <c r="AW6894" t="s">
        <v>54</v>
      </c>
      <c r="AX6894" t="str">
        <f t="shared" si="569"/>
        <v>FOR</v>
      </c>
      <c r="AY6894" t="s">
        <v>55</v>
      </c>
    </row>
    <row r="6895" spans="1:51" hidden="1">
      <c r="A6895">
        <v>104093</v>
      </c>
      <c r="B6895" t="s">
        <v>1210</v>
      </c>
      <c r="C6895" t="str">
        <f t="shared" si="570"/>
        <v>06032681006</v>
      </c>
      <c r="D6895" t="str">
        <f t="shared" si="571"/>
        <v>12572900152</v>
      </c>
      <c r="E6895" t="s">
        <v>52</v>
      </c>
      <c r="F6895">
        <v>2014</v>
      </c>
      <c r="G6895">
        <v>25188454</v>
      </c>
      <c r="H6895" s="1">
        <v>41815</v>
      </c>
      <c r="I6895" s="1">
        <v>41834</v>
      </c>
      <c r="J6895" s="1">
        <v>41834</v>
      </c>
      <c r="K6895" s="1">
        <v>41924</v>
      </c>
      <c r="N6895" s="5"/>
      <c r="O6895">
        <v>936</v>
      </c>
      <c r="P6895">
        <v>239</v>
      </c>
      <c r="Q6895" s="2">
        <v>223704</v>
      </c>
      <c r="R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 s="1">
        <v>42382</v>
      </c>
      <c r="AC6895" t="s">
        <v>53</v>
      </c>
      <c r="AD6895" t="s">
        <v>53</v>
      </c>
      <c r="AK6895">
        <v>0</v>
      </c>
      <c r="AU6895" s="6">
        <v>42163</v>
      </c>
      <c r="AV6895" s="6">
        <v>42163</v>
      </c>
      <c r="AW6895" t="s">
        <v>54</v>
      </c>
      <c r="AX6895" t="str">
        <f t="shared" si="569"/>
        <v>FOR</v>
      </c>
      <c r="AY6895" t="s">
        <v>55</v>
      </c>
    </row>
    <row r="6896" spans="1:51" hidden="1">
      <c r="A6896">
        <v>104093</v>
      </c>
      <c r="B6896" t="s">
        <v>1210</v>
      </c>
      <c r="C6896" t="str">
        <f t="shared" si="570"/>
        <v>06032681006</v>
      </c>
      <c r="D6896" t="str">
        <f t="shared" si="571"/>
        <v>12572900152</v>
      </c>
      <c r="E6896" t="s">
        <v>52</v>
      </c>
      <c r="F6896">
        <v>2014</v>
      </c>
      <c r="G6896">
        <v>25189262</v>
      </c>
      <c r="H6896" s="1">
        <v>41820</v>
      </c>
      <c r="I6896" s="1">
        <v>41834</v>
      </c>
      <c r="J6896" s="1">
        <v>41834</v>
      </c>
      <c r="K6896" s="1">
        <v>41924</v>
      </c>
      <c r="N6896" s="5"/>
      <c r="O6896">
        <v>707.62</v>
      </c>
      <c r="P6896">
        <v>239</v>
      </c>
      <c r="Q6896" s="2">
        <v>169121.18</v>
      </c>
      <c r="R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 s="1">
        <v>42382</v>
      </c>
      <c r="AC6896" t="s">
        <v>53</v>
      </c>
      <c r="AD6896" t="s">
        <v>53</v>
      </c>
      <c r="AK6896">
        <v>0</v>
      </c>
      <c r="AU6896" s="6">
        <v>42163</v>
      </c>
      <c r="AV6896" s="6">
        <v>42163</v>
      </c>
      <c r="AW6896" t="s">
        <v>54</v>
      </c>
      <c r="AX6896" t="str">
        <f t="shared" si="569"/>
        <v>FOR</v>
      </c>
      <c r="AY6896" t="s">
        <v>55</v>
      </c>
    </row>
    <row r="6897" spans="1:51" hidden="1">
      <c r="A6897">
        <v>104093</v>
      </c>
      <c r="B6897" t="s">
        <v>1210</v>
      </c>
      <c r="C6897" t="str">
        <f t="shared" si="570"/>
        <v>06032681006</v>
      </c>
      <c r="D6897" t="str">
        <f t="shared" si="571"/>
        <v>12572900152</v>
      </c>
      <c r="E6897" t="s">
        <v>52</v>
      </c>
      <c r="F6897">
        <v>2014</v>
      </c>
      <c r="G6897">
        <v>25189263</v>
      </c>
      <c r="H6897" s="1">
        <v>41820</v>
      </c>
      <c r="I6897" s="1">
        <v>41834</v>
      </c>
      <c r="J6897" s="1">
        <v>41834</v>
      </c>
      <c r="K6897" s="1">
        <v>41924</v>
      </c>
      <c r="N6897" s="5"/>
      <c r="O6897">
        <v>252.72</v>
      </c>
      <c r="P6897">
        <v>239</v>
      </c>
      <c r="Q6897" s="2">
        <v>60400.08</v>
      </c>
      <c r="R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 s="1">
        <v>42382</v>
      </c>
      <c r="AC6897" t="s">
        <v>53</v>
      </c>
      <c r="AD6897" t="s">
        <v>53</v>
      </c>
      <c r="AK6897">
        <v>0</v>
      </c>
      <c r="AU6897" s="6">
        <v>42163</v>
      </c>
      <c r="AV6897" s="6">
        <v>42163</v>
      </c>
      <c r="AW6897" t="s">
        <v>54</v>
      </c>
      <c r="AX6897" t="str">
        <f t="shared" si="569"/>
        <v>FOR</v>
      </c>
      <c r="AY6897" t="s">
        <v>55</v>
      </c>
    </row>
    <row r="6898" spans="1:51" hidden="1">
      <c r="A6898">
        <v>104093</v>
      </c>
      <c r="B6898" t="s">
        <v>1210</v>
      </c>
      <c r="C6898" t="str">
        <f t="shared" si="570"/>
        <v>06032681006</v>
      </c>
      <c r="D6898" t="str">
        <f t="shared" si="571"/>
        <v>12572900152</v>
      </c>
      <c r="E6898" t="s">
        <v>52</v>
      </c>
      <c r="F6898">
        <v>2014</v>
      </c>
      <c r="G6898">
        <v>25189264</v>
      </c>
      <c r="H6898" s="1">
        <v>41820</v>
      </c>
      <c r="I6898" s="1">
        <v>41834</v>
      </c>
      <c r="J6898" s="1">
        <v>41834</v>
      </c>
      <c r="K6898" s="1">
        <v>41924</v>
      </c>
      <c r="N6898" s="5"/>
      <c r="O6898">
        <v>74.88</v>
      </c>
      <c r="P6898">
        <v>239</v>
      </c>
      <c r="Q6898" s="2">
        <v>17896.32</v>
      </c>
      <c r="R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 s="1">
        <v>42382</v>
      </c>
      <c r="AC6898" t="s">
        <v>53</v>
      </c>
      <c r="AD6898" t="s">
        <v>53</v>
      </c>
      <c r="AK6898">
        <v>0</v>
      </c>
      <c r="AU6898" s="6">
        <v>42163</v>
      </c>
      <c r="AV6898" s="6">
        <v>42163</v>
      </c>
      <c r="AW6898" t="s">
        <v>54</v>
      </c>
      <c r="AX6898" t="str">
        <f t="shared" si="569"/>
        <v>FOR</v>
      </c>
      <c r="AY6898" t="s">
        <v>55</v>
      </c>
    </row>
    <row r="6899" spans="1:51" hidden="1">
      <c r="A6899">
        <v>104093</v>
      </c>
      <c r="B6899" t="s">
        <v>1210</v>
      </c>
      <c r="C6899" t="str">
        <f t="shared" si="570"/>
        <v>06032681006</v>
      </c>
      <c r="D6899" t="str">
        <f t="shared" si="571"/>
        <v>12572900152</v>
      </c>
      <c r="E6899" t="s">
        <v>52</v>
      </c>
      <c r="F6899">
        <v>2014</v>
      </c>
      <c r="G6899">
        <v>25189265</v>
      </c>
      <c r="H6899" s="1">
        <v>41820</v>
      </c>
      <c r="I6899" s="1">
        <v>41834</v>
      </c>
      <c r="J6899" s="1">
        <v>41834</v>
      </c>
      <c r="K6899" s="1">
        <v>41924</v>
      </c>
      <c r="N6899" s="5"/>
      <c r="O6899">
        <v>707.62</v>
      </c>
      <c r="P6899">
        <v>239</v>
      </c>
      <c r="Q6899" s="2">
        <v>169121.18</v>
      </c>
      <c r="R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 s="1">
        <v>42382</v>
      </c>
      <c r="AC6899" t="s">
        <v>53</v>
      </c>
      <c r="AD6899" t="s">
        <v>53</v>
      </c>
      <c r="AK6899">
        <v>0</v>
      </c>
      <c r="AU6899" s="6">
        <v>42163</v>
      </c>
      <c r="AV6899" s="6">
        <v>42163</v>
      </c>
      <c r="AW6899" t="s">
        <v>54</v>
      </c>
      <c r="AX6899" t="str">
        <f t="shared" si="569"/>
        <v>FOR</v>
      </c>
      <c r="AY6899" t="s">
        <v>55</v>
      </c>
    </row>
    <row r="6900" spans="1:51" hidden="1">
      <c r="A6900">
        <v>104093</v>
      </c>
      <c r="B6900" t="s">
        <v>1210</v>
      </c>
      <c r="C6900" t="str">
        <f t="shared" si="570"/>
        <v>06032681006</v>
      </c>
      <c r="D6900" t="str">
        <f t="shared" si="571"/>
        <v>12572900152</v>
      </c>
      <c r="E6900" t="s">
        <v>52</v>
      </c>
      <c r="F6900">
        <v>2014</v>
      </c>
      <c r="G6900">
        <v>25189266</v>
      </c>
      <c r="H6900" s="1">
        <v>41820</v>
      </c>
      <c r="I6900" s="1">
        <v>41834</v>
      </c>
      <c r="J6900" s="1">
        <v>41834</v>
      </c>
      <c r="K6900" s="1">
        <v>41924</v>
      </c>
      <c r="N6900" s="5"/>
      <c r="O6900">
        <v>252.72</v>
      </c>
      <c r="P6900">
        <v>239</v>
      </c>
      <c r="Q6900" s="2">
        <v>60400.08</v>
      </c>
      <c r="R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 s="1">
        <v>42382</v>
      </c>
      <c r="AC6900" t="s">
        <v>53</v>
      </c>
      <c r="AD6900" t="s">
        <v>53</v>
      </c>
      <c r="AK6900">
        <v>0</v>
      </c>
      <c r="AU6900" s="6">
        <v>42163</v>
      </c>
      <c r="AV6900" s="6">
        <v>42163</v>
      </c>
      <c r="AW6900" t="s">
        <v>54</v>
      </c>
      <c r="AX6900" t="str">
        <f t="shared" si="569"/>
        <v>FOR</v>
      </c>
      <c r="AY6900" t="s">
        <v>55</v>
      </c>
    </row>
    <row r="6901" spans="1:51" hidden="1">
      <c r="A6901">
        <v>104093</v>
      </c>
      <c r="B6901" t="s">
        <v>1210</v>
      </c>
      <c r="C6901" t="str">
        <f t="shared" si="570"/>
        <v>06032681006</v>
      </c>
      <c r="D6901" t="str">
        <f t="shared" si="571"/>
        <v>12572900152</v>
      </c>
      <c r="E6901" t="s">
        <v>52</v>
      </c>
      <c r="F6901">
        <v>2014</v>
      </c>
      <c r="G6901">
        <v>25189267</v>
      </c>
      <c r="H6901" s="1">
        <v>41820</v>
      </c>
      <c r="I6901" s="1">
        <v>41834</v>
      </c>
      <c r="J6901" s="1">
        <v>41834</v>
      </c>
      <c r="K6901" s="1">
        <v>41924</v>
      </c>
      <c r="N6901" s="5"/>
      <c r="O6901">
        <v>74.88</v>
      </c>
      <c r="P6901">
        <v>239</v>
      </c>
      <c r="Q6901" s="2">
        <v>17896.32</v>
      </c>
      <c r="R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 s="1">
        <v>42382</v>
      </c>
      <c r="AC6901" t="s">
        <v>53</v>
      </c>
      <c r="AD6901" t="s">
        <v>53</v>
      </c>
      <c r="AK6901">
        <v>0</v>
      </c>
      <c r="AU6901" s="6">
        <v>42163</v>
      </c>
      <c r="AV6901" s="6">
        <v>42163</v>
      </c>
      <c r="AW6901" t="s">
        <v>54</v>
      </c>
      <c r="AX6901" t="str">
        <f t="shared" si="569"/>
        <v>FOR</v>
      </c>
      <c r="AY6901" t="s">
        <v>55</v>
      </c>
    </row>
    <row r="6902" spans="1:51" hidden="1">
      <c r="A6902">
        <v>104093</v>
      </c>
      <c r="B6902" t="s">
        <v>1210</v>
      </c>
      <c r="C6902" t="str">
        <f t="shared" si="570"/>
        <v>06032681006</v>
      </c>
      <c r="D6902" t="str">
        <f t="shared" si="571"/>
        <v>12572900152</v>
      </c>
      <c r="E6902" t="s">
        <v>52</v>
      </c>
      <c r="F6902">
        <v>2014</v>
      </c>
      <c r="G6902">
        <v>25189401</v>
      </c>
      <c r="H6902" s="1">
        <v>41820</v>
      </c>
      <c r="I6902" s="1">
        <v>41834</v>
      </c>
      <c r="J6902" s="1">
        <v>41834</v>
      </c>
      <c r="K6902" s="1">
        <v>41924</v>
      </c>
      <c r="N6902" s="5"/>
      <c r="O6902" s="2">
        <v>5465.6</v>
      </c>
      <c r="P6902">
        <v>208</v>
      </c>
      <c r="Q6902" s="2">
        <v>1136844.8</v>
      </c>
      <c r="R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 s="1">
        <v>42382</v>
      </c>
      <c r="AC6902" t="s">
        <v>53</v>
      </c>
      <c r="AD6902" t="s">
        <v>53</v>
      </c>
      <c r="AK6902">
        <v>0</v>
      </c>
      <c r="AU6902" s="6">
        <v>42132</v>
      </c>
      <c r="AV6902" s="6">
        <v>42132</v>
      </c>
      <c r="AW6902" t="s">
        <v>54</v>
      </c>
      <c r="AX6902" t="str">
        <f t="shared" si="569"/>
        <v>FOR</v>
      </c>
      <c r="AY6902" t="s">
        <v>55</v>
      </c>
    </row>
    <row r="6903" spans="1:51" hidden="1">
      <c r="A6903">
        <v>104093</v>
      </c>
      <c r="B6903" t="s">
        <v>1210</v>
      </c>
      <c r="C6903" t="str">
        <f t="shared" si="570"/>
        <v>06032681006</v>
      </c>
      <c r="D6903" t="str">
        <f t="shared" si="571"/>
        <v>12572900152</v>
      </c>
      <c r="E6903" t="s">
        <v>52</v>
      </c>
      <c r="F6903">
        <v>2014</v>
      </c>
      <c r="G6903">
        <v>25189704</v>
      </c>
      <c r="H6903" s="1">
        <v>41821</v>
      </c>
      <c r="I6903" s="1">
        <v>41837</v>
      </c>
      <c r="J6903" s="1">
        <v>41837</v>
      </c>
      <c r="K6903" s="1">
        <v>41927</v>
      </c>
      <c r="N6903" s="5"/>
      <c r="O6903" s="2">
        <v>7027.2</v>
      </c>
      <c r="P6903">
        <v>257</v>
      </c>
      <c r="Q6903" s="2">
        <v>1805990.4</v>
      </c>
      <c r="R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 s="1">
        <v>42382</v>
      </c>
      <c r="AC6903" t="s">
        <v>53</v>
      </c>
      <c r="AD6903" t="s">
        <v>53</v>
      </c>
      <c r="AK6903">
        <v>0</v>
      </c>
      <c r="AU6903" s="6">
        <v>42184</v>
      </c>
      <c r="AV6903" s="6">
        <v>42184</v>
      </c>
      <c r="AW6903" t="s">
        <v>54</v>
      </c>
      <c r="AX6903" t="str">
        <f t="shared" si="569"/>
        <v>FOR</v>
      </c>
      <c r="AY6903" t="s">
        <v>55</v>
      </c>
    </row>
    <row r="6904" spans="1:51" hidden="1">
      <c r="A6904">
        <v>104093</v>
      </c>
      <c r="B6904" t="s">
        <v>1210</v>
      </c>
      <c r="C6904" t="str">
        <f t="shared" si="570"/>
        <v>06032681006</v>
      </c>
      <c r="D6904" t="str">
        <f t="shared" si="571"/>
        <v>12572900152</v>
      </c>
      <c r="E6904" t="s">
        <v>52</v>
      </c>
      <c r="F6904">
        <v>2014</v>
      </c>
      <c r="G6904">
        <v>25189723</v>
      </c>
      <c r="H6904" s="1">
        <v>41821</v>
      </c>
      <c r="I6904" s="1">
        <v>41841</v>
      </c>
      <c r="J6904" s="1">
        <v>41841</v>
      </c>
      <c r="K6904" s="1">
        <v>41931</v>
      </c>
      <c r="N6904" s="5"/>
      <c r="O6904" s="2">
        <v>3205.8</v>
      </c>
      <c r="P6904">
        <v>253</v>
      </c>
      <c r="Q6904" s="2">
        <v>811067.4</v>
      </c>
      <c r="R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 s="1">
        <v>42382</v>
      </c>
      <c r="AC6904" t="s">
        <v>53</v>
      </c>
      <c r="AD6904" t="s">
        <v>53</v>
      </c>
      <c r="AK6904">
        <v>0</v>
      </c>
      <c r="AU6904" s="6">
        <v>42184</v>
      </c>
      <c r="AV6904" s="6">
        <v>42184</v>
      </c>
      <c r="AW6904" t="s">
        <v>54</v>
      </c>
      <c r="AX6904" t="str">
        <f t="shared" si="569"/>
        <v>FOR</v>
      </c>
      <c r="AY6904" t="s">
        <v>55</v>
      </c>
    </row>
    <row r="6905" spans="1:51" hidden="1">
      <c r="A6905">
        <v>104093</v>
      </c>
      <c r="B6905" t="s">
        <v>1210</v>
      </c>
      <c r="C6905" t="str">
        <f t="shared" si="570"/>
        <v>06032681006</v>
      </c>
      <c r="D6905" t="str">
        <f t="shared" si="571"/>
        <v>12572900152</v>
      </c>
      <c r="E6905" t="s">
        <v>52</v>
      </c>
      <c r="F6905">
        <v>2014</v>
      </c>
      <c r="G6905">
        <v>25190935</v>
      </c>
      <c r="H6905" s="1">
        <v>41829</v>
      </c>
      <c r="I6905" s="1">
        <v>41843</v>
      </c>
      <c r="J6905" s="1">
        <v>41843</v>
      </c>
      <c r="K6905" s="1">
        <v>41933</v>
      </c>
      <c r="N6905" s="5"/>
      <c r="O6905">
        <v>707.62</v>
      </c>
      <c r="P6905">
        <v>251</v>
      </c>
      <c r="Q6905" s="2">
        <v>177612.62</v>
      </c>
      <c r="R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 s="1">
        <v>42382</v>
      </c>
      <c r="AC6905" t="s">
        <v>53</v>
      </c>
      <c r="AD6905" t="s">
        <v>53</v>
      </c>
      <c r="AK6905">
        <v>0</v>
      </c>
      <c r="AU6905" s="6">
        <v>42184</v>
      </c>
      <c r="AV6905" s="6">
        <v>42184</v>
      </c>
      <c r="AW6905" t="s">
        <v>54</v>
      </c>
      <c r="AX6905" t="str">
        <f t="shared" si="569"/>
        <v>FOR</v>
      </c>
      <c r="AY6905" t="s">
        <v>55</v>
      </c>
    </row>
    <row r="6906" spans="1:51" hidden="1">
      <c r="A6906">
        <v>104093</v>
      </c>
      <c r="B6906" t="s">
        <v>1210</v>
      </c>
      <c r="C6906" t="str">
        <f t="shared" si="570"/>
        <v>06032681006</v>
      </c>
      <c r="D6906" t="str">
        <f t="shared" si="571"/>
        <v>12572900152</v>
      </c>
      <c r="E6906" t="s">
        <v>52</v>
      </c>
      <c r="F6906">
        <v>2014</v>
      </c>
      <c r="G6906">
        <v>25190936</v>
      </c>
      <c r="H6906" s="1">
        <v>41829</v>
      </c>
      <c r="I6906" s="1">
        <v>41843</v>
      </c>
      <c r="J6906" s="1">
        <v>41843</v>
      </c>
      <c r="K6906" s="1">
        <v>41933</v>
      </c>
      <c r="N6906" s="5"/>
      <c r="O6906">
        <v>74.88</v>
      </c>
      <c r="P6906">
        <v>251</v>
      </c>
      <c r="Q6906" s="2">
        <v>18794.88</v>
      </c>
      <c r="R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 s="1">
        <v>42382</v>
      </c>
      <c r="AC6906" t="s">
        <v>53</v>
      </c>
      <c r="AD6906" t="s">
        <v>53</v>
      </c>
      <c r="AK6906">
        <v>0</v>
      </c>
      <c r="AU6906" s="6">
        <v>42184</v>
      </c>
      <c r="AV6906" s="6">
        <v>42184</v>
      </c>
      <c r="AW6906" t="s">
        <v>54</v>
      </c>
      <c r="AX6906" t="str">
        <f t="shared" si="569"/>
        <v>FOR</v>
      </c>
      <c r="AY6906" t="s">
        <v>55</v>
      </c>
    </row>
    <row r="6907" spans="1:51" hidden="1">
      <c r="A6907">
        <v>104093</v>
      </c>
      <c r="B6907" t="s">
        <v>1210</v>
      </c>
      <c r="C6907" t="str">
        <f t="shared" si="570"/>
        <v>06032681006</v>
      </c>
      <c r="D6907" t="str">
        <f t="shared" si="571"/>
        <v>12572900152</v>
      </c>
      <c r="E6907" t="s">
        <v>52</v>
      </c>
      <c r="F6907">
        <v>2014</v>
      </c>
      <c r="G6907">
        <v>25190937</v>
      </c>
      <c r="H6907" s="1">
        <v>41829</v>
      </c>
      <c r="I6907" s="1">
        <v>41843</v>
      </c>
      <c r="J6907" s="1">
        <v>41843</v>
      </c>
      <c r="K6907" s="1">
        <v>41933</v>
      </c>
      <c r="N6907" s="5"/>
      <c r="O6907">
        <v>252.72</v>
      </c>
      <c r="P6907">
        <v>251</v>
      </c>
      <c r="Q6907" s="2">
        <v>63432.72</v>
      </c>
      <c r="R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 s="1">
        <v>42382</v>
      </c>
      <c r="AC6907" t="s">
        <v>53</v>
      </c>
      <c r="AD6907" t="s">
        <v>53</v>
      </c>
      <c r="AK6907">
        <v>0</v>
      </c>
      <c r="AU6907" s="6">
        <v>42184</v>
      </c>
      <c r="AV6907" s="6">
        <v>42184</v>
      </c>
      <c r="AW6907" t="s">
        <v>54</v>
      </c>
      <c r="AX6907" t="str">
        <f t="shared" si="569"/>
        <v>FOR</v>
      </c>
      <c r="AY6907" t="s">
        <v>55</v>
      </c>
    </row>
    <row r="6908" spans="1:51" hidden="1">
      <c r="A6908">
        <v>104093</v>
      </c>
      <c r="B6908" t="s">
        <v>1210</v>
      </c>
      <c r="C6908" t="str">
        <f t="shared" si="570"/>
        <v>06032681006</v>
      </c>
      <c r="D6908" t="str">
        <f t="shared" si="571"/>
        <v>12572900152</v>
      </c>
      <c r="E6908" t="s">
        <v>52</v>
      </c>
      <c r="F6908">
        <v>2014</v>
      </c>
      <c r="G6908">
        <v>25191021</v>
      </c>
      <c r="H6908" s="1">
        <v>41829</v>
      </c>
      <c r="I6908" s="1">
        <v>41843</v>
      </c>
      <c r="J6908" s="1">
        <v>41843</v>
      </c>
      <c r="K6908" s="1">
        <v>41933</v>
      </c>
      <c r="N6908" s="5"/>
      <c r="O6908" s="2">
        <v>3513.6</v>
      </c>
      <c r="P6908">
        <v>251</v>
      </c>
      <c r="Q6908" s="2">
        <v>881913.6</v>
      </c>
      <c r="R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 s="1">
        <v>42382</v>
      </c>
      <c r="AC6908" t="s">
        <v>53</v>
      </c>
      <c r="AD6908" t="s">
        <v>53</v>
      </c>
      <c r="AK6908">
        <v>0</v>
      </c>
      <c r="AU6908" s="6">
        <v>42184</v>
      </c>
      <c r="AV6908" s="6">
        <v>42184</v>
      </c>
      <c r="AW6908" t="s">
        <v>54</v>
      </c>
      <c r="AX6908" t="str">
        <f t="shared" si="569"/>
        <v>FOR</v>
      </c>
      <c r="AY6908" t="s">
        <v>55</v>
      </c>
    </row>
    <row r="6909" spans="1:51" hidden="1">
      <c r="A6909">
        <v>104093</v>
      </c>
      <c r="B6909" t="s">
        <v>1210</v>
      </c>
      <c r="C6909" t="str">
        <f t="shared" si="570"/>
        <v>06032681006</v>
      </c>
      <c r="D6909" t="str">
        <f t="shared" si="571"/>
        <v>12572900152</v>
      </c>
      <c r="E6909" t="s">
        <v>52</v>
      </c>
      <c r="F6909">
        <v>2014</v>
      </c>
      <c r="G6909">
        <v>25191389</v>
      </c>
      <c r="H6909" s="1">
        <v>41831</v>
      </c>
      <c r="I6909" s="1">
        <v>41843</v>
      </c>
      <c r="J6909" s="1">
        <v>41843</v>
      </c>
      <c r="K6909" s="1">
        <v>41933</v>
      </c>
      <c r="N6909" s="5"/>
      <c r="O6909" s="2">
        <v>3787.06</v>
      </c>
      <c r="P6909">
        <v>251</v>
      </c>
      <c r="Q6909" s="2">
        <v>950552.06</v>
      </c>
      <c r="R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 s="1">
        <v>42382</v>
      </c>
      <c r="AC6909" t="s">
        <v>53</v>
      </c>
      <c r="AD6909" t="s">
        <v>53</v>
      </c>
      <c r="AK6909">
        <v>0</v>
      </c>
      <c r="AU6909" s="6">
        <v>42184</v>
      </c>
      <c r="AV6909" s="6">
        <v>42184</v>
      </c>
      <c r="AW6909" t="s">
        <v>54</v>
      </c>
      <c r="AX6909" t="str">
        <f t="shared" si="569"/>
        <v>FOR</v>
      </c>
      <c r="AY6909" t="s">
        <v>55</v>
      </c>
    </row>
    <row r="6910" spans="1:51" hidden="1">
      <c r="A6910">
        <v>104093</v>
      </c>
      <c r="B6910" t="s">
        <v>1210</v>
      </c>
      <c r="C6910" t="str">
        <f t="shared" si="570"/>
        <v>06032681006</v>
      </c>
      <c r="D6910" t="str">
        <f t="shared" si="571"/>
        <v>12572900152</v>
      </c>
      <c r="E6910" t="s">
        <v>52</v>
      </c>
      <c r="F6910">
        <v>2014</v>
      </c>
      <c r="G6910">
        <v>25191530</v>
      </c>
      <c r="H6910" s="1">
        <v>41834</v>
      </c>
      <c r="I6910" s="1">
        <v>41849</v>
      </c>
      <c r="J6910" s="1">
        <v>41849</v>
      </c>
      <c r="K6910" s="1">
        <v>41939</v>
      </c>
      <c r="N6910" s="5"/>
      <c r="O6910">
        <v>140.4</v>
      </c>
      <c r="P6910">
        <v>245</v>
      </c>
      <c r="Q6910" s="2">
        <v>34398</v>
      </c>
      <c r="R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 s="1">
        <v>42382</v>
      </c>
      <c r="AC6910" t="s">
        <v>53</v>
      </c>
      <c r="AD6910" t="s">
        <v>53</v>
      </c>
      <c r="AK6910">
        <v>0</v>
      </c>
      <c r="AU6910" s="6">
        <v>42184</v>
      </c>
      <c r="AV6910" s="6">
        <v>42184</v>
      </c>
      <c r="AW6910" t="s">
        <v>54</v>
      </c>
      <c r="AX6910" t="str">
        <f t="shared" si="569"/>
        <v>FOR</v>
      </c>
      <c r="AY6910" t="s">
        <v>55</v>
      </c>
    </row>
    <row r="6911" spans="1:51" hidden="1">
      <c r="A6911">
        <v>104093</v>
      </c>
      <c r="B6911" t="s">
        <v>1210</v>
      </c>
      <c r="C6911" t="str">
        <f t="shared" si="570"/>
        <v>06032681006</v>
      </c>
      <c r="D6911" t="str">
        <f t="shared" si="571"/>
        <v>12572900152</v>
      </c>
      <c r="E6911" t="s">
        <v>52</v>
      </c>
      <c r="F6911">
        <v>2014</v>
      </c>
      <c r="G6911">
        <v>25191944</v>
      </c>
      <c r="H6911" s="1">
        <v>41836</v>
      </c>
      <c r="I6911" s="1">
        <v>42080</v>
      </c>
      <c r="J6911" s="1">
        <v>42080</v>
      </c>
      <c r="K6911" s="1">
        <v>42140</v>
      </c>
      <c r="N6911" s="5"/>
      <c r="O6911">
        <v>350.06</v>
      </c>
      <c r="P6911">
        <v>44</v>
      </c>
      <c r="Q6911" s="2">
        <v>15402.64</v>
      </c>
      <c r="R6911">
        <v>0</v>
      </c>
      <c r="V6911">
        <v>0</v>
      </c>
      <c r="W6911">
        <v>0</v>
      </c>
      <c r="X6911">
        <v>0</v>
      </c>
      <c r="Y6911">
        <v>0</v>
      </c>
      <c r="Z6911">
        <v>350.06</v>
      </c>
      <c r="AA6911">
        <v>0</v>
      </c>
      <c r="AB6911" s="1">
        <v>42382</v>
      </c>
      <c r="AC6911" t="s">
        <v>53</v>
      </c>
      <c r="AD6911" t="s">
        <v>53</v>
      </c>
      <c r="AK6911">
        <v>0</v>
      </c>
      <c r="AU6911" s="6">
        <v>42184</v>
      </c>
      <c r="AV6911" s="6">
        <v>42184</v>
      </c>
      <c r="AW6911" t="s">
        <v>54</v>
      </c>
      <c r="AX6911" t="str">
        <f t="shared" si="569"/>
        <v>FOR</v>
      </c>
      <c r="AY6911" t="s">
        <v>55</v>
      </c>
    </row>
    <row r="6912" spans="1:51" hidden="1">
      <c r="A6912">
        <v>104093</v>
      </c>
      <c r="B6912" t="s">
        <v>1210</v>
      </c>
      <c r="C6912" t="str">
        <f t="shared" si="570"/>
        <v>06032681006</v>
      </c>
      <c r="D6912" t="str">
        <f t="shared" si="571"/>
        <v>12572900152</v>
      </c>
      <c r="E6912" t="s">
        <v>52</v>
      </c>
      <c r="F6912">
        <v>2014</v>
      </c>
      <c r="G6912">
        <v>25192024</v>
      </c>
      <c r="H6912" s="1">
        <v>41837</v>
      </c>
      <c r="I6912" s="1">
        <v>41849</v>
      </c>
      <c r="J6912" s="1">
        <v>41849</v>
      </c>
      <c r="K6912" s="1">
        <v>41939</v>
      </c>
      <c r="N6912" s="5"/>
      <c r="O6912">
        <v>252.72</v>
      </c>
      <c r="P6912">
        <v>245</v>
      </c>
      <c r="Q6912" s="2">
        <v>61916.4</v>
      </c>
      <c r="R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 s="1">
        <v>42382</v>
      </c>
      <c r="AC6912" t="s">
        <v>53</v>
      </c>
      <c r="AD6912" t="s">
        <v>53</v>
      </c>
      <c r="AK6912">
        <v>0</v>
      </c>
      <c r="AU6912" s="6">
        <v>42184</v>
      </c>
      <c r="AV6912" s="6">
        <v>42184</v>
      </c>
      <c r="AW6912" t="s">
        <v>54</v>
      </c>
      <c r="AX6912" t="str">
        <f t="shared" si="569"/>
        <v>FOR</v>
      </c>
      <c r="AY6912" t="s">
        <v>55</v>
      </c>
    </row>
    <row r="6913" spans="1:51" hidden="1">
      <c r="A6913">
        <v>104093</v>
      </c>
      <c r="B6913" t="s">
        <v>1210</v>
      </c>
      <c r="C6913" t="str">
        <f t="shared" si="570"/>
        <v>06032681006</v>
      </c>
      <c r="D6913" t="str">
        <f t="shared" si="571"/>
        <v>12572900152</v>
      </c>
      <c r="E6913" t="s">
        <v>52</v>
      </c>
      <c r="F6913">
        <v>2014</v>
      </c>
      <c r="G6913">
        <v>25192025</v>
      </c>
      <c r="H6913" s="1">
        <v>41837</v>
      </c>
      <c r="I6913" s="1">
        <v>41849</v>
      </c>
      <c r="J6913" s="1">
        <v>41849</v>
      </c>
      <c r="K6913" s="1">
        <v>41939</v>
      </c>
      <c r="N6913" s="5"/>
      <c r="O6913">
        <v>707.62</v>
      </c>
      <c r="P6913">
        <v>245</v>
      </c>
      <c r="Q6913" s="2">
        <v>173366.9</v>
      </c>
      <c r="R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 s="1">
        <v>42382</v>
      </c>
      <c r="AC6913" t="s">
        <v>53</v>
      </c>
      <c r="AD6913" t="s">
        <v>53</v>
      </c>
      <c r="AK6913">
        <v>0</v>
      </c>
      <c r="AU6913" s="6">
        <v>42184</v>
      </c>
      <c r="AV6913" s="6">
        <v>42184</v>
      </c>
      <c r="AW6913" t="s">
        <v>54</v>
      </c>
      <c r="AX6913" t="str">
        <f t="shared" si="569"/>
        <v>FOR</v>
      </c>
      <c r="AY6913" t="s">
        <v>55</v>
      </c>
    </row>
    <row r="6914" spans="1:51" hidden="1">
      <c r="A6914">
        <v>104093</v>
      </c>
      <c r="B6914" t="s">
        <v>1210</v>
      </c>
      <c r="C6914" t="str">
        <f t="shared" si="570"/>
        <v>06032681006</v>
      </c>
      <c r="D6914" t="str">
        <f t="shared" si="571"/>
        <v>12572900152</v>
      </c>
      <c r="E6914" t="s">
        <v>52</v>
      </c>
      <c r="F6914">
        <v>2014</v>
      </c>
      <c r="G6914">
        <v>25192026</v>
      </c>
      <c r="H6914" s="1">
        <v>41837</v>
      </c>
      <c r="I6914" s="1">
        <v>41849</v>
      </c>
      <c r="J6914" s="1">
        <v>41849</v>
      </c>
      <c r="K6914" s="1">
        <v>41939</v>
      </c>
      <c r="N6914" s="5"/>
      <c r="O6914">
        <v>74.88</v>
      </c>
      <c r="P6914">
        <v>245</v>
      </c>
      <c r="Q6914" s="2">
        <v>18345.599999999999</v>
      </c>
      <c r="R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 s="1">
        <v>42382</v>
      </c>
      <c r="AC6914" t="s">
        <v>53</v>
      </c>
      <c r="AD6914" t="s">
        <v>53</v>
      </c>
      <c r="AK6914">
        <v>0</v>
      </c>
      <c r="AU6914" s="6">
        <v>42184</v>
      </c>
      <c r="AV6914" s="6">
        <v>42184</v>
      </c>
      <c r="AW6914" t="s">
        <v>54</v>
      </c>
      <c r="AX6914" t="str">
        <f t="shared" si="569"/>
        <v>FOR</v>
      </c>
      <c r="AY6914" t="s">
        <v>55</v>
      </c>
    </row>
    <row r="6915" spans="1:51" hidden="1">
      <c r="A6915">
        <v>104093</v>
      </c>
      <c r="B6915" t="s">
        <v>1210</v>
      </c>
      <c r="C6915" t="str">
        <f t="shared" si="570"/>
        <v>06032681006</v>
      </c>
      <c r="D6915" t="str">
        <f t="shared" si="571"/>
        <v>12572900152</v>
      </c>
      <c r="E6915" t="s">
        <v>52</v>
      </c>
      <c r="F6915">
        <v>2014</v>
      </c>
      <c r="G6915">
        <v>25192766</v>
      </c>
      <c r="H6915" s="1">
        <v>41842</v>
      </c>
      <c r="I6915" s="1">
        <v>41872</v>
      </c>
      <c r="J6915" s="1">
        <v>41872</v>
      </c>
      <c r="K6915" s="1">
        <v>41962</v>
      </c>
      <c r="N6915" s="5"/>
      <c r="O6915">
        <v>138.32</v>
      </c>
      <c r="P6915">
        <v>222</v>
      </c>
      <c r="Q6915" s="2">
        <v>30707.040000000001</v>
      </c>
      <c r="R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 s="1">
        <v>42382</v>
      </c>
      <c r="AC6915" t="s">
        <v>53</v>
      </c>
      <c r="AD6915" t="s">
        <v>53</v>
      </c>
      <c r="AK6915">
        <v>0</v>
      </c>
      <c r="AU6915" s="6">
        <v>42184</v>
      </c>
      <c r="AV6915" s="6">
        <v>42184</v>
      </c>
      <c r="AW6915" t="s">
        <v>54</v>
      </c>
      <c r="AX6915" t="str">
        <f t="shared" ref="AX6915:AX6978" si="572">"FOR"</f>
        <v>FOR</v>
      </c>
      <c r="AY6915" t="s">
        <v>55</v>
      </c>
    </row>
    <row r="6916" spans="1:51" hidden="1">
      <c r="A6916">
        <v>104093</v>
      </c>
      <c r="B6916" t="s">
        <v>1210</v>
      </c>
      <c r="C6916" t="str">
        <f t="shared" si="570"/>
        <v>06032681006</v>
      </c>
      <c r="D6916" t="str">
        <f t="shared" si="571"/>
        <v>12572900152</v>
      </c>
      <c r="E6916" t="s">
        <v>52</v>
      </c>
      <c r="F6916">
        <v>2014</v>
      </c>
      <c r="G6916">
        <v>25192872</v>
      </c>
      <c r="H6916" s="1">
        <v>41843</v>
      </c>
      <c r="I6916" s="1">
        <v>41872</v>
      </c>
      <c r="J6916" s="1">
        <v>41872</v>
      </c>
      <c r="K6916" s="1">
        <v>41962</v>
      </c>
      <c r="N6916" s="5"/>
      <c r="O6916" s="2">
        <v>5931.64</v>
      </c>
      <c r="P6916">
        <v>222</v>
      </c>
      <c r="Q6916" s="2">
        <v>1316824.08</v>
      </c>
      <c r="R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 s="1">
        <v>42382</v>
      </c>
      <c r="AC6916" t="s">
        <v>53</v>
      </c>
      <c r="AD6916" t="s">
        <v>53</v>
      </c>
      <c r="AK6916">
        <v>0</v>
      </c>
      <c r="AU6916" s="6">
        <v>42184</v>
      </c>
      <c r="AV6916" s="6">
        <v>42184</v>
      </c>
      <c r="AW6916" t="s">
        <v>54</v>
      </c>
      <c r="AX6916" t="str">
        <f t="shared" si="572"/>
        <v>FOR</v>
      </c>
      <c r="AY6916" t="s">
        <v>55</v>
      </c>
    </row>
    <row r="6917" spans="1:51" hidden="1">
      <c r="A6917">
        <v>104093</v>
      </c>
      <c r="B6917" t="s">
        <v>1210</v>
      </c>
      <c r="C6917" t="str">
        <f t="shared" si="570"/>
        <v>06032681006</v>
      </c>
      <c r="D6917" t="str">
        <f t="shared" si="571"/>
        <v>12572900152</v>
      </c>
      <c r="E6917" t="s">
        <v>52</v>
      </c>
      <c r="F6917">
        <v>2014</v>
      </c>
      <c r="G6917">
        <v>25193129</v>
      </c>
      <c r="H6917" s="1">
        <v>41844</v>
      </c>
      <c r="I6917" s="1">
        <v>41872</v>
      </c>
      <c r="J6917" s="1">
        <v>41872</v>
      </c>
      <c r="K6917" s="1">
        <v>41962</v>
      </c>
      <c r="N6917" s="5"/>
      <c r="O6917" s="2">
        <v>4817.8</v>
      </c>
      <c r="P6917">
        <v>222</v>
      </c>
      <c r="Q6917" s="2">
        <v>1069551.6000000001</v>
      </c>
      <c r="R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 s="1">
        <v>42382</v>
      </c>
      <c r="AC6917" t="s">
        <v>53</v>
      </c>
      <c r="AD6917" t="s">
        <v>53</v>
      </c>
      <c r="AK6917">
        <v>0</v>
      </c>
      <c r="AU6917" s="6">
        <v>42184</v>
      </c>
      <c r="AV6917" s="6">
        <v>42184</v>
      </c>
      <c r="AW6917" t="s">
        <v>54</v>
      </c>
      <c r="AX6917" t="str">
        <f t="shared" si="572"/>
        <v>FOR</v>
      </c>
      <c r="AY6917" t="s">
        <v>55</v>
      </c>
    </row>
    <row r="6918" spans="1:51" hidden="1">
      <c r="A6918">
        <v>104093</v>
      </c>
      <c r="B6918" t="s">
        <v>1210</v>
      </c>
      <c r="C6918" t="str">
        <f t="shared" si="570"/>
        <v>06032681006</v>
      </c>
      <c r="D6918" t="str">
        <f t="shared" si="571"/>
        <v>12572900152</v>
      </c>
      <c r="E6918" t="s">
        <v>52</v>
      </c>
      <c r="F6918">
        <v>2014</v>
      </c>
      <c r="G6918">
        <v>25193218</v>
      </c>
      <c r="H6918" s="1">
        <v>41844</v>
      </c>
      <c r="I6918" s="1">
        <v>41872</v>
      </c>
      <c r="J6918" s="1">
        <v>41872</v>
      </c>
      <c r="K6918" s="1">
        <v>41962</v>
      </c>
      <c r="N6918" s="5"/>
      <c r="O6918">
        <v>276.64</v>
      </c>
      <c r="P6918">
        <v>222</v>
      </c>
      <c r="Q6918" s="2">
        <v>61414.080000000002</v>
      </c>
      <c r="R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 s="1">
        <v>42382</v>
      </c>
      <c r="AC6918" t="s">
        <v>53</v>
      </c>
      <c r="AD6918" t="s">
        <v>53</v>
      </c>
      <c r="AK6918">
        <v>0</v>
      </c>
      <c r="AU6918" s="6">
        <v>42184</v>
      </c>
      <c r="AV6918" s="6">
        <v>42184</v>
      </c>
      <c r="AW6918" t="s">
        <v>54</v>
      </c>
      <c r="AX6918" t="str">
        <f t="shared" si="572"/>
        <v>FOR</v>
      </c>
      <c r="AY6918" t="s">
        <v>55</v>
      </c>
    </row>
    <row r="6919" spans="1:51" hidden="1">
      <c r="A6919">
        <v>104093</v>
      </c>
      <c r="B6919" t="s">
        <v>1210</v>
      </c>
      <c r="C6919" t="str">
        <f t="shared" si="570"/>
        <v>06032681006</v>
      </c>
      <c r="D6919" t="str">
        <f t="shared" si="571"/>
        <v>12572900152</v>
      </c>
      <c r="E6919" t="s">
        <v>52</v>
      </c>
      <c r="F6919">
        <v>2014</v>
      </c>
      <c r="G6919">
        <v>25193355</v>
      </c>
      <c r="H6919" s="1">
        <v>41845</v>
      </c>
      <c r="I6919" s="1">
        <v>41872</v>
      </c>
      <c r="J6919" s="1">
        <v>41872</v>
      </c>
      <c r="K6919" s="1">
        <v>41962</v>
      </c>
      <c r="N6919" s="5"/>
      <c r="O6919">
        <v>403.42</v>
      </c>
      <c r="P6919">
        <v>222</v>
      </c>
      <c r="Q6919" s="2">
        <v>89559.24</v>
      </c>
      <c r="R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 s="1">
        <v>42382</v>
      </c>
      <c r="AC6919" t="s">
        <v>53</v>
      </c>
      <c r="AD6919" t="s">
        <v>53</v>
      </c>
      <c r="AK6919">
        <v>0</v>
      </c>
      <c r="AU6919" s="6">
        <v>42184</v>
      </c>
      <c r="AV6919" s="6">
        <v>42184</v>
      </c>
      <c r="AW6919" t="s">
        <v>54</v>
      </c>
      <c r="AX6919" t="str">
        <f t="shared" si="572"/>
        <v>FOR</v>
      </c>
      <c r="AY6919" t="s">
        <v>55</v>
      </c>
    </row>
    <row r="6920" spans="1:51" hidden="1">
      <c r="A6920">
        <v>104093</v>
      </c>
      <c r="B6920" t="s">
        <v>1210</v>
      </c>
      <c r="C6920" t="str">
        <f t="shared" si="570"/>
        <v>06032681006</v>
      </c>
      <c r="D6920" t="str">
        <f t="shared" si="571"/>
        <v>12572900152</v>
      </c>
      <c r="E6920" t="s">
        <v>52</v>
      </c>
      <c r="F6920">
        <v>2014</v>
      </c>
      <c r="G6920">
        <v>25193356</v>
      </c>
      <c r="H6920" s="1">
        <v>41845</v>
      </c>
      <c r="I6920" s="1">
        <v>41872</v>
      </c>
      <c r="J6920" s="1">
        <v>41872</v>
      </c>
      <c r="K6920" s="1">
        <v>41962</v>
      </c>
      <c r="N6920" s="5"/>
      <c r="O6920">
        <v>74.88</v>
      </c>
      <c r="P6920">
        <v>222</v>
      </c>
      <c r="Q6920" s="2">
        <v>16623.36</v>
      </c>
      <c r="R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 s="1">
        <v>42382</v>
      </c>
      <c r="AC6920" t="s">
        <v>53</v>
      </c>
      <c r="AD6920" t="s">
        <v>53</v>
      </c>
      <c r="AK6920">
        <v>0</v>
      </c>
      <c r="AU6920" s="6">
        <v>42184</v>
      </c>
      <c r="AV6920" s="6">
        <v>42184</v>
      </c>
      <c r="AW6920" t="s">
        <v>54</v>
      </c>
      <c r="AX6920" t="str">
        <f t="shared" si="572"/>
        <v>FOR</v>
      </c>
      <c r="AY6920" t="s">
        <v>55</v>
      </c>
    </row>
    <row r="6921" spans="1:51" hidden="1">
      <c r="A6921">
        <v>104093</v>
      </c>
      <c r="B6921" t="s">
        <v>1210</v>
      </c>
      <c r="C6921" t="str">
        <f t="shared" si="570"/>
        <v>06032681006</v>
      </c>
      <c r="D6921" t="str">
        <f t="shared" si="571"/>
        <v>12572900152</v>
      </c>
      <c r="E6921" t="s">
        <v>52</v>
      </c>
      <c r="F6921">
        <v>2014</v>
      </c>
      <c r="G6921">
        <v>25193357</v>
      </c>
      <c r="H6921" s="1">
        <v>41845</v>
      </c>
      <c r="I6921" s="1">
        <v>41872</v>
      </c>
      <c r="J6921" s="1">
        <v>41872</v>
      </c>
      <c r="K6921" s="1">
        <v>41962</v>
      </c>
      <c r="N6921" s="5"/>
      <c r="O6921">
        <v>74.88</v>
      </c>
      <c r="P6921">
        <v>222</v>
      </c>
      <c r="Q6921" s="2">
        <v>16623.36</v>
      </c>
      <c r="R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 s="1">
        <v>42382</v>
      </c>
      <c r="AC6921" t="s">
        <v>53</v>
      </c>
      <c r="AD6921" t="s">
        <v>53</v>
      </c>
      <c r="AK6921">
        <v>0</v>
      </c>
      <c r="AU6921" s="6">
        <v>42184</v>
      </c>
      <c r="AV6921" s="6">
        <v>42184</v>
      </c>
      <c r="AW6921" t="s">
        <v>54</v>
      </c>
      <c r="AX6921" t="str">
        <f t="shared" si="572"/>
        <v>FOR</v>
      </c>
      <c r="AY6921" t="s">
        <v>55</v>
      </c>
    </row>
    <row r="6922" spans="1:51" hidden="1">
      <c r="A6922">
        <v>104093</v>
      </c>
      <c r="B6922" t="s">
        <v>1210</v>
      </c>
      <c r="C6922" t="str">
        <f t="shared" si="570"/>
        <v>06032681006</v>
      </c>
      <c r="D6922" t="str">
        <f t="shared" si="571"/>
        <v>12572900152</v>
      </c>
      <c r="E6922" t="s">
        <v>52</v>
      </c>
      <c r="F6922">
        <v>2014</v>
      </c>
      <c r="G6922">
        <v>25193358</v>
      </c>
      <c r="H6922" s="1">
        <v>41845</v>
      </c>
      <c r="I6922" s="1">
        <v>41872</v>
      </c>
      <c r="J6922" s="1">
        <v>41872</v>
      </c>
      <c r="K6922" s="1">
        <v>41962</v>
      </c>
      <c r="N6922" s="5"/>
      <c r="O6922">
        <v>252.72</v>
      </c>
      <c r="P6922">
        <v>222</v>
      </c>
      <c r="Q6922" s="2">
        <v>56103.839999999997</v>
      </c>
      <c r="R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 s="1">
        <v>42382</v>
      </c>
      <c r="AC6922" t="s">
        <v>53</v>
      </c>
      <c r="AD6922" t="s">
        <v>53</v>
      </c>
      <c r="AK6922">
        <v>0</v>
      </c>
      <c r="AU6922" s="6">
        <v>42184</v>
      </c>
      <c r="AV6922" s="6">
        <v>42184</v>
      </c>
      <c r="AW6922" t="s">
        <v>54</v>
      </c>
      <c r="AX6922" t="str">
        <f t="shared" si="572"/>
        <v>FOR</v>
      </c>
      <c r="AY6922" t="s">
        <v>55</v>
      </c>
    </row>
    <row r="6923" spans="1:51" hidden="1">
      <c r="A6923">
        <v>104093</v>
      </c>
      <c r="B6923" t="s">
        <v>1210</v>
      </c>
      <c r="C6923" t="str">
        <f t="shared" si="570"/>
        <v>06032681006</v>
      </c>
      <c r="D6923" t="str">
        <f t="shared" si="571"/>
        <v>12572900152</v>
      </c>
      <c r="E6923" t="s">
        <v>52</v>
      </c>
      <c r="F6923">
        <v>2014</v>
      </c>
      <c r="G6923">
        <v>25193359</v>
      </c>
      <c r="H6923" s="1">
        <v>41845</v>
      </c>
      <c r="I6923" s="1">
        <v>41872</v>
      </c>
      <c r="J6923" s="1">
        <v>41872</v>
      </c>
      <c r="K6923" s="1">
        <v>41962</v>
      </c>
      <c r="N6923" s="5"/>
      <c r="O6923">
        <v>707.62</v>
      </c>
      <c r="P6923">
        <v>222</v>
      </c>
      <c r="Q6923" s="2">
        <v>157091.64000000001</v>
      </c>
      <c r="R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 s="1">
        <v>42382</v>
      </c>
      <c r="AC6923" t="s">
        <v>53</v>
      </c>
      <c r="AD6923" t="s">
        <v>53</v>
      </c>
      <c r="AK6923">
        <v>0</v>
      </c>
      <c r="AU6923" s="6">
        <v>42184</v>
      </c>
      <c r="AV6923" s="6">
        <v>42184</v>
      </c>
      <c r="AW6923" t="s">
        <v>54</v>
      </c>
      <c r="AX6923" t="str">
        <f t="shared" si="572"/>
        <v>FOR</v>
      </c>
      <c r="AY6923" t="s">
        <v>55</v>
      </c>
    </row>
    <row r="6924" spans="1:51" hidden="1">
      <c r="A6924">
        <v>104093</v>
      </c>
      <c r="B6924" t="s">
        <v>1210</v>
      </c>
      <c r="C6924" t="str">
        <f t="shared" si="570"/>
        <v>06032681006</v>
      </c>
      <c r="D6924" t="str">
        <f t="shared" si="571"/>
        <v>12572900152</v>
      </c>
      <c r="E6924" t="s">
        <v>52</v>
      </c>
      <c r="F6924">
        <v>2014</v>
      </c>
      <c r="G6924">
        <v>25193360</v>
      </c>
      <c r="H6924" s="1">
        <v>41845</v>
      </c>
      <c r="I6924" s="1">
        <v>41872</v>
      </c>
      <c r="J6924" s="1">
        <v>41872</v>
      </c>
      <c r="K6924" s="1">
        <v>41962</v>
      </c>
      <c r="N6924" s="5"/>
      <c r="O6924">
        <v>74.88</v>
      </c>
      <c r="P6924">
        <v>222</v>
      </c>
      <c r="Q6924" s="2">
        <v>16623.36</v>
      </c>
      <c r="R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 s="1">
        <v>42382</v>
      </c>
      <c r="AC6924" t="s">
        <v>53</v>
      </c>
      <c r="AD6924" t="s">
        <v>53</v>
      </c>
      <c r="AK6924">
        <v>0</v>
      </c>
      <c r="AU6924" s="6">
        <v>42184</v>
      </c>
      <c r="AV6924" s="6">
        <v>42184</v>
      </c>
      <c r="AW6924" t="s">
        <v>54</v>
      </c>
      <c r="AX6924" t="str">
        <f t="shared" si="572"/>
        <v>FOR</v>
      </c>
      <c r="AY6924" t="s">
        <v>55</v>
      </c>
    </row>
    <row r="6925" spans="1:51" hidden="1">
      <c r="A6925">
        <v>104093</v>
      </c>
      <c r="B6925" t="s">
        <v>1210</v>
      </c>
      <c r="C6925" t="str">
        <f t="shared" si="570"/>
        <v>06032681006</v>
      </c>
      <c r="D6925" t="str">
        <f t="shared" si="571"/>
        <v>12572900152</v>
      </c>
      <c r="E6925" t="s">
        <v>52</v>
      </c>
      <c r="F6925">
        <v>2014</v>
      </c>
      <c r="G6925">
        <v>25193361</v>
      </c>
      <c r="H6925" s="1">
        <v>41845</v>
      </c>
      <c r="I6925" s="1">
        <v>41872</v>
      </c>
      <c r="J6925" s="1">
        <v>41872</v>
      </c>
      <c r="K6925" s="1">
        <v>41962</v>
      </c>
      <c r="N6925" s="5"/>
      <c r="O6925">
        <v>936</v>
      </c>
      <c r="P6925">
        <v>222</v>
      </c>
      <c r="Q6925" s="2">
        <v>207792</v>
      </c>
      <c r="R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 s="1">
        <v>42382</v>
      </c>
      <c r="AC6925" t="s">
        <v>53</v>
      </c>
      <c r="AD6925" t="s">
        <v>53</v>
      </c>
      <c r="AK6925">
        <v>0</v>
      </c>
      <c r="AU6925" s="6">
        <v>42184</v>
      </c>
      <c r="AV6925" s="6">
        <v>42184</v>
      </c>
      <c r="AW6925" t="s">
        <v>54</v>
      </c>
      <c r="AX6925" t="str">
        <f t="shared" si="572"/>
        <v>FOR</v>
      </c>
      <c r="AY6925" t="s">
        <v>55</v>
      </c>
    </row>
    <row r="6926" spans="1:51" hidden="1">
      <c r="A6926">
        <v>104093</v>
      </c>
      <c r="B6926" t="s">
        <v>1210</v>
      </c>
      <c r="C6926" t="str">
        <f t="shared" si="570"/>
        <v>06032681006</v>
      </c>
      <c r="D6926" t="str">
        <f t="shared" si="571"/>
        <v>12572900152</v>
      </c>
      <c r="E6926" t="s">
        <v>52</v>
      </c>
      <c r="F6926">
        <v>2014</v>
      </c>
      <c r="G6926">
        <v>25193362</v>
      </c>
      <c r="H6926" s="1">
        <v>41845</v>
      </c>
      <c r="I6926" s="1">
        <v>41872</v>
      </c>
      <c r="J6926" s="1">
        <v>41872</v>
      </c>
      <c r="K6926" s="1">
        <v>41962</v>
      </c>
      <c r="N6926" s="5"/>
      <c r="O6926">
        <v>74.88</v>
      </c>
      <c r="P6926">
        <v>222</v>
      </c>
      <c r="Q6926" s="2">
        <v>16623.36</v>
      </c>
      <c r="R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 s="1">
        <v>42382</v>
      </c>
      <c r="AC6926" t="s">
        <v>53</v>
      </c>
      <c r="AD6926" t="s">
        <v>53</v>
      </c>
      <c r="AK6926">
        <v>0</v>
      </c>
      <c r="AU6926" s="6">
        <v>42184</v>
      </c>
      <c r="AV6926" s="6">
        <v>42184</v>
      </c>
      <c r="AW6926" t="s">
        <v>54</v>
      </c>
      <c r="AX6926" t="str">
        <f t="shared" si="572"/>
        <v>FOR</v>
      </c>
      <c r="AY6926" t="s">
        <v>55</v>
      </c>
    </row>
    <row r="6927" spans="1:51" hidden="1">
      <c r="A6927">
        <v>104093</v>
      </c>
      <c r="B6927" t="s">
        <v>1210</v>
      </c>
      <c r="C6927" t="str">
        <f t="shared" si="570"/>
        <v>06032681006</v>
      </c>
      <c r="D6927" t="str">
        <f t="shared" si="571"/>
        <v>12572900152</v>
      </c>
      <c r="E6927" t="s">
        <v>52</v>
      </c>
      <c r="F6927">
        <v>2014</v>
      </c>
      <c r="G6927">
        <v>25193363</v>
      </c>
      <c r="H6927" s="1">
        <v>41845</v>
      </c>
      <c r="I6927" s="1">
        <v>41872</v>
      </c>
      <c r="J6927" s="1">
        <v>41872</v>
      </c>
      <c r="K6927" s="1">
        <v>41962</v>
      </c>
      <c r="N6927" s="5"/>
      <c r="O6927">
        <v>74.88</v>
      </c>
      <c r="P6927">
        <v>222</v>
      </c>
      <c r="Q6927" s="2">
        <v>16623.36</v>
      </c>
      <c r="R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 s="1">
        <v>42382</v>
      </c>
      <c r="AC6927" t="s">
        <v>53</v>
      </c>
      <c r="AD6927" t="s">
        <v>53</v>
      </c>
      <c r="AK6927">
        <v>0</v>
      </c>
      <c r="AU6927" s="6">
        <v>42184</v>
      </c>
      <c r="AV6927" s="6">
        <v>42184</v>
      </c>
      <c r="AW6927" t="s">
        <v>54</v>
      </c>
      <c r="AX6927" t="str">
        <f t="shared" si="572"/>
        <v>FOR</v>
      </c>
      <c r="AY6927" t="s">
        <v>55</v>
      </c>
    </row>
    <row r="6928" spans="1:51" hidden="1">
      <c r="A6928">
        <v>104093</v>
      </c>
      <c r="B6928" t="s">
        <v>1210</v>
      </c>
      <c r="C6928" t="str">
        <f t="shared" si="570"/>
        <v>06032681006</v>
      </c>
      <c r="D6928" t="str">
        <f t="shared" si="571"/>
        <v>12572900152</v>
      </c>
      <c r="E6928" t="s">
        <v>52</v>
      </c>
      <c r="F6928">
        <v>2014</v>
      </c>
      <c r="G6928">
        <v>25193364</v>
      </c>
      <c r="H6928" s="1">
        <v>41845</v>
      </c>
      <c r="I6928" s="1">
        <v>41872</v>
      </c>
      <c r="J6928" s="1">
        <v>41872</v>
      </c>
      <c r="K6928" s="1">
        <v>41962</v>
      </c>
      <c r="N6928" s="5"/>
      <c r="O6928">
        <v>74.88</v>
      </c>
      <c r="P6928">
        <v>222</v>
      </c>
      <c r="Q6928" s="2">
        <v>16623.36</v>
      </c>
      <c r="R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 s="1">
        <v>42382</v>
      </c>
      <c r="AC6928" t="s">
        <v>53</v>
      </c>
      <c r="AD6928" t="s">
        <v>53</v>
      </c>
      <c r="AK6928">
        <v>0</v>
      </c>
      <c r="AU6928" s="6">
        <v>42184</v>
      </c>
      <c r="AV6928" s="6">
        <v>42184</v>
      </c>
      <c r="AW6928" t="s">
        <v>54</v>
      </c>
      <c r="AX6928" t="str">
        <f t="shared" si="572"/>
        <v>FOR</v>
      </c>
      <c r="AY6928" t="s">
        <v>55</v>
      </c>
    </row>
    <row r="6929" spans="1:51" hidden="1">
      <c r="A6929">
        <v>104093</v>
      </c>
      <c r="B6929" t="s">
        <v>1210</v>
      </c>
      <c r="C6929" t="str">
        <f t="shared" si="570"/>
        <v>06032681006</v>
      </c>
      <c r="D6929" t="str">
        <f t="shared" si="571"/>
        <v>12572900152</v>
      </c>
      <c r="E6929" t="s">
        <v>52</v>
      </c>
      <c r="F6929">
        <v>2014</v>
      </c>
      <c r="G6929">
        <v>25193484</v>
      </c>
      <c r="H6929" s="1">
        <v>41845</v>
      </c>
      <c r="I6929" s="1">
        <v>41872</v>
      </c>
      <c r="J6929" s="1">
        <v>41872</v>
      </c>
      <c r="K6929" s="1">
        <v>41962</v>
      </c>
      <c r="N6929" s="5"/>
      <c r="O6929">
        <v>138.32</v>
      </c>
      <c r="P6929">
        <v>222</v>
      </c>
      <c r="Q6929" s="2">
        <v>30707.040000000001</v>
      </c>
      <c r="R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 s="1">
        <v>42382</v>
      </c>
      <c r="AC6929" t="s">
        <v>53</v>
      </c>
      <c r="AD6929" t="s">
        <v>53</v>
      </c>
      <c r="AK6929">
        <v>0</v>
      </c>
      <c r="AU6929" s="6">
        <v>42184</v>
      </c>
      <c r="AV6929" s="6">
        <v>42184</v>
      </c>
      <c r="AW6929" t="s">
        <v>54</v>
      </c>
      <c r="AX6929" t="str">
        <f t="shared" si="572"/>
        <v>FOR</v>
      </c>
      <c r="AY6929" t="s">
        <v>55</v>
      </c>
    </row>
    <row r="6930" spans="1:51" hidden="1">
      <c r="A6930">
        <v>104093</v>
      </c>
      <c r="B6930" t="s">
        <v>1210</v>
      </c>
      <c r="C6930" t="str">
        <f t="shared" si="570"/>
        <v>06032681006</v>
      </c>
      <c r="D6930" t="str">
        <f t="shared" si="571"/>
        <v>12572900152</v>
      </c>
      <c r="E6930" t="s">
        <v>52</v>
      </c>
      <c r="F6930">
        <v>2014</v>
      </c>
      <c r="G6930">
        <v>25194075</v>
      </c>
      <c r="H6930" s="1">
        <v>41850</v>
      </c>
      <c r="I6930" s="1">
        <v>41878</v>
      </c>
      <c r="J6930" s="1">
        <v>41878</v>
      </c>
      <c r="K6930" s="1">
        <v>41968</v>
      </c>
      <c r="N6930" s="5"/>
      <c r="O6930">
        <v>74.88</v>
      </c>
      <c r="P6930">
        <v>216</v>
      </c>
      <c r="Q6930" s="2">
        <v>16174.08</v>
      </c>
      <c r="R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 s="1">
        <v>42382</v>
      </c>
      <c r="AC6930" t="s">
        <v>53</v>
      </c>
      <c r="AD6930" t="s">
        <v>53</v>
      </c>
      <c r="AK6930">
        <v>0</v>
      </c>
      <c r="AU6930" s="6">
        <v>42184</v>
      </c>
      <c r="AV6930" s="6">
        <v>42184</v>
      </c>
      <c r="AW6930" t="s">
        <v>54</v>
      </c>
      <c r="AX6930" t="str">
        <f t="shared" si="572"/>
        <v>FOR</v>
      </c>
      <c r="AY6930" t="s">
        <v>55</v>
      </c>
    </row>
    <row r="6931" spans="1:51" hidden="1">
      <c r="A6931">
        <v>104093</v>
      </c>
      <c r="B6931" t="s">
        <v>1210</v>
      </c>
      <c r="C6931" t="str">
        <f t="shared" si="570"/>
        <v>06032681006</v>
      </c>
      <c r="D6931" t="str">
        <f t="shared" si="571"/>
        <v>12572900152</v>
      </c>
      <c r="E6931" t="s">
        <v>52</v>
      </c>
      <c r="F6931">
        <v>2014</v>
      </c>
      <c r="G6931">
        <v>25194076</v>
      </c>
      <c r="H6931" s="1">
        <v>41850</v>
      </c>
      <c r="I6931" s="1">
        <v>41878</v>
      </c>
      <c r="J6931" s="1">
        <v>41878</v>
      </c>
      <c r="K6931" s="1">
        <v>41968</v>
      </c>
      <c r="N6931" s="5"/>
      <c r="O6931">
        <v>74.88</v>
      </c>
      <c r="P6931">
        <v>216</v>
      </c>
      <c r="Q6931" s="2">
        <v>16174.08</v>
      </c>
      <c r="R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 s="1">
        <v>42382</v>
      </c>
      <c r="AC6931" t="s">
        <v>53</v>
      </c>
      <c r="AD6931" t="s">
        <v>53</v>
      </c>
      <c r="AK6931">
        <v>0</v>
      </c>
      <c r="AU6931" s="6">
        <v>42184</v>
      </c>
      <c r="AV6931" s="6">
        <v>42184</v>
      </c>
      <c r="AW6931" t="s">
        <v>54</v>
      </c>
      <c r="AX6931" t="str">
        <f t="shared" si="572"/>
        <v>FOR</v>
      </c>
      <c r="AY6931" t="s">
        <v>55</v>
      </c>
    </row>
    <row r="6932" spans="1:51" hidden="1">
      <c r="A6932">
        <v>104093</v>
      </c>
      <c r="B6932" t="s">
        <v>1210</v>
      </c>
      <c r="C6932" t="str">
        <f t="shared" si="570"/>
        <v>06032681006</v>
      </c>
      <c r="D6932" t="str">
        <f t="shared" si="571"/>
        <v>12572900152</v>
      </c>
      <c r="E6932" t="s">
        <v>52</v>
      </c>
      <c r="F6932">
        <v>2014</v>
      </c>
      <c r="G6932">
        <v>25194077</v>
      </c>
      <c r="H6932" s="1">
        <v>41850</v>
      </c>
      <c r="I6932" s="1">
        <v>41878</v>
      </c>
      <c r="J6932" s="1">
        <v>41878</v>
      </c>
      <c r="K6932" s="1">
        <v>41968</v>
      </c>
      <c r="N6932" s="5"/>
      <c r="O6932">
        <v>936</v>
      </c>
      <c r="P6932">
        <v>216</v>
      </c>
      <c r="Q6932" s="2">
        <v>202176</v>
      </c>
      <c r="R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 s="1">
        <v>42382</v>
      </c>
      <c r="AC6932" t="s">
        <v>53</v>
      </c>
      <c r="AD6932" t="s">
        <v>53</v>
      </c>
      <c r="AK6932">
        <v>0</v>
      </c>
      <c r="AU6932" s="6">
        <v>42184</v>
      </c>
      <c r="AV6932" s="6">
        <v>42184</v>
      </c>
      <c r="AW6932" t="s">
        <v>54</v>
      </c>
      <c r="AX6932" t="str">
        <f t="shared" si="572"/>
        <v>FOR</v>
      </c>
      <c r="AY6932" t="s">
        <v>55</v>
      </c>
    </row>
    <row r="6933" spans="1:51" hidden="1">
      <c r="A6933">
        <v>104093</v>
      </c>
      <c r="B6933" t="s">
        <v>1210</v>
      </c>
      <c r="C6933" t="str">
        <f t="shared" si="570"/>
        <v>06032681006</v>
      </c>
      <c r="D6933" t="str">
        <f t="shared" si="571"/>
        <v>12572900152</v>
      </c>
      <c r="E6933" t="s">
        <v>52</v>
      </c>
      <c r="F6933">
        <v>2014</v>
      </c>
      <c r="G6933">
        <v>25194078</v>
      </c>
      <c r="H6933" s="1">
        <v>41850</v>
      </c>
      <c r="I6933" s="1">
        <v>41878</v>
      </c>
      <c r="J6933" s="1">
        <v>41878</v>
      </c>
      <c r="K6933" s="1">
        <v>41968</v>
      </c>
      <c r="N6933" s="5"/>
      <c r="O6933">
        <v>74.88</v>
      </c>
      <c r="P6933">
        <v>216</v>
      </c>
      <c r="Q6933" s="2">
        <v>16174.08</v>
      </c>
      <c r="R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 s="1">
        <v>42382</v>
      </c>
      <c r="AC6933" t="s">
        <v>53</v>
      </c>
      <c r="AD6933" t="s">
        <v>53</v>
      </c>
      <c r="AK6933">
        <v>0</v>
      </c>
      <c r="AU6933" s="6">
        <v>42184</v>
      </c>
      <c r="AV6933" s="6">
        <v>42184</v>
      </c>
      <c r="AW6933" t="s">
        <v>54</v>
      </c>
      <c r="AX6933" t="str">
        <f t="shared" si="572"/>
        <v>FOR</v>
      </c>
      <c r="AY6933" t="s">
        <v>55</v>
      </c>
    </row>
    <row r="6934" spans="1:51" hidden="1">
      <c r="A6934">
        <v>104093</v>
      </c>
      <c r="B6934" t="s">
        <v>1210</v>
      </c>
      <c r="C6934" t="str">
        <f t="shared" si="570"/>
        <v>06032681006</v>
      </c>
      <c r="D6934" t="str">
        <f t="shared" si="571"/>
        <v>12572900152</v>
      </c>
      <c r="E6934" t="s">
        <v>52</v>
      </c>
      <c r="F6934">
        <v>2014</v>
      </c>
      <c r="G6934">
        <v>25194079</v>
      </c>
      <c r="H6934" s="1">
        <v>41850</v>
      </c>
      <c r="I6934" s="1">
        <v>41878</v>
      </c>
      <c r="J6934" s="1">
        <v>41878</v>
      </c>
      <c r="K6934" s="1">
        <v>41968</v>
      </c>
      <c r="N6934" s="5"/>
      <c r="O6934">
        <v>936</v>
      </c>
      <c r="P6934">
        <v>216</v>
      </c>
      <c r="Q6934" s="2">
        <v>202176</v>
      </c>
      <c r="R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 s="1">
        <v>42382</v>
      </c>
      <c r="AC6934" t="s">
        <v>53</v>
      </c>
      <c r="AD6934" t="s">
        <v>53</v>
      </c>
      <c r="AK6934">
        <v>0</v>
      </c>
      <c r="AU6934" s="6">
        <v>42184</v>
      </c>
      <c r="AV6934" s="6">
        <v>42184</v>
      </c>
      <c r="AW6934" t="s">
        <v>54</v>
      </c>
      <c r="AX6934" t="str">
        <f t="shared" si="572"/>
        <v>FOR</v>
      </c>
      <c r="AY6934" t="s">
        <v>55</v>
      </c>
    </row>
    <row r="6935" spans="1:51" hidden="1">
      <c r="A6935">
        <v>104093</v>
      </c>
      <c r="B6935" t="s">
        <v>1210</v>
      </c>
      <c r="C6935" t="str">
        <f t="shared" si="570"/>
        <v>06032681006</v>
      </c>
      <c r="D6935" t="str">
        <f t="shared" si="571"/>
        <v>12572900152</v>
      </c>
      <c r="E6935" t="s">
        <v>52</v>
      </c>
      <c r="F6935">
        <v>2014</v>
      </c>
      <c r="G6935">
        <v>25194080</v>
      </c>
      <c r="H6935" s="1">
        <v>41850</v>
      </c>
      <c r="I6935" s="1">
        <v>41878</v>
      </c>
      <c r="J6935" s="1">
        <v>41878</v>
      </c>
      <c r="K6935" s="1">
        <v>41968</v>
      </c>
      <c r="N6935" s="5"/>
      <c r="O6935">
        <v>74.88</v>
      </c>
      <c r="P6935">
        <v>216</v>
      </c>
      <c r="Q6935" s="2">
        <v>16174.08</v>
      </c>
      <c r="R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 s="1">
        <v>42382</v>
      </c>
      <c r="AC6935" t="s">
        <v>53</v>
      </c>
      <c r="AD6935" t="s">
        <v>53</v>
      </c>
      <c r="AK6935">
        <v>0</v>
      </c>
      <c r="AU6935" s="6">
        <v>42184</v>
      </c>
      <c r="AV6935" s="6">
        <v>42184</v>
      </c>
      <c r="AW6935" t="s">
        <v>54</v>
      </c>
      <c r="AX6935" t="str">
        <f t="shared" si="572"/>
        <v>FOR</v>
      </c>
      <c r="AY6935" t="s">
        <v>55</v>
      </c>
    </row>
    <row r="6936" spans="1:51" hidden="1">
      <c r="A6936">
        <v>104093</v>
      </c>
      <c r="B6936" t="s">
        <v>1210</v>
      </c>
      <c r="C6936" t="str">
        <f t="shared" si="570"/>
        <v>06032681006</v>
      </c>
      <c r="D6936" t="str">
        <f t="shared" si="571"/>
        <v>12572900152</v>
      </c>
      <c r="E6936" t="s">
        <v>52</v>
      </c>
      <c r="F6936">
        <v>2014</v>
      </c>
      <c r="G6936">
        <v>25195069</v>
      </c>
      <c r="H6936" s="1">
        <v>41856</v>
      </c>
      <c r="I6936" s="1">
        <v>41879</v>
      </c>
      <c r="J6936" s="1">
        <v>41879</v>
      </c>
      <c r="K6936" s="1">
        <v>41969</v>
      </c>
      <c r="N6936" s="5"/>
      <c r="O6936">
        <v>707.62</v>
      </c>
      <c r="P6936">
        <v>215</v>
      </c>
      <c r="Q6936" s="2">
        <v>152138.29999999999</v>
      </c>
      <c r="R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 s="1">
        <v>42382</v>
      </c>
      <c r="AC6936" t="s">
        <v>53</v>
      </c>
      <c r="AD6936" t="s">
        <v>53</v>
      </c>
      <c r="AK6936">
        <v>0</v>
      </c>
      <c r="AU6936" s="6">
        <v>42184</v>
      </c>
      <c r="AV6936" s="6">
        <v>42184</v>
      </c>
      <c r="AW6936" t="s">
        <v>54</v>
      </c>
      <c r="AX6936" t="str">
        <f t="shared" si="572"/>
        <v>FOR</v>
      </c>
      <c r="AY6936" t="s">
        <v>55</v>
      </c>
    </row>
    <row r="6937" spans="1:51" hidden="1">
      <c r="A6937">
        <v>104093</v>
      </c>
      <c r="B6937" t="s">
        <v>1210</v>
      </c>
      <c r="C6937" t="str">
        <f t="shared" si="570"/>
        <v>06032681006</v>
      </c>
      <c r="D6937" t="str">
        <f t="shared" si="571"/>
        <v>12572900152</v>
      </c>
      <c r="E6937" t="s">
        <v>52</v>
      </c>
      <c r="F6937">
        <v>2014</v>
      </c>
      <c r="G6937">
        <v>25195070</v>
      </c>
      <c r="H6937" s="1">
        <v>41856</v>
      </c>
      <c r="I6937" s="1">
        <v>41879</v>
      </c>
      <c r="J6937" s="1">
        <v>41879</v>
      </c>
      <c r="K6937" s="1">
        <v>41969</v>
      </c>
      <c r="N6937" s="5"/>
      <c r="O6937">
        <v>252.72</v>
      </c>
      <c r="P6937">
        <v>215</v>
      </c>
      <c r="Q6937" s="2">
        <v>54334.8</v>
      </c>
      <c r="R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 s="1">
        <v>42382</v>
      </c>
      <c r="AC6937" t="s">
        <v>53</v>
      </c>
      <c r="AD6937" t="s">
        <v>53</v>
      </c>
      <c r="AK6937">
        <v>0</v>
      </c>
      <c r="AU6937" s="6">
        <v>42184</v>
      </c>
      <c r="AV6937" s="6">
        <v>42184</v>
      </c>
      <c r="AW6937" t="s">
        <v>54</v>
      </c>
      <c r="AX6937" t="str">
        <f t="shared" si="572"/>
        <v>FOR</v>
      </c>
      <c r="AY6937" t="s">
        <v>55</v>
      </c>
    </row>
    <row r="6938" spans="1:51" hidden="1">
      <c r="A6938">
        <v>104093</v>
      </c>
      <c r="B6938" t="s">
        <v>1210</v>
      </c>
      <c r="C6938" t="str">
        <f t="shared" si="570"/>
        <v>06032681006</v>
      </c>
      <c r="D6938" t="str">
        <f t="shared" si="571"/>
        <v>12572900152</v>
      </c>
      <c r="E6938" t="s">
        <v>52</v>
      </c>
      <c r="F6938">
        <v>2014</v>
      </c>
      <c r="G6938">
        <v>25195071</v>
      </c>
      <c r="H6938" s="1">
        <v>41856</v>
      </c>
      <c r="I6938" s="1">
        <v>41879</v>
      </c>
      <c r="J6938" s="1">
        <v>41879</v>
      </c>
      <c r="K6938" s="1">
        <v>41969</v>
      </c>
      <c r="N6938" s="5"/>
      <c r="O6938">
        <v>74.88</v>
      </c>
      <c r="P6938">
        <v>215</v>
      </c>
      <c r="Q6938" s="2">
        <v>16099.2</v>
      </c>
      <c r="R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 s="1">
        <v>42382</v>
      </c>
      <c r="AC6938" t="s">
        <v>53</v>
      </c>
      <c r="AD6938" t="s">
        <v>53</v>
      </c>
      <c r="AK6938">
        <v>0</v>
      </c>
      <c r="AU6938" s="6">
        <v>42184</v>
      </c>
      <c r="AV6938" s="6">
        <v>42184</v>
      </c>
      <c r="AW6938" t="s">
        <v>54</v>
      </c>
      <c r="AX6938" t="str">
        <f t="shared" si="572"/>
        <v>FOR</v>
      </c>
      <c r="AY6938" t="s">
        <v>55</v>
      </c>
    </row>
    <row r="6939" spans="1:51" hidden="1">
      <c r="A6939">
        <v>104093</v>
      </c>
      <c r="B6939" t="s">
        <v>1210</v>
      </c>
      <c r="C6939" t="str">
        <f t="shared" si="570"/>
        <v>06032681006</v>
      </c>
      <c r="D6939" t="str">
        <f t="shared" si="571"/>
        <v>12572900152</v>
      </c>
      <c r="E6939" t="s">
        <v>52</v>
      </c>
      <c r="F6939">
        <v>2014</v>
      </c>
      <c r="G6939">
        <v>25195072</v>
      </c>
      <c r="H6939" s="1">
        <v>41856</v>
      </c>
      <c r="I6939" s="1">
        <v>41879</v>
      </c>
      <c r="J6939" s="1">
        <v>41879</v>
      </c>
      <c r="K6939" s="1">
        <v>41969</v>
      </c>
      <c r="N6939" s="5"/>
      <c r="O6939">
        <v>707.62</v>
      </c>
      <c r="P6939">
        <v>215</v>
      </c>
      <c r="Q6939" s="2">
        <v>152138.29999999999</v>
      </c>
      <c r="R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 s="1">
        <v>42382</v>
      </c>
      <c r="AC6939" t="s">
        <v>53</v>
      </c>
      <c r="AD6939" t="s">
        <v>53</v>
      </c>
      <c r="AK6939">
        <v>0</v>
      </c>
      <c r="AU6939" s="6">
        <v>42184</v>
      </c>
      <c r="AV6939" s="6">
        <v>42184</v>
      </c>
      <c r="AW6939" t="s">
        <v>54</v>
      </c>
      <c r="AX6939" t="str">
        <f t="shared" si="572"/>
        <v>FOR</v>
      </c>
      <c r="AY6939" t="s">
        <v>55</v>
      </c>
    </row>
    <row r="6940" spans="1:51" hidden="1">
      <c r="A6940">
        <v>104093</v>
      </c>
      <c r="B6940" t="s">
        <v>1210</v>
      </c>
      <c r="C6940" t="str">
        <f t="shared" si="570"/>
        <v>06032681006</v>
      </c>
      <c r="D6940" t="str">
        <f t="shared" si="571"/>
        <v>12572900152</v>
      </c>
      <c r="E6940" t="s">
        <v>52</v>
      </c>
      <c r="F6940">
        <v>2014</v>
      </c>
      <c r="G6940">
        <v>25195073</v>
      </c>
      <c r="H6940" s="1">
        <v>41856</v>
      </c>
      <c r="I6940" s="1">
        <v>41879</v>
      </c>
      <c r="J6940" s="1">
        <v>41879</v>
      </c>
      <c r="K6940" s="1">
        <v>41969</v>
      </c>
      <c r="N6940" s="5"/>
      <c r="O6940">
        <v>74.88</v>
      </c>
      <c r="P6940">
        <v>215</v>
      </c>
      <c r="Q6940" s="2">
        <v>16099.2</v>
      </c>
      <c r="R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 s="1">
        <v>42382</v>
      </c>
      <c r="AC6940" t="s">
        <v>53</v>
      </c>
      <c r="AD6940" t="s">
        <v>53</v>
      </c>
      <c r="AK6940">
        <v>0</v>
      </c>
      <c r="AU6940" s="6">
        <v>42184</v>
      </c>
      <c r="AV6940" s="6">
        <v>42184</v>
      </c>
      <c r="AW6940" t="s">
        <v>54</v>
      </c>
      <c r="AX6940" t="str">
        <f t="shared" si="572"/>
        <v>FOR</v>
      </c>
      <c r="AY6940" t="s">
        <v>55</v>
      </c>
    </row>
    <row r="6941" spans="1:51" hidden="1">
      <c r="A6941">
        <v>104093</v>
      </c>
      <c r="B6941" t="s">
        <v>1210</v>
      </c>
      <c r="C6941" t="str">
        <f t="shared" ref="C6941:C7004" si="573">"06032681006"</f>
        <v>06032681006</v>
      </c>
      <c r="D6941" t="str">
        <f t="shared" ref="D6941:D7004" si="574">"12572900152"</f>
        <v>12572900152</v>
      </c>
      <c r="E6941" t="s">
        <v>52</v>
      </c>
      <c r="F6941">
        <v>2014</v>
      </c>
      <c r="G6941">
        <v>25195074</v>
      </c>
      <c r="H6941" s="1">
        <v>41856</v>
      </c>
      <c r="I6941" s="1">
        <v>41883</v>
      </c>
      <c r="J6941" s="1">
        <v>41883</v>
      </c>
      <c r="K6941" s="1">
        <v>41973</v>
      </c>
      <c r="N6941" s="5"/>
      <c r="O6941">
        <v>252.72</v>
      </c>
      <c r="P6941">
        <v>211</v>
      </c>
      <c r="Q6941" s="2">
        <v>53323.92</v>
      </c>
      <c r="R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 s="1">
        <v>42382</v>
      </c>
      <c r="AC6941" t="s">
        <v>53</v>
      </c>
      <c r="AD6941" t="s">
        <v>53</v>
      </c>
      <c r="AK6941">
        <v>0</v>
      </c>
      <c r="AU6941" s="6">
        <v>42184</v>
      </c>
      <c r="AV6941" s="6">
        <v>42184</v>
      </c>
      <c r="AW6941" t="s">
        <v>54</v>
      </c>
      <c r="AX6941" t="str">
        <f t="shared" si="572"/>
        <v>FOR</v>
      </c>
      <c r="AY6941" t="s">
        <v>55</v>
      </c>
    </row>
    <row r="6942" spans="1:51" hidden="1">
      <c r="A6942">
        <v>104093</v>
      </c>
      <c r="B6942" t="s">
        <v>1210</v>
      </c>
      <c r="C6942" t="str">
        <f t="shared" si="573"/>
        <v>06032681006</v>
      </c>
      <c r="D6942" t="str">
        <f t="shared" si="574"/>
        <v>12572900152</v>
      </c>
      <c r="E6942" t="s">
        <v>52</v>
      </c>
      <c r="F6942">
        <v>2014</v>
      </c>
      <c r="G6942">
        <v>25195171</v>
      </c>
      <c r="H6942" s="1">
        <v>41856</v>
      </c>
      <c r="I6942" s="1">
        <v>41879</v>
      </c>
      <c r="J6942" s="1">
        <v>41879</v>
      </c>
      <c r="K6942" s="1">
        <v>41969</v>
      </c>
      <c r="N6942" s="5"/>
      <c r="O6942" s="2">
        <v>5490</v>
      </c>
      <c r="P6942">
        <v>215</v>
      </c>
      <c r="Q6942" s="2">
        <v>1180350</v>
      </c>
      <c r="R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 s="1">
        <v>42382</v>
      </c>
      <c r="AC6942" t="s">
        <v>53</v>
      </c>
      <c r="AD6942" t="s">
        <v>53</v>
      </c>
      <c r="AK6942">
        <v>0</v>
      </c>
      <c r="AU6942" s="6">
        <v>42184</v>
      </c>
      <c r="AV6942" s="6">
        <v>42184</v>
      </c>
      <c r="AW6942" t="s">
        <v>54</v>
      </c>
      <c r="AX6942" t="str">
        <f t="shared" si="572"/>
        <v>FOR</v>
      </c>
      <c r="AY6942" t="s">
        <v>55</v>
      </c>
    </row>
    <row r="6943" spans="1:51" hidden="1">
      <c r="A6943">
        <v>104093</v>
      </c>
      <c r="B6943" t="s">
        <v>1210</v>
      </c>
      <c r="C6943" t="str">
        <f t="shared" si="573"/>
        <v>06032681006</v>
      </c>
      <c r="D6943" t="str">
        <f t="shared" si="574"/>
        <v>12572900152</v>
      </c>
      <c r="E6943" t="s">
        <v>52</v>
      </c>
      <c r="F6943">
        <v>2014</v>
      </c>
      <c r="G6943">
        <v>25195521</v>
      </c>
      <c r="H6943" s="1">
        <v>41858</v>
      </c>
      <c r="I6943" s="1">
        <v>41883</v>
      </c>
      <c r="J6943" s="1">
        <v>41883</v>
      </c>
      <c r="K6943" s="1">
        <v>41973</v>
      </c>
      <c r="N6943" s="5"/>
      <c r="O6943">
        <v>74.88</v>
      </c>
      <c r="P6943">
        <v>211</v>
      </c>
      <c r="Q6943" s="2">
        <v>15799.68</v>
      </c>
      <c r="R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 s="1">
        <v>42382</v>
      </c>
      <c r="AC6943" t="s">
        <v>53</v>
      </c>
      <c r="AD6943" t="s">
        <v>53</v>
      </c>
      <c r="AK6943">
        <v>0</v>
      </c>
      <c r="AU6943" s="6">
        <v>42184</v>
      </c>
      <c r="AV6943" s="6">
        <v>42184</v>
      </c>
      <c r="AW6943" t="s">
        <v>54</v>
      </c>
      <c r="AX6943" t="str">
        <f t="shared" si="572"/>
        <v>FOR</v>
      </c>
      <c r="AY6943" t="s">
        <v>55</v>
      </c>
    </row>
    <row r="6944" spans="1:51" hidden="1">
      <c r="A6944">
        <v>104093</v>
      </c>
      <c r="B6944" t="s">
        <v>1210</v>
      </c>
      <c r="C6944" t="str">
        <f t="shared" si="573"/>
        <v>06032681006</v>
      </c>
      <c r="D6944" t="str">
        <f t="shared" si="574"/>
        <v>12572900152</v>
      </c>
      <c r="E6944" t="s">
        <v>52</v>
      </c>
      <c r="F6944">
        <v>2014</v>
      </c>
      <c r="G6944">
        <v>25195522</v>
      </c>
      <c r="H6944" s="1">
        <v>41858</v>
      </c>
      <c r="I6944" s="1">
        <v>41883</v>
      </c>
      <c r="J6944" s="1">
        <v>41883</v>
      </c>
      <c r="K6944" s="1">
        <v>41973</v>
      </c>
      <c r="N6944" s="5"/>
      <c r="O6944">
        <v>74.88</v>
      </c>
      <c r="P6944">
        <v>211</v>
      </c>
      <c r="Q6944" s="2">
        <v>15799.68</v>
      </c>
      <c r="R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 s="1">
        <v>42382</v>
      </c>
      <c r="AC6944" t="s">
        <v>53</v>
      </c>
      <c r="AD6944" t="s">
        <v>53</v>
      </c>
      <c r="AK6944">
        <v>0</v>
      </c>
      <c r="AU6944" s="6">
        <v>42184</v>
      </c>
      <c r="AV6944" s="6">
        <v>42184</v>
      </c>
      <c r="AW6944" t="s">
        <v>54</v>
      </c>
      <c r="AX6944" t="str">
        <f t="shared" si="572"/>
        <v>FOR</v>
      </c>
      <c r="AY6944" t="s">
        <v>55</v>
      </c>
    </row>
    <row r="6945" spans="1:51" hidden="1">
      <c r="A6945">
        <v>104093</v>
      </c>
      <c r="B6945" t="s">
        <v>1210</v>
      </c>
      <c r="C6945" t="str">
        <f t="shared" si="573"/>
        <v>06032681006</v>
      </c>
      <c r="D6945" t="str">
        <f t="shared" si="574"/>
        <v>12572900152</v>
      </c>
      <c r="E6945" t="s">
        <v>52</v>
      </c>
      <c r="F6945">
        <v>2014</v>
      </c>
      <c r="G6945">
        <v>25195523</v>
      </c>
      <c r="H6945" s="1">
        <v>41858</v>
      </c>
      <c r="I6945" s="1">
        <v>41886</v>
      </c>
      <c r="J6945" s="1">
        <v>41886</v>
      </c>
      <c r="K6945" s="1">
        <v>41976</v>
      </c>
      <c r="N6945" s="5"/>
      <c r="O6945">
        <v>748.8</v>
      </c>
      <c r="P6945">
        <v>208</v>
      </c>
      <c r="Q6945" s="2">
        <v>155750.39999999999</v>
      </c>
      <c r="R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 s="1">
        <v>42382</v>
      </c>
      <c r="AC6945" t="s">
        <v>53</v>
      </c>
      <c r="AD6945" t="s">
        <v>53</v>
      </c>
      <c r="AK6945">
        <v>0</v>
      </c>
      <c r="AU6945" s="6">
        <v>42184</v>
      </c>
      <c r="AV6945" s="6">
        <v>42184</v>
      </c>
      <c r="AW6945" t="s">
        <v>54</v>
      </c>
      <c r="AX6945" t="str">
        <f t="shared" si="572"/>
        <v>FOR</v>
      </c>
      <c r="AY6945" t="s">
        <v>55</v>
      </c>
    </row>
    <row r="6946" spans="1:51" hidden="1">
      <c r="A6946">
        <v>104093</v>
      </c>
      <c r="B6946" t="s">
        <v>1210</v>
      </c>
      <c r="C6946" t="str">
        <f t="shared" si="573"/>
        <v>06032681006</v>
      </c>
      <c r="D6946" t="str">
        <f t="shared" si="574"/>
        <v>12572900152</v>
      </c>
      <c r="E6946" t="s">
        <v>52</v>
      </c>
      <c r="F6946">
        <v>2014</v>
      </c>
      <c r="G6946">
        <v>25195524</v>
      </c>
      <c r="H6946" s="1">
        <v>41858</v>
      </c>
      <c r="I6946" s="1">
        <v>41886</v>
      </c>
      <c r="J6946" s="1">
        <v>41886</v>
      </c>
      <c r="K6946" s="1">
        <v>41976</v>
      </c>
      <c r="N6946" s="5"/>
      <c r="O6946">
        <v>74.88</v>
      </c>
      <c r="P6946">
        <v>208</v>
      </c>
      <c r="Q6946" s="2">
        <v>15575.04</v>
      </c>
      <c r="R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 s="1">
        <v>42382</v>
      </c>
      <c r="AC6946" t="s">
        <v>53</v>
      </c>
      <c r="AD6946" t="s">
        <v>53</v>
      </c>
      <c r="AK6946">
        <v>0</v>
      </c>
      <c r="AU6946" s="6">
        <v>42184</v>
      </c>
      <c r="AV6946" s="6">
        <v>42184</v>
      </c>
      <c r="AW6946" t="s">
        <v>54</v>
      </c>
      <c r="AX6946" t="str">
        <f t="shared" si="572"/>
        <v>FOR</v>
      </c>
      <c r="AY6946" t="s">
        <v>55</v>
      </c>
    </row>
    <row r="6947" spans="1:51" hidden="1">
      <c r="A6947">
        <v>104093</v>
      </c>
      <c r="B6947" t="s">
        <v>1210</v>
      </c>
      <c r="C6947" t="str">
        <f t="shared" si="573"/>
        <v>06032681006</v>
      </c>
      <c r="D6947" t="str">
        <f t="shared" si="574"/>
        <v>12572900152</v>
      </c>
      <c r="E6947" t="s">
        <v>52</v>
      </c>
      <c r="F6947">
        <v>2014</v>
      </c>
      <c r="G6947">
        <v>25195525</v>
      </c>
      <c r="H6947" s="1">
        <v>41858</v>
      </c>
      <c r="I6947" s="1">
        <v>41886</v>
      </c>
      <c r="J6947" s="1">
        <v>41886</v>
      </c>
      <c r="K6947" s="1">
        <v>41976</v>
      </c>
      <c r="N6947" s="5"/>
      <c r="O6947">
        <v>707.62</v>
      </c>
      <c r="P6947">
        <v>208</v>
      </c>
      <c r="Q6947" s="2">
        <v>147184.95999999999</v>
      </c>
      <c r="R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 s="1">
        <v>42382</v>
      </c>
      <c r="AC6947" t="s">
        <v>53</v>
      </c>
      <c r="AD6947" t="s">
        <v>53</v>
      </c>
      <c r="AK6947">
        <v>0</v>
      </c>
      <c r="AU6947" s="6">
        <v>42184</v>
      </c>
      <c r="AV6947" s="6">
        <v>42184</v>
      </c>
      <c r="AW6947" t="s">
        <v>54</v>
      </c>
      <c r="AX6947" t="str">
        <f t="shared" si="572"/>
        <v>FOR</v>
      </c>
      <c r="AY6947" t="s">
        <v>55</v>
      </c>
    </row>
    <row r="6948" spans="1:51" hidden="1">
      <c r="A6948">
        <v>104093</v>
      </c>
      <c r="B6948" t="s">
        <v>1210</v>
      </c>
      <c r="C6948" t="str">
        <f t="shared" si="573"/>
        <v>06032681006</v>
      </c>
      <c r="D6948" t="str">
        <f t="shared" si="574"/>
        <v>12572900152</v>
      </c>
      <c r="E6948" t="s">
        <v>52</v>
      </c>
      <c r="F6948">
        <v>2014</v>
      </c>
      <c r="G6948">
        <v>25195526</v>
      </c>
      <c r="H6948" s="1">
        <v>41858</v>
      </c>
      <c r="I6948" s="1">
        <v>41886</v>
      </c>
      <c r="J6948" s="1">
        <v>41886</v>
      </c>
      <c r="K6948" s="1">
        <v>41976</v>
      </c>
      <c r="N6948" s="5"/>
      <c r="O6948">
        <v>74.88</v>
      </c>
      <c r="P6948">
        <v>208</v>
      </c>
      <c r="Q6948" s="2">
        <v>15575.04</v>
      </c>
      <c r="R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 s="1">
        <v>42382</v>
      </c>
      <c r="AC6948" t="s">
        <v>53</v>
      </c>
      <c r="AD6948" t="s">
        <v>53</v>
      </c>
      <c r="AK6948">
        <v>0</v>
      </c>
      <c r="AU6948" s="6">
        <v>42184</v>
      </c>
      <c r="AV6948" s="6">
        <v>42184</v>
      </c>
      <c r="AW6948" t="s">
        <v>54</v>
      </c>
      <c r="AX6948" t="str">
        <f t="shared" si="572"/>
        <v>FOR</v>
      </c>
      <c r="AY6948" t="s">
        <v>55</v>
      </c>
    </row>
    <row r="6949" spans="1:51" hidden="1">
      <c r="A6949">
        <v>104093</v>
      </c>
      <c r="B6949" t="s">
        <v>1210</v>
      </c>
      <c r="C6949" t="str">
        <f t="shared" si="573"/>
        <v>06032681006</v>
      </c>
      <c r="D6949" t="str">
        <f t="shared" si="574"/>
        <v>12572900152</v>
      </c>
      <c r="E6949" t="s">
        <v>52</v>
      </c>
      <c r="F6949">
        <v>2014</v>
      </c>
      <c r="G6949">
        <v>25195572</v>
      </c>
      <c r="H6949" s="1">
        <v>41858</v>
      </c>
      <c r="I6949" s="1">
        <v>41886</v>
      </c>
      <c r="J6949" s="1">
        <v>41886</v>
      </c>
      <c r="K6949" s="1">
        <v>41976</v>
      </c>
      <c r="N6949" s="5"/>
      <c r="O6949">
        <v>252.72</v>
      </c>
      <c r="P6949">
        <v>208</v>
      </c>
      <c r="Q6949" s="2">
        <v>52565.760000000002</v>
      </c>
      <c r="R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 s="1">
        <v>42382</v>
      </c>
      <c r="AC6949" t="s">
        <v>53</v>
      </c>
      <c r="AD6949" t="s">
        <v>53</v>
      </c>
      <c r="AK6949">
        <v>0</v>
      </c>
      <c r="AU6949" s="6">
        <v>42184</v>
      </c>
      <c r="AV6949" s="6">
        <v>42184</v>
      </c>
      <c r="AW6949" t="s">
        <v>54</v>
      </c>
      <c r="AX6949" t="str">
        <f t="shared" si="572"/>
        <v>FOR</v>
      </c>
      <c r="AY6949" t="s">
        <v>55</v>
      </c>
    </row>
    <row r="6950" spans="1:51" hidden="1">
      <c r="A6950">
        <v>104093</v>
      </c>
      <c r="B6950" t="s">
        <v>1210</v>
      </c>
      <c r="C6950" t="str">
        <f t="shared" si="573"/>
        <v>06032681006</v>
      </c>
      <c r="D6950" t="str">
        <f t="shared" si="574"/>
        <v>12572900152</v>
      </c>
      <c r="E6950" t="s">
        <v>52</v>
      </c>
      <c r="F6950">
        <v>2014</v>
      </c>
      <c r="G6950">
        <v>25195573</v>
      </c>
      <c r="H6950" s="1">
        <v>41858</v>
      </c>
      <c r="I6950" s="1">
        <v>41883</v>
      </c>
      <c r="J6950" s="1">
        <v>41883</v>
      </c>
      <c r="K6950" s="1">
        <v>41973</v>
      </c>
      <c r="N6950" s="5"/>
      <c r="O6950">
        <v>707.62</v>
      </c>
      <c r="P6950">
        <v>211</v>
      </c>
      <c r="Q6950" s="2">
        <v>149307.82</v>
      </c>
      <c r="R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 s="1">
        <v>42382</v>
      </c>
      <c r="AC6950" t="s">
        <v>53</v>
      </c>
      <c r="AD6950" t="s">
        <v>53</v>
      </c>
      <c r="AK6950">
        <v>0</v>
      </c>
      <c r="AU6950" s="6">
        <v>42184</v>
      </c>
      <c r="AV6950" s="6">
        <v>42184</v>
      </c>
      <c r="AW6950" t="s">
        <v>54</v>
      </c>
      <c r="AX6950" t="str">
        <f t="shared" si="572"/>
        <v>FOR</v>
      </c>
      <c r="AY6950" t="s">
        <v>55</v>
      </c>
    </row>
    <row r="6951" spans="1:51" hidden="1">
      <c r="A6951">
        <v>104093</v>
      </c>
      <c r="B6951" t="s">
        <v>1210</v>
      </c>
      <c r="C6951" t="str">
        <f t="shared" si="573"/>
        <v>06032681006</v>
      </c>
      <c r="D6951" t="str">
        <f t="shared" si="574"/>
        <v>12572900152</v>
      </c>
      <c r="E6951" t="s">
        <v>52</v>
      </c>
      <c r="F6951">
        <v>2014</v>
      </c>
      <c r="G6951">
        <v>25195574</v>
      </c>
      <c r="H6951" s="1">
        <v>41858</v>
      </c>
      <c r="I6951" s="1">
        <v>41886</v>
      </c>
      <c r="J6951" s="1">
        <v>41886</v>
      </c>
      <c r="K6951" s="1">
        <v>41976</v>
      </c>
      <c r="N6951" s="5"/>
      <c r="O6951">
        <v>252.72</v>
      </c>
      <c r="P6951">
        <v>208</v>
      </c>
      <c r="Q6951" s="2">
        <v>52565.760000000002</v>
      </c>
      <c r="R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 s="1">
        <v>42382</v>
      </c>
      <c r="AC6951" t="s">
        <v>53</v>
      </c>
      <c r="AD6951" t="s">
        <v>53</v>
      </c>
      <c r="AK6951">
        <v>0</v>
      </c>
      <c r="AU6951" s="6">
        <v>42184</v>
      </c>
      <c r="AV6951" s="6">
        <v>42184</v>
      </c>
      <c r="AW6951" t="s">
        <v>54</v>
      </c>
      <c r="AX6951" t="str">
        <f t="shared" si="572"/>
        <v>FOR</v>
      </c>
      <c r="AY6951" t="s">
        <v>55</v>
      </c>
    </row>
    <row r="6952" spans="1:51" hidden="1">
      <c r="A6952">
        <v>104093</v>
      </c>
      <c r="B6952" t="s">
        <v>1210</v>
      </c>
      <c r="C6952" t="str">
        <f t="shared" si="573"/>
        <v>06032681006</v>
      </c>
      <c r="D6952" t="str">
        <f t="shared" si="574"/>
        <v>12572900152</v>
      </c>
      <c r="E6952" t="s">
        <v>52</v>
      </c>
      <c r="F6952">
        <v>2014</v>
      </c>
      <c r="G6952">
        <v>25195575</v>
      </c>
      <c r="H6952" s="1">
        <v>41858</v>
      </c>
      <c r="I6952" s="1">
        <v>41886</v>
      </c>
      <c r="J6952" s="1">
        <v>41886</v>
      </c>
      <c r="K6952" s="1">
        <v>41976</v>
      </c>
      <c r="N6952" s="5"/>
      <c r="O6952">
        <v>74.88</v>
      </c>
      <c r="P6952">
        <v>208</v>
      </c>
      <c r="Q6952" s="2">
        <v>15575.04</v>
      </c>
      <c r="R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 s="1">
        <v>42382</v>
      </c>
      <c r="AC6952" t="s">
        <v>53</v>
      </c>
      <c r="AD6952" t="s">
        <v>53</v>
      </c>
      <c r="AK6952">
        <v>0</v>
      </c>
      <c r="AU6952" s="6">
        <v>42184</v>
      </c>
      <c r="AV6952" s="6">
        <v>42184</v>
      </c>
      <c r="AW6952" t="s">
        <v>54</v>
      </c>
      <c r="AX6952" t="str">
        <f t="shared" si="572"/>
        <v>FOR</v>
      </c>
      <c r="AY6952" t="s">
        <v>55</v>
      </c>
    </row>
    <row r="6953" spans="1:51" hidden="1">
      <c r="A6953">
        <v>104093</v>
      </c>
      <c r="B6953" t="s">
        <v>1210</v>
      </c>
      <c r="C6953" t="str">
        <f t="shared" si="573"/>
        <v>06032681006</v>
      </c>
      <c r="D6953" t="str">
        <f t="shared" si="574"/>
        <v>12572900152</v>
      </c>
      <c r="E6953" t="s">
        <v>52</v>
      </c>
      <c r="F6953">
        <v>2014</v>
      </c>
      <c r="G6953">
        <v>25196604</v>
      </c>
      <c r="H6953" s="1">
        <v>41869</v>
      </c>
      <c r="I6953" s="1">
        <v>41883</v>
      </c>
      <c r="J6953" s="1">
        <v>41883</v>
      </c>
      <c r="K6953" s="1">
        <v>41973</v>
      </c>
      <c r="N6953" s="5"/>
      <c r="O6953">
        <v>252.72</v>
      </c>
      <c r="P6953">
        <v>211</v>
      </c>
      <c r="Q6953" s="2">
        <v>53323.92</v>
      </c>
      <c r="R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 s="1">
        <v>42382</v>
      </c>
      <c r="AC6953" t="s">
        <v>53</v>
      </c>
      <c r="AD6953" t="s">
        <v>53</v>
      </c>
      <c r="AK6953">
        <v>0</v>
      </c>
      <c r="AU6953" s="6">
        <v>42184</v>
      </c>
      <c r="AV6953" s="6">
        <v>42184</v>
      </c>
      <c r="AW6953" t="s">
        <v>54</v>
      </c>
      <c r="AX6953" t="str">
        <f t="shared" si="572"/>
        <v>FOR</v>
      </c>
      <c r="AY6953" t="s">
        <v>55</v>
      </c>
    </row>
    <row r="6954" spans="1:51" hidden="1">
      <c r="A6954">
        <v>104093</v>
      </c>
      <c r="B6954" t="s">
        <v>1210</v>
      </c>
      <c r="C6954" t="str">
        <f t="shared" si="573"/>
        <v>06032681006</v>
      </c>
      <c r="D6954" t="str">
        <f t="shared" si="574"/>
        <v>12572900152</v>
      </c>
      <c r="E6954" t="s">
        <v>52</v>
      </c>
      <c r="F6954">
        <v>2014</v>
      </c>
      <c r="G6954">
        <v>25196621</v>
      </c>
      <c r="H6954" s="1">
        <v>41869</v>
      </c>
      <c r="I6954" s="1">
        <v>41883</v>
      </c>
      <c r="J6954" s="1">
        <v>41883</v>
      </c>
      <c r="K6954" s="1">
        <v>41973</v>
      </c>
      <c r="N6954" s="5"/>
      <c r="O6954">
        <v>707.62</v>
      </c>
      <c r="P6954">
        <v>211</v>
      </c>
      <c r="Q6954" s="2">
        <v>149307.82</v>
      </c>
      <c r="R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 s="1">
        <v>42382</v>
      </c>
      <c r="AC6954" t="s">
        <v>53</v>
      </c>
      <c r="AD6954" t="s">
        <v>53</v>
      </c>
      <c r="AK6954">
        <v>0</v>
      </c>
      <c r="AU6954" s="6">
        <v>42184</v>
      </c>
      <c r="AV6954" s="6">
        <v>42184</v>
      </c>
      <c r="AW6954" t="s">
        <v>54</v>
      </c>
      <c r="AX6954" t="str">
        <f t="shared" si="572"/>
        <v>FOR</v>
      </c>
      <c r="AY6954" t="s">
        <v>55</v>
      </c>
    </row>
    <row r="6955" spans="1:51" hidden="1">
      <c r="A6955">
        <v>104093</v>
      </c>
      <c r="B6955" t="s">
        <v>1210</v>
      </c>
      <c r="C6955" t="str">
        <f t="shared" si="573"/>
        <v>06032681006</v>
      </c>
      <c r="D6955" t="str">
        <f t="shared" si="574"/>
        <v>12572900152</v>
      </c>
      <c r="E6955" t="s">
        <v>52</v>
      </c>
      <c r="F6955">
        <v>2014</v>
      </c>
      <c r="G6955">
        <v>25196622</v>
      </c>
      <c r="H6955" s="1">
        <v>41869</v>
      </c>
      <c r="I6955" s="1">
        <v>41883</v>
      </c>
      <c r="J6955" s="1">
        <v>41883</v>
      </c>
      <c r="K6955" s="1">
        <v>41973</v>
      </c>
      <c r="N6955" s="5"/>
      <c r="O6955">
        <v>74.88</v>
      </c>
      <c r="P6955">
        <v>211</v>
      </c>
      <c r="Q6955" s="2">
        <v>15799.68</v>
      </c>
      <c r="R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 s="1">
        <v>42382</v>
      </c>
      <c r="AC6955" t="s">
        <v>53</v>
      </c>
      <c r="AD6955" t="s">
        <v>53</v>
      </c>
      <c r="AK6955">
        <v>0</v>
      </c>
      <c r="AU6955" s="6">
        <v>42184</v>
      </c>
      <c r="AV6955" s="6">
        <v>42184</v>
      </c>
      <c r="AW6955" t="s">
        <v>54</v>
      </c>
      <c r="AX6955" t="str">
        <f t="shared" si="572"/>
        <v>FOR</v>
      </c>
      <c r="AY6955" t="s">
        <v>55</v>
      </c>
    </row>
    <row r="6956" spans="1:51" hidden="1">
      <c r="A6956">
        <v>104093</v>
      </c>
      <c r="B6956" t="s">
        <v>1210</v>
      </c>
      <c r="C6956" t="str">
        <f t="shared" si="573"/>
        <v>06032681006</v>
      </c>
      <c r="D6956" t="str">
        <f t="shared" si="574"/>
        <v>12572900152</v>
      </c>
      <c r="E6956" t="s">
        <v>52</v>
      </c>
      <c r="F6956">
        <v>2014</v>
      </c>
      <c r="G6956">
        <v>25196623</v>
      </c>
      <c r="H6956" s="1">
        <v>41869</v>
      </c>
      <c r="I6956" s="1">
        <v>41883</v>
      </c>
      <c r="J6956" s="1">
        <v>41883</v>
      </c>
      <c r="K6956" s="1">
        <v>41973</v>
      </c>
      <c r="N6956" s="5"/>
      <c r="O6956">
        <v>403.42</v>
      </c>
      <c r="P6956">
        <v>211</v>
      </c>
      <c r="Q6956" s="2">
        <v>85121.62</v>
      </c>
      <c r="R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 s="1">
        <v>42382</v>
      </c>
      <c r="AC6956" t="s">
        <v>53</v>
      </c>
      <c r="AD6956" t="s">
        <v>53</v>
      </c>
      <c r="AK6956">
        <v>0</v>
      </c>
      <c r="AU6956" s="6">
        <v>42184</v>
      </c>
      <c r="AV6956" s="6">
        <v>42184</v>
      </c>
      <c r="AW6956" t="s">
        <v>54</v>
      </c>
      <c r="AX6956" t="str">
        <f t="shared" si="572"/>
        <v>FOR</v>
      </c>
      <c r="AY6956" t="s">
        <v>55</v>
      </c>
    </row>
    <row r="6957" spans="1:51" hidden="1">
      <c r="A6957">
        <v>104093</v>
      </c>
      <c r="B6957" t="s">
        <v>1210</v>
      </c>
      <c r="C6957" t="str">
        <f t="shared" si="573"/>
        <v>06032681006</v>
      </c>
      <c r="D6957" t="str">
        <f t="shared" si="574"/>
        <v>12572900152</v>
      </c>
      <c r="E6957" t="s">
        <v>52</v>
      </c>
      <c r="F6957">
        <v>2014</v>
      </c>
      <c r="G6957">
        <v>25196624</v>
      </c>
      <c r="H6957" s="1">
        <v>41869</v>
      </c>
      <c r="I6957" s="1">
        <v>41883</v>
      </c>
      <c r="J6957" s="1">
        <v>41883</v>
      </c>
      <c r="K6957" s="1">
        <v>41973</v>
      </c>
      <c r="N6957" s="5"/>
      <c r="O6957">
        <v>74.88</v>
      </c>
      <c r="P6957">
        <v>211</v>
      </c>
      <c r="Q6957" s="2">
        <v>15799.68</v>
      </c>
      <c r="R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 s="1">
        <v>42382</v>
      </c>
      <c r="AC6957" t="s">
        <v>53</v>
      </c>
      <c r="AD6957" t="s">
        <v>53</v>
      </c>
      <c r="AK6957">
        <v>0</v>
      </c>
      <c r="AU6957" s="6">
        <v>42184</v>
      </c>
      <c r="AV6957" s="6">
        <v>42184</v>
      </c>
      <c r="AW6957" t="s">
        <v>54</v>
      </c>
      <c r="AX6957" t="str">
        <f t="shared" si="572"/>
        <v>FOR</v>
      </c>
      <c r="AY6957" t="s">
        <v>55</v>
      </c>
    </row>
    <row r="6958" spans="1:51" hidden="1">
      <c r="A6958">
        <v>104093</v>
      </c>
      <c r="B6958" t="s">
        <v>1210</v>
      </c>
      <c r="C6958" t="str">
        <f t="shared" si="573"/>
        <v>06032681006</v>
      </c>
      <c r="D6958" t="str">
        <f t="shared" si="574"/>
        <v>12572900152</v>
      </c>
      <c r="E6958" t="s">
        <v>52</v>
      </c>
      <c r="F6958">
        <v>2014</v>
      </c>
      <c r="G6958">
        <v>25196625</v>
      </c>
      <c r="H6958" s="1">
        <v>41869</v>
      </c>
      <c r="I6958" s="1">
        <v>41883</v>
      </c>
      <c r="J6958" s="1">
        <v>41883</v>
      </c>
      <c r="K6958" s="1">
        <v>41973</v>
      </c>
      <c r="N6958" s="5"/>
      <c r="O6958">
        <v>74.88</v>
      </c>
      <c r="P6958">
        <v>211</v>
      </c>
      <c r="Q6958" s="2">
        <v>15799.68</v>
      </c>
      <c r="R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 s="1">
        <v>42382</v>
      </c>
      <c r="AC6958" t="s">
        <v>53</v>
      </c>
      <c r="AD6958" t="s">
        <v>53</v>
      </c>
      <c r="AK6958">
        <v>0</v>
      </c>
      <c r="AU6958" s="6">
        <v>42184</v>
      </c>
      <c r="AV6958" s="6">
        <v>42184</v>
      </c>
      <c r="AW6958" t="s">
        <v>54</v>
      </c>
      <c r="AX6958" t="str">
        <f t="shared" si="572"/>
        <v>FOR</v>
      </c>
      <c r="AY6958" t="s">
        <v>55</v>
      </c>
    </row>
    <row r="6959" spans="1:51" hidden="1">
      <c r="A6959">
        <v>104093</v>
      </c>
      <c r="B6959" t="s">
        <v>1210</v>
      </c>
      <c r="C6959" t="str">
        <f t="shared" si="573"/>
        <v>06032681006</v>
      </c>
      <c r="D6959" t="str">
        <f t="shared" si="574"/>
        <v>12572900152</v>
      </c>
      <c r="E6959" t="s">
        <v>52</v>
      </c>
      <c r="F6959">
        <v>2014</v>
      </c>
      <c r="G6959">
        <v>25196626</v>
      </c>
      <c r="H6959" s="1">
        <v>41869</v>
      </c>
      <c r="I6959" s="1">
        <v>41883</v>
      </c>
      <c r="J6959" s="1">
        <v>41883</v>
      </c>
      <c r="K6959" s="1">
        <v>41973</v>
      </c>
      <c r="N6959" s="5"/>
      <c r="O6959">
        <v>74.88</v>
      </c>
      <c r="P6959">
        <v>211</v>
      </c>
      <c r="Q6959" s="2">
        <v>15799.68</v>
      </c>
      <c r="R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 s="1">
        <v>42382</v>
      </c>
      <c r="AC6959" t="s">
        <v>53</v>
      </c>
      <c r="AD6959" t="s">
        <v>53</v>
      </c>
      <c r="AK6959">
        <v>0</v>
      </c>
      <c r="AU6959" s="6">
        <v>42184</v>
      </c>
      <c r="AV6959" s="6">
        <v>42184</v>
      </c>
      <c r="AW6959" t="s">
        <v>54</v>
      </c>
      <c r="AX6959" t="str">
        <f t="shared" si="572"/>
        <v>FOR</v>
      </c>
      <c r="AY6959" t="s">
        <v>55</v>
      </c>
    </row>
    <row r="6960" spans="1:51" hidden="1">
      <c r="A6960">
        <v>104093</v>
      </c>
      <c r="B6960" t="s">
        <v>1210</v>
      </c>
      <c r="C6960" t="str">
        <f t="shared" si="573"/>
        <v>06032681006</v>
      </c>
      <c r="D6960" t="str">
        <f t="shared" si="574"/>
        <v>12572900152</v>
      </c>
      <c r="E6960" t="s">
        <v>52</v>
      </c>
      <c r="F6960">
        <v>2014</v>
      </c>
      <c r="G6960">
        <v>25196627</v>
      </c>
      <c r="H6960" s="1">
        <v>41869</v>
      </c>
      <c r="I6960" s="1">
        <v>41883</v>
      </c>
      <c r="J6960" s="1">
        <v>41883</v>
      </c>
      <c r="K6960" s="1">
        <v>41973</v>
      </c>
      <c r="N6960" s="5"/>
      <c r="O6960">
        <v>403.42</v>
      </c>
      <c r="P6960">
        <v>211</v>
      </c>
      <c r="Q6960" s="2">
        <v>85121.62</v>
      </c>
      <c r="R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 s="1">
        <v>42382</v>
      </c>
      <c r="AC6960" t="s">
        <v>53</v>
      </c>
      <c r="AD6960" t="s">
        <v>53</v>
      </c>
      <c r="AK6960">
        <v>0</v>
      </c>
      <c r="AU6960" s="6">
        <v>42184</v>
      </c>
      <c r="AV6960" s="6">
        <v>42184</v>
      </c>
      <c r="AW6960" t="s">
        <v>54</v>
      </c>
      <c r="AX6960" t="str">
        <f t="shared" si="572"/>
        <v>FOR</v>
      </c>
      <c r="AY6960" t="s">
        <v>55</v>
      </c>
    </row>
    <row r="6961" spans="1:51" hidden="1">
      <c r="A6961">
        <v>104093</v>
      </c>
      <c r="B6961" t="s">
        <v>1210</v>
      </c>
      <c r="C6961" t="str">
        <f t="shared" si="573"/>
        <v>06032681006</v>
      </c>
      <c r="D6961" t="str">
        <f t="shared" si="574"/>
        <v>12572900152</v>
      </c>
      <c r="E6961" t="s">
        <v>52</v>
      </c>
      <c r="F6961">
        <v>2014</v>
      </c>
      <c r="G6961">
        <v>25196628</v>
      </c>
      <c r="H6961" s="1">
        <v>41869</v>
      </c>
      <c r="I6961" s="1">
        <v>41883</v>
      </c>
      <c r="J6961" s="1">
        <v>41883</v>
      </c>
      <c r="K6961" s="1">
        <v>41973</v>
      </c>
      <c r="N6961" s="5"/>
      <c r="O6961">
        <v>74.88</v>
      </c>
      <c r="P6961">
        <v>211</v>
      </c>
      <c r="Q6961" s="2">
        <v>15799.68</v>
      </c>
      <c r="R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 s="1">
        <v>42382</v>
      </c>
      <c r="AC6961" t="s">
        <v>53</v>
      </c>
      <c r="AD6961" t="s">
        <v>53</v>
      </c>
      <c r="AK6961">
        <v>0</v>
      </c>
      <c r="AU6961" s="6">
        <v>42184</v>
      </c>
      <c r="AV6961" s="6">
        <v>42184</v>
      </c>
      <c r="AW6961" t="s">
        <v>54</v>
      </c>
      <c r="AX6961" t="str">
        <f t="shared" si="572"/>
        <v>FOR</v>
      </c>
      <c r="AY6961" t="s">
        <v>55</v>
      </c>
    </row>
    <row r="6962" spans="1:51" hidden="1">
      <c r="A6962">
        <v>104093</v>
      </c>
      <c r="B6962" t="s">
        <v>1210</v>
      </c>
      <c r="C6962" t="str">
        <f t="shared" si="573"/>
        <v>06032681006</v>
      </c>
      <c r="D6962" t="str">
        <f t="shared" si="574"/>
        <v>12572900152</v>
      </c>
      <c r="E6962" t="s">
        <v>52</v>
      </c>
      <c r="F6962">
        <v>2014</v>
      </c>
      <c r="G6962">
        <v>25196629</v>
      </c>
      <c r="H6962" s="1">
        <v>41869</v>
      </c>
      <c r="I6962" s="1">
        <v>41883</v>
      </c>
      <c r="J6962" s="1">
        <v>41883</v>
      </c>
      <c r="K6962" s="1">
        <v>41973</v>
      </c>
      <c r="N6962" s="5"/>
      <c r="O6962">
        <v>74.88</v>
      </c>
      <c r="P6962">
        <v>211</v>
      </c>
      <c r="Q6962" s="2">
        <v>15799.68</v>
      </c>
      <c r="R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 s="1">
        <v>42382</v>
      </c>
      <c r="AC6962" t="s">
        <v>53</v>
      </c>
      <c r="AD6962" t="s">
        <v>53</v>
      </c>
      <c r="AK6962">
        <v>0</v>
      </c>
      <c r="AU6962" s="6">
        <v>42184</v>
      </c>
      <c r="AV6962" s="6">
        <v>42184</v>
      </c>
      <c r="AW6962" t="s">
        <v>54</v>
      </c>
      <c r="AX6962" t="str">
        <f t="shared" si="572"/>
        <v>FOR</v>
      </c>
      <c r="AY6962" t="s">
        <v>55</v>
      </c>
    </row>
    <row r="6963" spans="1:51" hidden="1">
      <c r="A6963">
        <v>104093</v>
      </c>
      <c r="B6963" t="s">
        <v>1210</v>
      </c>
      <c r="C6963" t="str">
        <f t="shared" si="573"/>
        <v>06032681006</v>
      </c>
      <c r="D6963" t="str">
        <f t="shared" si="574"/>
        <v>12572900152</v>
      </c>
      <c r="E6963" t="s">
        <v>52</v>
      </c>
      <c r="F6963">
        <v>2014</v>
      </c>
      <c r="G6963">
        <v>25196630</v>
      </c>
      <c r="H6963" s="1">
        <v>41869</v>
      </c>
      <c r="I6963" s="1">
        <v>41883</v>
      </c>
      <c r="J6963" s="1">
        <v>41883</v>
      </c>
      <c r="K6963" s="1">
        <v>41973</v>
      </c>
      <c r="N6963" s="5"/>
      <c r="O6963">
        <v>74.88</v>
      </c>
      <c r="P6963">
        <v>211</v>
      </c>
      <c r="Q6963" s="2">
        <v>15799.68</v>
      </c>
      <c r="R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 s="1">
        <v>42382</v>
      </c>
      <c r="AC6963" t="s">
        <v>53</v>
      </c>
      <c r="AD6963" t="s">
        <v>53</v>
      </c>
      <c r="AK6963">
        <v>0</v>
      </c>
      <c r="AU6963" s="6">
        <v>42184</v>
      </c>
      <c r="AV6963" s="6">
        <v>42184</v>
      </c>
      <c r="AW6963" t="s">
        <v>54</v>
      </c>
      <c r="AX6963" t="str">
        <f t="shared" si="572"/>
        <v>FOR</v>
      </c>
      <c r="AY6963" t="s">
        <v>55</v>
      </c>
    </row>
    <row r="6964" spans="1:51" hidden="1">
      <c r="A6964">
        <v>104093</v>
      </c>
      <c r="B6964" t="s">
        <v>1210</v>
      </c>
      <c r="C6964" t="str">
        <f t="shared" si="573"/>
        <v>06032681006</v>
      </c>
      <c r="D6964" t="str">
        <f t="shared" si="574"/>
        <v>12572900152</v>
      </c>
      <c r="E6964" t="s">
        <v>52</v>
      </c>
      <c r="F6964">
        <v>2014</v>
      </c>
      <c r="G6964">
        <v>25196631</v>
      </c>
      <c r="H6964" s="1">
        <v>41869</v>
      </c>
      <c r="I6964" s="1">
        <v>41883</v>
      </c>
      <c r="J6964" s="1">
        <v>41883</v>
      </c>
      <c r="K6964" s="1">
        <v>41973</v>
      </c>
      <c r="N6964" s="5"/>
      <c r="O6964">
        <v>74.88</v>
      </c>
      <c r="P6964">
        <v>211</v>
      </c>
      <c r="Q6964" s="2">
        <v>15799.68</v>
      </c>
      <c r="R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 s="1">
        <v>42382</v>
      </c>
      <c r="AC6964" t="s">
        <v>53</v>
      </c>
      <c r="AD6964" t="s">
        <v>53</v>
      </c>
      <c r="AK6964">
        <v>0</v>
      </c>
      <c r="AU6964" s="6">
        <v>42184</v>
      </c>
      <c r="AV6964" s="6">
        <v>42184</v>
      </c>
      <c r="AW6964" t="s">
        <v>54</v>
      </c>
      <c r="AX6964" t="str">
        <f t="shared" si="572"/>
        <v>FOR</v>
      </c>
      <c r="AY6964" t="s">
        <v>55</v>
      </c>
    </row>
    <row r="6965" spans="1:51" hidden="1">
      <c r="A6965">
        <v>104093</v>
      </c>
      <c r="B6965" t="s">
        <v>1210</v>
      </c>
      <c r="C6965" t="str">
        <f t="shared" si="573"/>
        <v>06032681006</v>
      </c>
      <c r="D6965" t="str">
        <f t="shared" si="574"/>
        <v>12572900152</v>
      </c>
      <c r="E6965" t="s">
        <v>52</v>
      </c>
      <c r="F6965">
        <v>2014</v>
      </c>
      <c r="G6965">
        <v>25196919</v>
      </c>
      <c r="H6965" s="1">
        <v>41871</v>
      </c>
      <c r="I6965" s="1">
        <v>41891</v>
      </c>
      <c r="J6965" s="1">
        <v>41891</v>
      </c>
      <c r="K6965" s="1">
        <v>41981</v>
      </c>
      <c r="N6965" s="5"/>
      <c r="O6965">
        <v>707.62</v>
      </c>
      <c r="P6965">
        <v>203</v>
      </c>
      <c r="Q6965" s="2">
        <v>143646.85999999999</v>
      </c>
      <c r="R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 s="1">
        <v>42382</v>
      </c>
      <c r="AC6965" t="s">
        <v>53</v>
      </c>
      <c r="AD6965" t="s">
        <v>53</v>
      </c>
      <c r="AK6965">
        <v>0</v>
      </c>
      <c r="AU6965" s="6">
        <v>42184</v>
      </c>
      <c r="AV6965" s="6">
        <v>42184</v>
      </c>
      <c r="AW6965" t="s">
        <v>54</v>
      </c>
      <c r="AX6965" t="str">
        <f t="shared" si="572"/>
        <v>FOR</v>
      </c>
      <c r="AY6965" t="s">
        <v>55</v>
      </c>
    </row>
    <row r="6966" spans="1:51" hidden="1">
      <c r="A6966">
        <v>104093</v>
      </c>
      <c r="B6966" t="s">
        <v>1210</v>
      </c>
      <c r="C6966" t="str">
        <f t="shared" si="573"/>
        <v>06032681006</v>
      </c>
      <c r="D6966" t="str">
        <f t="shared" si="574"/>
        <v>12572900152</v>
      </c>
      <c r="E6966" t="s">
        <v>52</v>
      </c>
      <c r="F6966">
        <v>2014</v>
      </c>
      <c r="G6966">
        <v>25196920</v>
      </c>
      <c r="H6966" s="1">
        <v>41871</v>
      </c>
      <c r="I6966" s="1">
        <v>41891</v>
      </c>
      <c r="J6966" s="1">
        <v>41891</v>
      </c>
      <c r="K6966" s="1">
        <v>41981</v>
      </c>
      <c r="N6966" s="5"/>
      <c r="O6966">
        <v>74.88</v>
      </c>
      <c r="P6966">
        <v>203</v>
      </c>
      <c r="Q6966" s="2">
        <v>15200.64</v>
      </c>
      <c r="R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 s="1">
        <v>42382</v>
      </c>
      <c r="AC6966" t="s">
        <v>53</v>
      </c>
      <c r="AD6966" t="s">
        <v>53</v>
      </c>
      <c r="AK6966">
        <v>0</v>
      </c>
      <c r="AU6966" s="6">
        <v>42184</v>
      </c>
      <c r="AV6966" s="6">
        <v>42184</v>
      </c>
      <c r="AW6966" t="s">
        <v>54</v>
      </c>
      <c r="AX6966" t="str">
        <f t="shared" si="572"/>
        <v>FOR</v>
      </c>
      <c r="AY6966" t="s">
        <v>55</v>
      </c>
    </row>
    <row r="6967" spans="1:51" hidden="1">
      <c r="A6967">
        <v>104093</v>
      </c>
      <c r="B6967" t="s">
        <v>1210</v>
      </c>
      <c r="C6967" t="str">
        <f t="shared" si="573"/>
        <v>06032681006</v>
      </c>
      <c r="D6967" t="str">
        <f t="shared" si="574"/>
        <v>12572900152</v>
      </c>
      <c r="E6967" t="s">
        <v>52</v>
      </c>
      <c r="F6967">
        <v>2014</v>
      </c>
      <c r="G6967">
        <v>25196921</v>
      </c>
      <c r="H6967" s="1">
        <v>41871</v>
      </c>
      <c r="I6967" s="1">
        <v>41891</v>
      </c>
      <c r="J6967" s="1">
        <v>41891</v>
      </c>
      <c r="K6967" s="1">
        <v>41981</v>
      </c>
      <c r="N6967" s="5"/>
      <c r="O6967">
        <v>252.72</v>
      </c>
      <c r="P6967">
        <v>203</v>
      </c>
      <c r="Q6967" s="2">
        <v>51302.16</v>
      </c>
      <c r="R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 s="1">
        <v>42382</v>
      </c>
      <c r="AC6967" t="s">
        <v>53</v>
      </c>
      <c r="AD6967" t="s">
        <v>53</v>
      </c>
      <c r="AK6967">
        <v>0</v>
      </c>
      <c r="AU6967" s="6">
        <v>42184</v>
      </c>
      <c r="AV6967" s="6">
        <v>42184</v>
      </c>
      <c r="AW6967" t="s">
        <v>54</v>
      </c>
      <c r="AX6967" t="str">
        <f t="shared" si="572"/>
        <v>FOR</v>
      </c>
      <c r="AY6967" t="s">
        <v>55</v>
      </c>
    </row>
    <row r="6968" spans="1:51" hidden="1">
      <c r="A6968">
        <v>104093</v>
      </c>
      <c r="B6968" t="s">
        <v>1210</v>
      </c>
      <c r="C6968" t="str">
        <f t="shared" si="573"/>
        <v>06032681006</v>
      </c>
      <c r="D6968" t="str">
        <f t="shared" si="574"/>
        <v>12572900152</v>
      </c>
      <c r="E6968" t="s">
        <v>52</v>
      </c>
      <c r="F6968">
        <v>2014</v>
      </c>
      <c r="G6968">
        <v>25197547</v>
      </c>
      <c r="H6968" s="1">
        <v>41877</v>
      </c>
      <c r="I6968" s="1">
        <v>41893</v>
      </c>
      <c r="J6968" s="1">
        <v>41893</v>
      </c>
      <c r="K6968" s="1">
        <v>41983</v>
      </c>
      <c r="N6968" s="5"/>
      <c r="O6968">
        <v>707.62</v>
      </c>
      <c r="P6968">
        <v>201</v>
      </c>
      <c r="Q6968" s="2">
        <v>142231.62</v>
      </c>
      <c r="R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 s="1">
        <v>42382</v>
      </c>
      <c r="AC6968" t="s">
        <v>53</v>
      </c>
      <c r="AD6968" t="s">
        <v>53</v>
      </c>
      <c r="AK6968">
        <v>0</v>
      </c>
      <c r="AU6968" s="6">
        <v>42184</v>
      </c>
      <c r="AV6968" s="6">
        <v>42184</v>
      </c>
      <c r="AW6968" t="s">
        <v>54</v>
      </c>
      <c r="AX6968" t="str">
        <f t="shared" si="572"/>
        <v>FOR</v>
      </c>
      <c r="AY6968" t="s">
        <v>55</v>
      </c>
    </row>
    <row r="6969" spans="1:51" hidden="1">
      <c r="A6969">
        <v>104093</v>
      </c>
      <c r="B6969" t="s">
        <v>1210</v>
      </c>
      <c r="C6969" t="str">
        <f t="shared" si="573"/>
        <v>06032681006</v>
      </c>
      <c r="D6969" t="str">
        <f t="shared" si="574"/>
        <v>12572900152</v>
      </c>
      <c r="E6969" t="s">
        <v>52</v>
      </c>
      <c r="F6969">
        <v>2014</v>
      </c>
      <c r="G6969">
        <v>25197548</v>
      </c>
      <c r="H6969" s="1">
        <v>41877</v>
      </c>
      <c r="I6969" s="1">
        <v>41893</v>
      </c>
      <c r="J6969" s="1">
        <v>41893</v>
      </c>
      <c r="K6969" s="1">
        <v>41983</v>
      </c>
      <c r="N6969" s="5"/>
      <c r="O6969">
        <v>252.72</v>
      </c>
      <c r="P6969">
        <v>201</v>
      </c>
      <c r="Q6969" s="2">
        <v>50796.72</v>
      </c>
      <c r="R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 s="1">
        <v>42382</v>
      </c>
      <c r="AC6969" t="s">
        <v>53</v>
      </c>
      <c r="AD6969" t="s">
        <v>53</v>
      </c>
      <c r="AK6969">
        <v>0</v>
      </c>
      <c r="AU6969" s="6">
        <v>42184</v>
      </c>
      <c r="AV6969" s="6">
        <v>42184</v>
      </c>
      <c r="AW6969" t="s">
        <v>54</v>
      </c>
      <c r="AX6969" t="str">
        <f t="shared" si="572"/>
        <v>FOR</v>
      </c>
      <c r="AY6969" t="s">
        <v>55</v>
      </c>
    </row>
    <row r="6970" spans="1:51" hidden="1">
      <c r="A6970">
        <v>104093</v>
      </c>
      <c r="B6970" t="s">
        <v>1210</v>
      </c>
      <c r="C6970" t="str">
        <f t="shared" si="573"/>
        <v>06032681006</v>
      </c>
      <c r="D6970" t="str">
        <f t="shared" si="574"/>
        <v>12572900152</v>
      </c>
      <c r="E6970" t="s">
        <v>52</v>
      </c>
      <c r="F6970">
        <v>2014</v>
      </c>
      <c r="G6970">
        <v>25197549</v>
      </c>
      <c r="H6970" s="1">
        <v>41877</v>
      </c>
      <c r="I6970" s="1">
        <v>41893</v>
      </c>
      <c r="J6970" s="1">
        <v>41893</v>
      </c>
      <c r="K6970" s="1">
        <v>41983</v>
      </c>
      <c r="N6970" s="5"/>
      <c r="O6970">
        <v>74.88</v>
      </c>
      <c r="P6970">
        <v>201</v>
      </c>
      <c r="Q6970" s="2">
        <v>15050.88</v>
      </c>
      <c r="R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 s="1">
        <v>42382</v>
      </c>
      <c r="AC6970" t="s">
        <v>53</v>
      </c>
      <c r="AD6970" t="s">
        <v>53</v>
      </c>
      <c r="AK6970">
        <v>0</v>
      </c>
      <c r="AU6970" s="6">
        <v>42184</v>
      </c>
      <c r="AV6970" s="6">
        <v>42184</v>
      </c>
      <c r="AW6970" t="s">
        <v>54</v>
      </c>
      <c r="AX6970" t="str">
        <f t="shared" si="572"/>
        <v>FOR</v>
      </c>
      <c r="AY6970" t="s">
        <v>55</v>
      </c>
    </row>
    <row r="6971" spans="1:51" hidden="1">
      <c r="A6971">
        <v>104093</v>
      </c>
      <c r="B6971" t="s">
        <v>1210</v>
      </c>
      <c r="C6971" t="str">
        <f t="shared" si="573"/>
        <v>06032681006</v>
      </c>
      <c r="D6971" t="str">
        <f t="shared" si="574"/>
        <v>12572900152</v>
      </c>
      <c r="E6971" t="s">
        <v>52</v>
      </c>
      <c r="F6971">
        <v>2014</v>
      </c>
      <c r="G6971">
        <v>25197550</v>
      </c>
      <c r="H6971" s="1">
        <v>41877</v>
      </c>
      <c r="I6971" s="1">
        <v>41893</v>
      </c>
      <c r="J6971" s="1">
        <v>41893</v>
      </c>
      <c r="K6971" s="1">
        <v>41983</v>
      </c>
      <c r="N6971" s="5"/>
      <c r="O6971">
        <v>74.88</v>
      </c>
      <c r="P6971">
        <v>201</v>
      </c>
      <c r="Q6971" s="2">
        <v>15050.88</v>
      </c>
      <c r="R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 s="1">
        <v>42382</v>
      </c>
      <c r="AC6971" t="s">
        <v>53</v>
      </c>
      <c r="AD6971" t="s">
        <v>53</v>
      </c>
      <c r="AK6971">
        <v>0</v>
      </c>
      <c r="AU6971" s="6">
        <v>42184</v>
      </c>
      <c r="AV6971" s="6">
        <v>42184</v>
      </c>
      <c r="AW6971" t="s">
        <v>54</v>
      </c>
      <c r="AX6971" t="str">
        <f t="shared" si="572"/>
        <v>FOR</v>
      </c>
      <c r="AY6971" t="s">
        <v>55</v>
      </c>
    </row>
    <row r="6972" spans="1:51" hidden="1">
      <c r="A6972">
        <v>104093</v>
      </c>
      <c r="B6972" t="s">
        <v>1210</v>
      </c>
      <c r="C6972" t="str">
        <f t="shared" si="573"/>
        <v>06032681006</v>
      </c>
      <c r="D6972" t="str">
        <f t="shared" si="574"/>
        <v>12572900152</v>
      </c>
      <c r="E6972" t="s">
        <v>52</v>
      </c>
      <c r="F6972">
        <v>2014</v>
      </c>
      <c r="G6972">
        <v>25197551</v>
      </c>
      <c r="H6972" s="1">
        <v>41877</v>
      </c>
      <c r="I6972" s="1">
        <v>41893</v>
      </c>
      <c r="J6972" s="1">
        <v>41893</v>
      </c>
      <c r="K6972" s="1">
        <v>41983</v>
      </c>
      <c r="N6972" s="5"/>
      <c r="O6972">
        <v>74.88</v>
      </c>
      <c r="P6972">
        <v>201</v>
      </c>
      <c r="Q6972" s="2">
        <v>15050.88</v>
      </c>
      <c r="R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 s="1">
        <v>42382</v>
      </c>
      <c r="AC6972" t="s">
        <v>53</v>
      </c>
      <c r="AD6972" t="s">
        <v>53</v>
      </c>
      <c r="AK6972">
        <v>0</v>
      </c>
      <c r="AU6972" s="6">
        <v>42184</v>
      </c>
      <c r="AV6972" s="6">
        <v>42184</v>
      </c>
      <c r="AW6972" t="s">
        <v>54</v>
      </c>
      <c r="AX6972" t="str">
        <f t="shared" si="572"/>
        <v>FOR</v>
      </c>
      <c r="AY6972" t="s">
        <v>55</v>
      </c>
    </row>
    <row r="6973" spans="1:51" hidden="1">
      <c r="A6973">
        <v>104093</v>
      </c>
      <c r="B6973" t="s">
        <v>1210</v>
      </c>
      <c r="C6973" t="str">
        <f t="shared" si="573"/>
        <v>06032681006</v>
      </c>
      <c r="D6973" t="str">
        <f t="shared" si="574"/>
        <v>12572900152</v>
      </c>
      <c r="E6973" t="s">
        <v>52</v>
      </c>
      <c r="F6973">
        <v>2014</v>
      </c>
      <c r="G6973">
        <v>25197552</v>
      </c>
      <c r="H6973" s="1">
        <v>41877</v>
      </c>
      <c r="I6973" s="1">
        <v>41893</v>
      </c>
      <c r="J6973" s="1">
        <v>41893</v>
      </c>
      <c r="K6973" s="1">
        <v>41983</v>
      </c>
      <c r="N6973" s="5"/>
      <c r="O6973">
        <v>403.42</v>
      </c>
      <c r="P6973">
        <v>201</v>
      </c>
      <c r="Q6973" s="2">
        <v>81087.42</v>
      </c>
      <c r="R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 s="1">
        <v>42382</v>
      </c>
      <c r="AC6973" t="s">
        <v>53</v>
      </c>
      <c r="AD6973" t="s">
        <v>53</v>
      </c>
      <c r="AK6973">
        <v>0</v>
      </c>
      <c r="AU6973" s="6">
        <v>42184</v>
      </c>
      <c r="AV6973" s="6">
        <v>42184</v>
      </c>
      <c r="AW6973" t="s">
        <v>54</v>
      </c>
      <c r="AX6973" t="str">
        <f t="shared" si="572"/>
        <v>FOR</v>
      </c>
      <c r="AY6973" t="s">
        <v>55</v>
      </c>
    </row>
    <row r="6974" spans="1:51" hidden="1">
      <c r="A6974">
        <v>104093</v>
      </c>
      <c r="B6974" t="s">
        <v>1210</v>
      </c>
      <c r="C6974" t="str">
        <f t="shared" si="573"/>
        <v>06032681006</v>
      </c>
      <c r="D6974" t="str">
        <f t="shared" si="574"/>
        <v>12572900152</v>
      </c>
      <c r="E6974" t="s">
        <v>52</v>
      </c>
      <c r="F6974">
        <v>2014</v>
      </c>
      <c r="G6974">
        <v>25197553</v>
      </c>
      <c r="H6974" s="1">
        <v>41877</v>
      </c>
      <c r="I6974" s="1">
        <v>41893</v>
      </c>
      <c r="J6974" s="1">
        <v>41893</v>
      </c>
      <c r="K6974" s="1">
        <v>41983</v>
      </c>
      <c r="N6974" s="5"/>
      <c r="O6974">
        <v>74.88</v>
      </c>
      <c r="P6974">
        <v>201</v>
      </c>
      <c r="Q6974" s="2">
        <v>15050.88</v>
      </c>
      <c r="R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 s="1">
        <v>42382</v>
      </c>
      <c r="AC6974" t="s">
        <v>53</v>
      </c>
      <c r="AD6974" t="s">
        <v>53</v>
      </c>
      <c r="AK6974">
        <v>0</v>
      </c>
      <c r="AU6974" s="6">
        <v>42184</v>
      </c>
      <c r="AV6974" s="6">
        <v>42184</v>
      </c>
      <c r="AW6974" t="s">
        <v>54</v>
      </c>
      <c r="AX6974" t="str">
        <f t="shared" si="572"/>
        <v>FOR</v>
      </c>
      <c r="AY6974" t="s">
        <v>55</v>
      </c>
    </row>
    <row r="6975" spans="1:51" hidden="1">
      <c r="A6975">
        <v>104093</v>
      </c>
      <c r="B6975" t="s">
        <v>1210</v>
      </c>
      <c r="C6975" t="str">
        <f t="shared" si="573"/>
        <v>06032681006</v>
      </c>
      <c r="D6975" t="str">
        <f t="shared" si="574"/>
        <v>12572900152</v>
      </c>
      <c r="E6975" t="s">
        <v>52</v>
      </c>
      <c r="F6975">
        <v>2014</v>
      </c>
      <c r="G6975">
        <v>25197585</v>
      </c>
      <c r="H6975" s="1">
        <v>41877</v>
      </c>
      <c r="I6975" s="1">
        <v>41893</v>
      </c>
      <c r="J6975" s="1">
        <v>41893</v>
      </c>
      <c r="K6975" s="1">
        <v>41983</v>
      </c>
      <c r="N6975" s="5"/>
      <c r="O6975">
        <v>74.88</v>
      </c>
      <c r="P6975">
        <v>201</v>
      </c>
      <c r="Q6975" s="2">
        <v>15050.88</v>
      </c>
      <c r="R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 s="1">
        <v>42382</v>
      </c>
      <c r="AC6975" t="s">
        <v>53</v>
      </c>
      <c r="AD6975" t="s">
        <v>53</v>
      </c>
      <c r="AK6975">
        <v>0</v>
      </c>
      <c r="AU6975" s="6">
        <v>42184</v>
      </c>
      <c r="AV6975" s="6">
        <v>42184</v>
      </c>
      <c r="AW6975" t="s">
        <v>54</v>
      </c>
      <c r="AX6975" t="str">
        <f t="shared" si="572"/>
        <v>FOR</v>
      </c>
      <c r="AY6975" t="s">
        <v>55</v>
      </c>
    </row>
    <row r="6976" spans="1:51" hidden="1">
      <c r="A6976">
        <v>104093</v>
      </c>
      <c r="B6976" t="s">
        <v>1210</v>
      </c>
      <c r="C6976" t="str">
        <f t="shared" si="573"/>
        <v>06032681006</v>
      </c>
      <c r="D6976" t="str">
        <f t="shared" si="574"/>
        <v>12572900152</v>
      </c>
      <c r="E6976" t="s">
        <v>52</v>
      </c>
      <c r="F6976">
        <v>2014</v>
      </c>
      <c r="G6976">
        <v>25198582</v>
      </c>
      <c r="H6976" s="1">
        <v>41883</v>
      </c>
      <c r="I6976" s="1">
        <v>41899</v>
      </c>
      <c r="J6976" s="1">
        <v>41899</v>
      </c>
      <c r="K6976" s="1">
        <v>41989</v>
      </c>
      <c r="N6976" s="5"/>
      <c r="O6976">
        <v>707.62</v>
      </c>
      <c r="P6976">
        <v>261</v>
      </c>
      <c r="Q6976" s="2">
        <v>184688.82</v>
      </c>
      <c r="R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 s="1">
        <v>42382</v>
      </c>
      <c r="AC6976" t="s">
        <v>53</v>
      </c>
      <c r="AD6976" t="s">
        <v>53</v>
      </c>
      <c r="AK6976">
        <v>0</v>
      </c>
      <c r="AU6976" s="6">
        <v>42250</v>
      </c>
      <c r="AV6976" s="6">
        <v>42250</v>
      </c>
      <c r="AW6976" t="s">
        <v>54</v>
      </c>
      <c r="AX6976" t="str">
        <f t="shared" si="572"/>
        <v>FOR</v>
      </c>
      <c r="AY6976" t="s">
        <v>55</v>
      </c>
    </row>
    <row r="6977" spans="1:51" hidden="1">
      <c r="A6977">
        <v>104093</v>
      </c>
      <c r="B6977" t="s">
        <v>1210</v>
      </c>
      <c r="C6977" t="str">
        <f t="shared" si="573"/>
        <v>06032681006</v>
      </c>
      <c r="D6977" t="str">
        <f t="shared" si="574"/>
        <v>12572900152</v>
      </c>
      <c r="E6977" t="s">
        <v>52</v>
      </c>
      <c r="F6977">
        <v>2014</v>
      </c>
      <c r="G6977">
        <v>25198583</v>
      </c>
      <c r="H6977" s="1">
        <v>41883</v>
      </c>
      <c r="I6977" s="1">
        <v>41899</v>
      </c>
      <c r="J6977" s="1">
        <v>41899</v>
      </c>
      <c r="K6977" s="1">
        <v>41989</v>
      </c>
      <c r="N6977" s="5"/>
      <c r="O6977">
        <v>252.72</v>
      </c>
      <c r="P6977">
        <v>261</v>
      </c>
      <c r="Q6977" s="2">
        <v>65959.92</v>
      </c>
      <c r="R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 s="1">
        <v>42382</v>
      </c>
      <c r="AC6977" t="s">
        <v>53</v>
      </c>
      <c r="AD6977" t="s">
        <v>53</v>
      </c>
      <c r="AK6977">
        <v>0</v>
      </c>
      <c r="AU6977" s="6">
        <v>42250</v>
      </c>
      <c r="AV6977" s="6">
        <v>42250</v>
      </c>
      <c r="AW6977" t="s">
        <v>54</v>
      </c>
      <c r="AX6977" t="str">
        <f t="shared" si="572"/>
        <v>FOR</v>
      </c>
      <c r="AY6977" t="s">
        <v>55</v>
      </c>
    </row>
    <row r="6978" spans="1:51" hidden="1">
      <c r="A6978">
        <v>104093</v>
      </c>
      <c r="B6978" t="s">
        <v>1210</v>
      </c>
      <c r="C6978" t="str">
        <f t="shared" si="573"/>
        <v>06032681006</v>
      </c>
      <c r="D6978" t="str">
        <f t="shared" si="574"/>
        <v>12572900152</v>
      </c>
      <c r="E6978" t="s">
        <v>52</v>
      </c>
      <c r="F6978">
        <v>2014</v>
      </c>
      <c r="G6978">
        <v>25198812</v>
      </c>
      <c r="H6978" s="1">
        <v>41884</v>
      </c>
      <c r="I6978" s="1">
        <v>41904</v>
      </c>
      <c r="J6978" s="1">
        <v>41904</v>
      </c>
      <c r="K6978" s="1">
        <v>41994</v>
      </c>
      <c r="N6978" s="5"/>
      <c r="O6978" s="2">
        <v>5160.6000000000004</v>
      </c>
      <c r="P6978">
        <v>256</v>
      </c>
      <c r="Q6978" s="2">
        <v>1321113.6000000001</v>
      </c>
      <c r="R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 s="1">
        <v>42382</v>
      </c>
      <c r="AC6978" t="s">
        <v>53</v>
      </c>
      <c r="AD6978" t="s">
        <v>53</v>
      </c>
      <c r="AK6978">
        <v>0</v>
      </c>
      <c r="AU6978" s="6">
        <v>42250</v>
      </c>
      <c r="AV6978" s="6">
        <v>42250</v>
      </c>
      <c r="AW6978" t="s">
        <v>54</v>
      </c>
      <c r="AX6978" t="str">
        <f t="shared" si="572"/>
        <v>FOR</v>
      </c>
      <c r="AY6978" t="s">
        <v>55</v>
      </c>
    </row>
    <row r="6979" spans="1:51" hidden="1">
      <c r="A6979">
        <v>104093</v>
      </c>
      <c r="B6979" t="s">
        <v>1210</v>
      </c>
      <c r="C6979" t="str">
        <f t="shared" si="573"/>
        <v>06032681006</v>
      </c>
      <c r="D6979" t="str">
        <f t="shared" si="574"/>
        <v>12572900152</v>
      </c>
      <c r="E6979" t="s">
        <v>52</v>
      </c>
      <c r="F6979">
        <v>2014</v>
      </c>
      <c r="G6979">
        <v>25199782</v>
      </c>
      <c r="H6979" s="1">
        <v>41892</v>
      </c>
      <c r="I6979" s="1">
        <v>41907</v>
      </c>
      <c r="J6979" s="1">
        <v>41907</v>
      </c>
      <c r="K6979" s="1">
        <v>41997</v>
      </c>
      <c r="N6979" s="5"/>
      <c r="O6979" s="2">
        <v>4968.08</v>
      </c>
      <c r="P6979">
        <v>253</v>
      </c>
      <c r="Q6979" s="2">
        <v>1256924.24</v>
      </c>
      <c r="R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 s="1">
        <v>42382</v>
      </c>
      <c r="AC6979" t="s">
        <v>53</v>
      </c>
      <c r="AD6979" t="s">
        <v>53</v>
      </c>
      <c r="AK6979">
        <v>0</v>
      </c>
      <c r="AU6979" s="6">
        <v>42250</v>
      </c>
      <c r="AV6979" s="6">
        <v>42250</v>
      </c>
      <c r="AW6979" t="s">
        <v>54</v>
      </c>
      <c r="AX6979" t="str">
        <f t="shared" ref="AX6979:AX7042" si="575">"FOR"</f>
        <v>FOR</v>
      </c>
      <c r="AY6979" t="s">
        <v>55</v>
      </c>
    </row>
    <row r="6980" spans="1:51" hidden="1">
      <c r="A6980">
        <v>104093</v>
      </c>
      <c r="B6980" t="s">
        <v>1210</v>
      </c>
      <c r="C6980" t="str">
        <f t="shared" si="573"/>
        <v>06032681006</v>
      </c>
      <c r="D6980" t="str">
        <f t="shared" si="574"/>
        <v>12572900152</v>
      </c>
      <c r="E6980" t="s">
        <v>52</v>
      </c>
      <c r="F6980">
        <v>2014</v>
      </c>
      <c r="G6980">
        <v>25199783</v>
      </c>
      <c r="H6980" s="1">
        <v>41892</v>
      </c>
      <c r="I6980" s="1">
        <v>41907</v>
      </c>
      <c r="J6980" s="1">
        <v>41907</v>
      </c>
      <c r="K6980" s="1">
        <v>41997</v>
      </c>
      <c r="N6980" s="5"/>
      <c r="O6980">
        <v>403.42</v>
      </c>
      <c r="P6980">
        <v>253</v>
      </c>
      <c r="Q6980" s="2">
        <v>102065.26</v>
      </c>
      <c r="R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 s="1">
        <v>42382</v>
      </c>
      <c r="AC6980" t="s">
        <v>53</v>
      </c>
      <c r="AD6980" t="s">
        <v>53</v>
      </c>
      <c r="AK6980">
        <v>0</v>
      </c>
      <c r="AU6980" s="6">
        <v>42250</v>
      </c>
      <c r="AV6980" s="6">
        <v>42250</v>
      </c>
      <c r="AW6980" t="s">
        <v>54</v>
      </c>
      <c r="AX6980" t="str">
        <f t="shared" si="575"/>
        <v>FOR</v>
      </c>
      <c r="AY6980" t="s">
        <v>55</v>
      </c>
    </row>
    <row r="6981" spans="1:51" hidden="1">
      <c r="A6981">
        <v>104093</v>
      </c>
      <c r="B6981" t="s">
        <v>1210</v>
      </c>
      <c r="C6981" t="str">
        <f t="shared" si="573"/>
        <v>06032681006</v>
      </c>
      <c r="D6981" t="str">
        <f t="shared" si="574"/>
        <v>12572900152</v>
      </c>
      <c r="E6981" t="s">
        <v>52</v>
      </c>
      <c r="F6981">
        <v>2014</v>
      </c>
      <c r="G6981">
        <v>25199784</v>
      </c>
      <c r="H6981" s="1">
        <v>41892</v>
      </c>
      <c r="I6981" s="1">
        <v>41907</v>
      </c>
      <c r="J6981" s="1">
        <v>41907</v>
      </c>
      <c r="K6981" s="1">
        <v>41997</v>
      </c>
      <c r="N6981" s="5"/>
      <c r="O6981">
        <v>74.88</v>
      </c>
      <c r="P6981">
        <v>253</v>
      </c>
      <c r="Q6981" s="2">
        <v>18944.64</v>
      </c>
      <c r="R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 s="1">
        <v>42382</v>
      </c>
      <c r="AC6981" t="s">
        <v>53</v>
      </c>
      <c r="AD6981" t="s">
        <v>53</v>
      </c>
      <c r="AK6981">
        <v>0</v>
      </c>
      <c r="AU6981" s="6">
        <v>42250</v>
      </c>
      <c r="AV6981" s="6">
        <v>42250</v>
      </c>
      <c r="AW6981" t="s">
        <v>54</v>
      </c>
      <c r="AX6981" t="str">
        <f t="shared" si="575"/>
        <v>FOR</v>
      </c>
      <c r="AY6981" t="s">
        <v>55</v>
      </c>
    </row>
    <row r="6982" spans="1:51" hidden="1">
      <c r="A6982">
        <v>104093</v>
      </c>
      <c r="B6982" t="s">
        <v>1210</v>
      </c>
      <c r="C6982" t="str">
        <f t="shared" si="573"/>
        <v>06032681006</v>
      </c>
      <c r="D6982" t="str">
        <f t="shared" si="574"/>
        <v>12572900152</v>
      </c>
      <c r="E6982" t="s">
        <v>52</v>
      </c>
      <c r="F6982">
        <v>2014</v>
      </c>
      <c r="G6982">
        <v>25199785</v>
      </c>
      <c r="H6982" s="1">
        <v>41892</v>
      </c>
      <c r="I6982" s="1">
        <v>41907</v>
      </c>
      <c r="J6982" s="1">
        <v>41907</v>
      </c>
      <c r="K6982" s="1">
        <v>41997</v>
      </c>
      <c r="N6982" s="5"/>
      <c r="O6982">
        <v>403.42</v>
      </c>
      <c r="P6982">
        <v>253</v>
      </c>
      <c r="Q6982" s="2">
        <v>102065.26</v>
      </c>
      <c r="R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 s="1">
        <v>42382</v>
      </c>
      <c r="AC6982" t="s">
        <v>53</v>
      </c>
      <c r="AD6982" t="s">
        <v>53</v>
      </c>
      <c r="AK6982">
        <v>0</v>
      </c>
      <c r="AU6982" s="6">
        <v>42250</v>
      </c>
      <c r="AV6982" s="6">
        <v>42250</v>
      </c>
      <c r="AW6982" t="s">
        <v>54</v>
      </c>
      <c r="AX6982" t="str">
        <f t="shared" si="575"/>
        <v>FOR</v>
      </c>
      <c r="AY6982" t="s">
        <v>55</v>
      </c>
    </row>
    <row r="6983" spans="1:51" hidden="1">
      <c r="A6983">
        <v>104093</v>
      </c>
      <c r="B6983" t="s">
        <v>1210</v>
      </c>
      <c r="C6983" t="str">
        <f t="shared" si="573"/>
        <v>06032681006</v>
      </c>
      <c r="D6983" t="str">
        <f t="shared" si="574"/>
        <v>12572900152</v>
      </c>
      <c r="E6983" t="s">
        <v>52</v>
      </c>
      <c r="F6983">
        <v>2014</v>
      </c>
      <c r="G6983">
        <v>25199786</v>
      </c>
      <c r="H6983" s="1">
        <v>41892</v>
      </c>
      <c r="I6983" s="1">
        <v>41907</v>
      </c>
      <c r="J6983" s="1">
        <v>41907</v>
      </c>
      <c r="K6983" s="1">
        <v>41997</v>
      </c>
      <c r="N6983" s="5"/>
      <c r="O6983">
        <v>74.88</v>
      </c>
      <c r="P6983">
        <v>253</v>
      </c>
      <c r="Q6983" s="2">
        <v>18944.64</v>
      </c>
      <c r="R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 s="1">
        <v>42382</v>
      </c>
      <c r="AC6983" t="s">
        <v>53</v>
      </c>
      <c r="AD6983" t="s">
        <v>53</v>
      </c>
      <c r="AK6983">
        <v>0</v>
      </c>
      <c r="AU6983" s="6">
        <v>42250</v>
      </c>
      <c r="AV6983" s="6">
        <v>42250</v>
      </c>
      <c r="AW6983" t="s">
        <v>54</v>
      </c>
      <c r="AX6983" t="str">
        <f t="shared" si="575"/>
        <v>FOR</v>
      </c>
      <c r="AY6983" t="s">
        <v>55</v>
      </c>
    </row>
    <row r="6984" spans="1:51" hidden="1">
      <c r="A6984">
        <v>104093</v>
      </c>
      <c r="B6984" t="s">
        <v>1210</v>
      </c>
      <c r="C6984" t="str">
        <f t="shared" si="573"/>
        <v>06032681006</v>
      </c>
      <c r="D6984" t="str">
        <f t="shared" si="574"/>
        <v>12572900152</v>
      </c>
      <c r="E6984" t="s">
        <v>52</v>
      </c>
      <c r="F6984">
        <v>2014</v>
      </c>
      <c r="G6984">
        <v>25199787</v>
      </c>
      <c r="H6984" s="1">
        <v>41892</v>
      </c>
      <c r="I6984" s="1">
        <v>41907</v>
      </c>
      <c r="J6984" s="1">
        <v>41907</v>
      </c>
      <c r="K6984" s="1">
        <v>41997</v>
      </c>
      <c r="N6984" s="5"/>
      <c r="O6984">
        <v>74.88</v>
      </c>
      <c r="P6984">
        <v>253</v>
      </c>
      <c r="Q6984" s="2">
        <v>18944.64</v>
      </c>
      <c r="R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 s="1">
        <v>42382</v>
      </c>
      <c r="AC6984" t="s">
        <v>53</v>
      </c>
      <c r="AD6984" t="s">
        <v>53</v>
      </c>
      <c r="AK6984">
        <v>0</v>
      </c>
      <c r="AU6984" s="6">
        <v>42250</v>
      </c>
      <c r="AV6984" s="6">
        <v>42250</v>
      </c>
      <c r="AW6984" t="s">
        <v>54</v>
      </c>
      <c r="AX6984" t="str">
        <f t="shared" si="575"/>
        <v>FOR</v>
      </c>
      <c r="AY6984" t="s">
        <v>55</v>
      </c>
    </row>
    <row r="6985" spans="1:51" hidden="1">
      <c r="A6985">
        <v>104093</v>
      </c>
      <c r="B6985" t="s">
        <v>1210</v>
      </c>
      <c r="C6985" t="str">
        <f t="shared" si="573"/>
        <v>06032681006</v>
      </c>
      <c r="D6985" t="str">
        <f t="shared" si="574"/>
        <v>12572900152</v>
      </c>
      <c r="E6985" t="s">
        <v>52</v>
      </c>
      <c r="F6985">
        <v>2014</v>
      </c>
      <c r="G6985">
        <v>25199788</v>
      </c>
      <c r="H6985" s="1">
        <v>41892</v>
      </c>
      <c r="I6985" s="1">
        <v>41907</v>
      </c>
      <c r="J6985" s="1">
        <v>41907</v>
      </c>
      <c r="K6985" s="1">
        <v>41997</v>
      </c>
      <c r="N6985" s="5"/>
      <c r="O6985">
        <v>74.88</v>
      </c>
      <c r="P6985">
        <v>253</v>
      </c>
      <c r="Q6985" s="2">
        <v>18944.64</v>
      </c>
      <c r="R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 s="1">
        <v>42382</v>
      </c>
      <c r="AC6985" t="s">
        <v>53</v>
      </c>
      <c r="AD6985" t="s">
        <v>53</v>
      </c>
      <c r="AK6985">
        <v>0</v>
      </c>
      <c r="AU6985" s="6">
        <v>42250</v>
      </c>
      <c r="AV6985" s="6">
        <v>42250</v>
      </c>
      <c r="AW6985" t="s">
        <v>54</v>
      </c>
      <c r="AX6985" t="str">
        <f t="shared" si="575"/>
        <v>FOR</v>
      </c>
      <c r="AY6985" t="s">
        <v>55</v>
      </c>
    </row>
    <row r="6986" spans="1:51" hidden="1">
      <c r="A6986">
        <v>104093</v>
      </c>
      <c r="B6986" t="s">
        <v>1210</v>
      </c>
      <c r="C6986" t="str">
        <f t="shared" si="573"/>
        <v>06032681006</v>
      </c>
      <c r="D6986" t="str">
        <f t="shared" si="574"/>
        <v>12572900152</v>
      </c>
      <c r="E6986" t="s">
        <v>52</v>
      </c>
      <c r="F6986">
        <v>2014</v>
      </c>
      <c r="G6986">
        <v>25200153</v>
      </c>
      <c r="H6986" s="1">
        <v>41893</v>
      </c>
      <c r="I6986" s="1">
        <v>41915</v>
      </c>
      <c r="J6986" s="1">
        <v>41915</v>
      </c>
      <c r="K6986" s="1">
        <v>42005</v>
      </c>
      <c r="N6986" s="5"/>
      <c r="O6986" s="2">
        <v>6968</v>
      </c>
      <c r="P6986">
        <v>245</v>
      </c>
      <c r="Q6986" s="2">
        <v>1707160</v>
      </c>
      <c r="R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 s="1">
        <v>42382</v>
      </c>
      <c r="AC6986" t="s">
        <v>53</v>
      </c>
      <c r="AD6986" t="s">
        <v>53</v>
      </c>
      <c r="AK6986">
        <v>0</v>
      </c>
      <c r="AU6986" s="6">
        <v>42250</v>
      </c>
      <c r="AV6986" s="6">
        <v>42250</v>
      </c>
      <c r="AW6986" t="s">
        <v>54</v>
      </c>
      <c r="AX6986" t="str">
        <f t="shared" si="575"/>
        <v>FOR</v>
      </c>
      <c r="AY6986" t="s">
        <v>55</v>
      </c>
    </row>
    <row r="6987" spans="1:51" hidden="1">
      <c r="A6987">
        <v>104093</v>
      </c>
      <c r="B6987" t="s">
        <v>1210</v>
      </c>
      <c r="C6987" t="str">
        <f t="shared" si="573"/>
        <v>06032681006</v>
      </c>
      <c r="D6987" t="str">
        <f t="shared" si="574"/>
        <v>12572900152</v>
      </c>
      <c r="E6987" t="s">
        <v>52</v>
      </c>
      <c r="F6987">
        <v>2014</v>
      </c>
      <c r="G6987">
        <v>25200194</v>
      </c>
      <c r="H6987" s="1">
        <v>41893</v>
      </c>
      <c r="I6987" s="1">
        <v>41915</v>
      </c>
      <c r="J6987" s="1">
        <v>41915</v>
      </c>
      <c r="K6987" s="1">
        <v>42005</v>
      </c>
      <c r="N6987" s="5"/>
      <c r="O6987" s="2">
        <v>8674.2000000000007</v>
      </c>
      <c r="P6987">
        <v>245</v>
      </c>
      <c r="Q6987" s="2">
        <v>2125179</v>
      </c>
      <c r="R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 s="1">
        <v>42382</v>
      </c>
      <c r="AC6987" t="s">
        <v>53</v>
      </c>
      <c r="AD6987" t="s">
        <v>53</v>
      </c>
      <c r="AK6987">
        <v>0</v>
      </c>
      <c r="AU6987" s="6">
        <v>42250</v>
      </c>
      <c r="AV6987" s="6">
        <v>42250</v>
      </c>
      <c r="AW6987" t="s">
        <v>54</v>
      </c>
      <c r="AX6987" t="str">
        <f t="shared" si="575"/>
        <v>FOR</v>
      </c>
      <c r="AY6987" t="s">
        <v>55</v>
      </c>
    </row>
    <row r="6988" spans="1:51" hidden="1">
      <c r="A6988">
        <v>104093</v>
      </c>
      <c r="B6988" t="s">
        <v>1210</v>
      </c>
      <c r="C6988" t="str">
        <f t="shared" si="573"/>
        <v>06032681006</v>
      </c>
      <c r="D6988" t="str">
        <f t="shared" si="574"/>
        <v>12572900152</v>
      </c>
      <c r="E6988" t="s">
        <v>52</v>
      </c>
      <c r="F6988">
        <v>2014</v>
      </c>
      <c r="G6988">
        <v>25200490</v>
      </c>
      <c r="H6988" s="1">
        <v>41897</v>
      </c>
      <c r="I6988" s="1">
        <v>41921</v>
      </c>
      <c r="J6988" s="1">
        <v>41921</v>
      </c>
      <c r="K6988" s="1">
        <v>42011</v>
      </c>
      <c r="N6988" s="5"/>
      <c r="O6988" s="2">
        <v>1098</v>
      </c>
      <c r="P6988">
        <v>239</v>
      </c>
      <c r="Q6988" s="2">
        <v>262422</v>
      </c>
      <c r="R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 s="1">
        <v>42382</v>
      </c>
      <c r="AC6988" t="s">
        <v>53</v>
      </c>
      <c r="AD6988" t="s">
        <v>53</v>
      </c>
      <c r="AK6988">
        <v>0</v>
      </c>
      <c r="AU6988" s="6">
        <v>42250</v>
      </c>
      <c r="AV6988" s="6">
        <v>42250</v>
      </c>
      <c r="AW6988" t="s">
        <v>54</v>
      </c>
      <c r="AX6988" t="str">
        <f t="shared" si="575"/>
        <v>FOR</v>
      </c>
      <c r="AY6988" t="s">
        <v>55</v>
      </c>
    </row>
    <row r="6989" spans="1:51" hidden="1">
      <c r="A6989">
        <v>104093</v>
      </c>
      <c r="B6989" t="s">
        <v>1210</v>
      </c>
      <c r="C6989" t="str">
        <f t="shared" si="573"/>
        <v>06032681006</v>
      </c>
      <c r="D6989" t="str">
        <f t="shared" si="574"/>
        <v>12572900152</v>
      </c>
      <c r="E6989" t="s">
        <v>52</v>
      </c>
      <c r="F6989">
        <v>2014</v>
      </c>
      <c r="G6989">
        <v>25200949</v>
      </c>
      <c r="H6989" s="1">
        <v>41899</v>
      </c>
      <c r="I6989" s="1">
        <v>41915</v>
      </c>
      <c r="J6989" s="1">
        <v>41915</v>
      </c>
      <c r="K6989" s="1">
        <v>42005</v>
      </c>
      <c r="N6989" s="5"/>
      <c r="O6989">
        <v>74.88</v>
      </c>
      <c r="P6989">
        <v>245</v>
      </c>
      <c r="Q6989" s="2">
        <v>18345.599999999999</v>
      </c>
      <c r="R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 s="1">
        <v>42382</v>
      </c>
      <c r="AC6989" t="s">
        <v>53</v>
      </c>
      <c r="AD6989" t="s">
        <v>53</v>
      </c>
      <c r="AK6989">
        <v>0</v>
      </c>
      <c r="AU6989" s="6">
        <v>42250</v>
      </c>
      <c r="AV6989" s="6">
        <v>42250</v>
      </c>
      <c r="AW6989" t="s">
        <v>54</v>
      </c>
      <c r="AX6989" t="str">
        <f t="shared" si="575"/>
        <v>FOR</v>
      </c>
      <c r="AY6989" t="s">
        <v>55</v>
      </c>
    </row>
    <row r="6990" spans="1:51" hidden="1">
      <c r="A6990">
        <v>104093</v>
      </c>
      <c r="B6990" t="s">
        <v>1210</v>
      </c>
      <c r="C6990" t="str">
        <f t="shared" si="573"/>
        <v>06032681006</v>
      </c>
      <c r="D6990" t="str">
        <f t="shared" si="574"/>
        <v>12572900152</v>
      </c>
      <c r="E6990" t="s">
        <v>52</v>
      </c>
      <c r="F6990">
        <v>2014</v>
      </c>
      <c r="G6990">
        <v>25200950</v>
      </c>
      <c r="H6990" s="1">
        <v>41899</v>
      </c>
      <c r="I6990" s="1">
        <v>41915</v>
      </c>
      <c r="J6990" s="1">
        <v>41915</v>
      </c>
      <c r="K6990" s="1">
        <v>42005</v>
      </c>
      <c r="N6990" s="5"/>
      <c r="O6990">
        <v>74.88</v>
      </c>
      <c r="P6990">
        <v>245</v>
      </c>
      <c r="Q6990" s="2">
        <v>18345.599999999999</v>
      </c>
      <c r="R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 s="1">
        <v>42382</v>
      </c>
      <c r="AC6990" t="s">
        <v>53</v>
      </c>
      <c r="AD6990" t="s">
        <v>53</v>
      </c>
      <c r="AK6990">
        <v>0</v>
      </c>
      <c r="AU6990" s="6">
        <v>42250</v>
      </c>
      <c r="AV6990" s="6">
        <v>42250</v>
      </c>
      <c r="AW6990" t="s">
        <v>54</v>
      </c>
      <c r="AX6990" t="str">
        <f t="shared" si="575"/>
        <v>FOR</v>
      </c>
      <c r="AY6990" t="s">
        <v>55</v>
      </c>
    </row>
    <row r="6991" spans="1:51" hidden="1">
      <c r="A6991">
        <v>104093</v>
      </c>
      <c r="B6991" t="s">
        <v>1210</v>
      </c>
      <c r="C6991" t="str">
        <f t="shared" si="573"/>
        <v>06032681006</v>
      </c>
      <c r="D6991" t="str">
        <f t="shared" si="574"/>
        <v>12572900152</v>
      </c>
      <c r="E6991" t="s">
        <v>52</v>
      </c>
      <c r="F6991">
        <v>2014</v>
      </c>
      <c r="G6991">
        <v>25200951</v>
      </c>
      <c r="H6991" s="1">
        <v>41899</v>
      </c>
      <c r="I6991" s="1">
        <v>41915</v>
      </c>
      <c r="J6991" s="1">
        <v>41915</v>
      </c>
      <c r="K6991" s="1">
        <v>42005</v>
      </c>
      <c r="N6991" s="5"/>
      <c r="O6991">
        <v>74.88</v>
      </c>
      <c r="P6991">
        <v>245</v>
      </c>
      <c r="Q6991" s="2">
        <v>18345.599999999999</v>
      </c>
      <c r="R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 s="1">
        <v>42382</v>
      </c>
      <c r="AC6991" t="s">
        <v>53</v>
      </c>
      <c r="AD6991" t="s">
        <v>53</v>
      </c>
      <c r="AK6991">
        <v>0</v>
      </c>
      <c r="AU6991" s="6">
        <v>42250</v>
      </c>
      <c r="AV6991" s="6">
        <v>42250</v>
      </c>
      <c r="AW6991" t="s">
        <v>54</v>
      </c>
      <c r="AX6991" t="str">
        <f t="shared" si="575"/>
        <v>FOR</v>
      </c>
      <c r="AY6991" t="s">
        <v>55</v>
      </c>
    </row>
    <row r="6992" spans="1:51" hidden="1">
      <c r="A6992">
        <v>104093</v>
      </c>
      <c r="B6992" t="s">
        <v>1210</v>
      </c>
      <c r="C6992" t="str">
        <f t="shared" si="573"/>
        <v>06032681006</v>
      </c>
      <c r="D6992" t="str">
        <f t="shared" si="574"/>
        <v>12572900152</v>
      </c>
      <c r="E6992" t="s">
        <v>52</v>
      </c>
      <c r="F6992">
        <v>2014</v>
      </c>
      <c r="G6992">
        <v>25201030</v>
      </c>
      <c r="H6992" s="1">
        <v>41899</v>
      </c>
      <c r="I6992" s="1">
        <v>41915</v>
      </c>
      <c r="J6992" s="1">
        <v>41915</v>
      </c>
      <c r="K6992" s="1">
        <v>42005</v>
      </c>
      <c r="N6992" s="5"/>
      <c r="O6992" s="2">
        <v>5001.3599999999997</v>
      </c>
      <c r="P6992">
        <v>245</v>
      </c>
      <c r="Q6992" s="2">
        <v>1225333.2</v>
      </c>
      <c r="R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 s="1">
        <v>42382</v>
      </c>
      <c r="AC6992" t="s">
        <v>53</v>
      </c>
      <c r="AD6992" t="s">
        <v>53</v>
      </c>
      <c r="AK6992">
        <v>0</v>
      </c>
      <c r="AU6992" s="6">
        <v>42250</v>
      </c>
      <c r="AV6992" s="6">
        <v>42250</v>
      </c>
      <c r="AW6992" t="s">
        <v>54</v>
      </c>
      <c r="AX6992" t="str">
        <f t="shared" si="575"/>
        <v>FOR</v>
      </c>
      <c r="AY6992" t="s">
        <v>55</v>
      </c>
    </row>
    <row r="6993" spans="1:51" hidden="1">
      <c r="A6993">
        <v>104093</v>
      </c>
      <c r="B6993" t="s">
        <v>1210</v>
      </c>
      <c r="C6993" t="str">
        <f t="shared" si="573"/>
        <v>06032681006</v>
      </c>
      <c r="D6993" t="str">
        <f t="shared" si="574"/>
        <v>12572900152</v>
      </c>
      <c r="E6993" t="s">
        <v>52</v>
      </c>
      <c r="F6993">
        <v>2014</v>
      </c>
      <c r="G6993">
        <v>25201261</v>
      </c>
      <c r="H6993" s="1">
        <v>41900</v>
      </c>
      <c r="I6993" s="1">
        <v>41921</v>
      </c>
      <c r="J6993" s="1">
        <v>41921</v>
      </c>
      <c r="K6993" s="1">
        <v>42011</v>
      </c>
      <c r="N6993" s="5"/>
      <c r="O6993" s="2">
        <v>1572.48</v>
      </c>
      <c r="P6993">
        <v>239</v>
      </c>
      <c r="Q6993" s="2">
        <v>375822.72</v>
      </c>
      <c r="R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 s="1">
        <v>42382</v>
      </c>
      <c r="AC6993" t="s">
        <v>53</v>
      </c>
      <c r="AD6993" t="s">
        <v>53</v>
      </c>
      <c r="AK6993">
        <v>0</v>
      </c>
      <c r="AU6993" s="6">
        <v>42250</v>
      </c>
      <c r="AV6993" s="6">
        <v>42250</v>
      </c>
      <c r="AW6993" t="s">
        <v>54</v>
      </c>
      <c r="AX6993" t="str">
        <f t="shared" si="575"/>
        <v>FOR</v>
      </c>
      <c r="AY6993" t="s">
        <v>55</v>
      </c>
    </row>
    <row r="6994" spans="1:51" hidden="1">
      <c r="A6994">
        <v>104093</v>
      </c>
      <c r="B6994" t="s">
        <v>1210</v>
      </c>
      <c r="C6994" t="str">
        <f t="shared" si="573"/>
        <v>06032681006</v>
      </c>
      <c r="D6994" t="str">
        <f t="shared" si="574"/>
        <v>12572900152</v>
      </c>
      <c r="E6994" t="s">
        <v>52</v>
      </c>
      <c r="F6994">
        <v>2014</v>
      </c>
      <c r="G6994">
        <v>25201576</v>
      </c>
      <c r="H6994" s="1">
        <v>41904</v>
      </c>
      <c r="I6994" s="1">
        <v>41921</v>
      </c>
      <c r="J6994" s="1">
        <v>41921</v>
      </c>
      <c r="K6994" s="1">
        <v>42011</v>
      </c>
      <c r="N6994" s="5"/>
      <c r="O6994">
        <v>936</v>
      </c>
      <c r="P6994">
        <v>239</v>
      </c>
      <c r="Q6994" s="2">
        <v>223704</v>
      </c>
      <c r="R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 s="1">
        <v>42382</v>
      </c>
      <c r="AC6994" t="s">
        <v>53</v>
      </c>
      <c r="AD6994" t="s">
        <v>53</v>
      </c>
      <c r="AK6994">
        <v>0</v>
      </c>
      <c r="AU6994" s="6">
        <v>42250</v>
      </c>
      <c r="AV6994" s="6">
        <v>42250</v>
      </c>
      <c r="AW6994" t="s">
        <v>54</v>
      </c>
      <c r="AX6994" t="str">
        <f t="shared" si="575"/>
        <v>FOR</v>
      </c>
      <c r="AY6994" t="s">
        <v>55</v>
      </c>
    </row>
    <row r="6995" spans="1:51" hidden="1">
      <c r="A6995">
        <v>104093</v>
      </c>
      <c r="B6995" t="s">
        <v>1210</v>
      </c>
      <c r="C6995" t="str">
        <f t="shared" si="573"/>
        <v>06032681006</v>
      </c>
      <c r="D6995" t="str">
        <f t="shared" si="574"/>
        <v>12572900152</v>
      </c>
      <c r="E6995" t="s">
        <v>52</v>
      </c>
      <c r="F6995">
        <v>2014</v>
      </c>
      <c r="G6995">
        <v>25201577</v>
      </c>
      <c r="H6995" s="1">
        <v>41904</v>
      </c>
      <c r="I6995" s="1">
        <v>41921</v>
      </c>
      <c r="J6995" s="1">
        <v>41921</v>
      </c>
      <c r="K6995" s="1">
        <v>42011</v>
      </c>
      <c r="N6995" s="5"/>
      <c r="O6995">
        <v>936</v>
      </c>
      <c r="P6995">
        <v>239</v>
      </c>
      <c r="Q6995" s="2">
        <v>223704</v>
      </c>
      <c r="R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 s="1">
        <v>42382</v>
      </c>
      <c r="AC6995" t="s">
        <v>53</v>
      </c>
      <c r="AD6995" t="s">
        <v>53</v>
      </c>
      <c r="AK6995">
        <v>0</v>
      </c>
      <c r="AU6995" s="6">
        <v>42250</v>
      </c>
      <c r="AV6995" s="6">
        <v>42250</v>
      </c>
      <c r="AW6995" t="s">
        <v>54</v>
      </c>
      <c r="AX6995" t="str">
        <f t="shared" si="575"/>
        <v>FOR</v>
      </c>
      <c r="AY6995" t="s">
        <v>55</v>
      </c>
    </row>
    <row r="6996" spans="1:51" hidden="1">
      <c r="A6996">
        <v>104093</v>
      </c>
      <c r="B6996" t="s">
        <v>1210</v>
      </c>
      <c r="C6996" t="str">
        <f t="shared" si="573"/>
        <v>06032681006</v>
      </c>
      <c r="D6996" t="str">
        <f t="shared" si="574"/>
        <v>12572900152</v>
      </c>
      <c r="E6996" t="s">
        <v>52</v>
      </c>
      <c r="F6996">
        <v>2014</v>
      </c>
      <c r="G6996">
        <v>25201578</v>
      </c>
      <c r="H6996" s="1">
        <v>41904</v>
      </c>
      <c r="I6996" s="1">
        <v>41921</v>
      </c>
      <c r="J6996" s="1">
        <v>41921</v>
      </c>
      <c r="K6996" s="1">
        <v>42011</v>
      </c>
      <c r="N6996" s="5"/>
      <c r="O6996">
        <v>936</v>
      </c>
      <c r="P6996">
        <v>239</v>
      </c>
      <c r="Q6996" s="2">
        <v>223704</v>
      </c>
      <c r="R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 s="1">
        <v>42382</v>
      </c>
      <c r="AC6996" t="s">
        <v>53</v>
      </c>
      <c r="AD6996" t="s">
        <v>53</v>
      </c>
      <c r="AK6996">
        <v>0</v>
      </c>
      <c r="AU6996" s="6">
        <v>42250</v>
      </c>
      <c r="AV6996" s="6">
        <v>42250</v>
      </c>
      <c r="AW6996" t="s">
        <v>54</v>
      </c>
      <c r="AX6996" t="str">
        <f t="shared" si="575"/>
        <v>FOR</v>
      </c>
      <c r="AY6996" t="s">
        <v>55</v>
      </c>
    </row>
    <row r="6997" spans="1:51" hidden="1">
      <c r="A6997">
        <v>104093</v>
      </c>
      <c r="B6997" t="s">
        <v>1210</v>
      </c>
      <c r="C6997" t="str">
        <f t="shared" si="573"/>
        <v>06032681006</v>
      </c>
      <c r="D6997" t="str">
        <f t="shared" si="574"/>
        <v>12572900152</v>
      </c>
      <c r="E6997" t="s">
        <v>52</v>
      </c>
      <c r="F6997">
        <v>2014</v>
      </c>
      <c r="G6997">
        <v>25201579</v>
      </c>
      <c r="H6997" s="1">
        <v>41904</v>
      </c>
      <c r="I6997" s="1">
        <v>41921</v>
      </c>
      <c r="J6997" s="1">
        <v>41921</v>
      </c>
      <c r="K6997" s="1">
        <v>42011</v>
      </c>
      <c r="N6997" s="5"/>
      <c r="O6997">
        <v>936</v>
      </c>
      <c r="P6997">
        <v>239</v>
      </c>
      <c r="Q6997" s="2">
        <v>223704</v>
      </c>
      <c r="R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 s="1">
        <v>42382</v>
      </c>
      <c r="AC6997" t="s">
        <v>53</v>
      </c>
      <c r="AD6997" t="s">
        <v>53</v>
      </c>
      <c r="AK6997">
        <v>0</v>
      </c>
      <c r="AU6997" s="6">
        <v>42250</v>
      </c>
      <c r="AV6997" s="6">
        <v>42250</v>
      </c>
      <c r="AW6997" t="s">
        <v>54</v>
      </c>
      <c r="AX6997" t="str">
        <f t="shared" si="575"/>
        <v>FOR</v>
      </c>
      <c r="AY6997" t="s">
        <v>55</v>
      </c>
    </row>
    <row r="6998" spans="1:51" hidden="1">
      <c r="A6998">
        <v>104093</v>
      </c>
      <c r="B6998" t="s">
        <v>1210</v>
      </c>
      <c r="C6998" t="str">
        <f t="shared" si="573"/>
        <v>06032681006</v>
      </c>
      <c r="D6998" t="str">
        <f t="shared" si="574"/>
        <v>12572900152</v>
      </c>
      <c r="E6998" t="s">
        <v>52</v>
      </c>
      <c r="F6998">
        <v>2014</v>
      </c>
      <c r="G6998">
        <v>25201580</v>
      </c>
      <c r="H6998" s="1">
        <v>41904</v>
      </c>
      <c r="I6998" s="1">
        <v>41921</v>
      </c>
      <c r="J6998" s="1">
        <v>41921</v>
      </c>
      <c r="K6998" s="1">
        <v>42011</v>
      </c>
      <c r="N6998" s="5"/>
      <c r="O6998">
        <v>936</v>
      </c>
      <c r="P6998">
        <v>239</v>
      </c>
      <c r="Q6998" s="2">
        <v>223704</v>
      </c>
      <c r="R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 s="1">
        <v>42382</v>
      </c>
      <c r="AC6998" t="s">
        <v>53</v>
      </c>
      <c r="AD6998" t="s">
        <v>53</v>
      </c>
      <c r="AK6998">
        <v>0</v>
      </c>
      <c r="AU6998" s="6">
        <v>42250</v>
      </c>
      <c r="AV6998" s="6">
        <v>42250</v>
      </c>
      <c r="AW6998" t="s">
        <v>54</v>
      </c>
      <c r="AX6998" t="str">
        <f t="shared" si="575"/>
        <v>FOR</v>
      </c>
      <c r="AY6998" t="s">
        <v>55</v>
      </c>
    </row>
    <row r="6999" spans="1:51" hidden="1">
      <c r="A6999">
        <v>104093</v>
      </c>
      <c r="B6999" t="s">
        <v>1210</v>
      </c>
      <c r="C6999" t="str">
        <f t="shared" si="573"/>
        <v>06032681006</v>
      </c>
      <c r="D6999" t="str">
        <f t="shared" si="574"/>
        <v>12572900152</v>
      </c>
      <c r="E6999" t="s">
        <v>52</v>
      </c>
      <c r="F6999">
        <v>2014</v>
      </c>
      <c r="G6999">
        <v>25201581</v>
      </c>
      <c r="H6999" s="1">
        <v>41904</v>
      </c>
      <c r="I6999" s="1">
        <v>41921</v>
      </c>
      <c r="J6999" s="1">
        <v>41921</v>
      </c>
      <c r="K6999" s="1">
        <v>42011</v>
      </c>
      <c r="N6999" s="5"/>
      <c r="O6999">
        <v>936</v>
      </c>
      <c r="P6999">
        <v>239</v>
      </c>
      <c r="Q6999" s="2">
        <v>223704</v>
      </c>
      <c r="R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 s="1">
        <v>42382</v>
      </c>
      <c r="AC6999" t="s">
        <v>53</v>
      </c>
      <c r="AD6999" t="s">
        <v>53</v>
      </c>
      <c r="AK6999">
        <v>0</v>
      </c>
      <c r="AU6999" s="6">
        <v>42250</v>
      </c>
      <c r="AV6999" s="6">
        <v>42250</v>
      </c>
      <c r="AW6999" t="s">
        <v>54</v>
      </c>
      <c r="AX6999" t="str">
        <f t="shared" si="575"/>
        <v>FOR</v>
      </c>
      <c r="AY6999" t="s">
        <v>55</v>
      </c>
    </row>
    <row r="7000" spans="1:51" hidden="1">
      <c r="A7000">
        <v>104093</v>
      </c>
      <c r="B7000" t="s">
        <v>1210</v>
      </c>
      <c r="C7000" t="str">
        <f t="shared" si="573"/>
        <v>06032681006</v>
      </c>
      <c r="D7000" t="str">
        <f t="shared" si="574"/>
        <v>12572900152</v>
      </c>
      <c r="E7000" t="s">
        <v>52</v>
      </c>
      <c r="F7000">
        <v>2014</v>
      </c>
      <c r="G7000">
        <v>25201582</v>
      </c>
      <c r="H7000" s="1">
        <v>41904</v>
      </c>
      <c r="I7000" s="1">
        <v>41921</v>
      </c>
      <c r="J7000" s="1">
        <v>41921</v>
      </c>
      <c r="K7000" s="1">
        <v>42011</v>
      </c>
      <c r="N7000" s="5"/>
      <c r="O7000">
        <v>936</v>
      </c>
      <c r="P7000">
        <v>239</v>
      </c>
      <c r="Q7000" s="2">
        <v>223704</v>
      </c>
      <c r="R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 s="1">
        <v>42382</v>
      </c>
      <c r="AC7000" t="s">
        <v>53</v>
      </c>
      <c r="AD7000" t="s">
        <v>53</v>
      </c>
      <c r="AK7000">
        <v>0</v>
      </c>
      <c r="AU7000" s="6">
        <v>42250</v>
      </c>
      <c r="AV7000" s="6">
        <v>42250</v>
      </c>
      <c r="AW7000" t="s">
        <v>54</v>
      </c>
      <c r="AX7000" t="str">
        <f t="shared" si="575"/>
        <v>FOR</v>
      </c>
      <c r="AY7000" t="s">
        <v>55</v>
      </c>
    </row>
    <row r="7001" spans="1:51" hidden="1">
      <c r="A7001">
        <v>104093</v>
      </c>
      <c r="B7001" t="s">
        <v>1210</v>
      </c>
      <c r="C7001" t="str">
        <f t="shared" si="573"/>
        <v>06032681006</v>
      </c>
      <c r="D7001" t="str">
        <f t="shared" si="574"/>
        <v>12572900152</v>
      </c>
      <c r="E7001" t="s">
        <v>52</v>
      </c>
      <c r="F7001">
        <v>2014</v>
      </c>
      <c r="G7001">
        <v>25201583</v>
      </c>
      <c r="H7001" s="1">
        <v>41904</v>
      </c>
      <c r="I7001" s="1">
        <v>41921</v>
      </c>
      <c r="J7001" s="1">
        <v>41921</v>
      </c>
      <c r="K7001" s="1">
        <v>42011</v>
      </c>
      <c r="N7001" s="5"/>
      <c r="O7001">
        <v>936</v>
      </c>
      <c r="P7001">
        <v>239</v>
      </c>
      <c r="Q7001" s="2">
        <v>223704</v>
      </c>
      <c r="R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 s="1">
        <v>42382</v>
      </c>
      <c r="AC7001" t="s">
        <v>53</v>
      </c>
      <c r="AD7001" t="s">
        <v>53</v>
      </c>
      <c r="AK7001">
        <v>0</v>
      </c>
      <c r="AU7001" s="6">
        <v>42250</v>
      </c>
      <c r="AV7001" s="6">
        <v>42250</v>
      </c>
      <c r="AW7001" t="s">
        <v>54</v>
      </c>
      <c r="AX7001" t="str">
        <f t="shared" si="575"/>
        <v>FOR</v>
      </c>
      <c r="AY7001" t="s">
        <v>55</v>
      </c>
    </row>
    <row r="7002" spans="1:51" hidden="1">
      <c r="A7002">
        <v>104093</v>
      </c>
      <c r="B7002" t="s">
        <v>1210</v>
      </c>
      <c r="C7002" t="str">
        <f t="shared" si="573"/>
        <v>06032681006</v>
      </c>
      <c r="D7002" t="str">
        <f t="shared" si="574"/>
        <v>12572900152</v>
      </c>
      <c r="E7002" t="s">
        <v>52</v>
      </c>
      <c r="F7002">
        <v>2014</v>
      </c>
      <c r="G7002">
        <v>25201584</v>
      </c>
      <c r="H7002" s="1">
        <v>41904</v>
      </c>
      <c r="I7002" s="1">
        <v>41921</v>
      </c>
      <c r="J7002" s="1">
        <v>41921</v>
      </c>
      <c r="K7002" s="1">
        <v>42011</v>
      </c>
      <c r="N7002" s="5"/>
      <c r="O7002">
        <v>936</v>
      </c>
      <c r="P7002">
        <v>239</v>
      </c>
      <c r="Q7002" s="2">
        <v>223704</v>
      </c>
      <c r="R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 s="1">
        <v>42382</v>
      </c>
      <c r="AC7002" t="s">
        <v>53</v>
      </c>
      <c r="AD7002" t="s">
        <v>53</v>
      </c>
      <c r="AK7002">
        <v>0</v>
      </c>
      <c r="AU7002" s="6">
        <v>42250</v>
      </c>
      <c r="AV7002" s="6">
        <v>42250</v>
      </c>
      <c r="AW7002" t="s">
        <v>54</v>
      </c>
      <c r="AX7002" t="str">
        <f t="shared" si="575"/>
        <v>FOR</v>
      </c>
      <c r="AY7002" t="s">
        <v>55</v>
      </c>
    </row>
    <row r="7003" spans="1:51" hidden="1">
      <c r="A7003">
        <v>104093</v>
      </c>
      <c r="B7003" t="s">
        <v>1210</v>
      </c>
      <c r="C7003" t="str">
        <f t="shared" si="573"/>
        <v>06032681006</v>
      </c>
      <c r="D7003" t="str">
        <f t="shared" si="574"/>
        <v>12572900152</v>
      </c>
      <c r="E7003" t="s">
        <v>52</v>
      </c>
      <c r="F7003">
        <v>2014</v>
      </c>
      <c r="G7003">
        <v>25201585</v>
      </c>
      <c r="H7003" s="1">
        <v>41904</v>
      </c>
      <c r="I7003" s="1">
        <v>41921</v>
      </c>
      <c r="J7003" s="1">
        <v>41921</v>
      </c>
      <c r="K7003" s="1">
        <v>42011</v>
      </c>
      <c r="N7003" s="5"/>
      <c r="O7003">
        <v>74.88</v>
      </c>
      <c r="P7003">
        <v>239</v>
      </c>
      <c r="Q7003" s="2">
        <v>17896.32</v>
      </c>
      <c r="R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 s="1">
        <v>42382</v>
      </c>
      <c r="AC7003" t="s">
        <v>53</v>
      </c>
      <c r="AD7003" t="s">
        <v>53</v>
      </c>
      <c r="AK7003">
        <v>0</v>
      </c>
      <c r="AU7003" s="6">
        <v>42250</v>
      </c>
      <c r="AV7003" s="6">
        <v>42250</v>
      </c>
      <c r="AW7003" t="s">
        <v>54</v>
      </c>
      <c r="AX7003" t="str">
        <f t="shared" si="575"/>
        <v>FOR</v>
      </c>
      <c r="AY7003" t="s">
        <v>55</v>
      </c>
    </row>
    <row r="7004" spans="1:51" hidden="1">
      <c r="A7004">
        <v>104093</v>
      </c>
      <c r="B7004" t="s">
        <v>1210</v>
      </c>
      <c r="C7004" t="str">
        <f t="shared" si="573"/>
        <v>06032681006</v>
      </c>
      <c r="D7004" t="str">
        <f t="shared" si="574"/>
        <v>12572900152</v>
      </c>
      <c r="E7004" t="s">
        <v>52</v>
      </c>
      <c r="F7004">
        <v>2014</v>
      </c>
      <c r="G7004">
        <v>25201586</v>
      </c>
      <c r="H7004" s="1">
        <v>41904</v>
      </c>
      <c r="I7004" s="1">
        <v>41921</v>
      </c>
      <c r="J7004" s="1">
        <v>41921</v>
      </c>
      <c r="K7004" s="1">
        <v>42011</v>
      </c>
      <c r="N7004" s="5"/>
      <c r="O7004">
        <v>252.72</v>
      </c>
      <c r="P7004">
        <v>239</v>
      </c>
      <c r="Q7004" s="2">
        <v>60400.08</v>
      </c>
      <c r="R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 s="1">
        <v>42382</v>
      </c>
      <c r="AC7004" t="s">
        <v>53</v>
      </c>
      <c r="AD7004" t="s">
        <v>53</v>
      </c>
      <c r="AK7004">
        <v>0</v>
      </c>
      <c r="AU7004" s="6">
        <v>42250</v>
      </c>
      <c r="AV7004" s="6">
        <v>42250</v>
      </c>
      <c r="AW7004" t="s">
        <v>54</v>
      </c>
      <c r="AX7004" t="str">
        <f t="shared" si="575"/>
        <v>FOR</v>
      </c>
      <c r="AY7004" t="s">
        <v>55</v>
      </c>
    </row>
    <row r="7005" spans="1:51" hidden="1">
      <c r="A7005">
        <v>104093</v>
      </c>
      <c r="B7005" t="s">
        <v>1210</v>
      </c>
      <c r="C7005" t="str">
        <f t="shared" ref="C7005:C7068" si="576">"06032681006"</f>
        <v>06032681006</v>
      </c>
      <c r="D7005" t="str">
        <f t="shared" ref="D7005:D7068" si="577">"12572900152"</f>
        <v>12572900152</v>
      </c>
      <c r="E7005" t="s">
        <v>52</v>
      </c>
      <c r="F7005">
        <v>2014</v>
      </c>
      <c r="G7005">
        <v>25201723</v>
      </c>
      <c r="H7005" s="1">
        <v>41904</v>
      </c>
      <c r="I7005" s="1">
        <v>41921</v>
      </c>
      <c r="J7005" s="1">
        <v>41921</v>
      </c>
      <c r="K7005" s="1">
        <v>42011</v>
      </c>
      <c r="N7005" s="5"/>
      <c r="O7005">
        <v>174.72</v>
      </c>
      <c r="P7005">
        <v>239</v>
      </c>
      <c r="Q7005" s="2">
        <v>41758.080000000002</v>
      </c>
      <c r="R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 s="1">
        <v>42382</v>
      </c>
      <c r="AC7005" t="s">
        <v>53</v>
      </c>
      <c r="AD7005" t="s">
        <v>53</v>
      </c>
      <c r="AK7005">
        <v>0</v>
      </c>
      <c r="AU7005" s="6">
        <v>42250</v>
      </c>
      <c r="AV7005" s="6">
        <v>42250</v>
      </c>
      <c r="AW7005" t="s">
        <v>54</v>
      </c>
      <c r="AX7005" t="str">
        <f t="shared" si="575"/>
        <v>FOR</v>
      </c>
      <c r="AY7005" t="s">
        <v>55</v>
      </c>
    </row>
    <row r="7006" spans="1:51" hidden="1">
      <c r="A7006">
        <v>104093</v>
      </c>
      <c r="B7006" t="s">
        <v>1210</v>
      </c>
      <c r="C7006" t="str">
        <f t="shared" si="576"/>
        <v>06032681006</v>
      </c>
      <c r="D7006" t="str">
        <f t="shared" si="577"/>
        <v>12572900152</v>
      </c>
      <c r="E7006" t="s">
        <v>52</v>
      </c>
      <c r="F7006">
        <v>2014</v>
      </c>
      <c r="G7006">
        <v>25201834</v>
      </c>
      <c r="H7006" s="1">
        <v>41905</v>
      </c>
      <c r="I7006" s="1">
        <v>41921</v>
      </c>
      <c r="J7006" s="1">
        <v>41921</v>
      </c>
      <c r="K7006" s="1">
        <v>42011</v>
      </c>
      <c r="N7006" s="5"/>
      <c r="O7006">
        <v>936</v>
      </c>
      <c r="P7006">
        <v>239</v>
      </c>
      <c r="Q7006" s="2">
        <v>223704</v>
      </c>
      <c r="R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 s="1">
        <v>42382</v>
      </c>
      <c r="AC7006" t="s">
        <v>53</v>
      </c>
      <c r="AD7006" t="s">
        <v>53</v>
      </c>
      <c r="AK7006">
        <v>0</v>
      </c>
      <c r="AU7006" s="6">
        <v>42250</v>
      </c>
      <c r="AV7006" s="6">
        <v>42250</v>
      </c>
      <c r="AW7006" t="s">
        <v>54</v>
      </c>
      <c r="AX7006" t="str">
        <f t="shared" si="575"/>
        <v>FOR</v>
      </c>
      <c r="AY7006" t="s">
        <v>55</v>
      </c>
    </row>
    <row r="7007" spans="1:51" hidden="1">
      <c r="A7007">
        <v>104093</v>
      </c>
      <c r="B7007" t="s">
        <v>1210</v>
      </c>
      <c r="C7007" t="str">
        <f t="shared" si="576"/>
        <v>06032681006</v>
      </c>
      <c r="D7007" t="str">
        <f t="shared" si="577"/>
        <v>12572900152</v>
      </c>
      <c r="E7007" t="s">
        <v>52</v>
      </c>
      <c r="F7007">
        <v>2014</v>
      </c>
      <c r="G7007">
        <v>25201835</v>
      </c>
      <c r="H7007" s="1">
        <v>41905</v>
      </c>
      <c r="I7007" s="1">
        <v>41921</v>
      </c>
      <c r="J7007" s="1">
        <v>41921</v>
      </c>
      <c r="K7007" s="1">
        <v>42011</v>
      </c>
      <c r="N7007" s="5"/>
      <c r="O7007">
        <v>936</v>
      </c>
      <c r="P7007">
        <v>239</v>
      </c>
      <c r="Q7007" s="2">
        <v>223704</v>
      </c>
      <c r="R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 s="1">
        <v>42382</v>
      </c>
      <c r="AC7007" t="s">
        <v>53</v>
      </c>
      <c r="AD7007" t="s">
        <v>53</v>
      </c>
      <c r="AK7007">
        <v>0</v>
      </c>
      <c r="AU7007" s="6">
        <v>42250</v>
      </c>
      <c r="AV7007" s="6">
        <v>42250</v>
      </c>
      <c r="AW7007" t="s">
        <v>54</v>
      </c>
      <c r="AX7007" t="str">
        <f t="shared" si="575"/>
        <v>FOR</v>
      </c>
      <c r="AY7007" t="s">
        <v>55</v>
      </c>
    </row>
    <row r="7008" spans="1:51" hidden="1">
      <c r="A7008">
        <v>104093</v>
      </c>
      <c r="B7008" t="s">
        <v>1210</v>
      </c>
      <c r="C7008" t="str">
        <f t="shared" si="576"/>
        <v>06032681006</v>
      </c>
      <c r="D7008" t="str">
        <f t="shared" si="577"/>
        <v>12572900152</v>
      </c>
      <c r="E7008" t="s">
        <v>52</v>
      </c>
      <c r="F7008">
        <v>2014</v>
      </c>
      <c r="G7008">
        <v>25201836</v>
      </c>
      <c r="H7008" s="1">
        <v>41905</v>
      </c>
      <c r="I7008" s="1">
        <v>41921</v>
      </c>
      <c r="J7008" s="1">
        <v>41921</v>
      </c>
      <c r="K7008" s="1">
        <v>42011</v>
      </c>
      <c r="N7008" s="5"/>
      <c r="O7008">
        <v>936</v>
      </c>
      <c r="P7008">
        <v>239</v>
      </c>
      <c r="Q7008" s="2">
        <v>223704</v>
      </c>
      <c r="R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 s="1">
        <v>42382</v>
      </c>
      <c r="AC7008" t="s">
        <v>53</v>
      </c>
      <c r="AD7008" t="s">
        <v>53</v>
      </c>
      <c r="AK7008">
        <v>0</v>
      </c>
      <c r="AU7008" s="6">
        <v>42250</v>
      </c>
      <c r="AV7008" s="6">
        <v>42250</v>
      </c>
      <c r="AW7008" t="s">
        <v>54</v>
      </c>
      <c r="AX7008" t="str">
        <f t="shared" si="575"/>
        <v>FOR</v>
      </c>
      <c r="AY7008" t="s">
        <v>55</v>
      </c>
    </row>
    <row r="7009" spans="1:51" hidden="1">
      <c r="A7009">
        <v>104093</v>
      </c>
      <c r="B7009" t="s">
        <v>1210</v>
      </c>
      <c r="C7009" t="str">
        <f t="shared" si="576"/>
        <v>06032681006</v>
      </c>
      <c r="D7009" t="str">
        <f t="shared" si="577"/>
        <v>12572900152</v>
      </c>
      <c r="E7009" t="s">
        <v>52</v>
      </c>
      <c r="F7009">
        <v>2014</v>
      </c>
      <c r="G7009">
        <v>25201838</v>
      </c>
      <c r="H7009" s="1">
        <v>41905</v>
      </c>
      <c r="I7009" s="1">
        <v>41921</v>
      </c>
      <c r="J7009" s="1">
        <v>41921</v>
      </c>
      <c r="K7009" s="1">
        <v>42011</v>
      </c>
      <c r="N7009" s="5"/>
      <c r="O7009">
        <v>707.62</v>
      </c>
      <c r="P7009">
        <v>239</v>
      </c>
      <c r="Q7009" s="2">
        <v>169121.18</v>
      </c>
      <c r="R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 s="1">
        <v>42382</v>
      </c>
      <c r="AC7009" t="s">
        <v>53</v>
      </c>
      <c r="AD7009" t="s">
        <v>53</v>
      </c>
      <c r="AK7009">
        <v>0</v>
      </c>
      <c r="AU7009" s="6">
        <v>42250</v>
      </c>
      <c r="AV7009" s="6">
        <v>42250</v>
      </c>
      <c r="AW7009" t="s">
        <v>54</v>
      </c>
      <c r="AX7009" t="str">
        <f t="shared" si="575"/>
        <v>FOR</v>
      </c>
      <c r="AY7009" t="s">
        <v>55</v>
      </c>
    </row>
    <row r="7010" spans="1:51" hidden="1">
      <c r="A7010">
        <v>104093</v>
      </c>
      <c r="B7010" t="s">
        <v>1210</v>
      </c>
      <c r="C7010" t="str">
        <f t="shared" si="576"/>
        <v>06032681006</v>
      </c>
      <c r="D7010" t="str">
        <f t="shared" si="577"/>
        <v>12572900152</v>
      </c>
      <c r="E7010" t="s">
        <v>52</v>
      </c>
      <c r="F7010">
        <v>2014</v>
      </c>
      <c r="G7010">
        <v>25201960</v>
      </c>
      <c r="H7010" s="1">
        <v>41905</v>
      </c>
      <c r="I7010" s="1">
        <v>41921</v>
      </c>
      <c r="J7010" s="1">
        <v>41921</v>
      </c>
      <c r="K7010" s="1">
        <v>42011</v>
      </c>
      <c r="N7010" s="5"/>
      <c r="O7010">
        <v>702</v>
      </c>
      <c r="P7010">
        <v>239</v>
      </c>
      <c r="Q7010" s="2">
        <v>167778</v>
      </c>
      <c r="R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 s="1">
        <v>42382</v>
      </c>
      <c r="AC7010" t="s">
        <v>53</v>
      </c>
      <c r="AD7010" t="s">
        <v>53</v>
      </c>
      <c r="AK7010">
        <v>0</v>
      </c>
      <c r="AU7010" s="6">
        <v>42250</v>
      </c>
      <c r="AV7010" s="6">
        <v>42250</v>
      </c>
      <c r="AW7010" t="s">
        <v>54</v>
      </c>
      <c r="AX7010" t="str">
        <f t="shared" si="575"/>
        <v>FOR</v>
      </c>
      <c r="AY7010" t="s">
        <v>55</v>
      </c>
    </row>
    <row r="7011" spans="1:51" hidden="1">
      <c r="A7011">
        <v>104093</v>
      </c>
      <c r="B7011" t="s">
        <v>1210</v>
      </c>
      <c r="C7011" t="str">
        <f t="shared" si="576"/>
        <v>06032681006</v>
      </c>
      <c r="D7011" t="str">
        <f t="shared" si="577"/>
        <v>12572900152</v>
      </c>
      <c r="E7011" t="s">
        <v>52</v>
      </c>
      <c r="F7011">
        <v>2014</v>
      </c>
      <c r="G7011">
        <v>25202090</v>
      </c>
      <c r="H7011" s="1">
        <v>41906</v>
      </c>
      <c r="I7011" s="1">
        <v>41921</v>
      </c>
      <c r="J7011" s="1">
        <v>41921</v>
      </c>
      <c r="K7011" s="1">
        <v>42011</v>
      </c>
      <c r="N7011" s="5"/>
      <c r="O7011">
        <v>936</v>
      </c>
      <c r="P7011">
        <v>239</v>
      </c>
      <c r="Q7011" s="2">
        <v>223704</v>
      </c>
      <c r="R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 s="1">
        <v>42382</v>
      </c>
      <c r="AC7011" t="s">
        <v>53</v>
      </c>
      <c r="AD7011" t="s">
        <v>53</v>
      </c>
      <c r="AK7011">
        <v>0</v>
      </c>
      <c r="AU7011" s="6">
        <v>42250</v>
      </c>
      <c r="AV7011" s="6">
        <v>42250</v>
      </c>
      <c r="AW7011" t="s">
        <v>54</v>
      </c>
      <c r="AX7011" t="str">
        <f t="shared" si="575"/>
        <v>FOR</v>
      </c>
      <c r="AY7011" t="s">
        <v>55</v>
      </c>
    </row>
    <row r="7012" spans="1:51" hidden="1">
      <c r="A7012">
        <v>104093</v>
      </c>
      <c r="B7012" t="s">
        <v>1210</v>
      </c>
      <c r="C7012" t="str">
        <f t="shared" si="576"/>
        <v>06032681006</v>
      </c>
      <c r="D7012" t="str">
        <f t="shared" si="577"/>
        <v>12572900152</v>
      </c>
      <c r="E7012" t="s">
        <v>52</v>
      </c>
      <c r="F7012">
        <v>2014</v>
      </c>
      <c r="G7012">
        <v>25203216</v>
      </c>
      <c r="H7012" s="1">
        <v>41912</v>
      </c>
      <c r="I7012" s="1">
        <v>41932</v>
      </c>
      <c r="J7012" s="1">
        <v>41932</v>
      </c>
      <c r="K7012" s="1">
        <v>41992</v>
      </c>
      <c r="N7012" s="5"/>
      <c r="O7012">
        <v>936</v>
      </c>
      <c r="P7012">
        <v>258</v>
      </c>
      <c r="Q7012" s="2">
        <v>241488</v>
      </c>
      <c r="R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 s="1">
        <v>42382</v>
      </c>
      <c r="AC7012" t="s">
        <v>53</v>
      </c>
      <c r="AD7012" t="s">
        <v>53</v>
      </c>
      <c r="AK7012">
        <v>0</v>
      </c>
      <c r="AU7012" s="6">
        <v>42250</v>
      </c>
      <c r="AV7012" s="6">
        <v>42250</v>
      </c>
      <c r="AW7012" t="s">
        <v>54</v>
      </c>
      <c r="AX7012" t="str">
        <f t="shared" si="575"/>
        <v>FOR</v>
      </c>
      <c r="AY7012" t="s">
        <v>55</v>
      </c>
    </row>
    <row r="7013" spans="1:51" hidden="1">
      <c r="A7013">
        <v>104093</v>
      </c>
      <c r="B7013" t="s">
        <v>1210</v>
      </c>
      <c r="C7013" t="str">
        <f t="shared" si="576"/>
        <v>06032681006</v>
      </c>
      <c r="D7013" t="str">
        <f t="shared" si="577"/>
        <v>12572900152</v>
      </c>
      <c r="E7013" t="s">
        <v>52</v>
      </c>
      <c r="F7013">
        <v>2014</v>
      </c>
      <c r="G7013">
        <v>25203217</v>
      </c>
      <c r="H7013" s="1">
        <v>41912</v>
      </c>
      <c r="I7013" s="1">
        <v>41932</v>
      </c>
      <c r="J7013" s="1">
        <v>41932</v>
      </c>
      <c r="K7013" s="1">
        <v>41992</v>
      </c>
      <c r="N7013" s="5"/>
      <c r="O7013">
        <v>936</v>
      </c>
      <c r="P7013">
        <v>258</v>
      </c>
      <c r="Q7013" s="2">
        <v>241488</v>
      </c>
      <c r="R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 s="1">
        <v>42382</v>
      </c>
      <c r="AC7013" t="s">
        <v>53</v>
      </c>
      <c r="AD7013" t="s">
        <v>53</v>
      </c>
      <c r="AK7013">
        <v>0</v>
      </c>
      <c r="AU7013" s="6">
        <v>42250</v>
      </c>
      <c r="AV7013" s="6">
        <v>42250</v>
      </c>
      <c r="AW7013" t="s">
        <v>54</v>
      </c>
      <c r="AX7013" t="str">
        <f t="shared" si="575"/>
        <v>FOR</v>
      </c>
      <c r="AY7013" t="s">
        <v>55</v>
      </c>
    </row>
    <row r="7014" spans="1:51" hidden="1">
      <c r="A7014">
        <v>104093</v>
      </c>
      <c r="B7014" t="s">
        <v>1210</v>
      </c>
      <c r="C7014" t="str">
        <f t="shared" si="576"/>
        <v>06032681006</v>
      </c>
      <c r="D7014" t="str">
        <f t="shared" si="577"/>
        <v>12572900152</v>
      </c>
      <c r="E7014" t="s">
        <v>52</v>
      </c>
      <c r="F7014">
        <v>2014</v>
      </c>
      <c r="G7014">
        <v>25203584</v>
      </c>
      <c r="H7014" s="1">
        <v>41913</v>
      </c>
      <c r="I7014" s="1">
        <v>41932</v>
      </c>
      <c r="J7014" s="1">
        <v>41932</v>
      </c>
      <c r="K7014" s="1">
        <v>41992</v>
      </c>
      <c r="N7014" s="5"/>
      <c r="O7014">
        <v>74.88</v>
      </c>
      <c r="P7014">
        <v>285</v>
      </c>
      <c r="Q7014" s="2">
        <v>21340.799999999999</v>
      </c>
      <c r="R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 s="1">
        <v>42382</v>
      </c>
      <c r="AC7014" t="s">
        <v>53</v>
      </c>
      <c r="AD7014" t="s">
        <v>53</v>
      </c>
      <c r="AK7014">
        <v>0</v>
      </c>
      <c r="AU7014" s="6">
        <v>42277</v>
      </c>
      <c r="AV7014" s="6">
        <v>42277</v>
      </c>
      <c r="AW7014" t="s">
        <v>54</v>
      </c>
      <c r="AX7014" t="str">
        <f t="shared" si="575"/>
        <v>FOR</v>
      </c>
      <c r="AY7014" t="s">
        <v>55</v>
      </c>
    </row>
    <row r="7015" spans="1:51" hidden="1">
      <c r="A7015">
        <v>104093</v>
      </c>
      <c r="B7015" t="s">
        <v>1210</v>
      </c>
      <c r="C7015" t="str">
        <f t="shared" si="576"/>
        <v>06032681006</v>
      </c>
      <c r="D7015" t="str">
        <f t="shared" si="577"/>
        <v>12572900152</v>
      </c>
      <c r="E7015" t="s">
        <v>52</v>
      </c>
      <c r="F7015">
        <v>2014</v>
      </c>
      <c r="G7015">
        <v>25203585</v>
      </c>
      <c r="H7015" s="1">
        <v>41913</v>
      </c>
      <c r="I7015" s="1">
        <v>41932</v>
      </c>
      <c r="J7015" s="1">
        <v>41932</v>
      </c>
      <c r="K7015" s="1">
        <v>41992</v>
      </c>
      <c r="N7015" s="5"/>
      <c r="O7015">
        <v>74.88</v>
      </c>
      <c r="P7015">
        <v>285</v>
      </c>
      <c r="Q7015" s="2">
        <v>21340.799999999999</v>
      </c>
      <c r="R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 s="1">
        <v>42382</v>
      </c>
      <c r="AC7015" t="s">
        <v>53</v>
      </c>
      <c r="AD7015" t="s">
        <v>53</v>
      </c>
      <c r="AK7015">
        <v>0</v>
      </c>
      <c r="AU7015" s="6">
        <v>42277</v>
      </c>
      <c r="AV7015" s="6">
        <v>42277</v>
      </c>
      <c r="AW7015" t="s">
        <v>54</v>
      </c>
      <c r="AX7015" t="str">
        <f t="shared" si="575"/>
        <v>FOR</v>
      </c>
      <c r="AY7015" t="s">
        <v>55</v>
      </c>
    </row>
    <row r="7016" spans="1:51" hidden="1">
      <c r="A7016">
        <v>104093</v>
      </c>
      <c r="B7016" t="s">
        <v>1210</v>
      </c>
      <c r="C7016" t="str">
        <f t="shared" si="576"/>
        <v>06032681006</v>
      </c>
      <c r="D7016" t="str">
        <f t="shared" si="577"/>
        <v>12572900152</v>
      </c>
      <c r="E7016" t="s">
        <v>52</v>
      </c>
      <c r="F7016">
        <v>2014</v>
      </c>
      <c r="G7016">
        <v>25203586</v>
      </c>
      <c r="H7016" s="1">
        <v>41913</v>
      </c>
      <c r="I7016" s="1">
        <v>41932</v>
      </c>
      <c r="J7016" s="1">
        <v>41932</v>
      </c>
      <c r="K7016" s="1">
        <v>41992</v>
      </c>
      <c r="N7016" s="5"/>
      <c r="O7016">
        <v>74.88</v>
      </c>
      <c r="P7016">
        <v>285</v>
      </c>
      <c r="Q7016" s="2">
        <v>21340.799999999999</v>
      </c>
      <c r="R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 s="1">
        <v>42382</v>
      </c>
      <c r="AC7016" t="s">
        <v>53</v>
      </c>
      <c r="AD7016" t="s">
        <v>53</v>
      </c>
      <c r="AK7016">
        <v>0</v>
      </c>
      <c r="AU7016" s="6">
        <v>42277</v>
      </c>
      <c r="AV7016" s="6">
        <v>42277</v>
      </c>
      <c r="AW7016" t="s">
        <v>54</v>
      </c>
      <c r="AX7016" t="str">
        <f t="shared" si="575"/>
        <v>FOR</v>
      </c>
      <c r="AY7016" t="s">
        <v>55</v>
      </c>
    </row>
    <row r="7017" spans="1:51" hidden="1">
      <c r="A7017">
        <v>104093</v>
      </c>
      <c r="B7017" t="s">
        <v>1210</v>
      </c>
      <c r="C7017" t="str">
        <f t="shared" si="576"/>
        <v>06032681006</v>
      </c>
      <c r="D7017" t="str">
        <f t="shared" si="577"/>
        <v>12572900152</v>
      </c>
      <c r="E7017" t="s">
        <v>52</v>
      </c>
      <c r="F7017">
        <v>2014</v>
      </c>
      <c r="G7017">
        <v>25203587</v>
      </c>
      <c r="H7017" s="1">
        <v>41913</v>
      </c>
      <c r="I7017" s="1">
        <v>41932</v>
      </c>
      <c r="J7017" s="1">
        <v>41932</v>
      </c>
      <c r="K7017" s="1">
        <v>41992</v>
      </c>
      <c r="N7017" s="5"/>
      <c r="O7017">
        <v>74.88</v>
      </c>
      <c r="P7017">
        <v>285</v>
      </c>
      <c r="Q7017" s="2">
        <v>21340.799999999999</v>
      </c>
      <c r="R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 s="1">
        <v>42382</v>
      </c>
      <c r="AC7017" t="s">
        <v>53</v>
      </c>
      <c r="AD7017" t="s">
        <v>53</v>
      </c>
      <c r="AK7017">
        <v>0</v>
      </c>
      <c r="AU7017" s="6">
        <v>42277</v>
      </c>
      <c r="AV7017" s="6">
        <v>42277</v>
      </c>
      <c r="AW7017" t="s">
        <v>54</v>
      </c>
      <c r="AX7017" t="str">
        <f t="shared" si="575"/>
        <v>FOR</v>
      </c>
      <c r="AY7017" t="s">
        <v>55</v>
      </c>
    </row>
    <row r="7018" spans="1:51" hidden="1">
      <c r="A7018">
        <v>104093</v>
      </c>
      <c r="B7018" t="s">
        <v>1210</v>
      </c>
      <c r="C7018" t="str">
        <f t="shared" si="576"/>
        <v>06032681006</v>
      </c>
      <c r="D7018" t="str">
        <f t="shared" si="577"/>
        <v>12572900152</v>
      </c>
      <c r="E7018" t="s">
        <v>52</v>
      </c>
      <c r="F7018">
        <v>2014</v>
      </c>
      <c r="G7018">
        <v>25203588</v>
      </c>
      <c r="H7018" s="1">
        <v>41913</v>
      </c>
      <c r="I7018" s="1">
        <v>41932</v>
      </c>
      <c r="J7018" s="1">
        <v>41932</v>
      </c>
      <c r="K7018" s="1">
        <v>41992</v>
      </c>
      <c r="N7018" s="5"/>
      <c r="O7018">
        <v>403.42</v>
      </c>
      <c r="P7018">
        <v>285</v>
      </c>
      <c r="Q7018" s="2">
        <v>114974.7</v>
      </c>
      <c r="R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 s="1">
        <v>42382</v>
      </c>
      <c r="AC7018" t="s">
        <v>53</v>
      </c>
      <c r="AD7018" t="s">
        <v>53</v>
      </c>
      <c r="AK7018">
        <v>0</v>
      </c>
      <c r="AU7018" s="6">
        <v>42277</v>
      </c>
      <c r="AV7018" s="6">
        <v>42277</v>
      </c>
      <c r="AW7018" t="s">
        <v>54</v>
      </c>
      <c r="AX7018" t="str">
        <f t="shared" si="575"/>
        <v>FOR</v>
      </c>
      <c r="AY7018" t="s">
        <v>55</v>
      </c>
    </row>
    <row r="7019" spans="1:51" hidden="1">
      <c r="A7019">
        <v>104093</v>
      </c>
      <c r="B7019" t="s">
        <v>1210</v>
      </c>
      <c r="C7019" t="str">
        <f t="shared" si="576"/>
        <v>06032681006</v>
      </c>
      <c r="D7019" t="str">
        <f t="shared" si="577"/>
        <v>12572900152</v>
      </c>
      <c r="E7019" t="s">
        <v>52</v>
      </c>
      <c r="F7019">
        <v>2014</v>
      </c>
      <c r="G7019">
        <v>25204039</v>
      </c>
      <c r="H7019" s="1">
        <v>41915</v>
      </c>
      <c r="I7019" s="1">
        <v>41932</v>
      </c>
      <c r="J7019" s="1">
        <v>41932</v>
      </c>
      <c r="K7019" s="1">
        <v>41992</v>
      </c>
      <c r="N7019" s="5"/>
      <c r="O7019" s="2">
        <v>10177.85</v>
      </c>
      <c r="P7019">
        <v>285</v>
      </c>
      <c r="Q7019" s="2">
        <v>2900687.25</v>
      </c>
      <c r="R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 s="1">
        <v>42382</v>
      </c>
      <c r="AC7019" t="s">
        <v>53</v>
      </c>
      <c r="AD7019" t="s">
        <v>53</v>
      </c>
      <c r="AK7019">
        <v>0</v>
      </c>
      <c r="AU7019" s="6">
        <v>42277</v>
      </c>
      <c r="AV7019" s="6">
        <v>42277</v>
      </c>
      <c r="AW7019" t="s">
        <v>54</v>
      </c>
      <c r="AX7019" t="str">
        <f t="shared" si="575"/>
        <v>FOR</v>
      </c>
      <c r="AY7019" t="s">
        <v>55</v>
      </c>
    </row>
    <row r="7020" spans="1:51" hidden="1">
      <c r="A7020">
        <v>104093</v>
      </c>
      <c r="B7020" t="s">
        <v>1210</v>
      </c>
      <c r="C7020" t="str">
        <f t="shared" si="576"/>
        <v>06032681006</v>
      </c>
      <c r="D7020" t="str">
        <f t="shared" si="577"/>
        <v>12572900152</v>
      </c>
      <c r="E7020" t="s">
        <v>52</v>
      </c>
      <c r="F7020">
        <v>2014</v>
      </c>
      <c r="G7020">
        <v>25204247</v>
      </c>
      <c r="H7020" s="1">
        <v>41918</v>
      </c>
      <c r="I7020" s="1">
        <v>41941</v>
      </c>
      <c r="J7020" s="1">
        <v>41941</v>
      </c>
      <c r="K7020" s="1">
        <v>42001</v>
      </c>
      <c r="N7020" s="5"/>
      <c r="O7020" s="2">
        <v>2180.36</v>
      </c>
      <c r="P7020">
        <v>276</v>
      </c>
      <c r="Q7020" s="2">
        <v>601779.36</v>
      </c>
      <c r="R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 s="1">
        <v>42382</v>
      </c>
      <c r="AC7020" t="s">
        <v>53</v>
      </c>
      <c r="AD7020" t="s">
        <v>53</v>
      </c>
      <c r="AK7020">
        <v>0</v>
      </c>
      <c r="AU7020" s="6">
        <v>42277</v>
      </c>
      <c r="AV7020" s="6">
        <v>42277</v>
      </c>
      <c r="AW7020" t="s">
        <v>54</v>
      </c>
      <c r="AX7020" t="str">
        <f t="shared" si="575"/>
        <v>FOR</v>
      </c>
      <c r="AY7020" t="s">
        <v>55</v>
      </c>
    </row>
    <row r="7021" spans="1:51" hidden="1">
      <c r="A7021">
        <v>104093</v>
      </c>
      <c r="B7021" t="s">
        <v>1210</v>
      </c>
      <c r="C7021" t="str">
        <f t="shared" si="576"/>
        <v>06032681006</v>
      </c>
      <c r="D7021" t="str">
        <f t="shared" si="577"/>
        <v>12572900152</v>
      </c>
      <c r="E7021" t="s">
        <v>52</v>
      </c>
      <c r="F7021">
        <v>2014</v>
      </c>
      <c r="G7021">
        <v>25204417</v>
      </c>
      <c r="H7021" s="1">
        <v>41919</v>
      </c>
      <c r="I7021" s="1">
        <v>41941</v>
      </c>
      <c r="J7021" s="1">
        <v>41941</v>
      </c>
      <c r="K7021" s="1">
        <v>42001</v>
      </c>
      <c r="N7021" s="5"/>
      <c r="O7021">
        <v>926.64</v>
      </c>
      <c r="P7021">
        <v>276</v>
      </c>
      <c r="Q7021" s="2">
        <v>255752.64</v>
      </c>
      <c r="R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 s="1">
        <v>42382</v>
      </c>
      <c r="AC7021" t="s">
        <v>53</v>
      </c>
      <c r="AD7021" t="s">
        <v>53</v>
      </c>
      <c r="AK7021">
        <v>0</v>
      </c>
      <c r="AU7021" s="6">
        <v>42277</v>
      </c>
      <c r="AV7021" s="6">
        <v>42277</v>
      </c>
      <c r="AW7021" t="s">
        <v>54</v>
      </c>
      <c r="AX7021" t="str">
        <f t="shared" si="575"/>
        <v>FOR</v>
      </c>
      <c r="AY7021" t="s">
        <v>55</v>
      </c>
    </row>
    <row r="7022" spans="1:51" hidden="1">
      <c r="A7022">
        <v>104093</v>
      </c>
      <c r="B7022" t="s">
        <v>1210</v>
      </c>
      <c r="C7022" t="str">
        <f t="shared" si="576"/>
        <v>06032681006</v>
      </c>
      <c r="D7022" t="str">
        <f t="shared" si="577"/>
        <v>12572900152</v>
      </c>
      <c r="E7022" t="s">
        <v>52</v>
      </c>
      <c r="F7022">
        <v>2014</v>
      </c>
      <c r="G7022">
        <v>25204418</v>
      </c>
      <c r="H7022" s="1">
        <v>41919</v>
      </c>
      <c r="I7022" s="1">
        <v>41941</v>
      </c>
      <c r="J7022" s="1">
        <v>41941</v>
      </c>
      <c r="K7022" s="1">
        <v>42001</v>
      </c>
      <c r="N7022" s="5"/>
      <c r="O7022">
        <v>252.72</v>
      </c>
      <c r="P7022">
        <v>276</v>
      </c>
      <c r="Q7022" s="2">
        <v>69750.720000000001</v>
      </c>
      <c r="R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 s="1">
        <v>42382</v>
      </c>
      <c r="AC7022" t="s">
        <v>53</v>
      </c>
      <c r="AD7022" t="s">
        <v>53</v>
      </c>
      <c r="AK7022">
        <v>0</v>
      </c>
      <c r="AU7022" s="6">
        <v>42277</v>
      </c>
      <c r="AV7022" s="6">
        <v>42277</v>
      </c>
      <c r="AW7022" t="s">
        <v>54</v>
      </c>
      <c r="AX7022" t="str">
        <f t="shared" si="575"/>
        <v>FOR</v>
      </c>
      <c r="AY7022" t="s">
        <v>55</v>
      </c>
    </row>
    <row r="7023" spans="1:51" hidden="1">
      <c r="A7023">
        <v>104093</v>
      </c>
      <c r="B7023" t="s">
        <v>1210</v>
      </c>
      <c r="C7023" t="str">
        <f t="shared" si="576"/>
        <v>06032681006</v>
      </c>
      <c r="D7023" t="str">
        <f t="shared" si="577"/>
        <v>12572900152</v>
      </c>
      <c r="E7023" t="s">
        <v>52</v>
      </c>
      <c r="F7023">
        <v>2014</v>
      </c>
      <c r="G7023">
        <v>25204419</v>
      </c>
      <c r="H7023" s="1">
        <v>41919</v>
      </c>
      <c r="I7023" s="1">
        <v>41941</v>
      </c>
      <c r="J7023" s="1">
        <v>41941</v>
      </c>
      <c r="K7023" s="1">
        <v>42001</v>
      </c>
      <c r="N7023" s="5"/>
      <c r="O7023">
        <v>74.88</v>
      </c>
      <c r="P7023">
        <v>276</v>
      </c>
      <c r="Q7023" s="2">
        <v>20666.88</v>
      </c>
      <c r="R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 s="1">
        <v>42382</v>
      </c>
      <c r="AC7023" t="s">
        <v>53</v>
      </c>
      <c r="AD7023" t="s">
        <v>53</v>
      </c>
      <c r="AK7023">
        <v>0</v>
      </c>
      <c r="AU7023" s="6">
        <v>42277</v>
      </c>
      <c r="AV7023" s="6">
        <v>42277</v>
      </c>
      <c r="AW7023" t="s">
        <v>54</v>
      </c>
      <c r="AX7023" t="str">
        <f t="shared" si="575"/>
        <v>FOR</v>
      </c>
      <c r="AY7023" t="s">
        <v>55</v>
      </c>
    </row>
    <row r="7024" spans="1:51" hidden="1">
      <c r="A7024">
        <v>104093</v>
      </c>
      <c r="B7024" t="s">
        <v>1210</v>
      </c>
      <c r="C7024" t="str">
        <f t="shared" si="576"/>
        <v>06032681006</v>
      </c>
      <c r="D7024" t="str">
        <f t="shared" si="577"/>
        <v>12572900152</v>
      </c>
      <c r="E7024" t="s">
        <v>52</v>
      </c>
      <c r="F7024">
        <v>2014</v>
      </c>
      <c r="G7024">
        <v>25204420</v>
      </c>
      <c r="H7024" s="1">
        <v>41919</v>
      </c>
      <c r="I7024" s="1">
        <v>41941</v>
      </c>
      <c r="J7024" s="1">
        <v>41941</v>
      </c>
      <c r="K7024" s="1">
        <v>42001</v>
      </c>
      <c r="N7024" s="5"/>
      <c r="O7024">
        <v>74.88</v>
      </c>
      <c r="P7024">
        <v>276</v>
      </c>
      <c r="Q7024" s="2">
        <v>20666.88</v>
      </c>
      <c r="R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 s="1">
        <v>42382</v>
      </c>
      <c r="AC7024" t="s">
        <v>53</v>
      </c>
      <c r="AD7024" t="s">
        <v>53</v>
      </c>
      <c r="AK7024">
        <v>0</v>
      </c>
      <c r="AU7024" s="6">
        <v>42277</v>
      </c>
      <c r="AV7024" s="6">
        <v>42277</v>
      </c>
      <c r="AW7024" t="s">
        <v>54</v>
      </c>
      <c r="AX7024" t="str">
        <f t="shared" si="575"/>
        <v>FOR</v>
      </c>
      <c r="AY7024" t="s">
        <v>55</v>
      </c>
    </row>
    <row r="7025" spans="1:51" hidden="1">
      <c r="A7025">
        <v>104093</v>
      </c>
      <c r="B7025" t="s">
        <v>1210</v>
      </c>
      <c r="C7025" t="str">
        <f t="shared" si="576"/>
        <v>06032681006</v>
      </c>
      <c r="D7025" t="str">
        <f t="shared" si="577"/>
        <v>12572900152</v>
      </c>
      <c r="E7025" t="s">
        <v>52</v>
      </c>
      <c r="F7025">
        <v>2014</v>
      </c>
      <c r="G7025">
        <v>25204969</v>
      </c>
      <c r="H7025" s="1">
        <v>41921</v>
      </c>
      <c r="I7025" s="1">
        <v>41953</v>
      </c>
      <c r="J7025" s="1">
        <v>41953</v>
      </c>
      <c r="K7025" s="1">
        <v>42013</v>
      </c>
      <c r="N7025" s="5"/>
      <c r="O7025">
        <v>936</v>
      </c>
      <c r="P7025">
        <v>264</v>
      </c>
      <c r="Q7025" s="2">
        <v>247104</v>
      </c>
      <c r="R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 s="1">
        <v>42382</v>
      </c>
      <c r="AC7025" t="s">
        <v>53</v>
      </c>
      <c r="AD7025" t="s">
        <v>53</v>
      </c>
      <c r="AK7025">
        <v>0</v>
      </c>
      <c r="AU7025" s="6">
        <v>42277</v>
      </c>
      <c r="AV7025" s="6">
        <v>42277</v>
      </c>
      <c r="AW7025" t="s">
        <v>54</v>
      </c>
      <c r="AX7025" t="str">
        <f t="shared" si="575"/>
        <v>FOR</v>
      </c>
      <c r="AY7025" t="s">
        <v>55</v>
      </c>
    </row>
    <row r="7026" spans="1:51" hidden="1">
      <c r="A7026">
        <v>104093</v>
      </c>
      <c r="B7026" t="s">
        <v>1210</v>
      </c>
      <c r="C7026" t="str">
        <f t="shared" si="576"/>
        <v>06032681006</v>
      </c>
      <c r="D7026" t="str">
        <f t="shared" si="577"/>
        <v>12572900152</v>
      </c>
      <c r="E7026" t="s">
        <v>52</v>
      </c>
      <c r="F7026">
        <v>2014</v>
      </c>
      <c r="G7026">
        <v>25204970</v>
      </c>
      <c r="H7026" s="1">
        <v>41921</v>
      </c>
      <c r="I7026" s="1">
        <v>41941</v>
      </c>
      <c r="J7026" s="1">
        <v>41941</v>
      </c>
      <c r="K7026" s="1">
        <v>42001</v>
      </c>
      <c r="N7026" s="5"/>
      <c r="O7026">
        <v>936</v>
      </c>
      <c r="P7026">
        <v>276</v>
      </c>
      <c r="Q7026" s="2">
        <v>258336</v>
      </c>
      <c r="R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 s="1">
        <v>42382</v>
      </c>
      <c r="AC7026" t="s">
        <v>53</v>
      </c>
      <c r="AD7026" t="s">
        <v>53</v>
      </c>
      <c r="AK7026">
        <v>0</v>
      </c>
      <c r="AU7026" s="6">
        <v>42277</v>
      </c>
      <c r="AV7026" s="6">
        <v>42277</v>
      </c>
      <c r="AW7026" t="s">
        <v>54</v>
      </c>
      <c r="AX7026" t="str">
        <f t="shared" si="575"/>
        <v>FOR</v>
      </c>
      <c r="AY7026" t="s">
        <v>55</v>
      </c>
    </row>
    <row r="7027" spans="1:51" hidden="1">
      <c r="A7027">
        <v>104093</v>
      </c>
      <c r="B7027" t="s">
        <v>1210</v>
      </c>
      <c r="C7027" t="str">
        <f t="shared" si="576"/>
        <v>06032681006</v>
      </c>
      <c r="D7027" t="str">
        <f t="shared" si="577"/>
        <v>12572900152</v>
      </c>
      <c r="E7027" t="s">
        <v>52</v>
      </c>
      <c r="F7027">
        <v>2014</v>
      </c>
      <c r="G7027">
        <v>25205682</v>
      </c>
      <c r="H7027" s="1">
        <v>41926</v>
      </c>
      <c r="I7027" s="1">
        <v>41953</v>
      </c>
      <c r="J7027" s="1">
        <v>41953</v>
      </c>
      <c r="K7027" s="1">
        <v>42013</v>
      </c>
      <c r="N7027" s="5"/>
      <c r="O7027">
        <v>74.88</v>
      </c>
      <c r="P7027">
        <v>264</v>
      </c>
      <c r="Q7027" s="2">
        <v>19768.32</v>
      </c>
      <c r="R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 s="1">
        <v>42382</v>
      </c>
      <c r="AC7027" t="s">
        <v>53</v>
      </c>
      <c r="AD7027" t="s">
        <v>53</v>
      </c>
      <c r="AK7027">
        <v>0</v>
      </c>
      <c r="AU7027" s="6">
        <v>42277</v>
      </c>
      <c r="AV7027" s="6">
        <v>42277</v>
      </c>
      <c r="AW7027" t="s">
        <v>54</v>
      </c>
      <c r="AX7027" t="str">
        <f t="shared" si="575"/>
        <v>FOR</v>
      </c>
      <c r="AY7027" t="s">
        <v>55</v>
      </c>
    </row>
    <row r="7028" spans="1:51" hidden="1">
      <c r="A7028">
        <v>104093</v>
      </c>
      <c r="B7028" t="s">
        <v>1210</v>
      </c>
      <c r="C7028" t="str">
        <f t="shared" si="576"/>
        <v>06032681006</v>
      </c>
      <c r="D7028" t="str">
        <f t="shared" si="577"/>
        <v>12572900152</v>
      </c>
      <c r="E7028" t="s">
        <v>52</v>
      </c>
      <c r="F7028">
        <v>2014</v>
      </c>
      <c r="G7028">
        <v>25205683</v>
      </c>
      <c r="H7028" s="1">
        <v>41926</v>
      </c>
      <c r="I7028" s="1">
        <v>41953</v>
      </c>
      <c r="J7028" s="1">
        <v>41953</v>
      </c>
      <c r="K7028" s="1">
        <v>42013</v>
      </c>
      <c r="N7028" s="5"/>
      <c r="O7028">
        <v>74.88</v>
      </c>
      <c r="P7028">
        <v>264</v>
      </c>
      <c r="Q7028" s="2">
        <v>19768.32</v>
      </c>
      <c r="R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 s="1">
        <v>42382</v>
      </c>
      <c r="AC7028" t="s">
        <v>53</v>
      </c>
      <c r="AD7028" t="s">
        <v>53</v>
      </c>
      <c r="AK7028">
        <v>0</v>
      </c>
      <c r="AU7028" s="6">
        <v>42277</v>
      </c>
      <c r="AV7028" s="6">
        <v>42277</v>
      </c>
      <c r="AW7028" t="s">
        <v>54</v>
      </c>
      <c r="AX7028" t="str">
        <f t="shared" si="575"/>
        <v>FOR</v>
      </c>
      <c r="AY7028" t="s">
        <v>55</v>
      </c>
    </row>
    <row r="7029" spans="1:51" hidden="1">
      <c r="A7029">
        <v>104093</v>
      </c>
      <c r="B7029" t="s">
        <v>1210</v>
      </c>
      <c r="C7029" t="str">
        <f t="shared" si="576"/>
        <v>06032681006</v>
      </c>
      <c r="D7029" t="str">
        <f t="shared" si="577"/>
        <v>12572900152</v>
      </c>
      <c r="E7029" t="s">
        <v>52</v>
      </c>
      <c r="F7029">
        <v>2014</v>
      </c>
      <c r="G7029">
        <v>25205684</v>
      </c>
      <c r="H7029" s="1">
        <v>41926</v>
      </c>
      <c r="I7029" s="1">
        <v>41953</v>
      </c>
      <c r="J7029" s="1">
        <v>41953</v>
      </c>
      <c r="K7029" s="1">
        <v>42013</v>
      </c>
      <c r="N7029" s="5"/>
      <c r="O7029">
        <v>74.88</v>
      </c>
      <c r="P7029">
        <v>264</v>
      </c>
      <c r="Q7029" s="2">
        <v>19768.32</v>
      </c>
      <c r="R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 s="1">
        <v>42382</v>
      </c>
      <c r="AC7029" t="s">
        <v>53</v>
      </c>
      <c r="AD7029" t="s">
        <v>53</v>
      </c>
      <c r="AK7029">
        <v>0</v>
      </c>
      <c r="AU7029" s="6">
        <v>42277</v>
      </c>
      <c r="AV7029" s="6">
        <v>42277</v>
      </c>
      <c r="AW7029" t="s">
        <v>54</v>
      </c>
      <c r="AX7029" t="str">
        <f t="shared" si="575"/>
        <v>FOR</v>
      </c>
      <c r="AY7029" t="s">
        <v>55</v>
      </c>
    </row>
    <row r="7030" spans="1:51" hidden="1">
      <c r="A7030">
        <v>104093</v>
      </c>
      <c r="B7030" t="s">
        <v>1210</v>
      </c>
      <c r="C7030" t="str">
        <f t="shared" si="576"/>
        <v>06032681006</v>
      </c>
      <c r="D7030" t="str">
        <f t="shared" si="577"/>
        <v>12572900152</v>
      </c>
      <c r="E7030" t="s">
        <v>52</v>
      </c>
      <c r="F7030">
        <v>2014</v>
      </c>
      <c r="G7030">
        <v>25205685</v>
      </c>
      <c r="H7030" s="1">
        <v>41926</v>
      </c>
      <c r="I7030" s="1">
        <v>41953</v>
      </c>
      <c r="J7030" s="1">
        <v>41953</v>
      </c>
      <c r="K7030" s="1">
        <v>42013</v>
      </c>
      <c r="N7030" s="5"/>
      <c r="O7030">
        <v>403.42</v>
      </c>
      <c r="P7030">
        <v>264</v>
      </c>
      <c r="Q7030" s="2">
        <v>106502.88</v>
      </c>
      <c r="R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 s="1">
        <v>42382</v>
      </c>
      <c r="AC7030" t="s">
        <v>53</v>
      </c>
      <c r="AD7030" t="s">
        <v>53</v>
      </c>
      <c r="AK7030">
        <v>0</v>
      </c>
      <c r="AU7030" s="6">
        <v>42277</v>
      </c>
      <c r="AV7030" s="6">
        <v>42277</v>
      </c>
      <c r="AW7030" t="s">
        <v>54</v>
      </c>
      <c r="AX7030" t="str">
        <f t="shared" si="575"/>
        <v>FOR</v>
      </c>
      <c r="AY7030" t="s">
        <v>55</v>
      </c>
    </row>
    <row r="7031" spans="1:51" hidden="1">
      <c r="A7031">
        <v>104093</v>
      </c>
      <c r="B7031" t="s">
        <v>1210</v>
      </c>
      <c r="C7031" t="str">
        <f t="shared" si="576"/>
        <v>06032681006</v>
      </c>
      <c r="D7031" t="str">
        <f t="shared" si="577"/>
        <v>12572900152</v>
      </c>
      <c r="E7031" t="s">
        <v>52</v>
      </c>
      <c r="F7031">
        <v>2014</v>
      </c>
      <c r="G7031">
        <v>25205686</v>
      </c>
      <c r="H7031" s="1">
        <v>41926</v>
      </c>
      <c r="I7031" s="1">
        <v>41953</v>
      </c>
      <c r="J7031" s="1">
        <v>41953</v>
      </c>
      <c r="K7031" s="1">
        <v>42013</v>
      </c>
      <c r="N7031" s="5"/>
      <c r="O7031">
        <v>74.88</v>
      </c>
      <c r="P7031">
        <v>264</v>
      </c>
      <c r="Q7031" s="2">
        <v>19768.32</v>
      </c>
      <c r="R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 s="1">
        <v>42382</v>
      </c>
      <c r="AC7031" t="s">
        <v>53</v>
      </c>
      <c r="AD7031" t="s">
        <v>53</v>
      </c>
      <c r="AK7031">
        <v>0</v>
      </c>
      <c r="AU7031" s="6">
        <v>42277</v>
      </c>
      <c r="AV7031" s="6">
        <v>42277</v>
      </c>
      <c r="AW7031" t="s">
        <v>54</v>
      </c>
      <c r="AX7031" t="str">
        <f t="shared" si="575"/>
        <v>FOR</v>
      </c>
      <c r="AY7031" t="s">
        <v>55</v>
      </c>
    </row>
    <row r="7032" spans="1:51" hidden="1">
      <c r="A7032">
        <v>104093</v>
      </c>
      <c r="B7032" t="s">
        <v>1210</v>
      </c>
      <c r="C7032" t="str">
        <f t="shared" si="576"/>
        <v>06032681006</v>
      </c>
      <c r="D7032" t="str">
        <f t="shared" si="577"/>
        <v>12572900152</v>
      </c>
      <c r="E7032" t="s">
        <v>52</v>
      </c>
      <c r="F7032">
        <v>2014</v>
      </c>
      <c r="G7032">
        <v>25205771</v>
      </c>
      <c r="H7032" s="1">
        <v>41926</v>
      </c>
      <c r="I7032" s="1">
        <v>41953</v>
      </c>
      <c r="J7032" s="1">
        <v>41953</v>
      </c>
      <c r="K7032" s="1">
        <v>42013</v>
      </c>
      <c r="N7032" s="5"/>
      <c r="O7032">
        <v>645.84</v>
      </c>
      <c r="P7032">
        <v>264</v>
      </c>
      <c r="Q7032" s="2">
        <v>170501.76000000001</v>
      </c>
      <c r="R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 s="1">
        <v>42382</v>
      </c>
      <c r="AC7032" t="s">
        <v>53</v>
      </c>
      <c r="AD7032" t="s">
        <v>53</v>
      </c>
      <c r="AK7032">
        <v>0</v>
      </c>
      <c r="AU7032" s="6">
        <v>42277</v>
      </c>
      <c r="AV7032" s="6">
        <v>42277</v>
      </c>
      <c r="AW7032" t="s">
        <v>54</v>
      </c>
      <c r="AX7032" t="str">
        <f t="shared" si="575"/>
        <v>FOR</v>
      </c>
      <c r="AY7032" t="s">
        <v>55</v>
      </c>
    </row>
    <row r="7033" spans="1:51" hidden="1">
      <c r="A7033">
        <v>104093</v>
      </c>
      <c r="B7033" t="s">
        <v>1210</v>
      </c>
      <c r="C7033" t="str">
        <f t="shared" si="576"/>
        <v>06032681006</v>
      </c>
      <c r="D7033" t="str">
        <f t="shared" si="577"/>
        <v>12572900152</v>
      </c>
      <c r="E7033" t="s">
        <v>52</v>
      </c>
      <c r="F7033">
        <v>2014</v>
      </c>
      <c r="G7033">
        <v>25205896</v>
      </c>
      <c r="H7033" s="1">
        <v>41927</v>
      </c>
      <c r="I7033" s="1">
        <v>41939</v>
      </c>
      <c r="J7033" s="1">
        <v>41939</v>
      </c>
      <c r="K7033" s="1">
        <v>41999</v>
      </c>
      <c r="N7033" s="5"/>
      <c r="O7033">
        <v>74.88</v>
      </c>
      <c r="P7033">
        <v>278</v>
      </c>
      <c r="Q7033" s="2">
        <v>20816.64</v>
      </c>
      <c r="R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 s="1">
        <v>42382</v>
      </c>
      <c r="AC7033" t="s">
        <v>53</v>
      </c>
      <c r="AD7033" t="s">
        <v>53</v>
      </c>
      <c r="AK7033">
        <v>0</v>
      </c>
      <c r="AU7033" s="6">
        <v>42277</v>
      </c>
      <c r="AV7033" s="6">
        <v>42277</v>
      </c>
      <c r="AW7033" t="s">
        <v>54</v>
      </c>
      <c r="AX7033" t="str">
        <f t="shared" si="575"/>
        <v>FOR</v>
      </c>
      <c r="AY7033" t="s">
        <v>55</v>
      </c>
    </row>
    <row r="7034" spans="1:51" hidden="1">
      <c r="A7034">
        <v>104093</v>
      </c>
      <c r="B7034" t="s">
        <v>1210</v>
      </c>
      <c r="C7034" t="str">
        <f t="shared" si="576"/>
        <v>06032681006</v>
      </c>
      <c r="D7034" t="str">
        <f t="shared" si="577"/>
        <v>12572900152</v>
      </c>
      <c r="E7034" t="s">
        <v>52</v>
      </c>
      <c r="F7034">
        <v>2014</v>
      </c>
      <c r="G7034">
        <v>25205916</v>
      </c>
      <c r="H7034" s="1">
        <v>41927</v>
      </c>
      <c r="I7034" s="1">
        <v>41939</v>
      </c>
      <c r="J7034" s="1">
        <v>41939</v>
      </c>
      <c r="K7034" s="1">
        <v>41999</v>
      </c>
      <c r="N7034" s="5"/>
      <c r="O7034">
        <v>74.88</v>
      </c>
      <c r="P7034">
        <v>278</v>
      </c>
      <c r="Q7034" s="2">
        <v>20816.64</v>
      </c>
      <c r="R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 s="1">
        <v>42382</v>
      </c>
      <c r="AC7034" t="s">
        <v>53</v>
      </c>
      <c r="AD7034" t="s">
        <v>53</v>
      </c>
      <c r="AK7034">
        <v>0</v>
      </c>
      <c r="AU7034" s="6">
        <v>42277</v>
      </c>
      <c r="AV7034" s="6">
        <v>42277</v>
      </c>
      <c r="AW7034" t="s">
        <v>54</v>
      </c>
      <c r="AX7034" t="str">
        <f t="shared" si="575"/>
        <v>FOR</v>
      </c>
      <c r="AY7034" t="s">
        <v>55</v>
      </c>
    </row>
    <row r="7035" spans="1:51" hidden="1">
      <c r="A7035">
        <v>104093</v>
      </c>
      <c r="B7035" t="s">
        <v>1210</v>
      </c>
      <c r="C7035" t="str">
        <f t="shared" si="576"/>
        <v>06032681006</v>
      </c>
      <c r="D7035" t="str">
        <f t="shared" si="577"/>
        <v>12572900152</v>
      </c>
      <c r="E7035" t="s">
        <v>52</v>
      </c>
      <c r="F7035">
        <v>2014</v>
      </c>
      <c r="G7035">
        <v>25205917</v>
      </c>
      <c r="H7035" s="1">
        <v>41927</v>
      </c>
      <c r="I7035" s="1">
        <v>41939</v>
      </c>
      <c r="J7035" s="1">
        <v>41939</v>
      </c>
      <c r="K7035" s="1">
        <v>41999</v>
      </c>
      <c r="N7035" s="5"/>
      <c r="O7035">
        <v>403.42</v>
      </c>
      <c r="P7035">
        <v>278</v>
      </c>
      <c r="Q7035" s="2">
        <v>112150.76</v>
      </c>
      <c r="R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 s="1">
        <v>42382</v>
      </c>
      <c r="AC7035" t="s">
        <v>53</v>
      </c>
      <c r="AD7035" t="s">
        <v>53</v>
      </c>
      <c r="AK7035">
        <v>0</v>
      </c>
      <c r="AU7035" s="6">
        <v>42277</v>
      </c>
      <c r="AV7035" s="6">
        <v>42277</v>
      </c>
      <c r="AW7035" t="s">
        <v>54</v>
      </c>
      <c r="AX7035" t="str">
        <f t="shared" si="575"/>
        <v>FOR</v>
      </c>
      <c r="AY7035" t="s">
        <v>55</v>
      </c>
    </row>
    <row r="7036" spans="1:51" hidden="1">
      <c r="A7036">
        <v>104093</v>
      </c>
      <c r="B7036" t="s">
        <v>1210</v>
      </c>
      <c r="C7036" t="str">
        <f t="shared" si="576"/>
        <v>06032681006</v>
      </c>
      <c r="D7036" t="str">
        <f t="shared" si="577"/>
        <v>12572900152</v>
      </c>
      <c r="E7036" t="s">
        <v>52</v>
      </c>
      <c r="F7036">
        <v>2014</v>
      </c>
      <c r="G7036">
        <v>25205918</v>
      </c>
      <c r="H7036" s="1">
        <v>41927</v>
      </c>
      <c r="I7036" s="1">
        <v>41939</v>
      </c>
      <c r="J7036" s="1">
        <v>41939</v>
      </c>
      <c r="K7036" s="1">
        <v>41999</v>
      </c>
      <c r="N7036" s="5"/>
      <c r="O7036">
        <v>74.88</v>
      </c>
      <c r="P7036">
        <v>278</v>
      </c>
      <c r="Q7036" s="2">
        <v>20816.64</v>
      </c>
      <c r="R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 s="1">
        <v>42382</v>
      </c>
      <c r="AC7036" t="s">
        <v>53</v>
      </c>
      <c r="AD7036" t="s">
        <v>53</v>
      </c>
      <c r="AK7036">
        <v>0</v>
      </c>
      <c r="AU7036" s="6">
        <v>42277</v>
      </c>
      <c r="AV7036" s="6">
        <v>42277</v>
      </c>
      <c r="AW7036" t="s">
        <v>54</v>
      </c>
      <c r="AX7036" t="str">
        <f t="shared" si="575"/>
        <v>FOR</v>
      </c>
      <c r="AY7036" t="s">
        <v>55</v>
      </c>
    </row>
    <row r="7037" spans="1:51" hidden="1">
      <c r="A7037">
        <v>104093</v>
      </c>
      <c r="B7037" t="s">
        <v>1210</v>
      </c>
      <c r="C7037" t="str">
        <f t="shared" si="576"/>
        <v>06032681006</v>
      </c>
      <c r="D7037" t="str">
        <f t="shared" si="577"/>
        <v>12572900152</v>
      </c>
      <c r="E7037" t="s">
        <v>52</v>
      </c>
      <c r="F7037">
        <v>2014</v>
      </c>
      <c r="G7037">
        <v>25205919</v>
      </c>
      <c r="H7037" s="1">
        <v>41927</v>
      </c>
      <c r="I7037" s="1">
        <v>41939</v>
      </c>
      <c r="J7037" s="1">
        <v>41939</v>
      </c>
      <c r="K7037" s="1">
        <v>41999</v>
      </c>
      <c r="N7037" s="5"/>
      <c r="O7037">
        <v>74.88</v>
      </c>
      <c r="P7037">
        <v>278</v>
      </c>
      <c r="Q7037" s="2">
        <v>20816.64</v>
      </c>
      <c r="R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 s="1">
        <v>42382</v>
      </c>
      <c r="AC7037" t="s">
        <v>53</v>
      </c>
      <c r="AD7037" t="s">
        <v>53</v>
      </c>
      <c r="AK7037">
        <v>0</v>
      </c>
      <c r="AU7037" s="6">
        <v>42277</v>
      </c>
      <c r="AV7037" s="6">
        <v>42277</v>
      </c>
      <c r="AW7037" t="s">
        <v>54</v>
      </c>
      <c r="AX7037" t="str">
        <f t="shared" si="575"/>
        <v>FOR</v>
      </c>
      <c r="AY7037" t="s">
        <v>55</v>
      </c>
    </row>
    <row r="7038" spans="1:51" hidden="1">
      <c r="A7038">
        <v>104093</v>
      </c>
      <c r="B7038" t="s">
        <v>1210</v>
      </c>
      <c r="C7038" t="str">
        <f t="shared" si="576"/>
        <v>06032681006</v>
      </c>
      <c r="D7038" t="str">
        <f t="shared" si="577"/>
        <v>12572900152</v>
      </c>
      <c r="E7038" t="s">
        <v>52</v>
      </c>
      <c r="F7038">
        <v>2014</v>
      </c>
      <c r="G7038">
        <v>25205920</v>
      </c>
      <c r="H7038" s="1">
        <v>41927</v>
      </c>
      <c r="I7038" s="1">
        <v>41939</v>
      </c>
      <c r="J7038" s="1">
        <v>41939</v>
      </c>
      <c r="K7038" s="1">
        <v>41999</v>
      </c>
      <c r="N7038" s="5"/>
      <c r="O7038">
        <v>74.88</v>
      </c>
      <c r="P7038">
        <v>278</v>
      </c>
      <c r="Q7038" s="2">
        <v>20816.64</v>
      </c>
      <c r="R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 s="1">
        <v>42382</v>
      </c>
      <c r="AC7038" t="s">
        <v>53</v>
      </c>
      <c r="AD7038" t="s">
        <v>53</v>
      </c>
      <c r="AK7038">
        <v>0</v>
      </c>
      <c r="AU7038" s="6">
        <v>42277</v>
      </c>
      <c r="AV7038" s="6">
        <v>42277</v>
      </c>
      <c r="AW7038" t="s">
        <v>54</v>
      </c>
      <c r="AX7038" t="str">
        <f t="shared" si="575"/>
        <v>FOR</v>
      </c>
      <c r="AY7038" t="s">
        <v>55</v>
      </c>
    </row>
    <row r="7039" spans="1:51" hidden="1">
      <c r="A7039">
        <v>104093</v>
      </c>
      <c r="B7039" t="s">
        <v>1210</v>
      </c>
      <c r="C7039" t="str">
        <f t="shared" si="576"/>
        <v>06032681006</v>
      </c>
      <c r="D7039" t="str">
        <f t="shared" si="577"/>
        <v>12572900152</v>
      </c>
      <c r="E7039" t="s">
        <v>52</v>
      </c>
      <c r="F7039">
        <v>2014</v>
      </c>
      <c r="G7039">
        <v>25205921</v>
      </c>
      <c r="H7039" s="1">
        <v>41927</v>
      </c>
      <c r="I7039" s="1">
        <v>41939</v>
      </c>
      <c r="J7039" s="1">
        <v>41939</v>
      </c>
      <c r="K7039" s="1">
        <v>41999</v>
      </c>
      <c r="N7039" s="5"/>
      <c r="O7039">
        <v>926.64</v>
      </c>
      <c r="P7039">
        <v>278</v>
      </c>
      <c r="Q7039" s="2">
        <v>257605.92</v>
      </c>
      <c r="R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 s="1">
        <v>42382</v>
      </c>
      <c r="AC7039" t="s">
        <v>53</v>
      </c>
      <c r="AD7039" t="s">
        <v>53</v>
      </c>
      <c r="AK7039">
        <v>0</v>
      </c>
      <c r="AU7039" s="6">
        <v>42277</v>
      </c>
      <c r="AV7039" s="6">
        <v>42277</v>
      </c>
      <c r="AW7039" t="s">
        <v>54</v>
      </c>
      <c r="AX7039" t="str">
        <f t="shared" si="575"/>
        <v>FOR</v>
      </c>
      <c r="AY7039" t="s">
        <v>55</v>
      </c>
    </row>
    <row r="7040" spans="1:51" hidden="1">
      <c r="A7040">
        <v>104093</v>
      </c>
      <c r="B7040" t="s">
        <v>1210</v>
      </c>
      <c r="C7040" t="str">
        <f t="shared" si="576"/>
        <v>06032681006</v>
      </c>
      <c r="D7040" t="str">
        <f t="shared" si="577"/>
        <v>12572900152</v>
      </c>
      <c r="E7040" t="s">
        <v>52</v>
      </c>
      <c r="F7040">
        <v>2014</v>
      </c>
      <c r="G7040">
        <v>25205922</v>
      </c>
      <c r="H7040" s="1">
        <v>41927</v>
      </c>
      <c r="I7040" s="1">
        <v>41939</v>
      </c>
      <c r="J7040" s="1">
        <v>41939</v>
      </c>
      <c r="K7040" s="1">
        <v>41999</v>
      </c>
      <c r="N7040" s="5"/>
      <c r="O7040">
        <v>74.88</v>
      </c>
      <c r="P7040">
        <v>278</v>
      </c>
      <c r="Q7040" s="2">
        <v>20816.64</v>
      </c>
      <c r="R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 s="1">
        <v>42382</v>
      </c>
      <c r="AC7040" t="s">
        <v>53</v>
      </c>
      <c r="AD7040" t="s">
        <v>53</v>
      </c>
      <c r="AK7040">
        <v>0</v>
      </c>
      <c r="AU7040" s="6">
        <v>42277</v>
      </c>
      <c r="AV7040" s="6">
        <v>42277</v>
      </c>
      <c r="AW7040" t="s">
        <v>54</v>
      </c>
      <c r="AX7040" t="str">
        <f t="shared" si="575"/>
        <v>FOR</v>
      </c>
      <c r="AY7040" t="s">
        <v>55</v>
      </c>
    </row>
    <row r="7041" spans="1:51" hidden="1">
      <c r="A7041">
        <v>104093</v>
      </c>
      <c r="B7041" t="s">
        <v>1210</v>
      </c>
      <c r="C7041" t="str">
        <f t="shared" si="576"/>
        <v>06032681006</v>
      </c>
      <c r="D7041" t="str">
        <f t="shared" si="577"/>
        <v>12572900152</v>
      </c>
      <c r="E7041" t="s">
        <v>52</v>
      </c>
      <c r="F7041">
        <v>2014</v>
      </c>
      <c r="G7041">
        <v>25205923</v>
      </c>
      <c r="H7041" s="1">
        <v>41927</v>
      </c>
      <c r="I7041" s="1">
        <v>41939</v>
      </c>
      <c r="J7041" s="1">
        <v>41939</v>
      </c>
      <c r="K7041" s="1">
        <v>41999</v>
      </c>
      <c r="N7041" s="5"/>
      <c r="O7041">
        <v>74.88</v>
      </c>
      <c r="P7041">
        <v>278</v>
      </c>
      <c r="Q7041" s="2">
        <v>20816.64</v>
      </c>
      <c r="R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 s="1">
        <v>42382</v>
      </c>
      <c r="AC7041" t="s">
        <v>53</v>
      </c>
      <c r="AD7041" t="s">
        <v>53</v>
      </c>
      <c r="AK7041">
        <v>0</v>
      </c>
      <c r="AU7041" s="6">
        <v>42277</v>
      </c>
      <c r="AV7041" s="6">
        <v>42277</v>
      </c>
      <c r="AW7041" t="s">
        <v>54</v>
      </c>
      <c r="AX7041" t="str">
        <f t="shared" si="575"/>
        <v>FOR</v>
      </c>
      <c r="AY7041" t="s">
        <v>55</v>
      </c>
    </row>
    <row r="7042" spans="1:51" hidden="1">
      <c r="A7042">
        <v>104093</v>
      </c>
      <c r="B7042" t="s">
        <v>1210</v>
      </c>
      <c r="C7042" t="str">
        <f t="shared" si="576"/>
        <v>06032681006</v>
      </c>
      <c r="D7042" t="str">
        <f t="shared" si="577"/>
        <v>12572900152</v>
      </c>
      <c r="E7042" t="s">
        <v>52</v>
      </c>
      <c r="F7042">
        <v>2014</v>
      </c>
      <c r="G7042">
        <v>25205924</v>
      </c>
      <c r="H7042" s="1">
        <v>41927</v>
      </c>
      <c r="I7042" s="1">
        <v>41939</v>
      </c>
      <c r="J7042" s="1">
        <v>41939</v>
      </c>
      <c r="K7042" s="1">
        <v>41999</v>
      </c>
      <c r="N7042" s="5"/>
      <c r="O7042">
        <v>252.72</v>
      </c>
      <c r="P7042">
        <v>278</v>
      </c>
      <c r="Q7042" s="2">
        <v>70256.160000000003</v>
      </c>
      <c r="R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 s="1">
        <v>42382</v>
      </c>
      <c r="AC7042" t="s">
        <v>53</v>
      </c>
      <c r="AD7042" t="s">
        <v>53</v>
      </c>
      <c r="AK7042">
        <v>0</v>
      </c>
      <c r="AU7042" s="6">
        <v>42277</v>
      </c>
      <c r="AV7042" s="6">
        <v>42277</v>
      </c>
      <c r="AW7042" t="s">
        <v>54</v>
      </c>
      <c r="AX7042" t="str">
        <f t="shared" si="575"/>
        <v>FOR</v>
      </c>
      <c r="AY7042" t="s">
        <v>55</v>
      </c>
    </row>
    <row r="7043" spans="1:51" hidden="1">
      <c r="A7043">
        <v>104093</v>
      </c>
      <c r="B7043" t="s">
        <v>1210</v>
      </c>
      <c r="C7043" t="str">
        <f t="shared" si="576"/>
        <v>06032681006</v>
      </c>
      <c r="D7043" t="str">
        <f t="shared" si="577"/>
        <v>12572900152</v>
      </c>
      <c r="E7043" t="s">
        <v>52</v>
      </c>
      <c r="F7043">
        <v>2014</v>
      </c>
      <c r="G7043">
        <v>25206969</v>
      </c>
      <c r="H7043" s="1">
        <v>41933</v>
      </c>
      <c r="I7043" s="1">
        <v>41953</v>
      </c>
      <c r="J7043" s="1">
        <v>41953</v>
      </c>
      <c r="K7043" s="1">
        <v>42013</v>
      </c>
      <c r="N7043" s="5"/>
      <c r="O7043">
        <v>936</v>
      </c>
      <c r="P7043">
        <v>264</v>
      </c>
      <c r="Q7043" s="2">
        <v>247104</v>
      </c>
      <c r="R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 s="1">
        <v>42382</v>
      </c>
      <c r="AC7043" t="s">
        <v>53</v>
      </c>
      <c r="AD7043" t="s">
        <v>53</v>
      </c>
      <c r="AK7043">
        <v>0</v>
      </c>
      <c r="AU7043" s="6">
        <v>42277</v>
      </c>
      <c r="AV7043" s="6">
        <v>42277</v>
      </c>
      <c r="AW7043" t="s">
        <v>54</v>
      </c>
      <c r="AX7043" t="str">
        <f t="shared" ref="AX7043:AX7106" si="578">"FOR"</f>
        <v>FOR</v>
      </c>
      <c r="AY7043" t="s">
        <v>55</v>
      </c>
    </row>
    <row r="7044" spans="1:51" hidden="1">
      <c r="A7044">
        <v>104093</v>
      </c>
      <c r="B7044" t="s">
        <v>1210</v>
      </c>
      <c r="C7044" t="str">
        <f t="shared" si="576"/>
        <v>06032681006</v>
      </c>
      <c r="D7044" t="str">
        <f t="shared" si="577"/>
        <v>12572900152</v>
      </c>
      <c r="E7044" t="s">
        <v>52</v>
      </c>
      <c r="F7044">
        <v>2014</v>
      </c>
      <c r="G7044">
        <v>25206970</v>
      </c>
      <c r="H7044" s="1">
        <v>41933</v>
      </c>
      <c r="I7044" s="1">
        <v>41953</v>
      </c>
      <c r="J7044" s="1">
        <v>41953</v>
      </c>
      <c r="K7044" s="1">
        <v>42013</v>
      </c>
      <c r="N7044" s="5"/>
      <c r="O7044">
        <v>936</v>
      </c>
      <c r="P7044">
        <v>264</v>
      </c>
      <c r="Q7044" s="2">
        <v>247104</v>
      </c>
      <c r="R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 s="1">
        <v>42382</v>
      </c>
      <c r="AC7044" t="s">
        <v>53</v>
      </c>
      <c r="AD7044" t="s">
        <v>53</v>
      </c>
      <c r="AK7044">
        <v>0</v>
      </c>
      <c r="AU7044" s="6">
        <v>42277</v>
      </c>
      <c r="AV7044" s="6">
        <v>42277</v>
      </c>
      <c r="AW7044" t="s">
        <v>54</v>
      </c>
      <c r="AX7044" t="str">
        <f t="shared" si="578"/>
        <v>FOR</v>
      </c>
      <c r="AY7044" t="s">
        <v>55</v>
      </c>
    </row>
    <row r="7045" spans="1:51" hidden="1">
      <c r="A7045">
        <v>104093</v>
      </c>
      <c r="B7045" t="s">
        <v>1210</v>
      </c>
      <c r="C7045" t="str">
        <f t="shared" si="576"/>
        <v>06032681006</v>
      </c>
      <c r="D7045" t="str">
        <f t="shared" si="577"/>
        <v>12572900152</v>
      </c>
      <c r="E7045" t="s">
        <v>52</v>
      </c>
      <c r="F7045">
        <v>2014</v>
      </c>
      <c r="G7045">
        <v>25207330</v>
      </c>
      <c r="H7045" s="1">
        <v>41934</v>
      </c>
      <c r="I7045" s="1">
        <v>41953</v>
      </c>
      <c r="J7045" s="1">
        <v>41953</v>
      </c>
      <c r="K7045" s="1">
        <v>42013</v>
      </c>
      <c r="N7045" s="5"/>
      <c r="O7045">
        <v>707.62</v>
      </c>
      <c r="P7045">
        <v>264</v>
      </c>
      <c r="Q7045" s="2">
        <v>186811.68</v>
      </c>
      <c r="R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 s="1">
        <v>42382</v>
      </c>
      <c r="AC7045" t="s">
        <v>53</v>
      </c>
      <c r="AD7045" t="s">
        <v>53</v>
      </c>
      <c r="AK7045">
        <v>0</v>
      </c>
      <c r="AU7045" s="6">
        <v>42277</v>
      </c>
      <c r="AV7045" s="6">
        <v>42277</v>
      </c>
      <c r="AW7045" t="s">
        <v>54</v>
      </c>
      <c r="AX7045" t="str">
        <f t="shared" si="578"/>
        <v>FOR</v>
      </c>
      <c r="AY7045" t="s">
        <v>55</v>
      </c>
    </row>
    <row r="7046" spans="1:51" hidden="1">
      <c r="A7046">
        <v>104093</v>
      </c>
      <c r="B7046" t="s">
        <v>1210</v>
      </c>
      <c r="C7046" t="str">
        <f t="shared" si="576"/>
        <v>06032681006</v>
      </c>
      <c r="D7046" t="str">
        <f t="shared" si="577"/>
        <v>12572900152</v>
      </c>
      <c r="E7046" t="s">
        <v>52</v>
      </c>
      <c r="F7046">
        <v>2014</v>
      </c>
      <c r="G7046">
        <v>25207331</v>
      </c>
      <c r="H7046" s="1">
        <v>41934</v>
      </c>
      <c r="I7046" s="1">
        <v>41953</v>
      </c>
      <c r="J7046" s="1">
        <v>41953</v>
      </c>
      <c r="K7046" s="1">
        <v>42013</v>
      </c>
      <c r="N7046" s="5"/>
      <c r="O7046">
        <v>252.72</v>
      </c>
      <c r="P7046">
        <v>264</v>
      </c>
      <c r="Q7046" s="2">
        <v>66718.080000000002</v>
      </c>
      <c r="R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 s="1">
        <v>42382</v>
      </c>
      <c r="AC7046" t="s">
        <v>53</v>
      </c>
      <c r="AD7046" t="s">
        <v>53</v>
      </c>
      <c r="AK7046">
        <v>0</v>
      </c>
      <c r="AU7046" s="6">
        <v>42277</v>
      </c>
      <c r="AV7046" s="6">
        <v>42277</v>
      </c>
      <c r="AW7046" t="s">
        <v>54</v>
      </c>
      <c r="AX7046" t="str">
        <f t="shared" si="578"/>
        <v>FOR</v>
      </c>
      <c r="AY7046" t="s">
        <v>55</v>
      </c>
    </row>
    <row r="7047" spans="1:51" hidden="1">
      <c r="A7047">
        <v>104093</v>
      </c>
      <c r="B7047" t="s">
        <v>1210</v>
      </c>
      <c r="C7047" t="str">
        <f t="shared" si="576"/>
        <v>06032681006</v>
      </c>
      <c r="D7047" t="str">
        <f t="shared" si="577"/>
        <v>12572900152</v>
      </c>
      <c r="E7047" t="s">
        <v>52</v>
      </c>
      <c r="F7047">
        <v>2014</v>
      </c>
      <c r="G7047">
        <v>25207332</v>
      </c>
      <c r="H7047" s="1">
        <v>41934</v>
      </c>
      <c r="I7047" s="1">
        <v>41953</v>
      </c>
      <c r="J7047" s="1">
        <v>41953</v>
      </c>
      <c r="K7047" s="1">
        <v>42013</v>
      </c>
      <c r="N7047" s="5"/>
      <c r="O7047">
        <v>74.88</v>
      </c>
      <c r="P7047">
        <v>264</v>
      </c>
      <c r="Q7047" s="2">
        <v>19768.32</v>
      </c>
      <c r="R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 s="1">
        <v>42382</v>
      </c>
      <c r="AC7047" t="s">
        <v>53</v>
      </c>
      <c r="AD7047" t="s">
        <v>53</v>
      </c>
      <c r="AK7047">
        <v>0</v>
      </c>
      <c r="AU7047" s="6">
        <v>42277</v>
      </c>
      <c r="AV7047" s="6">
        <v>42277</v>
      </c>
      <c r="AW7047" t="s">
        <v>54</v>
      </c>
      <c r="AX7047" t="str">
        <f t="shared" si="578"/>
        <v>FOR</v>
      </c>
      <c r="AY7047" t="s">
        <v>55</v>
      </c>
    </row>
    <row r="7048" spans="1:51" hidden="1">
      <c r="A7048">
        <v>104093</v>
      </c>
      <c r="B7048" t="s">
        <v>1210</v>
      </c>
      <c r="C7048" t="str">
        <f t="shared" si="576"/>
        <v>06032681006</v>
      </c>
      <c r="D7048" t="str">
        <f t="shared" si="577"/>
        <v>12572900152</v>
      </c>
      <c r="E7048" t="s">
        <v>52</v>
      </c>
      <c r="F7048">
        <v>2014</v>
      </c>
      <c r="G7048">
        <v>25207333</v>
      </c>
      <c r="H7048" s="1">
        <v>41934</v>
      </c>
      <c r="I7048" s="1">
        <v>41953</v>
      </c>
      <c r="J7048" s="1">
        <v>41953</v>
      </c>
      <c r="K7048" s="1">
        <v>42013</v>
      </c>
      <c r="N7048" s="5"/>
      <c r="O7048">
        <v>707.62</v>
      </c>
      <c r="P7048">
        <v>264</v>
      </c>
      <c r="Q7048" s="2">
        <v>186811.68</v>
      </c>
      <c r="R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 s="1">
        <v>42382</v>
      </c>
      <c r="AC7048" t="s">
        <v>53</v>
      </c>
      <c r="AD7048" t="s">
        <v>53</v>
      </c>
      <c r="AK7048">
        <v>0</v>
      </c>
      <c r="AU7048" s="6">
        <v>42277</v>
      </c>
      <c r="AV7048" s="6">
        <v>42277</v>
      </c>
      <c r="AW7048" t="s">
        <v>54</v>
      </c>
      <c r="AX7048" t="str">
        <f t="shared" si="578"/>
        <v>FOR</v>
      </c>
      <c r="AY7048" t="s">
        <v>55</v>
      </c>
    </row>
    <row r="7049" spans="1:51" hidden="1">
      <c r="A7049">
        <v>104093</v>
      </c>
      <c r="B7049" t="s">
        <v>1210</v>
      </c>
      <c r="C7049" t="str">
        <f t="shared" si="576"/>
        <v>06032681006</v>
      </c>
      <c r="D7049" t="str">
        <f t="shared" si="577"/>
        <v>12572900152</v>
      </c>
      <c r="E7049" t="s">
        <v>52</v>
      </c>
      <c r="F7049">
        <v>2014</v>
      </c>
      <c r="G7049">
        <v>25207334</v>
      </c>
      <c r="H7049" s="1">
        <v>41934</v>
      </c>
      <c r="I7049" s="1">
        <v>41953</v>
      </c>
      <c r="J7049" s="1">
        <v>41953</v>
      </c>
      <c r="K7049" s="1">
        <v>42013</v>
      </c>
      <c r="N7049" s="5"/>
      <c r="O7049">
        <v>252.72</v>
      </c>
      <c r="P7049">
        <v>264</v>
      </c>
      <c r="Q7049" s="2">
        <v>66718.080000000002</v>
      </c>
      <c r="R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 s="1">
        <v>42382</v>
      </c>
      <c r="AC7049" t="s">
        <v>53</v>
      </c>
      <c r="AD7049" t="s">
        <v>53</v>
      </c>
      <c r="AK7049">
        <v>0</v>
      </c>
      <c r="AU7049" s="6">
        <v>42277</v>
      </c>
      <c r="AV7049" s="6">
        <v>42277</v>
      </c>
      <c r="AW7049" t="s">
        <v>54</v>
      </c>
      <c r="AX7049" t="str">
        <f t="shared" si="578"/>
        <v>FOR</v>
      </c>
      <c r="AY7049" t="s">
        <v>55</v>
      </c>
    </row>
    <row r="7050" spans="1:51" hidden="1">
      <c r="A7050">
        <v>104093</v>
      </c>
      <c r="B7050" t="s">
        <v>1210</v>
      </c>
      <c r="C7050" t="str">
        <f t="shared" si="576"/>
        <v>06032681006</v>
      </c>
      <c r="D7050" t="str">
        <f t="shared" si="577"/>
        <v>12572900152</v>
      </c>
      <c r="E7050" t="s">
        <v>52</v>
      </c>
      <c r="F7050">
        <v>2014</v>
      </c>
      <c r="G7050">
        <v>25207335</v>
      </c>
      <c r="H7050" s="1">
        <v>41934</v>
      </c>
      <c r="I7050" s="1">
        <v>41953</v>
      </c>
      <c r="J7050" s="1">
        <v>41953</v>
      </c>
      <c r="K7050" s="1">
        <v>42013</v>
      </c>
      <c r="N7050" s="5"/>
      <c r="O7050">
        <v>74.88</v>
      </c>
      <c r="P7050">
        <v>264</v>
      </c>
      <c r="Q7050" s="2">
        <v>19768.32</v>
      </c>
      <c r="R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 s="1">
        <v>42382</v>
      </c>
      <c r="AC7050" t="s">
        <v>53</v>
      </c>
      <c r="AD7050" t="s">
        <v>53</v>
      </c>
      <c r="AK7050">
        <v>0</v>
      </c>
      <c r="AU7050" s="6">
        <v>42277</v>
      </c>
      <c r="AV7050" s="6">
        <v>42277</v>
      </c>
      <c r="AW7050" t="s">
        <v>54</v>
      </c>
      <c r="AX7050" t="str">
        <f t="shared" si="578"/>
        <v>FOR</v>
      </c>
      <c r="AY7050" t="s">
        <v>55</v>
      </c>
    </row>
    <row r="7051" spans="1:51" hidden="1">
      <c r="A7051">
        <v>104093</v>
      </c>
      <c r="B7051" t="s">
        <v>1210</v>
      </c>
      <c r="C7051" t="str">
        <f t="shared" si="576"/>
        <v>06032681006</v>
      </c>
      <c r="D7051" t="str">
        <f t="shared" si="577"/>
        <v>12572900152</v>
      </c>
      <c r="E7051" t="s">
        <v>52</v>
      </c>
      <c r="F7051">
        <v>2014</v>
      </c>
      <c r="G7051">
        <v>25207336</v>
      </c>
      <c r="H7051" s="1">
        <v>41934</v>
      </c>
      <c r="I7051" s="1">
        <v>41953</v>
      </c>
      <c r="J7051" s="1">
        <v>41953</v>
      </c>
      <c r="K7051" s="1">
        <v>42013</v>
      </c>
      <c r="N7051" s="5"/>
      <c r="O7051">
        <v>74.88</v>
      </c>
      <c r="P7051">
        <v>264</v>
      </c>
      <c r="Q7051" s="2">
        <v>19768.32</v>
      </c>
      <c r="R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 s="1">
        <v>42382</v>
      </c>
      <c r="AC7051" t="s">
        <v>53</v>
      </c>
      <c r="AD7051" t="s">
        <v>53</v>
      </c>
      <c r="AK7051">
        <v>0</v>
      </c>
      <c r="AU7051" s="6">
        <v>42277</v>
      </c>
      <c r="AV7051" s="6">
        <v>42277</v>
      </c>
      <c r="AW7051" t="s">
        <v>54</v>
      </c>
      <c r="AX7051" t="str">
        <f t="shared" si="578"/>
        <v>FOR</v>
      </c>
      <c r="AY7051" t="s">
        <v>55</v>
      </c>
    </row>
    <row r="7052" spans="1:51" hidden="1">
      <c r="A7052">
        <v>104093</v>
      </c>
      <c r="B7052" t="s">
        <v>1210</v>
      </c>
      <c r="C7052" t="str">
        <f t="shared" si="576"/>
        <v>06032681006</v>
      </c>
      <c r="D7052" t="str">
        <f t="shared" si="577"/>
        <v>12572900152</v>
      </c>
      <c r="E7052" t="s">
        <v>52</v>
      </c>
      <c r="F7052">
        <v>2014</v>
      </c>
      <c r="G7052">
        <v>25207337</v>
      </c>
      <c r="H7052" s="1">
        <v>41934</v>
      </c>
      <c r="I7052" s="1">
        <v>41953</v>
      </c>
      <c r="J7052" s="1">
        <v>41953</v>
      </c>
      <c r="K7052" s="1">
        <v>42013</v>
      </c>
      <c r="N7052" s="5"/>
      <c r="O7052">
        <v>707.62</v>
      </c>
      <c r="P7052">
        <v>264</v>
      </c>
      <c r="Q7052" s="2">
        <v>186811.68</v>
      </c>
      <c r="R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 s="1">
        <v>42382</v>
      </c>
      <c r="AC7052" t="s">
        <v>53</v>
      </c>
      <c r="AD7052" t="s">
        <v>53</v>
      </c>
      <c r="AK7052">
        <v>0</v>
      </c>
      <c r="AU7052" s="6">
        <v>42277</v>
      </c>
      <c r="AV7052" s="6">
        <v>42277</v>
      </c>
      <c r="AW7052" t="s">
        <v>54</v>
      </c>
      <c r="AX7052" t="str">
        <f t="shared" si="578"/>
        <v>FOR</v>
      </c>
      <c r="AY7052" t="s">
        <v>55</v>
      </c>
    </row>
    <row r="7053" spans="1:51" hidden="1">
      <c r="A7053">
        <v>104093</v>
      </c>
      <c r="B7053" t="s">
        <v>1210</v>
      </c>
      <c r="C7053" t="str">
        <f t="shared" si="576"/>
        <v>06032681006</v>
      </c>
      <c r="D7053" t="str">
        <f t="shared" si="577"/>
        <v>12572900152</v>
      </c>
      <c r="E7053" t="s">
        <v>52</v>
      </c>
      <c r="F7053">
        <v>2014</v>
      </c>
      <c r="G7053">
        <v>25207338</v>
      </c>
      <c r="H7053" s="1">
        <v>41934</v>
      </c>
      <c r="I7053" s="1">
        <v>41953</v>
      </c>
      <c r="J7053" s="1">
        <v>41953</v>
      </c>
      <c r="K7053" s="1">
        <v>42013</v>
      </c>
      <c r="N7053" s="5"/>
      <c r="O7053">
        <v>252.72</v>
      </c>
      <c r="P7053">
        <v>264</v>
      </c>
      <c r="Q7053" s="2">
        <v>66718.080000000002</v>
      </c>
      <c r="R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 s="1">
        <v>42382</v>
      </c>
      <c r="AC7053" t="s">
        <v>53</v>
      </c>
      <c r="AD7053" t="s">
        <v>53</v>
      </c>
      <c r="AK7053">
        <v>0</v>
      </c>
      <c r="AU7053" s="6">
        <v>42277</v>
      </c>
      <c r="AV7053" s="6">
        <v>42277</v>
      </c>
      <c r="AW7053" t="s">
        <v>54</v>
      </c>
      <c r="AX7053" t="str">
        <f t="shared" si="578"/>
        <v>FOR</v>
      </c>
      <c r="AY7053" t="s">
        <v>55</v>
      </c>
    </row>
    <row r="7054" spans="1:51" hidden="1">
      <c r="A7054">
        <v>104093</v>
      </c>
      <c r="B7054" t="s">
        <v>1210</v>
      </c>
      <c r="C7054" t="str">
        <f t="shared" si="576"/>
        <v>06032681006</v>
      </c>
      <c r="D7054" t="str">
        <f t="shared" si="577"/>
        <v>12572900152</v>
      </c>
      <c r="E7054" t="s">
        <v>52</v>
      </c>
      <c r="F7054">
        <v>2014</v>
      </c>
      <c r="G7054">
        <v>25207357</v>
      </c>
      <c r="H7054" s="1">
        <v>41934</v>
      </c>
      <c r="I7054" s="1">
        <v>41953</v>
      </c>
      <c r="J7054" s="1">
        <v>41953</v>
      </c>
      <c r="K7054" s="1">
        <v>42013</v>
      </c>
      <c r="N7054" s="5"/>
      <c r="O7054">
        <v>936</v>
      </c>
      <c r="P7054">
        <v>264</v>
      </c>
      <c r="Q7054" s="2">
        <v>247104</v>
      </c>
      <c r="R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 s="1">
        <v>42382</v>
      </c>
      <c r="AC7054" t="s">
        <v>53</v>
      </c>
      <c r="AD7054" t="s">
        <v>53</v>
      </c>
      <c r="AK7054">
        <v>0</v>
      </c>
      <c r="AU7054" s="6">
        <v>42277</v>
      </c>
      <c r="AV7054" s="6">
        <v>42277</v>
      </c>
      <c r="AW7054" t="s">
        <v>54</v>
      </c>
      <c r="AX7054" t="str">
        <f t="shared" si="578"/>
        <v>FOR</v>
      </c>
      <c r="AY7054" t="s">
        <v>55</v>
      </c>
    </row>
    <row r="7055" spans="1:51" hidden="1">
      <c r="A7055">
        <v>104093</v>
      </c>
      <c r="B7055" t="s">
        <v>1210</v>
      </c>
      <c r="C7055" t="str">
        <f t="shared" si="576"/>
        <v>06032681006</v>
      </c>
      <c r="D7055" t="str">
        <f t="shared" si="577"/>
        <v>12572900152</v>
      </c>
      <c r="E7055" t="s">
        <v>52</v>
      </c>
      <c r="F7055">
        <v>2014</v>
      </c>
      <c r="G7055">
        <v>25207358</v>
      </c>
      <c r="H7055" s="1">
        <v>41934</v>
      </c>
      <c r="I7055" s="1">
        <v>41953</v>
      </c>
      <c r="J7055" s="1">
        <v>41953</v>
      </c>
      <c r="K7055" s="1">
        <v>42013</v>
      </c>
      <c r="N7055" s="5"/>
      <c r="O7055">
        <v>936</v>
      </c>
      <c r="P7055">
        <v>264</v>
      </c>
      <c r="Q7055" s="2">
        <v>247104</v>
      </c>
      <c r="R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 s="1">
        <v>42382</v>
      </c>
      <c r="AC7055" t="s">
        <v>53</v>
      </c>
      <c r="AD7055" t="s">
        <v>53</v>
      </c>
      <c r="AK7055">
        <v>0</v>
      </c>
      <c r="AU7055" s="6">
        <v>42277</v>
      </c>
      <c r="AV7055" s="6">
        <v>42277</v>
      </c>
      <c r="AW7055" t="s">
        <v>54</v>
      </c>
      <c r="AX7055" t="str">
        <f t="shared" si="578"/>
        <v>FOR</v>
      </c>
      <c r="AY7055" t="s">
        <v>55</v>
      </c>
    </row>
    <row r="7056" spans="1:51" hidden="1">
      <c r="A7056">
        <v>104093</v>
      </c>
      <c r="B7056" t="s">
        <v>1210</v>
      </c>
      <c r="C7056" t="str">
        <f t="shared" si="576"/>
        <v>06032681006</v>
      </c>
      <c r="D7056" t="str">
        <f t="shared" si="577"/>
        <v>12572900152</v>
      </c>
      <c r="E7056" t="s">
        <v>52</v>
      </c>
      <c r="F7056">
        <v>2014</v>
      </c>
      <c r="G7056">
        <v>25207359</v>
      </c>
      <c r="H7056" s="1">
        <v>41934</v>
      </c>
      <c r="I7056" s="1">
        <v>41953</v>
      </c>
      <c r="J7056" s="1">
        <v>41953</v>
      </c>
      <c r="K7056" s="1">
        <v>42013</v>
      </c>
      <c r="N7056" s="5"/>
      <c r="O7056">
        <v>936</v>
      </c>
      <c r="P7056">
        <v>264</v>
      </c>
      <c r="Q7056" s="2">
        <v>247104</v>
      </c>
      <c r="R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 s="1">
        <v>42382</v>
      </c>
      <c r="AC7056" t="s">
        <v>53</v>
      </c>
      <c r="AD7056" t="s">
        <v>53</v>
      </c>
      <c r="AK7056">
        <v>0</v>
      </c>
      <c r="AU7056" s="6">
        <v>42277</v>
      </c>
      <c r="AV7056" s="6">
        <v>42277</v>
      </c>
      <c r="AW7056" t="s">
        <v>54</v>
      </c>
      <c r="AX7056" t="str">
        <f t="shared" si="578"/>
        <v>FOR</v>
      </c>
      <c r="AY7056" t="s">
        <v>55</v>
      </c>
    </row>
    <row r="7057" spans="1:51" hidden="1">
      <c r="A7057">
        <v>104093</v>
      </c>
      <c r="B7057" t="s">
        <v>1210</v>
      </c>
      <c r="C7057" t="str">
        <f t="shared" si="576"/>
        <v>06032681006</v>
      </c>
      <c r="D7057" t="str">
        <f t="shared" si="577"/>
        <v>12572900152</v>
      </c>
      <c r="E7057" t="s">
        <v>52</v>
      </c>
      <c r="F7057">
        <v>2014</v>
      </c>
      <c r="G7057">
        <v>25207360</v>
      </c>
      <c r="H7057" s="1">
        <v>41934</v>
      </c>
      <c r="I7057" s="1">
        <v>41953</v>
      </c>
      <c r="J7057" s="1">
        <v>41953</v>
      </c>
      <c r="K7057" s="1">
        <v>42013</v>
      </c>
      <c r="N7057" s="5"/>
      <c r="O7057">
        <v>936</v>
      </c>
      <c r="P7057">
        <v>264</v>
      </c>
      <c r="Q7057" s="2">
        <v>247104</v>
      </c>
      <c r="R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 s="1">
        <v>42382</v>
      </c>
      <c r="AC7057" t="s">
        <v>53</v>
      </c>
      <c r="AD7057" t="s">
        <v>53</v>
      </c>
      <c r="AK7057">
        <v>0</v>
      </c>
      <c r="AU7057" s="6">
        <v>42277</v>
      </c>
      <c r="AV7057" s="6">
        <v>42277</v>
      </c>
      <c r="AW7057" t="s">
        <v>54</v>
      </c>
      <c r="AX7057" t="str">
        <f t="shared" si="578"/>
        <v>FOR</v>
      </c>
      <c r="AY7057" t="s">
        <v>55</v>
      </c>
    </row>
    <row r="7058" spans="1:51" hidden="1">
      <c r="A7058">
        <v>104093</v>
      </c>
      <c r="B7058" t="s">
        <v>1210</v>
      </c>
      <c r="C7058" t="str">
        <f t="shared" si="576"/>
        <v>06032681006</v>
      </c>
      <c r="D7058" t="str">
        <f t="shared" si="577"/>
        <v>12572900152</v>
      </c>
      <c r="E7058" t="s">
        <v>52</v>
      </c>
      <c r="F7058">
        <v>2014</v>
      </c>
      <c r="G7058">
        <v>25207361</v>
      </c>
      <c r="H7058" s="1">
        <v>41934</v>
      </c>
      <c r="I7058" s="1">
        <v>41953</v>
      </c>
      <c r="J7058" s="1">
        <v>41953</v>
      </c>
      <c r="K7058" s="1">
        <v>42013</v>
      </c>
      <c r="N7058" s="5"/>
      <c r="O7058">
        <v>936</v>
      </c>
      <c r="P7058">
        <v>264</v>
      </c>
      <c r="Q7058" s="2">
        <v>247104</v>
      </c>
      <c r="R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 s="1">
        <v>42382</v>
      </c>
      <c r="AC7058" t="s">
        <v>53</v>
      </c>
      <c r="AD7058" t="s">
        <v>53</v>
      </c>
      <c r="AK7058">
        <v>0</v>
      </c>
      <c r="AU7058" s="6">
        <v>42277</v>
      </c>
      <c r="AV7058" s="6">
        <v>42277</v>
      </c>
      <c r="AW7058" t="s">
        <v>54</v>
      </c>
      <c r="AX7058" t="str">
        <f t="shared" si="578"/>
        <v>FOR</v>
      </c>
      <c r="AY7058" t="s">
        <v>55</v>
      </c>
    </row>
    <row r="7059" spans="1:51" hidden="1">
      <c r="A7059">
        <v>104093</v>
      </c>
      <c r="B7059" t="s">
        <v>1210</v>
      </c>
      <c r="C7059" t="str">
        <f t="shared" si="576"/>
        <v>06032681006</v>
      </c>
      <c r="D7059" t="str">
        <f t="shared" si="577"/>
        <v>12572900152</v>
      </c>
      <c r="E7059" t="s">
        <v>52</v>
      </c>
      <c r="F7059">
        <v>2014</v>
      </c>
      <c r="G7059">
        <v>25207362</v>
      </c>
      <c r="H7059" s="1">
        <v>41934</v>
      </c>
      <c r="I7059" s="1">
        <v>41953</v>
      </c>
      <c r="J7059" s="1">
        <v>41953</v>
      </c>
      <c r="K7059" s="1">
        <v>42013</v>
      </c>
      <c r="N7059" s="5"/>
      <c r="O7059">
        <v>936</v>
      </c>
      <c r="P7059">
        <v>264</v>
      </c>
      <c r="Q7059" s="2">
        <v>247104</v>
      </c>
      <c r="R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 s="1">
        <v>42382</v>
      </c>
      <c r="AC7059" t="s">
        <v>53</v>
      </c>
      <c r="AD7059" t="s">
        <v>53</v>
      </c>
      <c r="AK7059">
        <v>0</v>
      </c>
      <c r="AU7059" s="6">
        <v>42277</v>
      </c>
      <c r="AV7059" s="6">
        <v>42277</v>
      </c>
      <c r="AW7059" t="s">
        <v>54</v>
      </c>
      <c r="AX7059" t="str">
        <f t="shared" si="578"/>
        <v>FOR</v>
      </c>
      <c r="AY7059" t="s">
        <v>55</v>
      </c>
    </row>
    <row r="7060" spans="1:51" hidden="1">
      <c r="A7060">
        <v>104093</v>
      </c>
      <c r="B7060" t="s">
        <v>1210</v>
      </c>
      <c r="C7060" t="str">
        <f t="shared" si="576"/>
        <v>06032681006</v>
      </c>
      <c r="D7060" t="str">
        <f t="shared" si="577"/>
        <v>12572900152</v>
      </c>
      <c r="E7060" t="s">
        <v>52</v>
      </c>
      <c r="F7060">
        <v>2014</v>
      </c>
      <c r="G7060">
        <v>25207363</v>
      </c>
      <c r="H7060" s="1">
        <v>41934</v>
      </c>
      <c r="I7060" s="1">
        <v>41953</v>
      </c>
      <c r="J7060" s="1">
        <v>41953</v>
      </c>
      <c r="K7060" s="1">
        <v>42013</v>
      </c>
      <c r="N7060" s="5"/>
      <c r="O7060">
        <v>936</v>
      </c>
      <c r="P7060">
        <v>264</v>
      </c>
      <c r="Q7060" s="2">
        <v>247104</v>
      </c>
      <c r="R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 s="1">
        <v>42382</v>
      </c>
      <c r="AC7060" t="s">
        <v>53</v>
      </c>
      <c r="AD7060" t="s">
        <v>53</v>
      </c>
      <c r="AK7060">
        <v>0</v>
      </c>
      <c r="AU7060" s="6">
        <v>42277</v>
      </c>
      <c r="AV7060" s="6">
        <v>42277</v>
      </c>
      <c r="AW7060" t="s">
        <v>54</v>
      </c>
      <c r="AX7060" t="str">
        <f t="shared" si="578"/>
        <v>FOR</v>
      </c>
      <c r="AY7060" t="s">
        <v>55</v>
      </c>
    </row>
    <row r="7061" spans="1:51" hidden="1">
      <c r="A7061">
        <v>104093</v>
      </c>
      <c r="B7061" t="s">
        <v>1210</v>
      </c>
      <c r="C7061" t="str">
        <f t="shared" si="576"/>
        <v>06032681006</v>
      </c>
      <c r="D7061" t="str">
        <f t="shared" si="577"/>
        <v>12572900152</v>
      </c>
      <c r="E7061" t="s">
        <v>52</v>
      </c>
      <c r="F7061">
        <v>2014</v>
      </c>
      <c r="G7061">
        <v>25208157</v>
      </c>
      <c r="H7061" s="1">
        <v>41939</v>
      </c>
      <c r="I7061" s="1">
        <v>41956</v>
      </c>
      <c r="J7061" s="1">
        <v>41956</v>
      </c>
      <c r="K7061" s="1">
        <v>42016</v>
      </c>
      <c r="N7061" s="5"/>
      <c r="O7061">
        <v>74.88</v>
      </c>
      <c r="P7061">
        <v>261</v>
      </c>
      <c r="Q7061" s="2">
        <v>19543.68</v>
      </c>
      <c r="R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 s="1">
        <v>42382</v>
      </c>
      <c r="AC7061" t="s">
        <v>53</v>
      </c>
      <c r="AD7061" t="s">
        <v>53</v>
      </c>
      <c r="AK7061">
        <v>0</v>
      </c>
      <c r="AU7061" s="6">
        <v>42277</v>
      </c>
      <c r="AV7061" s="6">
        <v>42277</v>
      </c>
      <c r="AW7061" t="s">
        <v>54</v>
      </c>
      <c r="AX7061" t="str">
        <f t="shared" si="578"/>
        <v>FOR</v>
      </c>
      <c r="AY7061" t="s">
        <v>55</v>
      </c>
    </row>
    <row r="7062" spans="1:51" hidden="1">
      <c r="A7062">
        <v>104093</v>
      </c>
      <c r="B7062" t="s">
        <v>1210</v>
      </c>
      <c r="C7062" t="str">
        <f t="shared" si="576"/>
        <v>06032681006</v>
      </c>
      <c r="D7062" t="str">
        <f t="shared" si="577"/>
        <v>12572900152</v>
      </c>
      <c r="E7062" t="s">
        <v>52</v>
      </c>
      <c r="F7062">
        <v>2014</v>
      </c>
      <c r="G7062">
        <v>25208158</v>
      </c>
      <c r="H7062" s="1">
        <v>41939</v>
      </c>
      <c r="I7062" s="1">
        <v>41956</v>
      </c>
      <c r="J7062" s="1">
        <v>41956</v>
      </c>
      <c r="K7062" s="1">
        <v>42016</v>
      </c>
      <c r="N7062" s="5"/>
      <c r="O7062">
        <v>707.62</v>
      </c>
      <c r="P7062">
        <v>261</v>
      </c>
      <c r="Q7062" s="2">
        <v>184688.82</v>
      </c>
      <c r="R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 s="1">
        <v>42382</v>
      </c>
      <c r="AC7062" t="s">
        <v>53</v>
      </c>
      <c r="AD7062" t="s">
        <v>53</v>
      </c>
      <c r="AK7062">
        <v>0</v>
      </c>
      <c r="AU7062" s="6">
        <v>42277</v>
      </c>
      <c r="AV7062" s="6">
        <v>42277</v>
      </c>
      <c r="AW7062" t="s">
        <v>54</v>
      </c>
      <c r="AX7062" t="str">
        <f t="shared" si="578"/>
        <v>FOR</v>
      </c>
      <c r="AY7062" t="s">
        <v>55</v>
      </c>
    </row>
    <row r="7063" spans="1:51" hidden="1">
      <c r="A7063">
        <v>104093</v>
      </c>
      <c r="B7063" t="s">
        <v>1210</v>
      </c>
      <c r="C7063" t="str">
        <f t="shared" si="576"/>
        <v>06032681006</v>
      </c>
      <c r="D7063" t="str">
        <f t="shared" si="577"/>
        <v>12572900152</v>
      </c>
      <c r="E7063" t="s">
        <v>52</v>
      </c>
      <c r="F7063">
        <v>2014</v>
      </c>
      <c r="G7063">
        <v>25208159</v>
      </c>
      <c r="H7063" s="1">
        <v>41939</v>
      </c>
      <c r="I7063" s="1">
        <v>41956</v>
      </c>
      <c r="J7063" s="1">
        <v>41956</v>
      </c>
      <c r="K7063" s="1">
        <v>42016</v>
      </c>
      <c r="N7063" s="5"/>
      <c r="O7063">
        <v>252.72</v>
      </c>
      <c r="P7063">
        <v>261</v>
      </c>
      <c r="Q7063" s="2">
        <v>65959.92</v>
      </c>
      <c r="R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 s="1">
        <v>42382</v>
      </c>
      <c r="AC7063" t="s">
        <v>53</v>
      </c>
      <c r="AD7063" t="s">
        <v>53</v>
      </c>
      <c r="AK7063">
        <v>0</v>
      </c>
      <c r="AU7063" s="6">
        <v>42277</v>
      </c>
      <c r="AV7063" s="6">
        <v>42277</v>
      </c>
      <c r="AW7063" t="s">
        <v>54</v>
      </c>
      <c r="AX7063" t="str">
        <f t="shared" si="578"/>
        <v>FOR</v>
      </c>
      <c r="AY7063" t="s">
        <v>55</v>
      </c>
    </row>
    <row r="7064" spans="1:51" hidden="1">
      <c r="A7064">
        <v>104093</v>
      </c>
      <c r="B7064" t="s">
        <v>1210</v>
      </c>
      <c r="C7064" t="str">
        <f t="shared" si="576"/>
        <v>06032681006</v>
      </c>
      <c r="D7064" t="str">
        <f t="shared" si="577"/>
        <v>12572900152</v>
      </c>
      <c r="E7064" t="s">
        <v>52</v>
      </c>
      <c r="F7064">
        <v>2014</v>
      </c>
      <c r="G7064">
        <v>25208242</v>
      </c>
      <c r="H7064" s="1">
        <v>41939</v>
      </c>
      <c r="I7064" s="1">
        <v>41956</v>
      </c>
      <c r="J7064" s="1">
        <v>41956</v>
      </c>
      <c r="K7064" s="1">
        <v>42016</v>
      </c>
      <c r="N7064" s="5"/>
      <c r="O7064" s="2">
        <v>5842.58</v>
      </c>
      <c r="P7064">
        <v>261</v>
      </c>
      <c r="Q7064" s="2">
        <v>1524913.38</v>
      </c>
      <c r="R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 s="1">
        <v>42382</v>
      </c>
      <c r="AC7064" t="s">
        <v>53</v>
      </c>
      <c r="AD7064" t="s">
        <v>53</v>
      </c>
      <c r="AK7064">
        <v>0</v>
      </c>
      <c r="AU7064" s="6">
        <v>42277</v>
      </c>
      <c r="AV7064" s="6">
        <v>42277</v>
      </c>
      <c r="AW7064" t="s">
        <v>54</v>
      </c>
      <c r="AX7064" t="str">
        <f t="shared" si="578"/>
        <v>FOR</v>
      </c>
      <c r="AY7064" t="s">
        <v>55</v>
      </c>
    </row>
    <row r="7065" spans="1:51" hidden="1">
      <c r="A7065">
        <v>104093</v>
      </c>
      <c r="B7065" t="s">
        <v>1210</v>
      </c>
      <c r="C7065" t="str">
        <f t="shared" si="576"/>
        <v>06032681006</v>
      </c>
      <c r="D7065" t="str">
        <f t="shared" si="577"/>
        <v>12572900152</v>
      </c>
      <c r="E7065" t="s">
        <v>52</v>
      </c>
      <c r="F7065">
        <v>2014</v>
      </c>
      <c r="G7065">
        <v>25208531</v>
      </c>
      <c r="H7065" s="1">
        <v>41940</v>
      </c>
      <c r="I7065" s="1">
        <v>41956</v>
      </c>
      <c r="J7065" s="1">
        <v>41956</v>
      </c>
      <c r="K7065" s="1">
        <v>42016</v>
      </c>
      <c r="N7065" s="5"/>
      <c r="O7065" s="2">
        <v>1210.44</v>
      </c>
      <c r="P7065">
        <v>261</v>
      </c>
      <c r="Q7065" s="2">
        <v>315924.84000000003</v>
      </c>
      <c r="R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 s="1">
        <v>42382</v>
      </c>
      <c r="AC7065" t="s">
        <v>53</v>
      </c>
      <c r="AD7065" t="s">
        <v>53</v>
      </c>
      <c r="AK7065">
        <v>0</v>
      </c>
      <c r="AU7065" s="6">
        <v>42277</v>
      </c>
      <c r="AV7065" s="6">
        <v>42277</v>
      </c>
      <c r="AW7065" t="s">
        <v>54</v>
      </c>
      <c r="AX7065" t="str">
        <f t="shared" si="578"/>
        <v>FOR</v>
      </c>
      <c r="AY7065" t="s">
        <v>55</v>
      </c>
    </row>
    <row r="7066" spans="1:51" hidden="1">
      <c r="A7066">
        <v>104093</v>
      </c>
      <c r="B7066" t="s">
        <v>1210</v>
      </c>
      <c r="C7066" t="str">
        <f t="shared" si="576"/>
        <v>06032681006</v>
      </c>
      <c r="D7066" t="str">
        <f t="shared" si="577"/>
        <v>12572900152</v>
      </c>
      <c r="E7066" t="s">
        <v>52</v>
      </c>
      <c r="F7066">
        <v>2014</v>
      </c>
      <c r="G7066">
        <v>25208676</v>
      </c>
      <c r="H7066" s="1">
        <v>41941</v>
      </c>
      <c r="I7066" s="1">
        <v>41955</v>
      </c>
      <c r="J7066" s="1">
        <v>41955</v>
      </c>
      <c r="K7066" s="1">
        <v>42015</v>
      </c>
      <c r="N7066" s="5"/>
      <c r="O7066">
        <v>74.88</v>
      </c>
      <c r="P7066">
        <v>262</v>
      </c>
      <c r="Q7066" s="2">
        <v>19618.560000000001</v>
      </c>
      <c r="R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 s="1">
        <v>42382</v>
      </c>
      <c r="AC7066" t="s">
        <v>53</v>
      </c>
      <c r="AD7066" t="s">
        <v>53</v>
      </c>
      <c r="AK7066">
        <v>0</v>
      </c>
      <c r="AU7066" s="6">
        <v>42277</v>
      </c>
      <c r="AV7066" s="6">
        <v>42277</v>
      </c>
      <c r="AW7066" t="s">
        <v>54</v>
      </c>
      <c r="AX7066" t="str">
        <f t="shared" si="578"/>
        <v>FOR</v>
      </c>
      <c r="AY7066" t="s">
        <v>55</v>
      </c>
    </row>
    <row r="7067" spans="1:51" hidden="1">
      <c r="A7067">
        <v>104093</v>
      </c>
      <c r="B7067" t="s">
        <v>1210</v>
      </c>
      <c r="C7067" t="str">
        <f t="shared" si="576"/>
        <v>06032681006</v>
      </c>
      <c r="D7067" t="str">
        <f t="shared" si="577"/>
        <v>12572900152</v>
      </c>
      <c r="E7067" t="s">
        <v>52</v>
      </c>
      <c r="F7067">
        <v>2014</v>
      </c>
      <c r="G7067">
        <v>25208677</v>
      </c>
      <c r="H7067" s="1">
        <v>41941</v>
      </c>
      <c r="I7067" s="1">
        <v>41955</v>
      </c>
      <c r="J7067" s="1">
        <v>41955</v>
      </c>
      <c r="K7067" s="1">
        <v>42015</v>
      </c>
      <c r="N7067" s="5"/>
      <c r="O7067">
        <v>74.88</v>
      </c>
      <c r="P7067">
        <v>262</v>
      </c>
      <c r="Q7067" s="2">
        <v>19618.560000000001</v>
      </c>
      <c r="R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 s="1">
        <v>42382</v>
      </c>
      <c r="AC7067" t="s">
        <v>53</v>
      </c>
      <c r="AD7067" t="s">
        <v>53</v>
      </c>
      <c r="AK7067">
        <v>0</v>
      </c>
      <c r="AU7067" s="6">
        <v>42277</v>
      </c>
      <c r="AV7067" s="6">
        <v>42277</v>
      </c>
      <c r="AW7067" t="s">
        <v>54</v>
      </c>
      <c r="AX7067" t="str">
        <f t="shared" si="578"/>
        <v>FOR</v>
      </c>
      <c r="AY7067" t="s">
        <v>55</v>
      </c>
    </row>
    <row r="7068" spans="1:51" hidden="1">
      <c r="A7068">
        <v>104093</v>
      </c>
      <c r="B7068" t="s">
        <v>1210</v>
      </c>
      <c r="C7068" t="str">
        <f t="shared" si="576"/>
        <v>06032681006</v>
      </c>
      <c r="D7068" t="str">
        <f t="shared" si="577"/>
        <v>12572900152</v>
      </c>
      <c r="E7068" t="s">
        <v>52</v>
      </c>
      <c r="F7068">
        <v>2014</v>
      </c>
      <c r="G7068">
        <v>25208678</v>
      </c>
      <c r="H7068" s="1">
        <v>41941</v>
      </c>
      <c r="I7068" s="1">
        <v>41955</v>
      </c>
      <c r="J7068" s="1">
        <v>41955</v>
      </c>
      <c r="K7068" s="1">
        <v>42015</v>
      </c>
      <c r="N7068" s="5"/>
      <c r="O7068">
        <v>74.88</v>
      </c>
      <c r="P7068">
        <v>262</v>
      </c>
      <c r="Q7068" s="2">
        <v>19618.560000000001</v>
      </c>
      <c r="R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 s="1">
        <v>42382</v>
      </c>
      <c r="AC7068" t="s">
        <v>53</v>
      </c>
      <c r="AD7068" t="s">
        <v>53</v>
      </c>
      <c r="AK7068">
        <v>0</v>
      </c>
      <c r="AU7068" s="6">
        <v>42277</v>
      </c>
      <c r="AV7068" s="6">
        <v>42277</v>
      </c>
      <c r="AW7068" t="s">
        <v>54</v>
      </c>
      <c r="AX7068" t="str">
        <f t="shared" si="578"/>
        <v>FOR</v>
      </c>
      <c r="AY7068" t="s">
        <v>55</v>
      </c>
    </row>
    <row r="7069" spans="1:51" hidden="1">
      <c r="A7069">
        <v>104093</v>
      </c>
      <c r="B7069" t="s">
        <v>1210</v>
      </c>
      <c r="C7069" t="str">
        <f t="shared" ref="C7069:C7132" si="579">"06032681006"</f>
        <v>06032681006</v>
      </c>
      <c r="D7069" t="str">
        <f t="shared" ref="D7069:D7132" si="580">"12572900152"</f>
        <v>12572900152</v>
      </c>
      <c r="E7069" t="s">
        <v>52</v>
      </c>
      <c r="F7069">
        <v>2014</v>
      </c>
      <c r="G7069">
        <v>25208679</v>
      </c>
      <c r="H7069" s="1">
        <v>41941</v>
      </c>
      <c r="I7069" s="1">
        <v>41955</v>
      </c>
      <c r="J7069" s="1">
        <v>41955</v>
      </c>
      <c r="K7069" s="1">
        <v>42015</v>
      </c>
      <c r="N7069" s="5"/>
      <c r="O7069">
        <v>707.62</v>
      </c>
      <c r="P7069">
        <v>262</v>
      </c>
      <c r="Q7069" s="2">
        <v>185396.44</v>
      </c>
      <c r="R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 s="1">
        <v>42382</v>
      </c>
      <c r="AC7069" t="s">
        <v>53</v>
      </c>
      <c r="AD7069" t="s">
        <v>53</v>
      </c>
      <c r="AK7069">
        <v>0</v>
      </c>
      <c r="AU7069" s="6">
        <v>42277</v>
      </c>
      <c r="AV7069" s="6">
        <v>42277</v>
      </c>
      <c r="AW7069" t="s">
        <v>54</v>
      </c>
      <c r="AX7069" t="str">
        <f t="shared" si="578"/>
        <v>FOR</v>
      </c>
      <c r="AY7069" t="s">
        <v>55</v>
      </c>
    </row>
    <row r="7070" spans="1:51" hidden="1">
      <c r="A7070">
        <v>104093</v>
      </c>
      <c r="B7070" t="s">
        <v>1210</v>
      </c>
      <c r="C7070" t="str">
        <f t="shared" si="579"/>
        <v>06032681006</v>
      </c>
      <c r="D7070" t="str">
        <f t="shared" si="580"/>
        <v>12572900152</v>
      </c>
      <c r="E7070" t="s">
        <v>52</v>
      </c>
      <c r="F7070">
        <v>2014</v>
      </c>
      <c r="G7070">
        <v>25208680</v>
      </c>
      <c r="H7070" s="1">
        <v>41941</v>
      </c>
      <c r="I7070" s="1">
        <v>41955</v>
      </c>
      <c r="J7070" s="1">
        <v>41955</v>
      </c>
      <c r="K7070" s="1">
        <v>42015</v>
      </c>
      <c r="N7070" s="5"/>
      <c r="O7070">
        <v>252.72</v>
      </c>
      <c r="P7070">
        <v>262</v>
      </c>
      <c r="Q7070" s="2">
        <v>66212.639999999999</v>
      </c>
      <c r="R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 s="1">
        <v>42382</v>
      </c>
      <c r="AC7070" t="s">
        <v>53</v>
      </c>
      <c r="AD7070" t="s">
        <v>53</v>
      </c>
      <c r="AK7070">
        <v>0</v>
      </c>
      <c r="AU7070" s="6">
        <v>42277</v>
      </c>
      <c r="AV7070" s="6">
        <v>42277</v>
      </c>
      <c r="AW7070" t="s">
        <v>54</v>
      </c>
      <c r="AX7070" t="str">
        <f t="shared" si="578"/>
        <v>FOR</v>
      </c>
      <c r="AY7070" t="s">
        <v>55</v>
      </c>
    </row>
    <row r="7071" spans="1:51" hidden="1">
      <c r="A7071">
        <v>104093</v>
      </c>
      <c r="B7071" t="s">
        <v>1210</v>
      </c>
      <c r="C7071" t="str">
        <f t="shared" si="579"/>
        <v>06032681006</v>
      </c>
      <c r="D7071" t="str">
        <f t="shared" si="580"/>
        <v>12572900152</v>
      </c>
      <c r="E7071" t="s">
        <v>52</v>
      </c>
      <c r="F7071">
        <v>2014</v>
      </c>
      <c r="G7071">
        <v>25208681</v>
      </c>
      <c r="H7071" s="1">
        <v>41941</v>
      </c>
      <c r="I7071" s="1">
        <v>41955</v>
      </c>
      <c r="J7071" s="1">
        <v>41955</v>
      </c>
      <c r="K7071" s="1">
        <v>42015</v>
      </c>
      <c r="N7071" s="5"/>
      <c r="O7071">
        <v>74.88</v>
      </c>
      <c r="P7071">
        <v>262</v>
      </c>
      <c r="Q7071" s="2">
        <v>19618.560000000001</v>
      </c>
      <c r="R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 s="1">
        <v>42382</v>
      </c>
      <c r="AC7071" t="s">
        <v>53</v>
      </c>
      <c r="AD7071" t="s">
        <v>53</v>
      </c>
      <c r="AK7071">
        <v>0</v>
      </c>
      <c r="AU7071" s="6">
        <v>42277</v>
      </c>
      <c r="AV7071" s="6">
        <v>42277</v>
      </c>
      <c r="AW7071" t="s">
        <v>54</v>
      </c>
      <c r="AX7071" t="str">
        <f t="shared" si="578"/>
        <v>FOR</v>
      </c>
      <c r="AY7071" t="s">
        <v>55</v>
      </c>
    </row>
    <row r="7072" spans="1:51" hidden="1">
      <c r="A7072">
        <v>104093</v>
      </c>
      <c r="B7072" t="s">
        <v>1210</v>
      </c>
      <c r="C7072" t="str">
        <f t="shared" si="579"/>
        <v>06032681006</v>
      </c>
      <c r="D7072" t="str">
        <f t="shared" si="580"/>
        <v>12572900152</v>
      </c>
      <c r="E7072" t="s">
        <v>52</v>
      </c>
      <c r="F7072">
        <v>2014</v>
      </c>
      <c r="G7072">
        <v>25208682</v>
      </c>
      <c r="H7072" s="1">
        <v>41941</v>
      </c>
      <c r="I7072" s="1">
        <v>41955</v>
      </c>
      <c r="J7072" s="1">
        <v>41955</v>
      </c>
      <c r="K7072" s="1">
        <v>42015</v>
      </c>
      <c r="N7072" s="5"/>
      <c r="O7072">
        <v>74.88</v>
      </c>
      <c r="P7072">
        <v>262</v>
      </c>
      <c r="Q7072" s="2">
        <v>19618.560000000001</v>
      </c>
      <c r="R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 s="1">
        <v>42382</v>
      </c>
      <c r="AC7072" t="s">
        <v>53</v>
      </c>
      <c r="AD7072" t="s">
        <v>53</v>
      </c>
      <c r="AK7072">
        <v>0</v>
      </c>
      <c r="AU7072" s="6">
        <v>42277</v>
      </c>
      <c r="AV7072" s="6">
        <v>42277</v>
      </c>
      <c r="AW7072" t="s">
        <v>54</v>
      </c>
      <c r="AX7072" t="str">
        <f t="shared" si="578"/>
        <v>FOR</v>
      </c>
      <c r="AY7072" t="s">
        <v>55</v>
      </c>
    </row>
    <row r="7073" spans="1:51" hidden="1">
      <c r="A7073">
        <v>104093</v>
      </c>
      <c r="B7073" t="s">
        <v>1210</v>
      </c>
      <c r="C7073" t="str">
        <f t="shared" si="579"/>
        <v>06032681006</v>
      </c>
      <c r="D7073" t="str">
        <f t="shared" si="580"/>
        <v>12572900152</v>
      </c>
      <c r="E7073" t="s">
        <v>52</v>
      </c>
      <c r="F7073">
        <v>2014</v>
      </c>
      <c r="G7073">
        <v>25208683</v>
      </c>
      <c r="H7073" s="1">
        <v>41941</v>
      </c>
      <c r="I7073" s="1">
        <v>41955</v>
      </c>
      <c r="J7073" s="1">
        <v>41955</v>
      </c>
      <c r="K7073" s="1">
        <v>42015</v>
      </c>
      <c r="N7073" s="5"/>
      <c r="O7073">
        <v>74.88</v>
      </c>
      <c r="P7073">
        <v>262</v>
      </c>
      <c r="Q7073" s="2">
        <v>19618.560000000001</v>
      </c>
      <c r="R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 s="1">
        <v>42382</v>
      </c>
      <c r="AC7073" t="s">
        <v>53</v>
      </c>
      <c r="AD7073" t="s">
        <v>53</v>
      </c>
      <c r="AK7073">
        <v>0</v>
      </c>
      <c r="AU7073" s="6">
        <v>42277</v>
      </c>
      <c r="AV7073" s="6">
        <v>42277</v>
      </c>
      <c r="AW7073" t="s">
        <v>54</v>
      </c>
      <c r="AX7073" t="str">
        <f t="shared" si="578"/>
        <v>FOR</v>
      </c>
      <c r="AY7073" t="s">
        <v>55</v>
      </c>
    </row>
    <row r="7074" spans="1:51" hidden="1">
      <c r="A7074">
        <v>104093</v>
      </c>
      <c r="B7074" t="s">
        <v>1210</v>
      </c>
      <c r="C7074" t="str">
        <f t="shared" si="579"/>
        <v>06032681006</v>
      </c>
      <c r="D7074" t="str">
        <f t="shared" si="580"/>
        <v>12572900152</v>
      </c>
      <c r="E7074" t="s">
        <v>52</v>
      </c>
      <c r="F7074">
        <v>2014</v>
      </c>
      <c r="G7074">
        <v>25208684</v>
      </c>
      <c r="H7074" s="1">
        <v>41941</v>
      </c>
      <c r="I7074" s="1">
        <v>41955</v>
      </c>
      <c r="J7074" s="1">
        <v>41955</v>
      </c>
      <c r="K7074" s="1">
        <v>42015</v>
      </c>
      <c r="N7074" s="5"/>
      <c r="O7074">
        <v>74.88</v>
      </c>
      <c r="P7074">
        <v>262</v>
      </c>
      <c r="Q7074" s="2">
        <v>19618.560000000001</v>
      </c>
      <c r="R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 s="1">
        <v>42382</v>
      </c>
      <c r="AC7074" t="s">
        <v>53</v>
      </c>
      <c r="AD7074" t="s">
        <v>53</v>
      </c>
      <c r="AK7074">
        <v>0</v>
      </c>
      <c r="AU7074" s="6">
        <v>42277</v>
      </c>
      <c r="AV7074" s="6">
        <v>42277</v>
      </c>
      <c r="AW7074" t="s">
        <v>54</v>
      </c>
      <c r="AX7074" t="str">
        <f t="shared" si="578"/>
        <v>FOR</v>
      </c>
      <c r="AY7074" t="s">
        <v>55</v>
      </c>
    </row>
    <row r="7075" spans="1:51" hidden="1">
      <c r="A7075">
        <v>104093</v>
      </c>
      <c r="B7075" t="s">
        <v>1210</v>
      </c>
      <c r="C7075" t="str">
        <f t="shared" si="579"/>
        <v>06032681006</v>
      </c>
      <c r="D7075" t="str">
        <f t="shared" si="580"/>
        <v>12572900152</v>
      </c>
      <c r="E7075" t="s">
        <v>52</v>
      </c>
      <c r="F7075">
        <v>2014</v>
      </c>
      <c r="G7075">
        <v>25208685</v>
      </c>
      <c r="H7075" s="1">
        <v>41941</v>
      </c>
      <c r="I7075" s="1">
        <v>41955</v>
      </c>
      <c r="J7075" s="1">
        <v>41955</v>
      </c>
      <c r="K7075" s="1">
        <v>42015</v>
      </c>
      <c r="N7075" s="5"/>
      <c r="O7075">
        <v>74.88</v>
      </c>
      <c r="P7075">
        <v>262</v>
      </c>
      <c r="Q7075" s="2">
        <v>19618.560000000001</v>
      </c>
      <c r="R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 s="1">
        <v>42382</v>
      </c>
      <c r="AC7075" t="s">
        <v>53</v>
      </c>
      <c r="AD7075" t="s">
        <v>53</v>
      </c>
      <c r="AK7075">
        <v>0</v>
      </c>
      <c r="AU7075" s="6">
        <v>42277</v>
      </c>
      <c r="AV7075" s="6">
        <v>42277</v>
      </c>
      <c r="AW7075" t="s">
        <v>54</v>
      </c>
      <c r="AX7075" t="str">
        <f t="shared" si="578"/>
        <v>FOR</v>
      </c>
      <c r="AY7075" t="s">
        <v>55</v>
      </c>
    </row>
    <row r="7076" spans="1:51" hidden="1">
      <c r="A7076">
        <v>104093</v>
      </c>
      <c r="B7076" t="s">
        <v>1210</v>
      </c>
      <c r="C7076" t="str">
        <f t="shared" si="579"/>
        <v>06032681006</v>
      </c>
      <c r="D7076" t="str">
        <f t="shared" si="580"/>
        <v>12572900152</v>
      </c>
      <c r="E7076" t="s">
        <v>52</v>
      </c>
      <c r="F7076">
        <v>2014</v>
      </c>
      <c r="G7076">
        <v>25208686</v>
      </c>
      <c r="H7076" s="1">
        <v>41941</v>
      </c>
      <c r="I7076" s="1">
        <v>41955</v>
      </c>
      <c r="J7076" s="1">
        <v>41955</v>
      </c>
      <c r="K7076" s="1">
        <v>42015</v>
      </c>
      <c r="N7076" s="5"/>
      <c r="O7076">
        <v>74.88</v>
      </c>
      <c r="P7076">
        <v>262</v>
      </c>
      <c r="Q7076" s="2">
        <v>19618.560000000001</v>
      </c>
      <c r="R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 s="1">
        <v>42382</v>
      </c>
      <c r="AC7076" t="s">
        <v>53</v>
      </c>
      <c r="AD7076" t="s">
        <v>53</v>
      </c>
      <c r="AK7076">
        <v>0</v>
      </c>
      <c r="AU7076" s="6">
        <v>42277</v>
      </c>
      <c r="AV7076" s="6">
        <v>42277</v>
      </c>
      <c r="AW7076" t="s">
        <v>54</v>
      </c>
      <c r="AX7076" t="str">
        <f t="shared" si="578"/>
        <v>FOR</v>
      </c>
      <c r="AY7076" t="s">
        <v>55</v>
      </c>
    </row>
    <row r="7077" spans="1:51" hidden="1">
      <c r="A7077">
        <v>104093</v>
      </c>
      <c r="B7077" t="s">
        <v>1210</v>
      </c>
      <c r="C7077" t="str">
        <f t="shared" si="579"/>
        <v>06032681006</v>
      </c>
      <c r="D7077" t="str">
        <f t="shared" si="580"/>
        <v>12572900152</v>
      </c>
      <c r="E7077" t="s">
        <v>52</v>
      </c>
      <c r="F7077">
        <v>2014</v>
      </c>
      <c r="G7077">
        <v>25208797</v>
      </c>
      <c r="H7077" s="1">
        <v>41941</v>
      </c>
      <c r="I7077" s="1">
        <v>41955</v>
      </c>
      <c r="J7077" s="1">
        <v>41955</v>
      </c>
      <c r="K7077" s="1">
        <v>42015</v>
      </c>
      <c r="N7077" s="5"/>
      <c r="O7077" s="2">
        <v>5337.5</v>
      </c>
      <c r="P7077">
        <v>262</v>
      </c>
      <c r="Q7077" s="2">
        <v>1398425</v>
      </c>
      <c r="R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 s="1">
        <v>42382</v>
      </c>
      <c r="AC7077" t="s">
        <v>53</v>
      </c>
      <c r="AD7077" t="s">
        <v>53</v>
      </c>
      <c r="AK7077">
        <v>0</v>
      </c>
      <c r="AU7077" s="6">
        <v>42277</v>
      </c>
      <c r="AV7077" s="6">
        <v>42277</v>
      </c>
      <c r="AW7077" t="s">
        <v>54</v>
      </c>
      <c r="AX7077" t="str">
        <f t="shared" si="578"/>
        <v>FOR</v>
      </c>
      <c r="AY7077" t="s">
        <v>55</v>
      </c>
    </row>
    <row r="7078" spans="1:51" hidden="1">
      <c r="A7078">
        <v>104093</v>
      </c>
      <c r="B7078" t="s">
        <v>1210</v>
      </c>
      <c r="C7078" t="str">
        <f t="shared" si="579"/>
        <v>06032681006</v>
      </c>
      <c r="D7078" t="str">
        <f t="shared" si="580"/>
        <v>12572900152</v>
      </c>
      <c r="E7078" t="s">
        <v>52</v>
      </c>
      <c r="F7078">
        <v>2014</v>
      </c>
      <c r="G7078">
        <v>25208840</v>
      </c>
      <c r="H7078" s="1">
        <v>41941</v>
      </c>
      <c r="I7078" s="1">
        <v>41955</v>
      </c>
      <c r="J7078" s="1">
        <v>41955</v>
      </c>
      <c r="K7078" s="1">
        <v>42015</v>
      </c>
      <c r="N7078" s="5"/>
      <c r="O7078" s="2">
        <v>2518.4</v>
      </c>
      <c r="P7078">
        <v>262</v>
      </c>
      <c r="Q7078" s="2">
        <v>659820.80000000005</v>
      </c>
      <c r="R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 s="1">
        <v>42382</v>
      </c>
      <c r="AC7078" t="s">
        <v>53</v>
      </c>
      <c r="AD7078" t="s">
        <v>53</v>
      </c>
      <c r="AK7078">
        <v>0</v>
      </c>
      <c r="AU7078" s="6">
        <v>42277</v>
      </c>
      <c r="AV7078" s="6">
        <v>42277</v>
      </c>
      <c r="AW7078" t="s">
        <v>54</v>
      </c>
      <c r="AX7078" t="str">
        <f t="shared" si="578"/>
        <v>FOR</v>
      </c>
      <c r="AY7078" t="s">
        <v>55</v>
      </c>
    </row>
    <row r="7079" spans="1:51">
      <c r="A7079">
        <v>104093</v>
      </c>
      <c r="B7079" t="s">
        <v>1210</v>
      </c>
      <c r="C7079" t="str">
        <f t="shared" si="579"/>
        <v>06032681006</v>
      </c>
      <c r="D7079" t="str">
        <f t="shared" si="580"/>
        <v>12572900152</v>
      </c>
      <c r="E7079" t="s">
        <v>52</v>
      </c>
      <c r="F7079">
        <v>2014</v>
      </c>
      <c r="G7079">
        <v>25209653</v>
      </c>
      <c r="H7079" s="1">
        <v>41946</v>
      </c>
      <c r="I7079" s="1">
        <v>41962</v>
      </c>
      <c r="J7079" s="1">
        <v>41962</v>
      </c>
      <c r="K7079" s="1">
        <v>42022</v>
      </c>
      <c r="L7079" s="7">
        <v>74.88</v>
      </c>
      <c r="M7079" s="5">
        <v>282</v>
      </c>
      <c r="N7079" s="7">
        <v>21116.16</v>
      </c>
      <c r="O7079">
        <v>74.88</v>
      </c>
      <c r="P7079">
        <v>282</v>
      </c>
      <c r="Q7079" s="2">
        <v>21116.16</v>
      </c>
      <c r="R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 s="1">
        <v>42382</v>
      </c>
      <c r="AC7079" t="s">
        <v>53</v>
      </c>
      <c r="AD7079" t="s">
        <v>53</v>
      </c>
      <c r="AK7079">
        <v>0</v>
      </c>
      <c r="AU7079" s="6">
        <v>42304</v>
      </c>
      <c r="AV7079" s="6">
        <v>42304</v>
      </c>
      <c r="AW7079" t="s">
        <v>54</v>
      </c>
      <c r="AX7079" t="str">
        <f t="shared" si="578"/>
        <v>FOR</v>
      </c>
      <c r="AY7079" t="s">
        <v>55</v>
      </c>
    </row>
    <row r="7080" spans="1:51">
      <c r="A7080">
        <v>104093</v>
      </c>
      <c r="B7080" t="s">
        <v>1210</v>
      </c>
      <c r="C7080" t="str">
        <f t="shared" si="579"/>
        <v>06032681006</v>
      </c>
      <c r="D7080" t="str">
        <f t="shared" si="580"/>
        <v>12572900152</v>
      </c>
      <c r="E7080" t="s">
        <v>52</v>
      </c>
      <c r="F7080">
        <v>2014</v>
      </c>
      <c r="G7080">
        <v>25209654</v>
      </c>
      <c r="H7080" s="1">
        <v>41946</v>
      </c>
      <c r="I7080" s="1">
        <v>41962</v>
      </c>
      <c r="J7080" s="1">
        <v>41962</v>
      </c>
      <c r="K7080" s="1">
        <v>42022</v>
      </c>
      <c r="L7080" s="7">
        <v>74.88</v>
      </c>
      <c r="M7080" s="5">
        <v>282</v>
      </c>
      <c r="N7080" s="7">
        <v>21116.16</v>
      </c>
      <c r="O7080">
        <v>74.88</v>
      </c>
      <c r="P7080">
        <v>282</v>
      </c>
      <c r="Q7080" s="2">
        <v>21116.16</v>
      </c>
      <c r="R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 s="1">
        <v>42382</v>
      </c>
      <c r="AC7080" t="s">
        <v>53</v>
      </c>
      <c r="AD7080" t="s">
        <v>53</v>
      </c>
      <c r="AK7080">
        <v>0</v>
      </c>
      <c r="AU7080" s="6">
        <v>42304</v>
      </c>
      <c r="AV7080" s="6">
        <v>42304</v>
      </c>
      <c r="AW7080" t="s">
        <v>54</v>
      </c>
      <c r="AX7080" t="str">
        <f t="shared" si="578"/>
        <v>FOR</v>
      </c>
      <c r="AY7080" t="s">
        <v>55</v>
      </c>
    </row>
    <row r="7081" spans="1:51">
      <c r="A7081">
        <v>104093</v>
      </c>
      <c r="B7081" t="s">
        <v>1210</v>
      </c>
      <c r="C7081" t="str">
        <f t="shared" si="579"/>
        <v>06032681006</v>
      </c>
      <c r="D7081" t="str">
        <f t="shared" si="580"/>
        <v>12572900152</v>
      </c>
      <c r="E7081" t="s">
        <v>52</v>
      </c>
      <c r="F7081">
        <v>2014</v>
      </c>
      <c r="G7081">
        <v>25209655</v>
      </c>
      <c r="H7081" s="1">
        <v>41946</v>
      </c>
      <c r="I7081" s="1">
        <v>41962</v>
      </c>
      <c r="J7081" s="1">
        <v>41962</v>
      </c>
      <c r="K7081" s="1">
        <v>42022</v>
      </c>
      <c r="L7081" s="7">
        <v>74.88</v>
      </c>
      <c r="M7081" s="5">
        <v>282</v>
      </c>
      <c r="N7081" s="7">
        <v>21116.16</v>
      </c>
      <c r="O7081">
        <v>74.88</v>
      </c>
      <c r="P7081">
        <v>282</v>
      </c>
      <c r="Q7081" s="2">
        <v>21116.16</v>
      </c>
      <c r="R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 s="1">
        <v>42382</v>
      </c>
      <c r="AC7081" t="s">
        <v>53</v>
      </c>
      <c r="AD7081" t="s">
        <v>53</v>
      </c>
      <c r="AK7081">
        <v>0</v>
      </c>
      <c r="AU7081" s="6">
        <v>42304</v>
      </c>
      <c r="AV7081" s="6">
        <v>42304</v>
      </c>
      <c r="AW7081" t="s">
        <v>54</v>
      </c>
      <c r="AX7081" t="str">
        <f t="shared" si="578"/>
        <v>FOR</v>
      </c>
      <c r="AY7081" t="s">
        <v>55</v>
      </c>
    </row>
    <row r="7082" spans="1:51">
      <c r="A7082">
        <v>104093</v>
      </c>
      <c r="B7082" t="s">
        <v>1210</v>
      </c>
      <c r="C7082" t="str">
        <f t="shared" si="579"/>
        <v>06032681006</v>
      </c>
      <c r="D7082" t="str">
        <f t="shared" si="580"/>
        <v>12572900152</v>
      </c>
      <c r="E7082" t="s">
        <v>52</v>
      </c>
      <c r="F7082">
        <v>2014</v>
      </c>
      <c r="G7082">
        <v>25209656</v>
      </c>
      <c r="H7082" s="1">
        <v>41946</v>
      </c>
      <c r="I7082" s="1">
        <v>41962</v>
      </c>
      <c r="J7082" s="1">
        <v>41962</v>
      </c>
      <c r="K7082" s="1">
        <v>42022</v>
      </c>
      <c r="L7082" s="7">
        <v>252.72</v>
      </c>
      <c r="M7082" s="5">
        <v>282</v>
      </c>
      <c r="N7082" s="7">
        <v>71267.039999999994</v>
      </c>
      <c r="O7082">
        <v>252.72</v>
      </c>
      <c r="P7082">
        <v>282</v>
      </c>
      <c r="Q7082" s="2">
        <v>71267.039999999994</v>
      </c>
      <c r="R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 s="1">
        <v>42382</v>
      </c>
      <c r="AC7082" t="s">
        <v>53</v>
      </c>
      <c r="AD7082" t="s">
        <v>53</v>
      </c>
      <c r="AK7082">
        <v>0</v>
      </c>
      <c r="AU7082" s="6">
        <v>42304</v>
      </c>
      <c r="AV7082" s="6">
        <v>42304</v>
      </c>
      <c r="AW7082" t="s">
        <v>54</v>
      </c>
      <c r="AX7082" t="str">
        <f t="shared" si="578"/>
        <v>FOR</v>
      </c>
      <c r="AY7082" t="s">
        <v>55</v>
      </c>
    </row>
    <row r="7083" spans="1:51">
      <c r="A7083">
        <v>104093</v>
      </c>
      <c r="B7083" t="s">
        <v>1210</v>
      </c>
      <c r="C7083" t="str">
        <f t="shared" si="579"/>
        <v>06032681006</v>
      </c>
      <c r="D7083" t="str">
        <f t="shared" si="580"/>
        <v>12572900152</v>
      </c>
      <c r="E7083" t="s">
        <v>52</v>
      </c>
      <c r="F7083">
        <v>2014</v>
      </c>
      <c r="G7083">
        <v>25209657</v>
      </c>
      <c r="H7083" s="1">
        <v>41946</v>
      </c>
      <c r="I7083" s="1">
        <v>41962</v>
      </c>
      <c r="J7083" s="1">
        <v>41962</v>
      </c>
      <c r="K7083" s="1">
        <v>42022</v>
      </c>
      <c r="L7083" s="7">
        <v>936</v>
      </c>
      <c r="M7083" s="5">
        <v>282</v>
      </c>
      <c r="N7083" s="7">
        <v>263952</v>
      </c>
      <c r="O7083">
        <v>936</v>
      </c>
      <c r="P7083">
        <v>282</v>
      </c>
      <c r="Q7083" s="2">
        <v>263952</v>
      </c>
      <c r="R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 s="1">
        <v>42382</v>
      </c>
      <c r="AC7083" t="s">
        <v>53</v>
      </c>
      <c r="AD7083" t="s">
        <v>53</v>
      </c>
      <c r="AK7083">
        <v>0</v>
      </c>
      <c r="AU7083" s="6">
        <v>42304</v>
      </c>
      <c r="AV7083" s="6">
        <v>42304</v>
      </c>
      <c r="AW7083" t="s">
        <v>54</v>
      </c>
      <c r="AX7083" t="str">
        <f t="shared" si="578"/>
        <v>FOR</v>
      </c>
      <c r="AY7083" t="s">
        <v>55</v>
      </c>
    </row>
    <row r="7084" spans="1:51">
      <c r="A7084">
        <v>104093</v>
      </c>
      <c r="B7084" t="s">
        <v>1210</v>
      </c>
      <c r="C7084" t="str">
        <f t="shared" si="579"/>
        <v>06032681006</v>
      </c>
      <c r="D7084" t="str">
        <f t="shared" si="580"/>
        <v>12572900152</v>
      </c>
      <c r="E7084" t="s">
        <v>52</v>
      </c>
      <c r="F7084">
        <v>2014</v>
      </c>
      <c r="G7084">
        <v>25209820</v>
      </c>
      <c r="H7084" s="1">
        <v>41947</v>
      </c>
      <c r="I7084" s="1">
        <v>41962</v>
      </c>
      <c r="J7084" s="1">
        <v>41962</v>
      </c>
      <c r="K7084" s="1">
        <v>42022</v>
      </c>
      <c r="L7084" s="7">
        <v>74.88</v>
      </c>
      <c r="M7084" s="5">
        <v>282</v>
      </c>
      <c r="N7084" s="7">
        <v>21116.16</v>
      </c>
      <c r="O7084">
        <v>74.88</v>
      </c>
      <c r="P7084">
        <v>282</v>
      </c>
      <c r="Q7084" s="2">
        <v>21116.16</v>
      </c>
      <c r="R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 s="1">
        <v>42382</v>
      </c>
      <c r="AC7084" t="s">
        <v>53</v>
      </c>
      <c r="AD7084" t="s">
        <v>53</v>
      </c>
      <c r="AK7084">
        <v>0</v>
      </c>
      <c r="AU7084" s="6">
        <v>42304</v>
      </c>
      <c r="AV7084" s="6">
        <v>42304</v>
      </c>
      <c r="AW7084" t="s">
        <v>54</v>
      </c>
      <c r="AX7084" t="str">
        <f t="shared" si="578"/>
        <v>FOR</v>
      </c>
      <c r="AY7084" t="s">
        <v>55</v>
      </c>
    </row>
    <row r="7085" spans="1:51">
      <c r="A7085">
        <v>104093</v>
      </c>
      <c r="B7085" t="s">
        <v>1210</v>
      </c>
      <c r="C7085" t="str">
        <f t="shared" si="579"/>
        <v>06032681006</v>
      </c>
      <c r="D7085" t="str">
        <f t="shared" si="580"/>
        <v>12572900152</v>
      </c>
      <c r="E7085" t="s">
        <v>52</v>
      </c>
      <c r="F7085">
        <v>2014</v>
      </c>
      <c r="G7085">
        <v>25209821</v>
      </c>
      <c r="H7085" s="1">
        <v>41947</v>
      </c>
      <c r="I7085" s="1">
        <v>41962</v>
      </c>
      <c r="J7085" s="1">
        <v>41962</v>
      </c>
      <c r="K7085" s="1">
        <v>42022</v>
      </c>
      <c r="L7085" s="7">
        <v>74.88</v>
      </c>
      <c r="M7085" s="5">
        <v>282</v>
      </c>
      <c r="N7085" s="7">
        <v>21116.16</v>
      </c>
      <c r="O7085">
        <v>74.88</v>
      </c>
      <c r="P7085">
        <v>282</v>
      </c>
      <c r="Q7085" s="2">
        <v>21116.16</v>
      </c>
      <c r="R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 s="1">
        <v>42382</v>
      </c>
      <c r="AC7085" t="s">
        <v>53</v>
      </c>
      <c r="AD7085" t="s">
        <v>53</v>
      </c>
      <c r="AK7085">
        <v>0</v>
      </c>
      <c r="AU7085" s="6">
        <v>42304</v>
      </c>
      <c r="AV7085" s="6">
        <v>42304</v>
      </c>
      <c r="AW7085" t="s">
        <v>54</v>
      </c>
      <c r="AX7085" t="str">
        <f t="shared" si="578"/>
        <v>FOR</v>
      </c>
      <c r="AY7085" t="s">
        <v>55</v>
      </c>
    </row>
    <row r="7086" spans="1:51">
      <c r="A7086">
        <v>104093</v>
      </c>
      <c r="B7086" t="s">
        <v>1210</v>
      </c>
      <c r="C7086" t="str">
        <f t="shared" si="579"/>
        <v>06032681006</v>
      </c>
      <c r="D7086" t="str">
        <f t="shared" si="580"/>
        <v>12572900152</v>
      </c>
      <c r="E7086" t="s">
        <v>52</v>
      </c>
      <c r="F7086">
        <v>2014</v>
      </c>
      <c r="G7086">
        <v>25209822</v>
      </c>
      <c r="H7086" s="1">
        <v>41947</v>
      </c>
      <c r="I7086" s="1">
        <v>41962</v>
      </c>
      <c r="J7086" s="1">
        <v>41962</v>
      </c>
      <c r="K7086" s="1">
        <v>42022</v>
      </c>
      <c r="L7086" s="7">
        <v>926.64</v>
      </c>
      <c r="M7086" s="5">
        <v>282</v>
      </c>
      <c r="N7086" s="7">
        <v>261312.48</v>
      </c>
      <c r="O7086">
        <v>926.64</v>
      </c>
      <c r="P7086">
        <v>282</v>
      </c>
      <c r="Q7086" s="2">
        <v>261312.48</v>
      </c>
      <c r="R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 s="1">
        <v>42382</v>
      </c>
      <c r="AC7086" t="s">
        <v>53</v>
      </c>
      <c r="AD7086" t="s">
        <v>53</v>
      </c>
      <c r="AK7086">
        <v>0</v>
      </c>
      <c r="AU7086" s="6">
        <v>42304</v>
      </c>
      <c r="AV7086" s="6">
        <v>42304</v>
      </c>
      <c r="AW7086" t="s">
        <v>54</v>
      </c>
      <c r="AX7086" t="str">
        <f t="shared" si="578"/>
        <v>FOR</v>
      </c>
      <c r="AY7086" t="s">
        <v>55</v>
      </c>
    </row>
    <row r="7087" spans="1:51">
      <c r="A7087">
        <v>104093</v>
      </c>
      <c r="B7087" t="s">
        <v>1210</v>
      </c>
      <c r="C7087" t="str">
        <f t="shared" si="579"/>
        <v>06032681006</v>
      </c>
      <c r="D7087" t="str">
        <f t="shared" si="580"/>
        <v>12572900152</v>
      </c>
      <c r="E7087" t="s">
        <v>52</v>
      </c>
      <c r="F7087">
        <v>2014</v>
      </c>
      <c r="G7087">
        <v>25209823</v>
      </c>
      <c r="H7087" s="1">
        <v>41947</v>
      </c>
      <c r="I7087" s="1">
        <v>41962</v>
      </c>
      <c r="J7087" s="1">
        <v>41962</v>
      </c>
      <c r="K7087" s="1">
        <v>42022</v>
      </c>
      <c r="L7087" s="7">
        <v>74.88</v>
      </c>
      <c r="M7087" s="5">
        <v>282</v>
      </c>
      <c r="N7087" s="7">
        <v>21116.16</v>
      </c>
      <c r="O7087">
        <v>74.88</v>
      </c>
      <c r="P7087">
        <v>282</v>
      </c>
      <c r="Q7087" s="2">
        <v>21116.16</v>
      </c>
      <c r="R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 s="1">
        <v>42382</v>
      </c>
      <c r="AC7087" t="s">
        <v>53</v>
      </c>
      <c r="AD7087" t="s">
        <v>53</v>
      </c>
      <c r="AK7087">
        <v>0</v>
      </c>
      <c r="AU7087" s="6">
        <v>42304</v>
      </c>
      <c r="AV7087" s="6">
        <v>42304</v>
      </c>
      <c r="AW7087" t="s">
        <v>54</v>
      </c>
      <c r="AX7087" t="str">
        <f t="shared" si="578"/>
        <v>FOR</v>
      </c>
      <c r="AY7087" t="s">
        <v>55</v>
      </c>
    </row>
    <row r="7088" spans="1:51">
      <c r="A7088">
        <v>104093</v>
      </c>
      <c r="B7088" t="s">
        <v>1210</v>
      </c>
      <c r="C7088" t="str">
        <f t="shared" si="579"/>
        <v>06032681006</v>
      </c>
      <c r="D7088" t="str">
        <f t="shared" si="580"/>
        <v>12572900152</v>
      </c>
      <c r="E7088" t="s">
        <v>52</v>
      </c>
      <c r="F7088">
        <v>2014</v>
      </c>
      <c r="G7088">
        <v>25209824</v>
      </c>
      <c r="H7088" s="1">
        <v>41947</v>
      </c>
      <c r="I7088" s="1">
        <v>41962</v>
      </c>
      <c r="J7088" s="1">
        <v>41962</v>
      </c>
      <c r="K7088" s="1">
        <v>42022</v>
      </c>
      <c r="L7088" s="7">
        <v>403.42</v>
      </c>
      <c r="M7088" s="5">
        <v>282</v>
      </c>
      <c r="N7088" s="7">
        <v>113764.44</v>
      </c>
      <c r="O7088">
        <v>403.42</v>
      </c>
      <c r="P7088">
        <v>282</v>
      </c>
      <c r="Q7088" s="2">
        <v>113764.44</v>
      </c>
      <c r="R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 s="1">
        <v>42382</v>
      </c>
      <c r="AC7088" t="s">
        <v>53</v>
      </c>
      <c r="AD7088" t="s">
        <v>53</v>
      </c>
      <c r="AK7088">
        <v>0</v>
      </c>
      <c r="AU7088" s="6">
        <v>42304</v>
      </c>
      <c r="AV7088" s="6">
        <v>42304</v>
      </c>
      <c r="AW7088" t="s">
        <v>54</v>
      </c>
      <c r="AX7088" t="str">
        <f t="shared" si="578"/>
        <v>FOR</v>
      </c>
      <c r="AY7088" t="s">
        <v>55</v>
      </c>
    </row>
    <row r="7089" spans="1:51">
      <c r="A7089">
        <v>104093</v>
      </c>
      <c r="B7089" t="s">
        <v>1210</v>
      </c>
      <c r="C7089" t="str">
        <f t="shared" si="579"/>
        <v>06032681006</v>
      </c>
      <c r="D7089" t="str">
        <f t="shared" si="580"/>
        <v>12572900152</v>
      </c>
      <c r="E7089" t="s">
        <v>52</v>
      </c>
      <c r="F7089">
        <v>2014</v>
      </c>
      <c r="G7089">
        <v>25209825</v>
      </c>
      <c r="H7089" s="1">
        <v>41947</v>
      </c>
      <c r="I7089" s="1">
        <v>41962</v>
      </c>
      <c r="J7089" s="1">
        <v>41962</v>
      </c>
      <c r="K7089" s="1">
        <v>42022</v>
      </c>
      <c r="L7089" s="7">
        <v>74.88</v>
      </c>
      <c r="M7089" s="5">
        <v>282</v>
      </c>
      <c r="N7089" s="7">
        <v>21116.16</v>
      </c>
      <c r="O7089">
        <v>74.88</v>
      </c>
      <c r="P7089">
        <v>282</v>
      </c>
      <c r="Q7089" s="2">
        <v>21116.16</v>
      </c>
      <c r="R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 s="1">
        <v>42382</v>
      </c>
      <c r="AC7089" t="s">
        <v>53</v>
      </c>
      <c r="AD7089" t="s">
        <v>53</v>
      </c>
      <c r="AK7089">
        <v>0</v>
      </c>
      <c r="AU7089" s="6">
        <v>42304</v>
      </c>
      <c r="AV7089" s="6">
        <v>42304</v>
      </c>
      <c r="AW7089" t="s">
        <v>54</v>
      </c>
      <c r="AX7089" t="str">
        <f t="shared" si="578"/>
        <v>FOR</v>
      </c>
      <c r="AY7089" t="s">
        <v>55</v>
      </c>
    </row>
    <row r="7090" spans="1:51">
      <c r="A7090">
        <v>104093</v>
      </c>
      <c r="B7090" t="s">
        <v>1210</v>
      </c>
      <c r="C7090" t="str">
        <f t="shared" si="579"/>
        <v>06032681006</v>
      </c>
      <c r="D7090" t="str">
        <f t="shared" si="580"/>
        <v>12572900152</v>
      </c>
      <c r="E7090" t="s">
        <v>52</v>
      </c>
      <c r="F7090">
        <v>2014</v>
      </c>
      <c r="G7090">
        <v>25209826</v>
      </c>
      <c r="H7090" s="1">
        <v>41947</v>
      </c>
      <c r="I7090" s="1">
        <v>41962</v>
      </c>
      <c r="J7090" s="1">
        <v>41962</v>
      </c>
      <c r="K7090" s="1">
        <v>42022</v>
      </c>
      <c r="L7090" s="7">
        <v>707.62</v>
      </c>
      <c r="M7090" s="5">
        <v>282</v>
      </c>
      <c r="N7090" s="7">
        <v>199548.84</v>
      </c>
      <c r="O7090">
        <v>707.62</v>
      </c>
      <c r="P7090">
        <v>282</v>
      </c>
      <c r="Q7090" s="2">
        <v>199548.84</v>
      </c>
      <c r="R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 s="1">
        <v>42382</v>
      </c>
      <c r="AC7090" t="s">
        <v>53</v>
      </c>
      <c r="AD7090" t="s">
        <v>53</v>
      </c>
      <c r="AK7090">
        <v>0</v>
      </c>
      <c r="AU7090" s="6">
        <v>42304</v>
      </c>
      <c r="AV7090" s="6">
        <v>42304</v>
      </c>
      <c r="AW7090" t="s">
        <v>54</v>
      </c>
      <c r="AX7090" t="str">
        <f t="shared" si="578"/>
        <v>FOR</v>
      </c>
      <c r="AY7090" t="s">
        <v>55</v>
      </c>
    </row>
    <row r="7091" spans="1:51">
      <c r="A7091">
        <v>104093</v>
      </c>
      <c r="B7091" t="s">
        <v>1210</v>
      </c>
      <c r="C7091" t="str">
        <f t="shared" si="579"/>
        <v>06032681006</v>
      </c>
      <c r="D7091" t="str">
        <f t="shared" si="580"/>
        <v>12572900152</v>
      </c>
      <c r="E7091" t="s">
        <v>52</v>
      </c>
      <c r="F7091">
        <v>2014</v>
      </c>
      <c r="G7091">
        <v>25209893</v>
      </c>
      <c r="H7091" s="1">
        <v>41947</v>
      </c>
      <c r="I7091" s="1">
        <v>41962</v>
      </c>
      <c r="J7091" s="1">
        <v>41962</v>
      </c>
      <c r="K7091" s="1">
        <v>42022</v>
      </c>
      <c r="L7091" s="7">
        <v>936</v>
      </c>
      <c r="M7091" s="5">
        <v>282</v>
      </c>
      <c r="N7091" s="7">
        <v>263952</v>
      </c>
      <c r="O7091">
        <v>936</v>
      </c>
      <c r="P7091">
        <v>282</v>
      </c>
      <c r="Q7091" s="2">
        <v>263952</v>
      </c>
      <c r="R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 s="1">
        <v>42382</v>
      </c>
      <c r="AC7091" t="s">
        <v>53</v>
      </c>
      <c r="AD7091" t="s">
        <v>53</v>
      </c>
      <c r="AK7091">
        <v>0</v>
      </c>
      <c r="AU7091" s="6">
        <v>42304</v>
      </c>
      <c r="AV7091" s="6">
        <v>42304</v>
      </c>
      <c r="AW7091" t="s">
        <v>54</v>
      </c>
      <c r="AX7091" t="str">
        <f t="shared" si="578"/>
        <v>FOR</v>
      </c>
      <c r="AY7091" t="s">
        <v>55</v>
      </c>
    </row>
    <row r="7092" spans="1:51">
      <c r="A7092">
        <v>104093</v>
      </c>
      <c r="B7092" t="s">
        <v>1210</v>
      </c>
      <c r="C7092" t="str">
        <f t="shared" si="579"/>
        <v>06032681006</v>
      </c>
      <c r="D7092" t="str">
        <f t="shared" si="580"/>
        <v>12572900152</v>
      </c>
      <c r="E7092" t="s">
        <v>52</v>
      </c>
      <c r="F7092">
        <v>2014</v>
      </c>
      <c r="G7092">
        <v>25209894</v>
      </c>
      <c r="H7092" s="1">
        <v>41947</v>
      </c>
      <c r="I7092" s="1">
        <v>41962</v>
      </c>
      <c r="J7092" s="1">
        <v>41962</v>
      </c>
      <c r="K7092" s="1">
        <v>42022</v>
      </c>
      <c r="L7092" s="7">
        <v>936</v>
      </c>
      <c r="M7092" s="5">
        <v>282</v>
      </c>
      <c r="N7092" s="7">
        <v>263952</v>
      </c>
      <c r="O7092">
        <v>936</v>
      </c>
      <c r="P7092">
        <v>282</v>
      </c>
      <c r="Q7092" s="2">
        <v>263952</v>
      </c>
      <c r="R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 s="1">
        <v>42382</v>
      </c>
      <c r="AC7092" t="s">
        <v>53</v>
      </c>
      <c r="AD7092" t="s">
        <v>53</v>
      </c>
      <c r="AK7092">
        <v>0</v>
      </c>
      <c r="AU7092" s="6">
        <v>42304</v>
      </c>
      <c r="AV7092" s="6">
        <v>42304</v>
      </c>
      <c r="AW7092" t="s">
        <v>54</v>
      </c>
      <c r="AX7092" t="str">
        <f t="shared" si="578"/>
        <v>FOR</v>
      </c>
      <c r="AY7092" t="s">
        <v>55</v>
      </c>
    </row>
    <row r="7093" spans="1:51">
      <c r="A7093">
        <v>104093</v>
      </c>
      <c r="B7093" t="s">
        <v>1210</v>
      </c>
      <c r="C7093" t="str">
        <f t="shared" si="579"/>
        <v>06032681006</v>
      </c>
      <c r="D7093" t="str">
        <f t="shared" si="580"/>
        <v>12572900152</v>
      </c>
      <c r="E7093" t="s">
        <v>52</v>
      </c>
      <c r="F7093">
        <v>2014</v>
      </c>
      <c r="G7093">
        <v>25209895</v>
      </c>
      <c r="H7093" s="1">
        <v>41947</v>
      </c>
      <c r="I7093" s="1">
        <v>41962</v>
      </c>
      <c r="J7093" s="1">
        <v>41962</v>
      </c>
      <c r="K7093" s="1">
        <v>42022</v>
      </c>
      <c r="L7093" s="7">
        <v>936</v>
      </c>
      <c r="M7093" s="5">
        <v>282</v>
      </c>
      <c r="N7093" s="7">
        <v>263952</v>
      </c>
      <c r="O7093">
        <v>936</v>
      </c>
      <c r="P7093">
        <v>282</v>
      </c>
      <c r="Q7093" s="2">
        <v>263952</v>
      </c>
      <c r="R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 s="1">
        <v>42382</v>
      </c>
      <c r="AC7093" t="s">
        <v>53</v>
      </c>
      <c r="AD7093" t="s">
        <v>53</v>
      </c>
      <c r="AK7093">
        <v>0</v>
      </c>
      <c r="AU7093" s="6">
        <v>42304</v>
      </c>
      <c r="AV7093" s="6">
        <v>42304</v>
      </c>
      <c r="AW7093" t="s">
        <v>54</v>
      </c>
      <c r="AX7093" t="str">
        <f t="shared" si="578"/>
        <v>FOR</v>
      </c>
      <c r="AY7093" t="s">
        <v>55</v>
      </c>
    </row>
    <row r="7094" spans="1:51">
      <c r="A7094">
        <v>104093</v>
      </c>
      <c r="B7094" t="s">
        <v>1210</v>
      </c>
      <c r="C7094" t="str">
        <f t="shared" si="579"/>
        <v>06032681006</v>
      </c>
      <c r="D7094" t="str">
        <f t="shared" si="580"/>
        <v>12572900152</v>
      </c>
      <c r="E7094" t="s">
        <v>52</v>
      </c>
      <c r="F7094">
        <v>2014</v>
      </c>
      <c r="G7094">
        <v>25209896</v>
      </c>
      <c r="H7094" s="1">
        <v>41947</v>
      </c>
      <c r="I7094" s="1">
        <v>41962</v>
      </c>
      <c r="J7094" s="1">
        <v>41962</v>
      </c>
      <c r="K7094" s="1">
        <v>42022</v>
      </c>
      <c r="L7094" s="7">
        <v>936</v>
      </c>
      <c r="M7094" s="5">
        <v>282</v>
      </c>
      <c r="N7094" s="7">
        <v>263952</v>
      </c>
      <c r="O7094">
        <v>936</v>
      </c>
      <c r="P7094">
        <v>282</v>
      </c>
      <c r="Q7094" s="2">
        <v>263952</v>
      </c>
      <c r="R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 s="1">
        <v>42382</v>
      </c>
      <c r="AC7094" t="s">
        <v>53</v>
      </c>
      <c r="AD7094" t="s">
        <v>53</v>
      </c>
      <c r="AK7094">
        <v>0</v>
      </c>
      <c r="AU7094" s="6">
        <v>42304</v>
      </c>
      <c r="AV7094" s="6">
        <v>42304</v>
      </c>
      <c r="AW7094" t="s">
        <v>54</v>
      </c>
      <c r="AX7094" t="str">
        <f t="shared" si="578"/>
        <v>FOR</v>
      </c>
      <c r="AY7094" t="s">
        <v>55</v>
      </c>
    </row>
    <row r="7095" spans="1:51">
      <c r="A7095">
        <v>104093</v>
      </c>
      <c r="B7095" t="s">
        <v>1210</v>
      </c>
      <c r="C7095" t="str">
        <f t="shared" si="579"/>
        <v>06032681006</v>
      </c>
      <c r="D7095" t="str">
        <f t="shared" si="580"/>
        <v>12572900152</v>
      </c>
      <c r="E7095" t="s">
        <v>52</v>
      </c>
      <c r="F7095">
        <v>2014</v>
      </c>
      <c r="G7095">
        <v>25209897</v>
      </c>
      <c r="H7095" s="1">
        <v>41947</v>
      </c>
      <c r="I7095" s="1">
        <v>41962</v>
      </c>
      <c r="J7095" s="1">
        <v>41962</v>
      </c>
      <c r="K7095" s="1">
        <v>42022</v>
      </c>
      <c r="L7095" s="7">
        <v>936</v>
      </c>
      <c r="M7095" s="5">
        <v>282</v>
      </c>
      <c r="N7095" s="7">
        <v>263952</v>
      </c>
      <c r="O7095">
        <v>936</v>
      </c>
      <c r="P7095">
        <v>282</v>
      </c>
      <c r="Q7095" s="2">
        <v>263952</v>
      </c>
      <c r="R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 s="1">
        <v>42382</v>
      </c>
      <c r="AC7095" t="s">
        <v>53</v>
      </c>
      <c r="AD7095" t="s">
        <v>53</v>
      </c>
      <c r="AK7095">
        <v>0</v>
      </c>
      <c r="AU7095" s="6">
        <v>42304</v>
      </c>
      <c r="AV7095" s="6">
        <v>42304</v>
      </c>
      <c r="AW7095" t="s">
        <v>54</v>
      </c>
      <c r="AX7095" t="str">
        <f t="shared" si="578"/>
        <v>FOR</v>
      </c>
      <c r="AY7095" t="s">
        <v>55</v>
      </c>
    </row>
    <row r="7096" spans="1:51">
      <c r="A7096">
        <v>104093</v>
      </c>
      <c r="B7096" t="s">
        <v>1210</v>
      </c>
      <c r="C7096" t="str">
        <f t="shared" si="579"/>
        <v>06032681006</v>
      </c>
      <c r="D7096" t="str">
        <f t="shared" si="580"/>
        <v>12572900152</v>
      </c>
      <c r="E7096" t="s">
        <v>52</v>
      </c>
      <c r="F7096">
        <v>2014</v>
      </c>
      <c r="G7096">
        <v>25211540</v>
      </c>
      <c r="H7096" s="1">
        <v>41956</v>
      </c>
      <c r="I7096" s="1">
        <v>41971</v>
      </c>
      <c r="J7096" s="1">
        <v>41971</v>
      </c>
      <c r="K7096" s="1">
        <v>42031</v>
      </c>
      <c r="L7096" s="7">
        <v>74.88</v>
      </c>
      <c r="M7096" s="5">
        <v>273</v>
      </c>
      <c r="N7096" s="7">
        <v>20442.240000000002</v>
      </c>
      <c r="O7096">
        <v>74.88</v>
      </c>
      <c r="P7096">
        <v>273</v>
      </c>
      <c r="Q7096" s="2">
        <v>20442.240000000002</v>
      </c>
      <c r="R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 s="1">
        <v>42382</v>
      </c>
      <c r="AC7096" t="s">
        <v>53</v>
      </c>
      <c r="AD7096" t="s">
        <v>53</v>
      </c>
      <c r="AK7096">
        <v>0</v>
      </c>
      <c r="AU7096" s="6">
        <v>42304</v>
      </c>
      <c r="AV7096" s="6">
        <v>42304</v>
      </c>
      <c r="AW7096" t="s">
        <v>54</v>
      </c>
      <c r="AX7096" t="str">
        <f t="shared" si="578"/>
        <v>FOR</v>
      </c>
      <c r="AY7096" t="s">
        <v>55</v>
      </c>
    </row>
    <row r="7097" spans="1:51">
      <c r="A7097">
        <v>104093</v>
      </c>
      <c r="B7097" t="s">
        <v>1210</v>
      </c>
      <c r="C7097" t="str">
        <f t="shared" si="579"/>
        <v>06032681006</v>
      </c>
      <c r="D7097" t="str">
        <f t="shared" si="580"/>
        <v>12572900152</v>
      </c>
      <c r="E7097" t="s">
        <v>52</v>
      </c>
      <c r="F7097">
        <v>2014</v>
      </c>
      <c r="G7097">
        <v>25211541</v>
      </c>
      <c r="H7097" s="1">
        <v>41956</v>
      </c>
      <c r="I7097" s="1">
        <v>41971</v>
      </c>
      <c r="J7097" s="1">
        <v>41971</v>
      </c>
      <c r="K7097" s="1">
        <v>42031</v>
      </c>
      <c r="L7097" s="7">
        <v>74.88</v>
      </c>
      <c r="M7097" s="5">
        <v>273</v>
      </c>
      <c r="N7097" s="7">
        <v>20442.240000000002</v>
      </c>
      <c r="O7097">
        <v>74.88</v>
      </c>
      <c r="P7097">
        <v>273</v>
      </c>
      <c r="Q7097" s="2">
        <v>20442.240000000002</v>
      </c>
      <c r="R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 s="1">
        <v>42382</v>
      </c>
      <c r="AC7097" t="s">
        <v>53</v>
      </c>
      <c r="AD7097" t="s">
        <v>53</v>
      </c>
      <c r="AK7097">
        <v>0</v>
      </c>
      <c r="AU7097" s="6">
        <v>42304</v>
      </c>
      <c r="AV7097" s="6">
        <v>42304</v>
      </c>
      <c r="AW7097" t="s">
        <v>54</v>
      </c>
      <c r="AX7097" t="str">
        <f t="shared" si="578"/>
        <v>FOR</v>
      </c>
      <c r="AY7097" t="s">
        <v>55</v>
      </c>
    </row>
    <row r="7098" spans="1:51">
      <c r="A7098">
        <v>104093</v>
      </c>
      <c r="B7098" t="s">
        <v>1210</v>
      </c>
      <c r="C7098" t="str">
        <f t="shared" si="579"/>
        <v>06032681006</v>
      </c>
      <c r="D7098" t="str">
        <f t="shared" si="580"/>
        <v>12572900152</v>
      </c>
      <c r="E7098" t="s">
        <v>52</v>
      </c>
      <c r="F7098">
        <v>2014</v>
      </c>
      <c r="G7098">
        <v>25211542</v>
      </c>
      <c r="H7098" s="1">
        <v>41956</v>
      </c>
      <c r="I7098" s="1">
        <v>41971</v>
      </c>
      <c r="J7098" s="1">
        <v>41971</v>
      </c>
      <c r="K7098" s="1">
        <v>42031</v>
      </c>
      <c r="L7098" s="7">
        <v>403.42</v>
      </c>
      <c r="M7098" s="5">
        <v>273</v>
      </c>
      <c r="N7098" s="7">
        <v>110133.66</v>
      </c>
      <c r="O7098">
        <v>403.42</v>
      </c>
      <c r="P7098">
        <v>273</v>
      </c>
      <c r="Q7098" s="2">
        <v>110133.66</v>
      </c>
      <c r="R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 s="1">
        <v>42382</v>
      </c>
      <c r="AC7098" t="s">
        <v>53</v>
      </c>
      <c r="AD7098" t="s">
        <v>53</v>
      </c>
      <c r="AK7098">
        <v>0</v>
      </c>
      <c r="AU7098" s="6">
        <v>42304</v>
      </c>
      <c r="AV7098" s="6">
        <v>42304</v>
      </c>
      <c r="AW7098" t="s">
        <v>54</v>
      </c>
      <c r="AX7098" t="str">
        <f t="shared" si="578"/>
        <v>FOR</v>
      </c>
      <c r="AY7098" t="s">
        <v>55</v>
      </c>
    </row>
    <row r="7099" spans="1:51">
      <c r="A7099">
        <v>104093</v>
      </c>
      <c r="B7099" t="s">
        <v>1210</v>
      </c>
      <c r="C7099" t="str">
        <f t="shared" si="579"/>
        <v>06032681006</v>
      </c>
      <c r="D7099" t="str">
        <f t="shared" si="580"/>
        <v>12572900152</v>
      </c>
      <c r="E7099" t="s">
        <v>52</v>
      </c>
      <c r="F7099">
        <v>2014</v>
      </c>
      <c r="G7099">
        <v>25211543</v>
      </c>
      <c r="H7099" s="1">
        <v>41956</v>
      </c>
      <c r="I7099" s="1">
        <v>41971</v>
      </c>
      <c r="J7099" s="1">
        <v>41971</v>
      </c>
      <c r="K7099" s="1">
        <v>42031</v>
      </c>
      <c r="L7099" s="7">
        <v>74.88</v>
      </c>
      <c r="M7099" s="5">
        <v>273</v>
      </c>
      <c r="N7099" s="7">
        <v>20442.240000000002</v>
      </c>
      <c r="O7099">
        <v>74.88</v>
      </c>
      <c r="P7099">
        <v>273</v>
      </c>
      <c r="Q7099" s="2">
        <v>20442.240000000002</v>
      </c>
      <c r="R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 s="1">
        <v>42382</v>
      </c>
      <c r="AC7099" t="s">
        <v>53</v>
      </c>
      <c r="AD7099" t="s">
        <v>53</v>
      </c>
      <c r="AK7099">
        <v>0</v>
      </c>
      <c r="AU7099" s="6">
        <v>42304</v>
      </c>
      <c r="AV7099" s="6">
        <v>42304</v>
      </c>
      <c r="AW7099" t="s">
        <v>54</v>
      </c>
      <c r="AX7099" t="str">
        <f t="shared" si="578"/>
        <v>FOR</v>
      </c>
      <c r="AY7099" t="s">
        <v>55</v>
      </c>
    </row>
    <row r="7100" spans="1:51">
      <c r="A7100">
        <v>104093</v>
      </c>
      <c r="B7100" t="s">
        <v>1210</v>
      </c>
      <c r="C7100" t="str">
        <f t="shared" si="579"/>
        <v>06032681006</v>
      </c>
      <c r="D7100" t="str">
        <f t="shared" si="580"/>
        <v>12572900152</v>
      </c>
      <c r="E7100" t="s">
        <v>52</v>
      </c>
      <c r="F7100">
        <v>2014</v>
      </c>
      <c r="G7100">
        <v>25211544</v>
      </c>
      <c r="H7100" s="1">
        <v>41956</v>
      </c>
      <c r="I7100" s="1">
        <v>41971</v>
      </c>
      <c r="J7100" s="1">
        <v>41971</v>
      </c>
      <c r="K7100" s="1">
        <v>42031</v>
      </c>
      <c r="L7100" s="7">
        <v>74.88</v>
      </c>
      <c r="M7100" s="5">
        <v>273</v>
      </c>
      <c r="N7100" s="7">
        <v>20442.240000000002</v>
      </c>
      <c r="O7100">
        <v>74.88</v>
      </c>
      <c r="P7100">
        <v>273</v>
      </c>
      <c r="Q7100" s="2">
        <v>20442.240000000002</v>
      </c>
      <c r="R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 s="1">
        <v>42382</v>
      </c>
      <c r="AC7100" t="s">
        <v>53</v>
      </c>
      <c r="AD7100" t="s">
        <v>53</v>
      </c>
      <c r="AK7100">
        <v>0</v>
      </c>
      <c r="AU7100" s="6">
        <v>42304</v>
      </c>
      <c r="AV7100" s="6">
        <v>42304</v>
      </c>
      <c r="AW7100" t="s">
        <v>54</v>
      </c>
      <c r="AX7100" t="str">
        <f t="shared" si="578"/>
        <v>FOR</v>
      </c>
      <c r="AY7100" t="s">
        <v>55</v>
      </c>
    </row>
    <row r="7101" spans="1:51">
      <c r="A7101">
        <v>104093</v>
      </c>
      <c r="B7101" t="s">
        <v>1210</v>
      </c>
      <c r="C7101" t="str">
        <f t="shared" si="579"/>
        <v>06032681006</v>
      </c>
      <c r="D7101" t="str">
        <f t="shared" si="580"/>
        <v>12572900152</v>
      </c>
      <c r="E7101" t="s">
        <v>52</v>
      </c>
      <c r="F7101">
        <v>2014</v>
      </c>
      <c r="G7101">
        <v>25211793</v>
      </c>
      <c r="H7101" s="1">
        <v>41957</v>
      </c>
      <c r="I7101" s="1">
        <v>41976</v>
      </c>
      <c r="J7101" s="1">
        <v>41976</v>
      </c>
      <c r="K7101" s="1">
        <v>42036</v>
      </c>
      <c r="L7101" s="7">
        <v>707.62</v>
      </c>
      <c r="M7101" s="5">
        <v>268</v>
      </c>
      <c r="N7101" s="7">
        <v>189642.16</v>
      </c>
      <c r="O7101">
        <v>707.62</v>
      </c>
      <c r="P7101">
        <v>268</v>
      </c>
      <c r="Q7101" s="2">
        <v>189642.16</v>
      </c>
      <c r="R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 s="1">
        <v>42382</v>
      </c>
      <c r="AC7101" t="s">
        <v>53</v>
      </c>
      <c r="AD7101" t="s">
        <v>53</v>
      </c>
      <c r="AK7101">
        <v>0</v>
      </c>
      <c r="AU7101" s="6">
        <v>42304</v>
      </c>
      <c r="AV7101" s="6">
        <v>42304</v>
      </c>
      <c r="AW7101" t="s">
        <v>54</v>
      </c>
      <c r="AX7101" t="str">
        <f t="shared" si="578"/>
        <v>FOR</v>
      </c>
      <c r="AY7101" t="s">
        <v>55</v>
      </c>
    </row>
    <row r="7102" spans="1:51">
      <c r="A7102">
        <v>104093</v>
      </c>
      <c r="B7102" t="s">
        <v>1210</v>
      </c>
      <c r="C7102" t="str">
        <f t="shared" si="579"/>
        <v>06032681006</v>
      </c>
      <c r="D7102" t="str">
        <f t="shared" si="580"/>
        <v>12572900152</v>
      </c>
      <c r="E7102" t="s">
        <v>52</v>
      </c>
      <c r="F7102">
        <v>2014</v>
      </c>
      <c r="G7102">
        <v>25211794</v>
      </c>
      <c r="H7102" s="1">
        <v>41957</v>
      </c>
      <c r="I7102" s="1">
        <v>41976</v>
      </c>
      <c r="J7102" s="1">
        <v>41976</v>
      </c>
      <c r="K7102" s="1">
        <v>42036</v>
      </c>
      <c r="L7102" s="7">
        <v>74.88</v>
      </c>
      <c r="M7102" s="5">
        <v>268</v>
      </c>
      <c r="N7102" s="7">
        <v>20067.84</v>
      </c>
      <c r="O7102">
        <v>74.88</v>
      </c>
      <c r="P7102">
        <v>268</v>
      </c>
      <c r="Q7102" s="2">
        <v>20067.84</v>
      </c>
      <c r="R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 s="1">
        <v>42382</v>
      </c>
      <c r="AC7102" t="s">
        <v>53</v>
      </c>
      <c r="AD7102" t="s">
        <v>53</v>
      </c>
      <c r="AK7102">
        <v>0</v>
      </c>
      <c r="AU7102" s="6">
        <v>42304</v>
      </c>
      <c r="AV7102" s="6">
        <v>42304</v>
      </c>
      <c r="AW7102" t="s">
        <v>54</v>
      </c>
      <c r="AX7102" t="str">
        <f t="shared" si="578"/>
        <v>FOR</v>
      </c>
      <c r="AY7102" t="s">
        <v>55</v>
      </c>
    </row>
    <row r="7103" spans="1:51">
      <c r="A7103">
        <v>104093</v>
      </c>
      <c r="B7103" t="s">
        <v>1210</v>
      </c>
      <c r="C7103" t="str">
        <f t="shared" si="579"/>
        <v>06032681006</v>
      </c>
      <c r="D7103" t="str">
        <f t="shared" si="580"/>
        <v>12572900152</v>
      </c>
      <c r="E7103" t="s">
        <v>52</v>
      </c>
      <c r="F7103">
        <v>2014</v>
      </c>
      <c r="G7103">
        <v>25211795</v>
      </c>
      <c r="H7103" s="1">
        <v>41957</v>
      </c>
      <c r="I7103" s="1">
        <v>41976</v>
      </c>
      <c r="J7103" s="1">
        <v>41976</v>
      </c>
      <c r="K7103" s="1">
        <v>42036</v>
      </c>
      <c r="L7103" s="7">
        <v>707.62</v>
      </c>
      <c r="M7103" s="5">
        <v>268</v>
      </c>
      <c r="N7103" s="7">
        <v>189642.16</v>
      </c>
      <c r="O7103">
        <v>707.62</v>
      </c>
      <c r="P7103">
        <v>268</v>
      </c>
      <c r="Q7103" s="2">
        <v>189642.16</v>
      </c>
      <c r="R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 s="1">
        <v>42382</v>
      </c>
      <c r="AC7103" t="s">
        <v>53</v>
      </c>
      <c r="AD7103" t="s">
        <v>53</v>
      </c>
      <c r="AK7103">
        <v>0</v>
      </c>
      <c r="AU7103" s="6">
        <v>42304</v>
      </c>
      <c r="AV7103" s="6">
        <v>42304</v>
      </c>
      <c r="AW7103" t="s">
        <v>54</v>
      </c>
      <c r="AX7103" t="str">
        <f t="shared" si="578"/>
        <v>FOR</v>
      </c>
      <c r="AY7103" t="s">
        <v>55</v>
      </c>
    </row>
    <row r="7104" spans="1:51">
      <c r="A7104">
        <v>104093</v>
      </c>
      <c r="B7104" t="s">
        <v>1210</v>
      </c>
      <c r="C7104" t="str">
        <f t="shared" si="579"/>
        <v>06032681006</v>
      </c>
      <c r="D7104" t="str">
        <f t="shared" si="580"/>
        <v>12572900152</v>
      </c>
      <c r="E7104" t="s">
        <v>52</v>
      </c>
      <c r="F7104">
        <v>2014</v>
      </c>
      <c r="G7104">
        <v>25211796</v>
      </c>
      <c r="H7104" s="1">
        <v>41957</v>
      </c>
      <c r="I7104" s="1">
        <v>41976</v>
      </c>
      <c r="J7104" s="1">
        <v>41976</v>
      </c>
      <c r="K7104" s="1">
        <v>42036</v>
      </c>
      <c r="L7104" s="7">
        <v>252.72</v>
      </c>
      <c r="M7104" s="5">
        <v>268</v>
      </c>
      <c r="N7104" s="7">
        <v>67728.960000000006</v>
      </c>
      <c r="O7104">
        <v>252.72</v>
      </c>
      <c r="P7104">
        <v>268</v>
      </c>
      <c r="Q7104" s="2">
        <v>67728.960000000006</v>
      </c>
      <c r="R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 s="1">
        <v>42382</v>
      </c>
      <c r="AC7104" t="s">
        <v>53</v>
      </c>
      <c r="AD7104" t="s">
        <v>53</v>
      </c>
      <c r="AK7104">
        <v>0</v>
      </c>
      <c r="AU7104" s="6">
        <v>42304</v>
      </c>
      <c r="AV7104" s="6">
        <v>42304</v>
      </c>
      <c r="AW7104" t="s">
        <v>54</v>
      </c>
      <c r="AX7104" t="str">
        <f t="shared" si="578"/>
        <v>FOR</v>
      </c>
      <c r="AY7104" t="s">
        <v>55</v>
      </c>
    </row>
    <row r="7105" spans="1:51">
      <c r="A7105">
        <v>104093</v>
      </c>
      <c r="B7105" t="s">
        <v>1210</v>
      </c>
      <c r="C7105" t="str">
        <f t="shared" si="579"/>
        <v>06032681006</v>
      </c>
      <c r="D7105" t="str">
        <f t="shared" si="580"/>
        <v>12572900152</v>
      </c>
      <c r="E7105" t="s">
        <v>52</v>
      </c>
      <c r="F7105">
        <v>2014</v>
      </c>
      <c r="G7105">
        <v>25211797</v>
      </c>
      <c r="H7105" s="1">
        <v>41957</v>
      </c>
      <c r="I7105" s="1">
        <v>41976</v>
      </c>
      <c r="J7105" s="1">
        <v>41976</v>
      </c>
      <c r="K7105" s="1">
        <v>42036</v>
      </c>
      <c r="L7105" s="7">
        <v>707.62</v>
      </c>
      <c r="M7105" s="5">
        <v>268</v>
      </c>
      <c r="N7105" s="7">
        <v>189642.16</v>
      </c>
      <c r="O7105">
        <v>707.62</v>
      </c>
      <c r="P7105">
        <v>268</v>
      </c>
      <c r="Q7105" s="2">
        <v>189642.16</v>
      </c>
      <c r="R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 s="1">
        <v>42382</v>
      </c>
      <c r="AC7105" t="s">
        <v>53</v>
      </c>
      <c r="AD7105" t="s">
        <v>53</v>
      </c>
      <c r="AK7105">
        <v>0</v>
      </c>
      <c r="AU7105" s="6">
        <v>42304</v>
      </c>
      <c r="AV7105" s="6">
        <v>42304</v>
      </c>
      <c r="AW7105" t="s">
        <v>54</v>
      </c>
      <c r="AX7105" t="str">
        <f t="shared" si="578"/>
        <v>FOR</v>
      </c>
      <c r="AY7105" t="s">
        <v>55</v>
      </c>
    </row>
    <row r="7106" spans="1:51">
      <c r="A7106">
        <v>104093</v>
      </c>
      <c r="B7106" t="s">
        <v>1210</v>
      </c>
      <c r="C7106" t="str">
        <f t="shared" si="579"/>
        <v>06032681006</v>
      </c>
      <c r="D7106" t="str">
        <f t="shared" si="580"/>
        <v>12572900152</v>
      </c>
      <c r="E7106" t="s">
        <v>52</v>
      </c>
      <c r="F7106">
        <v>2014</v>
      </c>
      <c r="G7106">
        <v>25211798</v>
      </c>
      <c r="H7106" s="1">
        <v>41957</v>
      </c>
      <c r="I7106" s="1">
        <v>41976</v>
      </c>
      <c r="J7106" s="1">
        <v>41976</v>
      </c>
      <c r="K7106" s="1">
        <v>42036</v>
      </c>
      <c r="L7106" s="7">
        <v>252.72</v>
      </c>
      <c r="M7106" s="5">
        <v>268</v>
      </c>
      <c r="N7106" s="7">
        <v>67728.960000000006</v>
      </c>
      <c r="O7106">
        <v>252.72</v>
      </c>
      <c r="P7106">
        <v>268</v>
      </c>
      <c r="Q7106" s="2">
        <v>67728.960000000006</v>
      </c>
      <c r="R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 s="1">
        <v>42382</v>
      </c>
      <c r="AC7106" t="s">
        <v>53</v>
      </c>
      <c r="AD7106" t="s">
        <v>53</v>
      </c>
      <c r="AK7106">
        <v>0</v>
      </c>
      <c r="AU7106" s="6">
        <v>42304</v>
      </c>
      <c r="AV7106" s="6">
        <v>42304</v>
      </c>
      <c r="AW7106" t="s">
        <v>54</v>
      </c>
      <c r="AX7106" t="str">
        <f t="shared" si="578"/>
        <v>FOR</v>
      </c>
      <c r="AY7106" t="s">
        <v>55</v>
      </c>
    </row>
    <row r="7107" spans="1:51">
      <c r="A7107">
        <v>104093</v>
      </c>
      <c r="B7107" t="s">
        <v>1210</v>
      </c>
      <c r="C7107" t="str">
        <f t="shared" si="579"/>
        <v>06032681006</v>
      </c>
      <c r="D7107" t="str">
        <f t="shared" si="580"/>
        <v>12572900152</v>
      </c>
      <c r="E7107" t="s">
        <v>52</v>
      </c>
      <c r="F7107">
        <v>2014</v>
      </c>
      <c r="G7107">
        <v>25211858</v>
      </c>
      <c r="H7107" s="1">
        <v>41957</v>
      </c>
      <c r="I7107" s="1">
        <v>41976</v>
      </c>
      <c r="J7107" s="1">
        <v>41976</v>
      </c>
      <c r="K7107" s="1">
        <v>42036</v>
      </c>
      <c r="L7107" s="7">
        <v>74.88</v>
      </c>
      <c r="M7107" s="5">
        <v>268</v>
      </c>
      <c r="N7107" s="7">
        <v>20067.84</v>
      </c>
      <c r="O7107">
        <v>74.88</v>
      </c>
      <c r="P7107">
        <v>268</v>
      </c>
      <c r="Q7107" s="2">
        <v>20067.84</v>
      </c>
      <c r="R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 s="1">
        <v>42382</v>
      </c>
      <c r="AC7107" t="s">
        <v>53</v>
      </c>
      <c r="AD7107" t="s">
        <v>53</v>
      </c>
      <c r="AK7107">
        <v>0</v>
      </c>
      <c r="AU7107" s="6">
        <v>42304</v>
      </c>
      <c r="AV7107" s="6">
        <v>42304</v>
      </c>
      <c r="AW7107" t="s">
        <v>54</v>
      </c>
      <c r="AX7107" t="str">
        <f t="shared" ref="AX7107:AX7170" si="581">"FOR"</f>
        <v>FOR</v>
      </c>
      <c r="AY7107" t="s">
        <v>55</v>
      </c>
    </row>
    <row r="7108" spans="1:51">
      <c r="A7108">
        <v>104093</v>
      </c>
      <c r="B7108" t="s">
        <v>1210</v>
      </c>
      <c r="C7108" t="str">
        <f t="shared" si="579"/>
        <v>06032681006</v>
      </c>
      <c r="D7108" t="str">
        <f t="shared" si="580"/>
        <v>12572900152</v>
      </c>
      <c r="E7108" t="s">
        <v>52</v>
      </c>
      <c r="F7108">
        <v>2014</v>
      </c>
      <c r="G7108">
        <v>25211859</v>
      </c>
      <c r="H7108" s="1">
        <v>41957</v>
      </c>
      <c r="I7108" s="1">
        <v>41976</v>
      </c>
      <c r="J7108" s="1">
        <v>41976</v>
      </c>
      <c r="K7108" s="1">
        <v>42036</v>
      </c>
      <c r="L7108" s="7">
        <v>74.88</v>
      </c>
      <c r="M7108" s="5">
        <v>268</v>
      </c>
      <c r="N7108" s="7">
        <v>20067.84</v>
      </c>
      <c r="O7108">
        <v>74.88</v>
      </c>
      <c r="P7108">
        <v>268</v>
      </c>
      <c r="Q7108" s="2">
        <v>20067.84</v>
      </c>
      <c r="R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 s="1">
        <v>42382</v>
      </c>
      <c r="AC7108" t="s">
        <v>53</v>
      </c>
      <c r="AD7108" t="s">
        <v>53</v>
      </c>
      <c r="AK7108">
        <v>0</v>
      </c>
      <c r="AU7108" s="6">
        <v>42304</v>
      </c>
      <c r="AV7108" s="6">
        <v>42304</v>
      </c>
      <c r="AW7108" t="s">
        <v>54</v>
      </c>
      <c r="AX7108" t="str">
        <f t="shared" si="581"/>
        <v>FOR</v>
      </c>
      <c r="AY7108" t="s">
        <v>55</v>
      </c>
    </row>
    <row r="7109" spans="1:51">
      <c r="A7109">
        <v>104093</v>
      </c>
      <c r="B7109" t="s">
        <v>1210</v>
      </c>
      <c r="C7109" t="str">
        <f t="shared" si="579"/>
        <v>06032681006</v>
      </c>
      <c r="D7109" t="str">
        <f t="shared" si="580"/>
        <v>12572900152</v>
      </c>
      <c r="E7109" t="s">
        <v>52</v>
      </c>
      <c r="F7109">
        <v>2014</v>
      </c>
      <c r="G7109">
        <v>25212112</v>
      </c>
      <c r="H7109" s="1">
        <v>41960</v>
      </c>
      <c r="I7109" s="1">
        <v>41983</v>
      </c>
      <c r="J7109" s="1">
        <v>41983</v>
      </c>
      <c r="K7109" s="1">
        <v>42043</v>
      </c>
      <c r="L7109" s="7">
        <v>936</v>
      </c>
      <c r="M7109" s="5">
        <v>261</v>
      </c>
      <c r="N7109" s="7">
        <v>244296</v>
      </c>
      <c r="O7109">
        <v>936</v>
      </c>
      <c r="P7109">
        <v>261</v>
      </c>
      <c r="Q7109" s="2">
        <v>244296</v>
      </c>
      <c r="R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 s="1">
        <v>42382</v>
      </c>
      <c r="AC7109" t="s">
        <v>53</v>
      </c>
      <c r="AD7109" t="s">
        <v>53</v>
      </c>
      <c r="AK7109">
        <v>0</v>
      </c>
      <c r="AU7109" s="6">
        <v>42304</v>
      </c>
      <c r="AV7109" s="6">
        <v>42304</v>
      </c>
      <c r="AW7109" t="s">
        <v>54</v>
      </c>
      <c r="AX7109" t="str">
        <f t="shared" si="581"/>
        <v>FOR</v>
      </c>
      <c r="AY7109" t="s">
        <v>55</v>
      </c>
    </row>
    <row r="7110" spans="1:51">
      <c r="A7110">
        <v>104093</v>
      </c>
      <c r="B7110" t="s">
        <v>1210</v>
      </c>
      <c r="C7110" t="str">
        <f t="shared" si="579"/>
        <v>06032681006</v>
      </c>
      <c r="D7110" t="str">
        <f t="shared" si="580"/>
        <v>12572900152</v>
      </c>
      <c r="E7110" t="s">
        <v>52</v>
      </c>
      <c r="F7110">
        <v>2014</v>
      </c>
      <c r="G7110">
        <v>25212378</v>
      </c>
      <c r="H7110" s="1">
        <v>41961</v>
      </c>
      <c r="I7110" s="1">
        <v>41983</v>
      </c>
      <c r="J7110" s="1">
        <v>41983</v>
      </c>
      <c r="K7110" s="1">
        <v>42043</v>
      </c>
      <c r="L7110" s="7">
        <v>936</v>
      </c>
      <c r="M7110" s="5">
        <v>261</v>
      </c>
      <c r="N7110" s="7">
        <v>244296</v>
      </c>
      <c r="O7110">
        <v>936</v>
      </c>
      <c r="P7110">
        <v>261</v>
      </c>
      <c r="Q7110" s="2">
        <v>244296</v>
      </c>
      <c r="R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 s="1">
        <v>42382</v>
      </c>
      <c r="AC7110" t="s">
        <v>53</v>
      </c>
      <c r="AD7110" t="s">
        <v>53</v>
      </c>
      <c r="AK7110">
        <v>0</v>
      </c>
      <c r="AU7110" s="6">
        <v>42304</v>
      </c>
      <c r="AV7110" s="6">
        <v>42304</v>
      </c>
      <c r="AW7110" t="s">
        <v>54</v>
      </c>
      <c r="AX7110" t="str">
        <f t="shared" si="581"/>
        <v>FOR</v>
      </c>
      <c r="AY7110" t="s">
        <v>55</v>
      </c>
    </row>
    <row r="7111" spans="1:51">
      <c r="A7111">
        <v>104093</v>
      </c>
      <c r="B7111" t="s">
        <v>1210</v>
      </c>
      <c r="C7111" t="str">
        <f t="shared" si="579"/>
        <v>06032681006</v>
      </c>
      <c r="D7111" t="str">
        <f t="shared" si="580"/>
        <v>12572900152</v>
      </c>
      <c r="E7111" t="s">
        <v>52</v>
      </c>
      <c r="F7111">
        <v>2014</v>
      </c>
      <c r="G7111">
        <v>25212379</v>
      </c>
      <c r="H7111" s="1">
        <v>41961</v>
      </c>
      <c r="I7111" s="1">
        <v>41983</v>
      </c>
      <c r="J7111" s="1">
        <v>41983</v>
      </c>
      <c r="K7111" s="1">
        <v>42043</v>
      </c>
      <c r="L7111" s="7">
        <v>936</v>
      </c>
      <c r="M7111" s="5">
        <v>261</v>
      </c>
      <c r="N7111" s="7">
        <v>244296</v>
      </c>
      <c r="O7111">
        <v>936</v>
      </c>
      <c r="P7111">
        <v>261</v>
      </c>
      <c r="Q7111" s="2">
        <v>244296</v>
      </c>
      <c r="R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 s="1">
        <v>42382</v>
      </c>
      <c r="AC7111" t="s">
        <v>53</v>
      </c>
      <c r="AD7111" t="s">
        <v>53</v>
      </c>
      <c r="AK7111">
        <v>0</v>
      </c>
      <c r="AU7111" s="6">
        <v>42304</v>
      </c>
      <c r="AV7111" s="6">
        <v>42304</v>
      </c>
      <c r="AW7111" t="s">
        <v>54</v>
      </c>
      <c r="AX7111" t="str">
        <f t="shared" si="581"/>
        <v>FOR</v>
      </c>
      <c r="AY7111" t="s">
        <v>55</v>
      </c>
    </row>
    <row r="7112" spans="1:51">
      <c r="A7112">
        <v>104093</v>
      </c>
      <c r="B7112" t="s">
        <v>1210</v>
      </c>
      <c r="C7112" t="str">
        <f t="shared" si="579"/>
        <v>06032681006</v>
      </c>
      <c r="D7112" t="str">
        <f t="shared" si="580"/>
        <v>12572900152</v>
      </c>
      <c r="E7112" t="s">
        <v>52</v>
      </c>
      <c r="F7112">
        <v>2014</v>
      </c>
      <c r="G7112">
        <v>25213246</v>
      </c>
      <c r="H7112" s="1">
        <v>41964</v>
      </c>
      <c r="I7112" s="1">
        <v>41985</v>
      </c>
      <c r="J7112" s="1">
        <v>41985</v>
      </c>
      <c r="K7112" s="1">
        <v>42045</v>
      </c>
      <c r="L7112" s="7">
        <v>3949.92</v>
      </c>
      <c r="M7112" s="5">
        <v>259</v>
      </c>
      <c r="N7112" s="7">
        <v>1023029.28</v>
      </c>
      <c r="O7112" s="2">
        <v>3949.92</v>
      </c>
      <c r="P7112">
        <v>259</v>
      </c>
      <c r="Q7112" s="2">
        <v>1023029.28</v>
      </c>
      <c r="R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 s="1">
        <v>42382</v>
      </c>
      <c r="AC7112" t="s">
        <v>53</v>
      </c>
      <c r="AD7112" t="s">
        <v>53</v>
      </c>
      <c r="AK7112">
        <v>0</v>
      </c>
      <c r="AU7112" s="6">
        <v>42304</v>
      </c>
      <c r="AV7112" s="6">
        <v>42304</v>
      </c>
      <c r="AW7112" t="s">
        <v>54</v>
      </c>
      <c r="AX7112" t="str">
        <f t="shared" si="581"/>
        <v>FOR</v>
      </c>
      <c r="AY7112" t="s">
        <v>55</v>
      </c>
    </row>
    <row r="7113" spans="1:51">
      <c r="A7113">
        <v>104093</v>
      </c>
      <c r="B7113" t="s">
        <v>1210</v>
      </c>
      <c r="C7113" t="str">
        <f t="shared" si="579"/>
        <v>06032681006</v>
      </c>
      <c r="D7113" t="str">
        <f t="shared" si="580"/>
        <v>12572900152</v>
      </c>
      <c r="E7113" t="s">
        <v>52</v>
      </c>
      <c r="F7113">
        <v>2014</v>
      </c>
      <c r="G7113">
        <v>25213695</v>
      </c>
      <c r="H7113" s="1">
        <v>41968</v>
      </c>
      <c r="I7113" s="1">
        <v>42025</v>
      </c>
      <c r="J7113" s="1">
        <v>42025</v>
      </c>
      <c r="K7113" s="1">
        <v>42085</v>
      </c>
      <c r="L7113" s="7">
        <v>936</v>
      </c>
      <c r="M7113" s="5">
        <v>219</v>
      </c>
      <c r="N7113" s="7">
        <v>204984</v>
      </c>
      <c r="O7113">
        <v>936</v>
      </c>
      <c r="P7113">
        <v>219</v>
      </c>
      <c r="Q7113" s="2">
        <v>204984</v>
      </c>
      <c r="R7113">
        <v>0</v>
      </c>
      <c r="V7113">
        <v>0</v>
      </c>
      <c r="W7113">
        <v>0</v>
      </c>
      <c r="X7113">
        <v>0</v>
      </c>
      <c r="Y7113">
        <v>0</v>
      </c>
      <c r="Z7113">
        <v>936</v>
      </c>
      <c r="AA7113">
        <v>0</v>
      </c>
      <c r="AB7113" s="1">
        <v>42382</v>
      </c>
      <c r="AC7113" t="s">
        <v>53</v>
      </c>
      <c r="AD7113" t="s">
        <v>53</v>
      </c>
      <c r="AK7113">
        <v>0</v>
      </c>
      <c r="AU7113" s="6">
        <v>42304</v>
      </c>
      <c r="AV7113" s="6">
        <v>42304</v>
      </c>
      <c r="AW7113" t="s">
        <v>54</v>
      </c>
      <c r="AX7113" t="str">
        <f t="shared" si="581"/>
        <v>FOR</v>
      </c>
      <c r="AY7113" t="s">
        <v>55</v>
      </c>
    </row>
    <row r="7114" spans="1:51">
      <c r="A7114">
        <v>104093</v>
      </c>
      <c r="B7114" t="s">
        <v>1210</v>
      </c>
      <c r="C7114" t="str">
        <f t="shared" si="579"/>
        <v>06032681006</v>
      </c>
      <c r="D7114" t="str">
        <f t="shared" si="580"/>
        <v>12572900152</v>
      </c>
      <c r="E7114" t="s">
        <v>52</v>
      </c>
      <c r="F7114">
        <v>2014</v>
      </c>
      <c r="G7114">
        <v>25213696</v>
      </c>
      <c r="H7114" s="1">
        <v>41968</v>
      </c>
      <c r="I7114" s="1">
        <v>42025</v>
      </c>
      <c r="J7114" s="1">
        <v>42025</v>
      </c>
      <c r="K7114" s="1">
        <v>42085</v>
      </c>
      <c r="L7114" s="7">
        <v>936</v>
      </c>
      <c r="M7114" s="5">
        <v>219</v>
      </c>
      <c r="N7114" s="7">
        <v>204984</v>
      </c>
      <c r="O7114">
        <v>936</v>
      </c>
      <c r="P7114">
        <v>219</v>
      </c>
      <c r="Q7114" s="2">
        <v>204984</v>
      </c>
      <c r="R7114">
        <v>0</v>
      </c>
      <c r="V7114">
        <v>0</v>
      </c>
      <c r="W7114">
        <v>0</v>
      </c>
      <c r="X7114">
        <v>0</v>
      </c>
      <c r="Y7114">
        <v>0</v>
      </c>
      <c r="Z7114">
        <v>936</v>
      </c>
      <c r="AA7114">
        <v>0</v>
      </c>
      <c r="AB7114" s="1">
        <v>42382</v>
      </c>
      <c r="AC7114" t="s">
        <v>53</v>
      </c>
      <c r="AD7114" t="s">
        <v>53</v>
      </c>
      <c r="AK7114">
        <v>0</v>
      </c>
      <c r="AU7114" s="6">
        <v>42304</v>
      </c>
      <c r="AV7114" s="6">
        <v>42304</v>
      </c>
      <c r="AW7114" t="s">
        <v>54</v>
      </c>
      <c r="AX7114" t="str">
        <f t="shared" si="581"/>
        <v>FOR</v>
      </c>
      <c r="AY7114" t="s">
        <v>55</v>
      </c>
    </row>
    <row r="7115" spans="1:51">
      <c r="A7115">
        <v>104093</v>
      </c>
      <c r="B7115" t="s">
        <v>1210</v>
      </c>
      <c r="C7115" t="str">
        <f t="shared" si="579"/>
        <v>06032681006</v>
      </c>
      <c r="D7115" t="str">
        <f t="shared" si="580"/>
        <v>12572900152</v>
      </c>
      <c r="E7115" t="s">
        <v>52</v>
      </c>
      <c r="F7115">
        <v>2014</v>
      </c>
      <c r="G7115">
        <v>25213838</v>
      </c>
      <c r="H7115" s="1">
        <v>41968</v>
      </c>
      <c r="I7115" s="1">
        <v>42025</v>
      </c>
      <c r="J7115" s="1">
        <v>42025</v>
      </c>
      <c r="K7115" s="1">
        <v>42085</v>
      </c>
      <c r="L7115" s="7">
        <v>414.96</v>
      </c>
      <c r="M7115" s="5">
        <v>219</v>
      </c>
      <c r="N7115" s="7">
        <v>90876.24</v>
      </c>
      <c r="O7115">
        <v>414.96</v>
      </c>
      <c r="P7115">
        <v>219</v>
      </c>
      <c r="Q7115" s="2">
        <v>90876.24</v>
      </c>
      <c r="R7115">
        <v>0</v>
      </c>
      <c r="V7115">
        <v>0</v>
      </c>
      <c r="W7115">
        <v>0</v>
      </c>
      <c r="X7115">
        <v>0</v>
      </c>
      <c r="Y7115">
        <v>0</v>
      </c>
      <c r="Z7115">
        <v>414.96</v>
      </c>
      <c r="AA7115">
        <v>0</v>
      </c>
      <c r="AB7115" s="1">
        <v>42382</v>
      </c>
      <c r="AC7115" t="s">
        <v>53</v>
      </c>
      <c r="AD7115" t="s">
        <v>53</v>
      </c>
      <c r="AK7115">
        <v>0</v>
      </c>
      <c r="AU7115" s="6">
        <v>42304</v>
      </c>
      <c r="AV7115" s="6">
        <v>42304</v>
      </c>
      <c r="AW7115" t="s">
        <v>54</v>
      </c>
      <c r="AX7115" t="str">
        <f t="shared" si="581"/>
        <v>FOR</v>
      </c>
      <c r="AY7115" t="s">
        <v>55</v>
      </c>
    </row>
    <row r="7116" spans="1:51">
      <c r="A7116">
        <v>104093</v>
      </c>
      <c r="B7116" t="s">
        <v>1210</v>
      </c>
      <c r="C7116" t="str">
        <f t="shared" si="579"/>
        <v>06032681006</v>
      </c>
      <c r="D7116" t="str">
        <f t="shared" si="580"/>
        <v>12572900152</v>
      </c>
      <c r="E7116" t="s">
        <v>52</v>
      </c>
      <c r="F7116">
        <v>2014</v>
      </c>
      <c r="G7116">
        <v>25217863</v>
      </c>
      <c r="H7116" s="1">
        <v>41990</v>
      </c>
      <c r="I7116" s="1">
        <v>42025</v>
      </c>
      <c r="J7116" s="1">
        <v>42025</v>
      </c>
      <c r="K7116" s="1">
        <v>42085</v>
      </c>
      <c r="L7116" s="7">
        <v>936</v>
      </c>
      <c r="M7116" s="5">
        <v>256</v>
      </c>
      <c r="N7116" s="7">
        <v>239616</v>
      </c>
      <c r="O7116">
        <v>936</v>
      </c>
      <c r="P7116">
        <v>256</v>
      </c>
      <c r="Q7116" s="2">
        <v>239616</v>
      </c>
      <c r="R7116">
        <v>0</v>
      </c>
      <c r="V7116">
        <v>0</v>
      </c>
      <c r="W7116">
        <v>0</v>
      </c>
      <c r="X7116">
        <v>0</v>
      </c>
      <c r="Y7116">
        <v>0</v>
      </c>
      <c r="Z7116">
        <v>936</v>
      </c>
      <c r="AA7116">
        <v>0</v>
      </c>
      <c r="AB7116" s="1">
        <v>42382</v>
      </c>
      <c r="AC7116" t="s">
        <v>53</v>
      </c>
      <c r="AD7116" t="s">
        <v>53</v>
      </c>
      <c r="AK7116">
        <v>0</v>
      </c>
      <c r="AU7116" s="6">
        <v>42341</v>
      </c>
      <c r="AV7116" s="6">
        <v>42341</v>
      </c>
      <c r="AW7116" t="s">
        <v>54</v>
      </c>
      <c r="AX7116" t="str">
        <f t="shared" si="581"/>
        <v>FOR</v>
      </c>
      <c r="AY7116" t="s">
        <v>55</v>
      </c>
    </row>
    <row r="7117" spans="1:51">
      <c r="A7117">
        <v>104093</v>
      </c>
      <c r="B7117" t="s">
        <v>1210</v>
      </c>
      <c r="C7117" t="str">
        <f t="shared" si="579"/>
        <v>06032681006</v>
      </c>
      <c r="D7117" t="str">
        <f t="shared" si="580"/>
        <v>12572900152</v>
      </c>
      <c r="E7117" t="s">
        <v>52</v>
      </c>
      <c r="F7117">
        <v>2014</v>
      </c>
      <c r="G7117">
        <v>25217864</v>
      </c>
      <c r="H7117" s="1">
        <v>41990</v>
      </c>
      <c r="I7117" s="1">
        <v>42025</v>
      </c>
      <c r="J7117" s="1">
        <v>42025</v>
      </c>
      <c r="K7117" s="1">
        <v>42085</v>
      </c>
      <c r="L7117" s="7">
        <v>936</v>
      </c>
      <c r="M7117" s="5">
        <v>256</v>
      </c>
      <c r="N7117" s="7">
        <v>239616</v>
      </c>
      <c r="O7117">
        <v>936</v>
      </c>
      <c r="P7117">
        <v>256</v>
      </c>
      <c r="Q7117" s="2">
        <v>239616</v>
      </c>
      <c r="R7117">
        <v>0</v>
      </c>
      <c r="V7117">
        <v>0</v>
      </c>
      <c r="W7117">
        <v>0</v>
      </c>
      <c r="X7117">
        <v>0</v>
      </c>
      <c r="Y7117">
        <v>0</v>
      </c>
      <c r="Z7117">
        <v>936</v>
      </c>
      <c r="AA7117">
        <v>0</v>
      </c>
      <c r="AB7117" s="1">
        <v>42382</v>
      </c>
      <c r="AC7117" t="s">
        <v>53</v>
      </c>
      <c r="AD7117" t="s">
        <v>53</v>
      </c>
      <c r="AK7117">
        <v>0</v>
      </c>
      <c r="AU7117" s="6">
        <v>42341</v>
      </c>
      <c r="AV7117" s="6">
        <v>42341</v>
      </c>
      <c r="AW7117" t="s">
        <v>54</v>
      </c>
      <c r="AX7117" t="str">
        <f t="shared" si="581"/>
        <v>FOR</v>
      </c>
      <c r="AY7117" t="s">
        <v>55</v>
      </c>
    </row>
    <row r="7118" spans="1:51">
      <c r="A7118">
        <v>104093</v>
      </c>
      <c r="B7118" t="s">
        <v>1210</v>
      </c>
      <c r="C7118" t="str">
        <f t="shared" si="579"/>
        <v>06032681006</v>
      </c>
      <c r="D7118" t="str">
        <f t="shared" si="580"/>
        <v>12572900152</v>
      </c>
      <c r="E7118" t="s">
        <v>52</v>
      </c>
      <c r="F7118">
        <v>2014</v>
      </c>
      <c r="G7118">
        <v>25217865</v>
      </c>
      <c r="H7118" s="1">
        <v>41990</v>
      </c>
      <c r="I7118" s="1">
        <v>42025</v>
      </c>
      <c r="J7118" s="1">
        <v>42025</v>
      </c>
      <c r="K7118" s="1">
        <v>42085</v>
      </c>
      <c r="L7118" s="7">
        <v>936</v>
      </c>
      <c r="M7118" s="5">
        <v>256</v>
      </c>
      <c r="N7118" s="7">
        <v>239616</v>
      </c>
      <c r="O7118">
        <v>936</v>
      </c>
      <c r="P7118">
        <v>256</v>
      </c>
      <c r="Q7118" s="2">
        <v>239616</v>
      </c>
      <c r="R7118">
        <v>0</v>
      </c>
      <c r="V7118">
        <v>0</v>
      </c>
      <c r="W7118">
        <v>0</v>
      </c>
      <c r="X7118">
        <v>0</v>
      </c>
      <c r="Y7118">
        <v>0</v>
      </c>
      <c r="Z7118">
        <v>936</v>
      </c>
      <c r="AA7118">
        <v>0</v>
      </c>
      <c r="AB7118" s="1">
        <v>42382</v>
      </c>
      <c r="AC7118" t="s">
        <v>53</v>
      </c>
      <c r="AD7118" t="s">
        <v>53</v>
      </c>
      <c r="AK7118">
        <v>0</v>
      </c>
      <c r="AU7118" s="6">
        <v>42341</v>
      </c>
      <c r="AV7118" s="6">
        <v>42341</v>
      </c>
      <c r="AW7118" t="s">
        <v>54</v>
      </c>
      <c r="AX7118" t="str">
        <f t="shared" si="581"/>
        <v>FOR</v>
      </c>
      <c r="AY7118" t="s">
        <v>55</v>
      </c>
    </row>
    <row r="7119" spans="1:51">
      <c r="A7119">
        <v>104093</v>
      </c>
      <c r="B7119" t="s">
        <v>1210</v>
      </c>
      <c r="C7119" t="str">
        <f t="shared" si="579"/>
        <v>06032681006</v>
      </c>
      <c r="D7119" t="str">
        <f t="shared" si="580"/>
        <v>12572900152</v>
      </c>
      <c r="E7119" t="s">
        <v>52</v>
      </c>
      <c r="F7119">
        <v>2014</v>
      </c>
      <c r="G7119">
        <v>25217866</v>
      </c>
      <c r="H7119" s="1">
        <v>41990</v>
      </c>
      <c r="I7119" s="1">
        <v>42025</v>
      </c>
      <c r="J7119" s="1">
        <v>42025</v>
      </c>
      <c r="K7119" s="1">
        <v>42085</v>
      </c>
      <c r="L7119" s="7">
        <v>936</v>
      </c>
      <c r="M7119" s="5">
        <v>256</v>
      </c>
      <c r="N7119" s="7">
        <v>239616</v>
      </c>
      <c r="O7119">
        <v>936</v>
      </c>
      <c r="P7119">
        <v>256</v>
      </c>
      <c r="Q7119" s="2">
        <v>239616</v>
      </c>
      <c r="R7119">
        <v>0</v>
      </c>
      <c r="V7119">
        <v>0</v>
      </c>
      <c r="W7119">
        <v>0</v>
      </c>
      <c r="X7119">
        <v>0</v>
      </c>
      <c r="Y7119">
        <v>0</v>
      </c>
      <c r="Z7119">
        <v>936</v>
      </c>
      <c r="AA7119">
        <v>0</v>
      </c>
      <c r="AB7119" s="1">
        <v>42382</v>
      </c>
      <c r="AC7119" t="s">
        <v>53</v>
      </c>
      <c r="AD7119" t="s">
        <v>53</v>
      </c>
      <c r="AK7119">
        <v>0</v>
      </c>
      <c r="AU7119" s="6">
        <v>42341</v>
      </c>
      <c r="AV7119" s="6">
        <v>42341</v>
      </c>
      <c r="AW7119" t="s">
        <v>54</v>
      </c>
      <c r="AX7119" t="str">
        <f t="shared" si="581"/>
        <v>FOR</v>
      </c>
      <c r="AY7119" t="s">
        <v>55</v>
      </c>
    </row>
    <row r="7120" spans="1:51">
      <c r="A7120">
        <v>104093</v>
      </c>
      <c r="B7120" t="s">
        <v>1210</v>
      </c>
      <c r="C7120" t="str">
        <f t="shared" si="579"/>
        <v>06032681006</v>
      </c>
      <c r="D7120" t="str">
        <f t="shared" si="580"/>
        <v>12572900152</v>
      </c>
      <c r="E7120" t="s">
        <v>52</v>
      </c>
      <c r="F7120">
        <v>2014</v>
      </c>
      <c r="G7120">
        <v>25217867</v>
      </c>
      <c r="H7120" s="1">
        <v>41990</v>
      </c>
      <c r="I7120" s="1">
        <v>42025</v>
      </c>
      <c r="J7120" s="1">
        <v>42025</v>
      </c>
      <c r="K7120" s="1">
        <v>42085</v>
      </c>
      <c r="L7120" s="7">
        <v>936</v>
      </c>
      <c r="M7120" s="5">
        <v>256</v>
      </c>
      <c r="N7120" s="7">
        <v>239616</v>
      </c>
      <c r="O7120">
        <v>936</v>
      </c>
      <c r="P7120">
        <v>256</v>
      </c>
      <c r="Q7120" s="2">
        <v>239616</v>
      </c>
      <c r="R7120">
        <v>0</v>
      </c>
      <c r="V7120">
        <v>0</v>
      </c>
      <c r="W7120">
        <v>0</v>
      </c>
      <c r="X7120">
        <v>0</v>
      </c>
      <c r="Y7120">
        <v>0</v>
      </c>
      <c r="Z7120">
        <v>936</v>
      </c>
      <c r="AA7120">
        <v>0</v>
      </c>
      <c r="AB7120" s="1">
        <v>42382</v>
      </c>
      <c r="AC7120" t="s">
        <v>53</v>
      </c>
      <c r="AD7120" t="s">
        <v>53</v>
      </c>
      <c r="AK7120">
        <v>0</v>
      </c>
      <c r="AU7120" s="6">
        <v>42341</v>
      </c>
      <c r="AV7120" s="6">
        <v>42341</v>
      </c>
      <c r="AW7120" t="s">
        <v>54</v>
      </c>
      <c r="AX7120" t="str">
        <f t="shared" si="581"/>
        <v>FOR</v>
      </c>
      <c r="AY7120" t="s">
        <v>55</v>
      </c>
    </row>
    <row r="7121" spans="1:51">
      <c r="A7121">
        <v>104093</v>
      </c>
      <c r="B7121" t="s">
        <v>1210</v>
      </c>
      <c r="C7121" t="str">
        <f t="shared" si="579"/>
        <v>06032681006</v>
      </c>
      <c r="D7121" t="str">
        <f t="shared" si="580"/>
        <v>12572900152</v>
      </c>
      <c r="E7121" t="s">
        <v>52</v>
      </c>
      <c r="F7121">
        <v>2014</v>
      </c>
      <c r="G7121">
        <v>25217868</v>
      </c>
      <c r="H7121" s="1">
        <v>41990</v>
      </c>
      <c r="I7121" s="1">
        <v>42025</v>
      </c>
      <c r="J7121" s="1">
        <v>42025</v>
      </c>
      <c r="K7121" s="1">
        <v>42085</v>
      </c>
      <c r="L7121" s="7">
        <v>936</v>
      </c>
      <c r="M7121" s="5">
        <v>256</v>
      </c>
      <c r="N7121" s="7">
        <v>239616</v>
      </c>
      <c r="O7121">
        <v>936</v>
      </c>
      <c r="P7121">
        <v>256</v>
      </c>
      <c r="Q7121" s="2">
        <v>239616</v>
      </c>
      <c r="R7121">
        <v>0</v>
      </c>
      <c r="V7121">
        <v>0</v>
      </c>
      <c r="W7121">
        <v>0</v>
      </c>
      <c r="X7121">
        <v>0</v>
      </c>
      <c r="Y7121">
        <v>0</v>
      </c>
      <c r="Z7121">
        <v>936</v>
      </c>
      <c r="AA7121">
        <v>0</v>
      </c>
      <c r="AB7121" s="1">
        <v>42382</v>
      </c>
      <c r="AC7121" t="s">
        <v>53</v>
      </c>
      <c r="AD7121" t="s">
        <v>53</v>
      </c>
      <c r="AK7121">
        <v>0</v>
      </c>
      <c r="AU7121" s="6">
        <v>42341</v>
      </c>
      <c r="AV7121" s="6">
        <v>42341</v>
      </c>
      <c r="AW7121" t="s">
        <v>54</v>
      </c>
      <c r="AX7121" t="str">
        <f t="shared" si="581"/>
        <v>FOR</v>
      </c>
      <c r="AY7121" t="s">
        <v>55</v>
      </c>
    </row>
    <row r="7122" spans="1:51">
      <c r="A7122">
        <v>104093</v>
      </c>
      <c r="B7122" t="s">
        <v>1210</v>
      </c>
      <c r="C7122" t="str">
        <f t="shared" si="579"/>
        <v>06032681006</v>
      </c>
      <c r="D7122" t="str">
        <f t="shared" si="580"/>
        <v>12572900152</v>
      </c>
      <c r="E7122" t="s">
        <v>52</v>
      </c>
      <c r="F7122">
        <v>2014</v>
      </c>
      <c r="G7122">
        <v>25217869</v>
      </c>
      <c r="H7122" s="1">
        <v>41990</v>
      </c>
      <c r="I7122" s="1">
        <v>42025</v>
      </c>
      <c r="J7122" s="1">
        <v>42025</v>
      </c>
      <c r="K7122" s="1">
        <v>42085</v>
      </c>
      <c r="L7122" s="7">
        <v>936</v>
      </c>
      <c r="M7122" s="5">
        <v>256</v>
      </c>
      <c r="N7122" s="7">
        <v>239616</v>
      </c>
      <c r="O7122">
        <v>936</v>
      </c>
      <c r="P7122">
        <v>256</v>
      </c>
      <c r="Q7122" s="2">
        <v>239616</v>
      </c>
      <c r="R7122">
        <v>0</v>
      </c>
      <c r="V7122">
        <v>0</v>
      </c>
      <c r="W7122">
        <v>0</v>
      </c>
      <c r="X7122">
        <v>0</v>
      </c>
      <c r="Y7122">
        <v>0</v>
      </c>
      <c r="Z7122">
        <v>936</v>
      </c>
      <c r="AA7122">
        <v>0</v>
      </c>
      <c r="AB7122" s="1">
        <v>42382</v>
      </c>
      <c r="AC7122" t="s">
        <v>53</v>
      </c>
      <c r="AD7122" t="s">
        <v>53</v>
      </c>
      <c r="AK7122">
        <v>0</v>
      </c>
      <c r="AU7122" s="6">
        <v>42341</v>
      </c>
      <c r="AV7122" s="6">
        <v>42341</v>
      </c>
      <c r="AW7122" t="s">
        <v>54</v>
      </c>
      <c r="AX7122" t="str">
        <f t="shared" si="581"/>
        <v>FOR</v>
      </c>
      <c r="AY7122" t="s">
        <v>55</v>
      </c>
    </row>
    <row r="7123" spans="1:51">
      <c r="A7123">
        <v>104093</v>
      </c>
      <c r="B7123" t="s">
        <v>1210</v>
      </c>
      <c r="C7123" t="str">
        <f t="shared" si="579"/>
        <v>06032681006</v>
      </c>
      <c r="D7123" t="str">
        <f t="shared" si="580"/>
        <v>12572900152</v>
      </c>
      <c r="E7123" t="s">
        <v>52</v>
      </c>
      <c r="F7123">
        <v>2014</v>
      </c>
      <c r="G7123">
        <v>25217908</v>
      </c>
      <c r="H7123" s="1">
        <v>41990</v>
      </c>
      <c r="I7123" s="1">
        <v>42025</v>
      </c>
      <c r="J7123" s="1">
        <v>42025</v>
      </c>
      <c r="K7123" s="1">
        <v>42085</v>
      </c>
      <c r="L7123" s="7">
        <v>74.88</v>
      </c>
      <c r="M7123" s="5">
        <v>256</v>
      </c>
      <c r="N7123" s="7">
        <v>19169.28</v>
      </c>
      <c r="O7123">
        <v>74.88</v>
      </c>
      <c r="P7123">
        <v>256</v>
      </c>
      <c r="Q7123" s="2">
        <v>19169.28</v>
      </c>
      <c r="R7123">
        <v>0</v>
      </c>
      <c r="V7123">
        <v>0</v>
      </c>
      <c r="W7123">
        <v>0</v>
      </c>
      <c r="X7123">
        <v>0</v>
      </c>
      <c r="Y7123">
        <v>0</v>
      </c>
      <c r="Z7123">
        <v>74.88</v>
      </c>
      <c r="AA7123">
        <v>0</v>
      </c>
      <c r="AB7123" s="1">
        <v>42382</v>
      </c>
      <c r="AC7123" t="s">
        <v>53</v>
      </c>
      <c r="AD7123" t="s">
        <v>53</v>
      </c>
      <c r="AK7123">
        <v>0</v>
      </c>
      <c r="AU7123" s="6">
        <v>42341</v>
      </c>
      <c r="AV7123" s="6">
        <v>42341</v>
      </c>
      <c r="AW7123" t="s">
        <v>54</v>
      </c>
      <c r="AX7123" t="str">
        <f t="shared" si="581"/>
        <v>FOR</v>
      </c>
      <c r="AY7123" t="s">
        <v>55</v>
      </c>
    </row>
    <row r="7124" spans="1:51">
      <c r="A7124">
        <v>104093</v>
      </c>
      <c r="B7124" t="s">
        <v>1210</v>
      </c>
      <c r="C7124" t="str">
        <f t="shared" si="579"/>
        <v>06032681006</v>
      </c>
      <c r="D7124" t="str">
        <f t="shared" si="580"/>
        <v>12572900152</v>
      </c>
      <c r="E7124" t="s">
        <v>52</v>
      </c>
      <c r="F7124">
        <v>2014</v>
      </c>
      <c r="G7124">
        <v>25217909</v>
      </c>
      <c r="H7124" s="1">
        <v>41990</v>
      </c>
      <c r="I7124" s="1">
        <v>42025</v>
      </c>
      <c r="J7124" s="1">
        <v>42025</v>
      </c>
      <c r="K7124" s="1">
        <v>42085</v>
      </c>
      <c r="L7124" s="7">
        <v>936</v>
      </c>
      <c r="M7124" s="5">
        <v>256</v>
      </c>
      <c r="N7124" s="7">
        <v>239616</v>
      </c>
      <c r="O7124">
        <v>936</v>
      </c>
      <c r="P7124">
        <v>256</v>
      </c>
      <c r="Q7124" s="2">
        <v>239616</v>
      </c>
      <c r="R7124">
        <v>0</v>
      </c>
      <c r="V7124">
        <v>0</v>
      </c>
      <c r="W7124">
        <v>0</v>
      </c>
      <c r="X7124">
        <v>0</v>
      </c>
      <c r="Y7124">
        <v>0</v>
      </c>
      <c r="Z7124">
        <v>936</v>
      </c>
      <c r="AA7124">
        <v>0</v>
      </c>
      <c r="AB7124" s="1">
        <v>42382</v>
      </c>
      <c r="AC7124" t="s">
        <v>53</v>
      </c>
      <c r="AD7124" t="s">
        <v>53</v>
      </c>
      <c r="AK7124">
        <v>0</v>
      </c>
      <c r="AU7124" s="6">
        <v>42341</v>
      </c>
      <c r="AV7124" s="6">
        <v>42341</v>
      </c>
      <c r="AW7124" t="s">
        <v>54</v>
      </c>
      <c r="AX7124" t="str">
        <f t="shared" si="581"/>
        <v>FOR</v>
      </c>
      <c r="AY7124" t="s">
        <v>55</v>
      </c>
    </row>
    <row r="7125" spans="1:51">
      <c r="A7125">
        <v>104093</v>
      </c>
      <c r="B7125" t="s">
        <v>1210</v>
      </c>
      <c r="C7125" t="str">
        <f t="shared" si="579"/>
        <v>06032681006</v>
      </c>
      <c r="D7125" t="str">
        <f t="shared" si="580"/>
        <v>12572900152</v>
      </c>
      <c r="E7125" t="s">
        <v>52</v>
      </c>
      <c r="F7125">
        <v>2014</v>
      </c>
      <c r="G7125">
        <v>25217910</v>
      </c>
      <c r="H7125" s="1">
        <v>41990</v>
      </c>
      <c r="I7125" s="1">
        <v>42025</v>
      </c>
      <c r="J7125" s="1">
        <v>42025</v>
      </c>
      <c r="K7125" s="1">
        <v>42085</v>
      </c>
      <c r="L7125" s="7">
        <v>936</v>
      </c>
      <c r="M7125" s="5">
        <v>256</v>
      </c>
      <c r="N7125" s="7">
        <v>239616</v>
      </c>
      <c r="O7125">
        <v>936</v>
      </c>
      <c r="P7125">
        <v>256</v>
      </c>
      <c r="Q7125" s="2">
        <v>239616</v>
      </c>
      <c r="R7125">
        <v>0</v>
      </c>
      <c r="V7125">
        <v>0</v>
      </c>
      <c r="W7125">
        <v>0</v>
      </c>
      <c r="X7125">
        <v>0</v>
      </c>
      <c r="Y7125">
        <v>0</v>
      </c>
      <c r="Z7125">
        <v>936</v>
      </c>
      <c r="AA7125">
        <v>0</v>
      </c>
      <c r="AB7125" s="1">
        <v>42382</v>
      </c>
      <c r="AC7125" t="s">
        <v>53</v>
      </c>
      <c r="AD7125" t="s">
        <v>53</v>
      </c>
      <c r="AK7125">
        <v>0</v>
      </c>
      <c r="AU7125" s="6">
        <v>42341</v>
      </c>
      <c r="AV7125" s="6">
        <v>42341</v>
      </c>
      <c r="AW7125" t="s">
        <v>54</v>
      </c>
      <c r="AX7125" t="str">
        <f t="shared" si="581"/>
        <v>FOR</v>
      </c>
      <c r="AY7125" t="s">
        <v>55</v>
      </c>
    </row>
    <row r="7126" spans="1:51">
      <c r="A7126">
        <v>104093</v>
      </c>
      <c r="B7126" t="s">
        <v>1210</v>
      </c>
      <c r="C7126" t="str">
        <f t="shared" si="579"/>
        <v>06032681006</v>
      </c>
      <c r="D7126" t="str">
        <f t="shared" si="580"/>
        <v>12572900152</v>
      </c>
      <c r="E7126" t="s">
        <v>52</v>
      </c>
      <c r="F7126">
        <v>2014</v>
      </c>
      <c r="G7126">
        <v>25217911</v>
      </c>
      <c r="H7126" s="1">
        <v>41990</v>
      </c>
      <c r="I7126" s="1">
        <v>42025</v>
      </c>
      <c r="J7126" s="1">
        <v>42025</v>
      </c>
      <c r="K7126" s="1">
        <v>42085</v>
      </c>
      <c r="L7126" s="7">
        <v>74.88</v>
      </c>
      <c r="M7126" s="5">
        <v>256</v>
      </c>
      <c r="N7126" s="7">
        <v>19169.28</v>
      </c>
      <c r="O7126">
        <v>74.88</v>
      </c>
      <c r="P7126">
        <v>256</v>
      </c>
      <c r="Q7126" s="2">
        <v>19169.28</v>
      </c>
      <c r="R7126">
        <v>0</v>
      </c>
      <c r="V7126">
        <v>0</v>
      </c>
      <c r="W7126">
        <v>0</v>
      </c>
      <c r="X7126">
        <v>0</v>
      </c>
      <c r="Y7126">
        <v>0</v>
      </c>
      <c r="Z7126">
        <v>74.88</v>
      </c>
      <c r="AA7126">
        <v>0</v>
      </c>
      <c r="AB7126" s="1">
        <v>42382</v>
      </c>
      <c r="AC7126" t="s">
        <v>53</v>
      </c>
      <c r="AD7126" t="s">
        <v>53</v>
      </c>
      <c r="AK7126">
        <v>0</v>
      </c>
      <c r="AU7126" s="6">
        <v>42341</v>
      </c>
      <c r="AV7126" s="6">
        <v>42341</v>
      </c>
      <c r="AW7126" t="s">
        <v>54</v>
      </c>
      <c r="AX7126" t="str">
        <f t="shared" si="581"/>
        <v>FOR</v>
      </c>
      <c r="AY7126" t="s">
        <v>55</v>
      </c>
    </row>
    <row r="7127" spans="1:51">
      <c r="A7127">
        <v>104093</v>
      </c>
      <c r="B7127" t="s">
        <v>1210</v>
      </c>
      <c r="C7127" t="str">
        <f t="shared" si="579"/>
        <v>06032681006</v>
      </c>
      <c r="D7127" t="str">
        <f t="shared" si="580"/>
        <v>12572900152</v>
      </c>
      <c r="E7127" t="s">
        <v>52</v>
      </c>
      <c r="F7127">
        <v>2014</v>
      </c>
      <c r="G7127">
        <v>25217912</v>
      </c>
      <c r="H7127" s="1">
        <v>41990</v>
      </c>
      <c r="I7127" s="1">
        <v>42025</v>
      </c>
      <c r="J7127" s="1">
        <v>42025</v>
      </c>
      <c r="K7127" s="1">
        <v>42085</v>
      </c>
      <c r="L7127" s="7">
        <v>74.88</v>
      </c>
      <c r="M7127" s="5">
        <v>256</v>
      </c>
      <c r="N7127" s="7">
        <v>19169.28</v>
      </c>
      <c r="O7127">
        <v>74.88</v>
      </c>
      <c r="P7127">
        <v>256</v>
      </c>
      <c r="Q7127" s="2">
        <v>19169.28</v>
      </c>
      <c r="R7127">
        <v>0</v>
      </c>
      <c r="V7127">
        <v>0</v>
      </c>
      <c r="W7127">
        <v>0</v>
      </c>
      <c r="X7127">
        <v>0</v>
      </c>
      <c r="Y7127">
        <v>0</v>
      </c>
      <c r="Z7127">
        <v>74.88</v>
      </c>
      <c r="AA7127">
        <v>0</v>
      </c>
      <c r="AB7127" s="1">
        <v>42382</v>
      </c>
      <c r="AC7127" t="s">
        <v>53</v>
      </c>
      <c r="AD7127" t="s">
        <v>53</v>
      </c>
      <c r="AK7127">
        <v>0</v>
      </c>
      <c r="AU7127" s="6">
        <v>42341</v>
      </c>
      <c r="AV7127" s="6">
        <v>42341</v>
      </c>
      <c r="AW7127" t="s">
        <v>54</v>
      </c>
      <c r="AX7127" t="str">
        <f t="shared" si="581"/>
        <v>FOR</v>
      </c>
      <c r="AY7127" t="s">
        <v>55</v>
      </c>
    </row>
    <row r="7128" spans="1:51">
      <c r="A7128">
        <v>104093</v>
      </c>
      <c r="B7128" t="s">
        <v>1210</v>
      </c>
      <c r="C7128" t="str">
        <f t="shared" si="579"/>
        <v>06032681006</v>
      </c>
      <c r="D7128" t="str">
        <f t="shared" si="580"/>
        <v>12572900152</v>
      </c>
      <c r="E7128" t="s">
        <v>52</v>
      </c>
      <c r="F7128">
        <v>2014</v>
      </c>
      <c r="G7128">
        <v>25217928</v>
      </c>
      <c r="H7128" s="1">
        <v>41990</v>
      </c>
      <c r="I7128" s="1">
        <v>42033</v>
      </c>
      <c r="J7128" s="1">
        <v>42033</v>
      </c>
      <c r="K7128" s="1">
        <v>42093</v>
      </c>
      <c r="L7128" s="7">
        <v>936</v>
      </c>
      <c r="M7128" s="5">
        <v>248</v>
      </c>
      <c r="N7128" s="7">
        <v>232128</v>
      </c>
      <c r="O7128">
        <v>936</v>
      </c>
      <c r="P7128">
        <v>248</v>
      </c>
      <c r="Q7128" s="2">
        <v>232128</v>
      </c>
      <c r="R7128">
        <v>0</v>
      </c>
      <c r="V7128">
        <v>0</v>
      </c>
      <c r="W7128">
        <v>0</v>
      </c>
      <c r="X7128">
        <v>0</v>
      </c>
      <c r="Y7128">
        <v>0</v>
      </c>
      <c r="Z7128">
        <v>936</v>
      </c>
      <c r="AA7128">
        <v>0</v>
      </c>
      <c r="AB7128" s="1">
        <v>42382</v>
      </c>
      <c r="AC7128" t="s">
        <v>53</v>
      </c>
      <c r="AD7128" t="s">
        <v>53</v>
      </c>
      <c r="AK7128">
        <v>0</v>
      </c>
      <c r="AU7128" s="6">
        <v>42341</v>
      </c>
      <c r="AV7128" s="6">
        <v>42341</v>
      </c>
      <c r="AW7128" t="s">
        <v>54</v>
      </c>
      <c r="AX7128" t="str">
        <f t="shared" si="581"/>
        <v>FOR</v>
      </c>
      <c r="AY7128" t="s">
        <v>55</v>
      </c>
    </row>
    <row r="7129" spans="1:51">
      <c r="A7129">
        <v>104093</v>
      </c>
      <c r="B7129" t="s">
        <v>1210</v>
      </c>
      <c r="C7129" t="str">
        <f t="shared" si="579"/>
        <v>06032681006</v>
      </c>
      <c r="D7129" t="str">
        <f t="shared" si="580"/>
        <v>12572900152</v>
      </c>
      <c r="E7129" t="s">
        <v>52</v>
      </c>
      <c r="F7129">
        <v>2014</v>
      </c>
      <c r="G7129">
        <v>25218911</v>
      </c>
      <c r="H7129" s="1">
        <v>41995</v>
      </c>
      <c r="I7129" s="1">
        <v>42025</v>
      </c>
      <c r="J7129" s="1">
        <v>42025</v>
      </c>
      <c r="K7129" s="1">
        <v>42085</v>
      </c>
      <c r="L7129" s="7">
        <v>248.88</v>
      </c>
      <c r="M7129" s="5">
        <v>256</v>
      </c>
      <c r="N7129" s="7">
        <v>63713.279999999999</v>
      </c>
      <c r="O7129">
        <v>248.88</v>
      </c>
      <c r="P7129">
        <v>256</v>
      </c>
      <c r="Q7129" s="2">
        <v>63713.279999999999</v>
      </c>
      <c r="R7129">
        <v>0</v>
      </c>
      <c r="V7129">
        <v>0</v>
      </c>
      <c r="W7129">
        <v>0</v>
      </c>
      <c r="X7129">
        <v>0</v>
      </c>
      <c r="Y7129">
        <v>0</v>
      </c>
      <c r="Z7129">
        <v>248.88</v>
      </c>
      <c r="AA7129">
        <v>0</v>
      </c>
      <c r="AB7129" s="1">
        <v>42382</v>
      </c>
      <c r="AC7129" t="s">
        <v>53</v>
      </c>
      <c r="AD7129" t="s">
        <v>53</v>
      </c>
      <c r="AK7129">
        <v>0</v>
      </c>
      <c r="AU7129" s="6">
        <v>42341</v>
      </c>
      <c r="AV7129" s="6">
        <v>42341</v>
      </c>
      <c r="AW7129" t="s">
        <v>54</v>
      </c>
      <c r="AX7129" t="str">
        <f t="shared" si="581"/>
        <v>FOR</v>
      </c>
      <c r="AY7129" t="s">
        <v>55</v>
      </c>
    </row>
    <row r="7130" spans="1:51">
      <c r="A7130">
        <v>104093</v>
      </c>
      <c r="B7130" t="s">
        <v>1210</v>
      </c>
      <c r="C7130" t="str">
        <f t="shared" si="579"/>
        <v>06032681006</v>
      </c>
      <c r="D7130" t="str">
        <f t="shared" si="580"/>
        <v>12572900152</v>
      </c>
      <c r="E7130" t="s">
        <v>52</v>
      </c>
      <c r="F7130">
        <v>2014</v>
      </c>
      <c r="G7130">
        <v>25219587</v>
      </c>
      <c r="H7130" s="1">
        <v>42002</v>
      </c>
      <c r="I7130" s="1">
        <v>42025</v>
      </c>
      <c r="J7130" s="1">
        <v>42025</v>
      </c>
      <c r="K7130" s="1">
        <v>42085</v>
      </c>
      <c r="L7130" s="7">
        <v>252.72</v>
      </c>
      <c r="M7130" s="5">
        <v>256</v>
      </c>
      <c r="N7130" s="7">
        <v>64696.32</v>
      </c>
      <c r="O7130">
        <v>252.72</v>
      </c>
      <c r="P7130">
        <v>256</v>
      </c>
      <c r="Q7130" s="2">
        <v>64696.32</v>
      </c>
      <c r="R7130">
        <v>0</v>
      </c>
      <c r="V7130">
        <v>0</v>
      </c>
      <c r="W7130">
        <v>0</v>
      </c>
      <c r="X7130">
        <v>0</v>
      </c>
      <c r="Y7130">
        <v>0</v>
      </c>
      <c r="Z7130">
        <v>252.72</v>
      </c>
      <c r="AA7130">
        <v>0</v>
      </c>
      <c r="AB7130" s="1">
        <v>42382</v>
      </c>
      <c r="AC7130" t="s">
        <v>53</v>
      </c>
      <c r="AD7130" t="s">
        <v>53</v>
      </c>
      <c r="AK7130">
        <v>0</v>
      </c>
      <c r="AU7130" s="6">
        <v>42341</v>
      </c>
      <c r="AV7130" s="6">
        <v>42341</v>
      </c>
      <c r="AW7130" t="s">
        <v>54</v>
      </c>
      <c r="AX7130" t="str">
        <f t="shared" si="581"/>
        <v>FOR</v>
      </c>
      <c r="AY7130" t="s">
        <v>55</v>
      </c>
    </row>
    <row r="7131" spans="1:51">
      <c r="A7131">
        <v>104093</v>
      </c>
      <c r="B7131" t="s">
        <v>1210</v>
      </c>
      <c r="C7131" t="str">
        <f t="shared" si="579"/>
        <v>06032681006</v>
      </c>
      <c r="D7131" t="str">
        <f t="shared" si="580"/>
        <v>12572900152</v>
      </c>
      <c r="E7131" t="s">
        <v>52</v>
      </c>
      <c r="F7131">
        <v>2014</v>
      </c>
      <c r="G7131">
        <v>25219588</v>
      </c>
      <c r="H7131" s="1">
        <v>42002</v>
      </c>
      <c r="I7131" s="1">
        <v>42025</v>
      </c>
      <c r="J7131" s="1">
        <v>42025</v>
      </c>
      <c r="K7131" s="1">
        <v>42085</v>
      </c>
      <c r="L7131" s="7">
        <v>74.88</v>
      </c>
      <c r="M7131" s="5">
        <v>256</v>
      </c>
      <c r="N7131" s="7">
        <v>19169.28</v>
      </c>
      <c r="O7131">
        <v>74.88</v>
      </c>
      <c r="P7131">
        <v>256</v>
      </c>
      <c r="Q7131" s="2">
        <v>19169.28</v>
      </c>
      <c r="R7131">
        <v>0</v>
      </c>
      <c r="V7131">
        <v>0</v>
      </c>
      <c r="W7131">
        <v>0</v>
      </c>
      <c r="X7131">
        <v>0</v>
      </c>
      <c r="Y7131">
        <v>0</v>
      </c>
      <c r="Z7131">
        <v>74.88</v>
      </c>
      <c r="AA7131">
        <v>0</v>
      </c>
      <c r="AB7131" s="1">
        <v>42382</v>
      </c>
      <c r="AC7131" t="s">
        <v>53</v>
      </c>
      <c r="AD7131" t="s">
        <v>53</v>
      </c>
      <c r="AK7131">
        <v>0</v>
      </c>
      <c r="AU7131" s="6">
        <v>42341</v>
      </c>
      <c r="AV7131" s="6">
        <v>42341</v>
      </c>
      <c r="AW7131" t="s">
        <v>54</v>
      </c>
      <c r="AX7131" t="str">
        <f t="shared" si="581"/>
        <v>FOR</v>
      </c>
      <c r="AY7131" t="s">
        <v>55</v>
      </c>
    </row>
    <row r="7132" spans="1:51">
      <c r="A7132">
        <v>104093</v>
      </c>
      <c r="B7132" t="s">
        <v>1210</v>
      </c>
      <c r="C7132" t="str">
        <f t="shared" si="579"/>
        <v>06032681006</v>
      </c>
      <c r="D7132" t="str">
        <f t="shared" si="580"/>
        <v>12572900152</v>
      </c>
      <c r="E7132" t="s">
        <v>52</v>
      </c>
      <c r="F7132">
        <v>2014</v>
      </c>
      <c r="G7132">
        <v>25219589</v>
      </c>
      <c r="H7132" s="1">
        <v>42002</v>
      </c>
      <c r="I7132" s="1">
        <v>42025</v>
      </c>
      <c r="J7132" s="1">
        <v>42025</v>
      </c>
      <c r="K7132" s="1">
        <v>42085</v>
      </c>
      <c r="L7132" s="7">
        <v>74.88</v>
      </c>
      <c r="M7132" s="5">
        <v>256</v>
      </c>
      <c r="N7132" s="7">
        <v>19169.28</v>
      </c>
      <c r="O7132">
        <v>74.88</v>
      </c>
      <c r="P7132">
        <v>256</v>
      </c>
      <c r="Q7132" s="2">
        <v>19169.28</v>
      </c>
      <c r="R7132">
        <v>0</v>
      </c>
      <c r="V7132">
        <v>0</v>
      </c>
      <c r="W7132">
        <v>0</v>
      </c>
      <c r="X7132">
        <v>0</v>
      </c>
      <c r="Y7132">
        <v>0</v>
      </c>
      <c r="Z7132">
        <v>74.88</v>
      </c>
      <c r="AA7132">
        <v>0</v>
      </c>
      <c r="AB7132" s="1">
        <v>42382</v>
      </c>
      <c r="AC7132" t="s">
        <v>53</v>
      </c>
      <c r="AD7132" t="s">
        <v>53</v>
      </c>
      <c r="AK7132">
        <v>0</v>
      </c>
      <c r="AU7132" s="6">
        <v>42341</v>
      </c>
      <c r="AV7132" s="6">
        <v>42341</v>
      </c>
      <c r="AW7132" t="s">
        <v>54</v>
      </c>
      <c r="AX7132" t="str">
        <f t="shared" si="581"/>
        <v>FOR</v>
      </c>
      <c r="AY7132" t="s">
        <v>55</v>
      </c>
    </row>
    <row r="7133" spans="1:51">
      <c r="A7133">
        <v>104093</v>
      </c>
      <c r="B7133" t="s">
        <v>1210</v>
      </c>
      <c r="C7133" t="str">
        <f t="shared" ref="C7133:C7198" si="582">"06032681006"</f>
        <v>06032681006</v>
      </c>
      <c r="D7133" t="str">
        <f t="shared" ref="D7133:D7198" si="583">"12572900152"</f>
        <v>12572900152</v>
      </c>
      <c r="E7133" t="s">
        <v>52</v>
      </c>
      <c r="F7133">
        <v>2014</v>
      </c>
      <c r="G7133">
        <v>25219590</v>
      </c>
      <c r="H7133" s="1">
        <v>42002</v>
      </c>
      <c r="I7133" s="1">
        <v>42025</v>
      </c>
      <c r="J7133" s="1">
        <v>42025</v>
      </c>
      <c r="K7133" s="1">
        <v>42085</v>
      </c>
      <c r="L7133" s="7">
        <v>74.88</v>
      </c>
      <c r="M7133" s="5">
        <v>256</v>
      </c>
      <c r="N7133" s="7">
        <v>19169.28</v>
      </c>
      <c r="O7133">
        <v>74.88</v>
      </c>
      <c r="P7133">
        <v>256</v>
      </c>
      <c r="Q7133" s="2">
        <v>19169.28</v>
      </c>
      <c r="R7133">
        <v>0</v>
      </c>
      <c r="V7133">
        <v>0</v>
      </c>
      <c r="W7133">
        <v>0</v>
      </c>
      <c r="X7133">
        <v>0</v>
      </c>
      <c r="Y7133">
        <v>0</v>
      </c>
      <c r="Z7133">
        <v>74.88</v>
      </c>
      <c r="AA7133">
        <v>0</v>
      </c>
      <c r="AB7133" s="1">
        <v>42382</v>
      </c>
      <c r="AC7133" t="s">
        <v>53</v>
      </c>
      <c r="AD7133" t="s">
        <v>53</v>
      </c>
      <c r="AK7133">
        <v>0</v>
      </c>
      <c r="AU7133" s="6">
        <v>42341</v>
      </c>
      <c r="AV7133" s="6">
        <v>42341</v>
      </c>
      <c r="AW7133" t="s">
        <v>54</v>
      </c>
      <c r="AX7133" t="str">
        <f t="shared" si="581"/>
        <v>FOR</v>
      </c>
      <c r="AY7133" t="s">
        <v>55</v>
      </c>
    </row>
    <row r="7134" spans="1:51">
      <c r="A7134">
        <v>104093</v>
      </c>
      <c r="B7134" t="s">
        <v>1210</v>
      </c>
      <c r="C7134" t="str">
        <f t="shared" si="582"/>
        <v>06032681006</v>
      </c>
      <c r="D7134" t="str">
        <f t="shared" si="583"/>
        <v>12572900152</v>
      </c>
      <c r="E7134" t="s">
        <v>52</v>
      </c>
      <c r="F7134">
        <v>2014</v>
      </c>
      <c r="G7134">
        <v>25219591</v>
      </c>
      <c r="H7134" s="1">
        <v>42002</v>
      </c>
      <c r="I7134" s="1">
        <v>42025</v>
      </c>
      <c r="J7134" s="1">
        <v>42025</v>
      </c>
      <c r="K7134" s="1">
        <v>42085</v>
      </c>
      <c r="L7134" s="7">
        <v>74.88</v>
      </c>
      <c r="M7134" s="5">
        <v>256</v>
      </c>
      <c r="N7134" s="7">
        <v>19169.28</v>
      </c>
      <c r="O7134">
        <v>74.88</v>
      </c>
      <c r="P7134">
        <v>256</v>
      </c>
      <c r="Q7134" s="2">
        <v>19169.28</v>
      </c>
      <c r="R7134">
        <v>0</v>
      </c>
      <c r="V7134">
        <v>0</v>
      </c>
      <c r="W7134">
        <v>0</v>
      </c>
      <c r="X7134">
        <v>0</v>
      </c>
      <c r="Y7134">
        <v>0</v>
      </c>
      <c r="Z7134">
        <v>74.88</v>
      </c>
      <c r="AA7134">
        <v>0</v>
      </c>
      <c r="AB7134" s="1">
        <v>42382</v>
      </c>
      <c r="AC7134" t="s">
        <v>53</v>
      </c>
      <c r="AD7134" t="s">
        <v>53</v>
      </c>
      <c r="AK7134">
        <v>0</v>
      </c>
      <c r="AU7134" s="6">
        <v>42341</v>
      </c>
      <c r="AV7134" s="6">
        <v>42341</v>
      </c>
      <c r="AW7134" t="s">
        <v>54</v>
      </c>
      <c r="AX7134" t="str">
        <f t="shared" si="581"/>
        <v>FOR</v>
      </c>
      <c r="AY7134" t="s">
        <v>55</v>
      </c>
    </row>
    <row r="7135" spans="1:51">
      <c r="A7135">
        <v>104093</v>
      </c>
      <c r="B7135" t="s">
        <v>1210</v>
      </c>
      <c r="C7135" t="str">
        <f t="shared" si="582"/>
        <v>06032681006</v>
      </c>
      <c r="D7135" t="str">
        <f t="shared" si="583"/>
        <v>12572900152</v>
      </c>
      <c r="E7135" t="s">
        <v>52</v>
      </c>
      <c r="F7135">
        <v>2014</v>
      </c>
      <c r="G7135">
        <v>25219984</v>
      </c>
      <c r="H7135" s="1">
        <v>42003</v>
      </c>
      <c r="I7135" s="1">
        <v>42026</v>
      </c>
      <c r="J7135" s="1">
        <v>42026</v>
      </c>
      <c r="K7135" s="1">
        <v>42086</v>
      </c>
      <c r="L7135" s="7">
        <v>936</v>
      </c>
      <c r="M7135" s="5">
        <v>255</v>
      </c>
      <c r="N7135" s="7">
        <v>238680</v>
      </c>
      <c r="O7135">
        <v>936</v>
      </c>
      <c r="P7135">
        <v>255</v>
      </c>
      <c r="Q7135" s="2">
        <v>238680</v>
      </c>
      <c r="R7135">
        <v>0</v>
      </c>
      <c r="V7135">
        <v>0</v>
      </c>
      <c r="W7135">
        <v>0</v>
      </c>
      <c r="X7135">
        <v>0</v>
      </c>
      <c r="Y7135">
        <v>0</v>
      </c>
      <c r="Z7135">
        <v>936</v>
      </c>
      <c r="AA7135">
        <v>0</v>
      </c>
      <c r="AB7135" s="1">
        <v>42382</v>
      </c>
      <c r="AC7135" t="s">
        <v>53</v>
      </c>
      <c r="AD7135" t="s">
        <v>53</v>
      </c>
      <c r="AK7135">
        <v>0</v>
      </c>
      <c r="AU7135" s="6">
        <v>42341</v>
      </c>
      <c r="AV7135" s="6">
        <v>42341</v>
      </c>
      <c r="AW7135" t="s">
        <v>54</v>
      </c>
      <c r="AX7135" t="str">
        <f t="shared" si="581"/>
        <v>FOR</v>
      </c>
      <c r="AY7135" t="s">
        <v>55</v>
      </c>
    </row>
    <row r="7136" spans="1:51">
      <c r="A7136">
        <v>104093</v>
      </c>
      <c r="B7136" t="s">
        <v>1210</v>
      </c>
      <c r="C7136" t="str">
        <f t="shared" si="582"/>
        <v>06032681006</v>
      </c>
      <c r="D7136" t="str">
        <f t="shared" si="583"/>
        <v>12572900152</v>
      </c>
      <c r="E7136" t="s">
        <v>52</v>
      </c>
      <c r="F7136">
        <v>2014</v>
      </c>
      <c r="G7136">
        <v>25219985</v>
      </c>
      <c r="H7136" s="1">
        <v>42003</v>
      </c>
      <c r="I7136" s="1">
        <v>42031</v>
      </c>
      <c r="J7136" s="1">
        <v>42031</v>
      </c>
      <c r="K7136" s="1">
        <v>42091</v>
      </c>
      <c r="L7136" s="7">
        <v>936</v>
      </c>
      <c r="M7136" s="5">
        <v>250</v>
      </c>
      <c r="N7136" s="7">
        <v>234000</v>
      </c>
      <c r="O7136">
        <v>936</v>
      </c>
      <c r="P7136">
        <v>250</v>
      </c>
      <c r="Q7136" s="2">
        <v>234000</v>
      </c>
      <c r="R7136">
        <v>0</v>
      </c>
      <c r="V7136">
        <v>0</v>
      </c>
      <c r="W7136">
        <v>0</v>
      </c>
      <c r="X7136">
        <v>0</v>
      </c>
      <c r="Y7136">
        <v>0</v>
      </c>
      <c r="Z7136">
        <v>936</v>
      </c>
      <c r="AA7136">
        <v>0</v>
      </c>
      <c r="AB7136" s="1">
        <v>42382</v>
      </c>
      <c r="AC7136" t="s">
        <v>53</v>
      </c>
      <c r="AD7136" t="s">
        <v>53</v>
      </c>
      <c r="AK7136">
        <v>0</v>
      </c>
      <c r="AU7136" s="6">
        <v>42341</v>
      </c>
      <c r="AV7136" s="6">
        <v>42341</v>
      </c>
      <c r="AW7136" t="s">
        <v>54</v>
      </c>
      <c r="AX7136" t="str">
        <f t="shared" si="581"/>
        <v>FOR</v>
      </c>
      <c r="AY7136" t="s">
        <v>55</v>
      </c>
    </row>
    <row r="7137" spans="1:51">
      <c r="A7137">
        <v>104093</v>
      </c>
      <c r="B7137" t="s">
        <v>1210</v>
      </c>
      <c r="C7137" t="str">
        <f t="shared" si="582"/>
        <v>06032681006</v>
      </c>
      <c r="D7137" t="str">
        <f t="shared" si="583"/>
        <v>12572900152</v>
      </c>
      <c r="E7137" t="s">
        <v>52</v>
      </c>
      <c r="F7137">
        <v>2014</v>
      </c>
      <c r="G7137">
        <v>25219986</v>
      </c>
      <c r="H7137" s="1">
        <v>42003</v>
      </c>
      <c r="I7137" s="1">
        <v>42026</v>
      </c>
      <c r="J7137" s="1">
        <v>42026</v>
      </c>
      <c r="K7137" s="1">
        <v>42086</v>
      </c>
      <c r="L7137" s="7">
        <v>936</v>
      </c>
      <c r="M7137" s="5">
        <v>255</v>
      </c>
      <c r="N7137" s="7">
        <v>238680</v>
      </c>
      <c r="O7137">
        <v>936</v>
      </c>
      <c r="P7137">
        <v>255</v>
      </c>
      <c r="Q7137" s="2">
        <v>238680</v>
      </c>
      <c r="R7137">
        <v>0</v>
      </c>
      <c r="V7137">
        <v>0</v>
      </c>
      <c r="W7137">
        <v>0</v>
      </c>
      <c r="X7137">
        <v>0</v>
      </c>
      <c r="Y7137">
        <v>0</v>
      </c>
      <c r="Z7137">
        <v>936</v>
      </c>
      <c r="AA7137">
        <v>0</v>
      </c>
      <c r="AB7137" s="1">
        <v>42382</v>
      </c>
      <c r="AC7137" t="s">
        <v>53</v>
      </c>
      <c r="AD7137" t="s">
        <v>53</v>
      </c>
      <c r="AK7137">
        <v>0</v>
      </c>
      <c r="AU7137" s="6">
        <v>42341</v>
      </c>
      <c r="AV7137" s="6">
        <v>42341</v>
      </c>
      <c r="AW7137" t="s">
        <v>54</v>
      </c>
      <c r="AX7137" t="str">
        <f t="shared" si="581"/>
        <v>FOR</v>
      </c>
      <c r="AY7137" t="s">
        <v>55</v>
      </c>
    </row>
    <row r="7138" spans="1:51">
      <c r="A7138">
        <v>104093</v>
      </c>
      <c r="B7138" t="s">
        <v>1210</v>
      </c>
      <c r="C7138" t="str">
        <f t="shared" si="582"/>
        <v>06032681006</v>
      </c>
      <c r="D7138" t="str">
        <f t="shared" si="583"/>
        <v>12572900152</v>
      </c>
      <c r="E7138" t="s">
        <v>52</v>
      </c>
      <c r="F7138">
        <v>2014</v>
      </c>
      <c r="G7138">
        <v>25219987</v>
      </c>
      <c r="H7138" s="1">
        <v>42003</v>
      </c>
      <c r="I7138" s="1">
        <v>42026</v>
      </c>
      <c r="J7138" s="1">
        <v>42026</v>
      </c>
      <c r="K7138" s="1">
        <v>42086</v>
      </c>
      <c r="L7138" s="7">
        <v>936</v>
      </c>
      <c r="M7138" s="5">
        <v>255</v>
      </c>
      <c r="N7138" s="7">
        <v>238680</v>
      </c>
      <c r="O7138">
        <v>936</v>
      </c>
      <c r="P7138">
        <v>255</v>
      </c>
      <c r="Q7138" s="2">
        <v>238680</v>
      </c>
      <c r="R7138">
        <v>0</v>
      </c>
      <c r="V7138">
        <v>0</v>
      </c>
      <c r="W7138">
        <v>0</v>
      </c>
      <c r="X7138">
        <v>0</v>
      </c>
      <c r="Y7138">
        <v>0</v>
      </c>
      <c r="Z7138">
        <v>936</v>
      </c>
      <c r="AA7138">
        <v>0</v>
      </c>
      <c r="AB7138" s="1">
        <v>42382</v>
      </c>
      <c r="AC7138" t="s">
        <v>53</v>
      </c>
      <c r="AD7138" t="s">
        <v>53</v>
      </c>
      <c r="AK7138">
        <v>0</v>
      </c>
      <c r="AU7138" s="6">
        <v>42341</v>
      </c>
      <c r="AV7138" s="6">
        <v>42341</v>
      </c>
      <c r="AW7138" t="s">
        <v>54</v>
      </c>
      <c r="AX7138" t="str">
        <f t="shared" si="581"/>
        <v>FOR</v>
      </c>
      <c r="AY7138" t="s">
        <v>55</v>
      </c>
    </row>
    <row r="7139" spans="1:51">
      <c r="A7139">
        <v>104093</v>
      </c>
      <c r="B7139" t="s">
        <v>1210</v>
      </c>
      <c r="C7139" t="str">
        <f t="shared" si="582"/>
        <v>06032681006</v>
      </c>
      <c r="D7139" t="str">
        <f t="shared" si="583"/>
        <v>12572900152</v>
      </c>
      <c r="E7139" t="s">
        <v>52</v>
      </c>
      <c r="F7139">
        <v>2014</v>
      </c>
      <c r="G7139">
        <v>25220048</v>
      </c>
      <c r="H7139" s="1">
        <v>42003</v>
      </c>
      <c r="I7139" s="1">
        <v>42026</v>
      </c>
      <c r="J7139" s="1">
        <v>42026</v>
      </c>
      <c r="K7139" s="1">
        <v>42086</v>
      </c>
      <c r="L7139" s="7">
        <v>936</v>
      </c>
      <c r="M7139" s="5">
        <v>255</v>
      </c>
      <c r="N7139" s="7">
        <v>238680</v>
      </c>
      <c r="O7139">
        <v>936</v>
      </c>
      <c r="P7139">
        <v>255</v>
      </c>
      <c r="Q7139" s="2">
        <v>238680</v>
      </c>
      <c r="R7139">
        <v>0</v>
      </c>
      <c r="V7139">
        <v>0</v>
      </c>
      <c r="W7139">
        <v>0</v>
      </c>
      <c r="X7139">
        <v>0</v>
      </c>
      <c r="Y7139">
        <v>0</v>
      </c>
      <c r="Z7139">
        <v>936</v>
      </c>
      <c r="AA7139">
        <v>0</v>
      </c>
      <c r="AB7139" s="1">
        <v>42382</v>
      </c>
      <c r="AC7139" t="s">
        <v>53</v>
      </c>
      <c r="AD7139" t="s">
        <v>53</v>
      </c>
      <c r="AK7139">
        <v>0</v>
      </c>
      <c r="AU7139" s="6">
        <v>42341</v>
      </c>
      <c r="AV7139" s="6">
        <v>42341</v>
      </c>
      <c r="AW7139" t="s">
        <v>54</v>
      </c>
      <c r="AX7139" t="str">
        <f t="shared" si="581"/>
        <v>FOR</v>
      </c>
      <c r="AY7139" t="s">
        <v>55</v>
      </c>
    </row>
    <row r="7140" spans="1:51">
      <c r="A7140">
        <v>104093</v>
      </c>
      <c r="B7140" t="s">
        <v>1210</v>
      </c>
      <c r="C7140" t="str">
        <f t="shared" si="582"/>
        <v>06032681006</v>
      </c>
      <c r="D7140" t="str">
        <f t="shared" si="583"/>
        <v>12572900152</v>
      </c>
      <c r="E7140" t="s">
        <v>52</v>
      </c>
      <c r="F7140">
        <v>2015</v>
      </c>
      <c r="G7140">
        <v>25222066</v>
      </c>
      <c r="H7140" s="1">
        <v>42017</v>
      </c>
      <c r="I7140" s="1">
        <v>42033</v>
      </c>
      <c r="J7140" s="1">
        <v>42033</v>
      </c>
      <c r="K7140" s="1">
        <v>42093</v>
      </c>
      <c r="L7140" s="7">
        <v>900</v>
      </c>
      <c r="M7140" s="5">
        <v>263</v>
      </c>
      <c r="N7140" s="7">
        <v>236700</v>
      </c>
      <c r="O7140">
        <v>900</v>
      </c>
      <c r="P7140">
        <v>263</v>
      </c>
      <c r="Q7140" s="2">
        <v>236700</v>
      </c>
      <c r="R7140">
        <v>36</v>
      </c>
      <c r="V7140">
        <v>0</v>
      </c>
      <c r="W7140">
        <v>0</v>
      </c>
      <c r="X7140">
        <v>0</v>
      </c>
      <c r="Y7140">
        <v>936</v>
      </c>
      <c r="Z7140">
        <v>936</v>
      </c>
      <c r="AA7140">
        <v>936</v>
      </c>
      <c r="AB7140" s="1">
        <v>42382</v>
      </c>
      <c r="AC7140" t="s">
        <v>53</v>
      </c>
      <c r="AD7140" t="s">
        <v>53</v>
      </c>
      <c r="AK7140">
        <v>36</v>
      </c>
      <c r="AU7140" s="6">
        <v>42356</v>
      </c>
      <c r="AV7140" s="6">
        <v>42356</v>
      </c>
      <c r="AW7140" t="s">
        <v>54</v>
      </c>
      <c r="AX7140" t="str">
        <f t="shared" si="581"/>
        <v>FOR</v>
      </c>
      <c r="AY7140" t="s">
        <v>55</v>
      </c>
    </row>
    <row r="7141" spans="1:51">
      <c r="A7141">
        <v>104093</v>
      </c>
      <c r="B7141" t="s">
        <v>1210</v>
      </c>
      <c r="C7141" t="str">
        <f t="shared" si="582"/>
        <v>06032681006</v>
      </c>
      <c r="D7141" t="str">
        <f t="shared" si="583"/>
        <v>12572900152</v>
      </c>
      <c r="E7141" t="s">
        <v>52</v>
      </c>
      <c r="F7141">
        <v>2015</v>
      </c>
      <c r="G7141">
        <v>25222067</v>
      </c>
      <c r="H7141" s="1">
        <v>42017</v>
      </c>
      <c r="I7141" s="1">
        <v>42033</v>
      </c>
      <c r="J7141" s="1">
        <v>42033</v>
      </c>
      <c r="K7141" s="1">
        <v>42093</v>
      </c>
      <c r="L7141" s="7">
        <v>900</v>
      </c>
      <c r="M7141" s="5">
        <v>263</v>
      </c>
      <c r="N7141" s="7">
        <v>236700</v>
      </c>
      <c r="O7141">
        <v>900</v>
      </c>
      <c r="P7141">
        <v>263</v>
      </c>
      <c r="Q7141" s="2">
        <v>236700</v>
      </c>
      <c r="R7141">
        <v>36</v>
      </c>
      <c r="V7141">
        <v>0</v>
      </c>
      <c r="W7141">
        <v>0</v>
      </c>
      <c r="X7141">
        <v>0</v>
      </c>
      <c r="Y7141">
        <v>936</v>
      </c>
      <c r="Z7141">
        <v>936</v>
      </c>
      <c r="AA7141">
        <v>936</v>
      </c>
      <c r="AB7141" s="1">
        <v>42382</v>
      </c>
      <c r="AC7141" t="s">
        <v>53</v>
      </c>
      <c r="AD7141" t="s">
        <v>53</v>
      </c>
      <c r="AK7141">
        <v>36</v>
      </c>
      <c r="AU7141" s="6">
        <v>42356</v>
      </c>
      <c r="AV7141" s="6">
        <v>42356</v>
      </c>
      <c r="AW7141" t="s">
        <v>54</v>
      </c>
      <c r="AX7141" t="str">
        <f t="shared" si="581"/>
        <v>FOR</v>
      </c>
      <c r="AY7141" t="s">
        <v>55</v>
      </c>
    </row>
    <row r="7142" spans="1:51">
      <c r="A7142">
        <v>104093</v>
      </c>
      <c r="B7142" t="s">
        <v>1210</v>
      </c>
      <c r="C7142" t="str">
        <f t="shared" si="582"/>
        <v>06032681006</v>
      </c>
      <c r="D7142" t="str">
        <f t="shared" si="583"/>
        <v>12572900152</v>
      </c>
      <c r="E7142" t="s">
        <v>52</v>
      </c>
      <c r="F7142">
        <v>2015</v>
      </c>
      <c r="G7142">
        <v>25222068</v>
      </c>
      <c r="H7142" s="1">
        <v>42017</v>
      </c>
      <c r="I7142" s="1">
        <v>42033</v>
      </c>
      <c r="J7142" s="1">
        <v>42033</v>
      </c>
      <c r="K7142" s="1">
        <v>42093</v>
      </c>
      <c r="L7142" s="7">
        <v>900</v>
      </c>
      <c r="M7142" s="5">
        <v>263</v>
      </c>
      <c r="N7142" s="7">
        <v>236700</v>
      </c>
      <c r="O7142">
        <v>900</v>
      </c>
      <c r="P7142">
        <v>263</v>
      </c>
      <c r="Q7142" s="2">
        <v>236700</v>
      </c>
      <c r="R7142">
        <v>36</v>
      </c>
      <c r="V7142">
        <v>0</v>
      </c>
      <c r="W7142">
        <v>0</v>
      </c>
      <c r="X7142">
        <v>0</v>
      </c>
      <c r="Y7142">
        <v>936</v>
      </c>
      <c r="Z7142">
        <v>936</v>
      </c>
      <c r="AA7142">
        <v>936</v>
      </c>
      <c r="AB7142" s="1">
        <v>42382</v>
      </c>
      <c r="AC7142" t="s">
        <v>53</v>
      </c>
      <c r="AD7142" t="s">
        <v>53</v>
      </c>
      <c r="AK7142">
        <v>36</v>
      </c>
      <c r="AU7142" s="6">
        <v>42356</v>
      </c>
      <c r="AV7142" s="6">
        <v>42356</v>
      </c>
      <c r="AW7142" t="s">
        <v>54</v>
      </c>
      <c r="AX7142" t="str">
        <f t="shared" si="581"/>
        <v>FOR</v>
      </c>
      <c r="AY7142" t="s">
        <v>55</v>
      </c>
    </row>
    <row r="7143" spans="1:51">
      <c r="A7143">
        <v>104093</v>
      </c>
      <c r="B7143" t="s">
        <v>1210</v>
      </c>
      <c r="C7143" t="str">
        <f t="shared" si="582"/>
        <v>06032681006</v>
      </c>
      <c r="D7143" t="str">
        <f t="shared" si="583"/>
        <v>12572900152</v>
      </c>
      <c r="E7143" t="s">
        <v>52</v>
      </c>
      <c r="F7143">
        <v>2015</v>
      </c>
      <c r="G7143">
        <v>25222069</v>
      </c>
      <c r="H7143" s="1">
        <v>42017</v>
      </c>
      <c r="I7143" s="1">
        <v>42033</v>
      </c>
      <c r="J7143" s="1">
        <v>42033</v>
      </c>
      <c r="K7143" s="1">
        <v>42093</v>
      </c>
      <c r="L7143" s="7">
        <v>900</v>
      </c>
      <c r="M7143" s="5">
        <v>263</v>
      </c>
      <c r="N7143" s="7">
        <v>236700</v>
      </c>
      <c r="O7143">
        <v>900</v>
      </c>
      <c r="P7143">
        <v>263</v>
      </c>
      <c r="Q7143" s="2">
        <v>236700</v>
      </c>
      <c r="R7143">
        <v>36</v>
      </c>
      <c r="V7143">
        <v>0</v>
      </c>
      <c r="W7143">
        <v>0</v>
      </c>
      <c r="X7143">
        <v>0</v>
      </c>
      <c r="Y7143">
        <v>936</v>
      </c>
      <c r="Z7143">
        <v>936</v>
      </c>
      <c r="AA7143">
        <v>936</v>
      </c>
      <c r="AB7143" s="1">
        <v>42382</v>
      </c>
      <c r="AC7143" t="s">
        <v>53</v>
      </c>
      <c r="AD7143" t="s">
        <v>53</v>
      </c>
      <c r="AK7143">
        <v>36</v>
      </c>
      <c r="AU7143" s="6">
        <v>42356</v>
      </c>
      <c r="AV7143" s="6">
        <v>42356</v>
      </c>
      <c r="AW7143" t="s">
        <v>54</v>
      </c>
      <c r="AX7143" t="str">
        <f t="shared" si="581"/>
        <v>FOR</v>
      </c>
      <c r="AY7143" t="s">
        <v>55</v>
      </c>
    </row>
    <row r="7144" spans="1:51">
      <c r="A7144">
        <v>104093</v>
      </c>
      <c r="B7144" t="s">
        <v>1210</v>
      </c>
      <c r="C7144" t="str">
        <f t="shared" si="582"/>
        <v>06032681006</v>
      </c>
      <c r="D7144" t="str">
        <f t="shared" si="583"/>
        <v>12572900152</v>
      </c>
      <c r="E7144" t="s">
        <v>52</v>
      </c>
      <c r="F7144">
        <v>2015</v>
      </c>
      <c r="G7144">
        <v>25222070</v>
      </c>
      <c r="H7144" s="1">
        <v>42017</v>
      </c>
      <c r="I7144" s="1">
        <v>42033</v>
      </c>
      <c r="J7144" s="1">
        <v>42033</v>
      </c>
      <c r="K7144" s="1">
        <v>42093</v>
      </c>
      <c r="L7144" s="7">
        <v>900</v>
      </c>
      <c r="M7144" s="5">
        <v>263</v>
      </c>
      <c r="N7144" s="7">
        <v>236700</v>
      </c>
      <c r="O7144">
        <v>900</v>
      </c>
      <c r="P7144">
        <v>263</v>
      </c>
      <c r="Q7144" s="2">
        <v>236700</v>
      </c>
      <c r="R7144">
        <v>36</v>
      </c>
      <c r="V7144">
        <v>0</v>
      </c>
      <c r="W7144">
        <v>0</v>
      </c>
      <c r="X7144">
        <v>0</v>
      </c>
      <c r="Y7144">
        <v>936</v>
      </c>
      <c r="Z7144">
        <v>936</v>
      </c>
      <c r="AA7144">
        <v>936</v>
      </c>
      <c r="AB7144" s="1">
        <v>42382</v>
      </c>
      <c r="AC7144" t="s">
        <v>53</v>
      </c>
      <c r="AD7144" t="s">
        <v>53</v>
      </c>
      <c r="AK7144">
        <v>36</v>
      </c>
      <c r="AU7144" s="6">
        <v>42356</v>
      </c>
      <c r="AV7144" s="6">
        <v>42356</v>
      </c>
      <c r="AW7144" t="s">
        <v>54</v>
      </c>
      <c r="AX7144" t="str">
        <f t="shared" si="581"/>
        <v>FOR</v>
      </c>
      <c r="AY7144" t="s">
        <v>55</v>
      </c>
    </row>
    <row r="7145" spans="1:51">
      <c r="A7145">
        <v>104093</v>
      </c>
      <c r="B7145" t="s">
        <v>1210</v>
      </c>
      <c r="C7145" t="str">
        <f t="shared" si="582"/>
        <v>06032681006</v>
      </c>
      <c r="D7145" t="str">
        <f t="shared" si="583"/>
        <v>12572900152</v>
      </c>
      <c r="E7145" t="s">
        <v>52</v>
      </c>
      <c r="F7145">
        <v>2015</v>
      </c>
      <c r="G7145">
        <v>25222659</v>
      </c>
      <c r="H7145" s="1">
        <v>42019</v>
      </c>
      <c r="I7145" s="1">
        <v>42038</v>
      </c>
      <c r="J7145" s="1">
        <v>42038</v>
      </c>
      <c r="K7145" s="1">
        <v>42098</v>
      </c>
      <c r="L7145" s="7">
        <v>243</v>
      </c>
      <c r="M7145" s="5">
        <v>258</v>
      </c>
      <c r="N7145" s="7">
        <v>62694</v>
      </c>
      <c r="O7145">
        <v>243</v>
      </c>
      <c r="P7145">
        <v>258</v>
      </c>
      <c r="Q7145" s="2">
        <v>62694</v>
      </c>
      <c r="R7145">
        <v>9.7200000000000006</v>
      </c>
      <c r="V7145">
        <v>0</v>
      </c>
      <c r="W7145">
        <v>0</v>
      </c>
      <c r="X7145">
        <v>0</v>
      </c>
      <c r="Y7145">
        <v>252.72</v>
      </c>
      <c r="Z7145">
        <v>252.72</v>
      </c>
      <c r="AA7145">
        <v>252.72</v>
      </c>
      <c r="AB7145" s="1">
        <v>42382</v>
      </c>
      <c r="AC7145" t="s">
        <v>53</v>
      </c>
      <c r="AD7145" t="s">
        <v>53</v>
      </c>
      <c r="AK7145">
        <v>9.7200000000000006</v>
      </c>
      <c r="AU7145" s="6">
        <v>42356</v>
      </c>
      <c r="AV7145" s="6">
        <v>42356</v>
      </c>
      <c r="AW7145" t="s">
        <v>54</v>
      </c>
      <c r="AX7145" t="str">
        <f t="shared" si="581"/>
        <v>FOR</v>
      </c>
      <c r="AY7145" t="s">
        <v>55</v>
      </c>
    </row>
    <row r="7146" spans="1:51">
      <c r="A7146">
        <v>104093</v>
      </c>
      <c r="B7146" t="s">
        <v>1210</v>
      </c>
      <c r="C7146" t="str">
        <f t="shared" si="582"/>
        <v>06032681006</v>
      </c>
      <c r="D7146" t="str">
        <f t="shared" si="583"/>
        <v>12572900152</v>
      </c>
      <c r="E7146" t="s">
        <v>52</v>
      </c>
      <c r="F7146">
        <v>2015</v>
      </c>
      <c r="G7146">
        <v>25222660</v>
      </c>
      <c r="H7146" s="1">
        <v>42019</v>
      </c>
      <c r="I7146" s="1">
        <v>42038</v>
      </c>
      <c r="J7146" s="1">
        <v>42038</v>
      </c>
      <c r="K7146" s="1">
        <v>42098</v>
      </c>
      <c r="L7146" s="7">
        <v>680.4</v>
      </c>
      <c r="M7146" s="5">
        <v>258</v>
      </c>
      <c r="N7146" s="7">
        <v>175543.2</v>
      </c>
      <c r="O7146">
        <v>680.4</v>
      </c>
      <c r="P7146">
        <v>258</v>
      </c>
      <c r="Q7146" s="2">
        <v>175543.2</v>
      </c>
      <c r="R7146">
        <v>27.22</v>
      </c>
      <c r="V7146">
        <v>0</v>
      </c>
      <c r="W7146">
        <v>0</v>
      </c>
      <c r="X7146">
        <v>0</v>
      </c>
      <c r="Y7146">
        <v>707.62</v>
      </c>
      <c r="Z7146">
        <v>707.62</v>
      </c>
      <c r="AA7146">
        <v>707.62</v>
      </c>
      <c r="AB7146" s="1">
        <v>42382</v>
      </c>
      <c r="AC7146" t="s">
        <v>53</v>
      </c>
      <c r="AD7146" t="s">
        <v>53</v>
      </c>
      <c r="AK7146">
        <v>27.22</v>
      </c>
      <c r="AU7146" s="6">
        <v>42356</v>
      </c>
      <c r="AV7146" s="6">
        <v>42356</v>
      </c>
      <c r="AW7146" t="s">
        <v>54</v>
      </c>
      <c r="AX7146" t="str">
        <f t="shared" si="581"/>
        <v>FOR</v>
      </c>
      <c r="AY7146" t="s">
        <v>55</v>
      </c>
    </row>
    <row r="7147" spans="1:51">
      <c r="A7147">
        <v>104093</v>
      </c>
      <c r="B7147" t="s">
        <v>1210</v>
      </c>
      <c r="C7147" t="str">
        <f t="shared" si="582"/>
        <v>06032681006</v>
      </c>
      <c r="D7147" t="str">
        <f t="shared" si="583"/>
        <v>12572900152</v>
      </c>
      <c r="E7147" t="s">
        <v>52</v>
      </c>
      <c r="F7147">
        <v>2015</v>
      </c>
      <c r="G7147">
        <v>25222661</v>
      </c>
      <c r="H7147" s="1">
        <v>42019</v>
      </c>
      <c r="I7147" s="1">
        <v>42038</v>
      </c>
      <c r="J7147" s="1">
        <v>42038</v>
      </c>
      <c r="K7147" s="1">
        <v>42098</v>
      </c>
      <c r="L7147" s="7">
        <v>243</v>
      </c>
      <c r="M7147" s="5">
        <v>258</v>
      </c>
      <c r="N7147" s="7">
        <v>62694</v>
      </c>
      <c r="O7147">
        <v>243</v>
      </c>
      <c r="P7147">
        <v>258</v>
      </c>
      <c r="Q7147" s="2">
        <v>62694</v>
      </c>
      <c r="R7147">
        <v>9.7200000000000006</v>
      </c>
      <c r="V7147">
        <v>0</v>
      </c>
      <c r="W7147">
        <v>0</v>
      </c>
      <c r="X7147">
        <v>0</v>
      </c>
      <c r="Y7147">
        <v>252.72</v>
      </c>
      <c r="Z7147">
        <v>252.72</v>
      </c>
      <c r="AA7147">
        <v>252.72</v>
      </c>
      <c r="AB7147" s="1">
        <v>42382</v>
      </c>
      <c r="AC7147" t="s">
        <v>53</v>
      </c>
      <c r="AD7147" t="s">
        <v>53</v>
      </c>
      <c r="AK7147">
        <v>9.7200000000000006</v>
      </c>
      <c r="AU7147" s="6">
        <v>42356</v>
      </c>
      <c r="AV7147" s="6">
        <v>42356</v>
      </c>
      <c r="AW7147" t="s">
        <v>54</v>
      </c>
      <c r="AX7147" t="str">
        <f t="shared" si="581"/>
        <v>FOR</v>
      </c>
      <c r="AY7147" t="s">
        <v>55</v>
      </c>
    </row>
    <row r="7148" spans="1:51">
      <c r="A7148">
        <v>104093</v>
      </c>
      <c r="B7148" t="s">
        <v>1210</v>
      </c>
      <c r="C7148" t="str">
        <f t="shared" si="582"/>
        <v>06032681006</v>
      </c>
      <c r="D7148" t="str">
        <f t="shared" si="583"/>
        <v>12572900152</v>
      </c>
      <c r="E7148" t="s">
        <v>52</v>
      </c>
      <c r="F7148">
        <v>2015</v>
      </c>
      <c r="G7148">
        <v>25222662</v>
      </c>
      <c r="H7148" s="1">
        <v>42019</v>
      </c>
      <c r="I7148" s="1">
        <v>42038</v>
      </c>
      <c r="J7148" s="1">
        <v>42038</v>
      </c>
      <c r="K7148" s="1">
        <v>42098</v>
      </c>
      <c r="L7148" s="7">
        <v>680.4</v>
      </c>
      <c r="M7148" s="5">
        <v>258</v>
      </c>
      <c r="N7148" s="7">
        <v>175543.2</v>
      </c>
      <c r="O7148">
        <v>680.4</v>
      </c>
      <c r="P7148">
        <v>258</v>
      </c>
      <c r="Q7148" s="2">
        <v>175543.2</v>
      </c>
      <c r="R7148">
        <v>27.22</v>
      </c>
      <c r="V7148">
        <v>0</v>
      </c>
      <c r="W7148">
        <v>0</v>
      </c>
      <c r="X7148">
        <v>0</v>
      </c>
      <c r="Y7148">
        <v>707.62</v>
      </c>
      <c r="Z7148">
        <v>707.62</v>
      </c>
      <c r="AA7148">
        <v>707.62</v>
      </c>
      <c r="AB7148" s="1">
        <v>42382</v>
      </c>
      <c r="AC7148" t="s">
        <v>53</v>
      </c>
      <c r="AD7148" t="s">
        <v>53</v>
      </c>
      <c r="AK7148">
        <v>27.22</v>
      </c>
      <c r="AU7148" s="6">
        <v>42356</v>
      </c>
      <c r="AV7148" s="6">
        <v>42356</v>
      </c>
      <c r="AW7148" t="s">
        <v>54</v>
      </c>
      <c r="AX7148" t="str">
        <f t="shared" si="581"/>
        <v>FOR</v>
      </c>
      <c r="AY7148" t="s">
        <v>55</v>
      </c>
    </row>
    <row r="7149" spans="1:51">
      <c r="A7149">
        <v>104093</v>
      </c>
      <c r="B7149" t="s">
        <v>1210</v>
      </c>
      <c r="C7149" t="str">
        <f t="shared" si="582"/>
        <v>06032681006</v>
      </c>
      <c r="D7149" t="str">
        <f t="shared" si="583"/>
        <v>12572900152</v>
      </c>
      <c r="E7149" t="s">
        <v>52</v>
      </c>
      <c r="F7149">
        <v>2015</v>
      </c>
      <c r="G7149">
        <v>25222663</v>
      </c>
      <c r="H7149" s="1">
        <v>42019</v>
      </c>
      <c r="I7149" s="1">
        <v>42038</v>
      </c>
      <c r="J7149" s="1">
        <v>42038</v>
      </c>
      <c r="K7149" s="1">
        <v>42098</v>
      </c>
      <c r="L7149" s="7">
        <v>72</v>
      </c>
      <c r="M7149" s="5">
        <v>258</v>
      </c>
      <c r="N7149" s="7">
        <v>18576</v>
      </c>
      <c r="O7149">
        <v>72</v>
      </c>
      <c r="P7149">
        <v>258</v>
      </c>
      <c r="Q7149" s="2">
        <v>18576</v>
      </c>
      <c r="R7149">
        <v>2.88</v>
      </c>
      <c r="V7149">
        <v>0</v>
      </c>
      <c r="W7149">
        <v>0</v>
      </c>
      <c r="X7149">
        <v>0</v>
      </c>
      <c r="Y7149">
        <v>74.88</v>
      </c>
      <c r="Z7149">
        <v>74.88</v>
      </c>
      <c r="AA7149">
        <v>74.88</v>
      </c>
      <c r="AB7149" s="1">
        <v>42382</v>
      </c>
      <c r="AC7149" t="s">
        <v>53</v>
      </c>
      <c r="AD7149" t="s">
        <v>53</v>
      </c>
      <c r="AK7149">
        <v>2.88</v>
      </c>
      <c r="AU7149" s="6">
        <v>42356</v>
      </c>
      <c r="AV7149" s="6">
        <v>42356</v>
      </c>
      <c r="AW7149" t="s">
        <v>54</v>
      </c>
      <c r="AX7149" t="str">
        <f t="shared" si="581"/>
        <v>FOR</v>
      </c>
      <c r="AY7149" t="s">
        <v>55</v>
      </c>
    </row>
    <row r="7150" spans="1:51">
      <c r="A7150">
        <v>104093</v>
      </c>
      <c r="B7150" t="s">
        <v>1210</v>
      </c>
      <c r="C7150" t="str">
        <f t="shared" si="582"/>
        <v>06032681006</v>
      </c>
      <c r="D7150" t="str">
        <f t="shared" si="583"/>
        <v>12572900152</v>
      </c>
      <c r="E7150" t="s">
        <v>52</v>
      </c>
      <c r="F7150">
        <v>2015</v>
      </c>
      <c r="G7150">
        <v>25222664</v>
      </c>
      <c r="H7150" s="1">
        <v>42019</v>
      </c>
      <c r="I7150" s="1">
        <v>42038</v>
      </c>
      <c r="J7150" s="1">
        <v>42038</v>
      </c>
      <c r="K7150" s="1">
        <v>42098</v>
      </c>
      <c r="L7150" s="7">
        <v>72</v>
      </c>
      <c r="M7150" s="5">
        <v>258</v>
      </c>
      <c r="N7150" s="7">
        <v>18576</v>
      </c>
      <c r="O7150">
        <v>72</v>
      </c>
      <c r="P7150">
        <v>258</v>
      </c>
      <c r="Q7150" s="2">
        <v>18576</v>
      </c>
      <c r="R7150">
        <v>2.88</v>
      </c>
      <c r="V7150">
        <v>0</v>
      </c>
      <c r="W7150">
        <v>0</v>
      </c>
      <c r="X7150">
        <v>0</v>
      </c>
      <c r="Y7150">
        <v>74.88</v>
      </c>
      <c r="Z7150">
        <v>74.88</v>
      </c>
      <c r="AA7150">
        <v>74.88</v>
      </c>
      <c r="AB7150" s="1">
        <v>42382</v>
      </c>
      <c r="AC7150" t="s">
        <v>53</v>
      </c>
      <c r="AD7150" t="s">
        <v>53</v>
      </c>
      <c r="AK7150">
        <v>2.88</v>
      </c>
      <c r="AU7150" s="6">
        <v>42356</v>
      </c>
      <c r="AV7150" s="6">
        <v>42356</v>
      </c>
      <c r="AW7150" t="s">
        <v>54</v>
      </c>
      <c r="AX7150" t="str">
        <f t="shared" si="581"/>
        <v>FOR</v>
      </c>
      <c r="AY7150" t="s">
        <v>55</v>
      </c>
    </row>
    <row r="7151" spans="1:51">
      <c r="A7151">
        <v>104093</v>
      </c>
      <c r="B7151" t="s">
        <v>1210</v>
      </c>
      <c r="C7151" t="str">
        <f t="shared" si="582"/>
        <v>06032681006</v>
      </c>
      <c r="D7151" t="str">
        <f t="shared" si="583"/>
        <v>12572900152</v>
      </c>
      <c r="E7151" t="s">
        <v>52</v>
      </c>
      <c r="F7151">
        <v>2015</v>
      </c>
      <c r="G7151">
        <v>25222665</v>
      </c>
      <c r="H7151" s="1">
        <v>42019</v>
      </c>
      <c r="I7151" s="1">
        <v>42038</v>
      </c>
      <c r="J7151" s="1">
        <v>42038</v>
      </c>
      <c r="K7151" s="1">
        <v>42098</v>
      </c>
      <c r="L7151" s="7">
        <v>243</v>
      </c>
      <c r="M7151" s="5">
        <v>258</v>
      </c>
      <c r="N7151" s="7">
        <v>62694</v>
      </c>
      <c r="O7151">
        <v>243</v>
      </c>
      <c r="P7151">
        <v>258</v>
      </c>
      <c r="Q7151" s="2">
        <v>62694</v>
      </c>
      <c r="R7151">
        <v>9.7200000000000006</v>
      </c>
      <c r="V7151">
        <v>0</v>
      </c>
      <c r="W7151">
        <v>0</v>
      </c>
      <c r="X7151">
        <v>0</v>
      </c>
      <c r="Y7151">
        <v>252.72</v>
      </c>
      <c r="Z7151">
        <v>252.72</v>
      </c>
      <c r="AA7151">
        <v>252.72</v>
      </c>
      <c r="AB7151" s="1">
        <v>42382</v>
      </c>
      <c r="AC7151" t="s">
        <v>53</v>
      </c>
      <c r="AD7151" t="s">
        <v>53</v>
      </c>
      <c r="AK7151">
        <v>9.7200000000000006</v>
      </c>
      <c r="AU7151" s="6">
        <v>42356</v>
      </c>
      <c r="AV7151" s="6">
        <v>42356</v>
      </c>
      <c r="AW7151" t="s">
        <v>54</v>
      </c>
      <c r="AX7151" t="str">
        <f t="shared" si="581"/>
        <v>FOR</v>
      </c>
      <c r="AY7151" t="s">
        <v>55</v>
      </c>
    </row>
    <row r="7152" spans="1:51">
      <c r="A7152">
        <v>104093</v>
      </c>
      <c r="B7152" t="s">
        <v>1210</v>
      </c>
      <c r="C7152" t="str">
        <f t="shared" si="582"/>
        <v>06032681006</v>
      </c>
      <c r="D7152" t="str">
        <f t="shared" si="583"/>
        <v>12572900152</v>
      </c>
      <c r="E7152" t="s">
        <v>52</v>
      </c>
      <c r="F7152">
        <v>2015</v>
      </c>
      <c r="G7152">
        <v>25222666</v>
      </c>
      <c r="H7152" s="1">
        <v>42019</v>
      </c>
      <c r="I7152" s="1">
        <v>42038</v>
      </c>
      <c r="J7152" s="1">
        <v>42038</v>
      </c>
      <c r="K7152" s="1">
        <v>42098</v>
      </c>
      <c r="L7152" s="7">
        <v>680.4</v>
      </c>
      <c r="M7152" s="5">
        <v>258</v>
      </c>
      <c r="N7152" s="7">
        <v>175543.2</v>
      </c>
      <c r="O7152">
        <v>680.4</v>
      </c>
      <c r="P7152">
        <v>258</v>
      </c>
      <c r="Q7152" s="2">
        <v>175543.2</v>
      </c>
      <c r="R7152">
        <v>27.22</v>
      </c>
      <c r="V7152">
        <v>0</v>
      </c>
      <c r="W7152">
        <v>0</v>
      </c>
      <c r="X7152">
        <v>0</v>
      </c>
      <c r="Y7152">
        <v>707.62</v>
      </c>
      <c r="Z7152">
        <v>707.62</v>
      </c>
      <c r="AA7152">
        <v>707.62</v>
      </c>
      <c r="AB7152" s="1">
        <v>42382</v>
      </c>
      <c r="AC7152" t="s">
        <v>53</v>
      </c>
      <c r="AD7152" t="s">
        <v>53</v>
      </c>
      <c r="AK7152">
        <v>27.22</v>
      </c>
      <c r="AU7152" s="6">
        <v>42356</v>
      </c>
      <c r="AV7152" s="6">
        <v>42356</v>
      </c>
      <c r="AW7152" t="s">
        <v>54</v>
      </c>
      <c r="AX7152" t="str">
        <f t="shared" si="581"/>
        <v>FOR</v>
      </c>
      <c r="AY7152" t="s">
        <v>55</v>
      </c>
    </row>
    <row r="7153" spans="1:51">
      <c r="A7153">
        <v>104093</v>
      </c>
      <c r="B7153" t="s">
        <v>1210</v>
      </c>
      <c r="C7153" t="str">
        <f t="shared" si="582"/>
        <v>06032681006</v>
      </c>
      <c r="D7153" t="str">
        <f t="shared" si="583"/>
        <v>12572900152</v>
      </c>
      <c r="E7153" t="s">
        <v>52</v>
      </c>
      <c r="F7153">
        <v>2015</v>
      </c>
      <c r="G7153">
        <v>25222667</v>
      </c>
      <c r="H7153" s="1">
        <v>42019</v>
      </c>
      <c r="I7153" s="1">
        <v>42038</v>
      </c>
      <c r="J7153" s="1">
        <v>42038</v>
      </c>
      <c r="K7153" s="1">
        <v>42098</v>
      </c>
      <c r="L7153" s="7">
        <v>72</v>
      </c>
      <c r="M7153" s="5">
        <v>258</v>
      </c>
      <c r="N7153" s="7">
        <v>18576</v>
      </c>
      <c r="O7153">
        <v>72</v>
      </c>
      <c r="P7153">
        <v>258</v>
      </c>
      <c r="Q7153" s="2">
        <v>18576</v>
      </c>
      <c r="R7153">
        <v>2.88</v>
      </c>
      <c r="V7153">
        <v>0</v>
      </c>
      <c r="W7153">
        <v>0</v>
      </c>
      <c r="X7153">
        <v>0</v>
      </c>
      <c r="Y7153">
        <v>74.88</v>
      </c>
      <c r="Z7153">
        <v>74.88</v>
      </c>
      <c r="AA7153">
        <v>74.88</v>
      </c>
      <c r="AB7153" s="1">
        <v>42382</v>
      </c>
      <c r="AC7153" t="s">
        <v>53</v>
      </c>
      <c r="AD7153" t="s">
        <v>53</v>
      </c>
      <c r="AK7153">
        <v>2.88</v>
      </c>
      <c r="AU7153" s="6">
        <v>42356</v>
      </c>
      <c r="AV7153" s="6">
        <v>42356</v>
      </c>
      <c r="AW7153" t="s">
        <v>54</v>
      </c>
      <c r="AX7153" t="str">
        <f t="shared" si="581"/>
        <v>FOR</v>
      </c>
      <c r="AY7153" t="s">
        <v>55</v>
      </c>
    </row>
    <row r="7154" spans="1:51">
      <c r="A7154">
        <v>104093</v>
      </c>
      <c r="B7154" t="s">
        <v>1210</v>
      </c>
      <c r="C7154" t="str">
        <f t="shared" si="582"/>
        <v>06032681006</v>
      </c>
      <c r="D7154" t="str">
        <f t="shared" si="583"/>
        <v>12572900152</v>
      </c>
      <c r="E7154" t="s">
        <v>52</v>
      </c>
      <c r="F7154">
        <v>2015</v>
      </c>
      <c r="G7154">
        <v>25222668</v>
      </c>
      <c r="H7154" s="1">
        <v>42019</v>
      </c>
      <c r="I7154" s="1">
        <v>42038</v>
      </c>
      <c r="J7154" s="1">
        <v>42038</v>
      </c>
      <c r="K7154" s="1">
        <v>42098</v>
      </c>
      <c r="L7154" s="7">
        <v>891</v>
      </c>
      <c r="M7154" s="5">
        <v>258</v>
      </c>
      <c r="N7154" s="7">
        <v>229878</v>
      </c>
      <c r="O7154">
        <v>891</v>
      </c>
      <c r="P7154">
        <v>258</v>
      </c>
      <c r="Q7154" s="2">
        <v>229878</v>
      </c>
      <c r="R7154">
        <v>35.64</v>
      </c>
      <c r="V7154">
        <v>0</v>
      </c>
      <c r="W7154">
        <v>0</v>
      </c>
      <c r="X7154">
        <v>0</v>
      </c>
      <c r="Y7154">
        <v>926.64</v>
      </c>
      <c r="Z7154">
        <v>926.64</v>
      </c>
      <c r="AA7154">
        <v>926.64</v>
      </c>
      <c r="AB7154" s="1">
        <v>42382</v>
      </c>
      <c r="AC7154" t="s">
        <v>53</v>
      </c>
      <c r="AD7154" t="s">
        <v>53</v>
      </c>
      <c r="AK7154">
        <v>35.64</v>
      </c>
      <c r="AU7154" s="6">
        <v>42356</v>
      </c>
      <c r="AV7154" s="6">
        <v>42356</v>
      </c>
      <c r="AW7154" t="s">
        <v>54</v>
      </c>
      <c r="AX7154" t="str">
        <f t="shared" si="581"/>
        <v>FOR</v>
      </c>
      <c r="AY7154" t="s">
        <v>55</v>
      </c>
    </row>
    <row r="7155" spans="1:51">
      <c r="A7155">
        <v>104093</v>
      </c>
      <c r="B7155" t="s">
        <v>1210</v>
      </c>
      <c r="C7155" t="str">
        <f t="shared" si="582"/>
        <v>06032681006</v>
      </c>
      <c r="D7155" t="str">
        <f t="shared" si="583"/>
        <v>12572900152</v>
      </c>
      <c r="E7155" t="s">
        <v>52</v>
      </c>
      <c r="F7155">
        <v>2015</v>
      </c>
      <c r="G7155">
        <v>25222669</v>
      </c>
      <c r="H7155" s="1">
        <v>42019</v>
      </c>
      <c r="I7155" s="1">
        <v>42038</v>
      </c>
      <c r="J7155" s="1">
        <v>42038</v>
      </c>
      <c r="K7155" s="1">
        <v>42098</v>
      </c>
      <c r="L7155" s="7">
        <v>72</v>
      </c>
      <c r="M7155" s="5">
        <v>258</v>
      </c>
      <c r="N7155" s="7">
        <v>18576</v>
      </c>
      <c r="O7155">
        <v>72</v>
      </c>
      <c r="P7155">
        <v>258</v>
      </c>
      <c r="Q7155" s="2">
        <v>18576</v>
      </c>
      <c r="R7155">
        <v>2.88</v>
      </c>
      <c r="V7155">
        <v>0</v>
      </c>
      <c r="W7155">
        <v>0</v>
      </c>
      <c r="X7155">
        <v>0</v>
      </c>
      <c r="Y7155">
        <v>74.88</v>
      </c>
      <c r="Z7155">
        <v>74.88</v>
      </c>
      <c r="AA7155">
        <v>74.88</v>
      </c>
      <c r="AB7155" s="1">
        <v>42382</v>
      </c>
      <c r="AC7155" t="s">
        <v>53</v>
      </c>
      <c r="AD7155" t="s">
        <v>53</v>
      </c>
      <c r="AK7155">
        <v>2.88</v>
      </c>
      <c r="AU7155" s="6">
        <v>42356</v>
      </c>
      <c r="AV7155" s="6">
        <v>42356</v>
      </c>
      <c r="AW7155" t="s">
        <v>54</v>
      </c>
      <c r="AX7155" t="str">
        <f t="shared" si="581"/>
        <v>FOR</v>
      </c>
      <c r="AY7155" t="s">
        <v>55</v>
      </c>
    </row>
    <row r="7156" spans="1:51">
      <c r="A7156">
        <v>104093</v>
      </c>
      <c r="B7156" t="s">
        <v>1210</v>
      </c>
      <c r="C7156" t="str">
        <f t="shared" si="582"/>
        <v>06032681006</v>
      </c>
      <c r="D7156" t="str">
        <f t="shared" si="583"/>
        <v>12572900152</v>
      </c>
      <c r="E7156" t="s">
        <v>52</v>
      </c>
      <c r="F7156">
        <v>2015</v>
      </c>
      <c r="G7156">
        <v>25222670</v>
      </c>
      <c r="H7156" s="1">
        <v>42019</v>
      </c>
      <c r="I7156" s="1">
        <v>42038</v>
      </c>
      <c r="J7156" s="1">
        <v>42038</v>
      </c>
      <c r="K7156" s="1">
        <v>42098</v>
      </c>
      <c r="L7156" s="7">
        <v>243</v>
      </c>
      <c r="M7156" s="5">
        <v>258</v>
      </c>
      <c r="N7156" s="7">
        <v>62694</v>
      </c>
      <c r="O7156">
        <v>243</v>
      </c>
      <c r="P7156">
        <v>258</v>
      </c>
      <c r="Q7156" s="2">
        <v>62694</v>
      </c>
      <c r="R7156">
        <v>9.7200000000000006</v>
      </c>
      <c r="V7156">
        <v>0</v>
      </c>
      <c r="W7156">
        <v>0</v>
      </c>
      <c r="X7156">
        <v>0</v>
      </c>
      <c r="Y7156">
        <v>252.72</v>
      </c>
      <c r="Z7156">
        <v>252.72</v>
      </c>
      <c r="AA7156">
        <v>252.72</v>
      </c>
      <c r="AB7156" s="1">
        <v>42382</v>
      </c>
      <c r="AC7156" t="s">
        <v>53</v>
      </c>
      <c r="AD7156" t="s">
        <v>53</v>
      </c>
      <c r="AK7156">
        <v>9.7200000000000006</v>
      </c>
      <c r="AU7156" s="6">
        <v>42356</v>
      </c>
      <c r="AV7156" s="6">
        <v>42356</v>
      </c>
      <c r="AW7156" t="s">
        <v>54</v>
      </c>
      <c r="AX7156" t="str">
        <f t="shared" si="581"/>
        <v>FOR</v>
      </c>
      <c r="AY7156" t="s">
        <v>55</v>
      </c>
    </row>
    <row r="7157" spans="1:51">
      <c r="A7157">
        <v>104093</v>
      </c>
      <c r="B7157" t="s">
        <v>1210</v>
      </c>
      <c r="C7157" t="str">
        <f t="shared" si="582"/>
        <v>06032681006</v>
      </c>
      <c r="D7157" t="str">
        <f t="shared" si="583"/>
        <v>12572900152</v>
      </c>
      <c r="E7157" t="s">
        <v>52</v>
      </c>
      <c r="F7157">
        <v>2015</v>
      </c>
      <c r="G7157">
        <v>25222671</v>
      </c>
      <c r="H7157" s="1">
        <v>42019</v>
      </c>
      <c r="I7157" s="1">
        <v>42038</v>
      </c>
      <c r="J7157" s="1">
        <v>42038</v>
      </c>
      <c r="K7157" s="1">
        <v>42098</v>
      </c>
      <c r="L7157" s="7">
        <v>72</v>
      </c>
      <c r="M7157" s="5">
        <v>258</v>
      </c>
      <c r="N7157" s="7">
        <v>18576</v>
      </c>
      <c r="O7157">
        <v>72</v>
      </c>
      <c r="P7157">
        <v>258</v>
      </c>
      <c r="Q7157" s="2">
        <v>18576</v>
      </c>
      <c r="R7157">
        <v>2.88</v>
      </c>
      <c r="V7157">
        <v>0</v>
      </c>
      <c r="W7157">
        <v>0</v>
      </c>
      <c r="X7157">
        <v>0</v>
      </c>
      <c r="Y7157">
        <v>74.88</v>
      </c>
      <c r="Z7157">
        <v>74.88</v>
      </c>
      <c r="AA7157">
        <v>74.88</v>
      </c>
      <c r="AB7157" s="1">
        <v>42382</v>
      </c>
      <c r="AC7157" t="s">
        <v>53</v>
      </c>
      <c r="AD7157" t="s">
        <v>53</v>
      </c>
      <c r="AK7157">
        <v>2.88</v>
      </c>
      <c r="AU7157" s="6">
        <v>42356</v>
      </c>
      <c r="AV7157" s="6">
        <v>42356</v>
      </c>
      <c r="AW7157" t="s">
        <v>54</v>
      </c>
      <c r="AX7157" t="str">
        <f t="shared" si="581"/>
        <v>FOR</v>
      </c>
      <c r="AY7157" t="s">
        <v>55</v>
      </c>
    </row>
    <row r="7158" spans="1:51">
      <c r="A7158">
        <v>104093</v>
      </c>
      <c r="B7158" t="s">
        <v>1210</v>
      </c>
      <c r="C7158" t="str">
        <f t="shared" si="582"/>
        <v>06032681006</v>
      </c>
      <c r="D7158" t="str">
        <f t="shared" si="583"/>
        <v>12572900152</v>
      </c>
      <c r="E7158" t="s">
        <v>52</v>
      </c>
      <c r="F7158">
        <v>2015</v>
      </c>
      <c r="G7158">
        <v>25222672</v>
      </c>
      <c r="H7158" s="1">
        <v>42019</v>
      </c>
      <c r="I7158" s="1">
        <v>42038</v>
      </c>
      <c r="J7158" s="1">
        <v>42038</v>
      </c>
      <c r="K7158" s="1">
        <v>42098</v>
      </c>
      <c r="L7158" s="7">
        <v>900</v>
      </c>
      <c r="M7158" s="5">
        <v>258</v>
      </c>
      <c r="N7158" s="7">
        <v>232200</v>
      </c>
      <c r="O7158">
        <v>900</v>
      </c>
      <c r="P7158">
        <v>258</v>
      </c>
      <c r="Q7158" s="2">
        <v>232200</v>
      </c>
      <c r="R7158">
        <v>36</v>
      </c>
      <c r="V7158">
        <v>0</v>
      </c>
      <c r="W7158">
        <v>0</v>
      </c>
      <c r="X7158">
        <v>0</v>
      </c>
      <c r="Y7158">
        <v>936</v>
      </c>
      <c r="Z7158">
        <v>936</v>
      </c>
      <c r="AA7158">
        <v>936</v>
      </c>
      <c r="AB7158" s="1">
        <v>42382</v>
      </c>
      <c r="AC7158" t="s">
        <v>53</v>
      </c>
      <c r="AD7158" t="s">
        <v>53</v>
      </c>
      <c r="AK7158">
        <v>36</v>
      </c>
      <c r="AU7158" s="6">
        <v>42356</v>
      </c>
      <c r="AV7158" s="6">
        <v>42356</v>
      </c>
      <c r="AW7158" t="s">
        <v>54</v>
      </c>
      <c r="AX7158" t="str">
        <f t="shared" si="581"/>
        <v>FOR</v>
      </c>
      <c r="AY7158" t="s">
        <v>55</v>
      </c>
    </row>
    <row r="7159" spans="1:51">
      <c r="A7159">
        <v>104093</v>
      </c>
      <c r="B7159" t="s">
        <v>1210</v>
      </c>
      <c r="C7159" t="str">
        <f t="shared" si="582"/>
        <v>06032681006</v>
      </c>
      <c r="D7159" t="str">
        <f t="shared" si="583"/>
        <v>12572900152</v>
      </c>
      <c r="E7159" t="s">
        <v>52</v>
      </c>
      <c r="F7159">
        <v>2015</v>
      </c>
      <c r="G7159">
        <v>25222673</v>
      </c>
      <c r="H7159" s="1">
        <v>42019</v>
      </c>
      <c r="I7159" s="1">
        <v>42038</v>
      </c>
      <c r="J7159" s="1">
        <v>42038</v>
      </c>
      <c r="K7159" s="1">
        <v>42098</v>
      </c>
      <c r="L7159" s="7">
        <v>900</v>
      </c>
      <c r="M7159" s="5">
        <v>258</v>
      </c>
      <c r="N7159" s="7">
        <v>232200</v>
      </c>
      <c r="O7159">
        <v>900</v>
      </c>
      <c r="P7159">
        <v>258</v>
      </c>
      <c r="Q7159" s="2">
        <v>232200</v>
      </c>
      <c r="R7159">
        <v>36</v>
      </c>
      <c r="V7159">
        <v>0</v>
      </c>
      <c r="W7159">
        <v>0</v>
      </c>
      <c r="X7159">
        <v>0</v>
      </c>
      <c r="Y7159">
        <v>936</v>
      </c>
      <c r="Z7159">
        <v>936</v>
      </c>
      <c r="AA7159">
        <v>936</v>
      </c>
      <c r="AB7159" s="1">
        <v>42382</v>
      </c>
      <c r="AC7159" t="s">
        <v>53</v>
      </c>
      <c r="AD7159" t="s">
        <v>53</v>
      </c>
      <c r="AK7159">
        <v>36</v>
      </c>
      <c r="AU7159" s="6">
        <v>42356</v>
      </c>
      <c r="AV7159" s="6">
        <v>42356</v>
      </c>
      <c r="AW7159" t="s">
        <v>54</v>
      </c>
      <c r="AX7159" t="str">
        <f t="shared" si="581"/>
        <v>FOR</v>
      </c>
      <c r="AY7159" t="s">
        <v>55</v>
      </c>
    </row>
    <row r="7160" spans="1:51">
      <c r="A7160">
        <v>104093</v>
      </c>
      <c r="B7160" t="s">
        <v>1210</v>
      </c>
      <c r="C7160" t="str">
        <f t="shared" si="582"/>
        <v>06032681006</v>
      </c>
      <c r="D7160" t="str">
        <f t="shared" si="583"/>
        <v>12572900152</v>
      </c>
      <c r="E7160" t="s">
        <v>52</v>
      </c>
      <c r="F7160">
        <v>2015</v>
      </c>
      <c r="G7160">
        <v>25222674</v>
      </c>
      <c r="H7160" s="1">
        <v>42019</v>
      </c>
      <c r="I7160" s="1">
        <v>42038</v>
      </c>
      <c r="J7160" s="1">
        <v>42038</v>
      </c>
      <c r="K7160" s="1">
        <v>42098</v>
      </c>
      <c r="L7160" s="7">
        <v>900</v>
      </c>
      <c r="M7160" s="5">
        <v>258</v>
      </c>
      <c r="N7160" s="7">
        <v>232200</v>
      </c>
      <c r="O7160">
        <v>900</v>
      </c>
      <c r="P7160">
        <v>258</v>
      </c>
      <c r="Q7160" s="2">
        <v>232200</v>
      </c>
      <c r="R7160">
        <v>36</v>
      </c>
      <c r="V7160">
        <v>0</v>
      </c>
      <c r="W7160">
        <v>0</v>
      </c>
      <c r="X7160">
        <v>0</v>
      </c>
      <c r="Y7160">
        <v>936</v>
      </c>
      <c r="Z7160">
        <v>936</v>
      </c>
      <c r="AA7160">
        <v>936</v>
      </c>
      <c r="AB7160" s="1">
        <v>42382</v>
      </c>
      <c r="AC7160" t="s">
        <v>53</v>
      </c>
      <c r="AD7160" t="s">
        <v>53</v>
      </c>
      <c r="AK7160">
        <v>36</v>
      </c>
      <c r="AU7160" s="6">
        <v>42356</v>
      </c>
      <c r="AV7160" s="6">
        <v>42356</v>
      </c>
      <c r="AW7160" t="s">
        <v>54</v>
      </c>
      <c r="AX7160" t="str">
        <f t="shared" si="581"/>
        <v>FOR</v>
      </c>
      <c r="AY7160" t="s">
        <v>55</v>
      </c>
    </row>
    <row r="7161" spans="1:51">
      <c r="A7161">
        <v>104093</v>
      </c>
      <c r="B7161" t="s">
        <v>1210</v>
      </c>
      <c r="C7161" t="str">
        <f t="shared" si="582"/>
        <v>06032681006</v>
      </c>
      <c r="D7161" t="str">
        <f t="shared" si="583"/>
        <v>12572900152</v>
      </c>
      <c r="E7161" t="s">
        <v>52</v>
      </c>
      <c r="F7161">
        <v>2015</v>
      </c>
      <c r="G7161">
        <v>25222675</v>
      </c>
      <c r="H7161" s="1">
        <v>42019</v>
      </c>
      <c r="I7161" s="1">
        <v>42038</v>
      </c>
      <c r="J7161" s="1">
        <v>42038</v>
      </c>
      <c r="K7161" s="1">
        <v>42098</v>
      </c>
      <c r="L7161" s="7">
        <v>72</v>
      </c>
      <c r="M7161" s="5">
        <v>258</v>
      </c>
      <c r="N7161" s="7">
        <v>18576</v>
      </c>
      <c r="O7161">
        <v>72</v>
      </c>
      <c r="P7161">
        <v>258</v>
      </c>
      <c r="Q7161" s="2">
        <v>18576</v>
      </c>
      <c r="R7161">
        <v>2.88</v>
      </c>
      <c r="V7161">
        <v>0</v>
      </c>
      <c r="W7161">
        <v>0</v>
      </c>
      <c r="X7161">
        <v>0</v>
      </c>
      <c r="Y7161">
        <v>74.88</v>
      </c>
      <c r="Z7161">
        <v>74.88</v>
      </c>
      <c r="AA7161">
        <v>74.88</v>
      </c>
      <c r="AB7161" s="1">
        <v>42382</v>
      </c>
      <c r="AC7161" t="s">
        <v>53</v>
      </c>
      <c r="AD7161" t="s">
        <v>53</v>
      </c>
      <c r="AK7161">
        <v>2.88</v>
      </c>
      <c r="AU7161" s="6">
        <v>42356</v>
      </c>
      <c r="AV7161" s="6">
        <v>42356</v>
      </c>
      <c r="AW7161" t="s">
        <v>54</v>
      </c>
      <c r="AX7161" t="str">
        <f t="shared" si="581"/>
        <v>FOR</v>
      </c>
      <c r="AY7161" t="s">
        <v>55</v>
      </c>
    </row>
    <row r="7162" spans="1:51">
      <c r="A7162">
        <v>104093</v>
      </c>
      <c r="B7162" t="s">
        <v>1210</v>
      </c>
      <c r="C7162" t="str">
        <f t="shared" si="582"/>
        <v>06032681006</v>
      </c>
      <c r="D7162" t="str">
        <f t="shared" si="583"/>
        <v>12572900152</v>
      </c>
      <c r="E7162" t="s">
        <v>52</v>
      </c>
      <c r="F7162">
        <v>2015</v>
      </c>
      <c r="G7162">
        <v>25222676</v>
      </c>
      <c r="H7162" s="1">
        <v>42019</v>
      </c>
      <c r="I7162" s="1">
        <v>42038</v>
      </c>
      <c r="J7162" s="1">
        <v>42038</v>
      </c>
      <c r="K7162" s="1">
        <v>42098</v>
      </c>
      <c r="L7162" s="7">
        <v>72</v>
      </c>
      <c r="M7162" s="5">
        <v>258</v>
      </c>
      <c r="N7162" s="7">
        <v>18576</v>
      </c>
      <c r="O7162">
        <v>72</v>
      </c>
      <c r="P7162">
        <v>258</v>
      </c>
      <c r="Q7162" s="2">
        <v>18576</v>
      </c>
      <c r="R7162">
        <v>2.88</v>
      </c>
      <c r="V7162">
        <v>0</v>
      </c>
      <c r="W7162">
        <v>0</v>
      </c>
      <c r="X7162">
        <v>0</v>
      </c>
      <c r="Y7162">
        <v>74.88</v>
      </c>
      <c r="Z7162">
        <v>74.88</v>
      </c>
      <c r="AA7162">
        <v>74.88</v>
      </c>
      <c r="AB7162" s="1">
        <v>42382</v>
      </c>
      <c r="AC7162" t="s">
        <v>53</v>
      </c>
      <c r="AD7162" t="s">
        <v>53</v>
      </c>
      <c r="AK7162">
        <v>2.88</v>
      </c>
      <c r="AU7162" s="6">
        <v>42356</v>
      </c>
      <c r="AV7162" s="6">
        <v>42356</v>
      </c>
      <c r="AW7162" t="s">
        <v>54</v>
      </c>
      <c r="AX7162" t="str">
        <f t="shared" si="581"/>
        <v>FOR</v>
      </c>
      <c r="AY7162" t="s">
        <v>55</v>
      </c>
    </row>
    <row r="7163" spans="1:51">
      <c r="A7163">
        <v>104093</v>
      </c>
      <c r="B7163" t="s">
        <v>1210</v>
      </c>
      <c r="C7163" t="str">
        <f t="shared" si="582"/>
        <v>06032681006</v>
      </c>
      <c r="D7163" t="str">
        <f t="shared" si="583"/>
        <v>12572900152</v>
      </c>
      <c r="E7163" t="s">
        <v>52</v>
      </c>
      <c r="F7163">
        <v>2015</v>
      </c>
      <c r="G7163">
        <v>25222677</v>
      </c>
      <c r="H7163" s="1">
        <v>42019</v>
      </c>
      <c r="I7163" s="1">
        <v>42038</v>
      </c>
      <c r="J7163" s="1">
        <v>42038</v>
      </c>
      <c r="K7163" s="1">
        <v>42098</v>
      </c>
      <c r="L7163" s="7">
        <v>72</v>
      </c>
      <c r="M7163" s="5">
        <v>258</v>
      </c>
      <c r="N7163" s="7">
        <v>18576</v>
      </c>
      <c r="O7163">
        <v>72</v>
      </c>
      <c r="P7163">
        <v>258</v>
      </c>
      <c r="Q7163" s="2">
        <v>18576</v>
      </c>
      <c r="R7163">
        <v>2.88</v>
      </c>
      <c r="V7163">
        <v>0</v>
      </c>
      <c r="W7163">
        <v>0</v>
      </c>
      <c r="X7163">
        <v>0</v>
      </c>
      <c r="Y7163">
        <v>74.88</v>
      </c>
      <c r="Z7163">
        <v>74.88</v>
      </c>
      <c r="AA7163">
        <v>74.88</v>
      </c>
      <c r="AB7163" s="1">
        <v>42382</v>
      </c>
      <c r="AC7163" t="s">
        <v>53</v>
      </c>
      <c r="AD7163" t="s">
        <v>53</v>
      </c>
      <c r="AK7163">
        <v>2.88</v>
      </c>
      <c r="AU7163" s="6">
        <v>42356</v>
      </c>
      <c r="AV7163" s="6">
        <v>42356</v>
      </c>
      <c r="AW7163" t="s">
        <v>54</v>
      </c>
      <c r="AX7163" t="str">
        <f t="shared" si="581"/>
        <v>FOR</v>
      </c>
      <c r="AY7163" t="s">
        <v>55</v>
      </c>
    </row>
    <row r="7164" spans="1:51">
      <c r="A7164">
        <v>104093</v>
      </c>
      <c r="B7164" t="s">
        <v>1210</v>
      </c>
      <c r="C7164" t="str">
        <f t="shared" si="582"/>
        <v>06032681006</v>
      </c>
      <c r="D7164" t="str">
        <f t="shared" si="583"/>
        <v>12572900152</v>
      </c>
      <c r="E7164" t="s">
        <v>52</v>
      </c>
      <c r="F7164">
        <v>2015</v>
      </c>
      <c r="G7164">
        <v>25222755</v>
      </c>
      <c r="H7164" s="1">
        <v>42019</v>
      </c>
      <c r="I7164" s="1">
        <v>42038</v>
      </c>
      <c r="J7164" s="1">
        <v>42038</v>
      </c>
      <c r="K7164" s="1">
        <v>42098</v>
      </c>
      <c r="L7164" s="7">
        <v>5580</v>
      </c>
      <c r="M7164" s="5">
        <v>258</v>
      </c>
      <c r="N7164" s="7">
        <v>1439640</v>
      </c>
      <c r="O7164" s="2">
        <v>5580</v>
      </c>
      <c r="P7164">
        <v>258</v>
      </c>
      <c r="Q7164" s="2">
        <v>1439640</v>
      </c>
      <c r="R7164" s="2">
        <v>1227.5999999999999</v>
      </c>
      <c r="V7164">
        <v>0</v>
      </c>
      <c r="W7164">
        <v>0</v>
      </c>
      <c r="X7164">
        <v>0</v>
      </c>
      <c r="Y7164" s="2">
        <v>6807.6</v>
      </c>
      <c r="Z7164" s="2">
        <v>6807.6</v>
      </c>
      <c r="AA7164" s="2">
        <v>6807.6</v>
      </c>
      <c r="AB7164" s="1">
        <v>42382</v>
      </c>
      <c r="AC7164" t="s">
        <v>53</v>
      </c>
      <c r="AD7164" t="s">
        <v>53</v>
      </c>
      <c r="AK7164" s="2">
        <v>1227.5999999999999</v>
      </c>
      <c r="AU7164" s="6">
        <v>42356</v>
      </c>
      <c r="AV7164" s="6">
        <v>42356</v>
      </c>
      <c r="AW7164" t="s">
        <v>54</v>
      </c>
      <c r="AX7164" t="str">
        <f t="shared" si="581"/>
        <v>FOR</v>
      </c>
      <c r="AY7164" t="s">
        <v>55</v>
      </c>
    </row>
    <row r="7165" spans="1:51">
      <c r="A7165">
        <v>104093</v>
      </c>
      <c r="B7165" t="s">
        <v>1210</v>
      </c>
      <c r="C7165" t="str">
        <f t="shared" si="582"/>
        <v>06032681006</v>
      </c>
      <c r="D7165" t="str">
        <f t="shared" si="583"/>
        <v>12572900152</v>
      </c>
      <c r="E7165" t="s">
        <v>52</v>
      </c>
      <c r="F7165">
        <v>2015</v>
      </c>
      <c r="G7165">
        <v>25222787</v>
      </c>
      <c r="H7165" s="1">
        <v>42019</v>
      </c>
      <c r="I7165" s="1">
        <v>42038</v>
      </c>
      <c r="J7165" s="1">
        <v>42038</v>
      </c>
      <c r="K7165" s="1">
        <v>42098</v>
      </c>
      <c r="L7165" s="7">
        <v>5250</v>
      </c>
      <c r="M7165" s="5">
        <v>258</v>
      </c>
      <c r="N7165" s="7">
        <v>1354500</v>
      </c>
      <c r="O7165" s="2">
        <v>5250</v>
      </c>
      <c r="P7165">
        <v>258</v>
      </c>
      <c r="Q7165" s="2">
        <v>1354500</v>
      </c>
      <c r="R7165">
        <v>210</v>
      </c>
      <c r="V7165">
        <v>0</v>
      </c>
      <c r="W7165">
        <v>0</v>
      </c>
      <c r="X7165">
        <v>0</v>
      </c>
      <c r="Y7165" s="2">
        <v>5460</v>
      </c>
      <c r="Z7165" s="2">
        <v>5460</v>
      </c>
      <c r="AA7165" s="2">
        <v>5460</v>
      </c>
      <c r="AB7165" s="1">
        <v>42382</v>
      </c>
      <c r="AC7165" t="s">
        <v>53</v>
      </c>
      <c r="AD7165" t="s">
        <v>53</v>
      </c>
      <c r="AK7165">
        <v>210</v>
      </c>
      <c r="AU7165" s="6">
        <v>42356</v>
      </c>
      <c r="AV7165" s="6">
        <v>42356</v>
      </c>
      <c r="AW7165" t="s">
        <v>54</v>
      </c>
      <c r="AX7165" t="str">
        <f t="shared" si="581"/>
        <v>FOR</v>
      </c>
      <c r="AY7165" t="s">
        <v>55</v>
      </c>
    </row>
    <row r="7166" spans="1:51">
      <c r="A7166">
        <v>104093</v>
      </c>
      <c r="B7166" t="s">
        <v>1210</v>
      </c>
      <c r="C7166" t="str">
        <f t="shared" si="582"/>
        <v>06032681006</v>
      </c>
      <c r="D7166" t="str">
        <f t="shared" si="583"/>
        <v>12572900152</v>
      </c>
      <c r="E7166" t="s">
        <v>52</v>
      </c>
      <c r="F7166">
        <v>2015</v>
      </c>
      <c r="G7166">
        <v>25222788</v>
      </c>
      <c r="H7166" s="1">
        <v>42019</v>
      </c>
      <c r="I7166" s="1">
        <v>42038</v>
      </c>
      <c r="J7166" s="1">
        <v>42038</v>
      </c>
      <c r="K7166" s="1">
        <v>42098</v>
      </c>
      <c r="L7166" s="7">
        <v>7097</v>
      </c>
      <c r="M7166" s="5">
        <v>258</v>
      </c>
      <c r="N7166" s="7">
        <v>1831026</v>
      </c>
      <c r="O7166" s="2">
        <v>7097</v>
      </c>
      <c r="P7166">
        <v>258</v>
      </c>
      <c r="Q7166" s="2">
        <v>1831026</v>
      </c>
      <c r="R7166">
        <v>283.88</v>
      </c>
      <c r="V7166">
        <v>0</v>
      </c>
      <c r="W7166">
        <v>0</v>
      </c>
      <c r="X7166">
        <v>0</v>
      </c>
      <c r="Y7166" s="2">
        <v>7380.88</v>
      </c>
      <c r="Z7166" s="2">
        <v>7380.88</v>
      </c>
      <c r="AA7166" s="2">
        <v>7380.88</v>
      </c>
      <c r="AB7166" s="1">
        <v>42382</v>
      </c>
      <c r="AC7166" t="s">
        <v>53</v>
      </c>
      <c r="AD7166" t="s">
        <v>53</v>
      </c>
      <c r="AK7166">
        <v>283.88</v>
      </c>
      <c r="AU7166" s="6">
        <v>42356</v>
      </c>
      <c r="AV7166" s="6">
        <v>42356</v>
      </c>
      <c r="AW7166" t="s">
        <v>54</v>
      </c>
      <c r="AX7166" t="str">
        <f t="shared" si="581"/>
        <v>FOR</v>
      </c>
      <c r="AY7166" t="s">
        <v>55</v>
      </c>
    </row>
    <row r="7167" spans="1:51">
      <c r="A7167">
        <v>104093</v>
      </c>
      <c r="B7167" t="s">
        <v>1210</v>
      </c>
      <c r="C7167" t="str">
        <f t="shared" si="582"/>
        <v>06032681006</v>
      </c>
      <c r="D7167" t="str">
        <f t="shared" si="583"/>
        <v>12572900152</v>
      </c>
      <c r="E7167" t="s">
        <v>52</v>
      </c>
      <c r="F7167">
        <v>2015</v>
      </c>
      <c r="G7167">
        <v>25223366</v>
      </c>
      <c r="H7167" s="1">
        <v>42024</v>
      </c>
      <c r="I7167" s="1">
        <v>42040</v>
      </c>
      <c r="J7167" s="1">
        <v>42040</v>
      </c>
      <c r="K7167" s="1">
        <v>42100</v>
      </c>
      <c r="L7167" s="7">
        <v>891</v>
      </c>
      <c r="M7167" s="5">
        <v>256</v>
      </c>
      <c r="N7167" s="7">
        <v>228096</v>
      </c>
      <c r="O7167">
        <v>891</v>
      </c>
      <c r="P7167">
        <v>256</v>
      </c>
      <c r="Q7167" s="2">
        <v>228096</v>
      </c>
      <c r="R7167">
        <v>35.64</v>
      </c>
      <c r="V7167">
        <v>0</v>
      </c>
      <c r="W7167">
        <v>0</v>
      </c>
      <c r="X7167">
        <v>0</v>
      </c>
      <c r="Y7167">
        <v>926.64</v>
      </c>
      <c r="Z7167">
        <v>926.64</v>
      </c>
      <c r="AA7167">
        <v>926.64</v>
      </c>
      <c r="AB7167" s="1">
        <v>42382</v>
      </c>
      <c r="AC7167" t="s">
        <v>53</v>
      </c>
      <c r="AD7167" t="s">
        <v>53</v>
      </c>
      <c r="AK7167">
        <v>35.64</v>
      </c>
      <c r="AU7167" s="6">
        <v>42356</v>
      </c>
      <c r="AV7167" s="6">
        <v>42356</v>
      </c>
      <c r="AW7167" t="s">
        <v>54</v>
      </c>
      <c r="AX7167" t="str">
        <f t="shared" si="581"/>
        <v>FOR</v>
      </c>
      <c r="AY7167" t="s">
        <v>55</v>
      </c>
    </row>
    <row r="7168" spans="1:51">
      <c r="A7168">
        <v>104093</v>
      </c>
      <c r="B7168" t="s">
        <v>1210</v>
      </c>
      <c r="C7168" t="str">
        <f t="shared" si="582"/>
        <v>06032681006</v>
      </c>
      <c r="D7168" t="str">
        <f t="shared" si="583"/>
        <v>12572900152</v>
      </c>
      <c r="E7168" t="s">
        <v>52</v>
      </c>
      <c r="F7168">
        <v>2015</v>
      </c>
      <c r="G7168">
        <v>25223367</v>
      </c>
      <c r="H7168" s="1">
        <v>42024</v>
      </c>
      <c r="I7168" s="1">
        <v>42040</v>
      </c>
      <c r="J7168" s="1">
        <v>42040</v>
      </c>
      <c r="K7168" s="1">
        <v>42100</v>
      </c>
      <c r="L7168" s="7">
        <v>72</v>
      </c>
      <c r="M7168" s="5">
        <v>256</v>
      </c>
      <c r="N7168" s="7">
        <v>18432</v>
      </c>
      <c r="O7168">
        <v>72</v>
      </c>
      <c r="P7168">
        <v>256</v>
      </c>
      <c r="Q7168" s="2">
        <v>18432</v>
      </c>
      <c r="R7168">
        <v>2.88</v>
      </c>
      <c r="V7168">
        <v>0</v>
      </c>
      <c r="W7168">
        <v>0</v>
      </c>
      <c r="X7168">
        <v>0</v>
      </c>
      <c r="Y7168">
        <v>74.88</v>
      </c>
      <c r="Z7168">
        <v>74.88</v>
      </c>
      <c r="AA7168">
        <v>74.88</v>
      </c>
      <c r="AB7168" s="1">
        <v>42382</v>
      </c>
      <c r="AC7168" t="s">
        <v>53</v>
      </c>
      <c r="AD7168" t="s">
        <v>53</v>
      </c>
      <c r="AK7168">
        <v>2.88</v>
      </c>
      <c r="AU7168" s="6">
        <v>42356</v>
      </c>
      <c r="AV7168" s="6">
        <v>42356</v>
      </c>
      <c r="AW7168" t="s">
        <v>54</v>
      </c>
      <c r="AX7168" t="str">
        <f t="shared" si="581"/>
        <v>FOR</v>
      </c>
      <c r="AY7168" t="s">
        <v>55</v>
      </c>
    </row>
    <row r="7169" spans="1:51">
      <c r="A7169">
        <v>104093</v>
      </c>
      <c r="B7169" t="s">
        <v>1210</v>
      </c>
      <c r="C7169" t="str">
        <f t="shared" si="582"/>
        <v>06032681006</v>
      </c>
      <c r="D7169" t="str">
        <f t="shared" si="583"/>
        <v>12572900152</v>
      </c>
      <c r="E7169" t="s">
        <v>52</v>
      </c>
      <c r="F7169">
        <v>2015</v>
      </c>
      <c r="G7169">
        <v>25223368</v>
      </c>
      <c r="H7169" s="1">
        <v>42024</v>
      </c>
      <c r="I7169" s="1">
        <v>42040</v>
      </c>
      <c r="J7169" s="1">
        <v>42040</v>
      </c>
      <c r="K7169" s="1">
        <v>42100</v>
      </c>
      <c r="L7169" s="7">
        <v>243</v>
      </c>
      <c r="M7169" s="5">
        <v>256</v>
      </c>
      <c r="N7169" s="7">
        <v>62208</v>
      </c>
      <c r="O7169">
        <v>243</v>
      </c>
      <c r="P7169">
        <v>256</v>
      </c>
      <c r="Q7169" s="2">
        <v>62208</v>
      </c>
      <c r="R7169">
        <v>9.7200000000000006</v>
      </c>
      <c r="V7169">
        <v>0</v>
      </c>
      <c r="W7169">
        <v>0</v>
      </c>
      <c r="X7169">
        <v>0</v>
      </c>
      <c r="Y7169">
        <v>252.72</v>
      </c>
      <c r="Z7169">
        <v>252.72</v>
      </c>
      <c r="AA7169">
        <v>252.72</v>
      </c>
      <c r="AB7169" s="1">
        <v>42382</v>
      </c>
      <c r="AC7169" t="s">
        <v>53</v>
      </c>
      <c r="AD7169" t="s">
        <v>53</v>
      </c>
      <c r="AK7169">
        <v>9.7200000000000006</v>
      </c>
      <c r="AU7169" s="6">
        <v>42356</v>
      </c>
      <c r="AV7169" s="6">
        <v>42356</v>
      </c>
      <c r="AW7169" t="s">
        <v>54</v>
      </c>
      <c r="AX7169" t="str">
        <f t="shared" si="581"/>
        <v>FOR</v>
      </c>
      <c r="AY7169" t="s">
        <v>55</v>
      </c>
    </row>
    <row r="7170" spans="1:51">
      <c r="A7170">
        <v>104093</v>
      </c>
      <c r="B7170" t="s">
        <v>1210</v>
      </c>
      <c r="C7170" t="str">
        <f t="shared" si="582"/>
        <v>06032681006</v>
      </c>
      <c r="D7170" t="str">
        <f t="shared" si="583"/>
        <v>12572900152</v>
      </c>
      <c r="E7170" t="s">
        <v>52</v>
      </c>
      <c r="F7170">
        <v>2015</v>
      </c>
      <c r="G7170">
        <v>25223369</v>
      </c>
      <c r="H7170" s="1">
        <v>42024</v>
      </c>
      <c r="I7170" s="1">
        <v>42040</v>
      </c>
      <c r="J7170" s="1">
        <v>42040</v>
      </c>
      <c r="K7170" s="1">
        <v>42100</v>
      </c>
      <c r="L7170" s="7">
        <v>72</v>
      </c>
      <c r="M7170" s="5">
        <v>256</v>
      </c>
      <c r="N7170" s="7">
        <v>18432</v>
      </c>
      <c r="O7170">
        <v>72</v>
      </c>
      <c r="P7170">
        <v>256</v>
      </c>
      <c r="Q7170" s="2">
        <v>18432</v>
      </c>
      <c r="R7170">
        <v>2.88</v>
      </c>
      <c r="V7170">
        <v>0</v>
      </c>
      <c r="W7170">
        <v>0</v>
      </c>
      <c r="X7170">
        <v>0</v>
      </c>
      <c r="Y7170">
        <v>74.88</v>
      </c>
      <c r="Z7170">
        <v>74.88</v>
      </c>
      <c r="AA7170">
        <v>74.88</v>
      </c>
      <c r="AB7170" s="1">
        <v>42382</v>
      </c>
      <c r="AC7170" t="s">
        <v>53</v>
      </c>
      <c r="AD7170" t="s">
        <v>53</v>
      </c>
      <c r="AK7170">
        <v>2.88</v>
      </c>
      <c r="AU7170" s="6">
        <v>42356</v>
      </c>
      <c r="AV7170" s="6">
        <v>42356</v>
      </c>
      <c r="AW7170" t="s">
        <v>54</v>
      </c>
      <c r="AX7170" t="str">
        <f t="shared" si="581"/>
        <v>FOR</v>
      </c>
      <c r="AY7170" t="s">
        <v>55</v>
      </c>
    </row>
    <row r="7171" spans="1:51">
      <c r="A7171">
        <v>104093</v>
      </c>
      <c r="B7171" t="s">
        <v>1210</v>
      </c>
      <c r="C7171" t="str">
        <f t="shared" si="582"/>
        <v>06032681006</v>
      </c>
      <c r="D7171" t="str">
        <f t="shared" si="583"/>
        <v>12572900152</v>
      </c>
      <c r="E7171" t="s">
        <v>52</v>
      </c>
      <c r="F7171">
        <v>2015</v>
      </c>
      <c r="G7171">
        <v>25223370</v>
      </c>
      <c r="H7171" s="1">
        <v>42024</v>
      </c>
      <c r="I7171" s="1">
        <v>42040</v>
      </c>
      <c r="J7171" s="1">
        <v>42040</v>
      </c>
      <c r="K7171" s="1">
        <v>42100</v>
      </c>
      <c r="L7171" s="7">
        <v>72</v>
      </c>
      <c r="M7171" s="5">
        <v>256</v>
      </c>
      <c r="N7171" s="7">
        <v>18432</v>
      </c>
      <c r="O7171">
        <v>72</v>
      </c>
      <c r="P7171">
        <v>256</v>
      </c>
      <c r="Q7171" s="2">
        <v>18432</v>
      </c>
      <c r="R7171">
        <v>2.88</v>
      </c>
      <c r="V7171">
        <v>0</v>
      </c>
      <c r="W7171">
        <v>0</v>
      </c>
      <c r="X7171">
        <v>0</v>
      </c>
      <c r="Y7171">
        <v>74.88</v>
      </c>
      <c r="Z7171">
        <v>74.88</v>
      </c>
      <c r="AA7171">
        <v>74.88</v>
      </c>
      <c r="AB7171" s="1">
        <v>42382</v>
      </c>
      <c r="AC7171" t="s">
        <v>53</v>
      </c>
      <c r="AD7171" t="s">
        <v>53</v>
      </c>
      <c r="AK7171">
        <v>2.88</v>
      </c>
      <c r="AU7171" s="6">
        <v>42356</v>
      </c>
      <c r="AV7171" s="6">
        <v>42356</v>
      </c>
      <c r="AW7171" t="s">
        <v>54</v>
      </c>
      <c r="AX7171" t="str">
        <f t="shared" ref="AX7171:AX7234" si="584">"FOR"</f>
        <v>FOR</v>
      </c>
      <c r="AY7171" t="s">
        <v>55</v>
      </c>
    </row>
    <row r="7172" spans="1:51">
      <c r="A7172">
        <v>104093</v>
      </c>
      <c r="B7172" t="s">
        <v>1210</v>
      </c>
      <c r="C7172" t="str">
        <f t="shared" si="582"/>
        <v>06032681006</v>
      </c>
      <c r="D7172" t="str">
        <f t="shared" si="583"/>
        <v>12572900152</v>
      </c>
      <c r="E7172" t="s">
        <v>52</v>
      </c>
      <c r="F7172">
        <v>2015</v>
      </c>
      <c r="G7172">
        <v>25223747</v>
      </c>
      <c r="H7172" s="1">
        <v>42025</v>
      </c>
      <c r="I7172" s="1">
        <v>42040</v>
      </c>
      <c r="J7172" s="1">
        <v>42040</v>
      </c>
      <c r="K7172" s="1">
        <v>42100</v>
      </c>
      <c r="L7172" s="7">
        <v>133</v>
      </c>
      <c r="M7172" s="5">
        <v>256</v>
      </c>
      <c r="N7172" s="7">
        <v>34048</v>
      </c>
      <c r="O7172">
        <v>133</v>
      </c>
      <c r="P7172">
        <v>256</v>
      </c>
      <c r="Q7172" s="2">
        <v>34048</v>
      </c>
      <c r="R7172">
        <v>5.32</v>
      </c>
      <c r="V7172">
        <v>0</v>
      </c>
      <c r="W7172">
        <v>0</v>
      </c>
      <c r="X7172">
        <v>0</v>
      </c>
      <c r="Y7172">
        <v>138.32</v>
      </c>
      <c r="Z7172">
        <v>138.32</v>
      </c>
      <c r="AA7172">
        <v>138.32</v>
      </c>
      <c r="AB7172" s="1">
        <v>42382</v>
      </c>
      <c r="AC7172" t="s">
        <v>53</v>
      </c>
      <c r="AD7172" t="s">
        <v>53</v>
      </c>
      <c r="AK7172">
        <v>5.32</v>
      </c>
      <c r="AU7172" s="6">
        <v>42356</v>
      </c>
      <c r="AV7172" s="6">
        <v>42356</v>
      </c>
      <c r="AW7172" t="s">
        <v>54</v>
      </c>
      <c r="AX7172" t="str">
        <f t="shared" si="584"/>
        <v>FOR</v>
      </c>
      <c r="AY7172" t="s">
        <v>55</v>
      </c>
    </row>
    <row r="7173" spans="1:51">
      <c r="A7173">
        <v>104093</v>
      </c>
      <c r="B7173" t="s">
        <v>1210</v>
      </c>
      <c r="C7173" t="str">
        <f t="shared" si="582"/>
        <v>06032681006</v>
      </c>
      <c r="D7173" t="str">
        <f t="shared" si="583"/>
        <v>12572900152</v>
      </c>
      <c r="E7173" t="s">
        <v>52</v>
      </c>
      <c r="F7173">
        <v>2015</v>
      </c>
      <c r="G7173">
        <v>25223857</v>
      </c>
      <c r="H7173" s="1">
        <v>42026</v>
      </c>
      <c r="I7173" s="1">
        <v>42040</v>
      </c>
      <c r="J7173" s="1">
        <v>42040</v>
      </c>
      <c r="K7173" s="1">
        <v>42100</v>
      </c>
      <c r="L7173" s="7">
        <v>680.4</v>
      </c>
      <c r="M7173" s="5">
        <v>256</v>
      </c>
      <c r="N7173" s="7">
        <v>174182.39999999999</v>
      </c>
      <c r="O7173">
        <v>680.4</v>
      </c>
      <c r="P7173">
        <v>256</v>
      </c>
      <c r="Q7173" s="2">
        <v>174182.39999999999</v>
      </c>
      <c r="R7173">
        <v>27.22</v>
      </c>
      <c r="V7173">
        <v>0</v>
      </c>
      <c r="W7173">
        <v>0</v>
      </c>
      <c r="X7173">
        <v>0</v>
      </c>
      <c r="Y7173">
        <v>707.62</v>
      </c>
      <c r="Z7173">
        <v>707.62</v>
      </c>
      <c r="AA7173">
        <v>707.62</v>
      </c>
      <c r="AB7173" s="1">
        <v>42382</v>
      </c>
      <c r="AC7173" t="s">
        <v>53</v>
      </c>
      <c r="AD7173" t="s">
        <v>53</v>
      </c>
      <c r="AK7173">
        <v>27.22</v>
      </c>
      <c r="AU7173" s="6">
        <v>42356</v>
      </c>
      <c r="AV7173" s="6">
        <v>42356</v>
      </c>
      <c r="AW7173" t="s">
        <v>54</v>
      </c>
      <c r="AX7173" t="str">
        <f t="shared" si="584"/>
        <v>FOR</v>
      </c>
      <c r="AY7173" t="s">
        <v>55</v>
      </c>
    </row>
    <row r="7174" spans="1:51">
      <c r="A7174">
        <v>104093</v>
      </c>
      <c r="B7174" t="s">
        <v>1210</v>
      </c>
      <c r="C7174" t="str">
        <f t="shared" si="582"/>
        <v>06032681006</v>
      </c>
      <c r="D7174" t="str">
        <f t="shared" si="583"/>
        <v>12572900152</v>
      </c>
      <c r="E7174" t="s">
        <v>52</v>
      </c>
      <c r="F7174">
        <v>2015</v>
      </c>
      <c r="G7174">
        <v>25223896</v>
      </c>
      <c r="H7174" s="1">
        <v>42026</v>
      </c>
      <c r="I7174" s="1">
        <v>42040</v>
      </c>
      <c r="J7174" s="1">
        <v>42040</v>
      </c>
      <c r="K7174" s="1">
        <v>42100</v>
      </c>
      <c r="L7174" s="7">
        <v>72</v>
      </c>
      <c r="M7174" s="5">
        <v>256</v>
      </c>
      <c r="N7174" s="7">
        <v>18432</v>
      </c>
      <c r="O7174">
        <v>72</v>
      </c>
      <c r="P7174">
        <v>256</v>
      </c>
      <c r="Q7174" s="2">
        <v>18432</v>
      </c>
      <c r="R7174">
        <v>2.88</v>
      </c>
      <c r="V7174">
        <v>0</v>
      </c>
      <c r="W7174">
        <v>0</v>
      </c>
      <c r="X7174">
        <v>0</v>
      </c>
      <c r="Y7174">
        <v>74.88</v>
      </c>
      <c r="Z7174">
        <v>74.88</v>
      </c>
      <c r="AA7174">
        <v>74.88</v>
      </c>
      <c r="AB7174" s="1">
        <v>42382</v>
      </c>
      <c r="AC7174" t="s">
        <v>53</v>
      </c>
      <c r="AD7174" t="s">
        <v>53</v>
      </c>
      <c r="AK7174">
        <v>2.88</v>
      </c>
      <c r="AU7174" s="6">
        <v>42356</v>
      </c>
      <c r="AV7174" s="6">
        <v>42356</v>
      </c>
      <c r="AW7174" t="s">
        <v>54</v>
      </c>
      <c r="AX7174" t="str">
        <f t="shared" si="584"/>
        <v>FOR</v>
      </c>
      <c r="AY7174" t="s">
        <v>55</v>
      </c>
    </row>
    <row r="7175" spans="1:51">
      <c r="A7175">
        <v>104093</v>
      </c>
      <c r="B7175" t="s">
        <v>1210</v>
      </c>
      <c r="C7175" t="str">
        <f t="shared" si="582"/>
        <v>06032681006</v>
      </c>
      <c r="D7175" t="str">
        <f t="shared" si="583"/>
        <v>12572900152</v>
      </c>
      <c r="E7175" t="s">
        <v>52</v>
      </c>
      <c r="F7175">
        <v>2015</v>
      </c>
      <c r="G7175">
        <v>25223897</v>
      </c>
      <c r="H7175" s="1">
        <v>42026</v>
      </c>
      <c r="I7175" s="1">
        <v>42040</v>
      </c>
      <c r="J7175" s="1">
        <v>42040</v>
      </c>
      <c r="K7175" s="1">
        <v>42100</v>
      </c>
      <c r="L7175" s="7">
        <v>72</v>
      </c>
      <c r="M7175" s="5">
        <v>256</v>
      </c>
      <c r="N7175" s="7">
        <v>18432</v>
      </c>
      <c r="O7175">
        <v>72</v>
      </c>
      <c r="P7175">
        <v>256</v>
      </c>
      <c r="Q7175" s="2">
        <v>18432</v>
      </c>
      <c r="R7175">
        <v>2.88</v>
      </c>
      <c r="V7175">
        <v>0</v>
      </c>
      <c r="W7175">
        <v>0</v>
      </c>
      <c r="X7175">
        <v>0</v>
      </c>
      <c r="Y7175">
        <v>74.88</v>
      </c>
      <c r="Z7175">
        <v>74.88</v>
      </c>
      <c r="AA7175">
        <v>74.88</v>
      </c>
      <c r="AB7175" s="1">
        <v>42382</v>
      </c>
      <c r="AC7175" t="s">
        <v>53</v>
      </c>
      <c r="AD7175" t="s">
        <v>53</v>
      </c>
      <c r="AK7175">
        <v>2.88</v>
      </c>
      <c r="AU7175" s="6">
        <v>42356</v>
      </c>
      <c r="AV7175" s="6">
        <v>42356</v>
      </c>
      <c r="AW7175" t="s">
        <v>54</v>
      </c>
      <c r="AX7175" t="str">
        <f t="shared" si="584"/>
        <v>FOR</v>
      </c>
      <c r="AY7175" t="s">
        <v>55</v>
      </c>
    </row>
    <row r="7176" spans="1:51">
      <c r="A7176">
        <v>104093</v>
      </c>
      <c r="B7176" t="s">
        <v>1210</v>
      </c>
      <c r="C7176" t="str">
        <f t="shared" si="582"/>
        <v>06032681006</v>
      </c>
      <c r="D7176" t="str">
        <f t="shared" si="583"/>
        <v>12572900152</v>
      </c>
      <c r="E7176" t="s">
        <v>52</v>
      </c>
      <c r="F7176">
        <v>2015</v>
      </c>
      <c r="G7176">
        <v>25223898</v>
      </c>
      <c r="H7176" s="1">
        <v>42026</v>
      </c>
      <c r="I7176" s="1">
        <v>42040</v>
      </c>
      <c r="J7176" s="1">
        <v>42040</v>
      </c>
      <c r="K7176" s="1">
        <v>42100</v>
      </c>
      <c r="L7176" s="7">
        <v>243</v>
      </c>
      <c r="M7176" s="5">
        <v>256</v>
      </c>
      <c r="N7176" s="7">
        <v>62208</v>
      </c>
      <c r="O7176">
        <v>243</v>
      </c>
      <c r="P7176">
        <v>256</v>
      </c>
      <c r="Q7176" s="2">
        <v>62208</v>
      </c>
      <c r="R7176">
        <v>9.7200000000000006</v>
      </c>
      <c r="V7176">
        <v>0</v>
      </c>
      <c r="W7176">
        <v>0</v>
      </c>
      <c r="X7176">
        <v>0</v>
      </c>
      <c r="Y7176">
        <v>252.72</v>
      </c>
      <c r="Z7176">
        <v>252.72</v>
      </c>
      <c r="AA7176">
        <v>252.72</v>
      </c>
      <c r="AB7176" s="1">
        <v>42382</v>
      </c>
      <c r="AC7176" t="s">
        <v>53</v>
      </c>
      <c r="AD7176" t="s">
        <v>53</v>
      </c>
      <c r="AK7176">
        <v>9.7200000000000006</v>
      </c>
      <c r="AU7176" s="6">
        <v>42356</v>
      </c>
      <c r="AV7176" s="6">
        <v>42356</v>
      </c>
      <c r="AW7176" t="s">
        <v>54</v>
      </c>
      <c r="AX7176" t="str">
        <f t="shared" si="584"/>
        <v>FOR</v>
      </c>
      <c r="AY7176" t="s">
        <v>55</v>
      </c>
    </row>
    <row r="7177" spans="1:51">
      <c r="A7177">
        <v>104093</v>
      </c>
      <c r="B7177" t="s">
        <v>1210</v>
      </c>
      <c r="C7177" t="str">
        <f t="shared" si="582"/>
        <v>06032681006</v>
      </c>
      <c r="D7177" t="str">
        <f t="shared" si="583"/>
        <v>12572900152</v>
      </c>
      <c r="E7177" t="s">
        <v>52</v>
      </c>
      <c r="F7177">
        <v>2015</v>
      </c>
      <c r="G7177">
        <v>25223899</v>
      </c>
      <c r="H7177" s="1">
        <v>42026</v>
      </c>
      <c r="I7177" s="1">
        <v>42040</v>
      </c>
      <c r="J7177" s="1">
        <v>42040</v>
      </c>
      <c r="K7177" s="1">
        <v>42100</v>
      </c>
      <c r="L7177" s="7">
        <v>72</v>
      </c>
      <c r="M7177" s="5">
        <v>256</v>
      </c>
      <c r="N7177" s="7">
        <v>18432</v>
      </c>
      <c r="O7177">
        <v>72</v>
      </c>
      <c r="P7177">
        <v>256</v>
      </c>
      <c r="Q7177" s="2">
        <v>18432</v>
      </c>
      <c r="R7177">
        <v>2.88</v>
      </c>
      <c r="V7177">
        <v>0</v>
      </c>
      <c r="W7177">
        <v>0</v>
      </c>
      <c r="X7177">
        <v>0</v>
      </c>
      <c r="Y7177">
        <v>74.88</v>
      </c>
      <c r="Z7177">
        <v>74.88</v>
      </c>
      <c r="AA7177">
        <v>74.88</v>
      </c>
      <c r="AB7177" s="1">
        <v>42382</v>
      </c>
      <c r="AC7177" t="s">
        <v>53</v>
      </c>
      <c r="AD7177" t="s">
        <v>53</v>
      </c>
      <c r="AK7177">
        <v>2.88</v>
      </c>
      <c r="AU7177" s="6">
        <v>42356</v>
      </c>
      <c r="AV7177" s="6">
        <v>42356</v>
      </c>
      <c r="AW7177" t="s">
        <v>54</v>
      </c>
      <c r="AX7177" t="str">
        <f t="shared" si="584"/>
        <v>FOR</v>
      </c>
      <c r="AY7177" t="s">
        <v>55</v>
      </c>
    </row>
    <row r="7178" spans="1:51">
      <c r="A7178">
        <v>104093</v>
      </c>
      <c r="B7178" t="s">
        <v>1210</v>
      </c>
      <c r="C7178" t="str">
        <f t="shared" si="582"/>
        <v>06032681006</v>
      </c>
      <c r="D7178" t="str">
        <f t="shared" si="583"/>
        <v>12572900152</v>
      </c>
      <c r="E7178" t="s">
        <v>52</v>
      </c>
      <c r="F7178">
        <v>2015</v>
      </c>
      <c r="G7178">
        <v>25223900</v>
      </c>
      <c r="H7178" s="1">
        <v>42026</v>
      </c>
      <c r="I7178" s="1">
        <v>42040</v>
      </c>
      <c r="J7178" s="1">
        <v>42040</v>
      </c>
      <c r="K7178" s="1">
        <v>42100</v>
      </c>
      <c r="L7178" s="7">
        <v>680.4</v>
      </c>
      <c r="M7178" s="5">
        <v>256</v>
      </c>
      <c r="N7178" s="7">
        <v>174182.39999999999</v>
      </c>
      <c r="O7178">
        <v>680.4</v>
      </c>
      <c r="P7178">
        <v>256</v>
      </c>
      <c r="Q7178" s="2">
        <v>174182.39999999999</v>
      </c>
      <c r="R7178">
        <v>27.22</v>
      </c>
      <c r="V7178">
        <v>0</v>
      </c>
      <c r="W7178">
        <v>0</v>
      </c>
      <c r="X7178">
        <v>0</v>
      </c>
      <c r="Y7178">
        <v>707.62</v>
      </c>
      <c r="Z7178">
        <v>707.62</v>
      </c>
      <c r="AA7178">
        <v>707.62</v>
      </c>
      <c r="AB7178" s="1">
        <v>42382</v>
      </c>
      <c r="AC7178" t="s">
        <v>53</v>
      </c>
      <c r="AD7178" t="s">
        <v>53</v>
      </c>
      <c r="AK7178">
        <v>27.22</v>
      </c>
      <c r="AU7178" s="6">
        <v>42356</v>
      </c>
      <c r="AV7178" s="6">
        <v>42356</v>
      </c>
      <c r="AW7178" t="s">
        <v>54</v>
      </c>
      <c r="AX7178" t="str">
        <f t="shared" si="584"/>
        <v>FOR</v>
      </c>
      <c r="AY7178" t="s">
        <v>55</v>
      </c>
    </row>
    <row r="7179" spans="1:51">
      <c r="A7179">
        <v>104093</v>
      </c>
      <c r="B7179" t="s">
        <v>1210</v>
      </c>
      <c r="C7179" t="str">
        <f t="shared" si="582"/>
        <v>06032681006</v>
      </c>
      <c r="D7179" t="str">
        <f t="shared" si="583"/>
        <v>12572900152</v>
      </c>
      <c r="E7179" t="s">
        <v>52</v>
      </c>
      <c r="F7179">
        <v>2015</v>
      </c>
      <c r="G7179">
        <v>25223901</v>
      </c>
      <c r="H7179" s="1">
        <v>42026</v>
      </c>
      <c r="I7179" s="1">
        <v>42040</v>
      </c>
      <c r="J7179" s="1">
        <v>42040</v>
      </c>
      <c r="K7179" s="1">
        <v>42100</v>
      </c>
      <c r="L7179" s="7">
        <v>243</v>
      </c>
      <c r="M7179" s="5">
        <v>256</v>
      </c>
      <c r="N7179" s="7">
        <v>62208</v>
      </c>
      <c r="O7179">
        <v>243</v>
      </c>
      <c r="P7179">
        <v>256</v>
      </c>
      <c r="Q7179" s="2">
        <v>62208</v>
      </c>
      <c r="R7179">
        <v>9.7200000000000006</v>
      </c>
      <c r="V7179">
        <v>0</v>
      </c>
      <c r="W7179">
        <v>0</v>
      </c>
      <c r="X7179">
        <v>0</v>
      </c>
      <c r="Y7179">
        <v>252.72</v>
      </c>
      <c r="Z7179">
        <v>252.72</v>
      </c>
      <c r="AA7179">
        <v>252.72</v>
      </c>
      <c r="AB7179" s="1">
        <v>42382</v>
      </c>
      <c r="AC7179" t="s">
        <v>53</v>
      </c>
      <c r="AD7179" t="s">
        <v>53</v>
      </c>
      <c r="AK7179">
        <v>9.7200000000000006</v>
      </c>
      <c r="AU7179" s="6">
        <v>42356</v>
      </c>
      <c r="AV7179" s="6">
        <v>42356</v>
      </c>
      <c r="AW7179" t="s">
        <v>54</v>
      </c>
      <c r="AX7179" t="str">
        <f t="shared" si="584"/>
        <v>FOR</v>
      </c>
      <c r="AY7179" t="s">
        <v>55</v>
      </c>
    </row>
    <row r="7180" spans="1:51">
      <c r="A7180">
        <v>104093</v>
      </c>
      <c r="B7180" t="s">
        <v>1210</v>
      </c>
      <c r="C7180" t="str">
        <f t="shared" si="582"/>
        <v>06032681006</v>
      </c>
      <c r="D7180" t="str">
        <f t="shared" si="583"/>
        <v>12572900152</v>
      </c>
      <c r="E7180" t="s">
        <v>52</v>
      </c>
      <c r="F7180">
        <v>2015</v>
      </c>
      <c r="G7180">
        <v>25223907</v>
      </c>
      <c r="H7180" s="1">
        <v>42026</v>
      </c>
      <c r="I7180" s="1">
        <v>42040</v>
      </c>
      <c r="J7180" s="1">
        <v>42040</v>
      </c>
      <c r="K7180" s="1">
        <v>42100</v>
      </c>
      <c r="L7180" s="7">
        <v>72</v>
      </c>
      <c r="M7180" s="5">
        <v>256</v>
      </c>
      <c r="N7180" s="7">
        <v>18432</v>
      </c>
      <c r="O7180">
        <v>72</v>
      </c>
      <c r="P7180">
        <v>256</v>
      </c>
      <c r="Q7180" s="2">
        <v>18432</v>
      </c>
      <c r="R7180">
        <v>2.88</v>
      </c>
      <c r="V7180">
        <v>0</v>
      </c>
      <c r="W7180">
        <v>0</v>
      </c>
      <c r="X7180">
        <v>0</v>
      </c>
      <c r="Y7180">
        <v>74.88</v>
      </c>
      <c r="Z7180">
        <v>74.88</v>
      </c>
      <c r="AA7180">
        <v>74.88</v>
      </c>
      <c r="AB7180" s="1">
        <v>42382</v>
      </c>
      <c r="AC7180" t="s">
        <v>53</v>
      </c>
      <c r="AD7180" t="s">
        <v>53</v>
      </c>
      <c r="AK7180">
        <v>2.88</v>
      </c>
      <c r="AU7180" s="6">
        <v>42356</v>
      </c>
      <c r="AV7180" s="6">
        <v>42356</v>
      </c>
      <c r="AW7180" t="s">
        <v>54</v>
      </c>
      <c r="AX7180" t="str">
        <f t="shared" si="584"/>
        <v>FOR</v>
      </c>
      <c r="AY7180" t="s">
        <v>55</v>
      </c>
    </row>
    <row r="7181" spans="1:51">
      <c r="A7181">
        <v>104093</v>
      </c>
      <c r="B7181" t="s">
        <v>1210</v>
      </c>
      <c r="C7181" t="str">
        <f t="shared" si="582"/>
        <v>06032681006</v>
      </c>
      <c r="D7181" t="str">
        <f t="shared" si="583"/>
        <v>12572900152</v>
      </c>
      <c r="E7181" t="s">
        <v>52</v>
      </c>
      <c r="F7181">
        <v>2015</v>
      </c>
      <c r="G7181">
        <v>25223908</v>
      </c>
      <c r="H7181" s="1">
        <v>42026</v>
      </c>
      <c r="I7181" s="1">
        <v>42040</v>
      </c>
      <c r="J7181" s="1">
        <v>42040</v>
      </c>
      <c r="K7181" s="1">
        <v>42100</v>
      </c>
      <c r="L7181" s="7">
        <v>243</v>
      </c>
      <c r="M7181" s="5">
        <v>256</v>
      </c>
      <c r="N7181" s="7">
        <v>62208</v>
      </c>
      <c r="O7181">
        <v>243</v>
      </c>
      <c r="P7181">
        <v>256</v>
      </c>
      <c r="Q7181" s="2">
        <v>62208</v>
      </c>
      <c r="R7181">
        <v>9.7200000000000006</v>
      </c>
      <c r="V7181">
        <v>0</v>
      </c>
      <c r="W7181">
        <v>0</v>
      </c>
      <c r="X7181">
        <v>0</v>
      </c>
      <c r="Y7181">
        <v>252.72</v>
      </c>
      <c r="Z7181">
        <v>252.72</v>
      </c>
      <c r="AA7181">
        <v>252.72</v>
      </c>
      <c r="AB7181" s="1">
        <v>42382</v>
      </c>
      <c r="AC7181" t="s">
        <v>53</v>
      </c>
      <c r="AD7181" t="s">
        <v>53</v>
      </c>
      <c r="AK7181">
        <v>9.7200000000000006</v>
      </c>
      <c r="AU7181" s="6">
        <v>42356</v>
      </c>
      <c r="AV7181" s="6">
        <v>42356</v>
      </c>
      <c r="AW7181" t="s">
        <v>54</v>
      </c>
      <c r="AX7181" t="str">
        <f t="shared" si="584"/>
        <v>FOR</v>
      </c>
      <c r="AY7181" t="s">
        <v>55</v>
      </c>
    </row>
    <row r="7182" spans="1:51">
      <c r="A7182">
        <v>104093</v>
      </c>
      <c r="B7182" t="s">
        <v>1210</v>
      </c>
      <c r="C7182" t="str">
        <f t="shared" si="582"/>
        <v>06032681006</v>
      </c>
      <c r="D7182" t="str">
        <f t="shared" si="583"/>
        <v>12572900152</v>
      </c>
      <c r="E7182" t="s">
        <v>52</v>
      </c>
      <c r="F7182">
        <v>2015</v>
      </c>
      <c r="G7182">
        <v>25224465</v>
      </c>
      <c r="H7182" s="1">
        <v>42030</v>
      </c>
      <c r="I7182" s="1">
        <v>42044</v>
      </c>
      <c r="J7182" s="1">
        <v>42044</v>
      </c>
      <c r="K7182" s="1">
        <v>42104</v>
      </c>
      <c r="L7182" s="7">
        <v>243</v>
      </c>
      <c r="M7182" s="5">
        <v>252</v>
      </c>
      <c r="N7182" s="7">
        <v>61236</v>
      </c>
      <c r="O7182">
        <v>243</v>
      </c>
      <c r="P7182">
        <v>252</v>
      </c>
      <c r="Q7182" s="2">
        <v>61236</v>
      </c>
      <c r="R7182">
        <v>9.7200000000000006</v>
      </c>
      <c r="V7182">
        <v>0</v>
      </c>
      <c r="W7182">
        <v>0</v>
      </c>
      <c r="X7182">
        <v>0</v>
      </c>
      <c r="Y7182">
        <v>252.72</v>
      </c>
      <c r="Z7182">
        <v>252.72</v>
      </c>
      <c r="AA7182">
        <v>252.72</v>
      </c>
      <c r="AB7182" s="1">
        <v>42382</v>
      </c>
      <c r="AC7182" t="s">
        <v>53</v>
      </c>
      <c r="AD7182" t="s">
        <v>53</v>
      </c>
      <c r="AK7182">
        <v>9.7200000000000006</v>
      </c>
      <c r="AU7182" s="6">
        <v>42356</v>
      </c>
      <c r="AV7182" s="6">
        <v>42356</v>
      </c>
      <c r="AW7182" t="s">
        <v>54</v>
      </c>
      <c r="AX7182" t="str">
        <f t="shared" si="584"/>
        <v>FOR</v>
      </c>
      <c r="AY7182" t="s">
        <v>55</v>
      </c>
    </row>
    <row r="7183" spans="1:51">
      <c r="A7183">
        <v>104093</v>
      </c>
      <c r="B7183" t="s">
        <v>1210</v>
      </c>
      <c r="C7183" t="str">
        <f t="shared" si="582"/>
        <v>06032681006</v>
      </c>
      <c r="D7183" t="str">
        <f t="shared" si="583"/>
        <v>12572900152</v>
      </c>
      <c r="E7183" t="s">
        <v>52</v>
      </c>
      <c r="F7183">
        <v>2015</v>
      </c>
      <c r="G7183">
        <v>25224471</v>
      </c>
      <c r="H7183" s="1">
        <v>42030</v>
      </c>
      <c r="I7183" s="1">
        <v>42044</v>
      </c>
      <c r="J7183" s="1">
        <v>42044</v>
      </c>
      <c r="K7183" s="1">
        <v>42104</v>
      </c>
      <c r="L7183" s="7">
        <v>72</v>
      </c>
      <c r="M7183" s="5">
        <v>252</v>
      </c>
      <c r="N7183" s="7">
        <v>18144</v>
      </c>
      <c r="O7183">
        <v>72</v>
      </c>
      <c r="P7183">
        <v>252</v>
      </c>
      <c r="Q7183" s="2">
        <v>18144</v>
      </c>
      <c r="R7183">
        <v>2.88</v>
      </c>
      <c r="V7183">
        <v>0</v>
      </c>
      <c r="W7183">
        <v>0</v>
      </c>
      <c r="X7183">
        <v>0</v>
      </c>
      <c r="Y7183">
        <v>74.88</v>
      </c>
      <c r="Z7183">
        <v>74.88</v>
      </c>
      <c r="AA7183">
        <v>74.88</v>
      </c>
      <c r="AB7183" s="1">
        <v>42382</v>
      </c>
      <c r="AC7183" t="s">
        <v>53</v>
      </c>
      <c r="AD7183" t="s">
        <v>53</v>
      </c>
      <c r="AK7183">
        <v>2.88</v>
      </c>
      <c r="AU7183" s="6">
        <v>42356</v>
      </c>
      <c r="AV7183" s="6">
        <v>42356</v>
      </c>
      <c r="AW7183" t="s">
        <v>54</v>
      </c>
      <c r="AX7183" t="str">
        <f t="shared" si="584"/>
        <v>FOR</v>
      </c>
      <c r="AY7183" t="s">
        <v>55</v>
      </c>
    </row>
    <row r="7184" spans="1:51">
      <c r="A7184">
        <v>104093</v>
      </c>
      <c r="B7184" t="s">
        <v>1210</v>
      </c>
      <c r="C7184" t="str">
        <f t="shared" si="582"/>
        <v>06032681006</v>
      </c>
      <c r="D7184" t="str">
        <f t="shared" si="583"/>
        <v>12572900152</v>
      </c>
      <c r="E7184" t="s">
        <v>52</v>
      </c>
      <c r="F7184">
        <v>2015</v>
      </c>
      <c r="G7184">
        <v>25224472</v>
      </c>
      <c r="H7184" s="1">
        <v>42030</v>
      </c>
      <c r="I7184" s="1">
        <v>42044</v>
      </c>
      <c r="J7184" s="1">
        <v>42044</v>
      </c>
      <c r="K7184" s="1">
        <v>42104</v>
      </c>
      <c r="L7184" s="7">
        <v>680.4</v>
      </c>
      <c r="M7184" s="5">
        <v>252</v>
      </c>
      <c r="N7184" s="7">
        <v>171460.8</v>
      </c>
      <c r="O7184">
        <v>680.4</v>
      </c>
      <c r="P7184">
        <v>252</v>
      </c>
      <c r="Q7184" s="2">
        <v>171460.8</v>
      </c>
      <c r="R7184">
        <v>27.22</v>
      </c>
      <c r="V7184">
        <v>0</v>
      </c>
      <c r="W7184">
        <v>0</v>
      </c>
      <c r="X7184">
        <v>0</v>
      </c>
      <c r="Y7184">
        <v>707.62</v>
      </c>
      <c r="Z7184">
        <v>707.62</v>
      </c>
      <c r="AA7184">
        <v>707.62</v>
      </c>
      <c r="AB7184" s="1">
        <v>42382</v>
      </c>
      <c r="AC7184" t="s">
        <v>53</v>
      </c>
      <c r="AD7184" t="s">
        <v>53</v>
      </c>
      <c r="AK7184">
        <v>27.22</v>
      </c>
      <c r="AU7184" s="6">
        <v>42356</v>
      </c>
      <c r="AV7184" s="6">
        <v>42356</v>
      </c>
      <c r="AW7184" t="s">
        <v>54</v>
      </c>
      <c r="AX7184" t="str">
        <f t="shared" si="584"/>
        <v>FOR</v>
      </c>
      <c r="AY7184" t="s">
        <v>55</v>
      </c>
    </row>
    <row r="7185" spans="1:51">
      <c r="A7185">
        <v>104093</v>
      </c>
      <c r="B7185" t="s">
        <v>1210</v>
      </c>
      <c r="C7185" t="str">
        <f t="shared" si="582"/>
        <v>06032681006</v>
      </c>
      <c r="D7185" t="str">
        <f t="shared" si="583"/>
        <v>12572900152</v>
      </c>
      <c r="E7185" t="s">
        <v>52</v>
      </c>
      <c r="F7185">
        <v>2015</v>
      </c>
      <c r="G7185">
        <v>25224775</v>
      </c>
      <c r="H7185" s="1">
        <v>42031</v>
      </c>
      <c r="I7185" s="1">
        <v>42044</v>
      </c>
      <c r="J7185" s="1">
        <v>42044</v>
      </c>
      <c r="K7185" s="1">
        <v>42104</v>
      </c>
      <c r="L7185" s="7">
        <v>243</v>
      </c>
      <c r="M7185" s="5">
        <v>252</v>
      </c>
      <c r="N7185" s="7">
        <v>61236</v>
      </c>
      <c r="O7185">
        <v>243</v>
      </c>
      <c r="P7185">
        <v>252</v>
      </c>
      <c r="Q7185" s="2">
        <v>61236</v>
      </c>
      <c r="R7185">
        <v>9.7200000000000006</v>
      </c>
      <c r="V7185">
        <v>0</v>
      </c>
      <c r="W7185">
        <v>0</v>
      </c>
      <c r="X7185">
        <v>0</v>
      </c>
      <c r="Y7185">
        <v>252.72</v>
      </c>
      <c r="Z7185">
        <v>252.72</v>
      </c>
      <c r="AA7185">
        <v>252.72</v>
      </c>
      <c r="AB7185" s="1">
        <v>42382</v>
      </c>
      <c r="AC7185" t="s">
        <v>53</v>
      </c>
      <c r="AD7185" t="s">
        <v>53</v>
      </c>
      <c r="AK7185">
        <v>9.7200000000000006</v>
      </c>
      <c r="AU7185" s="6">
        <v>42356</v>
      </c>
      <c r="AV7185" s="6">
        <v>42356</v>
      </c>
      <c r="AW7185" t="s">
        <v>54</v>
      </c>
      <c r="AX7185" t="str">
        <f t="shared" si="584"/>
        <v>FOR</v>
      </c>
      <c r="AY7185" t="s">
        <v>55</v>
      </c>
    </row>
    <row r="7186" spans="1:51">
      <c r="A7186">
        <v>104093</v>
      </c>
      <c r="B7186" t="s">
        <v>1210</v>
      </c>
      <c r="C7186" t="str">
        <f t="shared" si="582"/>
        <v>06032681006</v>
      </c>
      <c r="D7186" t="str">
        <f t="shared" si="583"/>
        <v>12572900152</v>
      </c>
      <c r="E7186" t="s">
        <v>52</v>
      </c>
      <c r="F7186">
        <v>2015</v>
      </c>
      <c r="G7186">
        <v>25224776</v>
      </c>
      <c r="H7186" s="1">
        <v>42031</v>
      </c>
      <c r="I7186" s="1">
        <v>42044</v>
      </c>
      <c r="J7186" s="1">
        <v>42044</v>
      </c>
      <c r="K7186" s="1">
        <v>42104</v>
      </c>
      <c r="L7186" s="7">
        <v>891</v>
      </c>
      <c r="M7186" s="5">
        <v>252</v>
      </c>
      <c r="N7186" s="7">
        <v>224532</v>
      </c>
      <c r="O7186">
        <v>891</v>
      </c>
      <c r="P7186">
        <v>252</v>
      </c>
      <c r="Q7186" s="2">
        <v>224532</v>
      </c>
      <c r="R7186">
        <v>35.64</v>
      </c>
      <c r="V7186">
        <v>0</v>
      </c>
      <c r="W7186">
        <v>0</v>
      </c>
      <c r="X7186">
        <v>0</v>
      </c>
      <c r="Y7186">
        <v>926.64</v>
      </c>
      <c r="Z7186">
        <v>926.64</v>
      </c>
      <c r="AA7186">
        <v>926.64</v>
      </c>
      <c r="AB7186" s="1">
        <v>42382</v>
      </c>
      <c r="AC7186" t="s">
        <v>53</v>
      </c>
      <c r="AD7186" t="s">
        <v>53</v>
      </c>
      <c r="AK7186">
        <v>35.64</v>
      </c>
      <c r="AU7186" s="6">
        <v>42356</v>
      </c>
      <c r="AV7186" s="6">
        <v>42356</v>
      </c>
      <c r="AW7186" t="s">
        <v>54</v>
      </c>
      <c r="AX7186" t="str">
        <f t="shared" si="584"/>
        <v>FOR</v>
      </c>
      <c r="AY7186" t="s">
        <v>55</v>
      </c>
    </row>
    <row r="7187" spans="1:51">
      <c r="A7187">
        <v>104093</v>
      </c>
      <c r="B7187" t="s">
        <v>1210</v>
      </c>
      <c r="C7187" t="str">
        <f t="shared" si="582"/>
        <v>06032681006</v>
      </c>
      <c r="D7187" t="str">
        <f t="shared" si="583"/>
        <v>12572900152</v>
      </c>
      <c r="E7187" t="s">
        <v>52</v>
      </c>
      <c r="F7187">
        <v>2015</v>
      </c>
      <c r="G7187">
        <v>25224777</v>
      </c>
      <c r="H7187" s="1">
        <v>42031</v>
      </c>
      <c r="I7187" s="1">
        <v>42048</v>
      </c>
      <c r="J7187" s="1">
        <v>42048</v>
      </c>
      <c r="K7187" s="1">
        <v>42108</v>
      </c>
      <c r="L7187" s="7">
        <v>72</v>
      </c>
      <c r="M7187" s="5">
        <v>248</v>
      </c>
      <c r="N7187" s="7">
        <v>17856</v>
      </c>
      <c r="O7187">
        <v>72</v>
      </c>
      <c r="P7187">
        <v>248</v>
      </c>
      <c r="Q7187" s="2">
        <v>17856</v>
      </c>
      <c r="R7187">
        <v>2.88</v>
      </c>
      <c r="V7187">
        <v>0</v>
      </c>
      <c r="W7187">
        <v>0</v>
      </c>
      <c r="X7187">
        <v>0</v>
      </c>
      <c r="Y7187">
        <v>74.88</v>
      </c>
      <c r="Z7187">
        <v>74.88</v>
      </c>
      <c r="AA7187">
        <v>74.88</v>
      </c>
      <c r="AB7187" s="1">
        <v>42382</v>
      </c>
      <c r="AC7187" t="s">
        <v>53</v>
      </c>
      <c r="AD7187" t="s">
        <v>53</v>
      </c>
      <c r="AK7187">
        <v>2.88</v>
      </c>
      <c r="AU7187" s="6">
        <v>42356</v>
      </c>
      <c r="AV7187" s="6">
        <v>42356</v>
      </c>
      <c r="AW7187" t="s">
        <v>54</v>
      </c>
      <c r="AX7187" t="str">
        <f t="shared" si="584"/>
        <v>FOR</v>
      </c>
      <c r="AY7187" t="s">
        <v>55</v>
      </c>
    </row>
    <row r="7188" spans="1:51">
      <c r="A7188">
        <v>104093</v>
      </c>
      <c r="B7188" t="s">
        <v>1210</v>
      </c>
      <c r="C7188" t="str">
        <f t="shared" si="582"/>
        <v>06032681006</v>
      </c>
      <c r="D7188" t="str">
        <f t="shared" si="583"/>
        <v>12572900152</v>
      </c>
      <c r="E7188" t="s">
        <v>52</v>
      </c>
      <c r="F7188">
        <v>2015</v>
      </c>
      <c r="G7188">
        <v>25224778</v>
      </c>
      <c r="H7188" s="1">
        <v>42031</v>
      </c>
      <c r="I7188" s="1">
        <v>42048</v>
      </c>
      <c r="J7188" s="1">
        <v>42048</v>
      </c>
      <c r="K7188" s="1">
        <v>42108</v>
      </c>
      <c r="L7188" s="7">
        <v>72</v>
      </c>
      <c r="M7188" s="5">
        <v>248</v>
      </c>
      <c r="N7188" s="7">
        <v>17856</v>
      </c>
      <c r="O7188">
        <v>72</v>
      </c>
      <c r="P7188">
        <v>248</v>
      </c>
      <c r="Q7188" s="2">
        <v>17856</v>
      </c>
      <c r="R7188">
        <v>2.88</v>
      </c>
      <c r="V7188">
        <v>0</v>
      </c>
      <c r="W7188">
        <v>0</v>
      </c>
      <c r="X7188">
        <v>0</v>
      </c>
      <c r="Y7188">
        <v>74.88</v>
      </c>
      <c r="Z7188">
        <v>74.88</v>
      </c>
      <c r="AA7188">
        <v>74.88</v>
      </c>
      <c r="AB7188" s="1">
        <v>42382</v>
      </c>
      <c r="AC7188" t="s">
        <v>53</v>
      </c>
      <c r="AD7188" t="s">
        <v>53</v>
      </c>
      <c r="AK7188">
        <v>2.88</v>
      </c>
      <c r="AU7188" s="6">
        <v>42356</v>
      </c>
      <c r="AV7188" s="6">
        <v>42356</v>
      </c>
      <c r="AW7188" t="s">
        <v>54</v>
      </c>
      <c r="AX7188" t="str">
        <f t="shared" si="584"/>
        <v>FOR</v>
      </c>
      <c r="AY7188" t="s">
        <v>55</v>
      </c>
    </row>
    <row r="7189" spans="1:51">
      <c r="A7189">
        <v>104093</v>
      </c>
      <c r="B7189" t="s">
        <v>1210</v>
      </c>
      <c r="C7189" t="str">
        <f t="shared" si="582"/>
        <v>06032681006</v>
      </c>
      <c r="D7189" t="str">
        <f t="shared" si="583"/>
        <v>12572900152</v>
      </c>
      <c r="E7189" t="s">
        <v>52</v>
      </c>
      <c r="F7189">
        <v>2015</v>
      </c>
      <c r="G7189">
        <v>25225008</v>
      </c>
      <c r="H7189" s="1">
        <v>42032</v>
      </c>
      <c r="I7189" s="1">
        <v>42053</v>
      </c>
      <c r="J7189" s="1">
        <v>42053</v>
      </c>
      <c r="K7189" s="1">
        <v>42113</v>
      </c>
      <c r="L7189" s="7">
        <v>243</v>
      </c>
      <c r="M7189" s="5">
        <v>243</v>
      </c>
      <c r="N7189" s="7">
        <v>59049</v>
      </c>
      <c r="O7189">
        <v>243</v>
      </c>
      <c r="P7189">
        <v>243</v>
      </c>
      <c r="Q7189" s="2">
        <v>59049</v>
      </c>
      <c r="R7189">
        <v>9.7200000000000006</v>
      </c>
      <c r="V7189">
        <v>0</v>
      </c>
      <c r="W7189">
        <v>0</v>
      </c>
      <c r="X7189">
        <v>0</v>
      </c>
      <c r="Y7189">
        <v>252.72</v>
      </c>
      <c r="Z7189">
        <v>252.72</v>
      </c>
      <c r="AA7189">
        <v>252.72</v>
      </c>
      <c r="AB7189" s="1">
        <v>42382</v>
      </c>
      <c r="AC7189" t="s">
        <v>53</v>
      </c>
      <c r="AD7189" t="s">
        <v>53</v>
      </c>
      <c r="AK7189">
        <v>9.7200000000000006</v>
      </c>
      <c r="AU7189" s="6">
        <v>42356</v>
      </c>
      <c r="AV7189" s="6">
        <v>42356</v>
      </c>
      <c r="AW7189" t="s">
        <v>54</v>
      </c>
      <c r="AX7189" t="str">
        <f t="shared" si="584"/>
        <v>FOR</v>
      </c>
      <c r="AY7189" t="s">
        <v>55</v>
      </c>
    </row>
    <row r="7190" spans="1:51">
      <c r="A7190">
        <v>104093</v>
      </c>
      <c r="B7190" t="s">
        <v>1210</v>
      </c>
      <c r="C7190" t="str">
        <f t="shared" si="582"/>
        <v>06032681006</v>
      </c>
      <c r="D7190" t="str">
        <f t="shared" si="583"/>
        <v>12572900152</v>
      </c>
      <c r="E7190" t="s">
        <v>52</v>
      </c>
      <c r="F7190">
        <v>2015</v>
      </c>
      <c r="G7190">
        <v>25225017</v>
      </c>
      <c r="H7190" s="1">
        <v>42032</v>
      </c>
      <c r="I7190" s="1">
        <v>42053</v>
      </c>
      <c r="J7190" s="1">
        <v>42053</v>
      </c>
      <c r="K7190" s="1">
        <v>42113</v>
      </c>
      <c r="L7190" s="7">
        <v>243</v>
      </c>
      <c r="M7190" s="5">
        <v>243</v>
      </c>
      <c r="N7190" s="7">
        <v>59049</v>
      </c>
      <c r="O7190">
        <v>243</v>
      </c>
      <c r="P7190">
        <v>243</v>
      </c>
      <c r="Q7190" s="2">
        <v>59049</v>
      </c>
      <c r="R7190">
        <v>9.7200000000000006</v>
      </c>
      <c r="V7190">
        <v>0</v>
      </c>
      <c r="W7190">
        <v>0</v>
      </c>
      <c r="X7190">
        <v>0</v>
      </c>
      <c r="Y7190">
        <v>252.72</v>
      </c>
      <c r="Z7190">
        <v>252.72</v>
      </c>
      <c r="AA7190">
        <v>252.72</v>
      </c>
      <c r="AB7190" s="1">
        <v>42382</v>
      </c>
      <c r="AC7190" t="s">
        <v>53</v>
      </c>
      <c r="AD7190" t="s">
        <v>53</v>
      </c>
      <c r="AK7190">
        <v>9.7200000000000006</v>
      </c>
      <c r="AU7190" s="6">
        <v>42356</v>
      </c>
      <c r="AV7190" s="6">
        <v>42356</v>
      </c>
      <c r="AW7190" t="s">
        <v>54</v>
      </c>
      <c r="AX7190" t="str">
        <f t="shared" si="584"/>
        <v>FOR</v>
      </c>
      <c r="AY7190" t="s">
        <v>55</v>
      </c>
    </row>
    <row r="7191" spans="1:51">
      <c r="A7191">
        <v>104093</v>
      </c>
      <c r="B7191" t="s">
        <v>1210</v>
      </c>
      <c r="C7191" t="str">
        <f t="shared" si="582"/>
        <v>06032681006</v>
      </c>
      <c r="D7191" t="str">
        <f t="shared" si="583"/>
        <v>12572900152</v>
      </c>
      <c r="E7191" t="s">
        <v>52</v>
      </c>
      <c r="F7191">
        <v>2015</v>
      </c>
      <c r="G7191">
        <v>25225072</v>
      </c>
      <c r="H7191" s="1">
        <v>42032</v>
      </c>
      <c r="I7191" s="1">
        <v>42053</v>
      </c>
      <c r="J7191" s="1">
        <v>42053</v>
      </c>
      <c r="K7191" s="1">
        <v>42113</v>
      </c>
      <c r="L7191" s="7">
        <v>72</v>
      </c>
      <c r="M7191" s="5">
        <v>243</v>
      </c>
      <c r="N7191" s="7">
        <v>17496</v>
      </c>
      <c r="O7191">
        <v>72</v>
      </c>
      <c r="P7191">
        <v>243</v>
      </c>
      <c r="Q7191" s="2">
        <v>17496</v>
      </c>
      <c r="R7191">
        <v>2.88</v>
      </c>
      <c r="V7191">
        <v>0</v>
      </c>
      <c r="W7191">
        <v>0</v>
      </c>
      <c r="X7191">
        <v>0</v>
      </c>
      <c r="Y7191">
        <v>74.88</v>
      </c>
      <c r="Z7191">
        <v>74.88</v>
      </c>
      <c r="AA7191">
        <v>74.88</v>
      </c>
      <c r="AB7191" s="1">
        <v>42382</v>
      </c>
      <c r="AC7191" t="s">
        <v>53</v>
      </c>
      <c r="AD7191" t="s">
        <v>53</v>
      </c>
      <c r="AK7191">
        <v>2.88</v>
      </c>
      <c r="AU7191" s="6">
        <v>42356</v>
      </c>
      <c r="AV7191" s="6">
        <v>42356</v>
      </c>
      <c r="AW7191" t="s">
        <v>54</v>
      </c>
      <c r="AX7191" t="str">
        <f t="shared" si="584"/>
        <v>FOR</v>
      </c>
      <c r="AY7191" t="s">
        <v>55</v>
      </c>
    </row>
    <row r="7192" spans="1:51">
      <c r="A7192">
        <v>104093</v>
      </c>
      <c r="B7192" t="s">
        <v>1210</v>
      </c>
      <c r="C7192" t="str">
        <f t="shared" si="582"/>
        <v>06032681006</v>
      </c>
      <c r="D7192" t="str">
        <f t="shared" si="583"/>
        <v>12572900152</v>
      </c>
      <c r="E7192" t="s">
        <v>52</v>
      </c>
      <c r="F7192">
        <v>2015</v>
      </c>
      <c r="G7192">
        <v>25225073</v>
      </c>
      <c r="H7192" s="1">
        <v>42032</v>
      </c>
      <c r="I7192" s="1">
        <v>42053</v>
      </c>
      <c r="J7192" s="1">
        <v>42053</v>
      </c>
      <c r="K7192" s="1">
        <v>42113</v>
      </c>
      <c r="L7192" s="7">
        <v>72</v>
      </c>
      <c r="M7192" s="5">
        <v>243</v>
      </c>
      <c r="N7192" s="7">
        <v>17496</v>
      </c>
      <c r="O7192">
        <v>72</v>
      </c>
      <c r="P7192">
        <v>243</v>
      </c>
      <c r="Q7192" s="2">
        <v>17496</v>
      </c>
      <c r="R7192">
        <v>2.88</v>
      </c>
      <c r="V7192">
        <v>0</v>
      </c>
      <c r="W7192">
        <v>0</v>
      </c>
      <c r="X7192">
        <v>0</v>
      </c>
      <c r="Y7192">
        <v>74.88</v>
      </c>
      <c r="Z7192">
        <v>74.88</v>
      </c>
      <c r="AA7192">
        <v>74.88</v>
      </c>
      <c r="AB7192" s="1">
        <v>42382</v>
      </c>
      <c r="AC7192" t="s">
        <v>53</v>
      </c>
      <c r="AD7192" t="s">
        <v>53</v>
      </c>
      <c r="AK7192">
        <v>2.88</v>
      </c>
      <c r="AU7192" s="6">
        <v>42356</v>
      </c>
      <c r="AV7192" s="6">
        <v>42356</v>
      </c>
      <c r="AW7192" t="s">
        <v>54</v>
      </c>
      <c r="AX7192" t="str">
        <f t="shared" si="584"/>
        <v>FOR</v>
      </c>
      <c r="AY7192" t="s">
        <v>55</v>
      </c>
    </row>
    <row r="7193" spans="1:51">
      <c r="A7193">
        <v>104093</v>
      </c>
      <c r="B7193" t="s">
        <v>1210</v>
      </c>
      <c r="C7193" t="str">
        <f t="shared" si="582"/>
        <v>06032681006</v>
      </c>
      <c r="D7193" t="str">
        <f t="shared" si="583"/>
        <v>12572900152</v>
      </c>
      <c r="E7193" t="s">
        <v>52</v>
      </c>
      <c r="F7193">
        <v>2015</v>
      </c>
      <c r="G7193">
        <v>25225075</v>
      </c>
      <c r="H7193" s="1">
        <v>42032</v>
      </c>
      <c r="I7193" s="1">
        <v>42053</v>
      </c>
      <c r="J7193" s="1">
        <v>42053</v>
      </c>
      <c r="K7193" s="1">
        <v>42113</v>
      </c>
      <c r="L7193" s="7">
        <v>680.4</v>
      </c>
      <c r="M7193" s="5">
        <v>243</v>
      </c>
      <c r="N7193" s="7">
        <v>165337.20000000001</v>
      </c>
      <c r="O7193">
        <v>680.4</v>
      </c>
      <c r="P7193">
        <v>243</v>
      </c>
      <c r="Q7193" s="2">
        <v>165337.20000000001</v>
      </c>
      <c r="R7193">
        <v>27.22</v>
      </c>
      <c r="V7193">
        <v>0</v>
      </c>
      <c r="W7193">
        <v>0</v>
      </c>
      <c r="X7193">
        <v>0</v>
      </c>
      <c r="Y7193">
        <v>707.62</v>
      </c>
      <c r="Z7193">
        <v>707.62</v>
      </c>
      <c r="AA7193">
        <v>707.62</v>
      </c>
      <c r="AB7193" s="1">
        <v>42382</v>
      </c>
      <c r="AC7193" t="s">
        <v>53</v>
      </c>
      <c r="AD7193" t="s">
        <v>53</v>
      </c>
      <c r="AK7193">
        <v>27.22</v>
      </c>
      <c r="AU7193" s="6">
        <v>42356</v>
      </c>
      <c r="AV7193" s="6">
        <v>42356</v>
      </c>
      <c r="AW7193" t="s">
        <v>54</v>
      </c>
      <c r="AX7193" t="str">
        <f t="shared" si="584"/>
        <v>FOR</v>
      </c>
      <c r="AY7193" t="s">
        <v>55</v>
      </c>
    </row>
    <row r="7194" spans="1:51">
      <c r="A7194">
        <v>104093</v>
      </c>
      <c r="B7194" t="s">
        <v>1210</v>
      </c>
      <c r="C7194" t="str">
        <f t="shared" si="582"/>
        <v>06032681006</v>
      </c>
      <c r="D7194" t="str">
        <f t="shared" si="583"/>
        <v>12572900152</v>
      </c>
      <c r="E7194" t="s">
        <v>52</v>
      </c>
      <c r="F7194">
        <v>2015</v>
      </c>
      <c r="G7194">
        <v>25225076</v>
      </c>
      <c r="H7194" s="1">
        <v>42032</v>
      </c>
      <c r="I7194" s="1">
        <v>42053</v>
      </c>
      <c r="J7194" s="1">
        <v>42053</v>
      </c>
      <c r="K7194" s="1">
        <v>42113</v>
      </c>
      <c r="L7194" s="7">
        <v>680.4</v>
      </c>
      <c r="M7194" s="5">
        <v>243</v>
      </c>
      <c r="N7194" s="7">
        <v>165337.20000000001</v>
      </c>
      <c r="O7194">
        <v>680.4</v>
      </c>
      <c r="P7194">
        <v>243</v>
      </c>
      <c r="Q7194" s="2">
        <v>165337.20000000001</v>
      </c>
      <c r="R7194">
        <v>27.22</v>
      </c>
      <c r="V7194">
        <v>0</v>
      </c>
      <c r="W7194">
        <v>0</v>
      </c>
      <c r="X7194">
        <v>0</v>
      </c>
      <c r="Y7194">
        <v>707.62</v>
      </c>
      <c r="Z7194">
        <v>707.62</v>
      </c>
      <c r="AA7194">
        <v>707.62</v>
      </c>
      <c r="AB7194" s="1">
        <v>42382</v>
      </c>
      <c r="AC7194" t="s">
        <v>53</v>
      </c>
      <c r="AD7194" t="s">
        <v>53</v>
      </c>
      <c r="AK7194">
        <v>27.22</v>
      </c>
      <c r="AU7194" s="6">
        <v>42356</v>
      </c>
      <c r="AV7194" s="6">
        <v>42356</v>
      </c>
      <c r="AW7194" t="s">
        <v>54</v>
      </c>
      <c r="AX7194" t="str">
        <f t="shared" si="584"/>
        <v>FOR</v>
      </c>
      <c r="AY7194" t="s">
        <v>55</v>
      </c>
    </row>
    <row r="7195" spans="1:51">
      <c r="A7195">
        <v>104093</v>
      </c>
      <c r="B7195" t="s">
        <v>1210</v>
      </c>
      <c r="C7195" t="str">
        <f t="shared" si="582"/>
        <v>06032681006</v>
      </c>
      <c r="D7195" t="str">
        <f t="shared" si="583"/>
        <v>12572900152</v>
      </c>
      <c r="E7195" t="s">
        <v>52</v>
      </c>
      <c r="F7195">
        <v>2015</v>
      </c>
      <c r="G7195">
        <v>25225183</v>
      </c>
      <c r="H7195" s="1">
        <v>42032</v>
      </c>
      <c r="I7195" s="1">
        <v>42053</v>
      </c>
      <c r="J7195" s="1">
        <v>42053</v>
      </c>
      <c r="K7195" s="1">
        <v>42113</v>
      </c>
      <c r="L7195" s="7">
        <v>5400</v>
      </c>
      <c r="M7195" s="5">
        <v>243</v>
      </c>
      <c r="N7195" s="7">
        <v>1312200</v>
      </c>
      <c r="O7195" s="2">
        <v>5400</v>
      </c>
      <c r="P7195">
        <v>243</v>
      </c>
      <c r="Q7195" s="2">
        <v>1312200</v>
      </c>
      <c r="R7195">
        <v>216</v>
      </c>
      <c r="V7195">
        <v>0</v>
      </c>
      <c r="W7195">
        <v>0</v>
      </c>
      <c r="X7195">
        <v>0</v>
      </c>
      <c r="Y7195" s="2">
        <v>5616</v>
      </c>
      <c r="Z7195" s="2">
        <v>5616</v>
      </c>
      <c r="AA7195" s="2">
        <v>5616</v>
      </c>
      <c r="AB7195" s="1">
        <v>42382</v>
      </c>
      <c r="AC7195" t="s">
        <v>53</v>
      </c>
      <c r="AD7195" t="s">
        <v>53</v>
      </c>
      <c r="AK7195">
        <v>216</v>
      </c>
      <c r="AU7195" s="6">
        <v>42356</v>
      </c>
      <c r="AV7195" s="6">
        <v>42356</v>
      </c>
      <c r="AW7195" t="s">
        <v>54</v>
      </c>
      <c r="AX7195" t="str">
        <f t="shared" si="584"/>
        <v>FOR</v>
      </c>
      <c r="AY7195" t="s">
        <v>55</v>
      </c>
    </row>
    <row r="7196" spans="1:51">
      <c r="A7196">
        <v>104093</v>
      </c>
      <c r="B7196" t="s">
        <v>1210</v>
      </c>
      <c r="C7196" t="str">
        <f t="shared" si="582"/>
        <v>06032681006</v>
      </c>
      <c r="D7196" t="str">
        <f t="shared" si="583"/>
        <v>12572900152</v>
      </c>
      <c r="E7196" t="s">
        <v>52</v>
      </c>
      <c r="F7196">
        <v>2015</v>
      </c>
      <c r="G7196">
        <v>25225378</v>
      </c>
      <c r="H7196" s="1">
        <v>42033</v>
      </c>
      <c r="I7196" s="1">
        <v>42048</v>
      </c>
      <c r="J7196" s="1">
        <v>42048</v>
      </c>
      <c r="K7196" s="1">
        <v>42108</v>
      </c>
      <c r="L7196" s="7">
        <v>72</v>
      </c>
      <c r="M7196" s="5">
        <v>248</v>
      </c>
      <c r="N7196" s="7">
        <v>17856</v>
      </c>
      <c r="O7196">
        <v>72</v>
      </c>
      <c r="P7196">
        <v>248</v>
      </c>
      <c r="Q7196" s="2">
        <v>17856</v>
      </c>
      <c r="R7196">
        <v>2.88</v>
      </c>
      <c r="V7196">
        <v>0</v>
      </c>
      <c r="W7196">
        <v>0</v>
      </c>
      <c r="X7196">
        <v>0</v>
      </c>
      <c r="Y7196">
        <v>74.88</v>
      </c>
      <c r="Z7196">
        <v>74.88</v>
      </c>
      <c r="AA7196">
        <v>74.88</v>
      </c>
      <c r="AB7196" s="1">
        <v>42382</v>
      </c>
      <c r="AC7196" t="s">
        <v>53</v>
      </c>
      <c r="AD7196" t="s">
        <v>53</v>
      </c>
      <c r="AK7196">
        <v>2.88</v>
      </c>
      <c r="AU7196" s="6">
        <v>42356</v>
      </c>
      <c r="AV7196" s="6">
        <v>42356</v>
      </c>
      <c r="AW7196" t="s">
        <v>54</v>
      </c>
      <c r="AX7196" t="str">
        <f t="shared" si="584"/>
        <v>FOR</v>
      </c>
      <c r="AY7196" t="s">
        <v>55</v>
      </c>
    </row>
    <row r="7197" spans="1:51">
      <c r="A7197">
        <v>104093</v>
      </c>
      <c r="B7197" t="s">
        <v>1210</v>
      </c>
      <c r="C7197" t="str">
        <f t="shared" si="582"/>
        <v>06032681006</v>
      </c>
      <c r="D7197" t="str">
        <f t="shared" si="583"/>
        <v>12572900152</v>
      </c>
      <c r="E7197" t="s">
        <v>52</v>
      </c>
      <c r="F7197">
        <v>2015</v>
      </c>
      <c r="G7197">
        <v>25225380</v>
      </c>
      <c r="H7197" s="1">
        <v>42033</v>
      </c>
      <c r="I7197" s="1">
        <v>42048</v>
      </c>
      <c r="J7197" s="1">
        <v>42048</v>
      </c>
      <c r="K7197" s="1">
        <v>42108</v>
      </c>
      <c r="L7197" s="7">
        <v>680.4</v>
      </c>
      <c r="M7197" s="5">
        <v>248</v>
      </c>
      <c r="N7197" s="7">
        <v>168739.20000000001</v>
      </c>
      <c r="O7197">
        <v>680.4</v>
      </c>
      <c r="P7197">
        <v>248</v>
      </c>
      <c r="Q7197" s="2">
        <v>168739.20000000001</v>
      </c>
      <c r="R7197">
        <v>27.22</v>
      </c>
      <c r="V7197">
        <v>0</v>
      </c>
      <c r="W7197">
        <v>0</v>
      </c>
      <c r="X7197">
        <v>0</v>
      </c>
      <c r="Y7197">
        <v>707.62</v>
      </c>
      <c r="Z7197">
        <v>707.62</v>
      </c>
      <c r="AA7197">
        <v>707.62</v>
      </c>
      <c r="AB7197" s="1">
        <v>42382</v>
      </c>
      <c r="AC7197" t="s">
        <v>53</v>
      </c>
      <c r="AD7197" t="s">
        <v>53</v>
      </c>
      <c r="AK7197">
        <v>27.22</v>
      </c>
      <c r="AU7197" s="6">
        <v>42356</v>
      </c>
      <c r="AV7197" s="6">
        <v>42356</v>
      </c>
      <c r="AW7197" t="s">
        <v>54</v>
      </c>
      <c r="AX7197" t="str">
        <f t="shared" si="584"/>
        <v>FOR</v>
      </c>
      <c r="AY7197" t="s">
        <v>55</v>
      </c>
    </row>
    <row r="7198" spans="1:51">
      <c r="A7198">
        <v>104093</v>
      </c>
      <c r="B7198" t="s">
        <v>1210</v>
      </c>
      <c r="C7198" t="str">
        <f t="shared" si="582"/>
        <v>06032681006</v>
      </c>
      <c r="D7198" t="str">
        <f t="shared" si="583"/>
        <v>12572900152</v>
      </c>
      <c r="E7198" t="s">
        <v>52</v>
      </c>
      <c r="F7198">
        <v>2015</v>
      </c>
      <c r="G7198">
        <v>25225381</v>
      </c>
      <c r="H7198" s="1">
        <v>42033</v>
      </c>
      <c r="I7198" s="1">
        <v>42048</v>
      </c>
      <c r="J7198" s="1">
        <v>42048</v>
      </c>
      <c r="K7198" s="1">
        <v>42108</v>
      </c>
      <c r="L7198" s="7">
        <v>243</v>
      </c>
      <c r="M7198" s="5">
        <v>248</v>
      </c>
      <c r="N7198" s="7">
        <v>60264</v>
      </c>
      <c r="O7198">
        <v>243</v>
      </c>
      <c r="P7198">
        <v>248</v>
      </c>
      <c r="Q7198" s="2">
        <v>60264</v>
      </c>
      <c r="R7198">
        <v>9.7200000000000006</v>
      </c>
      <c r="V7198">
        <v>0</v>
      </c>
      <c r="W7198">
        <v>0</v>
      </c>
      <c r="X7198">
        <v>0</v>
      </c>
      <c r="Y7198">
        <v>252.72</v>
      </c>
      <c r="Z7198">
        <v>252.72</v>
      </c>
      <c r="AA7198">
        <v>252.72</v>
      </c>
      <c r="AB7198" s="1">
        <v>42382</v>
      </c>
      <c r="AC7198" t="s">
        <v>53</v>
      </c>
      <c r="AD7198" t="s">
        <v>53</v>
      </c>
      <c r="AK7198">
        <v>9.7200000000000006</v>
      </c>
      <c r="AU7198" s="6">
        <v>42356</v>
      </c>
      <c r="AV7198" s="6">
        <v>42356</v>
      </c>
      <c r="AW7198" t="s">
        <v>54</v>
      </c>
      <c r="AX7198" t="str">
        <f t="shared" si="584"/>
        <v>FOR</v>
      </c>
      <c r="AY7198" t="s">
        <v>55</v>
      </c>
    </row>
    <row r="7199" spans="1:51" hidden="1">
      <c r="A7199">
        <v>104095</v>
      </c>
      <c r="B7199" t="s">
        <v>1211</v>
      </c>
      <c r="C7199" t="str">
        <f t="shared" ref="C7199:D7218" si="585">"10181220152"</f>
        <v>10181220152</v>
      </c>
      <c r="D7199" t="str">
        <f t="shared" si="585"/>
        <v>10181220152</v>
      </c>
      <c r="E7199" t="s">
        <v>52</v>
      </c>
      <c r="F7199">
        <v>2014</v>
      </c>
      <c r="G7199">
        <v>74300535</v>
      </c>
      <c r="H7199" s="1">
        <v>41827</v>
      </c>
      <c r="I7199" s="1">
        <v>41876</v>
      </c>
      <c r="J7199" s="1">
        <v>41876</v>
      </c>
      <c r="K7199" s="1">
        <v>41966</v>
      </c>
      <c r="N7199" s="5"/>
      <c r="O7199" s="2">
        <v>15202.97</v>
      </c>
      <c r="P7199">
        <v>284</v>
      </c>
      <c r="Q7199" s="2">
        <v>4317643.4800000004</v>
      </c>
      <c r="R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 s="1">
        <v>42382</v>
      </c>
      <c r="AC7199" t="s">
        <v>53</v>
      </c>
      <c r="AD7199" t="s">
        <v>53</v>
      </c>
      <c r="AK7199">
        <v>0</v>
      </c>
      <c r="AU7199" s="6">
        <v>42250</v>
      </c>
      <c r="AV7199" s="6">
        <v>42250</v>
      </c>
      <c r="AW7199" t="s">
        <v>54</v>
      </c>
      <c r="AX7199" t="str">
        <f t="shared" si="584"/>
        <v>FOR</v>
      </c>
      <c r="AY7199" t="s">
        <v>55</v>
      </c>
    </row>
    <row r="7200" spans="1:51" hidden="1">
      <c r="A7200">
        <v>104095</v>
      </c>
      <c r="B7200" t="s">
        <v>1211</v>
      </c>
      <c r="C7200" t="str">
        <f t="shared" si="585"/>
        <v>10181220152</v>
      </c>
      <c r="D7200" t="str">
        <f t="shared" si="585"/>
        <v>10181220152</v>
      </c>
      <c r="E7200" t="s">
        <v>52</v>
      </c>
      <c r="F7200">
        <v>2014</v>
      </c>
      <c r="G7200">
        <v>74301402</v>
      </c>
      <c r="H7200" s="1">
        <v>41830</v>
      </c>
      <c r="I7200" s="1">
        <v>41876</v>
      </c>
      <c r="J7200" s="1">
        <v>41876</v>
      </c>
      <c r="K7200" s="1">
        <v>41966</v>
      </c>
      <c r="N7200" s="5"/>
      <c r="O7200" s="2">
        <v>2440</v>
      </c>
      <c r="P7200">
        <v>284</v>
      </c>
      <c r="Q7200" s="2">
        <v>692960</v>
      </c>
      <c r="R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 s="1">
        <v>42382</v>
      </c>
      <c r="AC7200" t="s">
        <v>53</v>
      </c>
      <c r="AD7200" t="s">
        <v>53</v>
      </c>
      <c r="AK7200">
        <v>0</v>
      </c>
      <c r="AU7200" s="6">
        <v>42250</v>
      </c>
      <c r="AV7200" s="6">
        <v>42250</v>
      </c>
      <c r="AW7200" t="s">
        <v>54</v>
      </c>
      <c r="AX7200" t="str">
        <f t="shared" si="584"/>
        <v>FOR</v>
      </c>
      <c r="AY7200" t="s">
        <v>55</v>
      </c>
    </row>
    <row r="7201" spans="1:51" hidden="1">
      <c r="A7201">
        <v>104095</v>
      </c>
      <c r="B7201" t="s">
        <v>1211</v>
      </c>
      <c r="C7201" t="str">
        <f t="shared" si="585"/>
        <v>10181220152</v>
      </c>
      <c r="D7201" t="str">
        <f t="shared" si="585"/>
        <v>10181220152</v>
      </c>
      <c r="E7201" t="s">
        <v>52</v>
      </c>
      <c r="F7201">
        <v>2014</v>
      </c>
      <c r="G7201">
        <v>74301703</v>
      </c>
      <c r="H7201" s="1">
        <v>41831</v>
      </c>
      <c r="I7201" s="1">
        <v>41876</v>
      </c>
      <c r="J7201" s="1">
        <v>41876</v>
      </c>
      <c r="K7201" s="1">
        <v>41966</v>
      </c>
      <c r="N7201" s="5"/>
      <c r="O7201">
        <v>488</v>
      </c>
      <c r="P7201">
        <v>284</v>
      </c>
      <c r="Q7201" s="2">
        <v>138592</v>
      </c>
      <c r="R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 s="1">
        <v>42382</v>
      </c>
      <c r="AC7201" t="s">
        <v>53</v>
      </c>
      <c r="AD7201" t="s">
        <v>53</v>
      </c>
      <c r="AK7201">
        <v>0</v>
      </c>
      <c r="AU7201" s="6">
        <v>42250</v>
      </c>
      <c r="AV7201" s="6">
        <v>42250</v>
      </c>
      <c r="AW7201" t="s">
        <v>54</v>
      </c>
      <c r="AX7201" t="str">
        <f t="shared" si="584"/>
        <v>FOR</v>
      </c>
      <c r="AY7201" t="s">
        <v>55</v>
      </c>
    </row>
    <row r="7202" spans="1:51" hidden="1">
      <c r="A7202">
        <v>104095</v>
      </c>
      <c r="B7202" t="s">
        <v>1211</v>
      </c>
      <c r="C7202" t="str">
        <f t="shared" si="585"/>
        <v>10181220152</v>
      </c>
      <c r="D7202" t="str">
        <f t="shared" si="585"/>
        <v>10181220152</v>
      </c>
      <c r="E7202" t="s">
        <v>52</v>
      </c>
      <c r="F7202">
        <v>2014</v>
      </c>
      <c r="G7202">
        <v>74306057</v>
      </c>
      <c r="H7202" s="1">
        <v>41857</v>
      </c>
      <c r="I7202" s="1">
        <v>41904</v>
      </c>
      <c r="J7202" s="1">
        <v>41904</v>
      </c>
      <c r="K7202" s="1">
        <v>41994</v>
      </c>
      <c r="N7202" s="5"/>
      <c r="O7202" s="2">
        <v>10980</v>
      </c>
      <c r="P7202">
        <v>256</v>
      </c>
      <c r="Q7202" s="2">
        <v>2810880</v>
      </c>
      <c r="R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 s="1">
        <v>42382</v>
      </c>
      <c r="AC7202" t="s">
        <v>53</v>
      </c>
      <c r="AD7202" t="s">
        <v>53</v>
      </c>
      <c r="AK7202">
        <v>0</v>
      </c>
      <c r="AU7202" s="6">
        <v>42250</v>
      </c>
      <c r="AV7202" s="6">
        <v>42250</v>
      </c>
      <c r="AW7202" t="s">
        <v>54</v>
      </c>
      <c r="AX7202" t="str">
        <f t="shared" si="584"/>
        <v>FOR</v>
      </c>
      <c r="AY7202" t="s">
        <v>55</v>
      </c>
    </row>
    <row r="7203" spans="1:51" hidden="1">
      <c r="A7203">
        <v>104095</v>
      </c>
      <c r="B7203" t="s">
        <v>1211</v>
      </c>
      <c r="C7203" t="str">
        <f t="shared" si="585"/>
        <v>10181220152</v>
      </c>
      <c r="D7203" t="str">
        <f t="shared" si="585"/>
        <v>10181220152</v>
      </c>
      <c r="E7203" t="s">
        <v>52</v>
      </c>
      <c r="F7203">
        <v>2014</v>
      </c>
      <c r="G7203">
        <v>74306266</v>
      </c>
      <c r="H7203" s="1">
        <v>41858</v>
      </c>
      <c r="I7203" s="1">
        <v>41911</v>
      </c>
      <c r="J7203" s="1">
        <v>41911</v>
      </c>
      <c r="K7203" s="1">
        <v>42001</v>
      </c>
      <c r="N7203" s="5"/>
      <c r="O7203">
        <v>61</v>
      </c>
      <c r="P7203">
        <v>249</v>
      </c>
      <c r="Q7203" s="2">
        <v>15189</v>
      </c>
      <c r="R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 s="1">
        <v>42382</v>
      </c>
      <c r="AC7203" t="s">
        <v>53</v>
      </c>
      <c r="AD7203" t="s">
        <v>53</v>
      </c>
      <c r="AK7203">
        <v>0</v>
      </c>
      <c r="AU7203" s="6">
        <v>42250</v>
      </c>
      <c r="AV7203" s="6">
        <v>42250</v>
      </c>
      <c r="AW7203" t="s">
        <v>54</v>
      </c>
      <c r="AX7203" t="str">
        <f t="shared" si="584"/>
        <v>FOR</v>
      </c>
      <c r="AY7203" t="s">
        <v>55</v>
      </c>
    </row>
    <row r="7204" spans="1:51" hidden="1">
      <c r="A7204">
        <v>104095</v>
      </c>
      <c r="B7204" t="s">
        <v>1211</v>
      </c>
      <c r="C7204" t="str">
        <f t="shared" si="585"/>
        <v>10181220152</v>
      </c>
      <c r="D7204" t="str">
        <f t="shared" si="585"/>
        <v>10181220152</v>
      </c>
      <c r="E7204" t="s">
        <v>52</v>
      </c>
      <c r="F7204">
        <v>2014</v>
      </c>
      <c r="G7204">
        <v>74309585</v>
      </c>
      <c r="H7204" s="1">
        <v>41696</v>
      </c>
      <c r="I7204" s="1">
        <v>41715</v>
      </c>
      <c r="J7204" s="1">
        <v>41715</v>
      </c>
      <c r="K7204" s="1">
        <v>41805</v>
      </c>
      <c r="N7204" s="5"/>
      <c r="O7204" s="2">
        <v>10980</v>
      </c>
      <c r="P7204">
        <v>234</v>
      </c>
      <c r="Q7204" s="2">
        <v>2569320</v>
      </c>
      <c r="R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 s="1">
        <v>42382</v>
      </c>
      <c r="AC7204" t="s">
        <v>53</v>
      </c>
      <c r="AD7204" t="s">
        <v>53</v>
      </c>
      <c r="AK7204">
        <v>0</v>
      </c>
      <c r="AU7204" s="6">
        <v>42039</v>
      </c>
      <c r="AV7204" s="6">
        <v>42039</v>
      </c>
      <c r="AW7204" t="s">
        <v>54</v>
      </c>
      <c r="AX7204" t="str">
        <f t="shared" si="584"/>
        <v>FOR</v>
      </c>
      <c r="AY7204" t="s">
        <v>55</v>
      </c>
    </row>
    <row r="7205" spans="1:51" hidden="1">
      <c r="A7205">
        <v>104095</v>
      </c>
      <c r="B7205" t="s">
        <v>1211</v>
      </c>
      <c r="C7205" t="str">
        <f t="shared" si="585"/>
        <v>10181220152</v>
      </c>
      <c r="D7205" t="str">
        <f t="shared" si="585"/>
        <v>10181220152</v>
      </c>
      <c r="E7205" t="s">
        <v>52</v>
      </c>
      <c r="F7205">
        <v>2014</v>
      </c>
      <c r="G7205">
        <v>74312188</v>
      </c>
      <c r="H7205" s="1">
        <v>41907</v>
      </c>
      <c r="I7205" s="1">
        <v>41932</v>
      </c>
      <c r="J7205" s="1">
        <v>41932</v>
      </c>
      <c r="K7205" s="1">
        <v>41992</v>
      </c>
      <c r="N7205" s="5"/>
      <c r="O7205" s="2">
        <v>10233.86</v>
      </c>
      <c r="P7205">
        <v>258</v>
      </c>
      <c r="Q7205" s="2">
        <v>2640335.88</v>
      </c>
      <c r="R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 s="1">
        <v>42382</v>
      </c>
      <c r="AC7205" t="s">
        <v>53</v>
      </c>
      <c r="AD7205" t="s">
        <v>53</v>
      </c>
      <c r="AK7205">
        <v>0</v>
      </c>
      <c r="AU7205" s="6">
        <v>42250</v>
      </c>
      <c r="AV7205" s="6">
        <v>42250</v>
      </c>
      <c r="AW7205" t="s">
        <v>54</v>
      </c>
      <c r="AX7205" t="str">
        <f t="shared" si="584"/>
        <v>FOR</v>
      </c>
      <c r="AY7205" t="s">
        <v>55</v>
      </c>
    </row>
    <row r="7206" spans="1:51">
      <c r="A7206">
        <v>104095</v>
      </c>
      <c r="B7206" t="s">
        <v>1211</v>
      </c>
      <c r="C7206" t="str">
        <f t="shared" si="585"/>
        <v>10181220152</v>
      </c>
      <c r="D7206" t="str">
        <f t="shared" si="585"/>
        <v>10181220152</v>
      </c>
      <c r="E7206" t="s">
        <v>52</v>
      </c>
      <c r="F7206">
        <v>2014</v>
      </c>
      <c r="G7206">
        <v>74313284</v>
      </c>
      <c r="H7206" s="1">
        <v>41914</v>
      </c>
      <c r="I7206" s="1">
        <v>41929</v>
      </c>
      <c r="J7206" s="1">
        <v>41929</v>
      </c>
      <c r="K7206" s="1">
        <v>41989</v>
      </c>
      <c r="L7206" s="7">
        <v>10980</v>
      </c>
      <c r="M7206" s="5">
        <v>289</v>
      </c>
      <c r="N7206" s="7">
        <v>3173220</v>
      </c>
      <c r="O7206" s="2">
        <v>10980</v>
      </c>
      <c r="P7206">
        <v>289</v>
      </c>
      <c r="Q7206" s="2">
        <v>3173220</v>
      </c>
      <c r="R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 s="1">
        <v>42382</v>
      </c>
      <c r="AC7206" t="s">
        <v>53</v>
      </c>
      <c r="AD7206" t="s">
        <v>53</v>
      </c>
      <c r="AK7206">
        <v>0</v>
      </c>
      <c r="AU7206" s="6">
        <v>42278</v>
      </c>
      <c r="AV7206" s="6">
        <v>42278</v>
      </c>
      <c r="AW7206" t="s">
        <v>54</v>
      </c>
      <c r="AX7206" t="str">
        <f t="shared" si="584"/>
        <v>FOR</v>
      </c>
      <c r="AY7206" t="s">
        <v>55</v>
      </c>
    </row>
    <row r="7207" spans="1:51" hidden="1">
      <c r="A7207">
        <v>104095</v>
      </c>
      <c r="B7207" t="s">
        <v>1211</v>
      </c>
      <c r="C7207" t="str">
        <f t="shared" si="585"/>
        <v>10181220152</v>
      </c>
      <c r="D7207" t="str">
        <f t="shared" si="585"/>
        <v>10181220152</v>
      </c>
      <c r="E7207" t="s">
        <v>52</v>
      </c>
      <c r="F7207">
        <v>2014</v>
      </c>
      <c r="G7207">
        <v>74313643</v>
      </c>
      <c r="H7207" s="1">
        <v>41716</v>
      </c>
      <c r="I7207" s="1">
        <v>41736</v>
      </c>
      <c r="J7207" s="1">
        <v>41736</v>
      </c>
      <c r="K7207" s="1">
        <v>41826</v>
      </c>
      <c r="N7207" s="5"/>
      <c r="O7207" s="2">
        <v>1342</v>
      </c>
      <c r="P7207">
        <v>269</v>
      </c>
      <c r="Q7207" s="2">
        <v>360998</v>
      </c>
      <c r="R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 s="1">
        <v>42382</v>
      </c>
      <c r="AC7207" t="s">
        <v>53</v>
      </c>
      <c r="AD7207" t="s">
        <v>53</v>
      </c>
      <c r="AK7207">
        <v>0</v>
      </c>
      <c r="AU7207" s="6">
        <v>42095</v>
      </c>
      <c r="AV7207" s="6">
        <v>42095</v>
      </c>
      <c r="AW7207" t="s">
        <v>54</v>
      </c>
      <c r="AX7207" t="str">
        <f t="shared" si="584"/>
        <v>FOR</v>
      </c>
      <c r="AY7207" t="s">
        <v>55</v>
      </c>
    </row>
    <row r="7208" spans="1:51">
      <c r="A7208">
        <v>104095</v>
      </c>
      <c r="B7208" t="s">
        <v>1211</v>
      </c>
      <c r="C7208" t="str">
        <f t="shared" si="585"/>
        <v>10181220152</v>
      </c>
      <c r="D7208" t="str">
        <f t="shared" si="585"/>
        <v>10181220152</v>
      </c>
      <c r="E7208" t="s">
        <v>52</v>
      </c>
      <c r="F7208">
        <v>2014</v>
      </c>
      <c r="G7208">
        <v>74314009</v>
      </c>
      <c r="H7208" s="1">
        <v>41920</v>
      </c>
      <c r="I7208" s="1">
        <v>41932</v>
      </c>
      <c r="J7208" s="1">
        <v>41932</v>
      </c>
      <c r="K7208" s="1">
        <v>41992</v>
      </c>
      <c r="L7208" s="7">
        <v>61</v>
      </c>
      <c r="M7208" s="5">
        <v>286</v>
      </c>
      <c r="N7208" s="7">
        <v>17446</v>
      </c>
      <c r="O7208">
        <v>61</v>
      </c>
      <c r="P7208">
        <v>286</v>
      </c>
      <c r="Q7208" s="2">
        <v>17446</v>
      </c>
      <c r="R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 s="1">
        <v>42382</v>
      </c>
      <c r="AC7208" t="s">
        <v>53</v>
      </c>
      <c r="AD7208" t="s">
        <v>53</v>
      </c>
      <c r="AK7208">
        <v>0</v>
      </c>
      <c r="AU7208" s="6">
        <v>42278</v>
      </c>
      <c r="AV7208" s="6">
        <v>42278</v>
      </c>
      <c r="AW7208" t="s">
        <v>54</v>
      </c>
      <c r="AX7208" t="str">
        <f t="shared" si="584"/>
        <v>FOR</v>
      </c>
      <c r="AY7208" t="s">
        <v>55</v>
      </c>
    </row>
    <row r="7209" spans="1:51">
      <c r="A7209">
        <v>104095</v>
      </c>
      <c r="B7209" t="s">
        <v>1211</v>
      </c>
      <c r="C7209" t="str">
        <f t="shared" si="585"/>
        <v>10181220152</v>
      </c>
      <c r="D7209" t="str">
        <f t="shared" si="585"/>
        <v>10181220152</v>
      </c>
      <c r="E7209" t="s">
        <v>52</v>
      </c>
      <c r="F7209">
        <v>2014</v>
      </c>
      <c r="G7209">
        <v>74314710</v>
      </c>
      <c r="H7209" s="1">
        <v>41925</v>
      </c>
      <c r="I7209" s="1">
        <v>41932</v>
      </c>
      <c r="J7209" s="1">
        <v>41932</v>
      </c>
      <c r="K7209" s="1">
        <v>41992</v>
      </c>
      <c r="L7209" s="7">
        <v>15102.32</v>
      </c>
      <c r="M7209" s="5">
        <v>286</v>
      </c>
      <c r="N7209" s="7">
        <v>4319263.5199999996</v>
      </c>
      <c r="O7209" s="2">
        <v>15102.32</v>
      </c>
      <c r="P7209">
        <v>286</v>
      </c>
      <c r="Q7209" s="2">
        <v>4319263.5199999996</v>
      </c>
      <c r="R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 s="1">
        <v>42382</v>
      </c>
      <c r="AC7209" t="s">
        <v>53</v>
      </c>
      <c r="AD7209" t="s">
        <v>53</v>
      </c>
      <c r="AK7209">
        <v>0</v>
      </c>
      <c r="AU7209" s="6">
        <v>42278</v>
      </c>
      <c r="AV7209" s="6">
        <v>42278</v>
      </c>
      <c r="AW7209" t="s">
        <v>54</v>
      </c>
      <c r="AX7209" t="str">
        <f t="shared" si="584"/>
        <v>FOR</v>
      </c>
      <c r="AY7209" t="s">
        <v>55</v>
      </c>
    </row>
    <row r="7210" spans="1:51" hidden="1">
      <c r="A7210">
        <v>104095</v>
      </c>
      <c r="B7210" t="s">
        <v>1211</v>
      </c>
      <c r="C7210" t="str">
        <f t="shared" si="585"/>
        <v>10181220152</v>
      </c>
      <c r="D7210" t="str">
        <f t="shared" si="585"/>
        <v>10181220152</v>
      </c>
      <c r="E7210" t="s">
        <v>52</v>
      </c>
      <c r="F7210">
        <v>2014</v>
      </c>
      <c r="G7210">
        <v>74315105</v>
      </c>
      <c r="H7210" s="1">
        <v>41724</v>
      </c>
      <c r="I7210" s="1">
        <v>41851</v>
      </c>
      <c r="J7210" s="1">
        <v>41851</v>
      </c>
      <c r="K7210" s="1">
        <v>41941</v>
      </c>
      <c r="N7210" s="5"/>
      <c r="O7210" s="2">
        <v>5829.21</v>
      </c>
      <c r="P7210">
        <v>154</v>
      </c>
      <c r="Q7210" s="2">
        <v>897698.34</v>
      </c>
      <c r="R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 s="1">
        <v>42382</v>
      </c>
      <c r="AC7210" t="s">
        <v>53</v>
      </c>
      <c r="AD7210" t="s">
        <v>53</v>
      </c>
      <c r="AK7210">
        <v>0</v>
      </c>
      <c r="AU7210" s="6">
        <v>42095</v>
      </c>
      <c r="AV7210" s="6">
        <v>42095</v>
      </c>
      <c r="AW7210" t="s">
        <v>54</v>
      </c>
      <c r="AX7210" t="str">
        <f t="shared" si="584"/>
        <v>FOR</v>
      </c>
      <c r="AY7210" t="s">
        <v>55</v>
      </c>
    </row>
    <row r="7211" spans="1:51" hidden="1">
      <c r="A7211">
        <v>104095</v>
      </c>
      <c r="B7211" t="s">
        <v>1211</v>
      </c>
      <c r="C7211" t="str">
        <f t="shared" si="585"/>
        <v>10181220152</v>
      </c>
      <c r="D7211" t="str">
        <f t="shared" si="585"/>
        <v>10181220152</v>
      </c>
      <c r="E7211" t="s">
        <v>52</v>
      </c>
      <c r="F7211">
        <v>2014</v>
      </c>
      <c r="G7211">
        <v>74318443</v>
      </c>
      <c r="H7211" s="1">
        <v>41743</v>
      </c>
      <c r="I7211" s="1">
        <v>41758</v>
      </c>
      <c r="J7211" s="1">
        <v>41758</v>
      </c>
      <c r="K7211" s="1">
        <v>41848</v>
      </c>
      <c r="N7211" s="5"/>
      <c r="O7211">
        <v>61</v>
      </c>
      <c r="P7211">
        <v>247</v>
      </c>
      <c r="Q7211" s="2">
        <v>15067</v>
      </c>
      <c r="R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 s="1">
        <v>42382</v>
      </c>
      <c r="AC7211" t="s">
        <v>53</v>
      </c>
      <c r="AD7211" t="s">
        <v>53</v>
      </c>
      <c r="AK7211">
        <v>0</v>
      </c>
      <c r="AU7211" s="6">
        <v>42095</v>
      </c>
      <c r="AV7211" s="6">
        <v>42095</v>
      </c>
      <c r="AW7211" t="s">
        <v>54</v>
      </c>
      <c r="AX7211" t="str">
        <f t="shared" si="584"/>
        <v>FOR</v>
      </c>
      <c r="AY7211" t="s">
        <v>55</v>
      </c>
    </row>
    <row r="7212" spans="1:51">
      <c r="A7212">
        <v>104095</v>
      </c>
      <c r="B7212" t="s">
        <v>1211</v>
      </c>
      <c r="C7212" t="str">
        <f t="shared" si="585"/>
        <v>10181220152</v>
      </c>
      <c r="D7212" t="str">
        <f t="shared" si="585"/>
        <v>10181220152</v>
      </c>
      <c r="E7212" t="s">
        <v>52</v>
      </c>
      <c r="F7212">
        <v>2014</v>
      </c>
      <c r="G7212">
        <v>74318856</v>
      </c>
      <c r="H7212" s="1">
        <v>41950</v>
      </c>
      <c r="I7212" s="1">
        <v>41967</v>
      </c>
      <c r="J7212" s="1">
        <v>41967</v>
      </c>
      <c r="K7212" s="1">
        <v>42027</v>
      </c>
      <c r="L7212" s="7">
        <v>960.75</v>
      </c>
      <c r="M7212" s="5">
        <v>277</v>
      </c>
      <c r="N7212" s="7">
        <v>266127.75</v>
      </c>
      <c r="O7212">
        <v>960.75</v>
      </c>
      <c r="P7212">
        <v>277</v>
      </c>
      <c r="Q7212" s="2">
        <v>266127.75</v>
      </c>
      <c r="R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 s="1">
        <v>42382</v>
      </c>
      <c r="AC7212" t="s">
        <v>53</v>
      </c>
      <c r="AD7212" t="s">
        <v>53</v>
      </c>
      <c r="AK7212">
        <v>0</v>
      </c>
      <c r="AU7212" s="6">
        <v>42304</v>
      </c>
      <c r="AV7212" s="6">
        <v>42304</v>
      </c>
      <c r="AW7212" t="s">
        <v>54</v>
      </c>
      <c r="AX7212" t="str">
        <f t="shared" si="584"/>
        <v>FOR</v>
      </c>
      <c r="AY7212" t="s">
        <v>55</v>
      </c>
    </row>
    <row r="7213" spans="1:51">
      <c r="A7213">
        <v>104095</v>
      </c>
      <c r="B7213" t="s">
        <v>1211</v>
      </c>
      <c r="C7213" t="str">
        <f t="shared" si="585"/>
        <v>10181220152</v>
      </c>
      <c r="D7213" t="str">
        <f t="shared" si="585"/>
        <v>10181220152</v>
      </c>
      <c r="E7213" t="s">
        <v>52</v>
      </c>
      <c r="F7213">
        <v>2014</v>
      </c>
      <c r="G7213">
        <v>74318857</v>
      </c>
      <c r="H7213" s="1">
        <v>41950</v>
      </c>
      <c r="I7213" s="1">
        <v>41967</v>
      </c>
      <c r="J7213" s="1">
        <v>41967</v>
      </c>
      <c r="K7213" s="1">
        <v>42027</v>
      </c>
      <c r="L7213" s="7">
        <v>213.5</v>
      </c>
      <c r="M7213" s="5">
        <v>277</v>
      </c>
      <c r="N7213" s="7">
        <v>59139.5</v>
      </c>
      <c r="O7213">
        <v>213.5</v>
      </c>
      <c r="P7213">
        <v>277</v>
      </c>
      <c r="Q7213" s="2">
        <v>59139.5</v>
      </c>
      <c r="R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 s="1">
        <v>42382</v>
      </c>
      <c r="AC7213" t="s">
        <v>53</v>
      </c>
      <c r="AD7213" t="s">
        <v>53</v>
      </c>
      <c r="AK7213">
        <v>0</v>
      </c>
      <c r="AU7213" s="6">
        <v>42304</v>
      </c>
      <c r="AV7213" s="6">
        <v>42304</v>
      </c>
      <c r="AW7213" t="s">
        <v>54</v>
      </c>
      <c r="AX7213" t="str">
        <f t="shared" si="584"/>
        <v>FOR</v>
      </c>
      <c r="AY7213" t="s">
        <v>55</v>
      </c>
    </row>
    <row r="7214" spans="1:51">
      <c r="A7214">
        <v>104095</v>
      </c>
      <c r="B7214" t="s">
        <v>1211</v>
      </c>
      <c r="C7214" t="str">
        <f t="shared" si="585"/>
        <v>10181220152</v>
      </c>
      <c r="D7214" t="str">
        <f t="shared" si="585"/>
        <v>10181220152</v>
      </c>
      <c r="E7214" t="s">
        <v>52</v>
      </c>
      <c r="F7214">
        <v>2014</v>
      </c>
      <c r="G7214">
        <v>74322966</v>
      </c>
      <c r="H7214" s="1">
        <v>41971</v>
      </c>
      <c r="I7214" s="1">
        <v>41988</v>
      </c>
      <c r="J7214" s="1">
        <v>41988</v>
      </c>
      <c r="K7214" s="1">
        <v>42048</v>
      </c>
      <c r="L7214" s="7">
        <v>10980</v>
      </c>
      <c r="M7214" s="5">
        <v>256</v>
      </c>
      <c r="N7214" s="7">
        <v>2810880</v>
      </c>
      <c r="O7214" s="2">
        <v>10980</v>
      </c>
      <c r="P7214">
        <v>256</v>
      </c>
      <c r="Q7214" s="2">
        <v>2810880</v>
      </c>
      <c r="R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 s="1">
        <v>42382</v>
      </c>
      <c r="AC7214" t="s">
        <v>53</v>
      </c>
      <c r="AD7214" t="s">
        <v>53</v>
      </c>
      <c r="AK7214">
        <v>0</v>
      </c>
      <c r="AU7214" s="6">
        <v>42304</v>
      </c>
      <c r="AV7214" s="6">
        <v>42304</v>
      </c>
      <c r="AW7214" t="s">
        <v>54</v>
      </c>
      <c r="AX7214" t="str">
        <f t="shared" si="584"/>
        <v>FOR</v>
      </c>
      <c r="AY7214" t="s">
        <v>55</v>
      </c>
    </row>
    <row r="7215" spans="1:51">
      <c r="A7215">
        <v>104095</v>
      </c>
      <c r="B7215" t="s">
        <v>1211</v>
      </c>
      <c r="C7215" t="str">
        <f t="shared" si="585"/>
        <v>10181220152</v>
      </c>
      <c r="D7215" t="str">
        <f t="shared" si="585"/>
        <v>10181220152</v>
      </c>
      <c r="E7215" t="s">
        <v>52</v>
      </c>
      <c r="F7215">
        <v>2014</v>
      </c>
      <c r="G7215">
        <v>74322967</v>
      </c>
      <c r="H7215" s="1">
        <v>41971</v>
      </c>
      <c r="I7215" s="1">
        <v>41988</v>
      </c>
      <c r="J7215" s="1">
        <v>41988</v>
      </c>
      <c r="K7215" s="1">
        <v>42048</v>
      </c>
      <c r="L7215" s="7">
        <v>61</v>
      </c>
      <c r="M7215" s="5">
        <v>256</v>
      </c>
      <c r="N7215" s="7">
        <v>15616</v>
      </c>
      <c r="O7215">
        <v>61</v>
      </c>
      <c r="P7215">
        <v>256</v>
      </c>
      <c r="Q7215" s="2">
        <v>15616</v>
      </c>
      <c r="R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 s="1">
        <v>42382</v>
      </c>
      <c r="AC7215" t="s">
        <v>53</v>
      </c>
      <c r="AD7215" t="s">
        <v>53</v>
      </c>
      <c r="AK7215">
        <v>0</v>
      </c>
      <c r="AU7215" s="6">
        <v>42304</v>
      </c>
      <c r="AV7215" s="6">
        <v>42304</v>
      </c>
      <c r="AW7215" t="s">
        <v>54</v>
      </c>
      <c r="AX7215" t="str">
        <f t="shared" si="584"/>
        <v>FOR</v>
      </c>
      <c r="AY7215" t="s">
        <v>55</v>
      </c>
    </row>
    <row r="7216" spans="1:51">
      <c r="A7216">
        <v>104095</v>
      </c>
      <c r="B7216" t="s">
        <v>1211</v>
      </c>
      <c r="C7216" t="str">
        <f t="shared" si="585"/>
        <v>10181220152</v>
      </c>
      <c r="D7216" t="str">
        <f t="shared" si="585"/>
        <v>10181220152</v>
      </c>
      <c r="E7216" t="s">
        <v>52</v>
      </c>
      <c r="F7216">
        <v>2014</v>
      </c>
      <c r="G7216">
        <v>74322968</v>
      </c>
      <c r="H7216" s="1">
        <v>41971</v>
      </c>
      <c r="I7216" s="1">
        <v>41988</v>
      </c>
      <c r="J7216" s="1">
        <v>41988</v>
      </c>
      <c r="K7216" s="1">
        <v>42048</v>
      </c>
      <c r="L7216" s="7">
        <v>2440</v>
      </c>
      <c r="M7216" s="5">
        <v>256</v>
      </c>
      <c r="N7216" s="7">
        <v>624640</v>
      </c>
      <c r="O7216" s="2">
        <v>2440</v>
      </c>
      <c r="P7216">
        <v>256</v>
      </c>
      <c r="Q7216" s="2">
        <v>624640</v>
      </c>
      <c r="R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 s="1">
        <v>42382</v>
      </c>
      <c r="AC7216" t="s">
        <v>53</v>
      </c>
      <c r="AD7216" t="s">
        <v>53</v>
      </c>
      <c r="AK7216">
        <v>0</v>
      </c>
      <c r="AU7216" s="6">
        <v>42304</v>
      </c>
      <c r="AV7216" s="6">
        <v>42304</v>
      </c>
      <c r="AW7216" t="s">
        <v>54</v>
      </c>
      <c r="AX7216" t="str">
        <f t="shared" si="584"/>
        <v>FOR</v>
      </c>
      <c r="AY7216" t="s">
        <v>55</v>
      </c>
    </row>
    <row r="7217" spans="1:51">
      <c r="A7217">
        <v>104095</v>
      </c>
      <c r="B7217" t="s">
        <v>1211</v>
      </c>
      <c r="C7217" t="str">
        <f t="shared" si="585"/>
        <v>10181220152</v>
      </c>
      <c r="D7217" t="str">
        <f t="shared" si="585"/>
        <v>10181220152</v>
      </c>
      <c r="E7217" t="s">
        <v>52</v>
      </c>
      <c r="F7217">
        <v>2014</v>
      </c>
      <c r="G7217">
        <v>74322969</v>
      </c>
      <c r="H7217" s="1">
        <v>41971</v>
      </c>
      <c r="I7217" s="1">
        <v>41988</v>
      </c>
      <c r="J7217" s="1">
        <v>41988</v>
      </c>
      <c r="K7217" s="1">
        <v>42048</v>
      </c>
      <c r="L7217" s="7">
        <v>1647</v>
      </c>
      <c r="M7217" s="5">
        <v>256</v>
      </c>
      <c r="N7217" s="7">
        <v>421632</v>
      </c>
      <c r="O7217" s="2">
        <v>1647</v>
      </c>
      <c r="P7217">
        <v>256</v>
      </c>
      <c r="Q7217" s="2">
        <v>421632</v>
      </c>
      <c r="R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 s="1">
        <v>42382</v>
      </c>
      <c r="AC7217" t="s">
        <v>53</v>
      </c>
      <c r="AD7217" t="s">
        <v>53</v>
      </c>
      <c r="AK7217">
        <v>0</v>
      </c>
      <c r="AU7217" s="6">
        <v>42304</v>
      </c>
      <c r="AV7217" s="6">
        <v>42304</v>
      </c>
      <c r="AW7217" t="s">
        <v>54</v>
      </c>
      <c r="AX7217" t="str">
        <f t="shared" si="584"/>
        <v>FOR</v>
      </c>
      <c r="AY7217" t="s">
        <v>55</v>
      </c>
    </row>
    <row r="7218" spans="1:51" hidden="1">
      <c r="A7218">
        <v>104095</v>
      </c>
      <c r="B7218" t="s">
        <v>1211</v>
      </c>
      <c r="C7218" t="str">
        <f t="shared" si="585"/>
        <v>10181220152</v>
      </c>
      <c r="D7218" t="str">
        <f t="shared" si="585"/>
        <v>10181220152</v>
      </c>
      <c r="E7218" t="s">
        <v>52</v>
      </c>
      <c r="F7218">
        <v>2014</v>
      </c>
      <c r="G7218">
        <v>74324645</v>
      </c>
      <c r="H7218" s="1">
        <v>41780</v>
      </c>
      <c r="I7218" s="1">
        <v>41800</v>
      </c>
      <c r="J7218" s="1">
        <v>41800</v>
      </c>
      <c r="K7218" s="1">
        <v>41890</v>
      </c>
      <c r="N7218" s="5"/>
      <c r="O7218" s="2">
        <v>10980</v>
      </c>
      <c r="P7218">
        <v>240</v>
      </c>
      <c r="Q7218" s="2">
        <v>2635200</v>
      </c>
      <c r="R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 s="1">
        <v>42382</v>
      </c>
      <c r="AC7218" t="s">
        <v>53</v>
      </c>
      <c r="AD7218" t="s">
        <v>53</v>
      </c>
      <c r="AK7218">
        <v>0</v>
      </c>
      <c r="AU7218" s="6">
        <v>42130</v>
      </c>
      <c r="AV7218" s="6">
        <v>42130</v>
      </c>
      <c r="AW7218" t="s">
        <v>54</v>
      </c>
      <c r="AX7218" t="str">
        <f t="shared" si="584"/>
        <v>FOR</v>
      </c>
      <c r="AY7218" t="s">
        <v>55</v>
      </c>
    </row>
    <row r="7219" spans="1:51" hidden="1">
      <c r="A7219">
        <v>104095</v>
      </c>
      <c r="B7219" t="s">
        <v>1211</v>
      </c>
      <c r="C7219" t="str">
        <f t="shared" ref="C7219:D7233" si="586">"10181220152"</f>
        <v>10181220152</v>
      </c>
      <c r="D7219" t="str">
        <f t="shared" si="586"/>
        <v>10181220152</v>
      </c>
      <c r="E7219" t="s">
        <v>52</v>
      </c>
      <c r="F7219">
        <v>2014</v>
      </c>
      <c r="G7219">
        <v>74324646</v>
      </c>
      <c r="H7219" s="1">
        <v>41780</v>
      </c>
      <c r="I7219" s="1">
        <v>41800</v>
      </c>
      <c r="J7219" s="1">
        <v>41800</v>
      </c>
      <c r="K7219" s="1">
        <v>41890</v>
      </c>
      <c r="N7219" s="5"/>
      <c r="O7219">
        <v>976</v>
      </c>
      <c r="P7219">
        <v>240</v>
      </c>
      <c r="Q7219" s="2">
        <v>234240</v>
      </c>
      <c r="R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 s="1">
        <v>42382</v>
      </c>
      <c r="AC7219" t="s">
        <v>53</v>
      </c>
      <c r="AD7219" t="s">
        <v>53</v>
      </c>
      <c r="AK7219">
        <v>0</v>
      </c>
      <c r="AU7219" s="6">
        <v>42130</v>
      </c>
      <c r="AV7219" s="6">
        <v>42130</v>
      </c>
      <c r="AW7219" t="s">
        <v>54</v>
      </c>
      <c r="AX7219" t="str">
        <f t="shared" si="584"/>
        <v>FOR</v>
      </c>
      <c r="AY7219" t="s">
        <v>55</v>
      </c>
    </row>
    <row r="7220" spans="1:51" hidden="1">
      <c r="A7220">
        <v>104095</v>
      </c>
      <c r="B7220" t="s">
        <v>1211</v>
      </c>
      <c r="C7220" t="str">
        <f t="shared" si="586"/>
        <v>10181220152</v>
      </c>
      <c r="D7220" t="str">
        <f t="shared" si="586"/>
        <v>10181220152</v>
      </c>
      <c r="E7220" t="s">
        <v>52</v>
      </c>
      <c r="F7220">
        <v>2014</v>
      </c>
      <c r="G7220">
        <v>74325704</v>
      </c>
      <c r="H7220" s="1">
        <v>41787</v>
      </c>
      <c r="I7220" s="1">
        <v>41808</v>
      </c>
      <c r="J7220" s="1">
        <v>41808</v>
      </c>
      <c r="K7220" s="1">
        <v>41898</v>
      </c>
      <c r="N7220" s="5"/>
      <c r="O7220">
        <v>122</v>
      </c>
      <c r="P7220">
        <v>232</v>
      </c>
      <c r="Q7220" s="2">
        <v>28304</v>
      </c>
      <c r="R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 s="1">
        <v>42382</v>
      </c>
      <c r="AC7220" t="s">
        <v>53</v>
      </c>
      <c r="AD7220" t="s">
        <v>53</v>
      </c>
      <c r="AK7220">
        <v>0</v>
      </c>
      <c r="AU7220" s="6">
        <v>42130</v>
      </c>
      <c r="AV7220" s="6">
        <v>42130</v>
      </c>
      <c r="AW7220" t="s">
        <v>54</v>
      </c>
      <c r="AX7220" t="str">
        <f t="shared" si="584"/>
        <v>FOR</v>
      </c>
      <c r="AY7220" t="s">
        <v>55</v>
      </c>
    </row>
    <row r="7221" spans="1:51" hidden="1">
      <c r="A7221">
        <v>104095</v>
      </c>
      <c r="B7221" t="s">
        <v>1211</v>
      </c>
      <c r="C7221" t="str">
        <f t="shared" si="586"/>
        <v>10181220152</v>
      </c>
      <c r="D7221" t="str">
        <f t="shared" si="586"/>
        <v>10181220152</v>
      </c>
      <c r="E7221" t="s">
        <v>52</v>
      </c>
      <c r="F7221">
        <v>2014</v>
      </c>
      <c r="G7221">
        <v>74325930</v>
      </c>
      <c r="H7221" s="1">
        <v>41788</v>
      </c>
      <c r="I7221" s="1">
        <v>41808</v>
      </c>
      <c r="J7221" s="1">
        <v>41808</v>
      </c>
      <c r="K7221" s="1">
        <v>41898</v>
      </c>
      <c r="N7221" s="5"/>
      <c r="O7221">
        <v>61</v>
      </c>
      <c r="P7221">
        <v>232</v>
      </c>
      <c r="Q7221" s="2">
        <v>14152</v>
      </c>
      <c r="R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 s="1">
        <v>42382</v>
      </c>
      <c r="AC7221" t="s">
        <v>53</v>
      </c>
      <c r="AD7221" t="s">
        <v>53</v>
      </c>
      <c r="AK7221">
        <v>0</v>
      </c>
      <c r="AU7221" s="6">
        <v>42130</v>
      </c>
      <c r="AV7221" s="6">
        <v>42130</v>
      </c>
      <c r="AW7221" t="s">
        <v>54</v>
      </c>
      <c r="AX7221" t="str">
        <f t="shared" si="584"/>
        <v>FOR</v>
      </c>
      <c r="AY7221" t="s">
        <v>55</v>
      </c>
    </row>
    <row r="7222" spans="1:51" hidden="1">
      <c r="A7222">
        <v>104095</v>
      </c>
      <c r="B7222" t="s">
        <v>1211</v>
      </c>
      <c r="C7222" t="str">
        <f t="shared" si="586"/>
        <v>10181220152</v>
      </c>
      <c r="D7222" t="str">
        <f t="shared" si="586"/>
        <v>10181220152</v>
      </c>
      <c r="E7222" t="s">
        <v>52</v>
      </c>
      <c r="F7222">
        <v>2014</v>
      </c>
      <c r="G7222">
        <v>74326215</v>
      </c>
      <c r="H7222" s="1">
        <v>41789</v>
      </c>
      <c r="I7222" s="1">
        <v>41808</v>
      </c>
      <c r="J7222" s="1">
        <v>41808</v>
      </c>
      <c r="K7222" s="1">
        <v>41898</v>
      </c>
      <c r="N7222" s="5"/>
      <c r="O7222">
        <v>61</v>
      </c>
      <c r="P7222">
        <v>232</v>
      </c>
      <c r="Q7222" s="2">
        <v>14152</v>
      </c>
      <c r="R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 s="1">
        <v>42382</v>
      </c>
      <c r="AC7222" t="s">
        <v>53</v>
      </c>
      <c r="AD7222" t="s">
        <v>53</v>
      </c>
      <c r="AK7222">
        <v>0</v>
      </c>
      <c r="AU7222" s="6">
        <v>42130</v>
      </c>
      <c r="AV7222" s="6">
        <v>42130</v>
      </c>
      <c r="AW7222" t="s">
        <v>54</v>
      </c>
      <c r="AX7222" t="str">
        <f t="shared" si="584"/>
        <v>FOR</v>
      </c>
      <c r="AY7222" t="s">
        <v>55</v>
      </c>
    </row>
    <row r="7223" spans="1:51" hidden="1">
      <c r="A7223">
        <v>104095</v>
      </c>
      <c r="B7223" t="s">
        <v>1211</v>
      </c>
      <c r="C7223" t="str">
        <f t="shared" si="586"/>
        <v>10181220152</v>
      </c>
      <c r="D7223" t="str">
        <f t="shared" si="586"/>
        <v>10181220152</v>
      </c>
      <c r="E7223" t="s">
        <v>52</v>
      </c>
      <c r="F7223">
        <v>2014</v>
      </c>
      <c r="G7223">
        <v>74326946</v>
      </c>
      <c r="H7223" s="1">
        <v>41795</v>
      </c>
      <c r="I7223" s="1">
        <v>41810</v>
      </c>
      <c r="J7223" s="1">
        <v>41810</v>
      </c>
      <c r="K7223" s="1">
        <v>41900</v>
      </c>
      <c r="N7223" s="5"/>
      <c r="O7223" s="2">
        <v>2440</v>
      </c>
      <c r="P7223">
        <v>230</v>
      </c>
      <c r="Q7223" s="2">
        <v>561200</v>
      </c>
      <c r="R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 s="1">
        <v>42382</v>
      </c>
      <c r="AC7223" t="s">
        <v>53</v>
      </c>
      <c r="AD7223" t="s">
        <v>53</v>
      </c>
      <c r="AK7223">
        <v>0</v>
      </c>
      <c r="AU7223" s="6">
        <v>42130</v>
      </c>
      <c r="AV7223" s="6">
        <v>42130</v>
      </c>
      <c r="AW7223" t="s">
        <v>54</v>
      </c>
      <c r="AX7223" t="str">
        <f t="shared" si="584"/>
        <v>FOR</v>
      </c>
      <c r="AY7223" t="s">
        <v>55</v>
      </c>
    </row>
    <row r="7224" spans="1:51" hidden="1">
      <c r="A7224">
        <v>104095</v>
      </c>
      <c r="B7224" t="s">
        <v>1211</v>
      </c>
      <c r="C7224" t="str">
        <f t="shared" si="586"/>
        <v>10181220152</v>
      </c>
      <c r="D7224" t="str">
        <f t="shared" si="586"/>
        <v>10181220152</v>
      </c>
      <c r="E7224" t="s">
        <v>52</v>
      </c>
      <c r="F7224">
        <v>2014</v>
      </c>
      <c r="G7224">
        <v>74326947</v>
      </c>
      <c r="H7224" s="1">
        <v>41795</v>
      </c>
      <c r="I7224" s="1">
        <v>41810</v>
      </c>
      <c r="J7224" s="1">
        <v>41810</v>
      </c>
      <c r="K7224" s="1">
        <v>41900</v>
      </c>
      <c r="N7224" s="5"/>
      <c r="O7224" s="2">
        <v>10697.67</v>
      </c>
      <c r="P7224">
        <v>230</v>
      </c>
      <c r="Q7224" s="2">
        <v>2460464.1</v>
      </c>
      <c r="R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 s="1">
        <v>42382</v>
      </c>
      <c r="AC7224" t="s">
        <v>53</v>
      </c>
      <c r="AD7224" t="s">
        <v>53</v>
      </c>
      <c r="AK7224">
        <v>0</v>
      </c>
      <c r="AU7224" s="6">
        <v>42130</v>
      </c>
      <c r="AV7224" s="6">
        <v>42130</v>
      </c>
      <c r="AW7224" t="s">
        <v>54</v>
      </c>
      <c r="AX7224" t="str">
        <f t="shared" si="584"/>
        <v>FOR</v>
      </c>
      <c r="AY7224" t="s">
        <v>55</v>
      </c>
    </row>
    <row r="7225" spans="1:51" hidden="1">
      <c r="A7225">
        <v>104095</v>
      </c>
      <c r="B7225" t="s">
        <v>1211</v>
      </c>
      <c r="C7225" t="str">
        <f t="shared" si="586"/>
        <v>10181220152</v>
      </c>
      <c r="D7225" t="str">
        <f t="shared" si="586"/>
        <v>10181220152</v>
      </c>
      <c r="E7225" t="s">
        <v>52</v>
      </c>
      <c r="F7225">
        <v>2014</v>
      </c>
      <c r="G7225">
        <v>74330661</v>
      </c>
      <c r="H7225" s="1">
        <v>41813</v>
      </c>
      <c r="I7225" s="1">
        <v>41827</v>
      </c>
      <c r="J7225" s="1">
        <v>41827</v>
      </c>
      <c r="K7225" s="1">
        <v>41917</v>
      </c>
      <c r="N7225" s="5"/>
      <c r="O7225" s="2">
        <v>1098</v>
      </c>
      <c r="P7225">
        <v>333</v>
      </c>
      <c r="Q7225" s="2">
        <v>365634</v>
      </c>
      <c r="R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 s="1">
        <v>42382</v>
      </c>
      <c r="AC7225" t="s">
        <v>53</v>
      </c>
      <c r="AD7225" t="s">
        <v>53</v>
      </c>
      <c r="AK7225">
        <v>0</v>
      </c>
      <c r="AU7225" s="6">
        <v>42250</v>
      </c>
      <c r="AV7225" s="6">
        <v>42250</v>
      </c>
      <c r="AW7225" t="s">
        <v>54</v>
      </c>
      <c r="AX7225" t="str">
        <f t="shared" si="584"/>
        <v>FOR</v>
      </c>
      <c r="AY7225" t="s">
        <v>55</v>
      </c>
    </row>
    <row r="7226" spans="1:51">
      <c r="A7226">
        <v>104095</v>
      </c>
      <c r="B7226" t="s">
        <v>1211</v>
      </c>
      <c r="C7226" t="str">
        <f t="shared" si="586"/>
        <v>10181220152</v>
      </c>
      <c r="D7226" t="str">
        <f t="shared" si="586"/>
        <v>10181220152</v>
      </c>
      <c r="E7226" t="s">
        <v>52</v>
      </c>
      <c r="F7226">
        <v>2014</v>
      </c>
      <c r="G7226">
        <v>84301020</v>
      </c>
      <c r="H7226" s="1">
        <v>41915</v>
      </c>
      <c r="I7226" s="1">
        <v>41929</v>
      </c>
      <c r="J7226" s="1">
        <v>41929</v>
      </c>
      <c r="K7226" s="1">
        <v>41989</v>
      </c>
      <c r="L7226" s="7">
        <v>2440</v>
      </c>
      <c r="M7226" s="5">
        <v>289</v>
      </c>
      <c r="N7226" s="7">
        <v>705160</v>
      </c>
      <c r="O7226" s="2">
        <v>2440</v>
      </c>
      <c r="P7226">
        <v>289</v>
      </c>
      <c r="Q7226" s="2">
        <v>705160</v>
      </c>
      <c r="R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 s="1">
        <v>42382</v>
      </c>
      <c r="AC7226" t="s">
        <v>53</v>
      </c>
      <c r="AD7226" t="s">
        <v>53</v>
      </c>
      <c r="AK7226">
        <v>0</v>
      </c>
      <c r="AU7226" s="6">
        <v>42278</v>
      </c>
      <c r="AV7226" s="6">
        <v>42278</v>
      </c>
      <c r="AW7226" t="s">
        <v>54</v>
      </c>
      <c r="AX7226" t="str">
        <f t="shared" si="584"/>
        <v>FOR</v>
      </c>
      <c r="AY7226" t="s">
        <v>55</v>
      </c>
    </row>
    <row r="7227" spans="1:51">
      <c r="A7227">
        <v>104095</v>
      </c>
      <c r="B7227" t="s">
        <v>1211</v>
      </c>
      <c r="C7227" t="str">
        <f t="shared" si="586"/>
        <v>10181220152</v>
      </c>
      <c r="D7227" t="str">
        <f t="shared" si="586"/>
        <v>10181220152</v>
      </c>
      <c r="E7227" t="s">
        <v>52</v>
      </c>
      <c r="F7227">
        <v>2014</v>
      </c>
      <c r="G7227">
        <v>84301021</v>
      </c>
      <c r="H7227" s="1">
        <v>41915</v>
      </c>
      <c r="I7227" s="1">
        <v>41929</v>
      </c>
      <c r="J7227" s="1">
        <v>41929</v>
      </c>
      <c r="K7227" s="1">
        <v>41989</v>
      </c>
      <c r="L7227" s="7">
        <v>976</v>
      </c>
      <c r="M7227" s="5">
        <v>289</v>
      </c>
      <c r="N7227" s="7">
        <v>282064</v>
      </c>
      <c r="O7227">
        <v>976</v>
      </c>
      <c r="P7227">
        <v>289</v>
      </c>
      <c r="Q7227" s="2">
        <v>282064</v>
      </c>
      <c r="R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 s="1">
        <v>42382</v>
      </c>
      <c r="AC7227" t="s">
        <v>53</v>
      </c>
      <c r="AD7227" t="s">
        <v>53</v>
      </c>
      <c r="AK7227">
        <v>0</v>
      </c>
      <c r="AU7227" s="6">
        <v>42278</v>
      </c>
      <c r="AV7227" s="6">
        <v>42278</v>
      </c>
      <c r="AW7227" t="s">
        <v>54</v>
      </c>
      <c r="AX7227" t="str">
        <f t="shared" si="584"/>
        <v>FOR</v>
      </c>
      <c r="AY7227" t="s">
        <v>55</v>
      </c>
    </row>
    <row r="7228" spans="1:51">
      <c r="A7228">
        <v>104095</v>
      </c>
      <c r="B7228" t="s">
        <v>1211</v>
      </c>
      <c r="C7228" t="str">
        <f t="shared" si="586"/>
        <v>10181220152</v>
      </c>
      <c r="D7228" t="str">
        <f t="shared" si="586"/>
        <v>10181220152</v>
      </c>
      <c r="E7228" t="s">
        <v>52</v>
      </c>
      <c r="F7228">
        <v>2015</v>
      </c>
      <c r="G7228">
        <v>9575306754</v>
      </c>
      <c r="H7228" s="1">
        <v>42055</v>
      </c>
      <c r="I7228" s="1">
        <v>42073</v>
      </c>
      <c r="J7228" s="1">
        <v>42073</v>
      </c>
      <c r="K7228" s="1">
        <v>42133</v>
      </c>
      <c r="L7228" s="7">
        <v>2000</v>
      </c>
      <c r="M7228" s="5">
        <v>223</v>
      </c>
      <c r="N7228" s="7">
        <v>446000</v>
      </c>
      <c r="O7228" s="2">
        <v>2000</v>
      </c>
      <c r="P7228">
        <v>223</v>
      </c>
      <c r="Q7228" s="2">
        <v>446000</v>
      </c>
      <c r="R7228">
        <v>440</v>
      </c>
      <c r="V7228">
        <v>0</v>
      </c>
      <c r="W7228">
        <v>0</v>
      </c>
      <c r="X7228">
        <v>0</v>
      </c>
      <c r="Y7228" s="2">
        <v>2440</v>
      </c>
      <c r="Z7228" s="2">
        <v>2440</v>
      </c>
      <c r="AA7228" s="2">
        <v>2440</v>
      </c>
      <c r="AB7228" s="1">
        <v>42382</v>
      </c>
      <c r="AC7228" t="s">
        <v>53</v>
      </c>
      <c r="AD7228" t="s">
        <v>53</v>
      </c>
      <c r="AK7228">
        <v>440</v>
      </c>
      <c r="AU7228" s="6">
        <v>42356</v>
      </c>
      <c r="AV7228" s="6">
        <v>42356</v>
      </c>
      <c r="AW7228" t="s">
        <v>54</v>
      </c>
      <c r="AX7228" t="str">
        <f t="shared" si="584"/>
        <v>FOR</v>
      </c>
      <c r="AY7228" t="s">
        <v>55</v>
      </c>
    </row>
    <row r="7229" spans="1:51">
      <c r="A7229">
        <v>104095</v>
      </c>
      <c r="B7229" t="s">
        <v>1211</v>
      </c>
      <c r="C7229" t="str">
        <f t="shared" si="586"/>
        <v>10181220152</v>
      </c>
      <c r="D7229" t="str">
        <f t="shared" si="586"/>
        <v>10181220152</v>
      </c>
      <c r="E7229" t="s">
        <v>52</v>
      </c>
      <c r="F7229">
        <v>2015</v>
      </c>
      <c r="G7229">
        <v>9575306755</v>
      </c>
      <c r="H7229" s="1">
        <v>42055</v>
      </c>
      <c r="I7229" s="1">
        <v>42073</v>
      </c>
      <c r="J7229" s="1">
        <v>42073</v>
      </c>
      <c r="K7229" s="1">
        <v>42133</v>
      </c>
      <c r="L7229" s="7">
        <v>850</v>
      </c>
      <c r="M7229" s="5">
        <v>223</v>
      </c>
      <c r="N7229" s="7">
        <v>189550</v>
      </c>
      <c r="O7229">
        <v>850</v>
      </c>
      <c r="P7229">
        <v>223</v>
      </c>
      <c r="Q7229" s="2">
        <v>189550</v>
      </c>
      <c r="R7229">
        <v>187</v>
      </c>
      <c r="V7229">
        <v>0</v>
      </c>
      <c r="W7229">
        <v>0</v>
      </c>
      <c r="X7229">
        <v>0</v>
      </c>
      <c r="Y7229" s="2">
        <v>1037</v>
      </c>
      <c r="Z7229" s="2">
        <v>1037</v>
      </c>
      <c r="AA7229" s="2">
        <v>1037</v>
      </c>
      <c r="AB7229" s="1">
        <v>42382</v>
      </c>
      <c r="AC7229" t="s">
        <v>53</v>
      </c>
      <c r="AD7229" t="s">
        <v>53</v>
      </c>
      <c r="AK7229">
        <v>187</v>
      </c>
      <c r="AU7229" s="6">
        <v>42356</v>
      </c>
      <c r="AV7229" s="6">
        <v>42356</v>
      </c>
      <c r="AW7229" t="s">
        <v>54</v>
      </c>
      <c r="AX7229" t="str">
        <f t="shared" si="584"/>
        <v>FOR</v>
      </c>
      <c r="AY7229" t="s">
        <v>55</v>
      </c>
    </row>
    <row r="7230" spans="1:51">
      <c r="A7230">
        <v>104095</v>
      </c>
      <c r="B7230" t="s">
        <v>1211</v>
      </c>
      <c r="C7230" t="str">
        <f t="shared" si="586"/>
        <v>10181220152</v>
      </c>
      <c r="D7230" t="str">
        <f t="shared" si="586"/>
        <v>10181220152</v>
      </c>
      <c r="E7230" t="s">
        <v>52</v>
      </c>
      <c r="F7230">
        <v>2015</v>
      </c>
      <c r="G7230">
        <v>9575306937</v>
      </c>
      <c r="H7230" s="1">
        <v>42058</v>
      </c>
      <c r="I7230" s="1">
        <v>42073</v>
      </c>
      <c r="J7230" s="1">
        <v>42073</v>
      </c>
      <c r="K7230" s="1">
        <v>42133</v>
      </c>
      <c r="L7230" s="7">
        <v>50</v>
      </c>
      <c r="M7230" s="5">
        <v>223</v>
      </c>
      <c r="N7230" s="7">
        <v>11150</v>
      </c>
      <c r="O7230">
        <v>50</v>
      </c>
      <c r="P7230">
        <v>223</v>
      </c>
      <c r="Q7230" s="2">
        <v>11150</v>
      </c>
      <c r="R7230">
        <v>11</v>
      </c>
      <c r="V7230">
        <v>0</v>
      </c>
      <c r="W7230">
        <v>0</v>
      </c>
      <c r="X7230">
        <v>0</v>
      </c>
      <c r="Y7230">
        <v>61</v>
      </c>
      <c r="Z7230">
        <v>61</v>
      </c>
      <c r="AA7230">
        <v>61</v>
      </c>
      <c r="AB7230" s="1">
        <v>42382</v>
      </c>
      <c r="AC7230" t="s">
        <v>53</v>
      </c>
      <c r="AD7230" t="s">
        <v>53</v>
      </c>
      <c r="AK7230">
        <v>11</v>
      </c>
      <c r="AU7230" s="6">
        <v>42356</v>
      </c>
      <c r="AV7230" s="6">
        <v>42356</v>
      </c>
      <c r="AW7230" t="s">
        <v>54</v>
      </c>
      <c r="AX7230" t="str">
        <f t="shared" si="584"/>
        <v>FOR</v>
      </c>
      <c r="AY7230" t="s">
        <v>55</v>
      </c>
    </row>
    <row r="7231" spans="1:51">
      <c r="A7231">
        <v>104095</v>
      </c>
      <c r="B7231" t="s">
        <v>1211</v>
      </c>
      <c r="C7231" t="str">
        <f t="shared" si="586"/>
        <v>10181220152</v>
      </c>
      <c r="D7231" t="str">
        <f t="shared" si="586"/>
        <v>10181220152</v>
      </c>
      <c r="E7231" t="s">
        <v>52</v>
      </c>
      <c r="F7231">
        <v>2015</v>
      </c>
      <c r="G7231">
        <v>9575307601</v>
      </c>
      <c r="H7231" s="1">
        <v>42060</v>
      </c>
      <c r="I7231" s="1">
        <v>42073</v>
      </c>
      <c r="J7231" s="1">
        <v>42073</v>
      </c>
      <c r="K7231" s="1">
        <v>42133</v>
      </c>
      <c r="L7231" s="7">
        <v>50</v>
      </c>
      <c r="M7231" s="5">
        <v>223</v>
      </c>
      <c r="N7231" s="7">
        <v>11150</v>
      </c>
      <c r="O7231">
        <v>50</v>
      </c>
      <c r="P7231">
        <v>223</v>
      </c>
      <c r="Q7231" s="2">
        <v>11150</v>
      </c>
      <c r="R7231">
        <v>11</v>
      </c>
      <c r="V7231">
        <v>0</v>
      </c>
      <c r="W7231">
        <v>0</v>
      </c>
      <c r="X7231">
        <v>0</v>
      </c>
      <c r="Y7231">
        <v>61</v>
      </c>
      <c r="Z7231">
        <v>61</v>
      </c>
      <c r="AA7231">
        <v>61</v>
      </c>
      <c r="AB7231" s="1">
        <v>42382</v>
      </c>
      <c r="AC7231" t="s">
        <v>53</v>
      </c>
      <c r="AD7231" t="s">
        <v>53</v>
      </c>
      <c r="AK7231">
        <v>11</v>
      </c>
      <c r="AU7231" s="6">
        <v>42356</v>
      </c>
      <c r="AV7231" s="6">
        <v>42356</v>
      </c>
      <c r="AW7231" t="s">
        <v>54</v>
      </c>
      <c r="AX7231" t="str">
        <f t="shared" si="584"/>
        <v>FOR</v>
      </c>
      <c r="AY7231" t="s">
        <v>55</v>
      </c>
    </row>
    <row r="7232" spans="1:51">
      <c r="A7232">
        <v>104095</v>
      </c>
      <c r="B7232" t="s">
        <v>1211</v>
      </c>
      <c r="C7232" t="str">
        <f t="shared" si="586"/>
        <v>10181220152</v>
      </c>
      <c r="D7232" t="str">
        <f t="shared" si="586"/>
        <v>10181220152</v>
      </c>
      <c r="E7232" t="s">
        <v>52</v>
      </c>
      <c r="F7232">
        <v>2015</v>
      </c>
      <c r="G7232">
        <v>9575308671</v>
      </c>
      <c r="H7232" s="1">
        <v>42062</v>
      </c>
      <c r="I7232" s="1">
        <v>42074</v>
      </c>
      <c r="J7232" s="1">
        <v>42074</v>
      </c>
      <c r="K7232" s="1">
        <v>42134</v>
      </c>
      <c r="L7232" s="7">
        <v>9000</v>
      </c>
      <c r="M7232" s="5">
        <v>222</v>
      </c>
      <c r="N7232" s="7">
        <v>1998000</v>
      </c>
      <c r="O7232" s="2">
        <v>9000</v>
      </c>
      <c r="P7232">
        <v>222</v>
      </c>
      <c r="Q7232" s="2">
        <v>1998000</v>
      </c>
      <c r="R7232" s="2">
        <v>1980</v>
      </c>
      <c r="V7232">
        <v>0</v>
      </c>
      <c r="W7232">
        <v>0</v>
      </c>
      <c r="X7232">
        <v>0</v>
      </c>
      <c r="Y7232" s="2">
        <v>10980</v>
      </c>
      <c r="Z7232" s="2">
        <v>10980</v>
      </c>
      <c r="AA7232" s="2">
        <v>10980</v>
      </c>
      <c r="AB7232" s="1">
        <v>42382</v>
      </c>
      <c r="AC7232" t="s">
        <v>53</v>
      </c>
      <c r="AD7232" t="s">
        <v>53</v>
      </c>
      <c r="AK7232" s="2">
        <v>1980</v>
      </c>
      <c r="AU7232" s="6">
        <v>42356</v>
      </c>
      <c r="AV7232" s="6">
        <v>42356</v>
      </c>
      <c r="AW7232" t="s">
        <v>54</v>
      </c>
      <c r="AX7232" t="str">
        <f t="shared" si="584"/>
        <v>FOR</v>
      </c>
      <c r="AY7232" t="s">
        <v>55</v>
      </c>
    </row>
    <row r="7233" spans="1:51">
      <c r="A7233">
        <v>104095</v>
      </c>
      <c r="B7233" t="s">
        <v>1211</v>
      </c>
      <c r="C7233" t="str">
        <f t="shared" si="586"/>
        <v>10181220152</v>
      </c>
      <c r="D7233" t="str">
        <f t="shared" si="586"/>
        <v>10181220152</v>
      </c>
      <c r="E7233" t="s">
        <v>52</v>
      </c>
      <c r="F7233">
        <v>2015</v>
      </c>
      <c r="G7233">
        <v>9585301142</v>
      </c>
      <c r="H7233" s="1">
        <v>42025</v>
      </c>
      <c r="I7233" s="1">
        <v>42053</v>
      </c>
      <c r="J7233" s="1">
        <v>42053</v>
      </c>
      <c r="K7233" s="1">
        <v>42113</v>
      </c>
      <c r="L7233" s="7">
        <v>22323.61</v>
      </c>
      <c r="M7233" s="5">
        <v>243</v>
      </c>
      <c r="N7233" s="7">
        <v>5424637.2300000004</v>
      </c>
      <c r="O7233" s="2">
        <v>22323.61</v>
      </c>
      <c r="P7233">
        <v>243</v>
      </c>
      <c r="Q7233" s="2">
        <v>5424637.2300000004</v>
      </c>
      <c r="R7233" s="2">
        <v>4911.1899999999996</v>
      </c>
      <c r="V7233">
        <v>0</v>
      </c>
      <c r="W7233">
        <v>0</v>
      </c>
      <c r="X7233">
        <v>0</v>
      </c>
      <c r="Y7233" s="2">
        <v>27234.799999999999</v>
      </c>
      <c r="Z7233" s="2">
        <v>27234.799999999999</v>
      </c>
      <c r="AA7233" s="2">
        <v>27234.799999999999</v>
      </c>
      <c r="AB7233" s="1">
        <v>42382</v>
      </c>
      <c r="AC7233" t="s">
        <v>53</v>
      </c>
      <c r="AD7233" t="s">
        <v>53</v>
      </c>
      <c r="AK7233" s="2">
        <v>4911.1899999999996</v>
      </c>
      <c r="AU7233" s="6">
        <v>42356</v>
      </c>
      <c r="AV7233" s="6">
        <v>42356</v>
      </c>
      <c r="AW7233" t="s">
        <v>54</v>
      </c>
      <c r="AX7233" t="str">
        <f t="shared" si="584"/>
        <v>FOR</v>
      </c>
      <c r="AY7233" t="s">
        <v>55</v>
      </c>
    </row>
    <row r="7234" spans="1:51" hidden="1">
      <c r="A7234">
        <v>104096</v>
      </c>
      <c r="B7234" t="s">
        <v>1212</v>
      </c>
      <c r="C7234" t="str">
        <f>"01262580507"</f>
        <v>01262580507</v>
      </c>
      <c r="D7234" t="str">
        <f>"01262580507"</f>
        <v>01262580507</v>
      </c>
      <c r="E7234" t="s">
        <v>52</v>
      </c>
      <c r="F7234">
        <v>2014</v>
      </c>
      <c r="G7234" t="s">
        <v>1213</v>
      </c>
      <c r="H7234" s="1">
        <v>41922</v>
      </c>
      <c r="I7234" s="1">
        <v>41932</v>
      </c>
      <c r="J7234" s="1">
        <v>41932</v>
      </c>
      <c r="K7234" s="1">
        <v>41992</v>
      </c>
      <c r="N7234" s="5"/>
      <c r="O7234">
        <v>517.28</v>
      </c>
      <c r="P7234">
        <v>48</v>
      </c>
      <c r="Q7234" s="2">
        <v>24829.439999999999</v>
      </c>
      <c r="R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 s="1">
        <v>42382</v>
      </c>
      <c r="AC7234" t="s">
        <v>53</v>
      </c>
      <c r="AD7234" t="s">
        <v>53</v>
      </c>
      <c r="AK7234">
        <v>0</v>
      </c>
      <c r="AU7234" s="6">
        <v>42040</v>
      </c>
      <c r="AV7234" s="6">
        <v>42040</v>
      </c>
      <c r="AW7234" t="s">
        <v>54</v>
      </c>
      <c r="AX7234" t="str">
        <f t="shared" si="584"/>
        <v>FOR</v>
      </c>
      <c r="AY7234" t="s">
        <v>55</v>
      </c>
    </row>
    <row r="7235" spans="1:51" hidden="1">
      <c r="A7235">
        <v>104101</v>
      </c>
      <c r="B7235" t="s">
        <v>1214</v>
      </c>
      <c r="C7235" t="str">
        <f>"01141640621"</f>
        <v>01141640621</v>
      </c>
      <c r="D7235" t="str">
        <f>""</f>
        <v/>
      </c>
      <c r="E7235" t="s">
        <v>52</v>
      </c>
      <c r="F7235">
        <v>2004</v>
      </c>
      <c r="G7235">
        <v>72</v>
      </c>
      <c r="H7235" s="1">
        <v>38320</v>
      </c>
      <c r="I7235" s="1">
        <v>38334</v>
      </c>
      <c r="J7235" s="1">
        <v>38334</v>
      </c>
      <c r="K7235" s="1">
        <v>38424</v>
      </c>
      <c r="N7235" s="5"/>
      <c r="O7235" s="2">
        <v>9840</v>
      </c>
      <c r="P7235">
        <v>3712</v>
      </c>
      <c r="Q7235" s="2">
        <v>36526080</v>
      </c>
      <c r="R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 s="1">
        <v>42382</v>
      </c>
      <c r="AC7235" t="s">
        <v>53</v>
      </c>
      <c r="AD7235" t="s">
        <v>53</v>
      </c>
      <c r="AK7235">
        <v>0</v>
      </c>
      <c r="AU7235" s="6">
        <v>42136</v>
      </c>
      <c r="AV7235" s="6">
        <v>42136</v>
      </c>
      <c r="AW7235" t="s">
        <v>54</v>
      </c>
      <c r="AX7235" t="str">
        <f t="shared" ref="AX7235:AX7298" si="587">"FOR"</f>
        <v>FOR</v>
      </c>
      <c r="AY7235" t="s">
        <v>55</v>
      </c>
    </row>
    <row r="7236" spans="1:51" hidden="1">
      <c r="A7236">
        <v>104101</v>
      </c>
      <c r="B7236" t="s">
        <v>1214</v>
      </c>
      <c r="C7236" t="str">
        <f>"01141640621"</f>
        <v>01141640621</v>
      </c>
      <c r="D7236" t="str">
        <f>""</f>
        <v/>
      </c>
      <c r="E7236" t="s">
        <v>52</v>
      </c>
      <c r="F7236">
        <v>2004</v>
      </c>
      <c r="G7236">
        <v>73</v>
      </c>
      <c r="H7236" s="1">
        <v>38320</v>
      </c>
      <c r="I7236" s="1">
        <v>38334</v>
      </c>
      <c r="J7236" s="1">
        <v>38334</v>
      </c>
      <c r="K7236" s="1">
        <v>38424</v>
      </c>
      <c r="N7236" s="5"/>
      <c r="O7236" s="2">
        <v>10728</v>
      </c>
      <c r="P7236">
        <v>3712</v>
      </c>
      <c r="Q7236" s="2">
        <v>39822336</v>
      </c>
      <c r="R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 s="1">
        <v>42382</v>
      </c>
      <c r="AC7236" t="s">
        <v>53</v>
      </c>
      <c r="AD7236" t="s">
        <v>53</v>
      </c>
      <c r="AK7236">
        <v>0</v>
      </c>
      <c r="AU7236" s="6">
        <v>42136</v>
      </c>
      <c r="AV7236" s="6">
        <v>42136</v>
      </c>
      <c r="AW7236" t="s">
        <v>54</v>
      </c>
      <c r="AX7236" t="str">
        <f t="shared" si="587"/>
        <v>FOR</v>
      </c>
      <c r="AY7236" t="s">
        <v>55</v>
      </c>
    </row>
    <row r="7237" spans="1:51" hidden="1">
      <c r="A7237">
        <v>104101</v>
      </c>
      <c r="B7237" t="s">
        <v>1214</v>
      </c>
      <c r="C7237" t="str">
        <f>"01141640621"</f>
        <v>01141640621</v>
      </c>
      <c r="D7237" t="str">
        <f>""</f>
        <v/>
      </c>
      <c r="E7237" t="s">
        <v>52</v>
      </c>
      <c r="F7237">
        <v>2004</v>
      </c>
      <c r="G7237">
        <v>74</v>
      </c>
      <c r="H7237" s="1">
        <v>38320</v>
      </c>
      <c r="I7237" s="1">
        <v>38334</v>
      </c>
      <c r="J7237" s="1">
        <v>38334</v>
      </c>
      <c r="K7237" s="1">
        <v>38424</v>
      </c>
      <c r="N7237" s="5"/>
      <c r="O7237" s="2">
        <v>10044</v>
      </c>
      <c r="P7237">
        <v>3712</v>
      </c>
      <c r="Q7237" s="2">
        <v>37283328</v>
      </c>
      <c r="R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 s="1">
        <v>42382</v>
      </c>
      <c r="AC7237" t="s">
        <v>53</v>
      </c>
      <c r="AD7237" t="s">
        <v>53</v>
      </c>
      <c r="AK7237">
        <v>0</v>
      </c>
      <c r="AU7237" s="6">
        <v>42136</v>
      </c>
      <c r="AV7237" s="6">
        <v>42136</v>
      </c>
      <c r="AW7237" t="s">
        <v>54</v>
      </c>
      <c r="AX7237" t="str">
        <f t="shared" si="587"/>
        <v>FOR</v>
      </c>
      <c r="AY7237" t="s">
        <v>55</v>
      </c>
    </row>
    <row r="7238" spans="1:51" hidden="1">
      <c r="A7238">
        <v>104101</v>
      </c>
      <c r="B7238" t="s">
        <v>1214</v>
      </c>
      <c r="C7238" t="str">
        <f>"01141640621"</f>
        <v>01141640621</v>
      </c>
      <c r="D7238" t="str">
        <f>""</f>
        <v/>
      </c>
      <c r="E7238" t="s">
        <v>52</v>
      </c>
      <c r="F7238">
        <v>2004</v>
      </c>
      <c r="G7238">
        <v>75</v>
      </c>
      <c r="H7238" s="1">
        <v>38320</v>
      </c>
      <c r="I7238" s="1">
        <v>38334</v>
      </c>
      <c r="J7238" s="1">
        <v>38334</v>
      </c>
      <c r="K7238" s="1">
        <v>38424</v>
      </c>
      <c r="N7238" s="5"/>
      <c r="O7238" s="2">
        <v>11544</v>
      </c>
      <c r="P7238">
        <v>3712</v>
      </c>
      <c r="Q7238" s="2">
        <v>42851328</v>
      </c>
      <c r="R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 s="1">
        <v>42382</v>
      </c>
      <c r="AC7238" t="s">
        <v>53</v>
      </c>
      <c r="AD7238" t="s">
        <v>53</v>
      </c>
      <c r="AK7238">
        <v>0</v>
      </c>
      <c r="AU7238" s="6">
        <v>42136</v>
      </c>
      <c r="AV7238" s="6">
        <v>42136</v>
      </c>
      <c r="AW7238" t="s">
        <v>54</v>
      </c>
      <c r="AX7238" t="str">
        <f t="shared" si="587"/>
        <v>FOR</v>
      </c>
      <c r="AY7238" t="s">
        <v>55</v>
      </c>
    </row>
    <row r="7239" spans="1:51" hidden="1">
      <c r="A7239">
        <v>104101</v>
      </c>
      <c r="B7239" t="s">
        <v>1214</v>
      </c>
      <c r="C7239" t="str">
        <f>"01141640621"</f>
        <v>01141640621</v>
      </c>
      <c r="D7239" t="str">
        <f>""</f>
        <v/>
      </c>
      <c r="E7239" t="s">
        <v>52</v>
      </c>
      <c r="F7239">
        <v>2004</v>
      </c>
      <c r="G7239">
        <v>76</v>
      </c>
      <c r="H7239" s="1">
        <v>38320</v>
      </c>
      <c r="I7239" s="1">
        <v>38334</v>
      </c>
      <c r="J7239" s="1">
        <v>38334</v>
      </c>
      <c r="K7239" s="1">
        <v>38424</v>
      </c>
      <c r="N7239" s="5"/>
      <c r="O7239" s="2">
        <v>10608</v>
      </c>
      <c r="P7239">
        <v>3712</v>
      </c>
      <c r="Q7239" s="2">
        <v>39376896</v>
      </c>
      <c r="R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 s="1">
        <v>42382</v>
      </c>
      <c r="AC7239" t="s">
        <v>53</v>
      </c>
      <c r="AD7239" t="s">
        <v>53</v>
      </c>
      <c r="AK7239">
        <v>0</v>
      </c>
      <c r="AU7239" s="6">
        <v>42136</v>
      </c>
      <c r="AV7239" s="6">
        <v>42136</v>
      </c>
      <c r="AW7239" t="s">
        <v>54</v>
      </c>
      <c r="AX7239" t="str">
        <f t="shared" si="587"/>
        <v>FOR</v>
      </c>
      <c r="AY7239" t="s">
        <v>55</v>
      </c>
    </row>
    <row r="7240" spans="1:51" hidden="1">
      <c r="A7240">
        <v>104102</v>
      </c>
      <c r="B7240" t="s">
        <v>1215</v>
      </c>
      <c r="C7240" t="str">
        <f>"01633850837"</f>
        <v>01633850837</v>
      </c>
      <c r="D7240" t="str">
        <f>"01633850837"</f>
        <v>01633850837</v>
      </c>
      <c r="E7240" t="s">
        <v>52</v>
      </c>
      <c r="F7240">
        <v>2014</v>
      </c>
      <c r="G7240">
        <v>1585</v>
      </c>
      <c r="H7240" s="1">
        <v>41759</v>
      </c>
      <c r="I7240" s="1">
        <v>41773</v>
      </c>
      <c r="J7240" s="1">
        <v>41773</v>
      </c>
      <c r="K7240" s="1">
        <v>41863</v>
      </c>
      <c r="N7240" s="5"/>
      <c r="O7240">
        <v>585.6</v>
      </c>
      <c r="P7240">
        <v>296</v>
      </c>
      <c r="Q7240" s="2">
        <v>173337.60000000001</v>
      </c>
      <c r="R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 s="1">
        <v>42382</v>
      </c>
      <c r="AC7240" t="s">
        <v>53</v>
      </c>
      <c r="AD7240" t="s">
        <v>53</v>
      </c>
      <c r="AK7240">
        <v>0</v>
      </c>
      <c r="AU7240" s="6">
        <v>42159</v>
      </c>
      <c r="AV7240" s="6">
        <v>42159</v>
      </c>
      <c r="AW7240" t="s">
        <v>54</v>
      </c>
      <c r="AX7240" t="str">
        <f t="shared" si="587"/>
        <v>FOR</v>
      </c>
      <c r="AY7240" t="s">
        <v>55</v>
      </c>
    </row>
    <row r="7241" spans="1:51" hidden="1">
      <c r="A7241">
        <v>104124</v>
      </c>
      <c r="B7241" t="s">
        <v>1216</v>
      </c>
      <c r="C7241" t="str">
        <f t="shared" ref="C7241:C7272" si="588">"03104731215"</f>
        <v>03104731215</v>
      </c>
      <c r="D7241" t="str">
        <f t="shared" ref="D7241:D7272" si="589">"CPTMSM61E01L245Y"</f>
        <v>CPTMSM61E01L245Y</v>
      </c>
      <c r="E7241" t="s">
        <v>52</v>
      </c>
      <c r="F7241">
        <v>2014</v>
      </c>
      <c r="G7241">
        <v>17</v>
      </c>
      <c r="H7241" s="1">
        <v>41703</v>
      </c>
      <c r="I7241" s="1">
        <v>41704</v>
      </c>
      <c r="J7241" s="1">
        <v>41704</v>
      </c>
      <c r="K7241" s="1">
        <v>41794</v>
      </c>
      <c r="N7241" s="5"/>
      <c r="O7241">
        <v>457.5</v>
      </c>
      <c r="P7241">
        <v>224</v>
      </c>
      <c r="Q7241" s="2">
        <v>102480</v>
      </c>
      <c r="R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 s="1">
        <v>42382</v>
      </c>
      <c r="AC7241" t="s">
        <v>53</v>
      </c>
      <c r="AD7241" t="s">
        <v>53</v>
      </c>
      <c r="AK7241">
        <v>0</v>
      </c>
      <c r="AU7241" s="6">
        <v>42018</v>
      </c>
      <c r="AV7241" s="6">
        <v>42018</v>
      </c>
      <c r="AW7241" t="s">
        <v>54</v>
      </c>
      <c r="AX7241" t="str">
        <f t="shared" si="587"/>
        <v>FOR</v>
      </c>
      <c r="AY7241" t="s">
        <v>55</v>
      </c>
    </row>
    <row r="7242" spans="1:51" hidden="1">
      <c r="A7242">
        <v>104124</v>
      </c>
      <c r="B7242" t="s">
        <v>1216</v>
      </c>
      <c r="C7242" t="str">
        <f t="shared" si="588"/>
        <v>03104731215</v>
      </c>
      <c r="D7242" t="str">
        <f t="shared" si="589"/>
        <v>CPTMSM61E01L245Y</v>
      </c>
      <c r="E7242" t="s">
        <v>52</v>
      </c>
      <c r="F7242">
        <v>2014</v>
      </c>
      <c r="G7242">
        <v>18</v>
      </c>
      <c r="H7242" s="1">
        <v>41730</v>
      </c>
      <c r="I7242" s="1">
        <v>41731</v>
      </c>
      <c r="J7242" s="1">
        <v>41731</v>
      </c>
      <c r="K7242" s="1">
        <v>41821</v>
      </c>
      <c r="N7242" s="5"/>
      <c r="O7242" s="2">
        <v>24413.66</v>
      </c>
      <c r="P7242">
        <v>197</v>
      </c>
      <c r="Q7242" s="2">
        <v>4809491.0199999996</v>
      </c>
      <c r="R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 s="1">
        <v>42382</v>
      </c>
      <c r="AC7242" t="s">
        <v>53</v>
      </c>
      <c r="AD7242" t="s">
        <v>53</v>
      </c>
      <c r="AK7242">
        <v>0</v>
      </c>
      <c r="AU7242" s="6">
        <v>42018</v>
      </c>
      <c r="AV7242" s="6">
        <v>42018</v>
      </c>
      <c r="AW7242" t="s">
        <v>54</v>
      </c>
      <c r="AX7242" t="str">
        <f t="shared" si="587"/>
        <v>FOR</v>
      </c>
      <c r="AY7242" t="s">
        <v>55</v>
      </c>
    </row>
    <row r="7243" spans="1:51" hidden="1">
      <c r="A7243">
        <v>104124</v>
      </c>
      <c r="B7243" t="s">
        <v>1216</v>
      </c>
      <c r="C7243" t="str">
        <f t="shared" si="588"/>
        <v>03104731215</v>
      </c>
      <c r="D7243" t="str">
        <f t="shared" si="589"/>
        <v>CPTMSM61E01L245Y</v>
      </c>
      <c r="E7243" t="s">
        <v>52</v>
      </c>
      <c r="F7243">
        <v>2014</v>
      </c>
      <c r="G7243">
        <v>19</v>
      </c>
      <c r="H7243" s="1">
        <v>41730</v>
      </c>
      <c r="I7243" s="1">
        <v>41731</v>
      </c>
      <c r="J7243" s="1">
        <v>41731</v>
      </c>
      <c r="K7243" s="1">
        <v>41821</v>
      </c>
      <c r="N7243" s="5"/>
      <c r="O7243" s="2">
        <v>6098.78</v>
      </c>
      <c r="P7243">
        <v>197</v>
      </c>
      <c r="Q7243" s="2">
        <v>1201459.6599999999</v>
      </c>
      <c r="R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 s="1">
        <v>42382</v>
      </c>
      <c r="AC7243" t="s">
        <v>53</v>
      </c>
      <c r="AD7243" t="s">
        <v>53</v>
      </c>
      <c r="AK7243">
        <v>0</v>
      </c>
      <c r="AU7243" s="6">
        <v>42018</v>
      </c>
      <c r="AV7243" s="6">
        <v>42018</v>
      </c>
      <c r="AW7243" t="s">
        <v>54</v>
      </c>
      <c r="AX7243" t="str">
        <f t="shared" si="587"/>
        <v>FOR</v>
      </c>
      <c r="AY7243" t="s">
        <v>55</v>
      </c>
    </row>
    <row r="7244" spans="1:51" hidden="1">
      <c r="A7244">
        <v>104124</v>
      </c>
      <c r="B7244" t="s">
        <v>1216</v>
      </c>
      <c r="C7244" t="str">
        <f t="shared" si="588"/>
        <v>03104731215</v>
      </c>
      <c r="D7244" t="str">
        <f t="shared" si="589"/>
        <v>CPTMSM61E01L245Y</v>
      </c>
      <c r="E7244" t="s">
        <v>52</v>
      </c>
      <c r="F7244">
        <v>2014</v>
      </c>
      <c r="G7244">
        <v>20</v>
      </c>
      <c r="H7244" s="1">
        <v>41730</v>
      </c>
      <c r="I7244" s="1">
        <v>41731</v>
      </c>
      <c r="J7244" s="1">
        <v>41731</v>
      </c>
      <c r="K7244" s="1">
        <v>41821</v>
      </c>
      <c r="N7244" s="5"/>
      <c r="O7244" s="2">
        <v>5673</v>
      </c>
      <c r="P7244">
        <v>197</v>
      </c>
      <c r="Q7244" s="2">
        <v>1117581</v>
      </c>
      <c r="R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 s="1">
        <v>42382</v>
      </c>
      <c r="AC7244" t="s">
        <v>53</v>
      </c>
      <c r="AD7244" t="s">
        <v>53</v>
      </c>
      <c r="AK7244">
        <v>0</v>
      </c>
      <c r="AU7244" s="6">
        <v>42018</v>
      </c>
      <c r="AV7244" s="6">
        <v>42018</v>
      </c>
      <c r="AW7244" t="s">
        <v>54</v>
      </c>
      <c r="AX7244" t="str">
        <f t="shared" si="587"/>
        <v>FOR</v>
      </c>
      <c r="AY7244" t="s">
        <v>55</v>
      </c>
    </row>
    <row r="7245" spans="1:51" hidden="1">
      <c r="A7245">
        <v>104124</v>
      </c>
      <c r="B7245" t="s">
        <v>1216</v>
      </c>
      <c r="C7245" t="str">
        <f t="shared" si="588"/>
        <v>03104731215</v>
      </c>
      <c r="D7245" t="str">
        <f t="shared" si="589"/>
        <v>CPTMSM61E01L245Y</v>
      </c>
      <c r="E7245" t="s">
        <v>52</v>
      </c>
      <c r="F7245">
        <v>2014</v>
      </c>
      <c r="G7245">
        <v>21</v>
      </c>
      <c r="H7245" s="1">
        <v>41730</v>
      </c>
      <c r="I7245" s="1">
        <v>41731</v>
      </c>
      <c r="J7245" s="1">
        <v>41731</v>
      </c>
      <c r="K7245" s="1">
        <v>41821</v>
      </c>
      <c r="N7245" s="5"/>
      <c r="O7245">
        <v>427.67</v>
      </c>
      <c r="P7245">
        <v>197</v>
      </c>
      <c r="Q7245" s="2">
        <v>84250.99</v>
      </c>
      <c r="R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 s="1">
        <v>42382</v>
      </c>
      <c r="AC7245" t="s">
        <v>53</v>
      </c>
      <c r="AD7245" t="s">
        <v>53</v>
      </c>
      <c r="AK7245">
        <v>0</v>
      </c>
      <c r="AU7245" s="6">
        <v>42018</v>
      </c>
      <c r="AV7245" s="6">
        <v>42018</v>
      </c>
      <c r="AW7245" t="s">
        <v>54</v>
      </c>
      <c r="AX7245" t="str">
        <f t="shared" si="587"/>
        <v>FOR</v>
      </c>
      <c r="AY7245" t="s">
        <v>55</v>
      </c>
    </row>
    <row r="7246" spans="1:51" hidden="1">
      <c r="A7246">
        <v>104124</v>
      </c>
      <c r="B7246" t="s">
        <v>1216</v>
      </c>
      <c r="C7246" t="str">
        <f t="shared" si="588"/>
        <v>03104731215</v>
      </c>
      <c r="D7246" t="str">
        <f t="shared" si="589"/>
        <v>CPTMSM61E01L245Y</v>
      </c>
      <c r="E7246" t="s">
        <v>52</v>
      </c>
      <c r="F7246">
        <v>2014</v>
      </c>
      <c r="G7246">
        <v>22</v>
      </c>
      <c r="H7246" s="1">
        <v>41730</v>
      </c>
      <c r="I7246" s="1">
        <v>41731</v>
      </c>
      <c r="J7246" s="1">
        <v>41731</v>
      </c>
      <c r="K7246" s="1">
        <v>41821</v>
      </c>
      <c r="N7246" s="5"/>
      <c r="O7246" s="2">
        <v>5416.43</v>
      </c>
      <c r="P7246">
        <v>197</v>
      </c>
      <c r="Q7246" s="2">
        <v>1067036.71</v>
      </c>
      <c r="R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 s="1">
        <v>42382</v>
      </c>
      <c r="AC7246" t="s">
        <v>53</v>
      </c>
      <c r="AD7246" t="s">
        <v>53</v>
      </c>
      <c r="AK7246">
        <v>0</v>
      </c>
      <c r="AU7246" s="6">
        <v>42018</v>
      </c>
      <c r="AV7246" s="6">
        <v>42018</v>
      </c>
      <c r="AW7246" t="s">
        <v>54</v>
      </c>
      <c r="AX7246" t="str">
        <f t="shared" si="587"/>
        <v>FOR</v>
      </c>
      <c r="AY7246" t="s">
        <v>55</v>
      </c>
    </row>
    <row r="7247" spans="1:51" hidden="1">
      <c r="A7247">
        <v>104124</v>
      </c>
      <c r="B7247" t="s">
        <v>1216</v>
      </c>
      <c r="C7247" t="str">
        <f t="shared" si="588"/>
        <v>03104731215</v>
      </c>
      <c r="D7247" t="str">
        <f t="shared" si="589"/>
        <v>CPTMSM61E01L245Y</v>
      </c>
      <c r="E7247" t="s">
        <v>52</v>
      </c>
      <c r="F7247">
        <v>2014</v>
      </c>
      <c r="G7247">
        <v>23</v>
      </c>
      <c r="H7247" s="1">
        <v>41730</v>
      </c>
      <c r="I7247" s="1">
        <v>41731</v>
      </c>
      <c r="J7247" s="1">
        <v>41731</v>
      </c>
      <c r="K7247" s="1">
        <v>41821</v>
      </c>
      <c r="N7247" s="5"/>
      <c r="O7247">
        <v>689.54</v>
      </c>
      <c r="P7247">
        <v>197</v>
      </c>
      <c r="Q7247" s="2">
        <v>135839.38</v>
      </c>
      <c r="R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 s="1">
        <v>42382</v>
      </c>
      <c r="AC7247" t="s">
        <v>53</v>
      </c>
      <c r="AD7247" t="s">
        <v>53</v>
      </c>
      <c r="AK7247">
        <v>0</v>
      </c>
      <c r="AU7247" s="6">
        <v>42018</v>
      </c>
      <c r="AV7247" s="6">
        <v>42018</v>
      </c>
      <c r="AW7247" t="s">
        <v>54</v>
      </c>
      <c r="AX7247" t="str">
        <f t="shared" si="587"/>
        <v>FOR</v>
      </c>
      <c r="AY7247" t="s">
        <v>55</v>
      </c>
    </row>
    <row r="7248" spans="1:51" hidden="1">
      <c r="A7248">
        <v>104124</v>
      </c>
      <c r="B7248" t="s">
        <v>1216</v>
      </c>
      <c r="C7248" t="str">
        <f t="shared" si="588"/>
        <v>03104731215</v>
      </c>
      <c r="D7248" t="str">
        <f t="shared" si="589"/>
        <v>CPTMSM61E01L245Y</v>
      </c>
      <c r="E7248" t="s">
        <v>52</v>
      </c>
      <c r="F7248">
        <v>2014</v>
      </c>
      <c r="G7248">
        <v>24</v>
      </c>
      <c r="H7248" s="1">
        <v>41737</v>
      </c>
      <c r="I7248" s="1">
        <v>41739</v>
      </c>
      <c r="J7248" s="1">
        <v>41739</v>
      </c>
      <c r="K7248" s="1">
        <v>41829</v>
      </c>
      <c r="N7248" s="5"/>
      <c r="O7248" s="2">
        <v>4270</v>
      </c>
      <c r="P7248">
        <v>189</v>
      </c>
      <c r="Q7248" s="2">
        <v>807030</v>
      </c>
      <c r="R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 s="1">
        <v>42382</v>
      </c>
      <c r="AC7248" t="s">
        <v>53</v>
      </c>
      <c r="AD7248" t="s">
        <v>53</v>
      </c>
      <c r="AK7248">
        <v>0</v>
      </c>
      <c r="AU7248" s="6">
        <v>42018</v>
      </c>
      <c r="AV7248" s="6">
        <v>42018</v>
      </c>
      <c r="AW7248" t="s">
        <v>54</v>
      </c>
      <c r="AX7248" t="str">
        <f t="shared" si="587"/>
        <v>FOR</v>
      </c>
      <c r="AY7248" t="s">
        <v>55</v>
      </c>
    </row>
    <row r="7249" spans="1:51" hidden="1">
      <c r="A7249">
        <v>104124</v>
      </c>
      <c r="B7249" t="s">
        <v>1216</v>
      </c>
      <c r="C7249" t="str">
        <f t="shared" si="588"/>
        <v>03104731215</v>
      </c>
      <c r="D7249" t="str">
        <f t="shared" si="589"/>
        <v>CPTMSM61E01L245Y</v>
      </c>
      <c r="E7249" t="s">
        <v>52</v>
      </c>
      <c r="F7249">
        <v>2014</v>
      </c>
      <c r="G7249">
        <v>25</v>
      </c>
      <c r="H7249" s="1">
        <v>41737</v>
      </c>
      <c r="I7249" s="1">
        <v>41744</v>
      </c>
      <c r="J7249" s="1">
        <v>41744</v>
      </c>
      <c r="K7249" s="1">
        <v>41834</v>
      </c>
      <c r="N7249" s="5"/>
      <c r="O7249">
        <v>456.28</v>
      </c>
      <c r="P7249">
        <v>228</v>
      </c>
      <c r="Q7249" s="2">
        <v>104031.84</v>
      </c>
      <c r="R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 s="1">
        <v>42382</v>
      </c>
      <c r="AC7249" t="s">
        <v>53</v>
      </c>
      <c r="AD7249" t="s">
        <v>53</v>
      </c>
      <c r="AK7249">
        <v>0</v>
      </c>
      <c r="AU7249" s="6">
        <v>42062</v>
      </c>
      <c r="AV7249" s="6">
        <v>42062</v>
      </c>
      <c r="AW7249" t="s">
        <v>54</v>
      </c>
      <c r="AX7249" t="str">
        <f t="shared" si="587"/>
        <v>FOR</v>
      </c>
      <c r="AY7249" t="s">
        <v>55</v>
      </c>
    </row>
    <row r="7250" spans="1:51" hidden="1">
      <c r="A7250">
        <v>104124</v>
      </c>
      <c r="B7250" t="s">
        <v>1216</v>
      </c>
      <c r="C7250" t="str">
        <f t="shared" si="588"/>
        <v>03104731215</v>
      </c>
      <c r="D7250" t="str">
        <f t="shared" si="589"/>
        <v>CPTMSM61E01L245Y</v>
      </c>
      <c r="E7250" t="s">
        <v>52</v>
      </c>
      <c r="F7250">
        <v>2014</v>
      </c>
      <c r="G7250">
        <v>27</v>
      </c>
      <c r="H7250" s="1">
        <v>41745</v>
      </c>
      <c r="I7250" s="1">
        <v>41745</v>
      </c>
      <c r="J7250" s="1">
        <v>41745</v>
      </c>
      <c r="K7250" s="1">
        <v>41835</v>
      </c>
      <c r="N7250" s="5"/>
      <c r="O7250" s="2">
        <v>6084.9</v>
      </c>
      <c r="P7250">
        <v>183</v>
      </c>
      <c r="Q7250" s="2">
        <v>1113536.7</v>
      </c>
      <c r="R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 s="1">
        <v>42382</v>
      </c>
      <c r="AC7250" t="s">
        <v>53</v>
      </c>
      <c r="AD7250" t="s">
        <v>53</v>
      </c>
      <c r="AK7250">
        <v>0</v>
      </c>
      <c r="AU7250" s="6">
        <v>42018</v>
      </c>
      <c r="AV7250" s="6">
        <v>42018</v>
      </c>
      <c r="AW7250" t="s">
        <v>54</v>
      </c>
      <c r="AX7250" t="str">
        <f t="shared" si="587"/>
        <v>FOR</v>
      </c>
      <c r="AY7250" t="s">
        <v>55</v>
      </c>
    </row>
    <row r="7251" spans="1:51" hidden="1">
      <c r="A7251">
        <v>104124</v>
      </c>
      <c r="B7251" t="s">
        <v>1216</v>
      </c>
      <c r="C7251" t="str">
        <f t="shared" si="588"/>
        <v>03104731215</v>
      </c>
      <c r="D7251" t="str">
        <f t="shared" si="589"/>
        <v>CPTMSM61E01L245Y</v>
      </c>
      <c r="E7251" t="s">
        <v>52</v>
      </c>
      <c r="F7251">
        <v>2014</v>
      </c>
      <c r="G7251">
        <v>28</v>
      </c>
      <c r="H7251" s="1">
        <v>41753</v>
      </c>
      <c r="I7251" s="1">
        <v>41758</v>
      </c>
      <c r="J7251" s="1">
        <v>41758</v>
      </c>
      <c r="K7251" s="1">
        <v>41848</v>
      </c>
      <c r="N7251" s="5"/>
      <c r="O7251" s="2">
        <v>2878.96</v>
      </c>
      <c r="P7251">
        <v>170</v>
      </c>
      <c r="Q7251" s="2">
        <v>489423.2</v>
      </c>
      <c r="R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 s="1">
        <v>42382</v>
      </c>
      <c r="AC7251" t="s">
        <v>53</v>
      </c>
      <c r="AD7251" t="s">
        <v>53</v>
      </c>
      <c r="AK7251">
        <v>0</v>
      </c>
      <c r="AU7251" s="6">
        <v>42018</v>
      </c>
      <c r="AV7251" s="6">
        <v>42018</v>
      </c>
      <c r="AW7251" t="s">
        <v>54</v>
      </c>
      <c r="AX7251" t="str">
        <f t="shared" si="587"/>
        <v>FOR</v>
      </c>
      <c r="AY7251" t="s">
        <v>55</v>
      </c>
    </row>
    <row r="7252" spans="1:51" hidden="1">
      <c r="A7252">
        <v>104124</v>
      </c>
      <c r="B7252" t="s">
        <v>1216</v>
      </c>
      <c r="C7252" t="str">
        <f t="shared" si="588"/>
        <v>03104731215</v>
      </c>
      <c r="D7252" t="str">
        <f t="shared" si="589"/>
        <v>CPTMSM61E01L245Y</v>
      </c>
      <c r="E7252" t="s">
        <v>52</v>
      </c>
      <c r="F7252">
        <v>2014</v>
      </c>
      <c r="G7252">
        <v>29</v>
      </c>
      <c r="H7252" s="1">
        <v>41753</v>
      </c>
      <c r="I7252" s="1">
        <v>41758</v>
      </c>
      <c r="J7252" s="1">
        <v>41758</v>
      </c>
      <c r="K7252" s="1">
        <v>41848</v>
      </c>
      <c r="N7252" s="5"/>
      <c r="O7252" s="2">
        <v>5290.65</v>
      </c>
      <c r="P7252">
        <v>170</v>
      </c>
      <c r="Q7252" s="2">
        <v>899410.5</v>
      </c>
      <c r="R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 s="1">
        <v>42382</v>
      </c>
      <c r="AC7252" t="s">
        <v>53</v>
      </c>
      <c r="AD7252" t="s">
        <v>53</v>
      </c>
      <c r="AK7252">
        <v>0</v>
      </c>
      <c r="AU7252" s="6">
        <v>42018</v>
      </c>
      <c r="AV7252" s="6">
        <v>42018</v>
      </c>
      <c r="AW7252" t="s">
        <v>54</v>
      </c>
      <c r="AX7252" t="str">
        <f t="shared" si="587"/>
        <v>FOR</v>
      </c>
      <c r="AY7252" t="s">
        <v>55</v>
      </c>
    </row>
    <row r="7253" spans="1:51" hidden="1">
      <c r="A7253">
        <v>104124</v>
      </c>
      <c r="B7253" t="s">
        <v>1216</v>
      </c>
      <c r="C7253" t="str">
        <f t="shared" si="588"/>
        <v>03104731215</v>
      </c>
      <c r="D7253" t="str">
        <f t="shared" si="589"/>
        <v>CPTMSM61E01L245Y</v>
      </c>
      <c r="E7253" t="s">
        <v>52</v>
      </c>
      <c r="F7253">
        <v>2014</v>
      </c>
      <c r="G7253">
        <v>30</v>
      </c>
      <c r="H7253" s="1">
        <v>41771</v>
      </c>
      <c r="I7253" s="1">
        <v>41773</v>
      </c>
      <c r="J7253" s="1">
        <v>41773</v>
      </c>
      <c r="K7253" s="1">
        <v>41863</v>
      </c>
      <c r="N7253" s="5"/>
      <c r="O7253" s="2">
        <v>5795.24</v>
      </c>
      <c r="P7253">
        <v>199</v>
      </c>
      <c r="Q7253" s="2">
        <v>1153252.76</v>
      </c>
      <c r="R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 s="1">
        <v>42382</v>
      </c>
      <c r="AC7253" t="s">
        <v>53</v>
      </c>
      <c r="AD7253" t="s">
        <v>53</v>
      </c>
      <c r="AK7253">
        <v>0</v>
      </c>
      <c r="AU7253" s="6">
        <v>42062</v>
      </c>
      <c r="AV7253" s="6">
        <v>42062</v>
      </c>
      <c r="AW7253" t="s">
        <v>54</v>
      </c>
      <c r="AX7253" t="str">
        <f t="shared" si="587"/>
        <v>FOR</v>
      </c>
      <c r="AY7253" t="s">
        <v>55</v>
      </c>
    </row>
    <row r="7254" spans="1:51" hidden="1">
      <c r="A7254">
        <v>104124</v>
      </c>
      <c r="B7254" t="s">
        <v>1216</v>
      </c>
      <c r="C7254" t="str">
        <f t="shared" si="588"/>
        <v>03104731215</v>
      </c>
      <c r="D7254" t="str">
        <f t="shared" si="589"/>
        <v>CPTMSM61E01L245Y</v>
      </c>
      <c r="E7254" t="s">
        <v>52</v>
      </c>
      <c r="F7254">
        <v>2014</v>
      </c>
      <c r="G7254">
        <v>31</v>
      </c>
      <c r="H7254" s="1">
        <v>41771</v>
      </c>
      <c r="I7254" s="1">
        <v>41773</v>
      </c>
      <c r="J7254" s="1">
        <v>41773</v>
      </c>
      <c r="K7254" s="1">
        <v>41863</v>
      </c>
      <c r="N7254" s="5"/>
      <c r="O7254" s="2">
        <v>5938.96</v>
      </c>
      <c r="P7254">
        <v>199</v>
      </c>
      <c r="Q7254" s="2">
        <v>1181853.04</v>
      </c>
      <c r="R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 s="1">
        <v>42382</v>
      </c>
      <c r="AC7254" t="s">
        <v>53</v>
      </c>
      <c r="AD7254" t="s">
        <v>53</v>
      </c>
      <c r="AK7254">
        <v>0</v>
      </c>
      <c r="AU7254" s="6">
        <v>42062</v>
      </c>
      <c r="AV7254" s="6">
        <v>42062</v>
      </c>
      <c r="AW7254" t="s">
        <v>54</v>
      </c>
      <c r="AX7254" t="str">
        <f t="shared" si="587"/>
        <v>FOR</v>
      </c>
      <c r="AY7254" t="s">
        <v>55</v>
      </c>
    </row>
    <row r="7255" spans="1:51" hidden="1">
      <c r="A7255">
        <v>104124</v>
      </c>
      <c r="B7255" t="s">
        <v>1216</v>
      </c>
      <c r="C7255" t="str">
        <f t="shared" si="588"/>
        <v>03104731215</v>
      </c>
      <c r="D7255" t="str">
        <f t="shared" si="589"/>
        <v>CPTMSM61E01L245Y</v>
      </c>
      <c r="E7255" t="s">
        <v>52</v>
      </c>
      <c r="F7255">
        <v>2014</v>
      </c>
      <c r="G7255">
        <v>32</v>
      </c>
      <c r="H7255" s="1">
        <v>41771</v>
      </c>
      <c r="I7255" s="1">
        <v>41773</v>
      </c>
      <c r="J7255" s="1">
        <v>41773</v>
      </c>
      <c r="K7255" s="1">
        <v>41863</v>
      </c>
      <c r="N7255" s="5"/>
      <c r="O7255" s="2">
        <v>6059.86</v>
      </c>
      <c r="P7255">
        <v>199</v>
      </c>
      <c r="Q7255" s="2">
        <v>1205912.1399999999</v>
      </c>
      <c r="R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 s="1">
        <v>42382</v>
      </c>
      <c r="AC7255" t="s">
        <v>53</v>
      </c>
      <c r="AD7255" t="s">
        <v>53</v>
      </c>
      <c r="AK7255">
        <v>0</v>
      </c>
      <c r="AU7255" s="6">
        <v>42062</v>
      </c>
      <c r="AV7255" s="6">
        <v>42062</v>
      </c>
      <c r="AW7255" t="s">
        <v>54</v>
      </c>
      <c r="AX7255" t="str">
        <f t="shared" si="587"/>
        <v>FOR</v>
      </c>
      <c r="AY7255" t="s">
        <v>55</v>
      </c>
    </row>
    <row r="7256" spans="1:51" hidden="1">
      <c r="A7256">
        <v>104124</v>
      </c>
      <c r="B7256" t="s">
        <v>1216</v>
      </c>
      <c r="C7256" t="str">
        <f t="shared" si="588"/>
        <v>03104731215</v>
      </c>
      <c r="D7256" t="str">
        <f t="shared" si="589"/>
        <v>CPTMSM61E01L245Y</v>
      </c>
      <c r="E7256" t="s">
        <v>52</v>
      </c>
      <c r="F7256">
        <v>2014</v>
      </c>
      <c r="G7256">
        <v>33</v>
      </c>
      <c r="H7256" s="1">
        <v>41772</v>
      </c>
      <c r="I7256" s="1">
        <v>41773</v>
      </c>
      <c r="J7256" s="1">
        <v>41773</v>
      </c>
      <c r="K7256" s="1">
        <v>41863</v>
      </c>
      <c r="N7256" s="5"/>
      <c r="O7256" s="2">
        <v>8100.8</v>
      </c>
      <c r="P7256">
        <v>199</v>
      </c>
      <c r="Q7256" s="2">
        <v>1612059.2</v>
      </c>
      <c r="R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 s="1">
        <v>42382</v>
      </c>
      <c r="AC7256" t="s">
        <v>53</v>
      </c>
      <c r="AD7256" t="s">
        <v>53</v>
      </c>
      <c r="AK7256">
        <v>0</v>
      </c>
      <c r="AU7256" s="6">
        <v>42062</v>
      </c>
      <c r="AV7256" s="6">
        <v>42062</v>
      </c>
      <c r="AW7256" t="s">
        <v>54</v>
      </c>
      <c r="AX7256" t="str">
        <f t="shared" si="587"/>
        <v>FOR</v>
      </c>
      <c r="AY7256" t="s">
        <v>55</v>
      </c>
    </row>
    <row r="7257" spans="1:51" hidden="1">
      <c r="A7257">
        <v>104124</v>
      </c>
      <c r="B7257" t="s">
        <v>1216</v>
      </c>
      <c r="C7257" t="str">
        <f t="shared" si="588"/>
        <v>03104731215</v>
      </c>
      <c r="D7257" t="str">
        <f t="shared" si="589"/>
        <v>CPTMSM61E01L245Y</v>
      </c>
      <c r="E7257" t="s">
        <v>52</v>
      </c>
      <c r="F7257">
        <v>2014</v>
      </c>
      <c r="G7257">
        <v>34</v>
      </c>
      <c r="H7257" s="1">
        <v>41774</v>
      </c>
      <c r="I7257" s="1">
        <v>41775</v>
      </c>
      <c r="J7257" s="1">
        <v>41775</v>
      </c>
      <c r="K7257" s="1">
        <v>41865</v>
      </c>
      <c r="N7257" s="5"/>
      <c r="O7257" s="2">
        <v>6059.01</v>
      </c>
      <c r="P7257">
        <v>197</v>
      </c>
      <c r="Q7257" s="2">
        <v>1193624.97</v>
      </c>
      <c r="R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 s="1">
        <v>42382</v>
      </c>
      <c r="AC7257" t="s">
        <v>53</v>
      </c>
      <c r="AD7257" t="s">
        <v>53</v>
      </c>
      <c r="AK7257">
        <v>0</v>
      </c>
      <c r="AU7257" s="6">
        <v>42062</v>
      </c>
      <c r="AV7257" s="6">
        <v>42062</v>
      </c>
      <c r="AW7257" t="s">
        <v>54</v>
      </c>
      <c r="AX7257" t="str">
        <f t="shared" si="587"/>
        <v>FOR</v>
      </c>
      <c r="AY7257" t="s">
        <v>55</v>
      </c>
    </row>
    <row r="7258" spans="1:51" hidden="1">
      <c r="A7258">
        <v>104124</v>
      </c>
      <c r="B7258" t="s">
        <v>1216</v>
      </c>
      <c r="C7258" t="str">
        <f t="shared" si="588"/>
        <v>03104731215</v>
      </c>
      <c r="D7258" t="str">
        <f t="shared" si="589"/>
        <v>CPTMSM61E01L245Y</v>
      </c>
      <c r="E7258" t="s">
        <v>52</v>
      </c>
      <c r="F7258">
        <v>2014</v>
      </c>
      <c r="G7258">
        <v>35</v>
      </c>
      <c r="H7258" s="1">
        <v>41786</v>
      </c>
      <c r="I7258" s="1">
        <v>41789</v>
      </c>
      <c r="J7258" s="1">
        <v>41789</v>
      </c>
      <c r="K7258" s="1">
        <v>41879</v>
      </c>
      <c r="N7258" s="5"/>
      <c r="O7258" s="2">
        <v>6074.75</v>
      </c>
      <c r="P7258">
        <v>183</v>
      </c>
      <c r="Q7258" s="2">
        <v>1111679.25</v>
      </c>
      <c r="R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 s="1">
        <v>42382</v>
      </c>
      <c r="AC7258" t="s">
        <v>53</v>
      </c>
      <c r="AD7258" t="s">
        <v>53</v>
      </c>
      <c r="AK7258">
        <v>0</v>
      </c>
      <c r="AU7258" s="6">
        <v>42062</v>
      </c>
      <c r="AV7258" s="6">
        <v>42062</v>
      </c>
      <c r="AW7258" t="s">
        <v>54</v>
      </c>
      <c r="AX7258" t="str">
        <f t="shared" si="587"/>
        <v>FOR</v>
      </c>
      <c r="AY7258" t="s">
        <v>55</v>
      </c>
    </row>
    <row r="7259" spans="1:51" hidden="1">
      <c r="A7259">
        <v>104124</v>
      </c>
      <c r="B7259" t="s">
        <v>1216</v>
      </c>
      <c r="C7259" t="str">
        <f t="shared" si="588"/>
        <v>03104731215</v>
      </c>
      <c r="D7259" t="str">
        <f t="shared" si="589"/>
        <v>CPTMSM61E01L245Y</v>
      </c>
      <c r="E7259" t="s">
        <v>52</v>
      </c>
      <c r="F7259">
        <v>2014</v>
      </c>
      <c r="G7259">
        <v>36</v>
      </c>
      <c r="H7259" s="1">
        <v>41802</v>
      </c>
      <c r="I7259" s="1">
        <v>41802</v>
      </c>
      <c r="J7259" s="1">
        <v>41802</v>
      </c>
      <c r="K7259" s="1">
        <v>41892</v>
      </c>
      <c r="N7259" s="5"/>
      <c r="O7259">
        <v>274.5</v>
      </c>
      <c r="P7259">
        <v>202</v>
      </c>
      <c r="Q7259" s="2">
        <v>55449</v>
      </c>
      <c r="R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 s="1">
        <v>42382</v>
      </c>
      <c r="AC7259" t="s">
        <v>53</v>
      </c>
      <c r="AD7259" t="s">
        <v>53</v>
      </c>
      <c r="AK7259">
        <v>0</v>
      </c>
      <c r="AU7259" s="6">
        <v>42094</v>
      </c>
      <c r="AV7259" s="6">
        <v>42094</v>
      </c>
      <c r="AW7259" t="s">
        <v>54</v>
      </c>
      <c r="AX7259" t="str">
        <f t="shared" si="587"/>
        <v>FOR</v>
      </c>
      <c r="AY7259" t="s">
        <v>55</v>
      </c>
    </row>
    <row r="7260" spans="1:51" hidden="1">
      <c r="A7260">
        <v>104124</v>
      </c>
      <c r="B7260" t="s">
        <v>1216</v>
      </c>
      <c r="C7260" t="str">
        <f t="shared" si="588"/>
        <v>03104731215</v>
      </c>
      <c r="D7260" t="str">
        <f t="shared" si="589"/>
        <v>CPTMSM61E01L245Y</v>
      </c>
      <c r="E7260" t="s">
        <v>52</v>
      </c>
      <c r="F7260">
        <v>2014</v>
      </c>
      <c r="G7260">
        <v>37</v>
      </c>
      <c r="H7260" s="1">
        <v>41821</v>
      </c>
      <c r="I7260" s="1">
        <v>41821</v>
      </c>
      <c r="J7260" s="1">
        <v>41821</v>
      </c>
      <c r="K7260" s="1">
        <v>41911</v>
      </c>
      <c r="N7260" s="5"/>
      <c r="O7260" s="2">
        <v>13026.57</v>
      </c>
      <c r="P7260">
        <v>213</v>
      </c>
      <c r="Q7260" s="2">
        <v>2774659.41</v>
      </c>
      <c r="R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 s="1">
        <v>42382</v>
      </c>
      <c r="AC7260" t="s">
        <v>53</v>
      </c>
      <c r="AD7260" t="s">
        <v>53</v>
      </c>
      <c r="AK7260">
        <v>0</v>
      </c>
      <c r="AU7260" s="6">
        <v>42124</v>
      </c>
      <c r="AV7260" s="6">
        <v>42124</v>
      </c>
      <c r="AW7260" t="s">
        <v>54</v>
      </c>
      <c r="AX7260" t="str">
        <f t="shared" si="587"/>
        <v>FOR</v>
      </c>
      <c r="AY7260" t="s">
        <v>55</v>
      </c>
    </row>
    <row r="7261" spans="1:51" hidden="1">
      <c r="A7261">
        <v>104124</v>
      </c>
      <c r="B7261" t="s">
        <v>1216</v>
      </c>
      <c r="C7261" t="str">
        <f t="shared" si="588"/>
        <v>03104731215</v>
      </c>
      <c r="D7261" t="str">
        <f t="shared" si="589"/>
        <v>CPTMSM61E01L245Y</v>
      </c>
      <c r="E7261" t="s">
        <v>52</v>
      </c>
      <c r="F7261">
        <v>2014</v>
      </c>
      <c r="G7261">
        <v>38</v>
      </c>
      <c r="H7261" s="1">
        <v>41821</v>
      </c>
      <c r="I7261" s="1">
        <v>41821</v>
      </c>
      <c r="J7261" s="1">
        <v>41821</v>
      </c>
      <c r="K7261" s="1">
        <v>41911</v>
      </c>
      <c r="N7261" s="5"/>
      <c r="O7261" s="2">
        <v>6095.49</v>
      </c>
      <c r="P7261">
        <v>183</v>
      </c>
      <c r="Q7261" s="2">
        <v>1115474.67</v>
      </c>
      <c r="R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 s="1">
        <v>42382</v>
      </c>
      <c r="AC7261" t="s">
        <v>53</v>
      </c>
      <c r="AD7261" t="s">
        <v>53</v>
      </c>
      <c r="AK7261">
        <v>0</v>
      </c>
      <c r="AU7261" s="6">
        <v>42094</v>
      </c>
      <c r="AV7261" s="6">
        <v>42094</v>
      </c>
      <c r="AW7261" t="s">
        <v>54</v>
      </c>
      <c r="AX7261" t="str">
        <f t="shared" si="587"/>
        <v>FOR</v>
      </c>
      <c r="AY7261" t="s">
        <v>55</v>
      </c>
    </row>
    <row r="7262" spans="1:51" hidden="1">
      <c r="A7262">
        <v>104124</v>
      </c>
      <c r="B7262" t="s">
        <v>1216</v>
      </c>
      <c r="C7262" t="str">
        <f t="shared" si="588"/>
        <v>03104731215</v>
      </c>
      <c r="D7262" t="str">
        <f t="shared" si="589"/>
        <v>CPTMSM61E01L245Y</v>
      </c>
      <c r="E7262" t="s">
        <v>52</v>
      </c>
      <c r="F7262">
        <v>2014</v>
      </c>
      <c r="G7262">
        <v>39</v>
      </c>
      <c r="H7262" s="1">
        <v>41821</v>
      </c>
      <c r="I7262" s="1">
        <v>41830</v>
      </c>
      <c r="J7262" s="1">
        <v>41830</v>
      </c>
      <c r="K7262" s="1">
        <v>41920</v>
      </c>
      <c r="N7262" s="5"/>
      <c r="O7262" s="2">
        <v>5391.73</v>
      </c>
      <c r="P7262">
        <v>204</v>
      </c>
      <c r="Q7262" s="2">
        <v>1099912.92</v>
      </c>
      <c r="R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 s="1">
        <v>42382</v>
      </c>
      <c r="AC7262" t="s">
        <v>53</v>
      </c>
      <c r="AD7262" t="s">
        <v>53</v>
      </c>
      <c r="AK7262">
        <v>0</v>
      </c>
      <c r="AU7262" s="6">
        <v>42124</v>
      </c>
      <c r="AV7262" s="6">
        <v>42124</v>
      </c>
      <c r="AW7262" t="s">
        <v>54</v>
      </c>
      <c r="AX7262" t="str">
        <f t="shared" si="587"/>
        <v>FOR</v>
      </c>
      <c r="AY7262" t="s">
        <v>55</v>
      </c>
    </row>
    <row r="7263" spans="1:51" hidden="1">
      <c r="A7263">
        <v>104124</v>
      </c>
      <c r="B7263" t="s">
        <v>1216</v>
      </c>
      <c r="C7263" t="str">
        <f t="shared" si="588"/>
        <v>03104731215</v>
      </c>
      <c r="D7263" t="str">
        <f t="shared" si="589"/>
        <v>CPTMSM61E01L245Y</v>
      </c>
      <c r="E7263" t="s">
        <v>52</v>
      </c>
      <c r="F7263">
        <v>2014</v>
      </c>
      <c r="G7263">
        <v>40</v>
      </c>
      <c r="H7263" s="1">
        <v>41821</v>
      </c>
      <c r="I7263" s="1">
        <v>41830</v>
      </c>
      <c r="J7263" s="1">
        <v>41830</v>
      </c>
      <c r="K7263" s="1">
        <v>41920</v>
      </c>
      <c r="N7263" s="5"/>
      <c r="O7263" s="2">
        <v>5562.96</v>
      </c>
      <c r="P7263">
        <v>174</v>
      </c>
      <c r="Q7263" s="2">
        <v>967955.04</v>
      </c>
      <c r="R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 s="1">
        <v>42382</v>
      </c>
      <c r="AC7263" t="s">
        <v>53</v>
      </c>
      <c r="AD7263" t="s">
        <v>53</v>
      </c>
      <c r="AK7263">
        <v>0</v>
      </c>
      <c r="AU7263" s="6">
        <v>42094</v>
      </c>
      <c r="AV7263" s="6">
        <v>42094</v>
      </c>
      <c r="AW7263" t="s">
        <v>54</v>
      </c>
      <c r="AX7263" t="str">
        <f t="shared" si="587"/>
        <v>FOR</v>
      </c>
      <c r="AY7263" t="s">
        <v>55</v>
      </c>
    </row>
    <row r="7264" spans="1:51" hidden="1">
      <c r="A7264">
        <v>104124</v>
      </c>
      <c r="B7264" t="s">
        <v>1216</v>
      </c>
      <c r="C7264" t="str">
        <f t="shared" si="588"/>
        <v>03104731215</v>
      </c>
      <c r="D7264" t="str">
        <f t="shared" si="589"/>
        <v>CPTMSM61E01L245Y</v>
      </c>
      <c r="E7264" t="s">
        <v>52</v>
      </c>
      <c r="F7264">
        <v>2014</v>
      </c>
      <c r="G7264">
        <v>41</v>
      </c>
      <c r="H7264" s="1">
        <v>41821</v>
      </c>
      <c r="I7264" s="1">
        <v>41830</v>
      </c>
      <c r="J7264" s="1">
        <v>41830</v>
      </c>
      <c r="K7264" s="1">
        <v>41920</v>
      </c>
      <c r="N7264" s="5"/>
      <c r="O7264" s="2">
        <v>5815.5</v>
      </c>
      <c r="P7264">
        <v>174</v>
      </c>
      <c r="Q7264" s="2">
        <v>1011897</v>
      </c>
      <c r="R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 s="1">
        <v>42382</v>
      </c>
      <c r="AC7264" t="s">
        <v>53</v>
      </c>
      <c r="AD7264" t="s">
        <v>53</v>
      </c>
      <c r="AK7264">
        <v>0</v>
      </c>
      <c r="AU7264" s="6">
        <v>42094</v>
      </c>
      <c r="AV7264" s="6">
        <v>42094</v>
      </c>
      <c r="AW7264" t="s">
        <v>54</v>
      </c>
      <c r="AX7264" t="str">
        <f t="shared" si="587"/>
        <v>FOR</v>
      </c>
      <c r="AY7264" t="s">
        <v>55</v>
      </c>
    </row>
    <row r="7265" spans="1:51" hidden="1">
      <c r="A7265">
        <v>104124</v>
      </c>
      <c r="B7265" t="s">
        <v>1216</v>
      </c>
      <c r="C7265" t="str">
        <f t="shared" si="588"/>
        <v>03104731215</v>
      </c>
      <c r="D7265" t="str">
        <f t="shared" si="589"/>
        <v>CPTMSM61E01L245Y</v>
      </c>
      <c r="E7265" t="s">
        <v>52</v>
      </c>
      <c r="F7265">
        <v>2014</v>
      </c>
      <c r="G7265">
        <v>42</v>
      </c>
      <c r="H7265" s="1">
        <v>41821</v>
      </c>
      <c r="I7265" s="1">
        <v>41830</v>
      </c>
      <c r="J7265" s="1">
        <v>41830</v>
      </c>
      <c r="K7265" s="1">
        <v>41920</v>
      </c>
      <c r="N7265" s="5"/>
      <c r="O7265" s="2">
        <v>5183.54</v>
      </c>
      <c r="P7265">
        <v>174</v>
      </c>
      <c r="Q7265" s="2">
        <v>901935.96</v>
      </c>
      <c r="R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 s="1">
        <v>42382</v>
      </c>
      <c r="AC7265" t="s">
        <v>53</v>
      </c>
      <c r="AD7265" t="s">
        <v>53</v>
      </c>
      <c r="AK7265">
        <v>0</v>
      </c>
      <c r="AU7265" s="6">
        <v>42094</v>
      </c>
      <c r="AV7265" s="6">
        <v>42094</v>
      </c>
      <c r="AW7265" t="s">
        <v>54</v>
      </c>
      <c r="AX7265" t="str">
        <f t="shared" si="587"/>
        <v>FOR</v>
      </c>
      <c r="AY7265" t="s">
        <v>55</v>
      </c>
    </row>
    <row r="7266" spans="1:51" hidden="1">
      <c r="A7266">
        <v>104124</v>
      </c>
      <c r="B7266" t="s">
        <v>1216</v>
      </c>
      <c r="C7266" t="str">
        <f t="shared" si="588"/>
        <v>03104731215</v>
      </c>
      <c r="D7266" t="str">
        <f t="shared" si="589"/>
        <v>CPTMSM61E01L245Y</v>
      </c>
      <c r="E7266" t="s">
        <v>52</v>
      </c>
      <c r="F7266">
        <v>2014</v>
      </c>
      <c r="G7266">
        <v>43</v>
      </c>
      <c r="H7266" s="1">
        <v>41821</v>
      </c>
      <c r="I7266" s="1">
        <v>41830</v>
      </c>
      <c r="J7266" s="1">
        <v>41830</v>
      </c>
      <c r="K7266" s="1">
        <v>41920</v>
      </c>
      <c r="N7266" s="5"/>
      <c r="O7266" s="2">
        <v>3006.32</v>
      </c>
      <c r="P7266">
        <v>174</v>
      </c>
      <c r="Q7266" s="2">
        <v>523099.68</v>
      </c>
      <c r="R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 s="1">
        <v>42382</v>
      </c>
      <c r="AC7266" t="s">
        <v>53</v>
      </c>
      <c r="AD7266" t="s">
        <v>53</v>
      </c>
      <c r="AK7266">
        <v>0</v>
      </c>
      <c r="AU7266" s="6">
        <v>42094</v>
      </c>
      <c r="AV7266" s="6">
        <v>42094</v>
      </c>
      <c r="AW7266" t="s">
        <v>54</v>
      </c>
      <c r="AX7266" t="str">
        <f t="shared" si="587"/>
        <v>FOR</v>
      </c>
      <c r="AY7266" t="s">
        <v>55</v>
      </c>
    </row>
    <row r="7267" spans="1:51" hidden="1">
      <c r="A7267">
        <v>104124</v>
      </c>
      <c r="B7267" t="s">
        <v>1216</v>
      </c>
      <c r="C7267" t="str">
        <f t="shared" si="588"/>
        <v>03104731215</v>
      </c>
      <c r="D7267" t="str">
        <f t="shared" si="589"/>
        <v>CPTMSM61E01L245Y</v>
      </c>
      <c r="E7267" t="s">
        <v>52</v>
      </c>
      <c r="F7267">
        <v>2014</v>
      </c>
      <c r="G7267">
        <v>44</v>
      </c>
      <c r="H7267" s="1">
        <v>41836</v>
      </c>
      <c r="I7267" s="1">
        <v>41841</v>
      </c>
      <c r="J7267" s="1">
        <v>41841</v>
      </c>
      <c r="K7267" s="1">
        <v>41931</v>
      </c>
      <c r="N7267" s="5"/>
      <c r="O7267" s="2">
        <v>5943.96</v>
      </c>
      <c r="P7267">
        <v>163</v>
      </c>
      <c r="Q7267" s="2">
        <v>968865.48</v>
      </c>
      <c r="R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 s="1">
        <v>42382</v>
      </c>
      <c r="AC7267" t="s">
        <v>53</v>
      </c>
      <c r="AD7267" t="s">
        <v>53</v>
      </c>
      <c r="AK7267">
        <v>0</v>
      </c>
      <c r="AU7267" s="6">
        <v>42094</v>
      </c>
      <c r="AV7267" s="6">
        <v>42094</v>
      </c>
      <c r="AW7267" t="s">
        <v>54</v>
      </c>
      <c r="AX7267" t="str">
        <f t="shared" si="587"/>
        <v>FOR</v>
      </c>
      <c r="AY7267" t="s">
        <v>55</v>
      </c>
    </row>
    <row r="7268" spans="1:51" hidden="1">
      <c r="A7268">
        <v>104124</v>
      </c>
      <c r="B7268" t="s">
        <v>1216</v>
      </c>
      <c r="C7268" t="str">
        <f t="shared" si="588"/>
        <v>03104731215</v>
      </c>
      <c r="D7268" t="str">
        <f t="shared" si="589"/>
        <v>CPTMSM61E01L245Y</v>
      </c>
      <c r="E7268" t="s">
        <v>52</v>
      </c>
      <c r="F7268">
        <v>2014</v>
      </c>
      <c r="G7268">
        <v>45</v>
      </c>
      <c r="H7268" s="1">
        <v>41836</v>
      </c>
      <c r="I7268" s="1">
        <v>41837</v>
      </c>
      <c r="J7268" s="1">
        <v>41837</v>
      </c>
      <c r="K7268" s="1">
        <v>41927</v>
      </c>
      <c r="N7268" s="5"/>
      <c r="O7268" s="2">
        <v>5605.17</v>
      </c>
      <c r="P7268">
        <v>167</v>
      </c>
      <c r="Q7268" s="2">
        <v>936063.39</v>
      </c>
      <c r="R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 s="1">
        <v>42382</v>
      </c>
      <c r="AC7268" t="s">
        <v>53</v>
      </c>
      <c r="AD7268" t="s">
        <v>53</v>
      </c>
      <c r="AK7268">
        <v>0</v>
      </c>
      <c r="AU7268" s="6">
        <v>42094</v>
      </c>
      <c r="AV7268" s="6">
        <v>42094</v>
      </c>
      <c r="AW7268" t="s">
        <v>54</v>
      </c>
      <c r="AX7268" t="str">
        <f t="shared" si="587"/>
        <v>FOR</v>
      </c>
      <c r="AY7268" t="s">
        <v>55</v>
      </c>
    </row>
    <row r="7269" spans="1:51" hidden="1">
      <c r="A7269">
        <v>104124</v>
      </c>
      <c r="B7269" t="s">
        <v>1216</v>
      </c>
      <c r="C7269" t="str">
        <f t="shared" si="588"/>
        <v>03104731215</v>
      </c>
      <c r="D7269" t="str">
        <f t="shared" si="589"/>
        <v>CPTMSM61E01L245Y</v>
      </c>
      <c r="E7269" t="s">
        <v>52</v>
      </c>
      <c r="F7269">
        <v>2014</v>
      </c>
      <c r="G7269">
        <v>46</v>
      </c>
      <c r="H7269" s="1">
        <v>41836</v>
      </c>
      <c r="I7269" s="1">
        <v>41837</v>
      </c>
      <c r="J7269" s="1">
        <v>41837</v>
      </c>
      <c r="K7269" s="1">
        <v>41927</v>
      </c>
      <c r="N7269" s="5"/>
      <c r="O7269" s="2">
        <v>5455.84</v>
      </c>
      <c r="P7269">
        <v>167</v>
      </c>
      <c r="Q7269" s="2">
        <v>911125.28</v>
      </c>
      <c r="R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 s="1">
        <v>42382</v>
      </c>
      <c r="AC7269" t="s">
        <v>53</v>
      </c>
      <c r="AD7269" t="s">
        <v>53</v>
      </c>
      <c r="AK7269">
        <v>0</v>
      </c>
      <c r="AU7269" s="6">
        <v>42094</v>
      </c>
      <c r="AV7269" s="6">
        <v>42094</v>
      </c>
      <c r="AW7269" t="s">
        <v>54</v>
      </c>
      <c r="AX7269" t="str">
        <f t="shared" si="587"/>
        <v>FOR</v>
      </c>
      <c r="AY7269" t="s">
        <v>55</v>
      </c>
    </row>
    <row r="7270" spans="1:51" hidden="1">
      <c r="A7270">
        <v>104124</v>
      </c>
      <c r="B7270" t="s">
        <v>1216</v>
      </c>
      <c r="C7270" t="str">
        <f t="shared" si="588"/>
        <v>03104731215</v>
      </c>
      <c r="D7270" t="str">
        <f t="shared" si="589"/>
        <v>CPTMSM61E01L245Y</v>
      </c>
      <c r="E7270" t="s">
        <v>52</v>
      </c>
      <c r="F7270">
        <v>2014</v>
      </c>
      <c r="G7270">
        <v>48</v>
      </c>
      <c r="H7270" s="1">
        <v>41841</v>
      </c>
      <c r="I7270" s="1">
        <v>41841</v>
      </c>
      <c r="J7270" s="1">
        <v>41841</v>
      </c>
      <c r="K7270" s="1">
        <v>41931</v>
      </c>
      <c r="N7270" s="5"/>
      <c r="O7270" s="2">
        <v>4894.88</v>
      </c>
      <c r="P7270">
        <v>163</v>
      </c>
      <c r="Q7270" s="2">
        <v>797865.44</v>
      </c>
      <c r="R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 s="1">
        <v>42382</v>
      </c>
      <c r="AC7270" t="s">
        <v>53</v>
      </c>
      <c r="AD7270" t="s">
        <v>53</v>
      </c>
      <c r="AK7270">
        <v>0</v>
      </c>
      <c r="AU7270" s="6">
        <v>42094</v>
      </c>
      <c r="AV7270" s="6">
        <v>42094</v>
      </c>
      <c r="AW7270" t="s">
        <v>54</v>
      </c>
      <c r="AX7270" t="str">
        <f t="shared" si="587"/>
        <v>FOR</v>
      </c>
      <c r="AY7270" t="s">
        <v>55</v>
      </c>
    </row>
    <row r="7271" spans="1:51" hidden="1">
      <c r="A7271">
        <v>104124</v>
      </c>
      <c r="B7271" t="s">
        <v>1216</v>
      </c>
      <c r="C7271" t="str">
        <f t="shared" si="588"/>
        <v>03104731215</v>
      </c>
      <c r="D7271" t="str">
        <f t="shared" si="589"/>
        <v>CPTMSM61E01L245Y</v>
      </c>
      <c r="E7271" t="s">
        <v>52</v>
      </c>
      <c r="F7271">
        <v>2014</v>
      </c>
      <c r="G7271">
        <v>49</v>
      </c>
      <c r="H7271" s="1">
        <v>41845</v>
      </c>
      <c r="I7271" s="1">
        <v>41848</v>
      </c>
      <c r="J7271" s="1">
        <v>41848</v>
      </c>
      <c r="K7271" s="1">
        <v>41938</v>
      </c>
      <c r="N7271" s="5"/>
      <c r="O7271" s="2">
        <v>5598.34</v>
      </c>
      <c r="P7271">
        <v>156</v>
      </c>
      <c r="Q7271" s="2">
        <v>873341.04</v>
      </c>
      <c r="R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 s="1">
        <v>42382</v>
      </c>
      <c r="AC7271" t="s">
        <v>53</v>
      </c>
      <c r="AD7271" t="s">
        <v>53</v>
      </c>
      <c r="AK7271">
        <v>0</v>
      </c>
      <c r="AU7271" s="6">
        <v>42094</v>
      </c>
      <c r="AV7271" s="6">
        <v>42094</v>
      </c>
      <c r="AW7271" t="s">
        <v>54</v>
      </c>
      <c r="AX7271" t="str">
        <f t="shared" si="587"/>
        <v>FOR</v>
      </c>
      <c r="AY7271" t="s">
        <v>55</v>
      </c>
    </row>
    <row r="7272" spans="1:51" hidden="1">
      <c r="A7272">
        <v>104124</v>
      </c>
      <c r="B7272" t="s">
        <v>1216</v>
      </c>
      <c r="C7272" t="str">
        <f t="shared" si="588"/>
        <v>03104731215</v>
      </c>
      <c r="D7272" t="str">
        <f t="shared" si="589"/>
        <v>CPTMSM61E01L245Y</v>
      </c>
      <c r="E7272" t="s">
        <v>52</v>
      </c>
      <c r="F7272">
        <v>2014</v>
      </c>
      <c r="G7272">
        <v>50</v>
      </c>
      <c r="H7272" s="1">
        <v>41845</v>
      </c>
      <c r="I7272" s="1">
        <v>41848</v>
      </c>
      <c r="J7272" s="1">
        <v>41848</v>
      </c>
      <c r="K7272" s="1">
        <v>41938</v>
      </c>
      <c r="N7272" s="5"/>
      <c r="O7272" s="2">
        <v>5918.71</v>
      </c>
      <c r="P7272">
        <v>156</v>
      </c>
      <c r="Q7272" s="2">
        <v>923318.76</v>
      </c>
      <c r="R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 s="1">
        <v>42382</v>
      </c>
      <c r="AC7272" t="s">
        <v>53</v>
      </c>
      <c r="AD7272" t="s">
        <v>53</v>
      </c>
      <c r="AK7272">
        <v>0</v>
      </c>
      <c r="AU7272" s="6">
        <v>42094</v>
      </c>
      <c r="AV7272" s="6">
        <v>42094</v>
      </c>
      <c r="AW7272" t="s">
        <v>54</v>
      </c>
      <c r="AX7272" t="str">
        <f t="shared" si="587"/>
        <v>FOR</v>
      </c>
      <c r="AY7272" t="s">
        <v>55</v>
      </c>
    </row>
    <row r="7273" spans="1:51" hidden="1">
      <c r="A7273">
        <v>104124</v>
      </c>
      <c r="B7273" t="s">
        <v>1216</v>
      </c>
      <c r="C7273" t="str">
        <f t="shared" ref="C7273:C7304" si="590">"03104731215"</f>
        <v>03104731215</v>
      </c>
      <c r="D7273" t="str">
        <f t="shared" ref="D7273:D7304" si="591">"CPTMSM61E01L245Y"</f>
        <v>CPTMSM61E01L245Y</v>
      </c>
      <c r="E7273" t="s">
        <v>52</v>
      </c>
      <c r="F7273">
        <v>2014</v>
      </c>
      <c r="G7273">
        <v>52</v>
      </c>
      <c r="H7273" s="1">
        <v>41884</v>
      </c>
      <c r="I7273" s="1">
        <v>41891</v>
      </c>
      <c r="J7273" s="1">
        <v>41891</v>
      </c>
      <c r="K7273" s="1">
        <v>41981</v>
      </c>
      <c r="N7273" s="5"/>
      <c r="O7273" s="2">
        <v>1657.13</v>
      </c>
      <c r="P7273">
        <v>143</v>
      </c>
      <c r="Q7273" s="2">
        <v>236969.59</v>
      </c>
      <c r="R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 s="1">
        <v>42382</v>
      </c>
      <c r="AC7273" t="s">
        <v>53</v>
      </c>
      <c r="AD7273" t="s">
        <v>53</v>
      </c>
      <c r="AK7273">
        <v>0</v>
      </c>
      <c r="AU7273" s="6">
        <v>42124</v>
      </c>
      <c r="AV7273" s="6">
        <v>42124</v>
      </c>
      <c r="AW7273" t="s">
        <v>54</v>
      </c>
      <c r="AX7273" t="str">
        <f t="shared" si="587"/>
        <v>FOR</v>
      </c>
      <c r="AY7273" t="s">
        <v>55</v>
      </c>
    </row>
    <row r="7274" spans="1:51" hidden="1">
      <c r="A7274">
        <v>104124</v>
      </c>
      <c r="B7274" t="s">
        <v>1216</v>
      </c>
      <c r="C7274" t="str">
        <f t="shared" si="590"/>
        <v>03104731215</v>
      </c>
      <c r="D7274" t="str">
        <f t="shared" si="591"/>
        <v>CPTMSM61E01L245Y</v>
      </c>
      <c r="E7274" t="s">
        <v>52</v>
      </c>
      <c r="F7274">
        <v>2014</v>
      </c>
      <c r="G7274">
        <v>53</v>
      </c>
      <c r="H7274" s="1">
        <v>41884</v>
      </c>
      <c r="I7274" s="1">
        <v>41891</v>
      </c>
      <c r="J7274" s="1">
        <v>41891</v>
      </c>
      <c r="K7274" s="1">
        <v>41981</v>
      </c>
      <c r="N7274" s="5"/>
      <c r="O7274" s="2">
        <v>5745.09</v>
      </c>
      <c r="P7274">
        <v>143</v>
      </c>
      <c r="Q7274" s="2">
        <v>821547.87</v>
      </c>
      <c r="R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 s="1">
        <v>42382</v>
      </c>
      <c r="AC7274" t="s">
        <v>53</v>
      </c>
      <c r="AD7274" t="s">
        <v>53</v>
      </c>
      <c r="AK7274">
        <v>0</v>
      </c>
      <c r="AU7274" s="6">
        <v>42124</v>
      </c>
      <c r="AV7274" s="6">
        <v>42124</v>
      </c>
      <c r="AW7274" t="s">
        <v>54</v>
      </c>
      <c r="AX7274" t="str">
        <f t="shared" si="587"/>
        <v>FOR</v>
      </c>
      <c r="AY7274" t="s">
        <v>55</v>
      </c>
    </row>
    <row r="7275" spans="1:51" hidden="1">
      <c r="A7275">
        <v>104124</v>
      </c>
      <c r="B7275" t="s">
        <v>1216</v>
      </c>
      <c r="C7275" t="str">
        <f t="shared" si="590"/>
        <v>03104731215</v>
      </c>
      <c r="D7275" t="str">
        <f t="shared" si="591"/>
        <v>CPTMSM61E01L245Y</v>
      </c>
      <c r="E7275" t="s">
        <v>52</v>
      </c>
      <c r="F7275">
        <v>2014</v>
      </c>
      <c r="G7275">
        <v>55</v>
      </c>
      <c r="H7275" s="1">
        <v>41913</v>
      </c>
      <c r="I7275" s="1">
        <v>41928</v>
      </c>
      <c r="J7275" s="1">
        <v>41928</v>
      </c>
      <c r="K7275" s="1">
        <v>41988</v>
      </c>
      <c r="N7275" s="5"/>
      <c r="O7275" s="2">
        <v>1214.6300000000001</v>
      </c>
      <c r="P7275">
        <v>168</v>
      </c>
      <c r="Q7275" s="2">
        <v>204057.84</v>
      </c>
      <c r="R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 s="1">
        <v>42382</v>
      </c>
      <c r="AC7275" t="s">
        <v>53</v>
      </c>
      <c r="AD7275" t="s">
        <v>53</v>
      </c>
      <c r="AK7275">
        <v>0</v>
      </c>
      <c r="AU7275" s="6">
        <v>42156</v>
      </c>
      <c r="AV7275" s="6">
        <v>42156</v>
      </c>
      <c r="AW7275" t="s">
        <v>54</v>
      </c>
      <c r="AX7275" t="str">
        <f t="shared" si="587"/>
        <v>FOR</v>
      </c>
      <c r="AY7275" t="s">
        <v>55</v>
      </c>
    </row>
    <row r="7276" spans="1:51" hidden="1">
      <c r="A7276">
        <v>104124</v>
      </c>
      <c r="B7276" t="s">
        <v>1216</v>
      </c>
      <c r="C7276" t="str">
        <f t="shared" si="590"/>
        <v>03104731215</v>
      </c>
      <c r="D7276" t="str">
        <f t="shared" si="591"/>
        <v>CPTMSM61E01L245Y</v>
      </c>
      <c r="E7276" t="s">
        <v>52</v>
      </c>
      <c r="F7276">
        <v>2014</v>
      </c>
      <c r="G7276">
        <v>57</v>
      </c>
      <c r="H7276" s="1">
        <v>41918</v>
      </c>
      <c r="I7276" s="1">
        <v>41939</v>
      </c>
      <c r="J7276" s="1">
        <v>41939</v>
      </c>
      <c r="K7276" s="1">
        <v>41999</v>
      </c>
      <c r="N7276" s="5"/>
      <c r="O7276" s="2">
        <v>5917</v>
      </c>
      <c r="P7276">
        <v>157</v>
      </c>
      <c r="Q7276" s="2">
        <v>928969</v>
      </c>
      <c r="R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 s="1">
        <v>42382</v>
      </c>
      <c r="AC7276" t="s">
        <v>53</v>
      </c>
      <c r="AD7276" t="s">
        <v>53</v>
      </c>
      <c r="AK7276">
        <v>0</v>
      </c>
      <c r="AU7276" s="6">
        <v>42156</v>
      </c>
      <c r="AV7276" s="6">
        <v>42156</v>
      </c>
      <c r="AW7276" t="s">
        <v>54</v>
      </c>
      <c r="AX7276" t="str">
        <f t="shared" si="587"/>
        <v>FOR</v>
      </c>
      <c r="AY7276" t="s">
        <v>55</v>
      </c>
    </row>
    <row r="7277" spans="1:51" hidden="1">
      <c r="A7277">
        <v>104124</v>
      </c>
      <c r="B7277" t="s">
        <v>1216</v>
      </c>
      <c r="C7277" t="str">
        <f t="shared" si="590"/>
        <v>03104731215</v>
      </c>
      <c r="D7277" t="str">
        <f t="shared" si="591"/>
        <v>CPTMSM61E01L245Y</v>
      </c>
      <c r="E7277" t="s">
        <v>52</v>
      </c>
      <c r="F7277">
        <v>2014</v>
      </c>
      <c r="G7277">
        <v>58</v>
      </c>
      <c r="H7277" s="1">
        <v>41918</v>
      </c>
      <c r="I7277" s="1">
        <v>41939</v>
      </c>
      <c r="J7277" s="1">
        <v>41939</v>
      </c>
      <c r="K7277" s="1">
        <v>41999</v>
      </c>
      <c r="N7277" s="5"/>
      <c r="O7277" s="2">
        <v>2416.6999999999998</v>
      </c>
      <c r="P7277">
        <v>157</v>
      </c>
      <c r="Q7277" s="2">
        <v>379421.9</v>
      </c>
      <c r="R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 s="1">
        <v>42382</v>
      </c>
      <c r="AC7277" t="s">
        <v>53</v>
      </c>
      <c r="AD7277" t="s">
        <v>53</v>
      </c>
      <c r="AK7277">
        <v>0</v>
      </c>
      <c r="AU7277" s="6">
        <v>42156</v>
      </c>
      <c r="AV7277" s="6">
        <v>42156</v>
      </c>
      <c r="AW7277" t="s">
        <v>54</v>
      </c>
      <c r="AX7277" t="str">
        <f t="shared" si="587"/>
        <v>FOR</v>
      </c>
      <c r="AY7277" t="s">
        <v>55</v>
      </c>
    </row>
    <row r="7278" spans="1:51" hidden="1">
      <c r="A7278">
        <v>104124</v>
      </c>
      <c r="B7278" t="s">
        <v>1216</v>
      </c>
      <c r="C7278" t="str">
        <f t="shared" si="590"/>
        <v>03104731215</v>
      </c>
      <c r="D7278" t="str">
        <f t="shared" si="591"/>
        <v>CPTMSM61E01L245Y</v>
      </c>
      <c r="E7278" t="s">
        <v>52</v>
      </c>
      <c r="F7278">
        <v>2014</v>
      </c>
      <c r="G7278">
        <v>59</v>
      </c>
      <c r="H7278" s="1">
        <v>41928</v>
      </c>
      <c r="I7278" s="1">
        <v>41939</v>
      </c>
      <c r="J7278" s="1">
        <v>41939</v>
      </c>
      <c r="K7278" s="1">
        <v>41999</v>
      </c>
      <c r="N7278" s="5"/>
      <c r="O7278" s="2">
        <v>6100</v>
      </c>
      <c r="P7278">
        <v>157</v>
      </c>
      <c r="Q7278" s="2">
        <v>957700</v>
      </c>
      <c r="R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 s="1">
        <v>42382</v>
      </c>
      <c r="AC7278" t="s">
        <v>53</v>
      </c>
      <c r="AD7278" t="s">
        <v>53</v>
      </c>
      <c r="AK7278">
        <v>0</v>
      </c>
      <c r="AU7278" s="6">
        <v>42156</v>
      </c>
      <c r="AV7278" s="6">
        <v>42156</v>
      </c>
      <c r="AW7278" t="s">
        <v>54</v>
      </c>
      <c r="AX7278" t="str">
        <f t="shared" si="587"/>
        <v>FOR</v>
      </c>
      <c r="AY7278" t="s">
        <v>55</v>
      </c>
    </row>
    <row r="7279" spans="1:51" hidden="1">
      <c r="A7279">
        <v>104124</v>
      </c>
      <c r="B7279" t="s">
        <v>1216</v>
      </c>
      <c r="C7279" t="str">
        <f t="shared" si="590"/>
        <v>03104731215</v>
      </c>
      <c r="D7279" t="str">
        <f t="shared" si="591"/>
        <v>CPTMSM61E01L245Y</v>
      </c>
      <c r="E7279" t="s">
        <v>52</v>
      </c>
      <c r="F7279">
        <v>2014</v>
      </c>
      <c r="G7279">
        <v>60</v>
      </c>
      <c r="H7279" s="1">
        <v>41928</v>
      </c>
      <c r="I7279" s="1">
        <v>41939</v>
      </c>
      <c r="J7279" s="1">
        <v>41939</v>
      </c>
      <c r="K7279" s="1">
        <v>41999</v>
      </c>
      <c r="N7279" s="5"/>
      <c r="O7279" s="2">
        <v>5276</v>
      </c>
      <c r="P7279">
        <v>157</v>
      </c>
      <c r="Q7279" s="2">
        <v>828332</v>
      </c>
      <c r="R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 s="1">
        <v>42382</v>
      </c>
      <c r="AC7279" t="s">
        <v>53</v>
      </c>
      <c r="AD7279" t="s">
        <v>53</v>
      </c>
      <c r="AK7279">
        <v>0</v>
      </c>
      <c r="AU7279" s="6">
        <v>42156</v>
      </c>
      <c r="AV7279" s="6">
        <v>42156</v>
      </c>
      <c r="AW7279" t="s">
        <v>54</v>
      </c>
      <c r="AX7279" t="str">
        <f t="shared" si="587"/>
        <v>FOR</v>
      </c>
      <c r="AY7279" t="s">
        <v>55</v>
      </c>
    </row>
    <row r="7280" spans="1:51" hidden="1">
      <c r="A7280">
        <v>104124</v>
      </c>
      <c r="B7280" t="s">
        <v>1216</v>
      </c>
      <c r="C7280" t="str">
        <f t="shared" si="590"/>
        <v>03104731215</v>
      </c>
      <c r="D7280" t="str">
        <f t="shared" si="591"/>
        <v>CPTMSM61E01L245Y</v>
      </c>
      <c r="E7280" t="s">
        <v>52</v>
      </c>
      <c r="F7280">
        <v>2014</v>
      </c>
      <c r="G7280">
        <v>61</v>
      </c>
      <c r="H7280" s="1">
        <v>41928</v>
      </c>
      <c r="I7280" s="1">
        <v>41939</v>
      </c>
      <c r="J7280" s="1">
        <v>41939</v>
      </c>
      <c r="K7280" s="1">
        <v>41999</v>
      </c>
      <c r="N7280" s="5"/>
      <c r="O7280" s="2">
        <v>5641.08</v>
      </c>
      <c r="P7280">
        <v>157</v>
      </c>
      <c r="Q7280" s="2">
        <v>885649.56</v>
      </c>
      <c r="R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 s="1">
        <v>42382</v>
      </c>
      <c r="AC7280" t="s">
        <v>53</v>
      </c>
      <c r="AD7280" t="s">
        <v>53</v>
      </c>
      <c r="AK7280">
        <v>0</v>
      </c>
      <c r="AU7280" s="6">
        <v>42156</v>
      </c>
      <c r="AV7280" s="6">
        <v>42156</v>
      </c>
      <c r="AW7280" t="s">
        <v>54</v>
      </c>
      <c r="AX7280" t="str">
        <f t="shared" si="587"/>
        <v>FOR</v>
      </c>
      <c r="AY7280" t="s">
        <v>55</v>
      </c>
    </row>
    <row r="7281" spans="1:51" hidden="1">
      <c r="A7281">
        <v>104124</v>
      </c>
      <c r="B7281" t="s">
        <v>1216</v>
      </c>
      <c r="C7281" t="str">
        <f t="shared" si="590"/>
        <v>03104731215</v>
      </c>
      <c r="D7281" t="str">
        <f t="shared" si="591"/>
        <v>CPTMSM61E01L245Y</v>
      </c>
      <c r="E7281" t="s">
        <v>52</v>
      </c>
      <c r="F7281">
        <v>2014</v>
      </c>
      <c r="G7281">
        <v>62</v>
      </c>
      <c r="H7281" s="1">
        <v>41928</v>
      </c>
      <c r="I7281" s="1">
        <v>41942</v>
      </c>
      <c r="J7281" s="1">
        <v>41942</v>
      </c>
      <c r="K7281" s="1">
        <v>42002</v>
      </c>
      <c r="N7281" s="5"/>
      <c r="O7281" s="2">
        <v>5447.4</v>
      </c>
      <c r="P7281">
        <v>154</v>
      </c>
      <c r="Q7281" s="2">
        <v>838899.6</v>
      </c>
      <c r="R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 s="1">
        <v>42382</v>
      </c>
      <c r="AC7281" t="s">
        <v>53</v>
      </c>
      <c r="AD7281" t="s">
        <v>53</v>
      </c>
      <c r="AK7281">
        <v>0</v>
      </c>
      <c r="AU7281" s="6">
        <v>42156</v>
      </c>
      <c r="AV7281" s="6">
        <v>42156</v>
      </c>
      <c r="AW7281" t="s">
        <v>54</v>
      </c>
      <c r="AX7281" t="str">
        <f t="shared" si="587"/>
        <v>FOR</v>
      </c>
      <c r="AY7281" t="s">
        <v>55</v>
      </c>
    </row>
    <row r="7282" spans="1:51" hidden="1">
      <c r="A7282">
        <v>104124</v>
      </c>
      <c r="B7282" t="s">
        <v>1216</v>
      </c>
      <c r="C7282" t="str">
        <f t="shared" si="590"/>
        <v>03104731215</v>
      </c>
      <c r="D7282" t="str">
        <f t="shared" si="591"/>
        <v>CPTMSM61E01L245Y</v>
      </c>
      <c r="E7282" t="s">
        <v>52</v>
      </c>
      <c r="F7282">
        <v>2014</v>
      </c>
      <c r="G7282">
        <v>63</v>
      </c>
      <c r="H7282" s="1">
        <v>41928</v>
      </c>
      <c r="I7282" s="1">
        <v>41942</v>
      </c>
      <c r="J7282" s="1">
        <v>41942</v>
      </c>
      <c r="K7282" s="1">
        <v>42002</v>
      </c>
      <c r="N7282" s="5"/>
      <c r="O7282" s="2">
        <v>5852.83</v>
      </c>
      <c r="P7282">
        <v>154</v>
      </c>
      <c r="Q7282" s="2">
        <v>901335.82</v>
      </c>
      <c r="R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 s="1">
        <v>42382</v>
      </c>
      <c r="AC7282" t="s">
        <v>53</v>
      </c>
      <c r="AD7282" t="s">
        <v>53</v>
      </c>
      <c r="AK7282">
        <v>0</v>
      </c>
      <c r="AU7282" s="6">
        <v>42156</v>
      </c>
      <c r="AV7282" s="6">
        <v>42156</v>
      </c>
      <c r="AW7282" t="s">
        <v>54</v>
      </c>
      <c r="AX7282" t="str">
        <f t="shared" si="587"/>
        <v>FOR</v>
      </c>
      <c r="AY7282" t="s">
        <v>55</v>
      </c>
    </row>
    <row r="7283" spans="1:51" hidden="1">
      <c r="A7283">
        <v>104124</v>
      </c>
      <c r="B7283" t="s">
        <v>1216</v>
      </c>
      <c r="C7283" t="str">
        <f t="shared" si="590"/>
        <v>03104731215</v>
      </c>
      <c r="D7283" t="str">
        <f t="shared" si="591"/>
        <v>CPTMSM61E01L245Y</v>
      </c>
      <c r="E7283" t="s">
        <v>52</v>
      </c>
      <c r="F7283">
        <v>2014</v>
      </c>
      <c r="G7283">
        <v>64</v>
      </c>
      <c r="H7283" s="1">
        <v>41928</v>
      </c>
      <c r="I7283" s="1">
        <v>41942</v>
      </c>
      <c r="J7283" s="1">
        <v>41942</v>
      </c>
      <c r="K7283" s="1">
        <v>42002</v>
      </c>
      <c r="N7283" s="5"/>
      <c r="O7283" s="2">
        <v>5863.2</v>
      </c>
      <c r="P7283">
        <v>154</v>
      </c>
      <c r="Q7283" s="2">
        <v>902932.8</v>
      </c>
      <c r="R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 s="1">
        <v>42382</v>
      </c>
      <c r="AC7283" t="s">
        <v>53</v>
      </c>
      <c r="AD7283" t="s">
        <v>53</v>
      </c>
      <c r="AK7283">
        <v>0</v>
      </c>
      <c r="AU7283" s="6">
        <v>42156</v>
      </c>
      <c r="AV7283" s="6">
        <v>42156</v>
      </c>
      <c r="AW7283" t="s">
        <v>54</v>
      </c>
      <c r="AX7283" t="str">
        <f t="shared" si="587"/>
        <v>FOR</v>
      </c>
      <c r="AY7283" t="s">
        <v>55</v>
      </c>
    </row>
    <row r="7284" spans="1:51" hidden="1">
      <c r="A7284">
        <v>104124</v>
      </c>
      <c r="B7284" t="s">
        <v>1216</v>
      </c>
      <c r="C7284" t="str">
        <f t="shared" si="590"/>
        <v>03104731215</v>
      </c>
      <c r="D7284" t="str">
        <f t="shared" si="591"/>
        <v>CPTMSM61E01L245Y</v>
      </c>
      <c r="E7284" t="s">
        <v>52</v>
      </c>
      <c r="F7284">
        <v>2014</v>
      </c>
      <c r="G7284">
        <v>65</v>
      </c>
      <c r="H7284" s="1">
        <v>41939</v>
      </c>
      <c r="I7284" s="1">
        <v>41942</v>
      </c>
      <c r="J7284" s="1">
        <v>41942</v>
      </c>
      <c r="K7284" s="1">
        <v>42002</v>
      </c>
      <c r="N7284" s="5"/>
      <c r="O7284" s="2">
        <v>4935.57</v>
      </c>
      <c r="P7284">
        <v>154</v>
      </c>
      <c r="Q7284" s="2">
        <v>760077.78</v>
      </c>
      <c r="R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 s="1">
        <v>42382</v>
      </c>
      <c r="AC7284" t="s">
        <v>53</v>
      </c>
      <c r="AD7284" t="s">
        <v>53</v>
      </c>
      <c r="AK7284">
        <v>0</v>
      </c>
      <c r="AU7284" s="6">
        <v>42156</v>
      </c>
      <c r="AV7284" s="6">
        <v>42156</v>
      </c>
      <c r="AW7284" t="s">
        <v>54</v>
      </c>
      <c r="AX7284" t="str">
        <f t="shared" si="587"/>
        <v>FOR</v>
      </c>
      <c r="AY7284" t="s">
        <v>55</v>
      </c>
    </row>
    <row r="7285" spans="1:51" hidden="1">
      <c r="A7285">
        <v>104124</v>
      </c>
      <c r="B7285" t="s">
        <v>1216</v>
      </c>
      <c r="C7285" t="str">
        <f t="shared" si="590"/>
        <v>03104731215</v>
      </c>
      <c r="D7285" t="str">
        <f t="shared" si="591"/>
        <v>CPTMSM61E01L245Y</v>
      </c>
      <c r="E7285" t="s">
        <v>52</v>
      </c>
      <c r="F7285">
        <v>2014</v>
      </c>
      <c r="G7285">
        <v>66</v>
      </c>
      <c r="H7285" s="1">
        <v>41939</v>
      </c>
      <c r="I7285" s="1">
        <v>41942</v>
      </c>
      <c r="J7285" s="1">
        <v>41942</v>
      </c>
      <c r="K7285" s="1">
        <v>42002</v>
      </c>
      <c r="N7285" s="5"/>
      <c r="O7285" s="2">
        <v>17239.580000000002</v>
      </c>
      <c r="P7285">
        <v>154</v>
      </c>
      <c r="Q7285" s="2">
        <v>2654895.3199999998</v>
      </c>
      <c r="R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 s="1">
        <v>42382</v>
      </c>
      <c r="AC7285" t="s">
        <v>53</v>
      </c>
      <c r="AD7285" t="s">
        <v>53</v>
      </c>
      <c r="AK7285">
        <v>0</v>
      </c>
      <c r="AU7285" s="6">
        <v>42156</v>
      </c>
      <c r="AV7285" s="6">
        <v>42156</v>
      </c>
      <c r="AW7285" t="s">
        <v>54</v>
      </c>
      <c r="AX7285" t="str">
        <f t="shared" si="587"/>
        <v>FOR</v>
      </c>
      <c r="AY7285" t="s">
        <v>55</v>
      </c>
    </row>
    <row r="7286" spans="1:51" hidden="1">
      <c r="A7286">
        <v>104124</v>
      </c>
      <c r="B7286" t="s">
        <v>1216</v>
      </c>
      <c r="C7286" t="str">
        <f t="shared" si="590"/>
        <v>03104731215</v>
      </c>
      <c r="D7286" t="str">
        <f t="shared" si="591"/>
        <v>CPTMSM61E01L245Y</v>
      </c>
      <c r="E7286" t="s">
        <v>52</v>
      </c>
      <c r="F7286">
        <v>2014</v>
      </c>
      <c r="G7286">
        <v>67</v>
      </c>
      <c r="H7286" s="1">
        <v>41939</v>
      </c>
      <c r="I7286" s="1">
        <v>41942</v>
      </c>
      <c r="J7286" s="1">
        <v>41942</v>
      </c>
      <c r="K7286" s="1">
        <v>42002</v>
      </c>
      <c r="N7286" s="5"/>
      <c r="O7286" s="2">
        <v>13265.38</v>
      </c>
      <c r="P7286">
        <v>154</v>
      </c>
      <c r="Q7286" s="2">
        <v>2042868.52</v>
      </c>
      <c r="R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 s="1">
        <v>42382</v>
      </c>
      <c r="AC7286" t="s">
        <v>53</v>
      </c>
      <c r="AD7286" t="s">
        <v>53</v>
      </c>
      <c r="AK7286">
        <v>0</v>
      </c>
      <c r="AU7286" s="6">
        <v>42156</v>
      </c>
      <c r="AV7286" s="6">
        <v>42156</v>
      </c>
      <c r="AW7286" t="s">
        <v>54</v>
      </c>
      <c r="AX7286" t="str">
        <f t="shared" si="587"/>
        <v>FOR</v>
      </c>
      <c r="AY7286" t="s">
        <v>55</v>
      </c>
    </row>
    <row r="7287" spans="1:51" hidden="1">
      <c r="A7287">
        <v>104124</v>
      </c>
      <c r="B7287" t="s">
        <v>1216</v>
      </c>
      <c r="C7287" t="str">
        <f t="shared" si="590"/>
        <v>03104731215</v>
      </c>
      <c r="D7287" t="str">
        <f t="shared" si="591"/>
        <v>CPTMSM61E01L245Y</v>
      </c>
      <c r="E7287" t="s">
        <v>52</v>
      </c>
      <c r="F7287">
        <v>2014</v>
      </c>
      <c r="G7287">
        <v>68</v>
      </c>
      <c r="H7287" s="1">
        <v>41942</v>
      </c>
      <c r="I7287" s="1">
        <v>41942</v>
      </c>
      <c r="J7287" s="1">
        <v>41942</v>
      </c>
      <c r="K7287" s="1">
        <v>42002</v>
      </c>
      <c r="N7287" s="5"/>
      <c r="O7287" s="2">
        <v>5969.84</v>
      </c>
      <c r="P7287">
        <v>154</v>
      </c>
      <c r="Q7287" s="2">
        <v>919355.36</v>
      </c>
      <c r="R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 s="1">
        <v>42382</v>
      </c>
      <c r="AC7287" t="s">
        <v>53</v>
      </c>
      <c r="AD7287" t="s">
        <v>53</v>
      </c>
      <c r="AK7287">
        <v>0</v>
      </c>
      <c r="AU7287" s="6">
        <v>42156</v>
      </c>
      <c r="AV7287" s="6">
        <v>42156</v>
      </c>
      <c r="AW7287" t="s">
        <v>54</v>
      </c>
      <c r="AX7287" t="str">
        <f t="shared" si="587"/>
        <v>FOR</v>
      </c>
      <c r="AY7287" t="s">
        <v>55</v>
      </c>
    </row>
    <row r="7288" spans="1:51" hidden="1">
      <c r="A7288">
        <v>104124</v>
      </c>
      <c r="B7288" t="s">
        <v>1216</v>
      </c>
      <c r="C7288" t="str">
        <f t="shared" si="590"/>
        <v>03104731215</v>
      </c>
      <c r="D7288" t="str">
        <f t="shared" si="591"/>
        <v>CPTMSM61E01L245Y</v>
      </c>
      <c r="E7288" t="s">
        <v>52</v>
      </c>
      <c r="F7288">
        <v>2014</v>
      </c>
      <c r="G7288">
        <v>69</v>
      </c>
      <c r="H7288" s="1">
        <v>41942</v>
      </c>
      <c r="I7288" s="1">
        <v>41942</v>
      </c>
      <c r="J7288" s="1">
        <v>41942</v>
      </c>
      <c r="K7288" s="1">
        <v>42002</v>
      </c>
      <c r="N7288" s="5"/>
      <c r="O7288" s="2">
        <v>5586.75</v>
      </c>
      <c r="P7288">
        <v>154</v>
      </c>
      <c r="Q7288" s="2">
        <v>860359.5</v>
      </c>
      <c r="R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 s="1">
        <v>42382</v>
      </c>
      <c r="AC7288" t="s">
        <v>53</v>
      </c>
      <c r="AD7288" t="s">
        <v>53</v>
      </c>
      <c r="AK7288">
        <v>0</v>
      </c>
      <c r="AU7288" s="6">
        <v>42156</v>
      </c>
      <c r="AV7288" s="6">
        <v>42156</v>
      </c>
      <c r="AW7288" t="s">
        <v>54</v>
      </c>
      <c r="AX7288" t="str">
        <f t="shared" si="587"/>
        <v>FOR</v>
      </c>
      <c r="AY7288" t="s">
        <v>55</v>
      </c>
    </row>
    <row r="7289" spans="1:51" hidden="1">
      <c r="A7289">
        <v>104124</v>
      </c>
      <c r="B7289" t="s">
        <v>1216</v>
      </c>
      <c r="C7289" t="str">
        <f t="shared" si="590"/>
        <v>03104731215</v>
      </c>
      <c r="D7289" t="str">
        <f t="shared" si="591"/>
        <v>CPTMSM61E01L245Y</v>
      </c>
      <c r="E7289" t="s">
        <v>52</v>
      </c>
      <c r="F7289">
        <v>2014</v>
      </c>
      <c r="G7289">
        <v>70</v>
      </c>
      <c r="H7289" s="1">
        <v>41946</v>
      </c>
      <c r="I7289" s="1">
        <v>41955</v>
      </c>
      <c r="J7289" s="1">
        <v>41955</v>
      </c>
      <c r="K7289" s="1">
        <v>42015</v>
      </c>
      <c r="N7289" s="5"/>
      <c r="O7289" s="2">
        <v>4438.12</v>
      </c>
      <c r="P7289">
        <v>166</v>
      </c>
      <c r="Q7289" s="2">
        <v>736727.92</v>
      </c>
      <c r="R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 s="1">
        <v>42382</v>
      </c>
      <c r="AC7289" t="s">
        <v>53</v>
      </c>
      <c r="AD7289" t="s">
        <v>53</v>
      </c>
      <c r="AK7289">
        <v>0</v>
      </c>
      <c r="AU7289" s="6">
        <v>42181</v>
      </c>
      <c r="AV7289" s="6">
        <v>42181</v>
      </c>
      <c r="AW7289" t="s">
        <v>54</v>
      </c>
      <c r="AX7289" t="str">
        <f t="shared" si="587"/>
        <v>FOR</v>
      </c>
      <c r="AY7289" t="s">
        <v>55</v>
      </c>
    </row>
    <row r="7290" spans="1:51" hidden="1">
      <c r="A7290">
        <v>104124</v>
      </c>
      <c r="B7290" t="s">
        <v>1216</v>
      </c>
      <c r="C7290" t="str">
        <f t="shared" si="590"/>
        <v>03104731215</v>
      </c>
      <c r="D7290" t="str">
        <f t="shared" si="591"/>
        <v>CPTMSM61E01L245Y</v>
      </c>
      <c r="E7290" t="s">
        <v>52</v>
      </c>
      <c r="F7290">
        <v>2014</v>
      </c>
      <c r="G7290">
        <v>71</v>
      </c>
      <c r="H7290" s="1">
        <v>41961</v>
      </c>
      <c r="I7290" s="1">
        <v>41970</v>
      </c>
      <c r="J7290" s="1">
        <v>41970</v>
      </c>
      <c r="K7290" s="1">
        <v>42030</v>
      </c>
      <c r="N7290" s="5"/>
      <c r="O7290" s="2">
        <v>4590.62</v>
      </c>
      <c r="P7290">
        <v>151</v>
      </c>
      <c r="Q7290" s="2">
        <v>693183.62</v>
      </c>
      <c r="R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 s="1">
        <v>42382</v>
      </c>
      <c r="AC7290" t="s">
        <v>53</v>
      </c>
      <c r="AD7290" t="s">
        <v>53</v>
      </c>
      <c r="AK7290">
        <v>0</v>
      </c>
      <c r="AU7290" s="6">
        <v>42181</v>
      </c>
      <c r="AV7290" s="6">
        <v>42181</v>
      </c>
      <c r="AW7290" t="s">
        <v>54</v>
      </c>
      <c r="AX7290" t="str">
        <f t="shared" si="587"/>
        <v>FOR</v>
      </c>
      <c r="AY7290" t="s">
        <v>55</v>
      </c>
    </row>
    <row r="7291" spans="1:51" hidden="1">
      <c r="A7291">
        <v>104124</v>
      </c>
      <c r="B7291" t="s">
        <v>1216</v>
      </c>
      <c r="C7291" t="str">
        <f t="shared" si="590"/>
        <v>03104731215</v>
      </c>
      <c r="D7291" t="str">
        <f t="shared" si="591"/>
        <v>CPTMSM61E01L245Y</v>
      </c>
      <c r="E7291" t="s">
        <v>52</v>
      </c>
      <c r="F7291">
        <v>2014</v>
      </c>
      <c r="G7291">
        <v>72</v>
      </c>
      <c r="H7291" s="1">
        <v>41961</v>
      </c>
      <c r="I7291" s="1">
        <v>41970</v>
      </c>
      <c r="J7291" s="1">
        <v>41970</v>
      </c>
      <c r="K7291" s="1">
        <v>42030</v>
      </c>
      <c r="N7291" s="5"/>
      <c r="O7291" s="2">
        <v>5925.42</v>
      </c>
      <c r="P7291">
        <v>151</v>
      </c>
      <c r="Q7291" s="2">
        <v>894738.42</v>
      </c>
      <c r="R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 s="1">
        <v>42382</v>
      </c>
      <c r="AC7291" t="s">
        <v>53</v>
      </c>
      <c r="AD7291" t="s">
        <v>53</v>
      </c>
      <c r="AK7291">
        <v>0</v>
      </c>
      <c r="AU7291" s="6">
        <v>42181</v>
      </c>
      <c r="AV7291" s="6">
        <v>42181</v>
      </c>
      <c r="AW7291" t="s">
        <v>54</v>
      </c>
      <c r="AX7291" t="str">
        <f t="shared" si="587"/>
        <v>FOR</v>
      </c>
      <c r="AY7291" t="s">
        <v>55</v>
      </c>
    </row>
    <row r="7292" spans="1:51" hidden="1">
      <c r="A7292">
        <v>104124</v>
      </c>
      <c r="B7292" t="s">
        <v>1216</v>
      </c>
      <c r="C7292" t="str">
        <f t="shared" si="590"/>
        <v>03104731215</v>
      </c>
      <c r="D7292" t="str">
        <f t="shared" si="591"/>
        <v>CPTMSM61E01L245Y</v>
      </c>
      <c r="E7292" t="s">
        <v>52</v>
      </c>
      <c r="F7292">
        <v>2014</v>
      </c>
      <c r="G7292">
        <v>73</v>
      </c>
      <c r="H7292" s="1">
        <v>41961</v>
      </c>
      <c r="I7292" s="1">
        <v>41970</v>
      </c>
      <c r="J7292" s="1">
        <v>41970</v>
      </c>
      <c r="K7292" s="1">
        <v>42030</v>
      </c>
      <c r="N7292" s="5"/>
      <c r="O7292" s="2">
        <v>6045.81</v>
      </c>
      <c r="P7292">
        <v>151</v>
      </c>
      <c r="Q7292" s="2">
        <v>912917.31</v>
      </c>
      <c r="R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 s="1">
        <v>42382</v>
      </c>
      <c r="AC7292" t="s">
        <v>53</v>
      </c>
      <c r="AD7292" t="s">
        <v>53</v>
      </c>
      <c r="AK7292">
        <v>0</v>
      </c>
      <c r="AU7292" s="6">
        <v>42181</v>
      </c>
      <c r="AV7292" s="6">
        <v>42181</v>
      </c>
      <c r="AW7292" t="s">
        <v>54</v>
      </c>
      <c r="AX7292" t="str">
        <f t="shared" si="587"/>
        <v>FOR</v>
      </c>
      <c r="AY7292" t="s">
        <v>55</v>
      </c>
    </row>
    <row r="7293" spans="1:51" hidden="1">
      <c r="A7293">
        <v>104124</v>
      </c>
      <c r="B7293" t="s">
        <v>1216</v>
      </c>
      <c r="C7293" t="str">
        <f t="shared" si="590"/>
        <v>03104731215</v>
      </c>
      <c r="D7293" t="str">
        <f t="shared" si="591"/>
        <v>CPTMSM61E01L245Y</v>
      </c>
      <c r="E7293" t="s">
        <v>52</v>
      </c>
      <c r="F7293">
        <v>2014</v>
      </c>
      <c r="G7293">
        <v>74</v>
      </c>
      <c r="H7293" s="1">
        <v>41975</v>
      </c>
      <c r="I7293" s="1">
        <v>41976</v>
      </c>
      <c r="J7293" s="1">
        <v>41976</v>
      </c>
      <c r="K7293" s="1">
        <v>42036</v>
      </c>
      <c r="N7293" s="5"/>
      <c r="O7293" s="2">
        <v>3022.9</v>
      </c>
      <c r="P7293">
        <v>145</v>
      </c>
      <c r="Q7293" s="2">
        <v>438320.5</v>
      </c>
      <c r="R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 s="1">
        <v>42382</v>
      </c>
      <c r="AC7293" t="s">
        <v>53</v>
      </c>
      <c r="AD7293" t="s">
        <v>53</v>
      </c>
      <c r="AK7293">
        <v>0</v>
      </c>
      <c r="AU7293" s="6">
        <v>42181</v>
      </c>
      <c r="AV7293" s="6">
        <v>42181</v>
      </c>
      <c r="AW7293" t="s">
        <v>54</v>
      </c>
      <c r="AX7293" t="str">
        <f t="shared" si="587"/>
        <v>FOR</v>
      </c>
      <c r="AY7293" t="s">
        <v>55</v>
      </c>
    </row>
    <row r="7294" spans="1:51" hidden="1">
      <c r="A7294">
        <v>104124</v>
      </c>
      <c r="B7294" t="s">
        <v>1216</v>
      </c>
      <c r="C7294" t="str">
        <f t="shared" si="590"/>
        <v>03104731215</v>
      </c>
      <c r="D7294" t="str">
        <f t="shared" si="591"/>
        <v>CPTMSM61E01L245Y</v>
      </c>
      <c r="E7294" t="s">
        <v>52</v>
      </c>
      <c r="F7294">
        <v>2014</v>
      </c>
      <c r="G7294">
        <v>76</v>
      </c>
      <c r="H7294" s="1">
        <v>41989</v>
      </c>
      <c r="I7294" s="1">
        <v>41990</v>
      </c>
      <c r="J7294" s="1">
        <v>41990</v>
      </c>
      <c r="K7294" s="1">
        <v>42050</v>
      </c>
      <c r="N7294" s="5"/>
      <c r="O7294" s="2">
        <v>2875.48</v>
      </c>
      <c r="P7294">
        <v>131</v>
      </c>
      <c r="Q7294" s="2">
        <v>376687.88</v>
      </c>
      <c r="R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 s="1">
        <v>42382</v>
      </c>
      <c r="AC7294" t="s">
        <v>53</v>
      </c>
      <c r="AD7294" t="s">
        <v>53</v>
      </c>
      <c r="AK7294">
        <v>0</v>
      </c>
      <c r="AU7294" s="6">
        <v>42181</v>
      </c>
      <c r="AV7294" s="6">
        <v>42181</v>
      </c>
      <c r="AW7294" t="s">
        <v>54</v>
      </c>
      <c r="AX7294" t="str">
        <f t="shared" si="587"/>
        <v>FOR</v>
      </c>
      <c r="AY7294" t="s">
        <v>55</v>
      </c>
    </row>
    <row r="7295" spans="1:51" hidden="1">
      <c r="A7295">
        <v>104124</v>
      </c>
      <c r="B7295" t="s">
        <v>1216</v>
      </c>
      <c r="C7295" t="str">
        <f t="shared" si="590"/>
        <v>03104731215</v>
      </c>
      <c r="D7295" t="str">
        <f t="shared" si="591"/>
        <v>CPTMSM61E01L245Y</v>
      </c>
      <c r="E7295" t="s">
        <v>52</v>
      </c>
      <c r="F7295">
        <v>2015</v>
      </c>
      <c r="G7295">
        <v>2</v>
      </c>
      <c r="H7295" s="1">
        <v>42011</v>
      </c>
      <c r="I7295" s="1">
        <v>42024</v>
      </c>
      <c r="J7295" s="1">
        <v>42024</v>
      </c>
      <c r="K7295" s="1">
        <v>42084</v>
      </c>
      <c r="N7295" s="5"/>
      <c r="O7295" s="2">
        <v>4746.6000000000004</v>
      </c>
      <c r="P7295">
        <v>128</v>
      </c>
      <c r="Q7295" s="2">
        <v>607564.80000000005</v>
      </c>
      <c r="R7295">
        <v>0</v>
      </c>
      <c r="V7295">
        <v>0</v>
      </c>
      <c r="W7295">
        <v>0</v>
      </c>
      <c r="X7295">
        <v>0</v>
      </c>
      <c r="Y7295">
        <v>0</v>
      </c>
      <c r="Z7295" s="2">
        <v>5790.85</v>
      </c>
      <c r="AA7295" s="2">
        <v>5790.85</v>
      </c>
      <c r="AB7295" s="1">
        <v>42382</v>
      </c>
      <c r="AC7295" t="s">
        <v>53</v>
      </c>
      <c r="AD7295" t="s">
        <v>53</v>
      </c>
      <c r="AK7295">
        <v>0</v>
      </c>
      <c r="AU7295" s="6">
        <v>42212</v>
      </c>
      <c r="AV7295" s="6">
        <v>42212</v>
      </c>
      <c r="AW7295" t="s">
        <v>54</v>
      </c>
      <c r="AX7295" t="str">
        <f t="shared" si="587"/>
        <v>FOR</v>
      </c>
      <c r="AY7295" t="s">
        <v>55</v>
      </c>
    </row>
    <row r="7296" spans="1:51" hidden="1">
      <c r="A7296">
        <v>104124</v>
      </c>
      <c r="B7296" t="s">
        <v>1216</v>
      </c>
      <c r="C7296" t="str">
        <f t="shared" si="590"/>
        <v>03104731215</v>
      </c>
      <c r="D7296" t="str">
        <f t="shared" si="591"/>
        <v>CPTMSM61E01L245Y</v>
      </c>
      <c r="E7296" t="s">
        <v>52</v>
      </c>
      <c r="F7296">
        <v>2015</v>
      </c>
      <c r="G7296">
        <v>3</v>
      </c>
      <c r="H7296" s="1">
        <v>42011</v>
      </c>
      <c r="I7296" s="1">
        <v>42024</v>
      </c>
      <c r="J7296" s="1">
        <v>42024</v>
      </c>
      <c r="K7296" s="1">
        <v>42084</v>
      </c>
      <c r="N7296" s="5"/>
      <c r="O7296" s="2">
        <v>4972</v>
      </c>
      <c r="P7296">
        <v>128</v>
      </c>
      <c r="Q7296" s="2">
        <v>636416</v>
      </c>
      <c r="R7296">
        <v>0</v>
      </c>
      <c r="V7296">
        <v>0</v>
      </c>
      <c r="W7296">
        <v>0</v>
      </c>
      <c r="X7296">
        <v>0</v>
      </c>
      <c r="Y7296">
        <v>0</v>
      </c>
      <c r="Z7296" s="2">
        <v>6065.84</v>
      </c>
      <c r="AA7296" s="2">
        <v>6065.84</v>
      </c>
      <c r="AB7296" s="1">
        <v>42382</v>
      </c>
      <c r="AC7296" t="s">
        <v>53</v>
      </c>
      <c r="AD7296" t="s">
        <v>53</v>
      </c>
      <c r="AK7296">
        <v>0</v>
      </c>
      <c r="AU7296" s="6">
        <v>42212</v>
      </c>
      <c r="AV7296" s="6">
        <v>42212</v>
      </c>
      <c r="AW7296" t="s">
        <v>54</v>
      </c>
      <c r="AX7296" t="str">
        <f t="shared" si="587"/>
        <v>FOR</v>
      </c>
      <c r="AY7296" t="s">
        <v>55</v>
      </c>
    </row>
    <row r="7297" spans="1:51" hidden="1">
      <c r="A7297">
        <v>104124</v>
      </c>
      <c r="B7297" t="s">
        <v>1216</v>
      </c>
      <c r="C7297" t="str">
        <f t="shared" si="590"/>
        <v>03104731215</v>
      </c>
      <c r="D7297" t="str">
        <f t="shared" si="591"/>
        <v>CPTMSM61E01L245Y</v>
      </c>
      <c r="E7297" t="s">
        <v>52</v>
      </c>
      <c r="F7297">
        <v>2015</v>
      </c>
      <c r="G7297">
        <v>4</v>
      </c>
      <c r="H7297" s="1">
        <v>42011</v>
      </c>
      <c r="I7297" s="1">
        <v>42024</v>
      </c>
      <c r="J7297" s="1">
        <v>42024</v>
      </c>
      <c r="K7297" s="1">
        <v>42084</v>
      </c>
      <c r="N7297" s="5"/>
      <c r="O7297" s="2">
        <v>4899.13</v>
      </c>
      <c r="P7297">
        <v>128</v>
      </c>
      <c r="Q7297" s="2">
        <v>627088.64000000001</v>
      </c>
      <c r="R7297">
        <v>0</v>
      </c>
      <c r="V7297">
        <v>0</v>
      </c>
      <c r="W7297">
        <v>0</v>
      </c>
      <c r="X7297">
        <v>0</v>
      </c>
      <c r="Y7297">
        <v>0</v>
      </c>
      <c r="Z7297" s="2">
        <v>5976.94</v>
      </c>
      <c r="AA7297" s="2">
        <v>5976.94</v>
      </c>
      <c r="AB7297" s="1">
        <v>42382</v>
      </c>
      <c r="AC7297" t="s">
        <v>53</v>
      </c>
      <c r="AD7297" t="s">
        <v>53</v>
      </c>
      <c r="AK7297">
        <v>0</v>
      </c>
      <c r="AU7297" s="6">
        <v>42212</v>
      </c>
      <c r="AV7297" s="6">
        <v>42212</v>
      </c>
      <c r="AW7297" t="s">
        <v>54</v>
      </c>
      <c r="AX7297" t="str">
        <f t="shared" si="587"/>
        <v>FOR</v>
      </c>
      <c r="AY7297" t="s">
        <v>55</v>
      </c>
    </row>
    <row r="7298" spans="1:51" hidden="1">
      <c r="A7298">
        <v>104124</v>
      </c>
      <c r="B7298" t="s">
        <v>1216</v>
      </c>
      <c r="C7298" t="str">
        <f t="shared" si="590"/>
        <v>03104731215</v>
      </c>
      <c r="D7298" t="str">
        <f t="shared" si="591"/>
        <v>CPTMSM61E01L245Y</v>
      </c>
      <c r="E7298" t="s">
        <v>52</v>
      </c>
      <c r="F7298">
        <v>2015</v>
      </c>
      <c r="G7298">
        <v>7</v>
      </c>
      <c r="H7298" s="1">
        <v>42081</v>
      </c>
      <c r="I7298" s="1">
        <v>42087</v>
      </c>
      <c r="J7298" s="1">
        <v>42087</v>
      </c>
      <c r="K7298" s="1">
        <v>42147</v>
      </c>
      <c r="N7298" s="5"/>
      <c r="O7298" s="2">
        <v>4747.5</v>
      </c>
      <c r="P7298">
        <v>104</v>
      </c>
      <c r="Q7298" s="2">
        <v>493740</v>
      </c>
      <c r="R7298">
        <v>0</v>
      </c>
      <c r="V7298">
        <v>0</v>
      </c>
      <c r="W7298">
        <v>0</v>
      </c>
      <c r="X7298">
        <v>0</v>
      </c>
      <c r="Y7298" s="2">
        <v>5791.95</v>
      </c>
      <c r="Z7298" s="2">
        <v>5791.95</v>
      </c>
      <c r="AA7298" s="2">
        <v>5791.95</v>
      </c>
      <c r="AB7298" s="1">
        <v>42382</v>
      </c>
      <c r="AC7298" t="s">
        <v>53</v>
      </c>
      <c r="AD7298" t="s">
        <v>53</v>
      </c>
      <c r="AK7298">
        <v>0</v>
      </c>
      <c r="AU7298" s="6">
        <v>42251</v>
      </c>
      <c r="AV7298" s="6">
        <v>42251</v>
      </c>
      <c r="AW7298" t="s">
        <v>54</v>
      </c>
      <c r="AX7298" t="str">
        <f t="shared" si="587"/>
        <v>FOR</v>
      </c>
      <c r="AY7298" t="s">
        <v>55</v>
      </c>
    </row>
    <row r="7299" spans="1:51" hidden="1">
      <c r="A7299">
        <v>104124</v>
      </c>
      <c r="B7299" t="s">
        <v>1216</v>
      </c>
      <c r="C7299" t="str">
        <f t="shared" si="590"/>
        <v>03104731215</v>
      </c>
      <c r="D7299" t="str">
        <f t="shared" si="591"/>
        <v>CPTMSM61E01L245Y</v>
      </c>
      <c r="E7299" t="s">
        <v>52</v>
      </c>
      <c r="F7299">
        <v>2015</v>
      </c>
      <c r="G7299">
        <v>8</v>
      </c>
      <c r="H7299" s="1">
        <v>42087</v>
      </c>
      <c r="I7299" s="1">
        <v>42088</v>
      </c>
      <c r="J7299" s="1">
        <v>42088</v>
      </c>
      <c r="K7299" s="1">
        <v>42148</v>
      </c>
      <c r="N7299" s="5"/>
      <c r="O7299" s="2">
        <v>4700.2</v>
      </c>
      <c r="P7299">
        <v>103</v>
      </c>
      <c r="Q7299" s="2">
        <v>484120.6</v>
      </c>
      <c r="R7299">
        <v>0</v>
      </c>
      <c r="V7299">
        <v>0</v>
      </c>
      <c r="W7299">
        <v>0</v>
      </c>
      <c r="X7299">
        <v>0</v>
      </c>
      <c r="Y7299" s="2">
        <v>5734.24</v>
      </c>
      <c r="Z7299" s="2">
        <v>5734.24</v>
      </c>
      <c r="AA7299" s="2">
        <v>5734.24</v>
      </c>
      <c r="AB7299" s="1">
        <v>42382</v>
      </c>
      <c r="AC7299" t="s">
        <v>53</v>
      </c>
      <c r="AD7299" t="s">
        <v>53</v>
      </c>
      <c r="AK7299">
        <v>0</v>
      </c>
      <c r="AU7299" s="6">
        <v>42251</v>
      </c>
      <c r="AV7299" s="6">
        <v>42251</v>
      </c>
      <c r="AW7299" t="s">
        <v>54</v>
      </c>
      <c r="AX7299" t="str">
        <f t="shared" ref="AX7299:AX7362" si="592">"FOR"</f>
        <v>FOR</v>
      </c>
      <c r="AY7299" t="s">
        <v>55</v>
      </c>
    </row>
    <row r="7300" spans="1:51" hidden="1">
      <c r="A7300">
        <v>104124</v>
      </c>
      <c r="B7300" t="s">
        <v>1216</v>
      </c>
      <c r="C7300" t="str">
        <f t="shared" si="590"/>
        <v>03104731215</v>
      </c>
      <c r="D7300" t="str">
        <f t="shared" si="591"/>
        <v>CPTMSM61E01L245Y</v>
      </c>
      <c r="E7300" t="s">
        <v>52</v>
      </c>
      <c r="F7300">
        <v>2015</v>
      </c>
      <c r="G7300">
        <v>9</v>
      </c>
      <c r="H7300" s="1">
        <v>42087</v>
      </c>
      <c r="I7300" s="1">
        <v>42088</v>
      </c>
      <c r="J7300" s="1">
        <v>42088</v>
      </c>
      <c r="K7300" s="1">
        <v>42148</v>
      </c>
      <c r="N7300" s="5"/>
      <c r="O7300" s="2">
        <v>3982.04</v>
      </c>
      <c r="P7300">
        <v>103</v>
      </c>
      <c r="Q7300" s="2">
        <v>410150.12</v>
      </c>
      <c r="R7300">
        <v>0</v>
      </c>
      <c r="V7300">
        <v>0</v>
      </c>
      <c r="W7300">
        <v>0</v>
      </c>
      <c r="X7300">
        <v>0</v>
      </c>
      <c r="Y7300" s="2">
        <v>4858.09</v>
      </c>
      <c r="Z7300" s="2">
        <v>4858.09</v>
      </c>
      <c r="AA7300" s="2">
        <v>4858.09</v>
      </c>
      <c r="AB7300" s="1">
        <v>42382</v>
      </c>
      <c r="AC7300" t="s">
        <v>53</v>
      </c>
      <c r="AD7300" t="s">
        <v>53</v>
      </c>
      <c r="AK7300">
        <v>0</v>
      </c>
      <c r="AU7300" s="6">
        <v>42251</v>
      </c>
      <c r="AV7300" s="6">
        <v>42251</v>
      </c>
      <c r="AW7300" t="s">
        <v>54</v>
      </c>
      <c r="AX7300" t="str">
        <f t="shared" si="592"/>
        <v>FOR</v>
      </c>
      <c r="AY7300" t="s">
        <v>55</v>
      </c>
    </row>
    <row r="7301" spans="1:51" hidden="1">
      <c r="A7301">
        <v>104124</v>
      </c>
      <c r="B7301" t="s">
        <v>1216</v>
      </c>
      <c r="C7301" t="str">
        <f t="shared" si="590"/>
        <v>03104731215</v>
      </c>
      <c r="D7301" t="str">
        <f t="shared" si="591"/>
        <v>CPTMSM61E01L245Y</v>
      </c>
      <c r="E7301" t="s">
        <v>52</v>
      </c>
      <c r="F7301">
        <v>2015</v>
      </c>
      <c r="G7301">
        <v>10</v>
      </c>
      <c r="H7301" s="1">
        <v>42087</v>
      </c>
      <c r="I7301" s="1">
        <v>42088</v>
      </c>
      <c r="J7301" s="1">
        <v>42088</v>
      </c>
      <c r="K7301" s="1">
        <v>42148</v>
      </c>
      <c r="N7301" s="5"/>
      <c r="O7301" s="2">
        <v>3500</v>
      </c>
      <c r="P7301">
        <v>103</v>
      </c>
      <c r="Q7301" s="2">
        <v>360500</v>
      </c>
      <c r="R7301">
        <v>0</v>
      </c>
      <c r="V7301">
        <v>0</v>
      </c>
      <c r="W7301">
        <v>0</v>
      </c>
      <c r="X7301">
        <v>0</v>
      </c>
      <c r="Y7301" s="2">
        <v>4270</v>
      </c>
      <c r="Z7301" s="2">
        <v>4270</v>
      </c>
      <c r="AA7301" s="2">
        <v>4270</v>
      </c>
      <c r="AB7301" s="1">
        <v>42382</v>
      </c>
      <c r="AC7301" t="s">
        <v>53</v>
      </c>
      <c r="AD7301" t="s">
        <v>53</v>
      </c>
      <c r="AK7301">
        <v>0</v>
      </c>
      <c r="AU7301" s="6">
        <v>42251</v>
      </c>
      <c r="AV7301" s="6">
        <v>42251</v>
      </c>
      <c r="AW7301" t="s">
        <v>54</v>
      </c>
      <c r="AX7301" t="str">
        <f t="shared" si="592"/>
        <v>FOR</v>
      </c>
      <c r="AY7301" t="s">
        <v>55</v>
      </c>
    </row>
    <row r="7302" spans="1:51" hidden="1">
      <c r="A7302">
        <v>104124</v>
      </c>
      <c r="B7302" t="s">
        <v>1216</v>
      </c>
      <c r="C7302" t="str">
        <f t="shared" si="590"/>
        <v>03104731215</v>
      </c>
      <c r="D7302" t="str">
        <f t="shared" si="591"/>
        <v>CPTMSM61E01L245Y</v>
      </c>
      <c r="E7302" t="s">
        <v>52</v>
      </c>
      <c r="F7302">
        <v>2015</v>
      </c>
      <c r="G7302">
        <v>11</v>
      </c>
      <c r="H7302" s="1">
        <v>42087</v>
      </c>
      <c r="I7302" s="1">
        <v>42088</v>
      </c>
      <c r="J7302" s="1">
        <v>42088</v>
      </c>
      <c r="K7302" s="1">
        <v>42148</v>
      </c>
      <c r="N7302" s="5"/>
      <c r="O7302" s="2">
        <v>4109.3999999999996</v>
      </c>
      <c r="P7302">
        <v>103</v>
      </c>
      <c r="Q7302" s="2">
        <v>423268.2</v>
      </c>
      <c r="R7302">
        <v>0</v>
      </c>
      <c r="V7302">
        <v>0</v>
      </c>
      <c r="W7302">
        <v>0</v>
      </c>
      <c r="X7302">
        <v>0</v>
      </c>
      <c r="Y7302" s="2">
        <v>5013.47</v>
      </c>
      <c r="Z7302" s="2">
        <v>5013.47</v>
      </c>
      <c r="AA7302" s="2">
        <v>5013.47</v>
      </c>
      <c r="AB7302" s="1">
        <v>42382</v>
      </c>
      <c r="AC7302" t="s">
        <v>53</v>
      </c>
      <c r="AD7302" t="s">
        <v>53</v>
      </c>
      <c r="AK7302">
        <v>0</v>
      </c>
      <c r="AU7302" s="6">
        <v>42251</v>
      </c>
      <c r="AV7302" s="6">
        <v>42251</v>
      </c>
      <c r="AW7302" t="s">
        <v>54</v>
      </c>
      <c r="AX7302" t="str">
        <f t="shared" si="592"/>
        <v>FOR</v>
      </c>
      <c r="AY7302" t="s">
        <v>55</v>
      </c>
    </row>
    <row r="7303" spans="1:51" hidden="1">
      <c r="A7303">
        <v>104124</v>
      </c>
      <c r="B7303" t="s">
        <v>1216</v>
      </c>
      <c r="C7303" t="str">
        <f t="shared" si="590"/>
        <v>03104731215</v>
      </c>
      <c r="D7303" t="str">
        <f t="shared" si="591"/>
        <v>CPTMSM61E01L245Y</v>
      </c>
      <c r="E7303" t="s">
        <v>52</v>
      </c>
      <c r="F7303">
        <v>2015</v>
      </c>
      <c r="G7303">
        <v>12</v>
      </c>
      <c r="H7303" s="1">
        <v>42087</v>
      </c>
      <c r="I7303" s="1">
        <v>42088</v>
      </c>
      <c r="J7303" s="1">
        <v>42088</v>
      </c>
      <c r="K7303" s="1">
        <v>42148</v>
      </c>
      <c r="N7303" s="5"/>
      <c r="O7303" s="2">
        <v>4439.7</v>
      </c>
      <c r="P7303">
        <v>103</v>
      </c>
      <c r="Q7303" s="2">
        <v>457289.1</v>
      </c>
      <c r="R7303">
        <v>0</v>
      </c>
      <c r="V7303">
        <v>0</v>
      </c>
      <c r="W7303">
        <v>0</v>
      </c>
      <c r="X7303">
        <v>0</v>
      </c>
      <c r="Y7303" s="2">
        <v>5416.43</v>
      </c>
      <c r="Z7303" s="2">
        <v>5416.43</v>
      </c>
      <c r="AA7303" s="2">
        <v>5416.43</v>
      </c>
      <c r="AB7303" s="1">
        <v>42382</v>
      </c>
      <c r="AC7303" t="s">
        <v>53</v>
      </c>
      <c r="AD7303" t="s">
        <v>53</v>
      </c>
      <c r="AK7303">
        <v>0</v>
      </c>
      <c r="AU7303" s="6">
        <v>42251</v>
      </c>
      <c r="AV7303" s="6">
        <v>42251</v>
      </c>
      <c r="AW7303" t="s">
        <v>54</v>
      </c>
      <c r="AX7303" t="str">
        <f t="shared" si="592"/>
        <v>FOR</v>
      </c>
      <c r="AY7303" t="s">
        <v>55</v>
      </c>
    </row>
    <row r="7304" spans="1:51">
      <c r="A7304">
        <v>104124</v>
      </c>
      <c r="B7304" t="s">
        <v>1216</v>
      </c>
      <c r="C7304" t="str">
        <f t="shared" si="590"/>
        <v>03104731215</v>
      </c>
      <c r="D7304" t="str">
        <f t="shared" si="591"/>
        <v>CPTMSM61E01L245Y</v>
      </c>
      <c r="E7304" t="s">
        <v>52</v>
      </c>
      <c r="F7304">
        <v>2015</v>
      </c>
      <c r="G7304" t="s">
        <v>1217</v>
      </c>
      <c r="H7304" s="1">
        <v>42111</v>
      </c>
      <c r="I7304" s="1">
        <v>42166</v>
      </c>
      <c r="J7304" s="1">
        <v>42166</v>
      </c>
      <c r="K7304" s="1">
        <v>42226</v>
      </c>
      <c r="L7304" s="7">
        <v>822.79</v>
      </c>
      <c r="M7304" s="5">
        <v>113</v>
      </c>
      <c r="N7304" s="7">
        <v>92975.27</v>
      </c>
      <c r="O7304">
        <v>822.79</v>
      </c>
      <c r="P7304">
        <v>113</v>
      </c>
      <c r="Q7304" s="2">
        <v>92975.27</v>
      </c>
      <c r="R7304">
        <v>181.01</v>
      </c>
      <c r="V7304">
        <v>0</v>
      </c>
      <c r="W7304">
        <v>0</v>
      </c>
      <c r="X7304">
        <v>0</v>
      </c>
      <c r="Y7304" s="2">
        <v>1003.8</v>
      </c>
      <c r="Z7304" s="2">
        <v>1003.8</v>
      </c>
      <c r="AA7304" s="2">
        <v>1003.8</v>
      </c>
      <c r="AB7304" s="1">
        <v>42382</v>
      </c>
      <c r="AC7304" t="s">
        <v>53</v>
      </c>
      <c r="AD7304" t="s">
        <v>53</v>
      </c>
      <c r="AI7304">
        <v>181.01</v>
      </c>
      <c r="AK7304">
        <v>0</v>
      </c>
      <c r="AU7304" s="6">
        <v>42339</v>
      </c>
      <c r="AV7304" s="6">
        <v>42339</v>
      </c>
      <c r="AW7304" t="s">
        <v>54</v>
      </c>
      <c r="AX7304" t="str">
        <f t="shared" si="592"/>
        <v>FOR</v>
      </c>
      <c r="AY7304" t="s">
        <v>55</v>
      </c>
    </row>
    <row r="7305" spans="1:51">
      <c r="A7305">
        <v>104124</v>
      </c>
      <c r="B7305" t="s">
        <v>1216</v>
      </c>
      <c r="C7305" t="str">
        <f t="shared" ref="C7305:C7328" si="593">"03104731215"</f>
        <v>03104731215</v>
      </c>
      <c r="D7305" t="str">
        <f t="shared" ref="D7305:D7328" si="594">"CPTMSM61E01L245Y"</f>
        <v>CPTMSM61E01L245Y</v>
      </c>
      <c r="E7305" t="s">
        <v>52</v>
      </c>
      <c r="F7305">
        <v>2015</v>
      </c>
      <c r="G7305" t="s">
        <v>1218</v>
      </c>
      <c r="H7305" s="1">
        <v>42217</v>
      </c>
      <c r="I7305" s="1">
        <v>42233</v>
      </c>
      <c r="J7305" s="1">
        <v>42232</v>
      </c>
      <c r="K7305" s="1">
        <v>42292</v>
      </c>
      <c r="L7305" s="7">
        <v>936.25</v>
      </c>
      <c r="M7305" s="5">
        <v>47</v>
      </c>
      <c r="N7305" s="7">
        <v>44003.75</v>
      </c>
      <c r="O7305">
        <v>936.25</v>
      </c>
      <c r="P7305">
        <v>47</v>
      </c>
      <c r="Q7305" s="2">
        <v>44003.75</v>
      </c>
      <c r="R7305">
        <v>205.98</v>
      </c>
      <c r="V7305">
        <v>0</v>
      </c>
      <c r="W7305">
        <v>0</v>
      </c>
      <c r="X7305">
        <v>0</v>
      </c>
      <c r="Y7305" s="2">
        <v>1142.23</v>
      </c>
      <c r="Z7305" s="2">
        <v>1142.23</v>
      </c>
      <c r="AA7305" s="2">
        <v>1142.23</v>
      </c>
      <c r="AB7305" s="1">
        <v>42382</v>
      </c>
      <c r="AC7305" t="s">
        <v>53</v>
      </c>
      <c r="AD7305" t="s">
        <v>53</v>
      </c>
      <c r="AG7305">
        <v>205.98</v>
      </c>
      <c r="AK7305">
        <v>0</v>
      </c>
      <c r="AU7305" s="6">
        <v>42339</v>
      </c>
      <c r="AV7305" s="6">
        <v>42339</v>
      </c>
      <c r="AW7305" t="s">
        <v>54</v>
      </c>
      <c r="AX7305" t="str">
        <f t="shared" si="592"/>
        <v>FOR</v>
      </c>
      <c r="AY7305" t="s">
        <v>55</v>
      </c>
    </row>
    <row r="7306" spans="1:51" hidden="1">
      <c r="A7306">
        <v>104124</v>
      </c>
      <c r="B7306" t="s">
        <v>1216</v>
      </c>
      <c r="C7306" t="str">
        <f t="shared" si="593"/>
        <v>03104731215</v>
      </c>
      <c r="D7306" t="str">
        <f t="shared" si="594"/>
        <v>CPTMSM61E01L245Y</v>
      </c>
      <c r="E7306" t="s">
        <v>52</v>
      </c>
      <c r="F7306">
        <v>2015</v>
      </c>
      <c r="G7306" s="4" t="s">
        <v>1219</v>
      </c>
      <c r="H7306" s="1">
        <v>42114</v>
      </c>
      <c r="I7306" s="1">
        <v>42135</v>
      </c>
      <c r="J7306" s="1">
        <v>42132</v>
      </c>
      <c r="K7306" s="1">
        <v>42192</v>
      </c>
      <c r="N7306" s="5"/>
      <c r="O7306" s="2">
        <v>8177.04</v>
      </c>
      <c r="P7306">
        <v>59</v>
      </c>
      <c r="Q7306" s="2">
        <v>482445.36</v>
      </c>
      <c r="R7306">
        <v>0</v>
      </c>
      <c r="V7306">
        <v>0</v>
      </c>
      <c r="W7306">
        <v>0</v>
      </c>
      <c r="X7306">
        <v>0</v>
      </c>
      <c r="Y7306" s="2">
        <v>9975.99</v>
      </c>
      <c r="Z7306" s="2">
        <v>9975.99</v>
      </c>
      <c r="AA7306" s="2">
        <v>9975.99</v>
      </c>
      <c r="AB7306" s="1">
        <v>42382</v>
      </c>
      <c r="AC7306" t="s">
        <v>53</v>
      </c>
      <c r="AD7306" t="s">
        <v>53</v>
      </c>
      <c r="AK7306">
        <v>0</v>
      </c>
      <c r="AU7306" s="6">
        <v>42251</v>
      </c>
      <c r="AV7306" s="6">
        <v>42251</v>
      </c>
      <c r="AW7306" t="s">
        <v>54</v>
      </c>
      <c r="AX7306" t="str">
        <f t="shared" si="592"/>
        <v>FOR</v>
      </c>
      <c r="AY7306" t="s">
        <v>55</v>
      </c>
    </row>
    <row r="7307" spans="1:51" hidden="1">
      <c r="A7307">
        <v>104124</v>
      </c>
      <c r="B7307" t="s">
        <v>1216</v>
      </c>
      <c r="C7307" t="str">
        <f t="shared" si="593"/>
        <v>03104731215</v>
      </c>
      <c r="D7307" t="str">
        <f t="shared" si="594"/>
        <v>CPTMSM61E01L245Y</v>
      </c>
      <c r="E7307" t="s">
        <v>52</v>
      </c>
      <c r="F7307">
        <v>2015</v>
      </c>
      <c r="G7307" s="4" t="s">
        <v>1220</v>
      </c>
      <c r="H7307" s="1">
        <v>42159</v>
      </c>
      <c r="I7307" s="1">
        <v>42166</v>
      </c>
      <c r="J7307" s="1">
        <v>42164</v>
      </c>
      <c r="K7307" s="1">
        <v>42224</v>
      </c>
      <c r="N7307" s="5"/>
      <c r="O7307" s="2">
        <v>1668.6</v>
      </c>
      <c r="P7307">
        <v>27</v>
      </c>
      <c r="Q7307" s="2">
        <v>45052.2</v>
      </c>
      <c r="R7307">
        <v>0</v>
      </c>
      <c r="V7307">
        <v>0</v>
      </c>
      <c r="W7307">
        <v>0</v>
      </c>
      <c r="X7307">
        <v>0</v>
      </c>
      <c r="Y7307" s="2">
        <v>2035.69</v>
      </c>
      <c r="Z7307" s="2">
        <v>2035.69</v>
      </c>
      <c r="AA7307" s="2">
        <v>2035.69</v>
      </c>
      <c r="AB7307" s="1">
        <v>42382</v>
      </c>
      <c r="AC7307" t="s">
        <v>53</v>
      </c>
      <c r="AD7307" t="s">
        <v>53</v>
      </c>
      <c r="AK7307">
        <v>0</v>
      </c>
      <c r="AU7307" s="6">
        <v>42251</v>
      </c>
      <c r="AV7307" s="6">
        <v>42251</v>
      </c>
      <c r="AW7307" t="s">
        <v>54</v>
      </c>
      <c r="AX7307" t="str">
        <f t="shared" si="592"/>
        <v>FOR</v>
      </c>
      <c r="AY7307" t="s">
        <v>55</v>
      </c>
    </row>
    <row r="7308" spans="1:51" hidden="1">
      <c r="A7308">
        <v>104124</v>
      </c>
      <c r="B7308" t="s">
        <v>1216</v>
      </c>
      <c r="C7308" t="str">
        <f t="shared" si="593"/>
        <v>03104731215</v>
      </c>
      <c r="D7308" t="str">
        <f t="shared" si="594"/>
        <v>CPTMSM61E01L245Y</v>
      </c>
      <c r="E7308" t="s">
        <v>52</v>
      </c>
      <c r="F7308">
        <v>2015</v>
      </c>
      <c r="G7308" s="4" t="s">
        <v>733</v>
      </c>
      <c r="H7308" s="1">
        <v>42159</v>
      </c>
      <c r="I7308" s="1">
        <v>42166</v>
      </c>
      <c r="J7308" s="1">
        <v>42164</v>
      </c>
      <c r="K7308" s="1">
        <v>42224</v>
      </c>
      <c r="N7308" s="5"/>
      <c r="O7308" s="2">
        <v>4724.5</v>
      </c>
      <c r="P7308">
        <v>27</v>
      </c>
      <c r="Q7308" s="2">
        <v>127561.5</v>
      </c>
      <c r="R7308">
        <v>0</v>
      </c>
      <c r="V7308">
        <v>0</v>
      </c>
      <c r="W7308">
        <v>0</v>
      </c>
      <c r="X7308">
        <v>0</v>
      </c>
      <c r="Y7308" s="2">
        <v>5763.89</v>
      </c>
      <c r="Z7308" s="2">
        <v>5763.89</v>
      </c>
      <c r="AA7308" s="2">
        <v>5763.89</v>
      </c>
      <c r="AB7308" s="1">
        <v>42382</v>
      </c>
      <c r="AC7308" t="s">
        <v>53</v>
      </c>
      <c r="AD7308" t="s">
        <v>53</v>
      </c>
      <c r="AK7308">
        <v>0</v>
      </c>
      <c r="AU7308" s="6">
        <v>42251</v>
      </c>
      <c r="AV7308" s="6">
        <v>42251</v>
      </c>
      <c r="AW7308" t="s">
        <v>54</v>
      </c>
      <c r="AX7308" t="str">
        <f t="shared" si="592"/>
        <v>FOR</v>
      </c>
      <c r="AY7308" t="s">
        <v>55</v>
      </c>
    </row>
    <row r="7309" spans="1:51" hidden="1">
      <c r="A7309">
        <v>104124</v>
      </c>
      <c r="B7309" t="s">
        <v>1216</v>
      </c>
      <c r="C7309" t="str">
        <f t="shared" si="593"/>
        <v>03104731215</v>
      </c>
      <c r="D7309" t="str">
        <f t="shared" si="594"/>
        <v>CPTMSM61E01L245Y</v>
      </c>
      <c r="E7309" t="s">
        <v>52</v>
      </c>
      <c r="F7309">
        <v>2015</v>
      </c>
      <c r="G7309" s="4" t="s">
        <v>1221</v>
      </c>
      <c r="H7309" s="1">
        <v>42178</v>
      </c>
      <c r="I7309" s="1">
        <v>42180</v>
      </c>
      <c r="J7309" s="1">
        <v>42178</v>
      </c>
      <c r="K7309" s="1">
        <v>42238</v>
      </c>
      <c r="N7309" s="5"/>
      <c r="O7309" s="2">
        <v>3299.4</v>
      </c>
      <c r="P7309">
        <v>13</v>
      </c>
      <c r="Q7309" s="2">
        <v>42892.2</v>
      </c>
      <c r="R7309">
        <v>0</v>
      </c>
      <c r="V7309">
        <v>0</v>
      </c>
      <c r="W7309">
        <v>0</v>
      </c>
      <c r="X7309">
        <v>0</v>
      </c>
      <c r="Y7309" s="2">
        <v>4025.27</v>
      </c>
      <c r="Z7309" s="2">
        <v>4025.27</v>
      </c>
      <c r="AA7309" s="2">
        <v>4025.27</v>
      </c>
      <c r="AB7309" s="1">
        <v>42382</v>
      </c>
      <c r="AC7309" t="s">
        <v>53</v>
      </c>
      <c r="AD7309" t="s">
        <v>53</v>
      </c>
      <c r="AK7309">
        <v>0</v>
      </c>
      <c r="AU7309" s="6">
        <v>42251</v>
      </c>
      <c r="AV7309" s="6">
        <v>42251</v>
      </c>
      <c r="AW7309" t="s">
        <v>54</v>
      </c>
      <c r="AX7309" t="str">
        <f t="shared" si="592"/>
        <v>FOR</v>
      </c>
      <c r="AY7309" t="s">
        <v>55</v>
      </c>
    </row>
    <row r="7310" spans="1:51">
      <c r="A7310">
        <v>104124</v>
      </c>
      <c r="B7310" t="s">
        <v>1216</v>
      </c>
      <c r="C7310" t="str">
        <f t="shared" si="593"/>
        <v>03104731215</v>
      </c>
      <c r="D7310" t="str">
        <f t="shared" si="594"/>
        <v>CPTMSM61E01L245Y</v>
      </c>
      <c r="E7310" t="s">
        <v>52</v>
      </c>
      <c r="F7310">
        <v>2015</v>
      </c>
      <c r="G7310" t="s">
        <v>1222</v>
      </c>
      <c r="H7310" s="1">
        <v>42217</v>
      </c>
      <c r="I7310" s="1">
        <v>42236</v>
      </c>
      <c r="J7310" s="1">
        <v>42236</v>
      </c>
      <c r="K7310" s="1">
        <v>42296</v>
      </c>
      <c r="L7310" s="7">
        <v>21275.37</v>
      </c>
      <c r="M7310" s="5">
        <v>43</v>
      </c>
      <c r="N7310" s="7">
        <v>914840.91</v>
      </c>
      <c r="O7310" s="2">
        <v>21275.37</v>
      </c>
      <c r="P7310">
        <v>43</v>
      </c>
      <c r="Q7310" s="2">
        <v>914840.91</v>
      </c>
      <c r="R7310" s="2">
        <v>4680.58</v>
      </c>
      <c r="V7310">
        <v>0</v>
      </c>
      <c r="W7310">
        <v>0</v>
      </c>
      <c r="X7310">
        <v>0</v>
      </c>
      <c r="Y7310" s="2">
        <v>25955.95</v>
      </c>
      <c r="Z7310" s="2">
        <v>25955.95</v>
      </c>
      <c r="AA7310" s="2">
        <v>25955.95</v>
      </c>
      <c r="AB7310" s="1">
        <v>42382</v>
      </c>
      <c r="AC7310" t="s">
        <v>53</v>
      </c>
      <c r="AD7310" t="s">
        <v>53</v>
      </c>
      <c r="AG7310" s="2">
        <v>4680.58</v>
      </c>
      <c r="AK7310">
        <v>0</v>
      </c>
      <c r="AU7310" s="6">
        <v>42339</v>
      </c>
      <c r="AV7310" s="6">
        <v>42339</v>
      </c>
      <c r="AW7310" t="s">
        <v>54</v>
      </c>
      <c r="AX7310" t="str">
        <f t="shared" si="592"/>
        <v>FOR</v>
      </c>
      <c r="AY7310" t="s">
        <v>55</v>
      </c>
    </row>
    <row r="7311" spans="1:51">
      <c r="A7311">
        <v>104124</v>
      </c>
      <c r="B7311" t="s">
        <v>1216</v>
      </c>
      <c r="C7311" t="str">
        <f t="shared" si="593"/>
        <v>03104731215</v>
      </c>
      <c r="D7311" t="str">
        <f t="shared" si="594"/>
        <v>CPTMSM61E01L245Y</v>
      </c>
      <c r="E7311" t="s">
        <v>52</v>
      </c>
      <c r="F7311">
        <v>2015</v>
      </c>
      <c r="G7311" t="s">
        <v>1223</v>
      </c>
      <c r="H7311" s="1">
        <v>42217</v>
      </c>
      <c r="I7311" s="1">
        <v>42236</v>
      </c>
      <c r="J7311" s="1">
        <v>42236</v>
      </c>
      <c r="K7311" s="1">
        <v>42296</v>
      </c>
      <c r="L7311" s="7">
        <v>1343.32</v>
      </c>
      <c r="M7311" s="5">
        <v>43</v>
      </c>
      <c r="N7311" s="7">
        <v>57762.76</v>
      </c>
      <c r="O7311" s="2">
        <v>1343.32</v>
      </c>
      <c r="P7311">
        <v>43</v>
      </c>
      <c r="Q7311" s="2">
        <v>57762.76</v>
      </c>
      <c r="R7311">
        <v>295.52999999999997</v>
      </c>
      <c r="V7311">
        <v>0</v>
      </c>
      <c r="W7311">
        <v>0</v>
      </c>
      <c r="X7311">
        <v>0</v>
      </c>
      <c r="Y7311" s="2">
        <v>1638.85</v>
      </c>
      <c r="Z7311" s="2">
        <v>1638.85</v>
      </c>
      <c r="AA7311" s="2">
        <v>1638.85</v>
      </c>
      <c r="AB7311" s="1">
        <v>42382</v>
      </c>
      <c r="AC7311" t="s">
        <v>53</v>
      </c>
      <c r="AD7311" t="s">
        <v>53</v>
      </c>
      <c r="AG7311">
        <v>295.52999999999997</v>
      </c>
      <c r="AK7311">
        <v>0</v>
      </c>
      <c r="AU7311" s="6">
        <v>42339</v>
      </c>
      <c r="AV7311" s="6">
        <v>42339</v>
      </c>
      <c r="AW7311" t="s">
        <v>54</v>
      </c>
      <c r="AX7311" t="str">
        <f t="shared" si="592"/>
        <v>FOR</v>
      </c>
      <c r="AY7311" t="s">
        <v>55</v>
      </c>
    </row>
    <row r="7312" spans="1:51">
      <c r="A7312">
        <v>104124</v>
      </c>
      <c r="B7312" t="s">
        <v>1216</v>
      </c>
      <c r="C7312" t="str">
        <f t="shared" si="593"/>
        <v>03104731215</v>
      </c>
      <c r="D7312" t="str">
        <f t="shared" si="594"/>
        <v>CPTMSM61E01L245Y</v>
      </c>
      <c r="E7312" t="s">
        <v>52</v>
      </c>
      <c r="F7312">
        <v>2015</v>
      </c>
      <c r="G7312" t="s">
        <v>1224</v>
      </c>
      <c r="H7312" s="1">
        <v>42217</v>
      </c>
      <c r="I7312" s="1">
        <v>42241</v>
      </c>
      <c r="J7312" s="1">
        <v>42237</v>
      </c>
      <c r="K7312" s="1">
        <v>42297</v>
      </c>
      <c r="L7312" s="7">
        <v>11082.29</v>
      </c>
      <c r="M7312" s="5">
        <v>42</v>
      </c>
      <c r="N7312" s="7">
        <v>465456.18</v>
      </c>
      <c r="O7312" s="2">
        <v>11082.29</v>
      </c>
      <c r="P7312">
        <v>42</v>
      </c>
      <c r="Q7312" s="2">
        <v>465456.18</v>
      </c>
      <c r="R7312" s="2">
        <v>2438.1</v>
      </c>
      <c r="V7312">
        <v>0</v>
      </c>
      <c r="W7312">
        <v>0</v>
      </c>
      <c r="X7312">
        <v>0</v>
      </c>
      <c r="Y7312" s="2">
        <v>13520.39</v>
      </c>
      <c r="Z7312" s="2">
        <v>13520.39</v>
      </c>
      <c r="AA7312" s="2">
        <v>13520.39</v>
      </c>
      <c r="AB7312" s="1">
        <v>42382</v>
      </c>
      <c r="AC7312" t="s">
        <v>53</v>
      </c>
      <c r="AD7312" t="s">
        <v>53</v>
      </c>
      <c r="AG7312" s="2">
        <v>2438.1</v>
      </c>
      <c r="AK7312">
        <v>0</v>
      </c>
      <c r="AU7312" s="6">
        <v>42339</v>
      </c>
      <c r="AV7312" s="6">
        <v>42339</v>
      </c>
      <c r="AW7312" t="s">
        <v>54</v>
      </c>
      <c r="AX7312" t="str">
        <f t="shared" si="592"/>
        <v>FOR</v>
      </c>
      <c r="AY7312" t="s">
        <v>55</v>
      </c>
    </row>
    <row r="7313" spans="1:51" hidden="1">
      <c r="A7313">
        <v>104124</v>
      </c>
      <c r="B7313" t="s">
        <v>1216</v>
      </c>
      <c r="C7313" t="str">
        <f t="shared" si="593"/>
        <v>03104731215</v>
      </c>
      <c r="D7313" t="str">
        <f t="shared" si="594"/>
        <v>CPTMSM61E01L245Y</v>
      </c>
      <c r="E7313" t="s">
        <v>52</v>
      </c>
      <c r="F7313">
        <v>2015</v>
      </c>
      <c r="G7313" t="s">
        <v>1225</v>
      </c>
      <c r="H7313" s="1">
        <v>42217</v>
      </c>
      <c r="I7313" s="1">
        <v>42236</v>
      </c>
      <c r="J7313" s="1">
        <v>42236</v>
      </c>
      <c r="K7313" s="1">
        <v>42296</v>
      </c>
      <c r="N7313" s="5"/>
      <c r="O7313" s="2">
        <v>5712.75</v>
      </c>
      <c r="P7313">
        <v>-20</v>
      </c>
      <c r="Q7313" s="2">
        <v>-114255</v>
      </c>
      <c r="R7313">
        <v>0</v>
      </c>
      <c r="V7313">
        <v>0</v>
      </c>
      <c r="W7313">
        <v>0</v>
      </c>
      <c r="X7313">
        <v>0</v>
      </c>
      <c r="Y7313" s="2">
        <v>6969.55</v>
      </c>
      <c r="Z7313" s="2">
        <v>6969.55</v>
      </c>
      <c r="AA7313" s="2">
        <v>6969.55</v>
      </c>
      <c r="AB7313" s="1">
        <v>42382</v>
      </c>
      <c r="AC7313" t="s">
        <v>53</v>
      </c>
      <c r="AD7313" t="s">
        <v>53</v>
      </c>
      <c r="AK7313">
        <v>0</v>
      </c>
      <c r="AU7313" s="6">
        <v>42276</v>
      </c>
      <c r="AV7313" s="6">
        <v>42276</v>
      </c>
      <c r="AW7313" t="s">
        <v>54</v>
      </c>
      <c r="AX7313" t="str">
        <f t="shared" si="592"/>
        <v>FOR</v>
      </c>
      <c r="AY7313" t="s">
        <v>55</v>
      </c>
    </row>
    <row r="7314" spans="1:51" hidden="1">
      <c r="A7314">
        <v>104124</v>
      </c>
      <c r="B7314" t="s">
        <v>1216</v>
      </c>
      <c r="C7314" t="str">
        <f t="shared" si="593"/>
        <v>03104731215</v>
      </c>
      <c r="D7314" t="str">
        <f t="shared" si="594"/>
        <v>CPTMSM61E01L245Y</v>
      </c>
      <c r="E7314" t="s">
        <v>52</v>
      </c>
      <c r="F7314">
        <v>2015</v>
      </c>
      <c r="G7314" t="s">
        <v>1226</v>
      </c>
      <c r="H7314" s="1">
        <v>42217</v>
      </c>
      <c r="I7314" s="1">
        <v>42241</v>
      </c>
      <c r="J7314" s="1">
        <v>42237</v>
      </c>
      <c r="K7314" s="1">
        <v>42297</v>
      </c>
      <c r="N7314" s="5"/>
      <c r="O7314" s="2">
        <v>4079</v>
      </c>
      <c r="P7314">
        <v>-21</v>
      </c>
      <c r="Q7314" s="2">
        <v>-85659</v>
      </c>
      <c r="R7314">
        <v>0</v>
      </c>
      <c r="V7314">
        <v>0</v>
      </c>
      <c r="W7314">
        <v>0</v>
      </c>
      <c r="X7314">
        <v>0</v>
      </c>
      <c r="Y7314" s="2">
        <v>4976.38</v>
      </c>
      <c r="Z7314" s="2">
        <v>4976.38</v>
      </c>
      <c r="AA7314" s="2">
        <v>4976.38</v>
      </c>
      <c r="AB7314" s="1">
        <v>42382</v>
      </c>
      <c r="AC7314" t="s">
        <v>53</v>
      </c>
      <c r="AD7314" t="s">
        <v>53</v>
      </c>
      <c r="AK7314">
        <v>0</v>
      </c>
      <c r="AU7314" s="6">
        <v>42276</v>
      </c>
      <c r="AV7314" s="6">
        <v>42276</v>
      </c>
      <c r="AW7314" t="s">
        <v>54</v>
      </c>
      <c r="AX7314" t="str">
        <f t="shared" si="592"/>
        <v>FOR</v>
      </c>
      <c r="AY7314" t="s">
        <v>55</v>
      </c>
    </row>
    <row r="7315" spans="1:51" hidden="1">
      <c r="A7315">
        <v>104124</v>
      </c>
      <c r="B7315" t="s">
        <v>1216</v>
      </c>
      <c r="C7315" t="str">
        <f t="shared" si="593"/>
        <v>03104731215</v>
      </c>
      <c r="D7315" t="str">
        <f t="shared" si="594"/>
        <v>CPTMSM61E01L245Y</v>
      </c>
      <c r="E7315" t="s">
        <v>52</v>
      </c>
      <c r="F7315">
        <v>2015</v>
      </c>
      <c r="G7315" t="s">
        <v>1227</v>
      </c>
      <c r="H7315" s="1">
        <v>42217</v>
      </c>
      <c r="I7315" s="1">
        <v>42236</v>
      </c>
      <c r="J7315" s="1">
        <v>42236</v>
      </c>
      <c r="K7315" s="1">
        <v>42296</v>
      </c>
      <c r="N7315" s="5"/>
      <c r="O7315" s="2">
        <v>4048.78</v>
      </c>
      <c r="P7315">
        <v>-20</v>
      </c>
      <c r="Q7315" s="2">
        <v>-80975.600000000006</v>
      </c>
      <c r="R7315">
        <v>0</v>
      </c>
      <c r="V7315">
        <v>0</v>
      </c>
      <c r="W7315">
        <v>0</v>
      </c>
      <c r="X7315">
        <v>0</v>
      </c>
      <c r="Y7315" s="2">
        <v>4939.51</v>
      </c>
      <c r="Z7315" s="2">
        <v>4939.51</v>
      </c>
      <c r="AA7315" s="2">
        <v>4939.51</v>
      </c>
      <c r="AB7315" s="1">
        <v>42382</v>
      </c>
      <c r="AC7315" t="s">
        <v>53</v>
      </c>
      <c r="AD7315" t="s">
        <v>53</v>
      </c>
      <c r="AK7315">
        <v>0</v>
      </c>
      <c r="AU7315" s="6">
        <v>42276</v>
      </c>
      <c r="AV7315" s="6">
        <v>42276</v>
      </c>
      <c r="AW7315" t="s">
        <v>54</v>
      </c>
      <c r="AX7315" t="str">
        <f t="shared" si="592"/>
        <v>FOR</v>
      </c>
      <c r="AY7315" t="s">
        <v>55</v>
      </c>
    </row>
    <row r="7316" spans="1:51">
      <c r="A7316">
        <v>104124</v>
      </c>
      <c r="B7316" t="s">
        <v>1216</v>
      </c>
      <c r="C7316" t="str">
        <f t="shared" si="593"/>
        <v>03104731215</v>
      </c>
      <c r="D7316" t="str">
        <f t="shared" si="594"/>
        <v>CPTMSM61E01L245Y</v>
      </c>
      <c r="E7316" t="s">
        <v>52</v>
      </c>
      <c r="F7316">
        <v>2015</v>
      </c>
      <c r="G7316" t="s">
        <v>1228</v>
      </c>
      <c r="H7316" s="1">
        <v>42222</v>
      </c>
      <c r="I7316" s="1">
        <v>42249</v>
      </c>
      <c r="J7316" s="1">
        <v>42249</v>
      </c>
      <c r="K7316" s="1">
        <v>42309</v>
      </c>
      <c r="L7316" s="7">
        <v>298.3</v>
      </c>
      <c r="M7316" s="5">
        <v>-25</v>
      </c>
      <c r="N7316" s="7">
        <v>-7457.5</v>
      </c>
      <c r="O7316">
        <v>298.3</v>
      </c>
      <c r="P7316">
        <v>-25</v>
      </c>
      <c r="Q7316" s="2">
        <v>-7457.5</v>
      </c>
      <c r="R7316">
        <v>65.63</v>
      </c>
      <c r="V7316">
        <v>0</v>
      </c>
      <c r="W7316">
        <v>0</v>
      </c>
      <c r="X7316">
        <v>0</v>
      </c>
      <c r="Y7316">
        <v>363.93</v>
      </c>
      <c r="Z7316">
        <v>363.93</v>
      </c>
      <c r="AA7316">
        <v>363.93</v>
      </c>
      <c r="AB7316" s="1">
        <v>42382</v>
      </c>
      <c r="AC7316" t="s">
        <v>53</v>
      </c>
      <c r="AD7316" t="s">
        <v>53</v>
      </c>
      <c r="AF7316">
        <v>65.63</v>
      </c>
      <c r="AK7316">
        <v>0</v>
      </c>
      <c r="AU7316" s="6">
        <v>42284</v>
      </c>
      <c r="AV7316" s="6">
        <v>42284</v>
      </c>
      <c r="AW7316" t="s">
        <v>54</v>
      </c>
      <c r="AX7316" t="str">
        <f t="shared" si="592"/>
        <v>FOR</v>
      </c>
      <c r="AY7316" t="s">
        <v>55</v>
      </c>
    </row>
    <row r="7317" spans="1:51" hidden="1">
      <c r="A7317">
        <v>104124</v>
      </c>
      <c r="B7317" t="s">
        <v>1216</v>
      </c>
      <c r="C7317" t="str">
        <f t="shared" si="593"/>
        <v>03104731215</v>
      </c>
      <c r="D7317" t="str">
        <f t="shared" si="594"/>
        <v>CPTMSM61E01L245Y</v>
      </c>
      <c r="E7317" t="s">
        <v>52</v>
      </c>
      <c r="F7317">
        <v>2015</v>
      </c>
      <c r="G7317" t="s">
        <v>1229</v>
      </c>
      <c r="H7317" s="1">
        <v>42222</v>
      </c>
      <c r="I7317" s="1">
        <v>42250</v>
      </c>
      <c r="J7317" s="1">
        <v>42250</v>
      </c>
      <c r="K7317" s="1">
        <v>42310</v>
      </c>
      <c r="N7317" s="5"/>
      <c r="O7317" s="2">
        <v>1786.5</v>
      </c>
      <c r="P7317">
        <v>-34</v>
      </c>
      <c r="Q7317" s="2">
        <v>-60741</v>
      </c>
      <c r="R7317">
        <v>0</v>
      </c>
      <c r="V7317">
        <v>0</v>
      </c>
      <c r="W7317">
        <v>0</v>
      </c>
      <c r="X7317">
        <v>0</v>
      </c>
      <c r="Y7317" s="2">
        <v>2179.5300000000002</v>
      </c>
      <c r="Z7317" s="2">
        <v>2179.5300000000002</v>
      </c>
      <c r="AA7317" s="2">
        <v>2179.5300000000002</v>
      </c>
      <c r="AB7317" s="1">
        <v>42382</v>
      </c>
      <c r="AC7317" t="s">
        <v>53</v>
      </c>
      <c r="AD7317" t="s">
        <v>53</v>
      </c>
      <c r="AK7317">
        <v>0</v>
      </c>
      <c r="AU7317" s="6">
        <v>42276</v>
      </c>
      <c r="AV7317" s="6">
        <v>42276</v>
      </c>
      <c r="AW7317" t="s">
        <v>54</v>
      </c>
      <c r="AX7317" t="str">
        <f t="shared" si="592"/>
        <v>FOR</v>
      </c>
      <c r="AY7317" t="s">
        <v>55</v>
      </c>
    </row>
    <row r="7318" spans="1:51" hidden="1">
      <c r="A7318">
        <v>104124</v>
      </c>
      <c r="B7318" t="s">
        <v>1216</v>
      </c>
      <c r="C7318" t="str">
        <f t="shared" si="593"/>
        <v>03104731215</v>
      </c>
      <c r="D7318" t="str">
        <f t="shared" si="594"/>
        <v>CPTMSM61E01L245Y</v>
      </c>
      <c r="E7318" t="s">
        <v>52</v>
      </c>
      <c r="F7318">
        <v>2015</v>
      </c>
      <c r="G7318" t="s">
        <v>1230</v>
      </c>
      <c r="H7318" s="1">
        <v>42226</v>
      </c>
      <c r="I7318" s="1">
        <v>42254</v>
      </c>
      <c r="J7318" s="1">
        <v>42253</v>
      </c>
      <c r="K7318" s="1">
        <v>42313</v>
      </c>
      <c r="N7318" s="5"/>
      <c r="O7318" s="2">
        <v>4098</v>
      </c>
      <c r="P7318">
        <v>-37</v>
      </c>
      <c r="Q7318" s="2">
        <v>-151626</v>
      </c>
      <c r="R7318">
        <v>0</v>
      </c>
      <c r="V7318">
        <v>0</v>
      </c>
      <c r="W7318">
        <v>0</v>
      </c>
      <c r="X7318">
        <v>0</v>
      </c>
      <c r="Y7318" s="2">
        <v>4999.5600000000004</v>
      </c>
      <c r="Z7318" s="2">
        <v>4999.5600000000004</v>
      </c>
      <c r="AA7318" s="2">
        <v>4999.5600000000004</v>
      </c>
      <c r="AB7318" s="1">
        <v>42382</v>
      </c>
      <c r="AC7318" t="s">
        <v>53</v>
      </c>
      <c r="AD7318" t="s">
        <v>53</v>
      </c>
      <c r="AK7318">
        <v>0</v>
      </c>
      <c r="AU7318" s="6">
        <v>42276</v>
      </c>
      <c r="AV7318" s="6">
        <v>42276</v>
      </c>
      <c r="AW7318" t="s">
        <v>54</v>
      </c>
      <c r="AX7318" t="str">
        <f t="shared" si="592"/>
        <v>FOR</v>
      </c>
      <c r="AY7318" t="s">
        <v>55</v>
      </c>
    </row>
    <row r="7319" spans="1:51">
      <c r="A7319">
        <v>104124</v>
      </c>
      <c r="B7319" t="s">
        <v>1216</v>
      </c>
      <c r="C7319" t="str">
        <f t="shared" si="593"/>
        <v>03104731215</v>
      </c>
      <c r="D7319" t="str">
        <f t="shared" si="594"/>
        <v>CPTMSM61E01L245Y</v>
      </c>
      <c r="E7319" t="s">
        <v>52</v>
      </c>
      <c r="F7319">
        <v>2015</v>
      </c>
      <c r="G7319" t="s">
        <v>1231</v>
      </c>
      <c r="H7319" s="1">
        <v>42249</v>
      </c>
      <c r="I7319" s="1">
        <v>42263</v>
      </c>
      <c r="J7319" s="1">
        <v>42262</v>
      </c>
      <c r="K7319" s="1">
        <v>42322</v>
      </c>
      <c r="L7319" s="7">
        <v>4064.4</v>
      </c>
      <c r="M7319" s="5">
        <v>-22</v>
      </c>
      <c r="N7319" s="7">
        <v>-89416.8</v>
      </c>
      <c r="O7319" s="2">
        <v>4064.4</v>
      </c>
      <c r="P7319">
        <v>-22</v>
      </c>
      <c r="Q7319" s="2">
        <v>-89416.8</v>
      </c>
      <c r="R7319">
        <v>0</v>
      </c>
      <c r="V7319">
        <v>0</v>
      </c>
      <c r="W7319">
        <v>0</v>
      </c>
      <c r="X7319">
        <v>0</v>
      </c>
      <c r="Y7319" s="2">
        <v>4958.57</v>
      </c>
      <c r="Z7319" s="2">
        <v>4958.57</v>
      </c>
      <c r="AA7319" s="2">
        <v>4958.57</v>
      </c>
      <c r="AB7319" s="1">
        <v>42382</v>
      </c>
      <c r="AC7319" t="s">
        <v>53</v>
      </c>
      <c r="AD7319" t="s">
        <v>53</v>
      </c>
      <c r="AK7319">
        <v>0</v>
      </c>
      <c r="AU7319" s="6">
        <v>42300</v>
      </c>
      <c r="AV7319" s="6">
        <v>42300</v>
      </c>
      <c r="AW7319" t="s">
        <v>54</v>
      </c>
      <c r="AX7319" t="str">
        <f t="shared" si="592"/>
        <v>FOR</v>
      </c>
      <c r="AY7319" t="s">
        <v>55</v>
      </c>
    </row>
    <row r="7320" spans="1:51">
      <c r="A7320">
        <v>104124</v>
      </c>
      <c r="B7320" t="s">
        <v>1216</v>
      </c>
      <c r="C7320" t="str">
        <f t="shared" si="593"/>
        <v>03104731215</v>
      </c>
      <c r="D7320" t="str">
        <f t="shared" si="594"/>
        <v>CPTMSM61E01L245Y</v>
      </c>
      <c r="E7320" t="s">
        <v>52</v>
      </c>
      <c r="F7320">
        <v>2015</v>
      </c>
      <c r="G7320" t="s">
        <v>1232</v>
      </c>
      <c r="H7320" s="1">
        <v>42249</v>
      </c>
      <c r="I7320" s="1">
        <v>42268</v>
      </c>
      <c r="J7320" s="1">
        <v>42266</v>
      </c>
      <c r="K7320" s="1">
        <v>42326</v>
      </c>
      <c r="L7320" s="7">
        <v>4041.4</v>
      </c>
      <c r="M7320" s="5">
        <v>-26</v>
      </c>
      <c r="N7320" s="7">
        <v>-105076.4</v>
      </c>
      <c r="O7320" s="2">
        <v>4041.4</v>
      </c>
      <c r="P7320">
        <v>-26</v>
      </c>
      <c r="Q7320" s="2">
        <v>-105076.4</v>
      </c>
      <c r="R7320">
        <v>0</v>
      </c>
      <c r="V7320">
        <v>0</v>
      </c>
      <c r="W7320">
        <v>0</v>
      </c>
      <c r="X7320">
        <v>0</v>
      </c>
      <c r="Y7320" s="2">
        <v>4930.51</v>
      </c>
      <c r="Z7320" s="2">
        <v>4930.51</v>
      </c>
      <c r="AA7320" s="2">
        <v>4930.51</v>
      </c>
      <c r="AB7320" s="1">
        <v>42382</v>
      </c>
      <c r="AC7320" t="s">
        <v>53</v>
      </c>
      <c r="AD7320" t="s">
        <v>53</v>
      </c>
      <c r="AK7320">
        <v>0</v>
      </c>
      <c r="AU7320" s="6">
        <v>42300</v>
      </c>
      <c r="AV7320" s="6">
        <v>42300</v>
      </c>
      <c r="AW7320" t="s">
        <v>54</v>
      </c>
      <c r="AX7320" t="str">
        <f t="shared" si="592"/>
        <v>FOR</v>
      </c>
      <c r="AY7320" t="s">
        <v>55</v>
      </c>
    </row>
    <row r="7321" spans="1:51">
      <c r="A7321">
        <v>104124</v>
      </c>
      <c r="B7321" t="s">
        <v>1216</v>
      </c>
      <c r="C7321" t="str">
        <f t="shared" si="593"/>
        <v>03104731215</v>
      </c>
      <c r="D7321" t="str">
        <f t="shared" si="594"/>
        <v>CPTMSM61E01L245Y</v>
      </c>
      <c r="E7321" t="s">
        <v>52</v>
      </c>
      <c r="F7321">
        <v>2015</v>
      </c>
      <c r="G7321" t="s">
        <v>1233</v>
      </c>
      <c r="H7321" s="1">
        <v>42262</v>
      </c>
      <c r="I7321" s="1">
        <v>42272</v>
      </c>
      <c r="J7321" s="1">
        <v>42272</v>
      </c>
      <c r="K7321" s="1">
        <v>42332</v>
      </c>
      <c r="L7321" s="7">
        <v>3992.85</v>
      </c>
      <c r="M7321" s="5">
        <v>7</v>
      </c>
      <c r="N7321" s="7">
        <v>27949.95</v>
      </c>
      <c r="O7321" s="2">
        <v>3992.85</v>
      </c>
      <c r="P7321">
        <v>7</v>
      </c>
      <c r="Q7321" s="2">
        <v>27949.95</v>
      </c>
      <c r="R7321">
        <v>878.43</v>
      </c>
      <c r="V7321">
        <v>0</v>
      </c>
      <c r="W7321">
        <v>0</v>
      </c>
      <c r="X7321">
        <v>0</v>
      </c>
      <c r="Y7321" s="2">
        <v>4871.28</v>
      </c>
      <c r="Z7321" s="2">
        <v>4871.28</v>
      </c>
      <c r="AA7321" s="2">
        <v>4871.28</v>
      </c>
      <c r="AB7321" s="1">
        <v>42382</v>
      </c>
      <c r="AC7321" t="s">
        <v>53</v>
      </c>
      <c r="AD7321" t="s">
        <v>53</v>
      </c>
      <c r="AF7321">
        <v>878.43</v>
      </c>
      <c r="AK7321">
        <v>0</v>
      </c>
      <c r="AU7321" s="6">
        <v>42339</v>
      </c>
      <c r="AV7321" s="6">
        <v>42339</v>
      </c>
      <c r="AW7321" t="s">
        <v>54</v>
      </c>
      <c r="AX7321" t="str">
        <f t="shared" si="592"/>
        <v>FOR</v>
      </c>
      <c r="AY7321" t="s">
        <v>55</v>
      </c>
    </row>
    <row r="7322" spans="1:51">
      <c r="A7322">
        <v>104124</v>
      </c>
      <c r="B7322" t="s">
        <v>1216</v>
      </c>
      <c r="C7322" t="str">
        <f t="shared" si="593"/>
        <v>03104731215</v>
      </c>
      <c r="D7322" t="str">
        <f t="shared" si="594"/>
        <v>CPTMSM61E01L245Y</v>
      </c>
      <c r="E7322" t="s">
        <v>52</v>
      </c>
      <c r="F7322">
        <v>2015</v>
      </c>
      <c r="G7322" t="s">
        <v>1234</v>
      </c>
      <c r="H7322" s="1">
        <v>42262</v>
      </c>
      <c r="I7322" s="1">
        <v>42268</v>
      </c>
      <c r="J7322" s="1">
        <v>42266</v>
      </c>
      <c r="K7322" s="1">
        <v>42326</v>
      </c>
      <c r="L7322" s="7">
        <v>3142.3</v>
      </c>
      <c r="M7322" s="5">
        <v>-26</v>
      </c>
      <c r="N7322" s="7">
        <v>-81699.8</v>
      </c>
      <c r="O7322" s="2">
        <v>3142.3</v>
      </c>
      <c r="P7322">
        <v>-26</v>
      </c>
      <c r="Q7322" s="2">
        <v>-81699.8</v>
      </c>
      <c r="R7322">
        <v>0</v>
      </c>
      <c r="V7322">
        <v>0</v>
      </c>
      <c r="W7322">
        <v>0</v>
      </c>
      <c r="X7322">
        <v>0</v>
      </c>
      <c r="Y7322" s="2">
        <v>3833.61</v>
      </c>
      <c r="Z7322" s="2">
        <v>3833.61</v>
      </c>
      <c r="AA7322" s="2">
        <v>3833.61</v>
      </c>
      <c r="AB7322" s="1">
        <v>42382</v>
      </c>
      <c r="AC7322" t="s">
        <v>53</v>
      </c>
      <c r="AD7322" t="s">
        <v>53</v>
      </c>
      <c r="AK7322">
        <v>0</v>
      </c>
      <c r="AU7322" s="6">
        <v>42300</v>
      </c>
      <c r="AV7322" s="6">
        <v>42300</v>
      </c>
      <c r="AW7322" t="s">
        <v>54</v>
      </c>
      <c r="AX7322" t="str">
        <f t="shared" si="592"/>
        <v>FOR</v>
      </c>
      <c r="AY7322" t="s">
        <v>55</v>
      </c>
    </row>
    <row r="7323" spans="1:51">
      <c r="A7323">
        <v>104124</v>
      </c>
      <c r="B7323" t="s">
        <v>1216</v>
      </c>
      <c r="C7323" t="str">
        <f t="shared" si="593"/>
        <v>03104731215</v>
      </c>
      <c r="D7323" t="str">
        <f t="shared" si="594"/>
        <v>CPTMSM61E01L245Y</v>
      </c>
      <c r="E7323" t="s">
        <v>52</v>
      </c>
      <c r="F7323">
        <v>2015</v>
      </c>
      <c r="G7323" t="s">
        <v>1235</v>
      </c>
      <c r="H7323" s="1">
        <v>42265</v>
      </c>
      <c r="I7323" s="1">
        <v>42268</v>
      </c>
      <c r="J7323" s="1">
        <v>42266</v>
      </c>
      <c r="K7323" s="1">
        <v>42326</v>
      </c>
      <c r="L7323" s="7">
        <v>4098</v>
      </c>
      <c r="M7323" s="5">
        <v>-26</v>
      </c>
      <c r="N7323" s="7">
        <v>-106548</v>
      </c>
      <c r="O7323" s="2">
        <v>4098</v>
      </c>
      <c r="P7323">
        <v>-26</v>
      </c>
      <c r="Q7323" s="2">
        <v>-106548</v>
      </c>
      <c r="R7323">
        <v>0</v>
      </c>
      <c r="V7323">
        <v>0</v>
      </c>
      <c r="W7323">
        <v>0</v>
      </c>
      <c r="X7323">
        <v>0</v>
      </c>
      <c r="Y7323" s="2">
        <v>4999.5600000000004</v>
      </c>
      <c r="Z7323" s="2">
        <v>4999.5600000000004</v>
      </c>
      <c r="AA7323" s="2">
        <v>4999.5600000000004</v>
      </c>
      <c r="AB7323" s="1">
        <v>42382</v>
      </c>
      <c r="AC7323" t="s">
        <v>53</v>
      </c>
      <c r="AD7323" t="s">
        <v>53</v>
      </c>
      <c r="AK7323">
        <v>0</v>
      </c>
      <c r="AU7323" s="6">
        <v>42300</v>
      </c>
      <c r="AV7323" s="6">
        <v>42300</v>
      </c>
      <c r="AW7323" t="s">
        <v>54</v>
      </c>
      <c r="AX7323" t="str">
        <f t="shared" si="592"/>
        <v>FOR</v>
      </c>
      <c r="AY7323" t="s">
        <v>55</v>
      </c>
    </row>
    <row r="7324" spans="1:51" hidden="1">
      <c r="A7324">
        <v>104124</v>
      </c>
      <c r="B7324" t="s">
        <v>1216</v>
      </c>
      <c r="C7324" t="str">
        <f t="shared" si="593"/>
        <v>03104731215</v>
      </c>
      <c r="D7324" t="str">
        <f t="shared" si="594"/>
        <v>CPTMSM61E01L245Y</v>
      </c>
      <c r="E7324" t="s">
        <v>52</v>
      </c>
      <c r="F7324">
        <v>2015</v>
      </c>
      <c r="G7324" t="s">
        <v>1236</v>
      </c>
      <c r="H7324" s="1">
        <v>42159</v>
      </c>
      <c r="I7324" s="1">
        <v>42166</v>
      </c>
      <c r="J7324" s="1">
        <v>42165</v>
      </c>
      <c r="K7324" s="1">
        <v>42225</v>
      </c>
      <c r="N7324" s="5"/>
      <c r="O7324" s="2">
        <v>4093.2</v>
      </c>
      <c r="P7324">
        <v>26</v>
      </c>
      <c r="Q7324" s="2">
        <v>106423.2</v>
      </c>
      <c r="R7324">
        <v>0</v>
      </c>
      <c r="V7324">
        <v>0</v>
      </c>
      <c r="W7324">
        <v>0</v>
      </c>
      <c r="X7324">
        <v>0</v>
      </c>
      <c r="Y7324" s="2">
        <v>4993.7</v>
      </c>
      <c r="Z7324" s="2">
        <v>4993.7</v>
      </c>
      <c r="AA7324" s="2">
        <v>4993.7</v>
      </c>
      <c r="AB7324" s="1">
        <v>42382</v>
      </c>
      <c r="AC7324" t="s">
        <v>53</v>
      </c>
      <c r="AD7324" t="s">
        <v>53</v>
      </c>
      <c r="AK7324">
        <v>0</v>
      </c>
      <c r="AU7324" s="6">
        <v>42251</v>
      </c>
      <c r="AV7324" s="6">
        <v>42251</v>
      </c>
      <c r="AW7324" t="s">
        <v>54</v>
      </c>
      <c r="AX7324" t="str">
        <f t="shared" si="592"/>
        <v>FOR</v>
      </c>
      <c r="AY7324" t="s">
        <v>55</v>
      </c>
    </row>
    <row r="7325" spans="1:51" hidden="1">
      <c r="A7325">
        <v>104124</v>
      </c>
      <c r="B7325" t="s">
        <v>1216</v>
      </c>
      <c r="C7325" t="str">
        <f t="shared" si="593"/>
        <v>03104731215</v>
      </c>
      <c r="D7325" t="str">
        <f t="shared" si="594"/>
        <v>CPTMSM61E01L245Y</v>
      </c>
      <c r="E7325" t="s">
        <v>52</v>
      </c>
      <c r="F7325">
        <v>2015</v>
      </c>
      <c r="G7325" t="s">
        <v>1237</v>
      </c>
      <c r="H7325" s="1">
        <v>42167</v>
      </c>
      <c r="I7325" s="1">
        <v>42180</v>
      </c>
      <c r="J7325" s="1">
        <v>42178</v>
      </c>
      <c r="K7325" s="1">
        <v>42238</v>
      </c>
      <c r="N7325" s="5"/>
      <c r="O7325" s="2">
        <v>3247.6</v>
      </c>
      <c r="P7325">
        <v>13</v>
      </c>
      <c r="Q7325" s="2">
        <v>42218.8</v>
      </c>
      <c r="R7325">
        <v>0</v>
      </c>
      <c r="V7325">
        <v>0</v>
      </c>
      <c r="W7325">
        <v>0</v>
      </c>
      <c r="X7325">
        <v>0</v>
      </c>
      <c r="Y7325" s="2">
        <v>3962.07</v>
      </c>
      <c r="Z7325" s="2">
        <v>3962.07</v>
      </c>
      <c r="AA7325" s="2">
        <v>3962.07</v>
      </c>
      <c r="AB7325" s="1">
        <v>42382</v>
      </c>
      <c r="AC7325" t="s">
        <v>53</v>
      </c>
      <c r="AD7325" t="s">
        <v>53</v>
      </c>
      <c r="AK7325">
        <v>0</v>
      </c>
      <c r="AU7325" s="6">
        <v>42251</v>
      </c>
      <c r="AV7325" s="6">
        <v>42251</v>
      </c>
      <c r="AW7325" t="s">
        <v>54</v>
      </c>
      <c r="AX7325" t="str">
        <f t="shared" si="592"/>
        <v>FOR</v>
      </c>
      <c r="AY7325" t="s">
        <v>55</v>
      </c>
    </row>
    <row r="7326" spans="1:51" hidden="1">
      <c r="A7326">
        <v>104124</v>
      </c>
      <c r="B7326" t="s">
        <v>1216</v>
      </c>
      <c r="C7326" t="str">
        <f t="shared" si="593"/>
        <v>03104731215</v>
      </c>
      <c r="D7326" t="str">
        <f t="shared" si="594"/>
        <v>CPTMSM61E01L245Y</v>
      </c>
      <c r="E7326" t="s">
        <v>52</v>
      </c>
      <c r="F7326">
        <v>2015</v>
      </c>
      <c r="G7326" t="s">
        <v>1238</v>
      </c>
      <c r="H7326" s="1">
        <v>42170</v>
      </c>
      <c r="I7326" s="1">
        <v>42180</v>
      </c>
      <c r="J7326" s="1">
        <v>42178</v>
      </c>
      <c r="K7326" s="1">
        <v>42238</v>
      </c>
      <c r="N7326" s="5"/>
      <c r="O7326" s="2">
        <v>1550</v>
      </c>
      <c r="P7326">
        <v>13</v>
      </c>
      <c r="Q7326" s="2">
        <v>20150</v>
      </c>
      <c r="R7326">
        <v>0</v>
      </c>
      <c r="V7326">
        <v>0</v>
      </c>
      <c r="W7326">
        <v>0</v>
      </c>
      <c r="X7326">
        <v>0</v>
      </c>
      <c r="Y7326" s="2">
        <v>1891</v>
      </c>
      <c r="Z7326" s="2">
        <v>1891</v>
      </c>
      <c r="AA7326" s="2">
        <v>1891</v>
      </c>
      <c r="AB7326" s="1">
        <v>42382</v>
      </c>
      <c r="AC7326" t="s">
        <v>53</v>
      </c>
      <c r="AD7326" t="s">
        <v>53</v>
      </c>
      <c r="AK7326">
        <v>0</v>
      </c>
      <c r="AU7326" s="6">
        <v>42251</v>
      </c>
      <c r="AV7326" s="6">
        <v>42251</v>
      </c>
      <c r="AW7326" t="s">
        <v>54</v>
      </c>
      <c r="AX7326" t="str">
        <f t="shared" si="592"/>
        <v>FOR</v>
      </c>
      <c r="AY7326" t="s">
        <v>55</v>
      </c>
    </row>
    <row r="7327" spans="1:51" hidden="1">
      <c r="A7327">
        <v>104124</v>
      </c>
      <c r="B7327" t="s">
        <v>1216</v>
      </c>
      <c r="C7327" t="str">
        <f t="shared" si="593"/>
        <v>03104731215</v>
      </c>
      <c r="D7327" t="str">
        <f t="shared" si="594"/>
        <v>CPTMSM61E01L245Y</v>
      </c>
      <c r="E7327" t="s">
        <v>52</v>
      </c>
      <c r="F7327">
        <v>2015</v>
      </c>
      <c r="G7327" t="s">
        <v>1239</v>
      </c>
      <c r="H7327" s="1">
        <v>42171</v>
      </c>
      <c r="I7327" s="1">
        <v>42180</v>
      </c>
      <c r="J7327" s="1">
        <v>42178</v>
      </c>
      <c r="K7327" s="1">
        <v>42238</v>
      </c>
      <c r="N7327" s="5"/>
      <c r="O7327" s="2">
        <v>1550</v>
      </c>
      <c r="P7327">
        <v>13</v>
      </c>
      <c r="Q7327" s="2">
        <v>20150</v>
      </c>
      <c r="R7327">
        <v>0</v>
      </c>
      <c r="V7327">
        <v>0</v>
      </c>
      <c r="W7327">
        <v>0</v>
      </c>
      <c r="X7327">
        <v>0</v>
      </c>
      <c r="Y7327" s="2">
        <v>1891</v>
      </c>
      <c r="Z7327" s="2">
        <v>1891</v>
      </c>
      <c r="AA7327" s="2">
        <v>1891</v>
      </c>
      <c r="AB7327" s="1">
        <v>42382</v>
      </c>
      <c r="AC7327" t="s">
        <v>53</v>
      </c>
      <c r="AD7327" t="s">
        <v>53</v>
      </c>
      <c r="AK7327">
        <v>0</v>
      </c>
      <c r="AU7327" s="6">
        <v>42251</v>
      </c>
      <c r="AV7327" s="6">
        <v>42251</v>
      </c>
      <c r="AW7327" t="s">
        <v>54</v>
      </c>
      <c r="AX7327" t="str">
        <f t="shared" si="592"/>
        <v>FOR</v>
      </c>
      <c r="AY7327" t="s">
        <v>55</v>
      </c>
    </row>
    <row r="7328" spans="1:51" hidden="1">
      <c r="A7328">
        <v>104124</v>
      </c>
      <c r="B7328" t="s">
        <v>1216</v>
      </c>
      <c r="C7328" t="str">
        <f t="shared" si="593"/>
        <v>03104731215</v>
      </c>
      <c r="D7328" t="str">
        <f t="shared" si="594"/>
        <v>CPTMSM61E01L245Y</v>
      </c>
      <c r="E7328" t="s">
        <v>52</v>
      </c>
      <c r="F7328">
        <v>2015</v>
      </c>
      <c r="G7328" t="s">
        <v>1240</v>
      </c>
      <c r="H7328" s="1">
        <v>42181</v>
      </c>
      <c r="I7328" s="1">
        <v>42186</v>
      </c>
      <c r="J7328" s="1">
        <v>42184</v>
      </c>
      <c r="K7328" s="1">
        <v>42244</v>
      </c>
      <c r="N7328" s="5"/>
      <c r="O7328" s="2">
        <v>3769.1</v>
      </c>
      <c r="P7328">
        <v>32</v>
      </c>
      <c r="Q7328" s="2">
        <v>120611.2</v>
      </c>
      <c r="R7328">
        <v>0</v>
      </c>
      <c r="V7328">
        <v>0</v>
      </c>
      <c r="W7328">
        <v>0</v>
      </c>
      <c r="X7328">
        <v>0</v>
      </c>
      <c r="Y7328" s="2">
        <v>4598.3</v>
      </c>
      <c r="Z7328" s="2">
        <v>4598.3</v>
      </c>
      <c r="AA7328" s="2">
        <v>4598.3</v>
      </c>
      <c r="AB7328" s="1">
        <v>42382</v>
      </c>
      <c r="AC7328" t="s">
        <v>53</v>
      </c>
      <c r="AD7328" t="s">
        <v>53</v>
      </c>
      <c r="AK7328">
        <v>0</v>
      </c>
      <c r="AU7328" s="6">
        <v>42276</v>
      </c>
      <c r="AV7328" s="6">
        <v>42276</v>
      </c>
      <c r="AW7328" t="s">
        <v>54</v>
      </c>
      <c r="AX7328" t="str">
        <f t="shared" si="592"/>
        <v>FOR</v>
      </c>
      <c r="AY7328" t="s">
        <v>55</v>
      </c>
    </row>
    <row r="7329" spans="1:51" hidden="1">
      <c r="A7329">
        <v>104129</v>
      </c>
      <c r="B7329" t="s">
        <v>1241</v>
      </c>
      <c r="C7329" t="str">
        <f t="shared" ref="C7329:C7352" si="595">"00847380961"</f>
        <v>00847380961</v>
      </c>
      <c r="D7329" t="str">
        <f t="shared" ref="D7329:D7352" si="596">"07123400157"</f>
        <v>07123400157</v>
      </c>
      <c r="E7329" t="s">
        <v>52</v>
      </c>
      <c r="F7329">
        <v>2014</v>
      </c>
      <c r="G7329">
        <v>14001471</v>
      </c>
      <c r="H7329" s="1">
        <v>41659</v>
      </c>
      <c r="I7329" s="1">
        <v>41667</v>
      </c>
      <c r="J7329" s="1">
        <v>41667</v>
      </c>
      <c r="K7329" s="1">
        <v>41757</v>
      </c>
      <c r="N7329" s="5"/>
      <c r="O7329">
        <v>366</v>
      </c>
      <c r="P7329">
        <v>315</v>
      </c>
      <c r="Q7329" s="2">
        <v>115290</v>
      </c>
      <c r="R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 s="1">
        <v>42382</v>
      </c>
      <c r="AC7329" t="s">
        <v>53</v>
      </c>
      <c r="AD7329" t="s">
        <v>53</v>
      </c>
      <c r="AK7329">
        <v>0</v>
      </c>
      <c r="AU7329" s="6">
        <v>42072</v>
      </c>
      <c r="AV7329" s="6">
        <v>42072</v>
      </c>
      <c r="AW7329" t="s">
        <v>54</v>
      </c>
      <c r="AX7329" t="str">
        <f t="shared" si="592"/>
        <v>FOR</v>
      </c>
      <c r="AY7329" t="s">
        <v>55</v>
      </c>
    </row>
    <row r="7330" spans="1:51" hidden="1">
      <c r="A7330">
        <v>104129</v>
      </c>
      <c r="B7330" t="s">
        <v>1241</v>
      </c>
      <c r="C7330" t="str">
        <f t="shared" si="595"/>
        <v>00847380961</v>
      </c>
      <c r="D7330" t="str">
        <f t="shared" si="596"/>
        <v>07123400157</v>
      </c>
      <c r="E7330" t="s">
        <v>52</v>
      </c>
      <c r="F7330">
        <v>2014</v>
      </c>
      <c r="G7330">
        <v>14004759</v>
      </c>
      <c r="H7330" s="1">
        <v>41689</v>
      </c>
      <c r="I7330" s="1">
        <v>41697</v>
      </c>
      <c r="J7330" s="1">
        <v>41697</v>
      </c>
      <c r="K7330" s="1">
        <v>41787</v>
      </c>
      <c r="N7330" s="5"/>
      <c r="O7330" s="2">
        <v>2635.2</v>
      </c>
      <c r="P7330">
        <v>285</v>
      </c>
      <c r="Q7330" s="2">
        <v>751032</v>
      </c>
      <c r="R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 s="1">
        <v>42382</v>
      </c>
      <c r="AC7330" t="s">
        <v>53</v>
      </c>
      <c r="AD7330" t="s">
        <v>53</v>
      </c>
      <c r="AK7330">
        <v>0</v>
      </c>
      <c r="AU7330" s="6">
        <v>42072</v>
      </c>
      <c r="AV7330" s="6">
        <v>42072</v>
      </c>
      <c r="AW7330" t="s">
        <v>54</v>
      </c>
      <c r="AX7330" t="str">
        <f t="shared" si="592"/>
        <v>FOR</v>
      </c>
      <c r="AY7330" t="s">
        <v>55</v>
      </c>
    </row>
    <row r="7331" spans="1:51" hidden="1">
      <c r="A7331">
        <v>104129</v>
      </c>
      <c r="B7331" t="s">
        <v>1241</v>
      </c>
      <c r="C7331" t="str">
        <f t="shared" si="595"/>
        <v>00847380961</v>
      </c>
      <c r="D7331" t="str">
        <f t="shared" si="596"/>
        <v>07123400157</v>
      </c>
      <c r="E7331" t="s">
        <v>52</v>
      </c>
      <c r="F7331">
        <v>2014</v>
      </c>
      <c r="G7331">
        <v>14005359</v>
      </c>
      <c r="H7331" s="1">
        <v>41695</v>
      </c>
      <c r="I7331" s="1">
        <v>41702</v>
      </c>
      <c r="J7331" s="1">
        <v>41702</v>
      </c>
      <c r="K7331" s="1">
        <v>41792</v>
      </c>
      <c r="N7331" s="5"/>
      <c r="O7331" s="2">
        <v>1098</v>
      </c>
      <c r="P7331">
        <v>280</v>
      </c>
      <c r="Q7331" s="2">
        <v>307440</v>
      </c>
      <c r="R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 s="1">
        <v>42382</v>
      </c>
      <c r="AC7331" t="s">
        <v>53</v>
      </c>
      <c r="AD7331" t="s">
        <v>53</v>
      </c>
      <c r="AK7331">
        <v>0</v>
      </c>
      <c r="AU7331" s="6">
        <v>42072</v>
      </c>
      <c r="AV7331" s="6">
        <v>42072</v>
      </c>
      <c r="AW7331" t="s">
        <v>54</v>
      </c>
      <c r="AX7331" t="str">
        <f t="shared" si="592"/>
        <v>FOR</v>
      </c>
      <c r="AY7331" t="s">
        <v>55</v>
      </c>
    </row>
    <row r="7332" spans="1:51" hidden="1">
      <c r="A7332">
        <v>104129</v>
      </c>
      <c r="B7332" t="s">
        <v>1241</v>
      </c>
      <c r="C7332" t="str">
        <f t="shared" si="595"/>
        <v>00847380961</v>
      </c>
      <c r="D7332" t="str">
        <f t="shared" si="596"/>
        <v>07123400157</v>
      </c>
      <c r="E7332" t="s">
        <v>52</v>
      </c>
      <c r="F7332">
        <v>2014</v>
      </c>
      <c r="G7332">
        <v>14007926</v>
      </c>
      <c r="H7332" s="1">
        <v>41722</v>
      </c>
      <c r="I7332" s="1">
        <v>41736</v>
      </c>
      <c r="J7332" s="1">
        <v>41736</v>
      </c>
      <c r="K7332" s="1">
        <v>41826</v>
      </c>
      <c r="N7332" s="5"/>
      <c r="O7332" s="2">
        <v>9651.2000000000007</v>
      </c>
      <c r="P7332">
        <v>249</v>
      </c>
      <c r="Q7332" s="2">
        <v>2403148.7999999998</v>
      </c>
      <c r="R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 s="1">
        <v>42382</v>
      </c>
      <c r="AC7332" t="s">
        <v>53</v>
      </c>
      <c r="AD7332" t="s">
        <v>53</v>
      </c>
      <c r="AK7332">
        <v>0</v>
      </c>
      <c r="AU7332" s="6">
        <v>42075</v>
      </c>
      <c r="AV7332" s="6">
        <v>42075</v>
      </c>
      <c r="AW7332" t="s">
        <v>54</v>
      </c>
      <c r="AX7332" t="str">
        <f t="shared" si="592"/>
        <v>FOR</v>
      </c>
      <c r="AY7332" t="s">
        <v>55</v>
      </c>
    </row>
    <row r="7333" spans="1:51" hidden="1">
      <c r="A7333">
        <v>104129</v>
      </c>
      <c r="B7333" t="s">
        <v>1241</v>
      </c>
      <c r="C7333" t="str">
        <f t="shared" si="595"/>
        <v>00847380961</v>
      </c>
      <c r="D7333" t="str">
        <f t="shared" si="596"/>
        <v>07123400157</v>
      </c>
      <c r="E7333" t="s">
        <v>52</v>
      </c>
      <c r="F7333">
        <v>2014</v>
      </c>
      <c r="G7333">
        <v>14008081</v>
      </c>
      <c r="H7333" s="1">
        <v>41723</v>
      </c>
      <c r="I7333" s="1">
        <v>41736</v>
      </c>
      <c r="J7333" s="1">
        <v>41736</v>
      </c>
      <c r="K7333" s="1">
        <v>41826</v>
      </c>
      <c r="N7333" s="5"/>
      <c r="O7333" s="2">
        <v>4149.6000000000004</v>
      </c>
      <c r="P7333">
        <v>249</v>
      </c>
      <c r="Q7333" s="2">
        <v>1033250.4</v>
      </c>
      <c r="R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 s="1">
        <v>42382</v>
      </c>
      <c r="AC7333" t="s">
        <v>53</v>
      </c>
      <c r="AD7333" t="s">
        <v>53</v>
      </c>
      <c r="AK7333">
        <v>0</v>
      </c>
      <c r="AU7333" s="6">
        <v>42075</v>
      </c>
      <c r="AV7333" s="6">
        <v>42075</v>
      </c>
      <c r="AW7333" t="s">
        <v>54</v>
      </c>
      <c r="AX7333" t="str">
        <f t="shared" si="592"/>
        <v>FOR</v>
      </c>
      <c r="AY7333" t="s">
        <v>55</v>
      </c>
    </row>
    <row r="7334" spans="1:51" hidden="1">
      <c r="A7334">
        <v>104129</v>
      </c>
      <c r="B7334" t="s">
        <v>1241</v>
      </c>
      <c r="C7334" t="str">
        <f t="shared" si="595"/>
        <v>00847380961</v>
      </c>
      <c r="D7334" t="str">
        <f t="shared" si="596"/>
        <v>07123400157</v>
      </c>
      <c r="E7334" t="s">
        <v>52</v>
      </c>
      <c r="F7334">
        <v>2014</v>
      </c>
      <c r="G7334">
        <v>14008206</v>
      </c>
      <c r="H7334" s="1">
        <v>41724</v>
      </c>
      <c r="I7334" s="1">
        <v>41736</v>
      </c>
      <c r="J7334" s="1">
        <v>41736</v>
      </c>
      <c r="K7334" s="1">
        <v>41826</v>
      </c>
      <c r="N7334" s="5"/>
      <c r="O7334">
        <v>988</v>
      </c>
      <c r="P7334">
        <v>249</v>
      </c>
      <c r="Q7334" s="2">
        <v>246012</v>
      </c>
      <c r="R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 s="1">
        <v>42382</v>
      </c>
      <c r="AC7334" t="s">
        <v>53</v>
      </c>
      <c r="AD7334" t="s">
        <v>53</v>
      </c>
      <c r="AK7334">
        <v>0</v>
      </c>
      <c r="AU7334" s="6">
        <v>42075</v>
      </c>
      <c r="AV7334" s="6">
        <v>42075</v>
      </c>
      <c r="AW7334" t="s">
        <v>54</v>
      </c>
      <c r="AX7334" t="str">
        <f t="shared" si="592"/>
        <v>FOR</v>
      </c>
      <c r="AY7334" t="s">
        <v>55</v>
      </c>
    </row>
    <row r="7335" spans="1:51" hidden="1">
      <c r="A7335">
        <v>104129</v>
      </c>
      <c r="B7335" t="s">
        <v>1241</v>
      </c>
      <c r="C7335" t="str">
        <f t="shared" si="595"/>
        <v>00847380961</v>
      </c>
      <c r="D7335" t="str">
        <f t="shared" si="596"/>
        <v>07123400157</v>
      </c>
      <c r="E7335" t="s">
        <v>52</v>
      </c>
      <c r="F7335">
        <v>2014</v>
      </c>
      <c r="G7335">
        <v>14008648</v>
      </c>
      <c r="H7335" s="1">
        <v>41729</v>
      </c>
      <c r="I7335" s="1">
        <v>41737</v>
      </c>
      <c r="J7335" s="1">
        <v>41737</v>
      </c>
      <c r="K7335" s="1">
        <v>41827</v>
      </c>
      <c r="N7335" s="5"/>
      <c r="O7335">
        <v>197.6</v>
      </c>
      <c r="P7335">
        <v>248</v>
      </c>
      <c r="Q7335" s="2">
        <v>49004.800000000003</v>
      </c>
      <c r="R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 s="1">
        <v>42382</v>
      </c>
      <c r="AC7335" t="s">
        <v>53</v>
      </c>
      <c r="AD7335" t="s">
        <v>53</v>
      </c>
      <c r="AK7335">
        <v>0</v>
      </c>
      <c r="AU7335" s="6">
        <v>42075</v>
      </c>
      <c r="AV7335" s="6">
        <v>42075</v>
      </c>
      <c r="AW7335" t="s">
        <v>54</v>
      </c>
      <c r="AX7335" t="str">
        <f t="shared" si="592"/>
        <v>FOR</v>
      </c>
      <c r="AY7335" t="s">
        <v>55</v>
      </c>
    </row>
    <row r="7336" spans="1:51" hidden="1">
      <c r="A7336">
        <v>104129</v>
      </c>
      <c r="B7336" t="s">
        <v>1241</v>
      </c>
      <c r="C7336" t="str">
        <f t="shared" si="595"/>
        <v>00847380961</v>
      </c>
      <c r="D7336" t="str">
        <f t="shared" si="596"/>
        <v>07123400157</v>
      </c>
      <c r="E7336" t="s">
        <v>52</v>
      </c>
      <c r="F7336">
        <v>2014</v>
      </c>
      <c r="G7336">
        <v>14008805</v>
      </c>
      <c r="H7336" s="1">
        <v>41730</v>
      </c>
      <c r="I7336" s="1">
        <v>41737</v>
      </c>
      <c r="J7336" s="1">
        <v>41737</v>
      </c>
      <c r="K7336" s="1">
        <v>41827</v>
      </c>
      <c r="N7336" s="5"/>
      <c r="O7336" s="2">
        <v>3359.2</v>
      </c>
      <c r="P7336">
        <v>275</v>
      </c>
      <c r="Q7336" s="2">
        <v>923780</v>
      </c>
      <c r="R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 s="1">
        <v>42382</v>
      </c>
      <c r="AC7336" t="s">
        <v>53</v>
      </c>
      <c r="AD7336" t="s">
        <v>53</v>
      </c>
      <c r="AK7336">
        <v>0</v>
      </c>
      <c r="AU7336" s="6">
        <v>42102</v>
      </c>
      <c r="AV7336" s="6">
        <v>42102</v>
      </c>
      <c r="AW7336" t="s">
        <v>54</v>
      </c>
      <c r="AX7336" t="str">
        <f t="shared" si="592"/>
        <v>FOR</v>
      </c>
      <c r="AY7336" t="s">
        <v>55</v>
      </c>
    </row>
    <row r="7337" spans="1:51" hidden="1">
      <c r="A7337">
        <v>104129</v>
      </c>
      <c r="B7337" t="s">
        <v>1241</v>
      </c>
      <c r="C7337" t="str">
        <f t="shared" si="595"/>
        <v>00847380961</v>
      </c>
      <c r="D7337" t="str">
        <f t="shared" si="596"/>
        <v>07123400157</v>
      </c>
      <c r="E7337" t="s">
        <v>52</v>
      </c>
      <c r="F7337">
        <v>2014</v>
      </c>
      <c r="G7337">
        <v>14012286</v>
      </c>
      <c r="H7337" s="1">
        <v>41767</v>
      </c>
      <c r="I7337" s="1">
        <v>41778</v>
      </c>
      <c r="J7337" s="1">
        <v>41778</v>
      </c>
      <c r="K7337" s="1">
        <v>41868</v>
      </c>
      <c r="N7337" s="5"/>
      <c r="O7337" s="2">
        <v>2848.4</v>
      </c>
      <c r="P7337">
        <v>263</v>
      </c>
      <c r="Q7337" s="2">
        <v>749129.2</v>
      </c>
      <c r="R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 s="1">
        <v>42382</v>
      </c>
      <c r="AC7337" t="s">
        <v>53</v>
      </c>
      <c r="AD7337" t="s">
        <v>53</v>
      </c>
      <c r="AK7337">
        <v>0</v>
      </c>
      <c r="AU7337" s="6">
        <v>42131</v>
      </c>
      <c r="AV7337" s="6">
        <v>42131</v>
      </c>
      <c r="AW7337" t="s">
        <v>54</v>
      </c>
      <c r="AX7337" t="str">
        <f t="shared" si="592"/>
        <v>FOR</v>
      </c>
      <c r="AY7337" t="s">
        <v>55</v>
      </c>
    </row>
    <row r="7338" spans="1:51" hidden="1">
      <c r="A7338">
        <v>104129</v>
      </c>
      <c r="B7338" t="s">
        <v>1241</v>
      </c>
      <c r="C7338" t="str">
        <f t="shared" si="595"/>
        <v>00847380961</v>
      </c>
      <c r="D7338" t="str">
        <f t="shared" si="596"/>
        <v>07123400157</v>
      </c>
      <c r="E7338" t="s">
        <v>52</v>
      </c>
      <c r="F7338">
        <v>2014</v>
      </c>
      <c r="G7338">
        <v>14016902</v>
      </c>
      <c r="H7338" s="1">
        <v>41814</v>
      </c>
      <c r="I7338" s="1">
        <v>41821</v>
      </c>
      <c r="J7338" s="1">
        <v>41821</v>
      </c>
      <c r="K7338" s="1">
        <v>41911</v>
      </c>
      <c r="N7338" s="5"/>
      <c r="O7338" s="2">
        <v>1098</v>
      </c>
      <c r="P7338">
        <v>247</v>
      </c>
      <c r="Q7338" s="2">
        <v>271206</v>
      </c>
      <c r="R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 s="1">
        <v>42382</v>
      </c>
      <c r="AC7338" t="s">
        <v>53</v>
      </c>
      <c r="AD7338" t="s">
        <v>53</v>
      </c>
      <c r="AK7338">
        <v>0</v>
      </c>
      <c r="AU7338" s="6">
        <v>42158</v>
      </c>
      <c r="AV7338" s="6">
        <v>42158</v>
      </c>
      <c r="AW7338" t="s">
        <v>54</v>
      </c>
      <c r="AX7338" t="str">
        <f t="shared" si="592"/>
        <v>FOR</v>
      </c>
      <c r="AY7338" t="s">
        <v>55</v>
      </c>
    </row>
    <row r="7339" spans="1:51" hidden="1">
      <c r="A7339">
        <v>104129</v>
      </c>
      <c r="B7339" t="s">
        <v>1241</v>
      </c>
      <c r="C7339" t="str">
        <f t="shared" si="595"/>
        <v>00847380961</v>
      </c>
      <c r="D7339" t="str">
        <f t="shared" si="596"/>
        <v>07123400157</v>
      </c>
      <c r="E7339" t="s">
        <v>52</v>
      </c>
      <c r="F7339">
        <v>2014</v>
      </c>
      <c r="G7339">
        <v>14019247</v>
      </c>
      <c r="H7339" s="1">
        <v>41836</v>
      </c>
      <c r="I7339" s="1">
        <v>41843</v>
      </c>
      <c r="J7339" s="1">
        <v>41843</v>
      </c>
      <c r="K7339" s="1">
        <v>41932</v>
      </c>
      <c r="N7339" s="5"/>
      <c r="O7339" s="2">
        <v>2360.6999999999998</v>
      </c>
      <c r="P7339">
        <v>249</v>
      </c>
      <c r="Q7339" s="2">
        <v>587814.30000000005</v>
      </c>
      <c r="R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 s="1">
        <v>42382</v>
      </c>
      <c r="AC7339" t="s">
        <v>53</v>
      </c>
      <c r="AD7339" t="s">
        <v>53</v>
      </c>
      <c r="AK7339">
        <v>0</v>
      </c>
      <c r="AU7339" s="6">
        <v>42181</v>
      </c>
      <c r="AV7339" s="6">
        <v>42181</v>
      </c>
      <c r="AW7339" t="s">
        <v>54</v>
      </c>
      <c r="AX7339" t="str">
        <f t="shared" si="592"/>
        <v>FOR</v>
      </c>
      <c r="AY7339" t="s">
        <v>55</v>
      </c>
    </row>
    <row r="7340" spans="1:51" hidden="1">
      <c r="A7340">
        <v>104129</v>
      </c>
      <c r="B7340" t="s">
        <v>1241</v>
      </c>
      <c r="C7340" t="str">
        <f t="shared" si="595"/>
        <v>00847380961</v>
      </c>
      <c r="D7340" t="str">
        <f t="shared" si="596"/>
        <v>07123400157</v>
      </c>
      <c r="E7340" t="s">
        <v>52</v>
      </c>
      <c r="F7340">
        <v>2014</v>
      </c>
      <c r="G7340">
        <v>14019516</v>
      </c>
      <c r="H7340" s="1">
        <v>41838</v>
      </c>
      <c r="I7340" s="1">
        <v>41849</v>
      </c>
      <c r="J7340" s="1">
        <v>41849</v>
      </c>
      <c r="K7340" s="1">
        <v>41939</v>
      </c>
      <c r="N7340" s="5"/>
      <c r="O7340" s="2">
        <v>1110.2</v>
      </c>
      <c r="P7340">
        <v>242</v>
      </c>
      <c r="Q7340" s="2">
        <v>268668.40000000002</v>
      </c>
      <c r="R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 s="1">
        <v>42382</v>
      </c>
      <c r="AC7340" t="s">
        <v>53</v>
      </c>
      <c r="AD7340" t="s">
        <v>53</v>
      </c>
      <c r="AK7340">
        <v>0</v>
      </c>
      <c r="AU7340" s="6">
        <v>42181</v>
      </c>
      <c r="AV7340" s="6">
        <v>42181</v>
      </c>
      <c r="AW7340" t="s">
        <v>54</v>
      </c>
      <c r="AX7340" t="str">
        <f t="shared" si="592"/>
        <v>FOR</v>
      </c>
      <c r="AY7340" t="s">
        <v>55</v>
      </c>
    </row>
    <row r="7341" spans="1:51" hidden="1">
      <c r="A7341">
        <v>104129</v>
      </c>
      <c r="B7341" t="s">
        <v>1241</v>
      </c>
      <c r="C7341" t="str">
        <f t="shared" si="595"/>
        <v>00847380961</v>
      </c>
      <c r="D7341" t="str">
        <f t="shared" si="596"/>
        <v>07123400157</v>
      </c>
      <c r="E7341" t="s">
        <v>52</v>
      </c>
      <c r="F7341">
        <v>2014</v>
      </c>
      <c r="G7341">
        <v>14020969</v>
      </c>
      <c r="H7341" s="1">
        <v>41855</v>
      </c>
      <c r="I7341" s="1">
        <v>41876</v>
      </c>
      <c r="J7341" s="1">
        <v>41876</v>
      </c>
      <c r="K7341" s="1">
        <v>41966</v>
      </c>
      <c r="N7341" s="5"/>
      <c r="O7341">
        <v>439.2</v>
      </c>
      <c r="P7341">
        <v>215</v>
      </c>
      <c r="Q7341" s="2">
        <v>94428</v>
      </c>
      <c r="R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 s="1">
        <v>42382</v>
      </c>
      <c r="AC7341" t="s">
        <v>53</v>
      </c>
      <c r="AD7341" t="s">
        <v>53</v>
      </c>
      <c r="AK7341">
        <v>0</v>
      </c>
      <c r="AU7341" s="6">
        <v>42181</v>
      </c>
      <c r="AV7341" s="6">
        <v>42181</v>
      </c>
      <c r="AW7341" t="s">
        <v>54</v>
      </c>
      <c r="AX7341" t="str">
        <f t="shared" si="592"/>
        <v>FOR</v>
      </c>
      <c r="AY7341" t="s">
        <v>55</v>
      </c>
    </row>
    <row r="7342" spans="1:51" hidden="1">
      <c r="A7342">
        <v>104129</v>
      </c>
      <c r="B7342" t="s">
        <v>1241</v>
      </c>
      <c r="C7342" t="str">
        <f t="shared" si="595"/>
        <v>00847380961</v>
      </c>
      <c r="D7342" t="str">
        <f t="shared" si="596"/>
        <v>07123400157</v>
      </c>
      <c r="E7342" t="s">
        <v>52</v>
      </c>
      <c r="F7342">
        <v>2014</v>
      </c>
      <c r="G7342">
        <v>14021087</v>
      </c>
      <c r="H7342" s="1">
        <v>41856</v>
      </c>
      <c r="I7342" s="1">
        <v>41876</v>
      </c>
      <c r="J7342" s="1">
        <v>41876</v>
      </c>
      <c r="K7342" s="1">
        <v>41966</v>
      </c>
      <c r="N7342" s="5"/>
      <c r="O7342">
        <v>993.08</v>
      </c>
      <c r="P7342">
        <v>215</v>
      </c>
      <c r="Q7342" s="2">
        <v>213512.2</v>
      </c>
      <c r="R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 s="1">
        <v>42382</v>
      </c>
      <c r="AC7342" t="s">
        <v>53</v>
      </c>
      <c r="AD7342" t="s">
        <v>53</v>
      </c>
      <c r="AK7342">
        <v>0</v>
      </c>
      <c r="AU7342" s="6">
        <v>42181</v>
      </c>
      <c r="AV7342" s="6">
        <v>42181</v>
      </c>
      <c r="AW7342" t="s">
        <v>54</v>
      </c>
      <c r="AX7342" t="str">
        <f t="shared" si="592"/>
        <v>FOR</v>
      </c>
      <c r="AY7342" t="s">
        <v>55</v>
      </c>
    </row>
    <row r="7343" spans="1:51" hidden="1">
      <c r="A7343">
        <v>104129</v>
      </c>
      <c r="B7343" t="s">
        <v>1241</v>
      </c>
      <c r="C7343" t="str">
        <f t="shared" si="595"/>
        <v>00847380961</v>
      </c>
      <c r="D7343" t="str">
        <f t="shared" si="596"/>
        <v>07123400157</v>
      </c>
      <c r="E7343" t="s">
        <v>52</v>
      </c>
      <c r="F7343">
        <v>2014</v>
      </c>
      <c r="G7343">
        <v>14021951</v>
      </c>
      <c r="H7343" s="1">
        <v>41870</v>
      </c>
      <c r="I7343" s="1">
        <v>41878</v>
      </c>
      <c r="J7343" s="1">
        <v>41878</v>
      </c>
      <c r="K7343" s="1">
        <v>41968</v>
      </c>
      <c r="N7343" s="5"/>
      <c r="O7343" s="2">
        <v>2288</v>
      </c>
      <c r="P7343">
        <v>213</v>
      </c>
      <c r="Q7343" s="2">
        <v>487344</v>
      </c>
      <c r="R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 s="1">
        <v>42382</v>
      </c>
      <c r="AC7343" t="s">
        <v>53</v>
      </c>
      <c r="AD7343" t="s">
        <v>53</v>
      </c>
      <c r="AK7343">
        <v>0</v>
      </c>
      <c r="AU7343" s="6">
        <v>42181</v>
      </c>
      <c r="AV7343" s="6">
        <v>42181</v>
      </c>
      <c r="AW7343" t="s">
        <v>54</v>
      </c>
      <c r="AX7343" t="str">
        <f t="shared" si="592"/>
        <v>FOR</v>
      </c>
      <c r="AY7343" t="s">
        <v>55</v>
      </c>
    </row>
    <row r="7344" spans="1:51" hidden="1">
      <c r="A7344">
        <v>104129</v>
      </c>
      <c r="B7344" t="s">
        <v>1241</v>
      </c>
      <c r="C7344" t="str">
        <f t="shared" si="595"/>
        <v>00847380961</v>
      </c>
      <c r="D7344" t="str">
        <f t="shared" si="596"/>
        <v>07123400157</v>
      </c>
      <c r="E7344" t="s">
        <v>52</v>
      </c>
      <c r="F7344">
        <v>2014</v>
      </c>
      <c r="G7344">
        <v>14022754</v>
      </c>
      <c r="H7344" s="1">
        <v>41883</v>
      </c>
      <c r="I7344" s="1">
        <v>41897</v>
      </c>
      <c r="J7344" s="1">
        <v>41897</v>
      </c>
      <c r="K7344" s="1">
        <v>41987</v>
      </c>
      <c r="N7344" s="5"/>
      <c r="O7344">
        <v>317.2</v>
      </c>
      <c r="P7344">
        <v>262</v>
      </c>
      <c r="Q7344" s="2">
        <v>83106.399999999994</v>
      </c>
      <c r="R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 s="1">
        <v>42382</v>
      </c>
      <c r="AC7344" t="s">
        <v>53</v>
      </c>
      <c r="AD7344" t="s">
        <v>53</v>
      </c>
      <c r="AK7344">
        <v>0</v>
      </c>
      <c r="AU7344" s="6">
        <v>42249</v>
      </c>
      <c r="AV7344" s="6">
        <v>42249</v>
      </c>
      <c r="AW7344" t="s">
        <v>54</v>
      </c>
      <c r="AX7344" t="str">
        <f t="shared" si="592"/>
        <v>FOR</v>
      </c>
      <c r="AY7344" t="s">
        <v>55</v>
      </c>
    </row>
    <row r="7345" spans="1:51" hidden="1">
      <c r="A7345">
        <v>104129</v>
      </c>
      <c r="B7345" t="s">
        <v>1241</v>
      </c>
      <c r="C7345" t="str">
        <f t="shared" si="595"/>
        <v>00847380961</v>
      </c>
      <c r="D7345" t="str">
        <f t="shared" si="596"/>
        <v>07123400157</v>
      </c>
      <c r="E7345" t="s">
        <v>52</v>
      </c>
      <c r="F7345">
        <v>2014</v>
      </c>
      <c r="G7345">
        <v>14023111</v>
      </c>
      <c r="H7345" s="1">
        <v>41886</v>
      </c>
      <c r="I7345" s="1">
        <v>41901</v>
      </c>
      <c r="J7345" s="1">
        <v>41901</v>
      </c>
      <c r="K7345" s="1">
        <v>41991</v>
      </c>
      <c r="N7345" s="5"/>
      <c r="O7345" s="2">
        <v>2971.31</v>
      </c>
      <c r="P7345">
        <v>258</v>
      </c>
      <c r="Q7345" s="2">
        <v>766597.98</v>
      </c>
      <c r="R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 s="1">
        <v>42382</v>
      </c>
      <c r="AC7345" t="s">
        <v>53</v>
      </c>
      <c r="AD7345" t="s">
        <v>53</v>
      </c>
      <c r="AK7345">
        <v>0</v>
      </c>
      <c r="AU7345" s="6">
        <v>42249</v>
      </c>
      <c r="AV7345" s="6">
        <v>42249</v>
      </c>
      <c r="AW7345" t="s">
        <v>54</v>
      </c>
      <c r="AX7345" t="str">
        <f t="shared" si="592"/>
        <v>FOR</v>
      </c>
      <c r="AY7345" t="s">
        <v>55</v>
      </c>
    </row>
    <row r="7346" spans="1:51" hidden="1">
      <c r="A7346">
        <v>104129</v>
      </c>
      <c r="B7346" t="s">
        <v>1241</v>
      </c>
      <c r="C7346" t="str">
        <f t="shared" si="595"/>
        <v>00847380961</v>
      </c>
      <c r="D7346" t="str">
        <f t="shared" si="596"/>
        <v>07123400157</v>
      </c>
      <c r="E7346" t="s">
        <v>52</v>
      </c>
      <c r="F7346">
        <v>2014</v>
      </c>
      <c r="G7346">
        <v>14024383</v>
      </c>
      <c r="H7346" s="1">
        <v>41901</v>
      </c>
      <c r="I7346" s="1">
        <v>41911</v>
      </c>
      <c r="J7346" s="1">
        <v>41911</v>
      </c>
      <c r="K7346" s="1">
        <v>42001</v>
      </c>
      <c r="N7346" s="5"/>
      <c r="O7346" s="2">
        <v>1464</v>
      </c>
      <c r="P7346">
        <v>248</v>
      </c>
      <c r="Q7346" s="2">
        <v>363072</v>
      </c>
      <c r="R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 s="1">
        <v>42382</v>
      </c>
      <c r="AC7346" t="s">
        <v>53</v>
      </c>
      <c r="AD7346" t="s">
        <v>53</v>
      </c>
      <c r="AK7346">
        <v>0</v>
      </c>
      <c r="AU7346" s="6">
        <v>42249</v>
      </c>
      <c r="AV7346" s="6">
        <v>42249</v>
      </c>
      <c r="AW7346" t="s">
        <v>54</v>
      </c>
      <c r="AX7346" t="str">
        <f t="shared" si="592"/>
        <v>FOR</v>
      </c>
      <c r="AY7346" t="s">
        <v>55</v>
      </c>
    </row>
    <row r="7347" spans="1:51" hidden="1">
      <c r="A7347">
        <v>104129</v>
      </c>
      <c r="B7347" t="s">
        <v>1241</v>
      </c>
      <c r="C7347" t="str">
        <f t="shared" si="595"/>
        <v>00847380961</v>
      </c>
      <c r="D7347" t="str">
        <f t="shared" si="596"/>
        <v>07123400157</v>
      </c>
      <c r="E7347" t="s">
        <v>52</v>
      </c>
      <c r="F7347">
        <v>2014</v>
      </c>
      <c r="G7347">
        <v>14024384</v>
      </c>
      <c r="H7347" s="1">
        <v>41901</v>
      </c>
      <c r="I7347" s="1">
        <v>41911</v>
      </c>
      <c r="J7347" s="1">
        <v>41911</v>
      </c>
      <c r="K7347" s="1">
        <v>42001</v>
      </c>
      <c r="N7347" s="5"/>
      <c r="O7347">
        <v>488</v>
      </c>
      <c r="P7347">
        <v>248</v>
      </c>
      <c r="Q7347" s="2">
        <v>121024</v>
      </c>
      <c r="R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 s="1">
        <v>42382</v>
      </c>
      <c r="AC7347" t="s">
        <v>53</v>
      </c>
      <c r="AD7347" t="s">
        <v>53</v>
      </c>
      <c r="AK7347">
        <v>0</v>
      </c>
      <c r="AU7347" s="6">
        <v>42249</v>
      </c>
      <c r="AV7347" s="6">
        <v>42249</v>
      </c>
      <c r="AW7347" t="s">
        <v>54</v>
      </c>
      <c r="AX7347" t="str">
        <f t="shared" si="592"/>
        <v>FOR</v>
      </c>
      <c r="AY7347" t="s">
        <v>55</v>
      </c>
    </row>
    <row r="7348" spans="1:51">
      <c r="A7348">
        <v>104129</v>
      </c>
      <c r="B7348" t="s">
        <v>1241</v>
      </c>
      <c r="C7348" t="str">
        <f t="shared" si="595"/>
        <v>00847380961</v>
      </c>
      <c r="D7348" t="str">
        <f t="shared" si="596"/>
        <v>07123400157</v>
      </c>
      <c r="E7348" t="s">
        <v>52</v>
      </c>
      <c r="F7348">
        <v>2014</v>
      </c>
      <c r="G7348">
        <v>14026258</v>
      </c>
      <c r="H7348" s="1">
        <v>41921</v>
      </c>
      <c r="I7348" s="1">
        <v>41932</v>
      </c>
      <c r="J7348" s="1">
        <v>41932</v>
      </c>
      <c r="K7348" s="1">
        <v>41992</v>
      </c>
      <c r="L7348" s="7">
        <v>6520.8</v>
      </c>
      <c r="M7348" s="5">
        <v>286</v>
      </c>
      <c r="N7348" s="7">
        <v>1864948.8</v>
      </c>
      <c r="O7348" s="2">
        <v>6520.8</v>
      </c>
      <c r="P7348">
        <v>286</v>
      </c>
      <c r="Q7348" s="2">
        <v>1864948.8</v>
      </c>
      <c r="R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 s="1">
        <v>42382</v>
      </c>
      <c r="AC7348" t="s">
        <v>53</v>
      </c>
      <c r="AD7348" t="s">
        <v>53</v>
      </c>
      <c r="AK7348">
        <v>0</v>
      </c>
      <c r="AU7348" s="6">
        <v>42278</v>
      </c>
      <c r="AV7348" s="6">
        <v>42278</v>
      </c>
      <c r="AW7348" t="s">
        <v>54</v>
      </c>
      <c r="AX7348" t="str">
        <f t="shared" si="592"/>
        <v>FOR</v>
      </c>
      <c r="AY7348" t="s">
        <v>55</v>
      </c>
    </row>
    <row r="7349" spans="1:51">
      <c r="A7349">
        <v>104129</v>
      </c>
      <c r="B7349" t="s">
        <v>1241</v>
      </c>
      <c r="C7349" t="str">
        <f t="shared" si="595"/>
        <v>00847380961</v>
      </c>
      <c r="D7349" t="str">
        <f t="shared" si="596"/>
        <v>07123400157</v>
      </c>
      <c r="E7349" t="s">
        <v>52</v>
      </c>
      <c r="F7349">
        <v>2014</v>
      </c>
      <c r="G7349">
        <v>14026987</v>
      </c>
      <c r="H7349" s="1">
        <v>41928</v>
      </c>
      <c r="I7349" s="1">
        <v>41936</v>
      </c>
      <c r="J7349" s="1">
        <v>41936</v>
      </c>
      <c r="K7349" s="1">
        <v>41996</v>
      </c>
      <c r="L7349" s="7">
        <v>5124</v>
      </c>
      <c r="M7349" s="5">
        <v>282</v>
      </c>
      <c r="N7349" s="7">
        <v>1444968</v>
      </c>
      <c r="O7349" s="2">
        <v>5124</v>
      </c>
      <c r="P7349">
        <v>282</v>
      </c>
      <c r="Q7349" s="2">
        <v>1444968</v>
      </c>
      <c r="R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 s="1">
        <v>42382</v>
      </c>
      <c r="AC7349" t="s">
        <v>53</v>
      </c>
      <c r="AD7349" t="s">
        <v>53</v>
      </c>
      <c r="AK7349">
        <v>0</v>
      </c>
      <c r="AU7349" s="6">
        <v>42278</v>
      </c>
      <c r="AV7349" s="6">
        <v>42278</v>
      </c>
      <c r="AW7349" t="s">
        <v>54</v>
      </c>
      <c r="AX7349" t="str">
        <f t="shared" si="592"/>
        <v>FOR</v>
      </c>
      <c r="AY7349" t="s">
        <v>55</v>
      </c>
    </row>
    <row r="7350" spans="1:51">
      <c r="A7350">
        <v>104129</v>
      </c>
      <c r="B7350" t="s">
        <v>1241</v>
      </c>
      <c r="C7350" t="str">
        <f t="shared" si="595"/>
        <v>00847380961</v>
      </c>
      <c r="D7350" t="str">
        <f t="shared" si="596"/>
        <v>07123400157</v>
      </c>
      <c r="E7350" t="s">
        <v>52</v>
      </c>
      <c r="F7350">
        <v>2015</v>
      </c>
      <c r="G7350">
        <v>15001209</v>
      </c>
      <c r="H7350" s="1">
        <v>42020</v>
      </c>
      <c r="I7350" s="1">
        <v>42030</v>
      </c>
      <c r="J7350" s="1">
        <v>42030</v>
      </c>
      <c r="K7350" s="1">
        <v>42090</v>
      </c>
      <c r="L7350" s="7">
        <v>900</v>
      </c>
      <c r="M7350" s="5">
        <v>265</v>
      </c>
      <c r="N7350" s="7">
        <v>238500</v>
      </c>
      <c r="O7350">
        <v>900</v>
      </c>
      <c r="P7350">
        <v>265</v>
      </c>
      <c r="Q7350" s="2">
        <v>238500</v>
      </c>
      <c r="R7350">
        <v>198</v>
      </c>
      <c r="V7350">
        <v>0</v>
      </c>
      <c r="W7350">
        <v>0</v>
      </c>
      <c r="X7350">
        <v>0</v>
      </c>
      <c r="Y7350" s="2">
        <v>1098</v>
      </c>
      <c r="Z7350" s="2">
        <v>1098</v>
      </c>
      <c r="AA7350" s="2">
        <v>1098</v>
      </c>
      <c r="AB7350" s="1">
        <v>42382</v>
      </c>
      <c r="AC7350" t="s">
        <v>53</v>
      </c>
      <c r="AD7350" t="s">
        <v>53</v>
      </c>
      <c r="AK7350">
        <v>198</v>
      </c>
      <c r="AU7350" s="6">
        <v>42355</v>
      </c>
      <c r="AV7350" s="6">
        <v>42355</v>
      </c>
      <c r="AW7350" t="s">
        <v>54</v>
      </c>
      <c r="AX7350" t="str">
        <f t="shared" si="592"/>
        <v>FOR</v>
      </c>
      <c r="AY7350" t="s">
        <v>55</v>
      </c>
    </row>
    <row r="7351" spans="1:51">
      <c r="A7351">
        <v>104129</v>
      </c>
      <c r="B7351" t="s">
        <v>1241</v>
      </c>
      <c r="C7351" t="str">
        <f t="shared" si="595"/>
        <v>00847380961</v>
      </c>
      <c r="D7351" t="str">
        <f t="shared" si="596"/>
        <v>07123400157</v>
      </c>
      <c r="E7351" t="s">
        <v>52</v>
      </c>
      <c r="F7351">
        <v>2015</v>
      </c>
      <c r="G7351">
        <v>15001741</v>
      </c>
      <c r="H7351" s="1">
        <v>42025</v>
      </c>
      <c r="I7351" s="1">
        <v>42037</v>
      </c>
      <c r="J7351" s="1">
        <v>42037</v>
      </c>
      <c r="K7351" s="1">
        <v>42097</v>
      </c>
      <c r="L7351" s="7">
        <v>1520</v>
      </c>
      <c r="M7351" s="5">
        <v>258</v>
      </c>
      <c r="N7351" s="7">
        <v>392160</v>
      </c>
      <c r="O7351" s="2">
        <v>1520</v>
      </c>
      <c r="P7351">
        <v>258</v>
      </c>
      <c r="Q7351" s="2">
        <v>392160</v>
      </c>
      <c r="R7351">
        <v>334.4</v>
      </c>
      <c r="V7351">
        <v>0</v>
      </c>
      <c r="W7351">
        <v>0</v>
      </c>
      <c r="X7351">
        <v>0</v>
      </c>
      <c r="Y7351" s="2">
        <v>1854.4</v>
      </c>
      <c r="Z7351" s="2">
        <v>1854.4</v>
      </c>
      <c r="AA7351" s="2">
        <v>1854.4</v>
      </c>
      <c r="AB7351" s="1">
        <v>42382</v>
      </c>
      <c r="AC7351" t="s">
        <v>53</v>
      </c>
      <c r="AD7351" t="s">
        <v>53</v>
      </c>
      <c r="AK7351">
        <v>334.4</v>
      </c>
      <c r="AU7351" s="6">
        <v>42355</v>
      </c>
      <c r="AV7351" s="6">
        <v>42355</v>
      </c>
      <c r="AW7351" t="s">
        <v>54</v>
      </c>
      <c r="AX7351" t="str">
        <f t="shared" si="592"/>
        <v>FOR</v>
      </c>
      <c r="AY7351" t="s">
        <v>55</v>
      </c>
    </row>
    <row r="7352" spans="1:51">
      <c r="A7352">
        <v>104129</v>
      </c>
      <c r="B7352" t="s">
        <v>1241</v>
      </c>
      <c r="C7352" t="str">
        <f t="shared" si="595"/>
        <v>00847380961</v>
      </c>
      <c r="D7352" t="str">
        <f t="shared" si="596"/>
        <v>07123400157</v>
      </c>
      <c r="E7352" t="s">
        <v>52</v>
      </c>
      <c r="F7352">
        <v>2015</v>
      </c>
      <c r="G7352">
        <v>15002755</v>
      </c>
      <c r="H7352" s="1">
        <v>42034</v>
      </c>
      <c r="I7352" s="1">
        <v>42044</v>
      </c>
      <c r="J7352" s="1">
        <v>42044</v>
      </c>
      <c r="K7352" s="1">
        <v>42104</v>
      </c>
      <c r="L7352" s="7">
        <v>200</v>
      </c>
      <c r="M7352" s="5">
        <v>251</v>
      </c>
      <c r="N7352" s="7">
        <v>50200</v>
      </c>
      <c r="O7352">
        <v>200</v>
      </c>
      <c r="P7352">
        <v>251</v>
      </c>
      <c r="Q7352" s="2">
        <v>50200</v>
      </c>
      <c r="R7352">
        <v>44</v>
      </c>
      <c r="V7352">
        <v>0</v>
      </c>
      <c r="W7352">
        <v>0</v>
      </c>
      <c r="X7352">
        <v>0</v>
      </c>
      <c r="Y7352">
        <v>244</v>
      </c>
      <c r="Z7352">
        <v>244</v>
      </c>
      <c r="AA7352">
        <v>244</v>
      </c>
      <c r="AB7352" s="1">
        <v>42382</v>
      </c>
      <c r="AC7352" t="s">
        <v>53</v>
      </c>
      <c r="AD7352" t="s">
        <v>53</v>
      </c>
      <c r="AK7352">
        <v>44</v>
      </c>
      <c r="AU7352" s="6">
        <v>42355</v>
      </c>
      <c r="AV7352" s="6">
        <v>42355</v>
      </c>
      <c r="AW7352" t="s">
        <v>54</v>
      </c>
      <c r="AX7352" t="str">
        <f t="shared" si="592"/>
        <v>FOR</v>
      </c>
      <c r="AY7352" t="s">
        <v>55</v>
      </c>
    </row>
    <row r="7353" spans="1:51" hidden="1">
      <c r="A7353">
        <v>104130</v>
      </c>
      <c r="B7353" t="s">
        <v>1242</v>
      </c>
      <c r="C7353" t="str">
        <f>"02481080964"</f>
        <v>02481080964</v>
      </c>
      <c r="D7353" t="str">
        <f>"02481080964"</f>
        <v>02481080964</v>
      </c>
      <c r="E7353" t="s">
        <v>52</v>
      </c>
      <c r="F7353">
        <v>2014</v>
      </c>
      <c r="G7353">
        <v>346</v>
      </c>
      <c r="H7353" s="1">
        <v>41684</v>
      </c>
      <c r="I7353" s="1">
        <v>41712</v>
      </c>
      <c r="J7353" s="1">
        <v>41712</v>
      </c>
      <c r="K7353" s="1">
        <v>41802</v>
      </c>
      <c r="N7353" s="5"/>
      <c r="O7353" s="2">
        <v>8864.76</v>
      </c>
      <c r="P7353">
        <v>329</v>
      </c>
      <c r="Q7353" s="2">
        <v>2916506.04</v>
      </c>
      <c r="R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 s="1">
        <v>42382</v>
      </c>
      <c r="AC7353" t="s">
        <v>53</v>
      </c>
      <c r="AD7353" t="s">
        <v>53</v>
      </c>
      <c r="AK7353">
        <v>0</v>
      </c>
      <c r="AU7353" s="6">
        <v>42131</v>
      </c>
      <c r="AV7353" s="6">
        <v>42131</v>
      </c>
      <c r="AW7353" t="s">
        <v>54</v>
      </c>
      <c r="AX7353" t="str">
        <f t="shared" si="592"/>
        <v>FOR</v>
      </c>
      <c r="AY7353" t="s">
        <v>55</v>
      </c>
    </row>
    <row r="7354" spans="1:51" hidden="1">
      <c r="A7354">
        <v>104139</v>
      </c>
      <c r="B7354" t="s">
        <v>1243</v>
      </c>
      <c r="C7354" t="str">
        <f>"02066400405"</f>
        <v>02066400405</v>
      </c>
      <c r="D7354" t="str">
        <f>"06188330150"</f>
        <v>06188330150</v>
      </c>
      <c r="E7354" t="s">
        <v>52</v>
      </c>
      <c r="F7354">
        <v>2014</v>
      </c>
      <c r="G7354" t="s">
        <v>1244</v>
      </c>
      <c r="H7354" s="1">
        <v>41850</v>
      </c>
      <c r="I7354" s="1">
        <v>41873</v>
      </c>
      <c r="J7354" s="1">
        <v>41873</v>
      </c>
      <c r="K7354" s="1">
        <v>41963</v>
      </c>
      <c r="N7354" s="5"/>
      <c r="O7354">
        <v>65.2</v>
      </c>
      <c r="P7354">
        <v>77</v>
      </c>
      <c r="Q7354" s="2">
        <v>5020.3999999999996</v>
      </c>
      <c r="R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 s="1">
        <v>42382</v>
      </c>
      <c r="AC7354" t="s">
        <v>53</v>
      </c>
      <c r="AD7354" t="s">
        <v>53</v>
      </c>
      <c r="AK7354">
        <v>0</v>
      </c>
      <c r="AU7354" s="6">
        <v>42040</v>
      </c>
      <c r="AV7354" s="6">
        <v>42040</v>
      </c>
      <c r="AW7354" t="s">
        <v>54</v>
      </c>
      <c r="AX7354" t="str">
        <f t="shared" si="592"/>
        <v>FOR</v>
      </c>
      <c r="AY7354" t="s">
        <v>55</v>
      </c>
    </row>
    <row r="7355" spans="1:51">
      <c r="A7355">
        <v>104139</v>
      </c>
      <c r="B7355" t="s">
        <v>1243</v>
      </c>
      <c r="C7355" t="str">
        <f>"02066400405"</f>
        <v>02066400405</v>
      </c>
      <c r="D7355" t="str">
        <f>"06188330150"</f>
        <v>06188330150</v>
      </c>
      <c r="E7355" t="s">
        <v>52</v>
      </c>
      <c r="F7355">
        <v>2015</v>
      </c>
      <c r="G7355">
        <v>1000035440</v>
      </c>
      <c r="H7355" s="1">
        <v>42091</v>
      </c>
      <c r="I7355" s="1">
        <v>42109</v>
      </c>
      <c r="J7355" s="1">
        <v>42109</v>
      </c>
      <c r="K7355" s="1">
        <v>42169</v>
      </c>
      <c r="L7355" s="7">
        <v>240</v>
      </c>
      <c r="M7355" s="5">
        <v>170</v>
      </c>
      <c r="N7355" s="7">
        <v>40800</v>
      </c>
      <c r="O7355">
        <v>240</v>
      </c>
      <c r="P7355">
        <v>170</v>
      </c>
      <c r="Q7355" s="2">
        <v>40800</v>
      </c>
      <c r="R7355">
        <v>0</v>
      </c>
      <c r="V7355">
        <v>0</v>
      </c>
      <c r="W7355">
        <v>0</v>
      </c>
      <c r="X7355">
        <v>0</v>
      </c>
      <c r="Y7355">
        <v>240</v>
      </c>
      <c r="Z7355">
        <v>240</v>
      </c>
      <c r="AA7355">
        <v>240</v>
      </c>
      <c r="AB7355" s="1">
        <v>42382</v>
      </c>
      <c r="AC7355" t="s">
        <v>53</v>
      </c>
      <c r="AD7355" t="s">
        <v>53</v>
      </c>
      <c r="AK7355">
        <v>0</v>
      </c>
      <c r="AU7355" s="6">
        <v>42339</v>
      </c>
      <c r="AV7355" s="6">
        <v>42339</v>
      </c>
      <c r="AW7355" t="s">
        <v>54</v>
      </c>
      <c r="AX7355" t="str">
        <f t="shared" si="592"/>
        <v>FOR</v>
      </c>
      <c r="AY7355" t="s">
        <v>55</v>
      </c>
    </row>
    <row r="7356" spans="1:51" hidden="1">
      <c r="A7356">
        <v>104145</v>
      </c>
      <c r="B7356" t="s">
        <v>1245</v>
      </c>
      <c r="C7356" t="str">
        <f t="shared" ref="C7356:D7370" si="597">"02642020156"</f>
        <v>02642020156</v>
      </c>
      <c r="D7356" t="str">
        <f t="shared" si="597"/>
        <v>02642020156</v>
      </c>
      <c r="E7356" t="s">
        <v>52</v>
      </c>
      <c r="F7356">
        <v>2013</v>
      </c>
      <c r="G7356">
        <v>21336946</v>
      </c>
      <c r="H7356" s="1">
        <v>41550</v>
      </c>
      <c r="I7356" s="1">
        <v>41565</v>
      </c>
      <c r="J7356" s="1">
        <v>41565</v>
      </c>
      <c r="K7356" s="1">
        <v>41655</v>
      </c>
      <c r="N7356" s="5"/>
      <c r="O7356" s="2">
        <v>1760</v>
      </c>
      <c r="P7356">
        <v>363</v>
      </c>
      <c r="Q7356" s="2">
        <v>638880</v>
      </c>
      <c r="R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 s="1">
        <v>42382</v>
      </c>
      <c r="AC7356" t="s">
        <v>53</v>
      </c>
      <c r="AD7356" t="s">
        <v>53</v>
      </c>
      <c r="AK7356">
        <v>0</v>
      </c>
      <c r="AU7356" s="6">
        <v>42018</v>
      </c>
      <c r="AV7356" s="6">
        <v>42018</v>
      </c>
      <c r="AW7356" t="s">
        <v>54</v>
      </c>
      <c r="AX7356" t="str">
        <f t="shared" si="592"/>
        <v>FOR</v>
      </c>
      <c r="AY7356" t="s">
        <v>55</v>
      </c>
    </row>
    <row r="7357" spans="1:51" hidden="1">
      <c r="A7357">
        <v>104145</v>
      </c>
      <c r="B7357" t="s">
        <v>1245</v>
      </c>
      <c r="C7357" t="str">
        <f t="shared" si="597"/>
        <v>02642020156</v>
      </c>
      <c r="D7357" t="str">
        <f t="shared" si="597"/>
        <v>02642020156</v>
      </c>
      <c r="E7357" t="s">
        <v>52</v>
      </c>
      <c r="F7357">
        <v>2013</v>
      </c>
      <c r="G7357">
        <v>21336991</v>
      </c>
      <c r="H7357" s="1">
        <v>41551</v>
      </c>
      <c r="I7357" s="1">
        <v>41565</v>
      </c>
      <c r="J7357" s="1">
        <v>41565</v>
      </c>
      <c r="K7357" s="1">
        <v>41655</v>
      </c>
      <c r="N7357" s="5"/>
      <c r="O7357" s="2">
        <v>1760</v>
      </c>
      <c r="P7357">
        <v>363</v>
      </c>
      <c r="Q7357" s="2">
        <v>638880</v>
      </c>
      <c r="R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 s="1">
        <v>42382</v>
      </c>
      <c r="AC7357" t="s">
        <v>53</v>
      </c>
      <c r="AD7357" t="s">
        <v>53</v>
      </c>
      <c r="AK7357">
        <v>0</v>
      </c>
      <c r="AU7357" s="6">
        <v>42018</v>
      </c>
      <c r="AV7357" s="6">
        <v>42018</v>
      </c>
      <c r="AW7357" t="s">
        <v>54</v>
      </c>
      <c r="AX7357" t="str">
        <f t="shared" si="592"/>
        <v>FOR</v>
      </c>
      <c r="AY7357" t="s">
        <v>55</v>
      </c>
    </row>
    <row r="7358" spans="1:51" hidden="1">
      <c r="A7358">
        <v>104145</v>
      </c>
      <c r="B7358" t="s">
        <v>1245</v>
      </c>
      <c r="C7358" t="str">
        <f t="shared" si="597"/>
        <v>02642020156</v>
      </c>
      <c r="D7358" t="str">
        <f t="shared" si="597"/>
        <v>02642020156</v>
      </c>
      <c r="E7358" t="s">
        <v>52</v>
      </c>
      <c r="F7358">
        <v>2013</v>
      </c>
      <c r="G7358">
        <v>21337846</v>
      </c>
      <c r="H7358" s="1">
        <v>41586</v>
      </c>
      <c r="I7358" s="1">
        <v>41599</v>
      </c>
      <c r="J7358" s="1">
        <v>41599</v>
      </c>
      <c r="K7358" s="1">
        <v>41689</v>
      </c>
      <c r="N7358" s="5"/>
      <c r="O7358">
        <v>880</v>
      </c>
      <c r="P7358">
        <v>329</v>
      </c>
      <c r="Q7358" s="2">
        <v>289520</v>
      </c>
      <c r="R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 s="1">
        <v>42382</v>
      </c>
      <c r="AC7358" t="s">
        <v>53</v>
      </c>
      <c r="AD7358" t="s">
        <v>53</v>
      </c>
      <c r="AK7358">
        <v>0</v>
      </c>
      <c r="AU7358" s="6">
        <v>42018</v>
      </c>
      <c r="AV7358" s="6">
        <v>42018</v>
      </c>
      <c r="AW7358" t="s">
        <v>54</v>
      </c>
      <c r="AX7358" t="str">
        <f t="shared" si="592"/>
        <v>FOR</v>
      </c>
      <c r="AY7358" t="s">
        <v>55</v>
      </c>
    </row>
    <row r="7359" spans="1:51" hidden="1">
      <c r="A7359">
        <v>104145</v>
      </c>
      <c r="B7359" t="s">
        <v>1245</v>
      </c>
      <c r="C7359" t="str">
        <f t="shared" si="597"/>
        <v>02642020156</v>
      </c>
      <c r="D7359" t="str">
        <f t="shared" si="597"/>
        <v>02642020156</v>
      </c>
      <c r="E7359" t="s">
        <v>52</v>
      </c>
      <c r="F7359">
        <v>2013</v>
      </c>
      <c r="G7359">
        <v>21338326</v>
      </c>
      <c r="H7359" s="1">
        <v>41604</v>
      </c>
      <c r="I7359" s="1">
        <v>41614</v>
      </c>
      <c r="J7359" s="1">
        <v>41614</v>
      </c>
      <c r="K7359" s="1">
        <v>41704</v>
      </c>
      <c r="N7359" s="5"/>
      <c r="O7359">
        <v>880</v>
      </c>
      <c r="P7359">
        <v>314</v>
      </c>
      <c r="Q7359" s="2">
        <v>276320</v>
      </c>
      <c r="R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 s="1">
        <v>42382</v>
      </c>
      <c r="AC7359" t="s">
        <v>53</v>
      </c>
      <c r="AD7359" t="s">
        <v>53</v>
      </c>
      <c r="AK7359">
        <v>0</v>
      </c>
      <c r="AU7359" s="6">
        <v>42018</v>
      </c>
      <c r="AV7359" s="6">
        <v>42018</v>
      </c>
      <c r="AW7359" t="s">
        <v>54</v>
      </c>
      <c r="AX7359" t="str">
        <f t="shared" si="592"/>
        <v>FOR</v>
      </c>
      <c r="AY7359" t="s">
        <v>55</v>
      </c>
    </row>
    <row r="7360" spans="1:51" hidden="1">
      <c r="A7360">
        <v>104145</v>
      </c>
      <c r="B7360" t="s">
        <v>1245</v>
      </c>
      <c r="C7360" t="str">
        <f t="shared" si="597"/>
        <v>02642020156</v>
      </c>
      <c r="D7360" t="str">
        <f t="shared" si="597"/>
        <v>02642020156</v>
      </c>
      <c r="E7360" t="s">
        <v>52</v>
      </c>
      <c r="F7360">
        <v>2013</v>
      </c>
      <c r="G7360">
        <v>21338447</v>
      </c>
      <c r="H7360" s="1">
        <v>41607</v>
      </c>
      <c r="I7360" s="1">
        <v>41628</v>
      </c>
      <c r="J7360" s="1">
        <v>41628</v>
      </c>
      <c r="K7360" s="1">
        <v>41718</v>
      </c>
      <c r="N7360" s="5"/>
      <c r="O7360">
        <v>880</v>
      </c>
      <c r="P7360">
        <v>300</v>
      </c>
      <c r="Q7360" s="2">
        <v>264000</v>
      </c>
      <c r="R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 s="1">
        <v>42382</v>
      </c>
      <c r="AC7360" t="s">
        <v>53</v>
      </c>
      <c r="AD7360" t="s">
        <v>53</v>
      </c>
      <c r="AK7360">
        <v>0</v>
      </c>
      <c r="AU7360" s="6">
        <v>42018</v>
      </c>
      <c r="AV7360" s="6">
        <v>42018</v>
      </c>
      <c r="AW7360" t="s">
        <v>54</v>
      </c>
      <c r="AX7360" t="str">
        <f t="shared" si="592"/>
        <v>FOR</v>
      </c>
      <c r="AY7360" t="s">
        <v>55</v>
      </c>
    </row>
    <row r="7361" spans="1:51" hidden="1">
      <c r="A7361">
        <v>104145</v>
      </c>
      <c r="B7361" t="s">
        <v>1245</v>
      </c>
      <c r="C7361" t="str">
        <f t="shared" si="597"/>
        <v>02642020156</v>
      </c>
      <c r="D7361" t="str">
        <f t="shared" si="597"/>
        <v>02642020156</v>
      </c>
      <c r="E7361" t="s">
        <v>52</v>
      </c>
      <c r="F7361">
        <v>2014</v>
      </c>
      <c r="G7361">
        <v>23001885</v>
      </c>
      <c r="H7361" s="1">
        <v>41712</v>
      </c>
      <c r="I7361" s="1">
        <v>41737</v>
      </c>
      <c r="J7361" s="1">
        <v>41737</v>
      </c>
      <c r="K7361" s="1">
        <v>41827</v>
      </c>
      <c r="N7361" s="5"/>
      <c r="O7361" s="2">
        <v>1760</v>
      </c>
      <c r="P7361">
        <v>191</v>
      </c>
      <c r="Q7361" s="2">
        <v>336160</v>
      </c>
      <c r="R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 s="1">
        <v>42382</v>
      </c>
      <c r="AC7361" t="s">
        <v>53</v>
      </c>
      <c r="AD7361" t="s">
        <v>53</v>
      </c>
      <c r="AK7361">
        <v>0</v>
      </c>
      <c r="AU7361" s="6">
        <v>42018</v>
      </c>
      <c r="AV7361" s="6">
        <v>42018</v>
      </c>
      <c r="AW7361" t="s">
        <v>54</v>
      </c>
      <c r="AX7361" t="str">
        <f t="shared" si="592"/>
        <v>FOR</v>
      </c>
      <c r="AY7361" t="s">
        <v>55</v>
      </c>
    </row>
    <row r="7362" spans="1:51" hidden="1">
      <c r="A7362">
        <v>104145</v>
      </c>
      <c r="B7362" t="s">
        <v>1245</v>
      </c>
      <c r="C7362" t="str">
        <f t="shared" si="597"/>
        <v>02642020156</v>
      </c>
      <c r="D7362" t="str">
        <f t="shared" si="597"/>
        <v>02642020156</v>
      </c>
      <c r="E7362" t="s">
        <v>52</v>
      </c>
      <c r="F7362">
        <v>2014</v>
      </c>
      <c r="G7362">
        <v>23001916</v>
      </c>
      <c r="H7362" s="1">
        <v>41715</v>
      </c>
      <c r="I7362" s="1">
        <v>41737</v>
      </c>
      <c r="J7362" s="1">
        <v>41737</v>
      </c>
      <c r="K7362" s="1">
        <v>41827</v>
      </c>
      <c r="N7362" s="5"/>
      <c r="O7362">
        <v>880</v>
      </c>
      <c r="P7362">
        <v>191</v>
      </c>
      <c r="Q7362" s="2">
        <v>168080</v>
      </c>
      <c r="R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 s="1">
        <v>42382</v>
      </c>
      <c r="AC7362" t="s">
        <v>53</v>
      </c>
      <c r="AD7362" t="s">
        <v>53</v>
      </c>
      <c r="AK7362">
        <v>0</v>
      </c>
      <c r="AU7362" s="6">
        <v>42018</v>
      </c>
      <c r="AV7362" s="6">
        <v>42018</v>
      </c>
      <c r="AW7362" t="s">
        <v>54</v>
      </c>
      <c r="AX7362" t="str">
        <f t="shared" si="592"/>
        <v>FOR</v>
      </c>
      <c r="AY7362" t="s">
        <v>55</v>
      </c>
    </row>
    <row r="7363" spans="1:51" hidden="1">
      <c r="A7363">
        <v>104145</v>
      </c>
      <c r="B7363" t="s">
        <v>1245</v>
      </c>
      <c r="C7363" t="str">
        <f t="shared" si="597"/>
        <v>02642020156</v>
      </c>
      <c r="D7363" t="str">
        <f t="shared" si="597"/>
        <v>02642020156</v>
      </c>
      <c r="E7363" t="s">
        <v>52</v>
      </c>
      <c r="F7363">
        <v>2014</v>
      </c>
      <c r="G7363">
        <v>23003155</v>
      </c>
      <c r="H7363" s="1">
        <v>41759</v>
      </c>
      <c r="I7363" s="1">
        <v>41778</v>
      </c>
      <c r="J7363" s="1">
        <v>41778</v>
      </c>
      <c r="K7363" s="1">
        <v>41868</v>
      </c>
      <c r="N7363" s="5"/>
      <c r="O7363" s="2">
        <v>1320</v>
      </c>
      <c r="P7363">
        <v>150</v>
      </c>
      <c r="Q7363" s="2">
        <v>198000</v>
      </c>
      <c r="R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 s="1">
        <v>42382</v>
      </c>
      <c r="AC7363" t="s">
        <v>53</v>
      </c>
      <c r="AD7363" t="s">
        <v>53</v>
      </c>
      <c r="AK7363">
        <v>0</v>
      </c>
      <c r="AU7363" s="6">
        <v>42018</v>
      </c>
      <c r="AV7363" s="6">
        <v>42018</v>
      </c>
      <c r="AW7363" t="s">
        <v>54</v>
      </c>
      <c r="AX7363" t="str">
        <f t="shared" ref="AX7363:AX7426" si="598">"FOR"</f>
        <v>FOR</v>
      </c>
      <c r="AY7363" t="s">
        <v>55</v>
      </c>
    </row>
    <row r="7364" spans="1:51" hidden="1">
      <c r="A7364">
        <v>104145</v>
      </c>
      <c r="B7364" t="s">
        <v>1245</v>
      </c>
      <c r="C7364" t="str">
        <f t="shared" si="597"/>
        <v>02642020156</v>
      </c>
      <c r="D7364" t="str">
        <f t="shared" si="597"/>
        <v>02642020156</v>
      </c>
      <c r="E7364" t="s">
        <v>52</v>
      </c>
      <c r="F7364">
        <v>2014</v>
      </c>
      <c r="G7364">
        <v>23005796</v>
      </c>
      <c r="H7364" s="1">
        <v>41848</v>
      </c>
      <c r="I7364" s="1">
        <v>41873</v>
      </c>
      <c r="J7364" s="1">
        <v>41873</v>
      </c>
      <c r="K7364" s="1">
        <v>41963</v>
      </c>
      <c r="N7364" s="5"/>
      <c r="O7364" s="2">
        <v>1760</v>
      </c>
      <c r="P7364">
        <v>168</v>
      </c>
      <c r="Q7364" s="2">
        <v>295680</v>
      </c>
      <c r="R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 s="1">
        <v>42382</v>
      </c>
      <c r="AC7364" t="s">
        <v>53</v>
      </c>
      <c r="AD7364" t="s">
        <v>53</v>
      </c>
      <c r="AK7364">
        <v>0</v>
      </c>
      <c r="AU7364" s="6">
        <v>42131</v>
      </c>
      <c r="AV7364" s="6">
        <v>42131</v>
      </c>
      <c r="AW7364" t="s">
        <v>54</v>
      </c>
      <c r="AX7364" t="str">
        <f t="shared" si="598"/>
        <v>FOR</v>
      </c>
      <c r="AY7364" t="s">
        <v>55</v>
      </c>
    </row>
    <row r="7365" spans="1:51" hidden="1">
      <c r="A7365">
        <v>104145</v>
      </c>
      <c r="B7365" t="s">
        <v>1245</v>
      </c>
      <c r="C7365" t="str">
        <f t="shared" si="597"/>
        <v>02642020156</v>
      </c>
      <c r="D7365" t="str">
        <f t="shared" si="597"/>
        <v>02642020156</v>
      </c>
      <c r="E7365" t="s">
        <v>52</v>
      </c>
      <c r="F7365">
        <v>2014</v>
      </c>
      <c r="G7365">
        <v>23006639</v>
      </c>
      <c r="H7365" s="1">
        <v>41885</v>
      </c>
      <c r="I7365" s="1">
        <v>41901</v>
      </c>
      <c r="J7365" s="1">
        <v>41901</v>
      </c>
      <c r="K7365" s="1">
        <v>41991</v>
      </c>
      <c r="N7365" s="5"/>
      <c r="O7365" s="2">
        <v>2200</v>
      </c>
      <c r="P7365">
        <v>140</v>
      </c>
      <c r="Q7365" s="2">
        <v>308000</v>
      </c>
      <c r="R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 s="1">
        <v>42382</v>
      </c>
      <c r="AC7365" t="s">
        <v>53</v>
      </c>
      <c r="AD7365" t="s">
        <v>53</v>
      </c>
      <c r="AK7365">
        <v>0</v>
      </c>
      <c r="AU7365" s="6">
        <v>42131</v>
      </c>
      <c r="AV7365" s="6">
        <v>42131</v>
      </c>
      <c r="AW7365" t="s">
        <v>54</v>
      </c>
      <c r="AX7365" t="str">
        <f t="shared" si="598"/>
        <v>FOR</v>
      </c>
      <c r="AY7365" t="s">
        <v>55</v>
      </c>
    </row>
    <row r="7366" spans="1:51" hidden="1">
      <c r="A7366">
        <v>104145</v>
      </c>
      <c r="B7366" t="s">
        <v>1245</v>
      </c>
      <c r="C7366" t="str">
        <f t="shared" si="597"/>
        <v>02642020156</v>
      </c>
      <c r="D7366" t="str">
        <f t="shared" si="597"/>
        <v>02642020156</v>
      </c>
      <c r="E7366" t="s">
        <v>52</v>
      </c>
      <c r="F7366">
        <v>2014</v>
      </c>
      <c r="G7366">
        <v>23007803</v>
      </c>
      <c r="H7366" s="1">
        <v>41928</v>
      </c>
      <c r="I7366" s="1">
        <v>41955</v>
      </c>
      <c r="J7366" s="1">
        <v>41955</v>
      </c>
      <c r="K7366" s="1">
        <v>42015</v>
      </c>
      <c r="N7366" s="5"/>
      <c r="O7366">
        <v>880</v>
      </c>
      <c r="P7366">
        <v>116</v>
      </c>
      <c r="Q7366" s="2">
        <v>102080</v>
      </c>
      <c r="R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 s="1">
        <v>42382</v>
      </c>
      <c r="AC7366" t="s">
        <v>53</v>
      </c>
      <c r="AD7366" t="s">
        <v>53</v>
      </c>
      <c r="AK7366">
        <v>0</v>
      </c>
      <c r="AU7366" s="6">
        <v>42131</v>
      </c>
      <c r="AV7366" s="6">
        <v>42131</v>
      </c>
      <c r="AW7366" t="s">
        <v>54</v>
      </c>
      <c r="AX7366" t="str">
        <f t="shared" si="598"/>
        <v>FOR</v>
      </c>
      <c r="AY7366" t="s">
        <v>55</v>
      </c>
    </row>
    <row r="7367" spans="1:51" hidden="1">
      <c r="A7367">
        <v>104145</v>
      </c>
      <c r="B7367" t="s">
        <v>1245</v>
      </c>
      <c r="C7367" t="str">
        <f t="shared" si="597"/>
        <v>02642020156</v>
      </c>
      <c r="D7367" t="str">
        <f t="shared" si="597"/>
        <v>02642020156</v>
      </c>
      <c r="E7367" t="s">
        <v>52</v>
      </c>
      <c r="F7367">
        <v>2014</v>
      </c>
      <c r="G7367">
        <v>23008343</v>
      </c>
      <c r="H7367" s="1">
        <v>41948</v>
      </c>
      <c r="I7367" s="1">
        <v>41964</v>
      </c>
      <c r="J7367" s="1">
        <v>41964</v>
      </c>
      <c r="K7367" s="1">
        <v>42024</v>
      </c>
      <c r="N7367" s="5"/>
      <c r="O7367" s="2">
        <v>2640</v>
      </c>
      <c r="P7367">
        <v>107</v>
      </c>
      <c r="Q7367" s="2">
        <v>282480</v>
      </c>
      <c r="R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 s="1">
        <v>42382</v>
      </c>
      <c r="AC7367" t="s">
        <v>53</v>
      </c>
      <c r="AD7367" t="s">
        <v>53</v>
      </c>
      <c r="AK7367">
        <v>0</v>
      </c>
      <c r="AU7367" s="6">
        <v>42131</v>
      </c>
      <c r="AV7367" s="6">
        <v>42131</v>
      </c>
      <c r="AW7367" t="s">
        <v>54</v>
      </c>
      <c r="AX7367" t="str">
        <f t="shared" si="598"/>
        <v>FOR</v>
      </c>
      <c r="AY7367" t="s">
        <v>55</v>
      </c>
    </row>
    <row r="7368" spans="1:51">
      <c r="A7368">
        <v>104145</v>
      </c>
      <c r="B7368" t="s">
        <v>1245</v>
      </c>
      <c r="C7368" t="str">
        <f t="shared" si="597"/>
        <v>02642020156</v>
      </c>
      <c r="D7368" t="str">
        <f t="shared" si="597"/>
        <v>02642020156</v>
      </c>
      <c r="E7368" t="s">
        <v>52</v>
      </c>
      <c r="F7368">
        <v>2015</v>
      </c>
      <c r="G7368">
        <v>9923009921</v>
      </c>
      <c r="H7368" s="1">
        <v>42013</v>
      </c>
      <c r="I7368" s="1">
        <v>42047</v>
      </c>
      <c r="J7368" s="1">
        <v>42047</v>
      </c>
      <c r="K7368" s="1">
        <v>42107</v>
      </c>
      <c r="L7368" s="7">
        <v>2400</v>
      </c>
      <c r="M7368" s="5">
        <v>248</v>
      </c>
      <c r="N7368" s="7">
        <v>595200</v>
      </c>
      <c r="O7368" s="2">
        <v>2400</v>
      </c>
      <c r="P7368">
        <v>248</v>
      </c>
      <c r="Q7368" s="2">
        <v>595200</v>
      </c>
      <c r="R7368">
        <v>240</v>
      </c>
      <c r="V7368">
        <v>0</v>
      </c>
      <c r="W7368">
        <v>0</v>
      </c>
      <c r="X7368">
        <v>0</v>
      </c>
      <c r="Y7368" s="2">
        <v>2640</v>
      </c>
      <c r="Z7368" s="2">
        <v>2640</v>
      </c>
      <c r="AA7368" s="2">
        <v>2640</v>
      </c>
      <c r="AB7368" s="1">
        <v>42382</v>
      </c>
      <c r="AC7368" t="s">
        <v>53</v>
      </c>
      <c r="AD7368" t="s">
        <v>53</v>
      </c>
      <c r="AK7368">
        <v>240</v>
      </c>
      <c r="AU7368" s="6">
        <v>42355</v>
      </c>
      <c r="AV7368" s="6">
        <v>42355</v>
      </c>
      <c r="AW7368" t="s">
        <v>54</v>
      </c>
      <c r="AX7368" t="str">
        <f t="shared" si="598"/>
        <v>FOR</v>
      </c>
      <c r="AY7368" t="s">
        <v>55</v>
      </c>
    </row>
    <row r="7369" spans="1:51">
      <c r="A7369">
        <v>104145</v>
      </c>
      <c r="B7369" t="s">
        <v>1245</v>
      </c>
      <c r="C7369" t="str">
        <f t="shared" si="597"/>
        <v>02642020156</v>
      </c>
      <c r="D7369" t="str">
        <f t="shared" si="597"/>
        <v>02642020156</v>
      </c>
      <c r="E7369" t="s">
        <v>52</v>
      </c>
      <c r="F7369">
        <v>2015</v>
      </c>
      <c r="G7369">
        <v>9923010091</v>
      </c>
      <c r="H7369" s="1">
        <v>42018</v>
      </c>
      <c r="I7369" s="1">
        <v>42047</v>
      </c>
      <c r="J7369" s="1">
        <v>42047</v>
      </c>
      <c r="K7369" s="1">
        <v>42107</v>
      </c>
      <c r="L7369" s="7">
        <v>800</v>
      </c>
      <c r="M7369" s="5">
        <v>248</v>
      </c>
      <c r="N7369" s="7">
        <v>198400</v>
      </c>
      <c r="O7369">
        <v>800</v>
      </c>
      <c r="P7369">
        <v>248</v>
      </c>
      <c r="Q7369" s="2">
        <v>198400</v>
      </c>
      <c r="R7369">
        <v>80</v>
      </c>
      <c r="V7369">
        <v>0</v>
      </c>
      <c r="W7369">
        <v>0</v>
      </c>
      <c r="X7369">
        <v>0</v>
      </c>
      <c r="Y7369">
        <v>880</v>
      </c>
      <c r="Z7369">
        <v>880</v>
      </c>
      <c r="AA7369">
        <v>880</v>
      </c>
      <c r="AB7369" s="1">
        <v>42382</v>
      </c>
      <c r="AC7369" t="s">
        <v>53</v>
      </c>
      <c r="AD7369" t="s">
        <v>53</v>
      </c>
      <c r="AK7369">
        <v>80</v>
      </c>
      <c r="AU7369" s="6">
        <v>42355</v>
      </c>
      <c r="AV7369" s="6">
        <v>42355</v>
      </c>
      <c r="AW7369" t="s">
        <v>54</v>
      </c>
      <c r="AX7369" t="str">
        <f t="shared" si="598"/>
        <v>FOR</v>
      </c>
      <c r="AY7369" t="s">
        <v>55</v>
      </c>
    </row>
    <row r="7370" spans="1:51">
      <c r="A7370">
        <v>104145</v>
      </c>
      <c r="B7370" t="s">
        <v>1245</v>
      </c>
      <c r="C7370" t="str">
        <f t="shared" si="597"/>
        <v>02642020156</v>
      </c>
      <c r="D7370" t="str">
        <f t="shared" si="597"/>
        <v>02642020156</v>
      </c>
      <c r="E7370" t="s">
        <v>52</v>
      </c>
      <c r="F7370">
        <v>2015</v>
      </c>
      <c r="G7370">
        <v>9923010237</v>
      </c>
      <c r="H7370" s="1">
        <v>42024</v>
      </c>
      <c r="I7370" s="1">
        <v>42047</v>
      </c>
      <c r="J7370" s="1">
        <v>42047</v>
      </c>
      <c r="K7370" s="1">
        <v>42107</v>
      </c>
      <c r="L7370" s="7">
        <v>1600</v>
      </c>
      <c r="M7370" s="5">
        <v>248</v>
      </c>
      <c r="N7370" s="7">
        <v>396800</v>
      </c>
      <c r="O7370" s="2">
        <v>1600</v>
      </c>
      <c r="P7370">
        <v>248</v>
      </c>
      <c r="Q7370" s="2">
        <v>396800</v>
      </c>
      <c r="R7370">
        <v>160</v>
      </c>
      <c r="V7370">
        <v>0</v>
      </c>
      <c r="W7370">
        <v>0</v>
      </c>
      <c r="X7370">
        <v>0</v>
      </c>
      <c r="Y7370" s="2">
        <v>1760</v>
      </c>
      <c r="Z7370" s="2">
        <v>1760</v>
      </c>
      <c r="AA7370" s="2">
        <v>1760</v>
      </c>
      <c r="AB7370" s="1">
        <v>42382</v>
      </c>
      <c r="AC7370" t="s">
        <v>53</v>
      </c>
      <c r="AD7370" t="s">
        <v>53</v>
      </c>
      <c r="AK7370">
        <v>160</v>
      </c>
      <c r="AU7370" s="6">
        <v>42355</v>
      </c>
      <c r="AV7370" s="6">
        <v>42355</v>
      </c>
      <c r="AW7370" t="s">
        <v>54</v>
      </c>
      <c r="AX7370" t="str">
        <f t="shared" si="598"/>
        <v>FOR</v>
      </c>
      <c r="AY7370" t="s">
        <v>55</v>
      </c>
    </row>
    <row r="7371" spans="1:51" hidden="1">
      <c r="A7371">
        <v>104146</v>
      </c>
      <c r="B7371" t="s">
        <v>1246</v>
      </c>
      <c r="C7371" t="str">
        <f t="shared" ref="C7371:D7387" si="599">"11654150157"</f>
        <v>11654150157</v>
      </c>
      <c r="D7371" t="str">
        <f t="shared" si="599"/>
        <v>11654150157</v>
      </c>
      <c r="E7371" t="s">
        <v>52</v>
      </c>
      <c r="F7371">
        <v>2013</v>
      </c>
      <c r="G7371">
        <v>13096955</v>
      </c>
      <c r="H7371" s="1">
        <v>41514</v>
      </c>
      <c r="I7371" s="1">
        <v>41964</v>
      </c>
      <c r="J7371" s="1">
        <v>41964</v>
      </c>
      <c r="K7371" s="1">
        <v>42024</v>
      </c>
      <c r="N7371" s="5"/>
      <c r="O7371" s="2">
        <v>2970</v>
      </c>
      <c r="P7371">
        <v>77</v>
      </c>
      <c r="Q7371" s="2">
        <v>228690</v>
      </c>
      <c r="R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 s="1">
        <v>42382</v>
      </c>
      <c r="AC7371" t="s">
        <v>53</v>
      </c>
      <c r="AD7371" t="s">
        <v>53</v>
      </c>
      <c r="AK7371">
        <v>0</v>
      </c>
      <c r="AU7371" s="6">
        <v>42101</v>
      </c>
      <c r="AV7371" s="6">
        <v>42101</v>
      </c>
      <c r="AW7371" t="s">
        <v>54</v>
      </c>
      <c r="AX7371" t="str">
        <f t="shared" si="598"/>
        <v>FOR</v>
      </c>
      <c r="AY7371" t="s">
        <v>55</v>
      </c>
    </row>
    <row r="7372" spans="1:51" hidden="1">
      <c r="A7372">
        <v>104146</v>
      </c>
      <c r="B7372" t="s">
        <v>1246</v>
      </c>
      <c r="C7372" t="str">
        <f t="shared" si="599"/>
        <v>11654150157</v>
      </c>
      <c r="D7372" t="str">
        <f t="shared" si="599"/>
        <v>11654150157</v>
      </c>
      <c r="E7372" t="s">
        <v>52</v>
      </c>
      <c r="F7372">
        <v>2013</v>
      </c>
      <c r="G7372">
        <v>13100354</v>
      </c>
      <c r="H7372" s="1">
        <v>41522</v>
      </c>
      <c r="I7372" s="1">
        <v>41964</v>
      </c>
      <c r="J7372" s="1">
        <v>41964</v>
      </c>
      <c r="K7372" s="1">
        <v>42024</v>
      </c>
      <c r="N7372" s="5"/>
      <c r="O7372" s="2">
        <v>1219.68</v>
      </c>
      <c r="P7372">
        <v>77</v>
      </c>
      <c r="Q7372" s="2">
        <v>93915.36</v>
      </c>
      <c r="R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 s="1">
        <v>42382</v>
      </c>
      <c r="AC7372" t="s">
        <v>53</v>
      </c>
      <c r="AD7372" t="s">
        <v>53</v>
      </c>
      <c r="AK7372">
        <v>0</v>
      </c>
      <c r="AU7372" s="6">
        <v>42101</v>
      </c>
      <c r="AV7372" s="6">
        <v>42101</v>
      </c>
      <c r="AW7372" t="s">
        <v>54</v>
      </c>
      <c r="AX7372" t="str">
        <f t="shared" si="598"/>
        <v>FOR</v>
      </c>
      <c r="AY7372" t="s">
        <v>55</v>
      </c>
    </row>
    <row r="7373" spans="1:51" hidden="1">
      <c r="A7373">
        <v>104146</v>
      </c>
      <c r="B7373" t="s">
        <v>1246</v>
      </c>
      <c r="C7373" t="str">
        <f t="shared" si="599"/>
        <v>11654150157</v>
      </c>
      <c r="D7373" t="str">
        <f t="shared" si="599"/>
        <v>11654150157</v>
      </c>
      <c r="E7373" t="s">
        <v>52</v>
      </c>
      <c r="F7373">
        <v>2013</v>
      </c>
      <c r="G7373">
        <v>13134638</v>
      </c>
      <c r="H7373" s="1">
        <v>41594</v>
      </c>
      <c r="I7373" s="1">
        <v>41614</v>
      </c>
      <c r="J7373" s="1">
        <v>41614</v>
      </c>
      <c r="K7373" s="1">
        <v>41704</v>
      </c>
      <c r="N7373" s="5"/>
      <c r="O7373" s="2">
        <v>5743.76</v>
      </c>
      <c r="P7373">
        <v>397</v>
      </c>
      <c r="Q7373" s="2">
        <v>2280272.7200000002</v>
      </c>
      <c r="R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 s="1">
        <v>42382</v>
      </c>
      <c r="AC7373" t="s">
        <v>53</v>
      </c>
      <c r="AD7373" t="s">
        <v>53</v>
      </c>
      <c r="AK7373">
        <v>0</v>
      </c>
      <c r="AU7373" s="6">
        <v>42101</v>
      </c>
      <c r="AV7373" s="6">
        <v>42101</v>
      </c>
      <c r="AW7373" t="s">
        <v>54</v>
      </c>
      <c r="AX7373" t="str">
        <f t="shared" si="598"/>
        <v>FOR</v>
      </c>
      <c r="AY7373" t="s">
        <v>55</v>
      </c>
    </row>
    <row r="7374" spans="1:51" hidden="1">
      <c r="A7374">
        <v>104146</v>
      </c>
      <c r="B7374" t="s">
        <v>1246</v>
      </c>
      <c r="C7374" t="str">
        <f t="shared" si="599"/>
        <v>11654150157</v>
      </c>
      <c r="D7374" t="str">
        <f t="shared" si="599"/>
        <v>11654150157</v>
      </c>
      <c r="E7374" t="s">
        <v>52</v>
      </c>
      <c r="F7374">
        <v>2013</v>
      </c>
      <c r="G7374">
        <v>13135090</v>
      </c>
      <c r="H7374" s="1">
        <v>41596</v>
      </c>
      <c r="I7374" s="1">
        <v>41614</v>
      </c>
      <c r="J7374" s="1">
        <v>41614</v>
      </c>
      <c r="K7374" s="1">
        <v>41704</v>
      </c>
      <c r="N7374" s="5"/>
      <c r="O7374" s="2">
        <v>1756.8</v>
      </c>
      <c r="P7374">
        <v>397</v>
      </c>
      <c r="Q7374" s="2">
        <v>697449.6</v>
      </c>
      <c r="R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 s="1">
        <v>42382</v>
      </c>
      <c r="AC7374" t="s">
        <v>53</v>
      </c>
      <c r="AD7374" t="s">
        <v>53</v>
      </c>
      <c r="AK7374">
        <v>0</v>
      </c>
      <c r="AU7374" s="6">
        <v>42101</v>
      </c>
      <c r="AV7374" s="6">
        <v>42101</v>
      </c>
      <c r="AW7374" t="s">
        <v>54</v>
      </c>
      <c r="AX7374" t="str">
        <f t="shared" si="598"/>
        <v>FOR</v>
      </c>
      <c r="AY7374" t="s">
        <v>55</v>
      </c>
    </row>
    <row r="7375" spans="1:51" hidden="1">
      <c r="A7375">
        <v>104146</v>
      </c>
      <c r="B7375" t="s">
        <v>1246</v>
      </c>
      <c r="C7375" t="str">
        <f t="shared" si="599"/>
        <v>11654150157</v>
      </c>
      <c r="D7375" t="str">
        <f t="shared" si="599"/>
        <v>11654150157</v>
      </c>
      <c r="E7375" t="s">
        <v>52</v>
      </c>
      <c r="F7375">
        <v>2013</v>
      </c>
      <c r="G7375">
        <v>13142516</v>
      </c>
      <c r="H7375" s="1">
        <v>41612</v>
      </c>
      <c r="I7375" s="1">
        <v>41625</v>
      </c>
      <c r="J7375" s="1">
        <v>41625</v>
      </c>
      <c r="K7375" s="1">
        <v>41715</v>
      </c>
      <c r="N7375" s="5"/>
      <c r="O7375" s="2">
        <v>3918.64</v>
      </c>
      <c r="P7375">
        <v>386</v>
      </c>
      <c r="Q7375" s="2">
        <v>1512595.04</v>
      </c>
      <c r="R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 s="1">
        <v>42382</v>
      </c>
      <c r="AC7375" t="s">
        <v>53</v>
      </c>
      <c r="AD7375" t="s">
        <v>53</v>
      </c>
      <c r="AK7375">
        <v>0</v>
      </c>
      <c r="AU7375" s="6">
        <v>42101</v>
      </c>
      <c r="AV7375" s="6">
        <v>42101</v>
      </c>
      <c r="AW7375" t="s">
        <v>54</v>
      </c>
      <c r="AX7375" t="str">
        <f t="shared" si="598"/>
        <v>FOR</v>
      </c>
      <c r="AY7375" t="s">
        <v>55</v>
      </c>
    </row>
    <row r="7376" spans="1:51" hidden="1">
      <c r="A7376">
        <v>104146</v>
      </c>
      <c r="B7376" t="s">
        <v>1246</v>
      </c>
      <c r="C7376" t="str">
        <f t="shared" si="599"/>
        <v>11654150157</v>
      </c>
      <c r="D7376" t="str">
        <f t="shared" si="599"/>
        <v>11654150157</v>
      </c>
      <c r="E7376" t="s">
        <v>52</v>
      </c>
      <c r="F7376">
        <v>2014</v>
      </c>
      <c r="G7376">
        <v>14003323</v>
      </c>
      <c r="H7376" s="1">
        <v>41901</v>
      </c>
      <c r="I7376" s="1">
        <v>41921</v>
      </c>
      <c r="J7376" s="1">
        <v>41921</v>
      </c>
      <c r="K7376" s="1">
        <v>42010</v>
      </c>
      <c r="N7376" s="5"/>
      <c r="O7376" s="2">
        <v>-1561.6</v>
      </c>
      <c r="P7376">
        <v>174</v>
      </c>
      <c r="Q7376" s="2">
        <v>-271718.40000000002</v>
      </c>
      <c r="R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 s="1">
        <v>42382</v>
      </c>
      <c r="AC7376" t="s">
        <v>53</v>
      </c>
      <c r="AD7376" t="s">
        <v>53</v>
      </c>
      <c r="AK7376">
        <v>0</v>
      </c>
      <c r="AU7376" s="6">
        <v>42184</v>
      </c>
      <c r="AV7376" s="6">
        <v>42184</v>
      </c>
      <c r="AW7376" t="s">
        <v>54</v>
      </c>
      <c r="AX7376" t="str">
        <f t="shared" si="598"/>
        <v>FOR</v>
      </c>
      <c r="AY7376" t="s">
        <v>55</v>
      </c>
    </row>
    <row r="7377" spans="1:51" hidden="1">
      <c r="A7377">
        <v>104146</v>
      </c>
      <c r="B7377" t="s">
        <v>1246</v>
      </c>
      <c r="C7377" t="str">
        <f t="shared" si="599"/>
        <v>11654150157</v>
      </c>
      <c r="D7377" t="str">
        <f t="shared" si="599"/>
        <v>11654150157</v>
      </c>
      <c r="E7377" t="s">
        <v>52</v>
      </c>
      <c r="F7377">
        <v>2014</v>
      </c>
      <c r="G7377">
        <v>14012421</v>
      </c>
      <c r="H7377" s="1">
        <v>41670</v>
      </c>
      <c r="I7377" s="1">
        <v>41687</v>
      </c>
      <c r="J7377" s="1">
        <v>41687</v>
      </c>
      <c r="K7377" s="1">
        <v>41777</v>
      </c>
      <c r="N7377" s="5"/>
      <c r="O7377" s="2">
        <v>9418.4</v>
      </c>
      <c r="P7377">
        <v>324</v>
      </c>
      <c r="Q7377" s="2">
        <v>3051561.6</v>
      </c>
      <c r="R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 s="1">
        <v>42382</v>
      </c>
      <c r="AC7377" t="s">
        <v>53</v>
      </c>
      <c r="AD7377" t="s">
        <v>53</v>
      </c>
      <c r="AK7377">
        <v>0</v>
      </c>
      <c r="AU7377" s="6">
        <v>42101</v>
      </c>
      <c r="AV7377" s="6">
        <v>42101</v>
      </c>
      <c r="AW7377" t="s">
        <v>54</v>
      </c>
      <c r="AX7377" t="str">
        <f t="shared" si="598"/>
        <v>FOR</v>
      </c>
      <c r="AY7377" t="s">
        <v>55</v>
      </c>
    </row>
    <row r="7378" spans="1:51" hidden="1">
      <c r="A7378">
        <v>104146</v>
      </c>
      <c r="B7378" t="s">
        <v>1246</v>
      </c>
      <c r="C7378" t="str">
        <f t="shared" si="599"/>
        <v>11654150157</v>
      </c>
      <c r="D7378" t="str">
        <f t="shared" si="599"/>
        <v>11654150157</v>
      </c>
      <c r="E7378" t="s">
        <v>52</v>
      </c>
      <c r="F7378">
        <v>2014</v>
      </c>
      <c r="G7378">
        <v>14035888</v>
      </c>
      <c r="H7378" s="1">
        <v>41725</v>
      </c>
      <c r="I7378" s="1">
        <v>41739</v>
      </c>
      <c r="J7378" s="1">
        <v>41739</v>
      </c>
      <c r="K7378" s="1">
        <v>41829</v>
      </c>
      <c r="N7378" s="5"/>
      <c r="O7378" s="2">
        <v>6954</v>
      </c>
      <c r="P7378">
        <v>272</v>
      </c>
      <c r="Q7378" s="2">
        <v>1891488</v>
      </c>
      <c r="R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 s="1">
        <v>42382</v>
      </c>
      <c r="AC7378" t="s">
        <v>53</v>
      </c>
      <c r="AD7378" t="s">
        <v>53</v>
      </c>
      <c r="AK7378">
        <v>0</v>
      </c>
      <c r="AU7378" s="6">
        <v>42101</v>
      </c>
      <c r="AV7378" s="6">
        <v>42101</v>
      </c>
      <c r="AW7378" t="s">
        <v>54</v>
      </c>
      <c r="AX7378" t="str">
        <f t="shared" si="598"/>
        <v>FOR</v>
      </c>
      <c r="AY7378" t="s">
        <v>55</v>
      </c>
    </row>
    <row r="7379" spans="1:51" hidden="1">
      <c r="A7379">
        <v>104146</v>
      </c>
      <c r="B7379" t="s">
        <v>1246</v>
      </c>
      <c r="C7379" t="str">
        <f t="shared" si="599"/>
        <v>11654150157</v>
      </c>
      <c r="D7379" t="str">
        <f t="shared" si="599"/>
        <v>11654150157</v>
      </c>
      <c r="E7379" t="s">
        <v>52</v>
      </c>
      <c r="F7379">
        <v>2014</v>
      </c>
      <c r="G7379">
        <v>14046801</v>
      </c>
      <c r="H7379" s="1">
        <v>41755</v>
      </c>
      <c r="I7379" s="1">
        <v>41773</v>
      </c>
      <c r="J7379" s="1">
        <v>41773</v>
      </c>
      <c r="K7379" s="1">
        <v>41863</v>
      </c>
      <c r="N7379" s="5"/>
      <c r="O7379">
        <v>390.4</v>
      </c>
      <c r="P7379">
        <v>238</v>
      </c>
      <c r="Q7379" s="2">
        <v>92915.199999999997</v>
      </c>
      <c r="R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 s="1">
        <v>42382</v>
      </c>
      <c r="AC7379" t="s">
        <v>53</v>
      </c>
      <c r="AD7379" t="s">
        <v>53</v>
      </c>
      <c r="AK7379">
        <v>0</v>
      </c>
      <c r="AU7379" s="6">
        <v>42101</v>
      </c>
      <c r="AV7379" s="6">
        <v>42101</v>
      </c>
      <c r="AW7379" t="s">
        <v>54</v>
      </c>
      <c r="AX7379" t="str">
        <f t="shared" si="598"/>
        <v>FOR</v>
      </c>
      <c r="AY7379" t="s">
        <v>55</v>
      </c>
    </row>
    <row r="7380" spans="1:51" hidden="1">
      <c r="A7380">
        <v>104146</v>
      </c>
      <c r="B7380" t="s">
        <v>1246</v>
      </c>
      <c r="C7380" t="str">
        <f t="shared" si="599"/>
        <v>11654150157</v>
      </c>
      <c r="D7380" t="str">
        <f t="shared" si="599"/>
        <v>11654150157</v>
      </c>
      <c r="E7380" t="s">
        <v>52</v>
      </c>
      <c r="F7380">
        <v>2014</v>
      </c>
      <c r="G7380">
        <v>14051339</v>
      </c>
      <c r="H7380" s="1">
        <v>41767</v>
      </c>
      <c r="I7380" s="1">
        <v>41788</v>
      </c>
      <c r="J7380" s="1">
        <v>41788</v>
      </c>
      <c r="K7380" s="1">
        <v>41878</v>
      </c>
      <c r="N7380" s="5"/>
      <c r="O7380" s="2">
        <v>8149.6</v>
      </c>
      <c r="P7380">
        <v>253</v>
      </c>
      <c r="Q7380" s="2">
        <v>2061848.8</v>
      </c>
      <c r="R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 s="1">
        <v>42382</v>
      </c>
      <c r="AC7380" t="s">
        <v>53</v>
      </c>
      <c r="AD7380" t="s">
        <v>53</v>
      </c>
      <c r="AK7380">
        <v>0</v>
      </c>
      <c r="AU7380" s="6">
        <v>42131</v>
      </c>
      <c r="AV7380" s="6">
        <v>42131</v>
      </c>
      <c r="AW7380" t="s">
        <v>54</v>
      </c>
      <c r="AX7380" t="str">
        <f t="shared" si="598"/>
        <v>FOR</v>
      </c>
      <c r="AY7380" t="s">
        <v>55</v>
      </c>
    </row>
    <row r="7381" spans="1:51" hidden="1">
      <c r="A7381">
        <v>104146</v>
      </c>
      <c r="B7381" t="s">
        <v>1246</v>
      </c>
      <c r="C7381" t="str">
        <f t="shared" si="599"/>
        <v>11654150157</v>
      </c>
      <c r="D7381" t="str">
        <f t="shared" si="599"/>
        <v>11654150157</v>
      </c>
      <c r="E7381" t="s">
        <v>52</v>
      </c>
      <c r="F7381">
        <v>2014</v>
      </c>
      <c r="G7381">
        <v>14088367</v>
      </c>
      <c r="H7381" s="1">
        <v>41850</v>
      </c>
      <c r="I7381" s="1">
        <v>41877</v>
      </c>
      <c r="J7381" s="1">
        <v>41877</v>
      </c>
      <c r="K7381" s="1">
        <v>41967</v>
      </c>
      <c r="N7381" s="5"/>
      <c r="O7381" s="2">
        <v>7847.04</v>
      </c>
      <c r="P7381">
        <v>217</v>
      </c>
      <c r="Q7381" s="2">
        <v>1702807.68</v>
      </c>
      <c r="R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 s="1">
        <v>42382</v>
      </c>
      <c r="AC7381" t="s">
        <v>53</v>
      </c>
      <c r="AD7381" t="s">
        <v>53</v>
      </c>
      <c r="AK7381">
        <v>0</v>
      </c>
      <c r="AU7381" s="6">
        <v>42184</v>
      </c>
      <c r="AV7381" s="6">
        <v>42184</v>
      </c>
      <c r="AW7381" t="s">
        <v>54</v>
      </c>
      <c r="AX7381" t="str">
        <f t="shared" si="598"/>
        <v>FOR</v>
      </c>
      <c r="AY7381" t="s">
        <v>55</v>
      </c>
    </row>
    <row r="7382" spans="1:51" hidden="1">
      <c r="A7382">
        <v>104146</v>
      </c>
      <c r="B7382" t="s">
        <v>1246</v>
      </c>
      <c r="C7382" t="str">
        <f t="shared" si="599"/>
        <v>11654150157</v>
      </c>
      <c r="D7382" t="str">
        <f t="shared" si="599"/>
        <v>11654150157</v>
      </c>
      <c r="E7382" t="s">
        <v>52</v>
      </c>
      <c r="F7382">
        <v>2014</v>
      </c>
      <c r="G7382">
        <v>14088837</v>
      </c>
      <c r="H7382" s="1">
        <v>41850</v>
      </c>
      <c r="I7382" s="1">
        <v>41877</v>
      </c>
      <c r="J7382" s="1">
        <v>41877</v>
      </c>
      <c r="K7382" s="1">
        <v>41967</v>
      </c>
      <c r="N7382" s="5"/>
      <c r="O7382" s="2">
        <v>1561.6</v>
      </c>
      <c r="P7382">
        <v>217</v>
      </c>
      <c r="Q7382" s="2">
        <v>338867.20000000001</v>
      </c>
      <c r="R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 s="1">
        <v>42382</v>
      </c>
      <c r="AC7382" t="s">
        <v>53</v>
      </c>
      <c r="AD7382" t="s">
        <v>53</v>
      </c>
      <c r="AK7382">
        <v>0</v>
      </c>
      <c r="AU7382" s="6">
        <v>42184</v>
      </c>
      <c r="AV7382" s="6">
        <v>42184</v>
      </c>
      <c r="AW7382" t="s">
        <v>54</v>
      </c>
      <c r="AX7382" t="str">
        <f t="shared" si="598"/>
        <v>FOR</v>
      </c>
      <c r="AY7382" t="s">
        <v>55</v>
      </c>
    </row>
    <row r="7383" spans="1:51" hidden="1">
      <c r="A7383">
        <v>104146</v>
      </c>
      <c r="B7383" t="s">
        <v>1246</v>
      </c>
      <c r="C7383" t="str">
        <f t="shared" si="599"/>
        <v>11654150157</v>
      </c>
      <c r="D7383" t="str">
        <f t="shared" si="599"/>
        <v>11654150157</v>
      </c>
      <c r="E7383" t="s">
        <v>52</v>
      </c>
      <c r="F7383">
        <v>2014</v>
      </c>
      <c r="G7383">
        <v>14096186</v>
      </c>
      <c r="H7383" s="1">
        <v>41885</v>
      </c>
      <c r="I7383" s="1">
        <v>41911</v>
      </c>
      <c r="J7383" s="1">
        <v>41911</v>
      </c>
      <c r="K7383" s="1">
        <v>42001</v>
      </c>
      <c r="N7383" s="5"/>
      <c r="O7383" s="2">
        <v>6900.32</v>
      </c>
      <c r="P7383">
        <v>248</v>
      </c>
      <c r="Q7383" s="2">
        <v>1711279.36</v>
      </c>
      <c r="R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 s="1">
        <v>42382</v>
      </c>
      <c r="AC7383" t="s">
        <v>53</v>
      </c>
      <c r="AD7383" t="s">
        <v>53</v>
      </c>
      <c r="AK7383">
        <v>0</v>
      </c>
      <c r="AU7383" s="6">
        <v>42249</v>
      </c>
      <c r="AV7383" s="6">
        <v>42249</v>
      </c>
      <c r="AW7383" t="s">
        <v>54</v>
      </c>
      <c r="AX7383" t="str">
        <f t="shared" si="598"/>
        <v>FOR</v>
      </c>
      <c r="AY7383" t="s">
        <v>55</v>
      </c>
    </row>
    <row r="7384" spans="1:51">
      <c r="A7384">
        <v>104146</v>
      </c>
      <c r="B7384" t="s">
        <v>1246</v>
      </c>
      <c r="C7384" t="str">
        <f t="shared" si="599"/>
        <v>11654150157</v>
      </c>
      <c r="D7384" t="str">
        <f t="shared" si="599"/>
        <v>11654150157</v>
      </c>
      <c r="E7384" t="s">
        <v>52</v>
      </c>
      <c r="F7384">
        <v>2014</v>
      </c>
      <c r="G7384">
        <v>14112295</v>
      </c>
      <c r="H7384" s="1">
        <v>41922</v>
      </c>
      <c r="I7384" s="1">
        <v>41955</v>
      </c>
      <c r="J7384" s="1">
        <v>41955</v>
      </c>
      <c r="K7384" s="1">
        <v>42015</v>
      </c>
      <c r="L7384" s="7">
        <v>6600.2</v>
      </c>
      <c r="M7384" s="5">
        <v>267</v>
      </c>
      <c r="N7384" s="7">
        <v>1762253.4</v>
      </c>
      <c r="O7384" s="2">
        <v>6600.2</v>
      </c>
      <c r="P7384">
        <v>267</v>
      </c>
      <c r="Q7384" s="2">
        <v>1762253.4</v>
      </c>
      <c r="R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 s="1">
        <v>42382</v>
      </c>
      <c r="AC7384" t="s">
        <v>53</v>
      </c>
      <c r="AD7384" t="s">
        <v>53</v>
      </c>
      <c r="AK7384">
        <v>0</v>
      </c>
      <c r="AU7384" s="6">
        <v>42282</v>
      </c>
      <c r="AV7384" s="6">
        <v>42282</v>
      </c>
      <c r="AW7384" t="s">
        <v>54</v>
      </c>
      <c r="AX7384" t="str">
        <f t="shared" si="598"/>
        <v>FOR</v>
      </c>
      <c r="AY7384" t="s">
        <v>55</v>
      </c>
    </row>
    <row r="7385" spans="1:51">
      <c r="A7385">
        <v>104146</v>
      </c>
      <c r="B7385" t="s">
        <v>1246</v>
      </c>
      <c r="C7385" t="str">
        <f t="shared" si="599"/>
        <v>11654150157</v>
      </c>
      <c r="D7385" t="str">
        <f t="shared" si="599"/>
        <v>11654150157</v>
      </c>
      <c r="E7385" t="s">
        <v>52</v>
      </c>
      <c r="F7385">
        <v>2014</v>
      </c>
      <c r="G7385">
        <v>14128136</v>
      </c>
      <c r="H7385" s="1">
        <v>41963</v>
      </c>
      <c r="I7385" s="1">
        <v>41976</v>
      </c>
      <c r="J7385" s="1">
        <v>41976</v>
      </c>
      <c r="K7385" s="1">
        <v>42036</v>
      </c>
      <c r="L7385" s="7">
        <v>4001.6</v>
      </c>
      <c r="M7385" s="5">
        <v>263</v>
      </c>
      <c r="N7385" s="7">
        <v>1052420.8</v>
      </c>
      <c r="O7385" s="2">
        <v>4001.6</v>
      </c>
      <c r="P7385">
        <v>263</v>
      </c>
      <c r="Q7385" s="2">
        <v>1052420.8</v>
      </c>
      <c r="R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 s="1">
        <v>42382</v>
      </c>
      <c r="AC7385" t="s">
        <v>53</v>
      </c>
      <c r="AD7385" t="s">
        <v>53</v>
      </c>
      <c r="AK7385">
        <v>0</v>
      </c>
      <c r="AU7385" s="6">
        <v>42299</v>
      </c>
      <c r="AV7385" s="6">
        <v>42299</v>
      </c>
      <c r="AW7385" t="s">
        <v>54</v>
      </c>
      <c r="AX7385" t="str">
        <f t="shared" si="598"/>
        <v>FOR</v>
      </c>
      <c r="AY7385" t="s">
        <v>55</v>
      </c>
    </row>
    <row r="7386" spans="1:51">
      <c r="A7386">
        <v>104146</v>
      </c>
      <c r="B7386" t="s">
        <v>1246</v>
      </c>
      <c r="C7386" t="str">
        <f t="shared" si="599"/>
        <v>11654150157</v>
      </c>
      <c r="D7386" t="str">
        <f t="shared" si="599"/>
        <v>11654150157</v>
      </c>
      <c r="E7386" t="s">
        <v>52</v>
      </c>
      <c r="F7386">
        <v>2014</v>
      </c>
      <c r="G7386">
        <v>14141017</v>
      </c>
      <c r="H7386" s="1">
        <v>41991</v>
      </c>
      <c r="I7386" s="1">
        <v>42004</v>
      </c>
      <c r="J7386" s="1">
        <v>42004</v>
      </c>
      <c r="K7386" s="1">
        <v>42064</v>
      </c>
      <c r="L7386" s="7">
        <v>1561.6</v>
      </c>
      <c r="M7386" s="5">
        <v>235</v>
      </c>
      <c r="N7386" s="7">
        <v>366976</v>
      </c>
      <c r="O7386" s="2">
        <v>1561.6</v>
      </c>
      <c r="P7386">
        <v>235</v>
      </c>
      <c r="Q7386" s="2">
        <v>366976</v>
      </c>
      <c r="R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 s="1">
        <v>42382</v>
      </c>
      <c r="AC7386" t="s">
        <v>53</v>
      </c>
      <c r="AD7386" t="s">
        <v>53</v>
      </c>
      <c r="AK7386">
        <v>0</v>
      </c>
      <c r="AU7386" s="6">
        <v>42299</v>
      </c>
      <c r="AV7386" s="6">
        <v>42299</v>
      </c>
      <c r="AW7386" t="s">
        <v>54</v>
      </c>
      <c r="AX7386" t="str">
        <f t="shared" si="598"/>
        <v>FOR</v>
      </c>
      <c r="AY7386" t="s">
        <v>55</v>
      </c>
    </row>
    <row r="7387" spans="1:51">
      <c r="A7387">
        <v>104146</v>
      </c>
      <c r="B7387" t="s">
        <v>1246</v>
      </c>
      <c r="C7387" t="str">
        <f t="shared" si="599"/>
        <v>11654150157</v>
      </c>
      <c r="D7387" t="str">
        <f t="shared" si="599"/>
        <v>11654150157</v>
      </c>
      <c r="E7387" t="s">
        <v>52</v>
      </c>
      <c r="F7387">
        <v>2015</v>
      </c>
      <c r="G7387">
        <v>415004412</v>
      </c>
      <c r="H7387" s="1">
        <v>42019</v>
      </c>
      <c r="I7387" s="1">
        <v>42066</v>
      </c>
      <c r="J7387" s="1">
        <v>42066</v>
      </c>
      <c r="K7387" s="1">
        <v>42126</v>
      </c>
      <c r="L7387" s="7">
        <v>810</v>
      </c>
      <c r="M7387" s="5">
        <v>229</v>
      </c>
      <c r="N7387" s="7">
        <v>185490</v>
      </c>
      <c r="O7387">
        <v>810</v>
      </c>
      <c r="P7387">
        <v>229</v>
      </c>
      <c r="Q7387" s="2">
        <v>185490</v>
      </c>
      <c r="R7387">
        <v>178.2</v>
      </c>
      <c r="V7387">
        <v>0</v>
      </c>
      <c r="W7387">
        <v>0</v>
      </c>
      <c r="X7387">
        <v>0</v>
      </c>
      <c r="Y7387">
        <v>988.2</v>
      </c>
      <c r="Z7387">
        <v>988.2</v>
      </c>
      <c r="AA7387">
        <v>988.2</v>
      </c>
      <c r="AB7387" s="1">
        <v>42382</v>
      </c>
      <c r="AC7387" t="s">
        <v>53</v>
      </c>
      <c r="AD7387" t="s">
        <v>53</v>
      </c>
      <c r="AK7387">
        <v>178.2</v>
      </c>
      <c r="AU7387" s="6">
        <v>42355</v>
      </c>
      <c r="AV7387" s="6">
        <v>42355</v>
      </c>
      <c r="AW7387" t="s">
        <v>54</v>
      </c>
      <c r="AX7387" t="str">
        <f t="shared" si="598"/>
        <v>FOR</v>
      </c>
      <c r="AY7387" t="s">
        <v>55</v>
      </c>
    </row>
    <row r="7388" spans="1:51" hidden="1">
      <c r="A7388">
        <v>104195</v>
      </c>
      <c r="B7388" t="s">
        <v>1247</v>
      </c>
      <c r="C7388" t="str">
        <f t="shared" ref="C7388:D7407" si="600">"11206730159"</f>
        <v>11206730159</v>
      </c>
      <c r="D7388" t="str">
        <f t="shared" si="600"/>
        <v>11206730159</v>
      </c>
      <c r="E7388" t="s">
        <v>52</v>
      </c>
      <c r="F7388">
        <v>2014</v>
      </c>
      <c r="G7388">
        <v>71039863</v>
      </c>
      <c r="H7388" s="1">
        <v>41655</v>
      </c>
      <c r="I7388" s="1">
        <v>41662</v>
      </c>
      <c r="J7388" s="1">
        <v>41662</v>
      </c>
      <c r="K7388" s="1">
        <v>41752</v>
      </c>
      <c r="N7388" s="5"/>
      <c r="O7388">
        <v>894.4</v>
      </c>
      <c r="P7388">
        <v>287</v>
      </c>
      <c r="Q7388" s="2">
        <v>256692.8</v>
      </c>
      <c r="R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 s="1">
        <v>42382</v>
      </c>
      <c r="AC7388" t="s">
        <v>53</v>
      </c>
      <c r="AD7388" t="s">
        <v>53</v>
      </c>
      <c r="AK7388">
        <v>0</v>
      </c>
      <c r="AU7388" s="6">
        <v>42039</v>
      </c>
      <c r="AV7388" s="6">
        <v>42039</v>
      </c>
      <c r="AW7388" t="s">
        <v>54</v>
      </c>
      <c r="AX7388" t="str">
        <f t="shared" si="598"/>
        <v>FOR</v>
      </c>
      <c r="AY7388" t="s">
        <v>55</v>
      </c>
    </row>
    <row r="7389" spans="1:51" hidden="1">
      <c r="A7389">
        <v>104195</v>
      </c>
      <c r="B7389" t="s">
        <v>1247</v>
      </c>
      <c r="C7389" t="str">
        <f t="shared" si="600"/>
        <v>11206730159</v>
      </c>
      <c r="D7389" t="str">
        <f t="shared" si="600"/>
        <v>11206730159</v>
      </c>
      <c r="E7389" t="s">
        <v>52</v>
      </c>
      <c r="F7389">
        <v>2014</v>
      </c>
      <c r="G7389">
        <v>71039864</v>
      </c>
      <c r="H7389" s="1">
        <v>41655</v>
      </c>
      <c r="I7389" s="1">
        <v>41662</v>
      </c>
      <c r="J7389" s="1">
        <v>41662</v>
      </c>
      <c r="K7389" s="1">
        <v>41752</v>
      </c>
      <c r="N7389" s="5"/>
      <c r="O7389">
        <v>183</v>
      </c>
      <c r="P7389">
        <v>287</v>
      </c>
      <c r="Q7389" s="2">
        <v>52521</v>
      </c>
      <c r="R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 s="1">
        <v>42382</v>
      </c>
      <c r="AC7389" t="s">
        <v>53</v>
      </c>
      <c r="AD7389" t="s">
        <v>53</v>
      </c>
      <c r="AK7389">
        <v>0</v>
      </c>
      <c r="AU7389" s="6">
        <v>42039</v>
      </c>
      <c r="AV7389" s="6">
        <v>42039</v>
      </c>
      <c r="AW7389" t="s">
        <v>54</v>
      </c>
      <c r="AX7389" t="str">
        <f t="shared" si="598"/>
        <v>FOR</v>
      </c>
      <c r="AY7389" t="s">
        <v>55</v>
      </c>
    </row>
    <row r="7390" spans="1:51" hidden="1">
      <c r="A7390">
        <v>104195</v>
      </c>
      <c r="B7390" t="s">
        <v>1247</v>
      </c>
      <c r="C7390" t="str">
        <f t="shared" si="600"/>
        <v>11206730159</v>
      </c>
      <c r="D7390" t="str">
        <f t="shared" si="600"/>
        <v>11206730159</v>
      </c>
      <c r="E7390" t="s">
        <v>52</v>
      </c>
      <c r="F7390">
        <v>2014</v>
      </c>
      <c r="G7390">
        <v>71039865</v>
      </c>
      <c r="H7390" s="1">
        <v>41655</v>
      </c>
      <c r="I7390" s="1">
        <v>41662</v>
      </c>
      <c r="J7390" s="1">
        <v>41662</v>
      </c>
      <c r="K7390" s="1">
        <v>41752</v>
      </c>
      <c r="N7390" s="5"/>
      <c r="O7390">
        <v>894.4</v>
      </c>
      <c r="P7390">
        <v>287</v>
      </c>
      <c r="Q7390" s="2">
        <v>256692.8</v>
      </c>
      <c r="R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 s="1">
        <v>42382</v>
      </c>
      <c r="AC7390" t="s">
        <v>53</v>
      </c>
      <c r="AD7390" t="s">
        <v>53</v>
      </c>
      <c r="AK7390">
        <v>0</v>
      </c>
      <c r="AU7390" s="6">
        <v>42039</v>
      </c>
      <c r="AV7390" s="6">
        <v>42039</v>
      </c>
      <c r="AW7390" t="s">
        <v>54</v>
      </c>
      <c r="AX7390" t="str">
        <f t="shared" si="598"/>
        <v>FOR</v>
      </c>
      <c r="AY7390" t="s">
        <v>55</v>
      </c>
    </row>
    <row r="7391" spans="1:51" hidden="1">
      <c r="A7391">
        <v>104195</v>
      </c>
      <c r="B7391" t="s">
        <v>1247</v>
      </c>
      <c r="C7391" t="str">
        <f t="shared" si="600"/>
        <v>11206730159</v>
      </c>
      <c r="D7391" t="str">
        <f t="shared" si="600"/>
        <v>11206730159</v>
      </c>
      <c r="E7391" t="s">
        <v>52</v>
      </c>
      <c r="F7391">
        <v>2014</v>
      </c>
      <c r="G7391">
        <v>71039866</v>
      </c>
      <c r="H7391" s="1">
        <v>41655</v>
      </c>
      <c r="I7391" s="1">
        <v>41662</v>
      </c>
      <c r="J7391" s="1">
        <v>41662</v>
      </c>
      <c r="K7391" s="1">
        <v>41752</v>
      </c>
      <c r="N7391" s="5"/>
      <c r="O7391">
        <v>170.8</v>
      </c>
      <c r="P7391">
        <v>287</v>
      </c>
      <c r="Q7391" s="2">
        <v>49019.6</v>
      </c>
      <c r="R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 s="1">
        <v>42382</v>
      </c>
      <c r="AC7391" t="s">
        <v>53</v>
      </c>
      <c r="AD7391" t="s">
        <v>53</v>
      </c>
      <c r="AK7391">
        <v>0</v>
      </c>
      <c r="AU7391" s="6">
        <v>42039</v>
      </c>
      <c r="AV7391" s="6">
        <v>42039</v>
      </c>
      <c r="AW7391" t="s">
        <v>54</v>
      </c>
      <c r="AX7391" t="str">
        <f t="shared" si="598"/>
        <v>FOR</v>
      </c>
      <c r="AY7391" t="s">
        <v>55</v>
      </c>
    </row>
    <row r="7392" spans="1:51" hidden="1">
      <c r="A7392">
        <v>104195</v>
      </c>
      <c r="B7392" t="s">
        <v>1247</v>
      </c>
      <c r="C7392" t="str">
        <f t="shared" si="600"/>
        <v>11206730159</v>
      </c>
      <c r="D7392" t="str">
        <f t="shared" si="600"/>
        <v>11206730159</v>
      </c>
      <c r="E7392" t="s">
        <v>52</v>
      </c>
      <c r="F7392">
        <v>2014</v>
      </c>
      <c r="G7392">
        <v>71040627</v>
      </c>
      <c r="H7392" s="1">
        <v>41659</v>
      </c>
      <c r="I7392" s="1">
        <v>41667</v>
      </c>
      <c r="J7392" s="1">
        <v>41667</v>
      </c>
      <c r="K7392" s="1">
        <v>41757</v>
      </c>
      <c r="N7392" s="5"/>
      <c r="O7392">
        <v>884</v>
      </c>
      <c r="P7392">
        <v>282</v>
      </c>
      <c r="Q7392" s="2">
        <v>249288</v>
      </c>
      <c r="R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 s="1">
        <v>42382</v>
      </c>
      <c r="AC7392" t="s">
        <v>53</v>
      </c>
      <c r="AD7392" t="s">
        <v>53</v>
      </c>
      <c r="AK7392">
        <v>0</v>
      </c>
      <c r="AU7392" s="6">
        <v>42039</v>
      </c>
      <c r="AV7392" s="6">
        <v>42039</v>
      </c>
      <c r="AW7392" t="s">
        <v>54</v>
      </c>
      <c r="AX7392" t="str">
        <f t="shared" si="598"/>
        <v>FOR</v>
      </c>
      <c r="AY7392" t="s">
        <v>55</v>
      </c>
    </row>
    <row r="7393" spans="1:51" hidden="1">
      <c r="A7393">
        <v>104195</v>
      </c>
      <c r="B7393" t="s">
        <v>1247</v>
      </c>
      <c r="C7393" t="str">
        <f t="shared" si="600"/>
        <v>11206730159</v>
      </c>
      <c r="D7393" t="str">
        <f t="shared" si="600"/>
        <v>11206730159</v>
      </c>
      <c r="E7393" t="s">
        <v>52</v>
      </c>
      <c r="F7393">
        <v>2014</v>
      </c>
      <c r="G7393">
        <v>71040628</v>
      </c>
      <c r="H7393" s="1">
        <v>41659</v>
      </c>
      <c r="I7393" s="1">
        <v>41667</v>
      </c>
      <c r="J7393" s="1">
        <v>41667</v>
      </c>
      <c r="K7393" s="1">
        <v>41757</v>
      </c>
      <c r="N7393" s="5"/>
      <c r="O7393">
        <v>884</v>
      </c>
      <c r="P7393">
        <v>282</v>
      </c>
      <c r="Q7393" s="2">
        <v>249288</v>
      </c>
      <c r="R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 s="1">
        <v>42382</v>
      </c>
      <c r="AC7393" t="s">
        <v>53</v>
      </c>
      <c r="AD7393" t="s">
        <v>53</v>
      </c>
      <c r="AK7393">
        <v>0</v>
      </c>
      <c r="AU7393" s="6">
        <v>42039</v>
      </c>
      <c r="AV7393" s="6">
        <v>42039</v>
      </c>
      <c r="AW7393" t="s">
        <v>54</v>
      </c>
      <c r="AX7393" t="str">
        <f t="shared" si="598"/>
        <v>FOR</v>
      </c>
      <c r="AY7393" t="s">
        <v>55</v>
      </c>
    </row>
    <row r="7394" spans="1:51" hidden="1">
      <c r="A7394">
        <v>104195</v>
      </c>
      <c r="B7394" t="s">
        <v>1247</v>
      </c>
      <c r="C7394" t="str">
        <f t="shared" si="600"/>
        <v>11206730159</v>
      </c>
      <c r="D7394" t="str">
        <f t="shared" si="600"/>
        <v>11206730159</v>
      </c>
      <c r="E7394" t="s">
        <v>52</v>
      </c>
      <c r="F7394">
        <v>2014</v>
      </c>
      <c r="G7394">
        <v>71040629</v>
      </c>
      <c r="H7394" s="1">
        <v>41659</v>
      </c>
      <c r="I7394" s="1">
        <v>41667</v>
      </c>
      <c r="J7394" s="1">
        <v>41667</v>
      </c>
      <c r="K7394" s="1">
        <v>41757</v>
      </c>
      <c r="N7394" s="5"/>
      <c r="O7394">
        <v>183</v>
      </c>
      <c r="P7394">
        <v>282</v>
      </c>
      <c r="Q7394" s="2">
        <v>51606</v>
      </c>
      <c r="R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 s="1">
        <v>42382</v>
      </c>
      <c r="AC7394" t="s">
        <v>53</v>
      </c>
      <c r="AD7394" t="s">
        <v>53</v>
      </c>
      <c r="AK7394">
        <v>0</v>
      </c>
      <c r="AU7394" s="6">
        <v>42039</v>
      </c>
      <c r="AV7394" s="6">
        <v>42039</v>
      </c>
      <c r="AW7394" t="s">
        <v>54</v>
      </c>
      <c r="AX7394" t="str">
        <f t="shared" si="598"/>
        <v>FOR</v>
      </c>
      <c r="AY7394" t="s">
        <v>55</v>
      </c>
    </row>
    <row r="7395" spans="1:51" hidden="1">
      <c r="A7395">
        <v>104195</v>
      </c>
      <c r="B7395" t="s">
        <v>1247</v>
      </c>
      <c r="C7395" t="str">
        <f t="shared" si="600"/>
        <v>11206730159</v>
      </c>
      <c r="D7395" t="str">
        <f t="shared" si="600"/>
        <v>11206730159</v>
      </c>
      <c r="E7395" t="s">
        <v>52</v>
      </c>
      <c r="F7395">
        <v>2014</v>
      </c>
      <c r="G7395">
        <v>71040630</v>
      </c>
      <c r="H7395" s="1">
        <v>41659</v>
      </c>
      <c r="I7395" s="1">
        <v>41667</v>
      </c>
      <c r="J7395" s="1">
        <v>41667</v>
      </c>
      <c r="K7395" s="1">
        <v>41757</v>
      </c>
      <c r="N7395" s="5"/>
      <c r="O7395">
        <v>183</v>
      </c>
      <c r="P7395">
        <v>282</v>
      </c>
      <c r="Q7395" s="2">
        <v>51606</v>
      </c>
      <c r="R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 s="1">
        <v>42382</v>
      </c>
      <c r="AC7395" t="s">
        <v>53</v>
      </c>
      <c r="AD7395" t="s">
        <v>53</v>
      </c>
      <c r="AK7395">
        <v>0</v>
      </c>
      <c r="AU7395" s="6">
        <v>42039</v>
      </c>
      <c r="AV7395" s="6">
        <v>42039</v>
      </c>
      <c r="AW7395" t="s">
        <v>54</v>
      </c>
      <c r="AX7395" t="str">
        <f t="shared" si="598"/>
        <v>FOR</v>
      </c>
      <c r="AY7395" t="s">
        <v>55</v>
      </c>
    </row>
    <row r="7396" spans="1:51" hidden="1">
      <c r="A7396">
        <v>104195</v>
      </c>
      <c r="B7396" t="s">
        <v>1247</v>
      </c>
      <c r="C7396" t="str">
        <f t="shared" si="600"/>
        <v>11206730159</v>
      </c>
      <c r="D7396" t="str">
        <f t="shared" si="600"/>
        <v>11206730159</v>
      </c>
      <c r="E7396" t="s">
        <v>52</v>
      </c>
      <c r="F7396">
        <v>2014</v>
      </c>
      <c r="G7396">
        <v>71040631</v>
      </c>
      <c r="H7396" s="1">
        <v>41659</v>
      </c>
      <c r="I7396" s="1">
        <v>41667</v>
      </c>
      <c r="J7396" s="1">
        <v>41667</v>
      </c>
      <c r="K7396" s="1">
        <v>41757</v>
      </c>
      <c r="N7396" s="5"/>
      <c r="O7396">
        <v>884</v>
      </c>
      <c r="P7396">
        <v>282</v>
      </c>
      <c r="Q7396" s="2">
        <v>249288</v>
      </c>
      <c r="R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 s="1">
        <v>42382</v>
      </c>
      <c r="AC7396" t="s">
        <v>53</v>
      </c>
      <c r="AD7396" t="s">
        <v>53</v>
      </c>
      <c r="AK7396">
        <v>0</v>
      </c>
      <c r="AU7396" s="6">
        <v>42039</v>
      </c>
      <c r="AV7396" s="6">
        <v>42039</v>
      </c>
      <c r="AW7396" t="s">
        <v>54</v>
      </c>
      <c r="AX7396" t="str">
        <f t="shared" si="598"/>
        <v>FOR</v>
      </c>
      <c r="AY7396" t="s">
        <v>55</v>
      </c>
    </row>
    <row r="7397" spans="1:51" hidden="1">
      <c r="A7397">
        <v>104195</v>
      </c>
      <c r="B7397" t="s">
        <v>1247</v>
      </c>
      <c r="C7397" t="str">
        <f t="shared" si="600"/>
        <v>11206730159</v>
      </c>
      <c r="D7397" t="str">
        <f t="shared" si="600"/>
        <v>11206730159</v>
      </c>
      <c r="E7397" t="s">
        <v>52</v>
      </c>
      <c r="F7397">
        <v>2014</v>
      </c>
      <c r="G7397">
        <v>71040632</v>
      </c>
      <c r="H7397" s="1">
        <v>41659</v>
      </c>
      <c r="I7397" s="1">
        <v>41667</v>
      </c>
      <c r="J7397" s="1">
        <v>41667</v>
      </c>
      <c r="K7397" s="1">
        <v>41757</v>
      </c>
      <c r="N7397" s="5"/>
      <c r="O7397">
        <v>884</v>
      </c>
      <c r="P7397">
        <v>282</v>
      </c>
      <c r="Q7397" s="2">
        <v>249288</v>
      </c>
      <c r="R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 s="1">
        <v>42382</v>
      </c>
      <c r="AC7397" t="s">
        <v>53</v>
      </c>
      <c r="AD7397" t="s">
        <v>53</v>
      </c>
      <c r="AK7397">
        <v>0</v>
      </c>
      <c r="AU7397" s="6">
        <v>42039</v>
      </c>
      <c r="AV7397" s="6">
        <v>42039</v>
      </c>
      <c r="AW7397" t="s">
        <v>54</v>
      </c>
      <c r="AX7397" t="str">
        <f t="shared" si="598"/>
        <v>FOR</v>
      </c>
      <c r="AY7397" t="s">
        <v>55</v>
      </c>
    </row>
    <row r="7398" spans="1:51" hidden="1">
      <c r="A7398">
        <v>104195</v>
      </c>
      <c r="B7398" t="s">
        <v>1247</v>
      </c>
      <c r="C7398" t="str">
        <f t="shared" si="600"/>
        <v>11206730159</v>
      </c>
      <c r="D7398" t="str">
        <f t="shared" si="600"/>
        <v>11206730159</v>
      </c>
      <c r="E7398" t="s">
        <v>52</v>
      </c>
      <c r="F7398">
        <v>2014</v>
      </c>
      <c r="G7398">
        <v>71042398</v>
      </c>
      <c r="H7398" s="1">
        <v>41663</v>
      </c>
      <c r="I7398" s="1">
        <v>41670</v>
      </c>
      <c r="J7398" s="1">
        <v>41670</v>
      </c>
      <c r="K7398" s="1">
        <v>41760</v>
      </c>
      <c r="N7398" s="5"/>
      <c r="O7398">
        <v>884</v>
      </c>
      <c r="P7398">
        <v>279</v>
      </c>
      <c r="Q7398" s="2">
        <v>246636</v>
      </c>
      <c r="R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 s="1">
        <v>42382</v>
      </c>
      <c r="AC7398" t="s">
        <v>53</v>
      </c>
      <c r="AD7398" t="s">
        <v>53</v>
      </c>
      <c r="AK7398">
        <v>0</v>
      </c>
      <c r="AU7398" s="6">
        <v>42039</v>
      </c>
      <c r="AV7398" s="6">
        <v>42039</v>
      </c>
      <c r="AW7398" t="s">
        <v>54</v>
      </c>
      <c r="AX7398" t="str">
        <f t="shared" si="598"/>
        <v>FOR</v>
      </c>
      <c r="AY7398" t="s">
        <v>55</v>
      </c>
    </row>
    <row r="7399" spans="1:51" hidden="1">
      <c r="A7399">
        <v>104195</v>
      </c>
      <c r="B7399" t="s">
        <v>1247</v>
      </c>
      <c r="C7399" t="str">
        <f t="shared" si="600"/>
        <v>11206730159</v>
      </c>
      <c r="D7399" t="str">
        <f t="shared" si="600"/>
        <v>11206730159</v>
      </c>
      <c r="E7399" t="s">
        <v>52</v>
      </c>
      <c r="F7399">
        <v>2014</v>
      </c>
      <c r="G7399">
        <v>71042399</v>
      </c>
      <c r="H7399" s="1">
        <v>41663</v>
      </c>
      <c r="I7399" s="1">
        <v>41670</v>
      </c>
      <c r="J7399" s="1">
        <v>41670</v>
      </c>
      <c r="K7399" s="1">
        <v>41760</v>
      </c>
      <c r="N7399" s="5"/>
      <c r="O7399">
        <v>884</v>
      </c>
      <c r="P7399">
        <v>279</v>
      </c>
      <c r="Q7399" s="2">
        <v>246636</v>
      </c>
      <c r="R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 s="1">
        <v>42382</v>
      </c>
      <c r="AC7399" t="s">
        <v>53</v>
      </c>
      <c r="AD7399" t="s">
        <v>53</v>
      </c>
      <c r="AK7399">
        <v>0</v>
      </c>
      <c r="AU7399" s="6">
        <v>42039</v>
      </c>
      <c r="AV7399" s="6">
        <v>42039</v>
      </c>
      <c r="AW7399" t="s">
        <v>54</v>
      </c>
      <c r="AX7399" t="str">
        <f t="shared" si="598"/>
        <v>FOR</v>
      </c>
      <c r="AY7399" t="s">
        <v>55</v>
      </c>
    </row>
    <row r="7400" spans="1:51" hidden="1">
      <c r="A7400">
        <v>104195</v>
      </c>
      <c r="B7400" t="s">
        <v>1247</v>
      </c>
      <c r="C7400" t="str">
        <f t="shared" si="600"/>
        <v>11206730159</v>
      </c>
      <c r="D7400" t="str">
        <f t="shared" si="600"/>
        <v>11206730159</v>
      </c>
      <c r="E7400" t="s">
        <v>52</v>
      </c>
      <c r="F7400">
        <v>2014</v>
      </c>
      <c r="G7400">
        <v>71042400</v>
      </c>
      <c r="H7400" s="1">
        <v>41663</v>
      </c>
      <c r="I7400" s="1">
        <v>41670</v>
      </c>
      <c r="J7400" s="1">
        <v>41670</v>
      </c>
      <c r="K7400" s="1">
        <v>41760</v>
      </c>
      <c r="N7400" s="5"/>
      <c r="O7400">
        <v>884</v>
      </c>
      <c r="P7400">
        <v>279</v>
      </c>
      <c r="Q7400" s="2">
        <v>246636</v>
      </c>
      <c r="R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 s="1">
        <v>42382</v>
      </c>
      <c r="AC7400" t="s">
        <v>53</v>
      </c>
      <c r="AD7400" t="s">
        <v>53</v>
      </c>
      <c r="AK7400">
        <v>0</v>
      </c>
      <c r="AU7400" s="6">
        <v>42039</v>
      </c>
      <c r="AV7400" s="6">
        <v>42039</v>
      </c>
      <c r="AW7400" t="s">
        <v>54</v>
      </c>
      <c r="AX7400" t="str">
        <f t="shared" si="598"/>
        <v>FOR</v>
      </c>
      <c r="AY7400" t="s">
        <v>55</v>
      </c>
    </row>
    <row r="7401" spans="1:51" hidden="1">
      <c r="A7401">
        <v>104195</v>
      </c>
      <c r="B7401" t="s">
        <v>1247</v>
      </c>
      <c r="C7401" t="str">
        <f t="shared" si="600"/>
        <v>11206730159</v>
      </c>
      <c r="D7401" t="str">
        <f t="shared" si="600"/>
        <v>11206730159</v>
      </c>
      <c r="E7401" t="s">
        <v>52</v>
      </c>
      <c r="F7401">
        <v>2014</v>
      </c>
      <c r="G7401">
        <v>71042401</v>
      </c>
      <c r="H7401" s="1">
        <v>41663</v>
      </c>
      <c r="I7401" s="1">
        <v>41670</v>
      </c>
      <c r="J7401" s="1">
        <v>41670</v>
      </c>
      <c r="K7401" s="1">
        <v>41760</v>
      </c>
      <c r="N7401" s="5"/>
      <c r="O7401">
        <v>183</v>
      </c>
      <c r="P7401">
        <v>279</v>
      </c>
      <c r="Q7401" s="2">
        <v>51057</v>
      </c>
      <c r="R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 s="1">
        <v>42382</v>
      </c>
      <c r="AC7401" t="s">
        <v>53</v>
      </c>
      <c r="AD7401" t="s">
        <v>53</v>
      </c>
      <c r="AK7401">
        <v>0</v>
      </c>
      <c r="AU7401" s="6">
        <v>42039</v>
      </c>
      <c r="AV7401" s="6">
        <v>42039</v>
      </c>
      <c r="AW7401" t="s">
        <v>54</v>
      </c>
      <c r="AX7401" t="str">
        <f t="shared" si="598"/>
        <v>FOR</v>
      </c>
      <c r="AY7401" t="s">
        <v>55</v>
      </c>
    </row>
    <row r="7402" spans="1:51" hidden="1">
      <c r="A7402">
        <v>104195</v>
      </c>
      <c r="B7402" t="s">
        <v>1247</v>
      </c>
      <c r="C7402" t="str">
        <f t="shared" si="600"/>
        <v>11206730159</v>
      </c>
      <c r="D7402" t="str">
        <f t="shared" si="600"/>
        <v>11206730159</v>
      </c>
      <c r="E7402" t="s">
        <v>52</v>
      </c>
      <c r="F7402">
        <v>2014</v>
      </c>
      <c r="G7402">
        <v>71042402</v>
      </c>
      <c r="H7402" s="1">
        <v>41663</v>
      </c>
      <c r="I7402" s="1">
        <v>41670</v>
      </c>
      <c r="J7402" s="1">
        <v>41670</v>
      </c>
      <c r="K7402" s="1">
        <v>41760</v>
      </c>
      <c r="N7402" s="5"/>
      <c r="O7402">
        <v>894.4</v>
      </c>
      <c r="P7402">
        <v>279</v>
      </c>
      <c r="Q7402" s="2">
        <v>249537.6</v>
      </c>
      <c r="R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 s="1">
        <v>42382</v>
      </c>
      <c r="AC7402" t="s">
        <v>53</v>
      </c>
      <c r="AD7402" t="s">
        <v>53</v>
      </c>
      <c r="AK7402">
        <v>0</v>
      </c>
      <c r="AU7402" s="6">
        <v>42039</v>
      </c>
      <c r="AV7402" s="6">
        <v>42039</v>
      </c>
      <c r="AW7402" t="s">
        <v>54</v>
      </c>
      <c r="AX7402" t="str">
        <f t="shared" si="598"/>
        <v>FOR</v>
      </c>
      <c r="AY7402" t="s">
        <v>55</v>
      </c>
    </row>
    <row r="7403" spans="1:51" hidden="1">
      <c r="A7403">
        <v>104195</v>
      </c>
      <c r="B7403" t="s">
        <v>1247</v>
      </c>
      <c r="C7403" t="str">
        <f t="shared" si="600"/>
        <v>11206730159</v>
      </c>
      <c r="D7403" t="str">
        <f t="shared" si="600"/>
        <v>11206730159</v>
      </c>
      <c r="E7403" t="s">
        <v>52</v>
      </c>
      <c r="F7403">
        <v>2014</v>
      </c>
      <c r="G7403">
        <v>71042843</v>
      </c>
      <c r="H7403" s="1">
        <v>41666</v>
      </c>
      <c r="I7403" s="1">
        <v>41670</v>
      </c>
      <c r="J7403" s="1">
        <v>41670</v>
      </c>
      <c r="K7403" s="1">
        <v>41760</v>
      </c>
      <c r="N7403" s="5"/>
      <c r="O7403">
        <v>183</v>
      </c>
      <c r="P7403">
        <v>279</v>
      </c>
      <c r="Q7403" s="2">
        <v>51057</v>
      </c>
      <c r="R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 s="1">
        <v>42382</v>
      </c>
      <c r="AC7403" t="s">
        <v>53</v>
      </c>
      <c r="AD7403" t="s">
        <v>53</v>
      </c>
      <c r="AK7403">
        <v>0</v>
      </c>
      <c r="AU7403" s="6">
        <v>42039</v>
      </c>
      <c r="AV7403" s="6">
        <v>42039</v>
      </c>
      <c r="AW7403" t="s">
        <v>54</v>
      </c>
      <c r="AX7403" t="str">
        <f t="shared" si="598"/>
        <v>FOR</v>
      </c>
      <c r="AY7403" t="s">
        <v>55</v>
      </c>
    </row>
    <row r="7404" spans="1:51" hidden="1">
      <c r="A7404">
        <v>104195</v>
      </c>
      <c r="B7404" t="s">
        <v>1247</v>
      </c>
      <c r="C7404" t="str">
        <f t="shared" si="600"/>
        <v>11206730159</v>
      </c>
      <c r="D7404" t="str">
        <f t="shared" si="600"/>
        <v>11206730159</v>
      </c>
      <c r="E7404" t="s">
        <v>52</v>
      </c>
      <c r="F7404">
        <v>2014</v>
      </c>
      <c r="G7404">
        <v>71043749</v>
      </c>
      <c r="H7404" s="1">
        <v>41668</v>
      </c>
      <c r="I7404" s="1">
        <v>41680</v>
      </c>
      <c r="J7404" s="1">
        <v>41680</v>
      </c>
      <c r="K7404" s="1">
        <v>41770</v>
      </c>
      <c r="N7404" s="5"/>
      <c r="O7404">
        <v>183</v>
      </c>
      <c r="P7404">
        <v>269</v>
      </c>
      <c r="Q7404" s="2">
        <v>49227</v>
      </c>
      <c r="R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 s="1">
        <v>42382</v>
      </c>
      <c r="AC7404" t="s">
        <v>53</v>
      </c>
      <c r="AD7404" t="s">
        <v>53</v>
      </c>
      <c r="AK7404">
        <v>0</v>
      </c>
      <c r="AU7404" s="6">
        <v>42039</v>
      </c>
      <c r="AV7404" s="6">
        <v>42039</v>
      </c>
      <c r="AW7404" t="s">
        <v>54</v>
      </c>
      <c r="AX7404" t="str">
        <f t="shared" si="598"/>
        <v>FOR</v>
      </c>
      <c r="AY7404" t="s">
        <v>55</v>
      </c>
    </row>
    <row r="7405" spans="1:51" hidden="1">
      <c r="A7405">
        <v>104195</v>
      </c>
      <c r="B7405" t="s">
        <v>1247</v>
      </c>
      <c r="C7405" t="str">
        <f t="shared" si="600"/>
        <v>11206730159</v>
      </c>
      <c r="D7405" t="str">
        <f t="shared" si="600"/>
        <v>11206730159</v>
      </c>
      <c r="E7405" t="s">
        <v>52</v>
      </c>
      <c r="F7405">
        <v>2014</v>
      </c>
      <c r="G7405">
        <v>71043750</v>
      </c>
      <c r="H7405" s="1">
        <v>41668</v>
      </c>
      <c r="I7405" s="1">
        <v>41680</v>
      </c>
      <c r="J7405" s="1">
        <v>41680</v>
      </c>
      <c r="K7405" s="1">
        <v>41770</v>
      </c>
      <c r="N7405" s="5"/>
      <c r="O7405">
        <v>183</v>
      </c>
      <c r="P7405">
        <v>269</v>
      </c>
      <c r="Q7405" s="2">
        <v>49227</v>
      </c>
      <c r="R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 s="1">
        <v>42382</v>
      </c>
      <c r="AC7405" t="s">
        <v>53</v>
      </c>
      <c r="AD7405" t="s">
        <v>53</v>
      </c>
      <c r="AK7405">
        <v>0</v>
      </c>
      <c r="AU7405" s="6">
        <v>42039</v>
      </c>
      <c r="AV7405" s="6">
        <v>42039</v>
      </c>
      <c r="AW7405" t="s">
        <v>54</v>
      </c>
      <c r="AX7405" t="str">
        <f t="shared" si="598"/>
        <v>FOR</v>
      </c>
      <c r="AY7405" t="s">
        <v>55</v>
      </c>
    </row>
    <row r="7406" spans="1:51" hidden="1">
      <c r="A7406">
        <v>104195</v>
      </c>
      <c r="B7406" t="s">
        <v>1247</v>
      </c>
      <c r="C7406" t="str">
        <f t="shared" si="600"/>
        <v>11206730159</v>
      </c>
      <c r="D7406" t="str">
        <f t="shared" si="600"/>
        <v>11206730159</v>
      </c>
      <c r="E7406" t="s">
        <v>52</v>
      </c>
      <c r="F7406">
        <v>2014</v>
      </c>
      <c r="G7406">
        <v>71043751</v>
      </c>
      <c r="H7406" s="1">
        <v>41668</v>
      </c>
      <c r="I7406" s="1">
        <v>41680</v>
      </c>
      <c r="J7406" s="1">
        <v>41680</v>
      </c>
      <c r="K7406" s="1">
        <v>41770</v>
      </c>
      <c r="N7406" s="5"/>
      <c r="O7406">
        <v>894.4</v>
      </c>
      <c r="P7406">
        <v>269</v>
      </c>
      <c r="Q7406" s="2">
        <v>240593.6</v>
      </c>
      <c r="R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 s="1">
        <v>42382</v>
      </c>
      <c r="AC7406" t="s">
        <v>53</v>
      </c>
      <c r="AD7406" t="s">
        <v>53</v>
      </c>
      <c r="AK7406">
        <v>0</v>
      </c>
      <c r="AU7406" s="6">
        <v>42039</v>
      </c>
      <c r="AV7406" s="6">
        <v>42039</v>
      </c>
      <c r="AW7406" t="s">
        <v>54</v>
      </c>
      <c r="AX7406" t="str">
        <f t="shared" si="598"/>
        <v>FOR</v>
      </c>
      <c r="AY7406" t="s">
        <v>55</v>
      </c>
    </row>
    <row r="7407" spans="1:51" hidden="1">
      <c r="A7407">
        <v>104195</v>
      </c>
      <c r="B7407" t="s">
        <v>1247</v>
      </c>
      <c r="C7407" t="str">
        <f t="shared" si="600"/>
        <v>11206730159</v>
      </c>
      <c r="D7407" t="str">
        <f t="shared" si="600"/>
        <v>11206730159</v>
      </c>
      <c r="E7407" t="s">
        <v>52</v>
      </c>
      <c r="F7407">
        <v>2014</v>
      </c>
      <c r="G7407">
        <v>71043897</v>
      </c>
      <c r="H7407" s="1">
        <v>41669</v>
      </c>
      <c r="I7407" s="1">
        <v>41673</v>
      </c>
      <c r="J7407" s="1">
        <v>41673</v>
      </c>
      <c r="K7407" s="1">
        <v>41763</v>
      </c>
      <c r="N7407" s="5"/>
      <c r="O7407" s="2">
        <v>1237.5999999999999</v>
      </c>
      <c r="P7407">
        <v>276</v>
      </c>
      <c r="Q7407" s="2">
        <v>341577.6</v>
      </c>
      <c r="R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 s="1">
        <v>42382</v>
      </c>
      <c r="AC7407" t="s">
        <v>53</v>
      </c>
      <c r="AD7407" t="s">
        <v>53</v>
      </c>
      <c r="AK7407">
        <v>0</v>
      </c>
      <c r="AU7407" s="6">
        <v>42039</v>
      </c>
      <c r="AV7407" s="6">
        <v>42039</v>
      </c>
      <c r="AW7407" t="s">
        <v>54</v>
      </c>
      <c r="AX7407" t="str">
        <f t="shared" si="598"/>
        <v>FOR</v>
      </c>
      <c r="AY7407" t="s">
        <v>55</v>
      </c>
    </row>
    <row r="7408" spans="1:51" hidden="1">
      <c r="A7408">
        <v>104195</v>
      </c>
      <c r="B7408" t="s">
        <v>1247</v>
      </c>
      <c r="C7408" t="str">
        <f t="shared" ref="C7408:D7427" si="601">"11206730159"</f>
        <v>11206730159</v>
      </c>
      <c r="D7408" t="str">
        <f t="shared" si="601"/>
        <v>11206730159</v>
      </c>
      <c r="E7408" t="s">
        <v>52</v>
      </c>
      <c r="F7408">
        <v>2014</v>
      </c>
      <c r="G7408">
        <v>71043898</v>
      </c>
      <c r="H7408" s="1">
        <v>41669</v>
      </c>
      <c r="I7408" s="1">
        <v>41673</v>
      </c>
      <c r="J7408" s="1">
        <v>41673</v>
      </c>
      <c r="K7408" s="1">
        <v>41763</v>
      </c>
      <c r="N7408" s="5"/>
      <c r="O7408" s="2">
        <v>1237.5999999999999</v>
      </c>
      <c r="P7408">
        <v>276</v>
      </c>
      <c r="Q7408" s="2">
        <v>341577.6</v>
      </c>
      <c r="R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 s="1">
        <v>42382</v>
      </c>
      <c r="AC7408" t="s">
        <v>53</v>
      </c>
      <c r="AD7408" t="s">
        <v>53</v>
      </c>
      <c r="AK7408">
        <v>0</v>
      </c>
      <c r="AU7408" s="6">
        <v>42039</v>
      </c>
      <c r="AV7408" s="6">
        <v>42039</v>
      </c>
      <c r="AW7408" t="s">
        <v>54</v>
      </c>
      <c r="AX7408" t="str">
        <f t="shared" si="598"/>
        <v>FOR</v>
      </c>
      <c r="AY7408" t="s">
        <v>55</v>
      </c>
    </row>
    <row r="7409" spans="1:51" hidden="1">
      <c r="A7409">
        <v>104195</v>
      </c>
      <c r="B7409" t="s">
        <v>1247</v>
      </c>
      <c r="C7409" t="str">
        <f t="shared" si="601"/>
        <v>11206730159</v>
      </c>
      <c r="D7409" t="str">
        <f t="shared" si="601"/>
        <v>11206730159</v>
      </c>
      <c r="E7409" t="s">
        <v>52</v>
      </c>
      <c r="F7409">
        <v>2014</v>
      </c>
      <c r="G7409">
        <v>71043899</v>
      </c>
      <c r="H7409" s="1">
        <v>41669</v>
      </c>
      <c r="I7409" s="1">
        <v>41673</v>
      </c>
      <c r="J7409" s="1">
        <v>41673</v>
      </c>
      <c r="K7409" s="1">
        <v>41763</v>
      </c>
      <c r="N7409" s="5"/>
      <c r="O7409" s="2">
        <v>1237.5999999999999</v>
      </c>
      <c r="P7409">
        <v>276</v>
      </c>
      <c r="Q7409" s="2">
        <v>341577.6</v>
      </c>
      <c r="R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 s="1">
        <v>42382</v>
      </c>
      <c r="AC7409" t="s">
        <v>53</v>
      </c>
      <c r="AD7409" t="s">
        <v>53</v>
      </c>
      <c r="AK7409">
        <v>0</v>
      </c>
      <c r="AU7409" s="6">
        <v>42039</v>
      </c>
      <c r="AV7409" s="6">
        <v>42039</v>
      </c>
      <c r="AW7409" t="s">
        <v>54</v>
      </c>
      <c r="AX7409" t="str">
        <f t="shared" si="598"/>
        <v>FOR</v>
      </c>
      <c r="AY7409" t="s">
        <v>55</v>
      </c>
    </row>
    <row r="7410" spans="1:51" hidden="1">
      <c r="A7410">
        <v>104195</v>
      </c>
      <c r="B7410" t="s">
        <v>1247</v>
      </c>
      <c r="C7410" t="str">
        <f t="shared" si="601"/>
        <v>11206730159</v>
      </c>
      <c r="D7410" t="str">
        <f t="shared" si="601"/>
        <v>11206730159</v>
      </c>
      <c r="E7410" t="s">
        <v>52</v>
      </c>
      <c r="F7410">
        <v>2014</v>
      </c>
      <c r="G7410">
        <v>71047139</v>
      </c>
      <c r="H7410" s="1">
        <v>41680</v>
      </c>
      <c r="I7410" s="1">
        <v>41684</v>
      </c>
      <c r="J7410" s="1">
        <v>41684</v>
      </c>
      <c r="K7410" s="1">
        <v>41774</v>
      </c>
      <c r="N7410" s="5"/>
      <c r="O7410">
        <v>894.4</v>
      </c>
      <c r="P7410">
        <v>263</v>
      </c>
      <c r="Q7410" s="2">
        <v>235227.2</v>
      </c>
      <c r="R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 s="1">
        <v>42382</v>
      </c>
      <c r="AC7410" t="s">
        <v>53</v>
      </c>
      <c r="AD7410" t="s">
        <v>53</v>
      </c>
      <c r="AK7410">
        <v>0</v>
      </c>
      <c r="AU7410" s="6">
        <v>42037</v>
      </c>
      <c r="AV7410" s="6">
        <v>42037</v>
      </c>
      <c r="AW7410" t="s">
        <v>54</v>
      </c>
      <c r="AX7410" t="str">
        <f t="shared" si="598"/>
        <v>FOR</v>
      </c>
      <c r="AY7410" t="s">
        <v>55</v>
      </c>
    </row>
    <row r="7411" spans="1:51" hidden="1">
      <c r="A7411">
        <v>104195</v>
      </c>
      <c r="B7411" t="s">
        <v>1247</v>
      </c>
      <c r="C7411" t="str">
        <f t="shared" si="601"/>
        <v>11206730159</v>
      </c>
      <c r="D7411" t="str">
        <f t="shared" si="601"/>
        <v>11206730159</v>
      </c>
      <c r="E7411" t="s">
        <v>52</v>
      </c>
      <c r="F7411">
        <v>2014</v>
      </c>
      <c r="G7411">
        <v>71047140</v>
      </c>
      <c r="H7411" s="1">
        <v>41680</v>
      </c>
      <c r="I7411" s="1">
        <v>41684</v>
      </c>
      <c r="J7411" s="1">
        <v>41684</v>
      </c>
      <c r="K7411" s="1">
        <v>41774</v>
      </c>
      <c r="N7411" s="5"/>
      <c r="O7411">
        <v>183</v>
      </c>
      <c r="P7411">
        <v>263</v>
      </c>
      <c r="Q7411" s="2">
        <v>48129</v>
      </c>
      <c r="R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 s="1">
        <v>42382</v>
      </c>
      <c r="AC7411" t="s">
        <v>53</v>
      </c>
      <c r="AD7411" t="s">
        <v>53</v>
      </c>
      <c r="AK7411">
        <v>0</v>
      </c>
      <c r="AU7411" s="6">
        <v>42037</v>
      </c>
      <c r="AV7411" s="6">
        <v>42037</v>
      </c>
      <c r="AW7411" t="s">
        <v>54</v>
      </c>
      <c r="AX7411" t="str">
        <f t="shared" si="598"/>
        <v>FOR</v>
      </c>
      <c r="AY7411" t="s">
        <v>55</v>
      </c>
    </row>
    <row r="7412" spans="1:51" hidden="1">
      <c r="A7412">
        <v>104195</v>
      </c>
      <c r="B7412" t="s">
        <v>1247</v>
      </c>
      <c r="C7412" t="str">
        <f t="shared" si="601"/>
        <v>11206730159</v>
      </c>
      <c r="D7412" t="str">
        <f t="shared" si="601"/>
        <v>11206730159</v>
      </c>
      <c r="E7412" t="s">
        <v>52</v>
      </c>
      <c r="F7412">
        <v>2014</v>
      </c>
      <c r="G7412">
        <v>71047608</v>
      </c>
      <c r="H7412" s="1">
        <v>41681</v>
      </c>
      <c r="I7412" s="1">
        <v>41689</v>
      </c>
      <c r="J7412" s="1">
        <v>41689</v>
      </c>
      <c r="K7412" s="1">
        <v>41779</v>
      </c>
      <c r="N7412" s="5"/>
      <c r="O7412">
        <v>183</v>
      </c>
      <c r="P7412">
        <v>258</v>
      </c>
      <c r="Q7412" s="2">
        <v>47214</v>
      </c>
      <c r="R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 s="1">
        <v>42382</v>
      </c>
      <c r="AC7412" t="s">
        <v>53</v>
      </c>
      <c r="AD7412" t="s">
        <v>53</v>
      </c>
      <c r="AK7412">
        <v>0</v>
      </c>
      <c r="AU7412" s="6">
        <v>42037</v>
      </c>
      <c r="AV7412" s="6">
        <v>42037</v>
      </c>
      <c r="AW7412" t="s">
        <v>54</v>
      </c>
      <c r="AX7412" t="str">
        <f t="shared" si="598"/>
        <v>FOR</v>
      </c>
      <c r="AY7412" t="s">
        <v>55</v>
      </c>
    </row>
    <row r="7413" spans="1:51" hidden="1">
      <c r="A7413">
        <v>104195</v>
      </c>
      <c r="B7413" t="s">
        <v>1247</v>
      </c>
      <c r="C7413" t="str">
        <f t="shared" si="601"/>
        <v>11206730159</v>
      </c>
      <c r="D7413" t="str">
        <f t="shared" si="601"/>
        <v>11206730159</v>
      </c>
      <c r="E7413" t="s">
        <v>52</v>
      </c>
      <c r="F7413">
        <v>2014</v>
      </c>
      <c r="G7413">
        <v>71048894</v>
      </c>
      <c r="H7413" s="1">
        <v>41684</v>
      </c>
      <c r="I7413" s="1">
        <v>41689</v>
      </c>
      <c r="J7413" s="1">
        <v>41689</v>
      </c>
      <c r="K7413" s="1">
        <v>41779</v>
      </c>
      <c r="N7413" s="5"/>
      <c r="O7413">
        <v>894.4</v>
      </c>
      <c r="P7413">
        <v>258</v>
      </c>
      <c r="Q7413" s="2">
        <v>230755.20000000001</v>
      </c>
      <c r="R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 s="1">
        <v>42382</v>
      </c>
      <c r="AC7413" t="s">
        <v>53</v>
      </c>
      <c r="AD7413" t="s">
        <v>53</v>
      </c>
      <c r="AK7413">
        <v>0</v>
      </c>
      <c r="AU7413" s="6">
        <v>42037</v>
      </c>
      <c r="AV7413" s="6">
        <v>42037</v>
      </c>
      <c r="AW7413" t="s">
        <v>54</v>
      </c>
      <c r="AX7413" t="str">
        <f t="shared" si="598"/>
        <v>FOR</v>
      </c>
      <c r="AY7413" t="s">
        <v>55</v>
      </c>
    </row>
    <row r="7414" spans="1:51" hidden="1">
      <c r="A7414">
        <v>104195</v>
      </c>
      <c r="B7414" t="s">
        <v>1247</v>
      </c>
      <c r="C7414" t="str">
        <f t="shared" si="601"/>
        <v>11206730159</v>
      </c>
      <c r="D7414" t="str">
        <f t="shared" si="601"/>
        <v>11206730159</v>
      </c>
      <c r="E7414" t="s">
        <v>52</v>
      </c>
      <c r="F7414">
        <v>2014</v>
      </c>
      <c r="G7414">
        <v>71048895</v>
      </c>
      <c r="H7414" s="1">
        <v>41684</v>
      </c>
      <c r="I7414" s="1">
        <v>41689</v>
      </c>
      <c r="J7414" s="1">
        <v>41689</v>
      </c>
      <c r="K7414" s="1">
        <v>41779</v>
      </c>
      <c r="N7414" s="5"/>
      <c r="O7414">
        <v>183</v>
      </c>
      <c r="P7414">
        <v>258</v>
      </c>
      <c r="Q7414" s="2">
        <v>47214</v>
      </c>
      <c r="R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 s="1">
        <v>42382</v>
      </c>
      <c r="AC7414" t="s">
        <v>53</v>
      </c>
      <c r="AD7414" t="s">
        <v>53</v>
      </c>
      <c r="AK7414">
        <v>0</v>
      </c>
      <c r="AU7414" s="6">
        <v>42037</v>
      </c>
      <c r="AV7414" s="6">
        <v>42037</v>
      </c>
      <c r="AW7414" t="s">
        <v>54</v>
      </c>
      <c r="AX7414" t="str">
        <f t="shared" si="598"/>
        <v>FOR</v>
      </c>
      <c r="AY7414" t="s">
        <v>55</v>
      </c>
    </row>
    <row r="7415" spans="1:51" hidden="1">
      <c r="A7415">
        <v>104195</v>
      </c>
      <c r="B7415" t="s">
        <v>1247</v>
      </c>
      <c r="C7415" t="str">
        <f t="shared" si="601"/>
        <v>11206730159</v>
      </c>
      <c r="D7415" t="str">
        <f t="shared" si="601"/>
        <v>11206730159</v>
      </c>
      <c r="E7415" t="s">
        <v>52</v>
      </c>
      <c r="F7415">
        <v>2014</v>
      </c>
      <c r="G7415">
        <v>71049836</v>
      </c>
      <c r="H7415" s="1">
        <v>41688</v>
      </c>
      <c r="I7415" s="1">
        <v>41697</v>
      </c>
      <c r="J7415" s="1">
        <v>41697</v>
      </c>
      <c r="K7415" s="1">
        <v>41787</v>
      </c>
      <c r="N7415" s="5"/>
      <c r="O7415" s="2">
        <v>6087.8</v>
      </c>
      <c r="P7415">
        <v>250</v>
      </c>
      <c r="Q7415" s="2">
        <v>1521950</v>
      </c>
      <c r="R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 s="1">
        <v>42382</v>
      </c>
      <c r="AC7415" t="s">
        <v>53</v>
      </c>
      <c r="AD7415" t="s">
        <v>53</v>
      </c>
      <c r="AK7415">
        <v>0</v>
      </c>
      <c r="AU7415" s="6">
        <v>42037</v>
      </c>
      <c r="AV7415" s="6">
        <v>42037</v>
      </c>
      <c r="AW7415" t="s">
        <v>54</v>
      </c>
      <c r="AX7415" t="str">
        <f t="shared" si="598"/>
        <v>FOR</v>
      </c>
      <c r="AY7415" t="s">
        <v>55</v>
      </c>
    </row>
    <row r="7416" spans="1:51" hidden="1">
      <c r="A7416">
        <v>104195</v>
      </c>
      <c r="B7416" t="s">
        <v>1247</v>
      </c>
      <c r="C7416" t="str">
        <f t="shared" si="601"/>
        <v>11206730159</v>
      </c>
      <c r="D7416" t="str">
        <f t="shared" si="601"/>
        <v>11206730159</v>
      </c>
      <c r="E7416" t="s">
        <v>52</v>
      </c>
      <c r="F7416">
        <v>2014</v>
      </c>
      <c r="G7416">
        <v>71054957</v>
      </c>
      <c r="H7416" s="1">
        <v>41703</v>
      </c>
      <c r="I7416" s="1">
        <v>41711</v>
      </c>
      <c r="J7416" s="1">
        <v>41711</v>
      </c>
      <c r="K7416" s="1">
        <v>41801</v>
      </c>
      <c r="N7416" s="5"/>
      <c r="O7416">
        <v>915</v>
      </c>
      <c r="P7416">
        <v>274</v>
      </c>
      <c r="Q7416" s="2">
        <v>250710</v>
      </c>
      <c r="R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 s="1">
        <v>42382</v>
      </c>
      <c r="AC7416" t="s">
        <v>53</v>
      </c>
      <c r="AD7416" t="s">
        <v>53</v>
      </c>
      <c r="AK7416">
        <v>0</v>
      </c>
      <c r="AU7416" s="6">
        <v>42075</v>
      </c>
      <c r="AV7416" s="6">
        <v>42075</v>
      </c>
      <c r="AW7416" t="s">
        <v>54</v>
      </c>
      <c r="AX7416" t="str">
        <f t="shared" si="598"/>
        <v>FOR</v>
      </c>
      <c r="AY7416" t="s">
        <v>55</v>
      </c>
    </row>
    <row r="7417" spans="1:51" hidden="1">
      <c r="A7417">
        <v>104195</v>
      </c>
      <c r="B7417" t="s">
        <v>1247</v>
      </c>
      <c r="C7417" t="str">
        <f t="shared" si="601"/>
        <v>11206730159</v>
      </c>
      <c r="D7417" t="str">
        <f t="shared" si="601"/>
        <v>11206730159</v>
      </c>
      <c r="E7417" t="s">
        <v>52</v>
      </c>
      <c r="F7417">
        <v>2014</v>
      </c>
      <c r="G7417">
        <v>71054958</v>
      </c>
      <c r="H7417" s="1">
        <v>41703</v>
      </c>
      <c r="I7417" s="1">
        <v>41711</v>
      </c>
      <c r="J7417" s="1">
        <v>41711</v>
      </c>
      <c r="K7417" s="1">
        <v>41801</v>
      </c>
      <c r="N7417" s="5"/>
      <c r="O7417">
        <v>915</v>
      </c>
      <c r="P7417">
        <v>274</v>
      </c>
      <c r="Q7417" s="2">
        <v>250710</v>
      </c>
      <c r="R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 s="1">
        <v>42382</v>
      </c>
      <c r="AC7417" t="s">
        <v>53</v>
      </c>
      <c r="AD7417" t="s">
        <v>53</v>
      </c>
      <c r="AK7417">
        <v>0</v>
      </c>
      <c r="AU7417" s="6">
        <v>42075</v>
      </c>
      <c r="AV7417" s="6">
        <v>42075</v>
      </c>
      <c r="AW7417" t="s">
        <v>54</v>
      </c>
      <c r="AX7417" t="str">
        <f t="shared" si="598"/>
        <v>FOR</v>
      </c>
      <c r="AY7417" t="s">
        <v>55</v>
      </c>
    </row>
    <row r="7418" spans="1:51" hidden="1">
      <c r="A7418">
        <v>104195</v>
      </c>
      <c r="B7418" t="s">
        <v>1247</v>
      </c>
      <c r="C7418" t="str">
        <f t="shared" si="601"/>
        <v>11206730159</v>
      </c>
      <c r="D7418" t="str">
        <f t="shared" si="601"/>
        <v>11206730159</v>
      </c>
      <c r="E7418" t="s">
        <v>52</v>
      </c>
      <c r="F7418">
        <v>2014</v>
      </c>
      <c r="G7418">
        <v>71058575</v>
      </c>
      <c r="H7418" s="1">
        <v>41715</v>
      </c>
      <c r="I7418" s="1">
        <v>41719</v>
      </c>
      <c r="J7418" s="1">
        <v>41719</v>
      </c>
      <c r="K7418" s="1">
        <v>41809</v>
      </c>
      <c r="N7418" s="5"/>
      <c r="O7418" s="2">
        <v>4026</v>
      </c>
      <c r="P7418">
        <v>266</v>
      </c>
      <c r="Q7418" s="2">
        <v>1070916</v>
      </c>
      <c r="R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 s="1">
        <v>42382</v>
      </c>
      <c r="AC7418" t="s">
        <v>53</v>
      </c>
      <c r="AD7418" t="s">
        <v>53</v>
      </c>
      <c r="AK7418">
        <v>0</v>
      </c>
      <c r="AU7418" s="6">
        <v>42075</v>
      </c>
      <c r="AV7418" s="6">
        <v>42075</v>
      </c>
      <c r="AW7418" t="s">
        <v>54</v>
      </c>
      <c r="AX7418" t="str">
        <f t="shared" si="598"/>
        <v>FOR</v>
      </c>
      <c r="AY7418" t="s">
        <v>55</v>
      </c>
    </row>
    <row r="7419" spans="1:51" hidden="1">
      <c r="A7419">
        <v>104195</v>
      </c>
      <c r="B7419" t="s">
        <v>1247</v>
      </c>
      <c r="C7419" t="str">
        <f t="shared" si="601"/>
        <v>11206730159</v>
      </c>
      <c r="D7419" t="str">
        <f t="shared" si="601"/>
        <v>11206730159</v>
      </c>
      <c r="E7419" t="s">
        <v>52</v>
      </c>
      <c r="F7419">
        <v>2014</v>
      </c>
      <c r="G7419">
        <v>71058987</v>
      </c>
      <c r="H7419" s="1">
        <v>41716</v>
      </c>
      <c r="I7419" s="1">
        <v>41719</v>
      </c>
      <c r="J7419" s="1">
        <v>41719</v>
      </c>
      <c r="K7419" s="1">
        <v>41809</v>
      </c>
      <c r="N7419" s="5"/>
      <c r="O7419" s="2">
        <v>1878.8</v>
      </c>
      <c r="P7419">
        <v>266</v>
      </c>
      <c r="Q7419" s="2">
        <v>499760.8</v>
      </c>
      <c r="R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 s="1">
        <v>42382</v>
      </c>
      <c r="AC7419" t="s">
        <v>53</v>
      </c>
      <c r="AD7419" t="s">
        <v>53</v>
      </c>
      <c r="AK7419">
        <v>0</v>
      </c>
      <c r="AU7419" s="6">
        <v>42075</v>
      </c>
      <c r="AV7419" s="6">
        <v>42075</v>
      </c>
      <c r="AW7419" t="s">
        <v>54</v>
      </c>
      <c r="AX7419" t="str">
        <f t="shared" si="598"/>
        <v>FOR</v>
      </c>
      <c r="AY7419" t="s">
        <v>55</v>
      </c>
    </row>
    <row r="7420" spans="1:51" hidden="1">
      <c r="A7420">
        <v>104195</v>
      </c>
      <c r="B7420" t="s">
        <v>1247</v>
      </c>
      <c r="C7420" t="str">
        <f t="shared" si="601"/>
        <v>11206730159</v>
      </c>
      <c r="D7420" t="str">
        <f t="shared" si="601"/>
        <v>11206730159</v>
      </c>
      <c r="E7420" t="s">
        <v>52</v>
      </c>
      <c r="F7420">
        <v>2014</v>
      </c>
      <c r="G7420">
        <v>71060263</v>
      </c>
      <c r="H7420" s="1">
        <v>41719</v>
      </c>
      <c r="I7420" s="1">
        <v>41725</v>
      </c>
      <c r="J7420" s="1">
        <v>41725</v>
      </c>
      <c r="K7420" s="1">
        <v>41815</v>
      </c>
      <c r="N7420" s="5"/>
      <c r="O7420" s="2">
        <v>1073.5999999999999</v>
      </c>
      <c r="P7420">
        <v>260</v>
      </c>
      <c r="Q7420" s="2">
        <v>279136</v>
      </c>
      <c r="R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 s="1">
        <v>42382</v>
      </c>
      <c r="AC7420" t="s">
        <v>53</v>
      </c>
      <c r="AD7420" t="s">
        <v>53</v>
      </c>
      <c r="AK7420">
        <v>0</v>
      </c>
      <c r="AU7420" s="6">
        <v>42075</v>
      </c>
      <c r="AV7420" s="6">
        <v>42075</v>
      </c>
      <c r="AW7420" t="s">
        <v>54</v>
      </c>
      <c r="AX7420" t="str">
        <f t="shared" si="598"/>
        <v>FOR</v>
      </c>
      <c r="AY7420" t="s">
        <v>55</v>
      </c>
    </row>
    <row r="7421" spans="1:51" hidden="1">
      <c r="A7421">
        <v>104195</v>
      </c>
      <c r="B7421" t="s">
        <v>1247</v>
      </c>
      <c r="C7421" t="str">
        <f t="shared" si="601"/>
        <v>11206730159</v>
      </c>
      <c r="D7421" t="str">
        <f t="shared" si="601"/>
        <v>11206730159</v>
      </c>
      <c r="E7421" t="s">
        <v>52</v>
      </c>
      <c r="F7421">
        <v>2014</v>
      </c>
      <c r="G7421">
        <v>71060806</v>
      </c>
      <c r="H7421" s="1">
        <v>41722</v>
      </c>
      <c r="I7421" s="1">
        <v>41725</v>
      </c>
      <c r="J7421" s="1">
        <v>41725</v>
      </c>
      <c r="K7421" s="1">
        <v>41815</v>
      </c>
      <c r="N7421" s="5"/>
      <c r="O7421">
        <v>894.4</v>
      </c>
      <c r="P7421">
        <v>260</v>
      </c>
      <c r="Q7421" s="2">
        <v>232544</v>
      </c>
      <c r="R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 s="1">
        <v>42382</v>
      </c>
      <c r="AC7421" t="s">
        <v>53</v>
      </c>
      <c r="AD7421" t="s">
        <v>53</v>
      </c>
      <c r="AK7421">
        <v>0</v>
      </c>
      <c r="AU7421" s="6">
        <v>42075</v>
      </c>
      <c r="AV7421" s="6">
        <v>42075</v>
      </c>
      <c r="AW7421" t="s">
        <v>54</v>
      </c>
      <c r="AX7421" t="str">
        <f t="shared" si="598"/>
        <v>FOR</v>
      </c>
      <c r="AY7421" t="s">
        <v>55</v>
      </c>
    </row>
    <row r="7422" spans="1:51" hidden="1">
      <c r="A7422">
        <v>104195</v>
      </c>
      <c r="B7422" t="s">
        <v>1247</v>
      </c>
      <c r="C7422" t="str">
        <f t="shared" si="601"/>
        <v>11206730159</v>
      </c>
      <c r="D7422" t="str">
        <f t="shared" si="601"/>
        <v>11206730159</v>
      </c>
      <c r="E7422" t="s">
        <v>52</v>
      </c>
      <c r="F7422">
        <v>2014</v>
      </c>
      <c r="G7422">
        <v>71060807</v>
      </c>
      <c r="H7422" s="1">
        <v>41722</v>
      </c>
      <c r="I7422" s="1">
        <v>41725</v>
      </c>
      <c r="J7422" s="1">
        <v>41725</v>
      </c>
      <c r="K7422" s="1">
        <v>41815</v>
      </c>
      <c r="N7422" s="5"/>
      <c r="O7422">
        <v>183</v>
      </c>
      <c r="P7422">
        <v>260</v>
      </c>
      <c r="Q7422" s="2">
        <v>47580</v>
      </c>
      <c r="R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 s="1">
        <v>42382</v>
      </c>
      <c r="AC7422" t="s">
        <v>53</v>
      </c>
      <c r="AD7422" t="s">
        <v>53</v>
      </c>
      <c r="AK7422">
        <v>0</v>
      </c>
      <c r="AU7422" s="6">
        <v>42075</v>
      </c>
      <c r="AV7422" s="6">
        <v>42075</v>
      </c>
      <c r="AW7422" t="s">
        <v>54</v>
      </c>
      <c r="AX7422" t="str">
        <f t="shared" si="598"/>
        <v>FOR</v>
      </c>
      <c r="AY7422" t="s">
        <v>55</v>
      </c>
    </row>
    <row r="7423" spans="1:51" hidden="1">
      <c r="A7423">
        <v>104195</v>
      </c>
      <c r="B7423" t="s">
        <v>1247</v>
      </c>
      <c r="C7423" t="str">
        <f t="shared" si="601"/>
        <v>11206730159</v>
      </c>
      <c r="D7423" t="str">
        <f t="shared" si="601"/>
        <v>11206730159</v>
      </c>
      <c r="E7423" t="s">
        <v>52</v>
      </c>
      <c r="F7423">
        <v>2014</v>
      </c>
      <c r="G7423">
        <v>71061723</v>
      </c>
      <c r="H7423" s="1">
        <v>41724</v>
      </c>
      <c r="I7423" s="1">
        <v>41731</v>
      </c>
      <c r="J7423" s="1">
        <v>41731</v>
      </c>
      <c r="K7423" s="1">
        <v>41821</v>
      </c>
      <c r="N7423" s="5"/>
      <c r="O7423" s="2">
        <v>1610.4</v>
      </c>
      <c r="P7423">
        <v>275</v>
      </c>
      <c r="Q7423" s="2">
        <v>442860</v>
      </c>
      <c r="R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 s="1">
        <v>42382</v>
      </c>
      <c r="AC7423" t="s">
        <v>53</v>
      </c>
      <c r="AD7423" t="s">
        <v>53</v>
      </c>
      <c r="AK7423">
        <v>0</v>
      </c>
      <c r="AU7423" s="6">
        <v>42096</v>
      </c>
      <c r="AV7423" s="6">
        <v>42096</v>
      </c>
      <c r="AW7423" t="s">
        <v>54</v>
      </c>
      <c r="AX7423" t="str">
        <f t="shared" si="598"/>
        <v>FOR</v>
      </c>
      <c r="AY7423" t="s">
        <v>55</v>
      </c>
    </row>
    <row r="7424" spans="1:51" hidden="1">
      <c r="A7424">
        <v>104195</v>
      </c>
      <c r="B7424" t="s">
        <v>1247</v>
      </c>
      <c r="C7424" t="str">
        <f t="shared" si="601"/>
        <v>11206730159</v>
      </c>
      <c r="D7424" t="str">
        <f t="shared" si="601"/>
        <v>11206730159</v>
      </c>
      <c r="E7424" t="s">
        <v>52</v>
      </c>
      <c r="F7424">
        <v>2014</v>
      </c>
      <c r="G7424">
        <v>71064088</v>
      </c>
      <c r="H7424" s="1">
        <v>41731</v>
      </c>
      <c r="I7424" s="1">
        <v>41737</v>
      </c>
      <c r="J7424" s="1">
        <v>41737</v>
      </c>
      <c r="K7424" s="1">
        <v>41827</v>
      </c>
      <c r="N7424" s="5"/>
      <c r="O7424">
        <v>391.32</v>
      </c>
      <c r="P7424">
        <v>269</v>
      </c>
      <c r="Q7424" s="2">
        <v>105265.08</v>
      </c>
      <c r="R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 s="1">
        <v>42382</v>
      </c>
      <c r="AC7424" t="s">
        <v>53</v>
      </c>
      <c r="AD7424" t="s">
        <v>53</v>
      </c>
      <c r="AK7424">
        <v>0</v>
      </c>
      <c r="AU7424" s="6">
        <v>42096</v>
      </c>
      <c r="AV7424" s="6">
        <v>42096</v>
      </c>
      <c r="AW7424" t="s">
        <v>54</v>
      </c>
      <c r="AX7424" t="str">
        <f t="shared" si="598"/>
        <v>FOR</v>
      </c>
      <c r="AY7424" t="s">
        <v>55</v>
      </c>
    </row>
    <row r="7425" spans="1:51" hidden="1">
      <c r="A7425">
        <v>104195</v>
      </c>
      <c r="B7425" t="s">
        <v>1247</v>
      </c>
      <c r="C7425" t="str">
        <f t="shared" si="601"/>
        <v>11206730159</v>
      </c>
      <c r="D7425" t="str">
        <f t="shared" si="601"/>
        <v>11206730159</v>
      </c>
      <c r="E7425" t="s">
        <v>52</v>
      </c>
      <c r="F7425">
        <v>2014</v>
      </c>
      <c r="G7425">
        <v>71064089</v>
      </c>
      <c r="H7425" s="1">
        <v>41731</v>
      </c>
      <c r="I7425" s="1">
        <v>41737</v>
      </c>
      <c r="J7425" s="1">
        <v>41737</v>
      </c>
      <c r="K7425" s="1">
        <v>41827</v>
      </c>
      <c r="N7425" s="5"/>
      <c r="O7425">
        <v>183</v>
      </c>
      <c r="P7425">
        <v>269</v>
      </c>
      <c r="Q7425" s="2">
        <v>49227</v>
      </c>
      <c r="R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 s="1">
        <v>42382</v>
      </c>
      <c r="AC7425" t="s">
        <v>53</v>
      </c>
      <c r="AD7425" t="s">
        <v>53</v>
      </c>
      <c r="AK7425">
        <v>0</v>
      </c>
      <c r="AU7425" s="6">
        <v>42096</v>
      </c>
      <c r="AV7425" s="6">
        <v>42096</v>
      </c>
      <c r="AW7425" t="s">
        <v>54</v>
      </c>
      <c r="AX7425" t="str">
        <f t="shared" si="598"/>
        <v>FOR</v>
      </c>
      <c r="AY7425" t="s">
        <v>55</v>
      </c>
    </row>
    <row r="7426" spans="1:51" hidden="1">
      <c r="A7426">
        <v>104195</v>
      </c>
      <c r="B7426" t="s">
        <v>1247</v>
      </c>
      <c r="C7426" t="str">
        <f t="shared" si="601"/>
        <v>11206730159</v>
      </c>
      <c r="D7426" t="str">
        <f t="shared" si="601"/>
        <v>11206730159</v>
      </c>
      <c r="E7426" t="s">
        <v>52</v>
      </c>
      <c r="F7426">
        <v>2014</v>
      </c>
      <c r="G7426">
        <v>71064893</v>
      </c>
      <c r="H7426" s="1">
        <v>41733</v>
      </c>
      <c r="I7426" s="1">
        <v>41739</v>
      </c>
      <c r="J7426" s="1">
        <v>41739</v>
      </c>
      <c r="K7426" s="1">
        <v>41829</v>
      </c>
      <c r="N7426" s="5"/>
      <c r="O7426">
        <v>183</v>
      </c>
      <c r="P7426">
        <v>267</v>
      </c>
      <c r="Q7426" s="2">
        <v>48861</v>
      </c>
      <c r="R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 s="1">
        <v>42382</v>
      </c>
      <c r="AC7426" t="s">
        <v>53</v>
      </c>
      <c r="AD7426" t="s">
        <v>53</v>
      </c>
      <c r="AK7426">
        <v>0</v>
      </c>
      <c r="AU7426" s="6">
        <v>42096</v>
      </c>
      <c r="AV7426" s="6">
        <v>42096</v>
      </c>
      <c r="AW7426" t="s">
        <v>54</v>
      </c>
      <c r="AX7426" t="str">
        <f t="shared" si="598"/>
        <v>FOR</v>
      </c>
      <c r="AY7426" t="s">
        <v>55</v>
      </c>
    </row>
    <row r="7427" spans="1:51" hidden="1">
      <c r="A7427">
        <v>104195</v>
      </c>
      <c r="B7427" t="s">
        <v>1247</v>
      </c>
      <c r="C7427" t="str">
        <f t="shared" si="601"/>
        <v>11206730159</v>
      </c>
      <c r="D7427" t="str">
        <f t="shared" si="601"/>
        <v>11206730159</v>
      </c>
      <c r="E7427" t="s">
        <v>52</v>
      </c>
      <c r="F7427">
        <v>2014</v>
      </c>
      <c r="G7427">
        <v>71064894</v>
      </c>
      <c r="H7427" s="1">
        <v>41733</v>
      </c>
      <c r="I7427" s="1">
        <v>41739</v>
      </c>
      <c r="J7427" s="1">
        <v>41739</v>
      </c>
      <c r="K7427" s="1">
        <v>41829</v>
      </c>
      <c r="N7427" s="5"/>
      <c r="O7427">
        <v>894.4</v>
      </c>
      <c r="P7427">
        <v>267</v>
      </c>
      <c r="Q7427" s="2">
        <v>238804.8</v>
      </c>
      <c r="R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 s="1">
        <v>42382</v>
      </c>
      <c r="AC7427" t="s">
        <v>53</v>
      </c>
      <c r="AD7427" t="s">
        <v>53</v>
      </c>
      <c r="AK7427">
        <v>0</v>
      </c>
      <c r="AU7427" s="6">
        <v>42096</v>
      </c>
      <c r="AV7427" s="6">
        <v>42096</v>
      </c>
      <c r="AW7427" t="s">
        <v>54</v>
      </c>
      <c r="AX7427" t="str">
        <f t="shared" ref="AX7427:AX7490" si="602">"FOR"</f>
        <v>FOR</v>
      </c>
      <c r="AY7427" t="s">
        <v>55</v>
      </c>
    </row>
    <row r="7428" spans="1:51" hidden="1">
      <c r="A7428">
        <v>104195</v>
      </c>
      <c r="B7428" t="s">
        <v>1247</v>
      </c>
      <c r="C7428" t="str">
        <f t="shared" ref="C7428:D7447" si="603">"11206730159"</f>
        <v>11206730159</v>
      </c>
      <c r="D7428" t="str">
        <f t="shared" si="603"/>
        <v>11206730159</v>
      </c>
      <c r="E7428" t="s">
        <v>52</v>
      </c>
      <c r="F7428">
        <v>2014</v>
      </c>
      <c r="G7428">
        <v>71067136</v>
      </c>
      <c r="H7428" s="1">
        <v>41740</v>
      </c>
      <c r="I7428" s="1">
        <v>41746</v>
      </c>
      <c r="J7428" s="1">
        <v>41746</v>
      </c>
      <c r="K7428" s="1">
        <v>41836</v>
      </c>
      <c r="N7428" s="5"/>
      <c r="O7428" s="2">
        <v>4139.2</v>
      </c>
      <c r="P7428">
        <v>260</v>
      </c>
      <c r="Q7428" s="2">
        <v>1076192</v>
      </c>
      <c r="R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 s="1">
        <v>42382</v>
      </c>
      <c r="AC7428" t="s">
        <v>53</v>
      </c>
      <c r="AD7428" t="s">
        <v>53</v>
      </c>
      <c r="AK7428">
        <v>0</v>
      </c>
      <c r="AU7428" s="6">
        <v>42096</v>
      </c>
      <c r="AV7428" s="6">
        <v>42096</v>
      </c>
      <c r="AW7428" t="s">
        <v>54</v>
      </c>
      <c r="AX7428" t="str">
        <f t="shared" si="602"/>
        <v>FOR</v>
      </c>
      <c r="AY7428" t="s">
        <v>55</v>
      </c>
    </row>
    <row r="7429" spans="1:51" hidden="1">
      <c r="A7429">
        <v>104195</v>
      </c>
      <c r="B7429" t="s">
        <v>1247</v>
      </c>
      <c r="C7429" t="str">
        <f t="shared" si="603"/>
        <v>11206730159</v>
      </c>
      <c r="D7429" t="str">
        <f t="shared" si="603"/>
        <v>11206730159</v>
      </c>
      <c r="E7429" t="s">
        <v>52</v>
      </c>
      <c r="F7429">
        <v>2014</v>
      </c>
      <c r="G7429">
        <v>71072968</v>
      </c>
      <c r="H7429" s="1">
        <v>41764</v>
      </c>
      <c r="I7429" s="1">
        <v>41768</v>
      </c>
      <c r="J7429" s="1">
        <v>41768</v>
      </c>
      <c r="K7429" s="1">
        <v>41858</v>
      </c>
      <c r="N7429" s="5"/>
      <c r="O7429">
        <v>183</v>
      </c>
      <c r="P7429">
        <v>272</v>
      </c>
      <c r="Q7429" s="2">
        <v>49776</v>
      </c>
      <c r="R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 s="1">
        <v>42382</v>
      </c>
      <c r="AC7429" t="s">
        <v>53</v>
      </c>
      <c r="AD7429" t="s">
        <v>53</v>
      </c>
      <c r="AK7429">
        <v>0</v>
      </c>
      <c r="AU7429" s="6">
        <v>42130</v>
      </c>
      <c r="AV7429" s="6">
        <v>42130</v>
      </c>
      <c r="AW7429" t="s">
        <v>54</v>
      </c>
      <c r="AX7429" t="str">
        <f t="shared" si="602"/>
        <v>FOR</v>
      </c>
      <c r="AY7429" t="s">
        <v>55</v>
      </c>
    </row>
    <row r="7430" spans="1:51" hidden="1">
      <c r="A7430">
        <v>104195</v>
      </c>
      <c r="B7430" t="s">
        <v>1247</v>
      </c>
      <c r="C7430" t="str">
        <f t="shared" si="603"/>
        <v>11206730159</v>
      </c>
      <c r="D7430" t="str">
        <f t="shared" si="603"/>
        <v>11206730159</v>
      </c>
      <c r="E7430" t="s">
        <v>52</v>
      </c>
      <c r="F7430">
        <v>2014</v>
      </c>
      <c r="G7430">
        <v>71072969</v>
      </c>
      <c r="H7430" s="1">
        <v>41764</v>
      </c>
      <c r="I7430" s="1">
        <v>41768</v>
      </c>
      <c r="J7430" s="1">
        <v>41768</v>
      </c>
      <c r="K7430" s="1">
        <v>41858</v>
      </c>
      <c r="N7430" s="5"/>
      <c r="O7430">
        <v>894.4</v>
      </c>
      <c r="P7430">
        <v>272</v>
      </c>
      <c r="Q7430" s="2">
        <v>243276.79999999999</v>
      </c>
      <c r="R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 s="1">
        <v>42382</v>
      </c>
      <c r="AC7430" t="s">
        <v>53</v>
      </c>
      <c r="AD7430" t="s">
        <v>53</v>
      </c>
      <c r="AK7430">
        <v>0</v>
      </c>
      <c r="AU7430" s="6">
        <v>42130</v>
      </c>
      <c r="AV7430" s="6">
        <v>42130</v>
      </c>
      <c r="AW7430" t="s">
        <v>54</v>
      </c>
      <c r="AX7430" t="str">
        <f t="shared" si="602"/>
        <v>FOR</v>
      </c>
      <c r="AY7430" t="s">
        <v>55</v>
      </c>
    </row>
    <row r="7431" spans="1:51" hidden="1">
      <c r="A7431">
        <v>104195</v>
      </c>
      <c r="B7431" t="s">
        <v>1247</v>
      </c>
      <c r="C7431" t="str">
        <f t="shared" si="603"/>
        <v>11206730159</v>
      </c>
      <c r="D7431" t="str">
        <f t="shared" si="603"/>
        <v>11206730159</v>
      </c>
      <c r="E7431" t="s">
        <v>52</v>
      </c>
      <c r="F7431">
        <v>2014</v>
      </c>
      <c r="G7431">
        <v>71080677</v>
      </c>
      <c r="H7431" s="1">
        <v>41788</v>
      </c>
      <c r="I7431" s="1">
        <v>41795</v>
      </c>
      <c r="J7431" s="1">
        <v>41795</v>
      </c>
      <c r="K7431" s="1">
        <v>41885</v>
      </c>
      <c r="N7431" s="5"/>
      <c r="O7431">
        <v>183</v>
      </c>
      <c r="P7431">
        <v>245</v>
      </c>
      <c r="Q7431" s="2">
        <v>44835</v>
      </c>
      <c r="R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 s="1">
        <v>42382</v>
      </c>
      <c r="AC7431" t="s">
        <v>53</v>
      </c>
      <c r="AD7431" t="s">
        <v>53</v>
      </c>
      <c r="AK7431">
        <v>0</v>
      </c>
      <c r="AU7431" s="6">
        <v>42130</v>
      </c>
      <c r="AV7431" s="6">
        <v>42130</v>
      </c>
      <c r="AW7431" t="s">
        <v>54</v>
      </c>
      <c r="AX7431" t="str">
        <f t="shared" si="602"/>
        <v>FOR</v>
      </c>
      <c r="AY7431" t="s">
        <v>55</v>
      </c>
    </row>
    <row r="7432" spans="1:51" hidden="1">
      <c r="A7432">
        <v>104195</v>
      </c>
      <c r="B7432" t="s">
        <v>1247</v>
      </c>
      <c r="C7432" t="str">
        <f t="shared" si="603"/>
        <v>11206730159</v>
      </c>
      <c r="D7432" t="str">
        <f t="shared" si="603"/>
        <v>11206730159</v>
      </c>
      <c r="E7432" t="s">
        <v>52</v>
      </c>
      <c r="F7432">
        <v>2014</v>
      </c>
      <c r="G7432">
        <v>71080678</v>
      </c>
      <c r="H7432" s="1">
        <v>41788</v>
      </c>
      <c r="I7432" s="1">
        <v>41795</v>
      </c>
      <c r="J7432" s="1">
        <v>41795</v>
      </c>
      <c r="K7432" s="1">
        <v>41885</v>
      </c>
      <c r="N7432" s="5"/>
      <c r="O7432">
        <v>894.4</v>
      </c>
      <c r="P7432">
        <v>245</v>
      </c>
      <c r="Q7432" s="2">
        <v>219128</v>
      </c>
      <c r="R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 s="1">
        <v>42382</v>
      </c>
      <c r="AC7432" t="s">
        <v>53</v>
      </c>
      <c r="AD7432" t="s">
        <v>53</v>
      </c>
      <c r="AK7432">
        <v>0</v>
      </c>
      <c r="AU7432" s="6">
        <v>42130</v>
      </c>
      <c r="AV7432" s="6">
        <v>42130</v>
      </c>
      <c r="AW7432" t="s">
        <v>54</v>
      </c>
      <c r="AX7432" t="str">
        <f t="shared" si="602"/>
        <v>FOR</v>
      </c>
      <c r="AY7432" t="s">
        <v>55</v>
      </c>
    </row>
    <row r="7433" spans="1:51" hidden="1">
      <c r="A7433">
        <v>104195</v>
      </c>
      <c r="B7433" t="s">
        <v>1247</v>
      </c>
      <c r="C7433" t="str">
        <f t="shared" si="603"/>
        <v>11206730159</v>
      </c>
      <c r="D7433" t="str">
        <f t="shared" si="603"/>
        <v>11206730159</v>
      </c>
      <c r="E7433" t="s">
        <v>52</v>
      </c>
      <c r="F7433">
        <v>2014</v>
      </c>
      <c r="G7433">
        <v>71080679</v>
      </c>
      <c r="H7433" s="1">
        <v>41788</v>
      </c>
      <c r="I7433" s="1">
        <v>41795</v>
      </c>
      <c r="J7433" s="1">
        <v>41795</v>
      </c>
      <c r="K7433" s="1">
        <v>41885</v>
      </c>
      <c r="N7433" s="5"/>
      <c r="O7433">
        <v>183</v>
      </c>
      <c r="P7433">
        <v>245</v>
      </c>
      <c r="Q7433" s="2">
        <v>44835</v>
      </c>
      <c r="R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 s="1">
        <v>42382</v>
      </c>
      <c r="AC7433" t="s">
        <v>53</v>
      </c>
      <c r="AD7433" t="s">
        <v>53</v>
      </c>
      <c r="AK7433">
        <v>0</v>
      </c>
      <c r="AU7433" s="6">
        <v>42130</v>
      </c>
      <c r="AV7433" s="6">
        <v>42130</v>
      </c>
      <c r="AW7433" t="s">
        <v>54</v>
      </c>
      <c r="AX7433" t="str">
        <f t="shared" si="602"/>
        <v>FOR</v>
      </c>
      <c r="AY7433" t="s">
        <v>55</v>
      </c>
    </row>
    <row r="7434" spans="1:51" hidden="1">
      <c r="A7434">
        <v>104195</v>
      </c>
      <c r="B7434" t="s">
        <v>1247</v>
      </c>
      <c r="C7434" t="str">
        <f t="shared" si="603"/>
        <v>11206730159</v>
      </c>
      <c r="D7434" t="str">
        <f t="shared" si="603"/>
        <v>11206730159</v>
      </c>
      <c r="E7434" t="s">
        <v>52</v>
      </c>
      <c r="F7434">
        <v>2014</v>
      </c>
      <c r="G7434">
        <v>71080680</v>
      </c>
      <c r="H7434" s="1">
        <v>41788</v>
      </c>
      <c r="I7434" s="1">
        <v>41795</v>
      </c>
      <c r="J7434" s="1">
        <v>41795</v>
      </c>
      <c r="K7434" s="1">
        <v>41885</v>
      </c>
      <c r="N7434" s="5"/>
      <c r="O7434">
        <v>894.4</v>
      </c>
      <c r="P7434">
        <v>245</v>
      </c>
      <c r="Q7434" s="2">
        <v>219128</v>
      </c>
      <c r="R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 s="1">
        <v>42382</v>
      </c>
      <c r="AC7434" t="s">
        <v>53</v>
      </c>
      <c r="AD7434" t="s">
        <v>53</v>
      </c>
      <c r="AK7434">
        <v>0</v>
      </c>
      <c r="AU7434" s="6">
        <v>42130</v>
      </c>
      <c r="AV7434" s="6">
        <v>42130</v>
      </c>
      <c r="AW7434" t="s">
        <v>54</v>
      </c>
      <c r="AX7434" t="str">
        <f t="shared" si="602"/>
        <v>FOR</v>
      </c>
      <c r="AY7434" t="s">
        <v>55</v>
      </c>
    </row>
    <row r="7435" spans="1:51" hidden="1">
      <c r="A7435">
        <v>104195</v>
      </c>
      <c r="B7435" t="s">
        <v>1247</v>
      </c>
      <c r="C7435" t="str">
        <f t="shared" si="603"/>
        <v>11206730159</v>
      </c>
      <c r="D7435" t="str">
        <f t="shared" si="603"/>
        <v>11206730159</v>
      </c>
      <c r="E7435" t="s">
        <v>52</v>
      </c>
      <c r="F7435">
        <v>2014</v>
      </c>
      <c r="G7435">
        <v>71080681</v>
      </c>
      <c r="H7435" s="1">
        <v>41788</v>
      </c>
      <c r="I7435" s="1">
        <v>41795</v>
      </c>
      <c r="J7435" s="1">
        <v>41795</v>
      </c>
      <c r="K7435" s="1">
        <v>41885</v>
      </c>
      <c r="N7435" s="5"/>
      <c r="O7435">
        <v>183</v>
      </c>
      <c r="P7435">
        <v>245</v>
      </c>
      <c r="Q7435" s="2">
        <v>44835</v>
      </c>
      <c r="R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 s="1">
        <v>42382</v>
      </c>
      <c r="AC7435" t="s">
        <v>53</v>
      </c>
      <c r="AD7435" t="s">
        <v>53</v>
      </c>
      <c r="AK7435">
        <v>0</v>
      </c>
      <c r="AU7435" s="6">
        <v>42130</v>
      </c>
      <c r="AV7435" s="6">
        <v>42130</v>
      </c>
      <c r="AW7435" t="s">
        <v>54</v>
      </c>
      <c r="AX7435" t="str">
        <f t="shared" si="602"/>
        <v>FOR</v>
      </c>
      <c r="AY7435" t="s">
        <v>55</v>
      </c>
    </row>
    <row r="7436" spans="1:51" hidden="1">
      <c r="A7436">
        <v>104195</v>
      </c>
      <c r="B7436" t="s">
        <v>1247</v>
      </c>
      <c r="C7436" t="str">
        <f t="shared" si="603"/>
        <v>11206730159</v>
      </c>
      <c r="D7436" t="str">
        <f t="shared" si="603"/>
        <v>11206730159</v>
      </c>
      <c r="E7436" t="s">
        <v>52</v>
      </c>
      <c r="F7436">
        <v>2014</v>
      </c>
      <c r="G7436">
        <v>71083561</v>
      </c>
      <c r="H7436" s="1">
        <v>41799</v>
      </c>
      <c r="I7436" s="1">
        <v>41802</v>
      </c>
      <c r="J7436" s="1">
        <v>41802</v>
      </c>
      <c r="K7436" s="1">
        <v>41892</v>
      </c>
      <c r="N7436" s="5"/>
      <c r="O7436">
        <v>894.4</v>
      </c>
      <c r="P7436">
        <v>266</v>
      </c>
      <c r="Q7436" s="2">
        <v>237910.39999999999</v>
      </c>
      <c r="R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 s="1">
        <v>42382</v>
      </c>
      <c r="AC7436" t="s">
        <v>53</v>
      </c>
      <c r="AD7436" t="s">
        <v>53</v>
      </c>
      <c r="AK7436">
        <v>0</v>
      </c>
      <c r="AU7436" s="6">
        <v>42158</v>
      </c>
      <c r="AV7436" s="6">
        <v>42158</v>
      </c>
      <c r="AW7436" t="s">
        <v>54</v>
      </c>
      <c r="AX7436" t="str">
        <f t="shared" si="602"/>
        <v>FOR</v>
      </c>
      <c r="AY7436" t="s">
        <v>55</v>
      </c>
    </row>
    <row r="7437" spans="1:51" hidden="1">
      <c r="A7437">
        <v>104195</v>
      </c>
      <c r="B7437" t="s">
        <v>1247</v>
      </c>
      <c r="C7437" t="str">
        <f t="shared" si="603"/>
        <v>11206730159</v>
      </c>
      <c r="D7437" t="str">
        <f t="shared" si="603"/>
        <v>11206730159</v>
      </c>
      <c r="E7437" t="s">
        <v>52</v>
      </c>
      <c r="F7437">
        <v>2014</v>
      </c>
      <c r="G7437">
        <v>71083562</v>
      </c>
      <c r="H7437" s="1">
        <v>41799</v>
      </c>
      <c r="I7437" s="1">
        <v>41802</v>
      </c>
      <c r="J7437" s="1">
        <v>41802</v>
      </c>
      <c r="K7437" s="1">
        <v>41892</v>
      </c>
      <c r="N7437" s="5"/>
      <c r="O7437">
        <v>884</v>
      </c>
      <c r="P7437">
        <v>266</v>
      </c>
      <c r="Q7437" s="2">
        <v>235144</v>
      </c>
      <c r="R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 s="1">
        <v>42382</v>
      </c>
      <c r="AC7437" t="s">
        <v>53</v>
      </c>
      <c r="AD7437" t="s">
        <v>53</v>
      </c>
      <c r="AK7437">
        <v>0</v>
      </c>
      <c r="AU7437" s="6">
        <v>42158</v>
      </c>
      <c r="AV7437" s="6">
        <v>42158</v>
      </c>
      <c r="AW7437" t="s">
        <v>54</v>
      </c>
      <c r="AX7437" t="str">
        <f t="shared" si="602"/>
        <v>FOR</v>
      </c>
      <c r="AY7437" t="s">
        <v>55</v>
      </c>
    </row>
    <row r="7438" spans="1:51" hidden="1">
      <c r="A7438">
        <v>104195</v>
      </c>
      <c r="B7438" t="s">
        <v>1247</v>
      </c>
      <c r="C7438" t="str">
        <f t="shared" si="603"/>
        <v>11206730159</v>
      </c>
      <c r="D7438" t="str">
        <f t="shared" si="603"/>
        <v>11206730159</v>
      </c>
      <c r="E7438" t="s">
        <v>52</v>
      </c>
      <c r="F7438">
        <v>2014</v>
      </c>
      <c r="G7438">
        <v>71083563</v>
      </c>
      <c r="H7438" s="1">
        <v>41799</v>
      </c>
      <c r="I7438" s="1">
        <v>41802</v>
      </c>
      <c r="J7438" s="1">
        <v>41802</v>
      </c>
      <c r="K7438" s="1">
        <v>41892</v>
      </c>
      <c r="N7438" s="5"/>
      <c r="O7438">
        <v>884</v>
      </c>
      <c r="P7438">
        <v>266</v>
      </c>
      <c r="Q7438" s="2">
        <v>235144</v>
      </c>
      <c r="R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 s="1">
        <v>42382</v>
      </c>
      <c r="AC7438" t="s">
        <v>53</v>
      </c>
      <c r="AD7438" t="s">
        <v>53</v>
      </c>
      <c r="AK7438">
        <v>0</v>
      </c>
      <c r="AU7438" s="6">
        <v>42158</v>
      </c>
      <c r="AV7438" s="6">
        <v>42158</v>
      </c>
      <c r="AW7438" t="s">
        <v>54</v>
      </c>
      <c r="AX7438" t="str">
        <f t="shared" si="602"/>
        <v>FOR</v>
      </c>
      <c r="AY7438" t="s">
        <v>55</v>
      </c>
    </row>
    <row r="7439" spans="1:51" hidden="1">
      <c r="A7439">
        <v>104195</v>
      </c>
      <c r="B7439" t="s">
        <v>1247</v>
      </c>
      <c r="C7439" t="str">
        <f t="shared" si="603"/>
        <v>11206730159</v>
      </c>
      <c r="D7439" t="str">
        <f t="shared" si="603"/>
        <v>11206730159</v>
      </c>
      <c r="E7439" t="s">
        <v>52</v>
      </c>
      <c r="F7439">
        <v>2014</v>
      </c>
      <c r="G7439">
        <v>71086685</v>
      </c>
      <c r="H7439" s="1">
        <v>41808</v>
      </c>
      <c r="I7439" s="1">
        <v>41815</v>
      </c>
      <c r="J7439" s="1">
        <v>41815</v>
      </c>
      <c r="K7439" s="1">
        <v>41905</v>
      </c>
      <c r="N7439" s="5"/>
      <c r="O7439">
        <v>183</v>
      </c>
      <c r="P7439">
        <v>253</v>
      </c>
      <c r="Q7439" s="2">
        <v>46299</v>
      </c>
      <c r="R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 s="1">
        <v>42382</v>
      </c>
      <c r="AC7439" t="s">
        <v>53</v>
      </c>
      <c r="AD7439" t="s">
        <v>53</v>
      </c>
      <c r="AK7439">
        <v>0</v>
      </c>
      <c r="AU7439" s="6">
        <v>42158</v>
      </c>
      <c r="AV7439" s="6">
        <v>42158</v>
      </c>
      <c r="AW7439" t="s">
        <v>54</v>
      </c>
      <c r="AX7439" t="str">
        <f t="shared" si="602"/>
        <v>FOR</v>
      </c>
      <c r="AY7439" t="s">
        <v>55</v>
      </c>
    </row>
    <row r="7440" spans="1:51" hidden="1">
      <c r="A7440">
        <v>104195</v>
      </c>
      <c r="B7440" t="s">
        <v>1247</v>
      </c>
      <c r="C7440" t="str">
        <f t="shared" si="603"/>
        <v>11206730159</v>
      </c>
      <c r="D7440" t="str">
        <f t="shared" si="603"/>
        <v>11206730159</v>
      </c>
      <c r="E7440" t="s">
        <v>52</v>
      </c>
      <c r="F7440">
        <v>2014</v>
      </c>
      <c r="G7440">
        <v>71086686</v>
      </c>
      <c r="H7440" s="1">
        <v>41808</v>
      </c>
      <c r="I7440" s="1">
        <v>41815</v>
      </c>
      <c r="J7440" s="1">
        <v>41815</v>
      </c>
      <c r="K7440" s="1">
        <v>41905</v>
      </c>
      <c r="N7440" s="5"/>
      <c r="O7440">
        <v>183</v>
      </c>
      <c r="P7440">
        <v>253</v>
      </c>
      <c r="Q7440" s="2">
        <v>46299</v>
      </c>
      <c r="R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 s="1">
        <v>42382</v>
      </c>
      <c r="AC7440" t="s">
        <v>53</v>
      </c>
      <c r="AD7440" t="s">
        <v>53</v>
      </c>
      <c r="AK7440">
        <v>0</v>
      </c>
      <c r="AU7440" s="6">
        <v>42158</v>
      </c>
      <c r="AV7440" s="6">
        <v>42158</v>
      </c>
      <c r="AW7440" t="s">
        <v>54</v>
      </c>
      <c r="AX7440" t="str">
        <f t="shared" si="602"/>
        <v>FOR</v>
      </c>
      <c r="AY7440" t="s">
        <v>55</v>
      </c>
    </row>
    <row r="7441" spans="1:51" hidden="1">
      <c r="A7441">
        <v>104195</v>
      </c>
      <c r="B7441" t="s">
        <v>1247</v>
      </c>
      <c r="C7441" t="str">
        <f t="shared" si="603"/>
        <v>11206730159</v>
      </c>
      <c r="D7441" t="str">
        <f t="shared" si="603"/>
        <v>11206730159</v>
      </c>
      <c r="E7441" t="s">
        <v>52</v>
      </c>
      <c r="F7441">
        <v>2014</v>
      </c>
      <c r="G7441">
        <v>71086687</v>
      </c>
      <c r="H7441" s="1">
        <v>41808</v>
      </c>
      <c r="I7441" s="1">
        <v>41815</v>
      </c>
      <c r="J7441" s="1">
        <v>41815</v>
      </c>
      <c r="K7441" s="1">
        <v>41905</v>
      </c>
      <c r="N7441" s="5"/>
      <c r="O7441">
        <v>183</v>
      </c>
      <c r="P7441">
        <v>253</v>
      </c>
      <c r="Q7441" s="2">
        <v>46299</v>
      </c>
      <c r="R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 s="1">
        <v>42382</v>
      </c>
      <c r="AC7441" t="s">
        <v>53</v>
      </c>
      <c r="AD7441" t="s">
        <v>53</v>
      </c>
      <c r="AK7441">
        <v>0</v>
      </c>
      <c r="AU7441" s="6">
        <v>42158</v>
      </c>
      <c r="AV7441" s="6">
        <v>42158</v>
      </c>
      <c r="AW7441" t="s">
        <v>54</v>
      </c>
      <c r="AX7441" t="str">
        <f t="shared" si="602"/>
        <v>FOR</v>
      </c>
      <c r="AY7441" t="s">
        <v>55</v>
      </c>
    </row>
    <row r="7442" spans="1:51" hidden="1">
      <c r="A7442">
        <v>104195</v>
      </c>
      <c r="B7442" t="s">
        <v>1247</v>
      </c>
      <c r="C7442" t="str">
        <f t="shared" si="603"/>
        <v>11206730159</v>
      </c>
      <c r="D7442" t="str">
        <f t="shared" si="603"/>
        <v>11206730159</v>
      </c>
      <c r="E7442" t="s">
        <v>52</v>
      </c>
      <c r="F7442">
        <v>2014</v>
      </c>
      <c r="G7442">
        <v>71086688</v>
      </c>
      <c r="H7442" s="1">
        <v>41808</v>
      </c>
      <c r="I7442" s="1">
        <v>41815</v>
      </c>
      <c r="J7442" s="1">
        <v>41815</v>
      </c>
      <c r="K7442" s="1">
        <v>41905</v>
      </c>
      <c r="N7442" s="5"/>
      <c r="O7442" s="2">
        <v>1144</v>
      </c>
      <c r="P7442">
        <v>253</v>
      </c>
      <c r="Q7442" s="2">
        <v>289432</v>
      </c>
      <c r="R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 s="1">
        <v>42382</v>
      </c>
      <c r="AC7442" t="s">
        <v>53</v>
      </c>
      <c r="AD7442" t="s">
        <v>53</v>
      </c>
      <c r="AK7442">
        <v>0</v>
      </c>
      <c r="AU7442" s="6">
        <v>42158</v>
      </c>
      <c r="AV7442" s="6">
        <v>42158</v>
      </c>
      <c r="AW7442" t="s">
        <v>54</v>
      </c>
      <c r="AX7442" t="str">
        <f t="shared" si="602"/>
        <v>FOR</v>
      </c>
      <c r="AY7442" t="s">
        <v>55</v>
      </c>
    </row>
    <row r="7443" spans="1:51" hidden="1">
      <c r="A7443">
        <v>104195</v>
      </c>
      <c r="B7443" t="s">
        <v>1247</v>
      </c>
      <c r="C7443" t="str">
        <f t="shared" si="603"/>
        <v>11206730159</v>
      </c>
      <c r="D7443" t="str">
        <f t="shared" si="603"/>
        <v>11206730159</v>
      </c>
      <c r="E7443" t="s">
        <v>52</v>
      </c>
      <c r="F7443">
        <v>2014</v>
      </c>
      <c r="G7443">
        <v>71086689</v>
      </c>
      <c r="H7443" s="1">
        <v>41808</v>
      </c>
      <c r="I7443" s="1">
        <v>41815</v>
      </c>
      <c r="J7443" s="1">
        <v>41815</v>
      </c>
      <c r="K7443" s="1">
        <v>41905</v>
      </c>
      <c r="N7443" s="5"/>
      <c r="O7443">
        <v>183</v>
      </c>
      <c r="P7443">
        <v>253</v>
      </c>
      <c r="Q7443" s="2">
        <v>46299</v>
      </c>
      <c r="R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 s="1">
        <v>42382</v>
      </c>
      <c r="AC7443" t="s">
        <v>53</v>
      </c>
      <c r="AD7443" t="s">
        <v>53</v>
      </c>
      <c r="AK7443">
        <v>0</v>
      </c>
      <c r="AU7443" s="6">
        <v>42158</v>
      </c>
      <c r="AV7443" s="6">
        <v>42158</v>
      </c>
      <c r="AW7443" t="s">
        <v>54</v>
      </c>
      <c r="AX7443" t="str">
        <f t="shared" si="602"/>
        <v>FOR</v>
      </c>
      <c r="AY7443" t="s">
        <v>55</v>
      </c>
    </row>
    <row r="7444" spans="1:51" hidden="1">
      <c r="A7444">
        <v>104195</v>
      </c>
      <c r="B7444" t="s">
        <v>1247</v>
      </c>
      <c r="C7444" t="str">
        <f t="shared" si="603"/>
        <v>11206730159</v>
      </c>
      <c r="D7444" t="str">
        <f t="shared" si="603"/>
        <v>11206730159</v>
      </c>
      <c r="E7444" t="s">
        <v>52</v>
      </c>
      <c r="F7444">
        <v>2014</v>
      </c>
      <c r="G7444">
        <v>71086690</v>
      </c>
      <c r="H7444" s="1">
        <v>41808</v>
      </c>
      <c r="I7444" s="1">
        <v>41815</v>
      </c>
      <c r="J7444" s="1">
        <v>41815</v>
      </c>
      <c r="K7444" s="1">
        <v>41905</v>
      </c>
      <c r="N7444" s="5"/>
      <c r="O7444">
        <v>183</v>
      </c>
      <c r="P7444">
        <v>253</v>
      </c>
      <c r="Q7444" s="2">
        <v>46299</v>
      </c>
      <c r="R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 s="1">
        <v>42382</v>
      </c>
      <c r="AC7444" t="s">
        <v>53</v>
      </c>
      <c r="AD7444" t="s">
        <v>53</v>
      </c>
      <c r="AK7444">
        <v>0</v>
      </c>
      <c r="AU7444" s="6">
        <v>42158</v>
      </c>
      <c r="AV7444" s="6">
        <v>42158</v>
      </c>
      <c r="AW7444" t="s">
        <v>54</v>
      </c>
      <c r="AX7444" t="str">
        <f t="shared" si="602"/>
        <v>FOR</v>
      </c>
      <c r="AY7444" t="s">
        <v>55</v>
      </c>
    </row>
    <row r="7445" spans="1:51" hidden="1">
      <c r="A7445">
        <v>104195</v>
      </c>
      <c r="B7445" t="s">
        <v>1247</v>
      </c>
      <c r="C7445" t="str">
        <f t="shared" si="603"/>
        <v>11206730159</v>
      </c>
      <c r="D7445" t="str">
        <f t="shared" si="603"/>
        <v>11206730159</v>
      </c>
      <c r="E7445" t="s">
        <v>52</v>
      </c>
      <c r="F7445">
        <v>2014</v>
      </c>
      <c r="G7445">
        <v>71088219</v>
      </c>
      <c r="H7445" s="1">
        <v>41815</v>
      </c>
      <c r="I7445" s="1">
        <v>41820</v>
      </c>
      <c r="J7445" s="1">
        <v>41820</v>
      </c>
      <c r="K7445" s="1">
        <v>41910</v>
      </c>
      <c r="N7445" s="5"/>
      <c r="O7445">
        <v>183</v>
      </c>
      <c r="P7445">
        <v>248</v>
      </c>
      <c r="Q7445" s="2">
        <v>45384</v>
      </c>
      <c r="R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 s="1">
        <v>42382</v>
      </c>
      <c r="AC7445" t="s">
        <v>53</v>
      </c>
      <c r="AD7445" t="s">
        <v>53</v>
      </c>
      <c r="AK7445">
        <v>0</v>
      </c>
      <c r="AU7445" s="6">
        <v>42158</v>
      </c>
      <c r="AV7445" s="6">
        <v>42158</v>
      </c>
      <c r="AW7445" t="s">
        <v>54</v>
      </c>
      <c r="AX7445" t="str">
        <f t="shared" si="602"/>
        <v>FOR</v>
      </c>
      <c r="AY7445" t="s">
        <v>55</v>
      </c>
    </row>
    <row r="7446" spans="1:51" hidden="1">
      <c r="A7446">
        <v>104195</v>
      </c>
      <c r="B7446" t="s">
        <v>1247</v>
      </c>
      <c r="C7446" t="str">
        <f t="shared" si="603"/>
        <v>11206730159</v>
      </c>
      <c r="D7446" t="str">
        <f t="shared" si="603"/>
        <v>11206730159</v>
      </c>
      <c r="E7446" t="s">
        <v>52</v>
      </c>
      <c r="F7446">
        <v>2014</v>
      </c>
      <c r="G7446">
        <v>71088220</v>
      </c>
      <c r="H7446" s="1">
        <v>41815</v>
      </c>
      <c r="I7446" s="1">
        <v>41820</v>
      </c>
      <c r="J7446" s="1">
        <v>41820</v>
      </c>
      <c r="K7446" s="1">
        <v>41910</v>
      </c>
      <c r="N7446" s="5"/>
      <c r="O7446">
        <v>894.4</v>
      </c>
      <c r="P7446">
        <v>248</v>
      </c>
      <c r="Q7446" s="2">
        <v>221811.20000000001</v>
      </c>
      <c r="R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 s="1">
        <v>42382</v>
      </c>
      <c r="AC7446" t="s">
        <v>53</v>
      </c>
      <c r="AD7446" t="s">
        <v>53</v>
      </c>
      <c r="AK7446">
        <v>0</v>
      </c>
      <c r="AU7446" s="6">
        <v>42158</v>
      </c>
      <c r="AV7446" s="6">
        <v>42158</v>
      </c>
      <c r="AW7446" t="s">
        <v>54</v>
      </c>
      <c r="AX7446" t="str">
        <f t="shared" si="602"/>
        <v>FOR</v>
      </c>
      <c r="AY7446" t="s">
        <v>55</v>
      </c>
    </row>
    <row r="7447" spans="1:51" hidden="1">
      <c r="A7447">
        <v>104195</v>
      </c>
      <c r="B7447" t="s">
        <v>1247</v>
      </c>
      <c r="C7447" t="str">
        <f t="shared" si="603"/>
        <v>11206730159</v>
      </c>
      <c r="D7447" t="str">
        <f t="shared" si="603"/>
        <v>11206730159</v>
      </c>
      <c r="E7447" t="s">
        <v>52</v>
      </c>
      <c r="F7447">
        <v>2014</v>
      </c>
      <c r="G7447">
        <v>71088221</v>
      </c>
      <c r="H7447" s="1">
        <v>41815</v>
      </c>
      <c r="I7447" s="1">
        <v>41820</v>
      </c>
      <c r="J7447" s="1">
        <v>41820</v>
      </c>
      <c r="K7447" s="1">
        <v>41910</v>
      </c>
      <c r="N7447" s="5"/>
      <c r="O7447">
        <v>894.4</v>
      </c>
      <c r="P7447">
        <v>248</v>
      </c>
      <c r="Q7447" s="2">
        <v>221811.20000000001</v>
      </c>
      <c r="R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 s="1">
        <v>42382</v>
      </c>
      <c r="AC7447" t="s">
        <v>53</v>
      </c>
      <c r="AD7447" t="s">
        <v>53</v>
      </c>
      <c r="AK7447">
        <v>0</v>
      </c>
      <c r="AU7447" s="6">
        <v>42158</v>
      </c>
      <c r="AV7447" s="6">
        <v>42158</v>
      </c>
      <c r="AW7447" t="s">
        <v>54</v>
      </c>
      <c r="AX7447" t="str">
        <f t="shared" si="602"/>
        <v>FOR</v>
      </c>
      <c r="AY7447" t="s">
        <v>55</v>
      </c>
    </row>
    <row r="7448" spans="1:51" hidden="1">
      <c r="A7448">
        <v>104195</v>
      </c>
      <c r="B7448" t="s">
        <v>1247</v>
      </c>
      <c r="C7448" t="str">
        <f t="shared" ref="C7448:D7467" si="604">"11206730159"</f>
        <v>11206730159</v>
      </c>
      <c r="D7448" t="str">
        <f t="shared" si="604"/>
        <v>11206730159</v>
      </c>
      <c r="E7448" t="s">
        <v>52</v>
      </c>
      <c r="F7448">
        <v>2014</v>
      </c>
      <c r="G7448">
        <v>71088222</v>
      </c>
      <c r="H7448" s="1">
        <v>41815</v>
      </c>
      <c r="I7448" s="1">
        <v>41820</v>
      </c>
      <c r="J7448" s="1">
        <v>41820</v>
      </c>
      <c r="K7448" s="1">
        <v>41910</v>
      </c>
      <c r="N7448" s="5"/>
      <c r="O7448">
        <v>183</v>
      </c>
      <c r="P7448">
        <v>248</v>
      </c>
      <c r="Q7448" s="2">
        <v>45384</v>
      </c>
      <c r="R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 s="1">
        <v>42382</v>
      </c>
      <c r="AC7448" t="s">
        <v>53</v>
      </c>
      <c r="AD7448" t="s">
        <v>53</v>
      </c>
      <c r="AK7448">
        <v>0</v>
      </c>
      <c r="AU7448" s="6">
        <v>42158</v>
      </c>
      <c r="AV7448" s="6">
        <v>42158</v>
      </c>
      <c r="AW7448" t="s">
        <v>54</v>
      </c>
      <c r="AX7448" t="str">
        <f t="shared" si="602"/>
        <v>FOR</v>
      </c>
      <c r="AY7448" t="s">
        <v>55</v>
      </c>
    </row>
    <row r="7449" spans="1:51" hidden="1">
      <c r="A7449">
        <v>104195</v>
      </c>
      <c r="B7449" t="s">
        <v>1247</v>
      </c>
      <c r="C7449" t="str">
        <f t="shared" si="604"/>
        <v>11206730159</v>
      </c>
      <c r="D7449" t="str">
        <f t="shared" si="604"/>
        <v>11206730159</v>
      </c>
      <c r="E7449" t="s">
        <v>52</v>
      </c>
      <c r="F7449">
        <v>2014</v>
      </c>
      <c r="G7449">
        <v>71089434</v>
      </c>
      <c r="H7449" s="1">
        <v>41817</v>
      </c>
      <c r="I7449" s="1">
        <v>41827</v>
      </c>
      <c r="J7449" s="1">
        <v>41827</v>
      </c>
      <c r="K7449" s="1">
        <v>41917</v>
      </c>
      <c r="N7449" s="5"/>
      <c r="O7449">
        <v>183</v>
      </c>
      <c r="P7449">
        <v>241</v>
      </c>
      <c r="Q7449" s="2">
        <v>44103</v>
      </c>
      <c r="R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 s="1">
        <v>42382</v>
      </c>
      <c r="AC7449" t="s">
        <v>53</v>
      </c>
      <c r="AD7449" t="s">
        <v>53</v>
      </c>
      <c r="AK7449">
        <v>0</v>
      </c>
      <c r="AU7449" s="6">
        <v>42158</v>
      </c>
      <c r="AV7449" s="6">
        <v>42158</v>
      </c>
      <c r="AW7449" t="s">
        <v>54</v>
      </c>
      <c r="AX7449" t="str">
        <f t="shared" si="602"/>
        <v>FOR</v>
      </c>
      <c r="AY7449" t="s">
        <v>55</v>
      </c>
    </row>
    <row r="7450" spans="1:51" hidden="1">
      <c r="A7450">
        <v>104195</v>
      </c>
      <c r="B7450" t="s">
        <v>1247</v>
      </c>
      <c r="C7450" t="str">
        <f t="shared" si="604"/>
        <v>11206730159</v>
      </c>
      <c r="D7450" t="str">
        <f t="shared" si="604"/>
        <v>11206730159</v>
      </c>
      <c r="E7450" t="s">
        <v>52</v>
      </c>
      <c r="F7450">
        <v>2014</v>
      </c>
      <c r="G7450">
        <v>71100967</v>
      </c>
      <c r="H7450" s="1">
        <v>41855</v>
      </c>
      <c r="I7450" s="1">
        <v>41873</v>
      </c>
      <c r="J7450" s="1">
        <v>41873</v>
      </c>
      <c r="K7450" s="1">
        <v>41963</v>
      </c>
      <c r="N7450" s="5"/>
      <c r="O7450">
        <v>187.2</v>
      </c>
      <c r="P7450">
        <v>221</v>
      </c>
      <c r="Q7450" s="2">
        <v>41371.199999999997</v>
      </c>
      <c r="R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 s="1">
        <v>42382</v>
      </c>
      <c r="AC7450" t="s">
        <v>53</v>
      </c>
      <c r="AD7450" t="s">
        <v>53</v>
      </c>
      <c r="AK7450">
        <v>0</v>
      </c>
      <c r="AU7450" s="6">
        <v>42184</v>
      </c>
      <c r="AV7450" s="6">
        <v>42184</v>
      </c>
      <c r="AW7450" t="s">
        <v>54</v>
      </c>
      <c r="AX7450" t="str">
        <f t="shared" si="602"/>
        <v>FOR</v>
      </c>
      <c r="AY7450" t="s">
        <v>55</v>
      </c>
    </row>
    <row r="7451" spans="1:51" hidden="1">
      <c r="A7451">
        <v>104195</v>
      </c>
      <c r="B7451" t="s">
        <v>1247</v>
      </c>
      <c r="C7451" t="str">
        <f t="shared" si="604"/>
        <v>11206730159</v>
      </c>
      <c r="D7451" t="str">
        <f t="shared" si="604"/>
        <v>11206730159</v>
      </c>
      <c r="E7451" t="s">
        <v>52</v>
      </c>
      <c r="F7451">
        <v>2014</v>
      </c>
      <c r="G7451">
        <v>71104379</v>
      </c>
      <c r="H7451" s="1">
        <v>41872</v>
      </c>
      <c r="I7451" s="1">
        <v>41878</v>
      </c>
      <c r="J7451" s="1">
        <v>41878</v>
      </c>
      <c r="K7451" s="1">
        <v>41968</v>
      </c>
      <c r="N7451" s="5"/>
      <c r="O7451" s="2">
        <v>2818.2</v>
      </c>
      <c r="P7451">
        <v>216</v>
      </c>
      <c r="Q7451" s="2">
        <v>608731.19999999995</v>
      </c>
      <c r="R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 s="1">
        <v>42382</v>
      </c>
      <c r="AC7451" t="s">
        <v>53</v>
      </c>
      <c r="AD7451" t="s">
        <v>53</v>
      </c>
      <c r="AK7451">
        <v>0</v>
      </c>
      <c r="AU7451" s="6">
        <v>42184</v>
      </c>
      <c r="AV7451" s="6">
        <v>42184</v>
      </c>
      <c r="AW7451" t="s">
        <v>54</v>
      </c>
      <c r="AX7451" t="str">
        <f t="shared" si="602"/>
        <v>FOR</v>
      </c>
      <c r="AY7451" t="s">
        <v>55</v>
      </c>
    </row>
    <row r="7452" spans="1:51" hidden="1">
      <c r="A7452">
        <v>104195</v>
      </c>
      <c r="B7452" t="s">
        <v>1247</v>
      </c>
      <c r="C7452" t="str">
        <f t="shared" si="604"/>
        <v>11206730159</v>
      </c>
      <c r="D7452" t="str">
        <f t="shared" si="604"/>
        <v>11206730159</v>
      </c>
      <c r="E7452" t="s">
        <v>52</v>
      </c>
      <c r="F7452">
        <v>2014</v>
      </c>
      <c r="G7452">
        <v>71105230</v>
      </c>
      <c r="H7452" s="1">
        <v>41877</v>
      </c>
      <c r="I7452" s="1">
        <v>41879</v>
      </c>
      <c r="J7452" s="1">
        <v>41879</v>
      </c>
      <c r="K7452" s="1">
        <v>41969</v>
      </c>
      <c r="N7452" s="5"/>
      <c r="O7452">
        <v>183</v>
      </c>
      <c r="P7452">
        <v>215</v>
      </c>
      <c r="Q7452" s="2">
        <v>39345</v>
      </c>
      <c r="R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 s="1">
        <v>42382</v>
      </c>
      <c r="AC7452" t="s">
        <v>53</v>
      </c>
      <c r="AD7452" t="s">
        <v>53</v>
      </c>
      <c r="AK7452">
        <v>0</v>
      </c>
      <c r="AU7452" s="6">
        <v>42184</v>
      </c>
      <c r="AV7452" s="6">
        <v>42184</v>
      </c>
      <c r="AW7452" t="s">
        <v>54</v>
      </c>
      <c r="AX7452" t="str">
        <f t="shared" si="602"/>
        <v>FOR</v>
      </c>
      <c r="AY7452" t="s">
        <v>55</v>
      </c>
    </row>
    <row r="7453" spans="1:51" hidden="1">
      <c r="A7453">
        <v>104195</v>
      </c>
      <c r="B7453" t="s">
        <v>1247</v>
      </c>
      <c r="C7453" t="str">
        <f t="shared" si="604"/>
        <v>11206730159</v>
      </c>
      <c r="D7453" t="str">
        <f t="shared" si="604"/>
        <v>11206730159</v>
      </c>
      <c r="E7453" t="s">
        <v>52</v>
      </c>
      <c r="F7453">
        <v>2014</v>
      </c>
      <c r="G7453">
        <v>71105231</v>
      </c>
      <c r="H7453" s="1">
        <v>41877</v>
      </c>
      <c r="I7453" s="1">
        <v>41879</v>
      </c>
      <c r="J7453" s="1">
        <v>41879</v>
      </c>
      <c r="K7453" s="1">
        <v>41969</v>
      </c>
      <c r="N7453" s="5"/>
      <c r="O7453">
        <v>183</v>
      </c>
      <c r="P7453">
        <v>215</v>
      </c>
      <c r="Q7453" s="2">
        <v>39345</v>
      </c>
      <c r="R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 s="1">
        <v>42382</v>
      </c>
      <c r="AC7453" t="s">
        <v>53</v>
      </c>
      <c r="AD7453" t="s">
        <v>53</v>
      </c>
      <c r="AK7453">
        <v>0</v>
      </c>
      <c r="AU7453" s="6">
        <v>42184</v>
      </c>
      <c r="AV7453" s="6">
        <v>42184</v>
      </c>
      <c r="AW7453" t="s">
        <v>54</v>
      </c>
      <c r="AX7453" t="str">
        <f t="shared" si="602"/>
        <v>FOR</v>
      </c>
      <c r="AY7453" t="s">
        <v>55</v>
      </c>
    </row>
    <row r="7454" spans="1:51" hidden="1">
      <c r="A7454">
        <v>104195</v>
      </c>
      <c r="B7454" t="s">
        <v>1247</v>
      </c>
      <c r="C7454" t="str">
        <f t="shared" si="604"/>
        <v>11206730159</v>
      </c>
      <c r="D7454" t="str">
        <f t="shared" si="604"/>
        <v>11206730159</v>
      </c>
      <c r="E7454" t="s">
        <v>52</v>
      </c>
      <c r="F7454">
        <v>2014</v>
      </c>
      <c r="G7454">
        <v>71111224</v>
      </c>
      <c r="H7454" s="1">
        <v>41900</v>
      </c>
      <c r="I7454" s="1">
        <v>41907</v>
      </c>
      <c r="J7454" s="1">
        <v>41907</v>
      </c>
      <c r="K7454" s="1">
        <v>41997</v>
      </c>
      <c r="N7454" s="5"/>
      <c r="O7454">
        <v>183</v>
      </c>
      <c r="P7454">
        <v>253</v>
      </c>
      <c r="Q7454" s="2">
        <v>46299</v>
      </c>
      <c r="R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 s="1">
        <v>42382</v>
      </c>
      <c r="AC7454" t="s">
        <v>53</v>
      </c>
      <c r="AD7454" t="s">
        <v>53</v>
      </c>
      <c r="AK7454">
        <v>0</v>
      </c>
      <c r="AU7454" s="6">
        <v>42250</v>
      </c>
      <c r="AV7454" s="6">
        <v>42250</v>
      </c>
      <c r="AW7454" t="s">
        <v>54</v>
      </c>
      <c r="AX7454" t="str">
        <f t="shared" si="602"/>
        <v>FOR</v>
      </c>
      <c r="AY7454" t="s">
        <v>55</v>
      </c>
    </row>
    <row r="7455" spans="1:51" hidden="1">
      <c r="A7455">
        <v>104195</v>
      </c>
      <c r="B7455" t="s">
        <v>1247</v>
      </c>
      <c r="C7455" t="str">
        <f t="shared" si="604"/>
        <v>11206730159</v>
      </c>
      <c r="D7455" t="str">
        <f t="shared" si="604"/>
        <v>11206730159</v>
      </c>
      <c r="E7455" t="s">
        <v>52</v>
      </c>
      <c r="F7455">
        <v>2014</v>
      </c>
      <c r="G7455">
        <v>71111225</v>
      </c>
      <c r="H7455" s="1">
        <v>41900</v>
      </c>
      <c r="I7455" s="1">
        <v>41907</v>
      </c>
      <c r="J7455" s="1">
        <v>41907</v>
      </c>
      <c r="K7455" s="1">
        <v>41997</v>
      </c>
      <c r="N7455" s="5"/>
      <c r="O7455">
        <v>183</v>
      </c>
      <c r="P7455">
        <v>253</v>
      </c>
      <c r="Q7455" s="2">
        <v>46299</v>
      </c>
      <c r="R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 s="1">
        <v>42382</v>
      </c>
      <c r="AC7455" t="s">
        <v>53</v>
      </c>
      <c r="AD7455" t="s">
        <v>53</v>
      </c>
      <c r="AK7455">
        <v>0</v>
      </c>
      <c r="AU7455" s="6">
        <v>42250</v>
      </c>
      <c r="AV7455" s="6">
        <v>42250</v>
      </c>
      <c r="AW7455" t="s">
        <v>54</v>
      </c>
      <c r="AX7455" t="str">
        <f t="shared" si="602"/>
        <v>FOR</v>
      </c>
      <c r="AY7455" t="s">
        <v>55</v>
      </c>
    </row>
    <row r="7456" spans="1:51" hidden="1">
      <c r="A7456">
        <v>104195</v>
      </c>
      <c r="B7456" t="s">
        <v>1247</v>
      </c>
      <c r="C7456" t="str">
        <f t="shared" si="604"/>
        <v>11206730159</v>
      </c>
      <c r="D7456" t="str">
        <f t="shared" si="604"/>
        <v>11206730159</v>
      </c>
      <c r="E7456" t="s">
        <v>52</v>
      </c>
      <c r="F7456">
        <v>2014</v>
      </c>
      <c r="G7456">
        <v>71111226</v>
      </c>
      <c r="H7456" s="1">
        <v>41900</v>
      </c>
      <c r="I7456" s="1">
        <v>41907</v>
      </c>
      <c r="J7456" s="1">
        <v>41907</v>
      </c>
      <c r="K7456" s="1">
        <v>41997</v>
      </c>
      <c r="N7456" s="5"/>
      <c r="O7456">
        <v>183</v>
      </c>
      <c r="P7456">
        <v>253</v>
      </c>
      <c r="Q7456" s="2">
        <v>46299</v>
      </c>
      <c r="R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 s="1">
        <v>42382</v>
      </c>
      <c r="AC7456" t="s">
        <v>53</v>
      </c>
      <c r="AD7456" t="s">
        <v>53</v>
      </c>
      <c r="AK7456">
        <v>0</v>
      </c>
      <c r="AU7456" s="6">
        <v>42250</v>
      </c>
      <c r="AV7456" s="6">
        <v>42250</v>
      </c>
      <c r="AW7456" t="s">
        <v>54</v>
      </c>
      <c r="AX7456" t="str">
        <f t="shared" si="602"/>
        <v>FOR</v>
      </c>
      <c r="AY7456" t="s">
        <v>55</v>
      </c>
    </row>
    <row r="7457" spans="1:51" hidden="1">
      <c r="A7457">
        <v>104195</v>
      </c>
      <c r="B7457" t="s">
        <v>1247</v>
      </c>
      <c r="C7457" t="str">
        <f t="shared" si="604"/>
        <v>11206730159</v>
      </c>
      <c r="D7457" t="str">
        <f t="shared" si="604"/>
        <v>11206730159</v>
      </c>
      <c r="E7457" t="s">
        <v>52</v>
      </c>
      <c r="F7457">
        <v>2014</v>
      </c>
      <c r="G7457">
        <v>71111227</v>
      </c>
      <c r="H7457" s="1">
        <v>41900</v>
      </c>
      <c r="I7457" s="1">
        <v>41907</v>
      </c>
      <c r="J7457" s="1">
        <v>41907</v>
      </c>
      <c r="K7457" s="1">
        <v>41997</v>
      </c>
      <c r="N7457" s="5"/>
      <c r="O7457">
        <v>884</v>
      </c>
      <c r="P7457">
        <v>253</v>
      </c>
      <c r="Q7457" s="2">
        <v>223652</v>
      </c>
      <c r="R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 s="1">
        <v>42382</v>
      </c>
      <c r="AC7457" t="s">
        <v>53</v>
      </c>
      <c r="AD7457" t="s">
        <v>53</v>
      </c>
      <c r="AK7457">
        <v>0</v>
      </c>
      <c r="AU7457" s="6">
        <v>42250</v>
      </c>
      <c r="AV7457" s="6">
        <v>42250</v>
      </c>
      <c r="AW7457" t="s">
        <v>54</v>
      </c>
      <c r="AX7457" t="str">
        <f t="shared" si="602"/>
        <v>FOR</v>
      </c>
      <c r="AY7457" t="s">
        <v>55</v>
      </c>
    </row>
    <row r="7458" spans="1:51" hidden="1">
      <c r="A7458">
        <v>104195</v>
      </c>
      <c r="B7458" t="s">
        <v>1247</v>
      </c>
      <c r="C7458" t="str">
        <f t="shared" si="604"/>
        <v>11206730159</v>
      </c>
      <c r="D7458" t="str">
        <f t="shared" si="604"/>
        <v>11206730159</v>
      </c>
      <c r="E7458" t="s">
        <v>52</v>
      </c>
      <c r="F7458">
        <v>2014</v>
      </c>
      <c r="G7458">
        <v>71111228</v>
      </c>
      <c r="H7458" s="1">
        <v>41900</v>
      </c>
      <c r="I7458" s="1">
        <v>41907</v>
      </c>
      <c r="J7458" s="1">
        <v>41907</v>
      </c>
      <c r="K7458" s="1">
        <v>41997</v>
      </c>
      <c r="N7458" s="5"/>
      <c r="O7458">
        <v>884</v>
      </c>
      <c r="P7458">
        <v>253</v>
      </c>
      <c r="Q7458" s="2">
        <v>223652</v>
      </c>
      <c r="R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 s="1">
        <v>42382</v>
      </c>
      <c r="AC7458" t="s">
        <v>53</v>
      </c>
      <c r="AD7458" t="s">
        <v>53</v>
      </c>
      <c r="AK7458">
        <v>0</v>
      </c>
      <c r="AU7458" s="6">
        <v>42250</v>
      </c>
      <c r="AV7458" s="6">
        <v>42250</v>
      </c>
      <c r="AW7458" t="s">
        <v>54</v>
      </c>
      <c r="AX7458" t="str">
        <f t="shared" si="602"/>
        <v>FOR</v>
      </c>
      <c r="AY7458" t="s">
        <v>55</v>
      </c>
    </row>
    <row r="7459" spans="1:51" hidden="1">
      <c r="A7459">
        <v>104195</v>
      </c>
      <c r="B7459" t="s">
        <v>1247</v>
      </c>
      <c r="C7459" t="str">
        <f t="shared" si="604"/>
        <v>11206730159</v>
      </c>
      <c r="D7459" t="str">
        <f t="shared" si="604"/>
        <v>11206730159</v>
      </c>
      <c r="E7459" t="s">
        <v>52</v>
      </c>
      <c r="F7459">
        <v>2014</v>
      </c>
      <c r="G7459">
        <v>71111229</v>
      </c>
      <c r="H7459" s="1">
        <v>41900</v>
      </c>
      <c r="I7459" s="1">
        <v>41907</v>
      </c>
      <c r="J7459" s="1">
        <v>41907</v>
      </c>
      <c r="K7459" s="1">
        <v>41997</v>
      </c>
      <c r="N7459" s="5"/>
      <c r="O7459">
        <v>183</v>
      </c>
      <c r="P7459">
        <v>253</v>
      </c>
      <c r="Q7459" s="2">
        <v>46299</v>
      </c>
      <c r="R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 s="1">
        <v>42382</v>
      </c>
      <c r="AC7459" t="s">
        <v>53</v>
      </c>
      <c r="AD7459" t="s">
        <v>53</v>
      </c>
      <c r="AK7459">
        <v>0</v>
      </c>
      <c r="AU7459" s="6">
        <v>42250</v>
      </c>
      <c r="AV7459" s="6">
        <v>42250</v>
      </c>
      <c r="AW7459" t="s">
        <v>54</v>
      </c>
      <c r="AX7459" t="str">
        <f t="shared" si="602"/>
        <v>FOR</v>
      </c>
      <c r="AY7459" t="s">
        <v>55</v>
      </c>
    </row>
    <row r="7460" spans="1:51" hidden="1">
      <c r="A7460">
        <v>104195</v>
      </c>
      <c r="B7460" t="s">
        <v>1247</v>
      </c>
      <c r="C7460" t="str">
        <f t="shared" si="604"/>
        <v>11206730159</v>
      </c>
      <c r="D7460" t="str">
        <f t="shared" si="604"/>
        <v>11206730159</v>
      </c>
      <c r="E7460" t="s">
        <v>52</v>
      </c>
      <c r="F7460">
        <v>2014</v>
      </c>
      <c r="G7460">
        <v>71111230</v>
      </c>
      <c r="H7460" s="1">
        <v>41900</v>
      </c>
      <c r="I7460" s="1">
        <v>41907</v>
      </c>
      <c r="J7460" s="1">
        <v>41907</v>
      </c>
      <c r="K7460" s="1">
        <v>41997</v>
      </c>
      <c r="N7460" s="5"/>
      <c r="O7460">
        <v>884</v>
      </c>
      <c r="P7460">
        <v>253</v>
      </c>
      <c r="Q7460" s="2">
        <v>223652</v>
      </c>
      <c r="R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 s="1">
        <v>42382</v>
      </c>
      <c r="AC7460" t="s">
        <v>53</v>
      </c>
      <c r="AD7460" t="s">
        <v>53</v>
      </c>
      <c r="AK7460">
        <v>0</v>
      </c>
      <c r="AU7460" s="6">
        <v>42250</v>
      </c>
      <c r="AV7460" s="6">
        <v>42250</v>
      </c>
      <c r="AW7460" t="s">
        <v>54</v>
      </c>
      <c r="AX7460" t="str">
        <f t="shared" si="602"/>
        <v>FOR</v>
      </c>
      <c r="AY7460" t="s">
        <v>55</v>
      </c>
    </row>
    <row r="7461" spans="1:51" hidden="1">
      <c r="A7461">
        <v>104195</v>
      </c>
      <c r="B7461" t="s">
        <v>1247</v>
      </c>
      <c r="C7461" t="str">
        <f t="shared" si="604"/>
        <v>11206730159</v>
      </c>
      <c r="D7461" t="str">
        <f t="shared" si="604"/>
        <v>11206730159</v>
      </c>
      <c r="E7461" t="s">
        <v>52</v>
      </c>
      <c r="F7461">
        <v>2014</v>
      </c>
      <c r="G7461">
        <v>71111231</v>
      </c>
      <c r="H7461" s="1">
        <v>41900</v>
      </c>
      <c r="I7461" s="1">
        <v>41907</v>
      </c>
      <c r="J7461" s="1">
        <v>41907</v>
      </c>
      <c r="K7461" s="1">
        <v>41997</v>
      </c>
      <c r="N7461" s="5"/>
      <c r="O7461">
        <v>183</v>
      </c>
      <c r="P7461">
        <v>253</v>
      </c>
      <c r="Q7461" s="2">
        <v>46299</v>
      </c>
      <c r="R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 s="1">
        <v>42382</v>
      </c>
      <c r="AC7461" t="s">
        <v>53</v>
      </c>
      <c r="AD7461" t="s">
        <v>53</v>
      </c>
      <c r="AK7461">
        <v>0</v>
      </c>
      <c r="AU7461" s="6">
        <v>42250</v>
      </c>
      <c r="AV7461" s="6">
        <v>42250</v>
      </c>
      <c r="AW7461" t="s">
        <v>54</v>
      </c>
      <c r="AX7461" t="str">
        <f t="shared" si="602"/>
        <v>FOR</v>
      </c>
      <c r="AY7461" t="s">
        <v>55</v>
      </c>
    </row>
    <row r="7462" spans="1:51" hidden="1">
      <c r="A7462">
        <v>104195</v>
      </c>
      <c r="B7462" t="s">
        <v>1247</v>
      </c>
      <c r="C7462" t="str">
        <f t="shared" si="604"/>
        <v>11206730159</v>
      </c>
      <c r="D7462" t="str">
        <f t="shared" si="604"/>
        <v>11206730159</v>
      </c>
      <c r="E7462" t="s">
        <v>52</v>
      </c>
      <c r="F7462">
        <v>2014</v>
      </c>
      <c r="G7462">
        <v>71111232</v>
      </c>
      <c r="H7462" s="1">
        <v>41900</v>
      </c>
      <c r="I7462" s="1">
        <v>41907</v>
      </c>
      <c r="J7462" s="1">
        <v>41907</v>
      </c>
      <c r="K7462" s="1">
        <v>41997</v>
      </c>
      <c r="N7462" s="5"/>
      <c r="O7462">
        <v>894.4</v>
      </c>
      <c r="P7462">
        <v>253</v>
      </c>
      <c r="Q7462" s="2">
        <v>226283.2</v>
      </c>
      <c r="R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 s="1">
        <v>42382</v>
      </c>
      <c r="AC7462" t="s">
        <v>53</v>
      </c>
      <c r="AD7462" t="s">
        <v>53</v>
      </c>
      <c r="AK7462">
        <v>0</v>
      </c>
      <c r="AU7462" s="6">
        <v>42250</v>
      </c>
      <c r="AV7462" s="6">
        <v>42250</v>
      </c>
      <c r="AW7462" t="s">
        <v>54</v>
      </c>
      <c r="AX7462" t="str">
        <f t="shared" si="602"/>
        <v>FOR</v>
      </c>
      <c r="AY7462" t="s">
        <v>55</v>
      </c>
    </row>
    <row r="7463" spans="1:51" hidden="1">
      <c r="A7463">
        <v>104195</v>
      </c>
      <c r="B7463" t="s">
        <v>1247</v>
      </c>
      <c r="C7463" t="str">
        <f t="shared" si="604"/>
        <v>11206730159</v>
      </c>
      <c r="D7463" t="str">
        <f t="shared" si="604"/>
        <v>11206730159</v>
      </c>
      <c r="E7463" t="s">
        <v>52</v>
      </c>
      <c r="F7463">
        <v>2014</v>
      </c>
      <c r="G7463">
        <v>71111617</v>
      </c>
      <c r="H7463" s="1">
        <v>41901</v>
      </c>
      <c r="I7463" s="1">
        <v>41911</v>
      </c>
      <c r="J7463" s="1">
        <v>41911</v>
      </c>
      <c r="K7463" s="1">
        <v>42001</v>
      </c>
      <c r="N7463" s="5"/>
      <c r="O7463" s="2">
        <v>12175.6</v>
      </c>
      <c r="P7463">
        <v>249</v>
      </c>
      <c r="Q7463" s="2">
        <v>3031724.4</v>
      </c>
      <c r="R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 s="1">
        <v>42382</v>
      </c>
      <c r="AC7463" t="s">
        <v>53</v>
      </c>
      <c r="AD7463" t="s">
        <v>53</v>
      </c>
      <c r="AK7463">
        <v>0</v>
      </c>
      <c r="AU7463" s="6">
        <v>42250</v>
      </c>
      <c r="AV7463" s="6">
        <v>42250</v>
      </c>
      <c r="AW7463" t="s">
        <v>54</v>
      </c>
      <c r="AX7463" t="str">
        <f t="shared" si="602"/>
        <v>FOR</v>
      </c>
      <c r="AY7463" t="s">
        <v>55</v>
      </c>
    </row>
    <row r="7464" spans="1:51" hidden="1">
      <c r="A7464">
        <v>104195</v>
      </c>
      <c r="B7464" t="s">
        <v>1247</v>
      </c>
      <c r="C7464" t="str">
        <f t="shared" si="604"/>
        <v>11206730159</v>
      </c>
      <c r="D7464" t="str">
        <f t="shared" si="604"/>
        <v>11206730159</v>
      </c>
      <c r="E7464" t="s">
        <v>52</v>
      </c>
      <c r="F7464">
        <v>2014</v>
      </c>
      <c r="G7464">
        <v>71114287</v>
      </c>
      <c r="H7464" s="1">
        <v>41911</v>
      </c>
      <c r="I7464" s="1">
        <v>41915</v>
      </c>
      <c r="J7464" s="1">
        <v>41915</v>
      </c>
      <c r="K7464" s="1">
        <v>42005</v>
      </c>
      <c r="N7464" s="5"/>
      <c r="O7464" s="2">
        <v>5636</v>
      </c>
      <c r="P7464">
        <v>245</v>
      </c>
      <c r="Q7464" s="2">
        <v>1380820</v>
      </c>
      <c r="R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 s="1">
        <v>42382</v>
      </c>
      <c r="AC7464" t="s">
        <v>53</v>
      </c>
      <c r="AD7464" t="s">
        <v>53</v>
      </c>
      <c r="AK7464">
        <v>0</v>
      </c>
      <c r="AU7464" s="6">
        <v>42250</v>
      </c>
      <c r="AV7464" s="6">
        <v>42250</v>
      </c>
      <c r="AW7464" t="s">
        <v>54</v>
      </c>
      <c r="AX7464" t="str">
        <f t="shared" si="602"/>
        <v>FOR</v>
      </c>
      <c r="AY7464" t="s">
        <v>55</v>
      </c>
    </row>
    <row r="7465" spans="1:51">
      <c r="A7465">
        <v>104195</v>
      </c>
      <c r="B7465" t="s">
        <v>1247</v>
      </c>
      <c r="C7465" t="str">
        <f t="shared" si="604"/>
        <v>11206730159</v>
      </c>
      <c r="D7465" t="str">
        <f t="shared" si="604"/>
        <v>11206730159</v>
      </c>
      <c r="E7465" t="s">
        <v>52</v>
      </c>
      <c r="F7465">
        <v>2014</v>
      </c>
      <c r="G7465">
        <v>71122818</v>
      </c>
      <c r="H7465" s="1">
        <v>41939</v>
      </c>
      <c r="I7465" s="1">
        <v>41941</v>
      </c>
      <c r="J7465" s="1">
        <v>41941</v>
      </c>
      <c r="K7465" s="1">
        <v>42001</v>
      </c>
      <c r="L7465" s="7">
        <v>884</v>
      </c>
      <c r="M7465" s="5">
        <v>281</v>
      </c>
      <c r="N7465" s="7">
        <v>248404</v>
      </c>
      <c r="O7465">
        <v>884</v>
      </c>
      <c r="P7465">
        <v>281</v>
      </c>
      <c r="Q7465" s="2">
        <v>248404</v>
      </c>
      <c r="R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 s="1">
        <v>42382</v>
      </c>
      <c r="AC7465" t="s">
        <v>53</v>
      </c>
      <c r="AD7465" t="s">
        <v>53</v>
      </c>
      <c r="AK7465">
        <v>0</v>
      </c>
      <c r="AU7465" s="6">
        <v>42282</v>
      </c>
      <c r="AV7465" s="6">
        <v>42282</v>
      </c>
      <c r="AW7465" t="s">
        <v>54</v>
      </c>
      <c r="AX7465" t="str">
        <f t="shared" si="602"/>
        <v>FOR</v>
      </c>
      <c r="AY7465" t="s">
        <v>55</v>
      </c>
    </row>
    <row r="7466" spans="1:51">
      <c r="A7466">
        <v>104195</v>
      </c>
      <c r="B7466" t="s">
        <v>1247</v>
      </c>
      <c r="C7466" t="str">
        <f t="shared" si="604"/>
        <v>11206730159</v>
      </c>
      <c r="D7466" t="str">
        <f t="shared" si="604"/>
        <v>11206730159</v>
      </c>
      <c r="E7466" t="s">
        <v>52</v>
      </c>
      <c r="F7466">
        <v>2014</v>
      </c>
      <c r="G7466">
        <v>71122819</v>
      </c>
      <c r="H7466" s="1">
        <v>41939</v>
      </c>
      <c r="I7466" s="1">
        <v>41941</v>
      </c>
      <c r="J7466" s="1">
        <v>41941</v>
      </c>
      <c r="K7466" s="1">
        <v>42001</v>
      </c>
      <c r="L7466" s="7">
        <v>884</v>
      </c>
      <c r="M7466" s="5">
        <v>281</v>
      </c>
      <c r="N7466" s="7">
        <v>248404</v>
      </c>
      <c r="O7466">
        <v>884</v>
      </c>
      <c r="P7466">
        <v>281</v>
      </c>
      <c r="Q7466" s="2">
        <v>248404</v>
      </c>
      <c r="R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 s="1">
        <v>42382</v>
      </c>
      <c r="AC7466" t="s">
        <v>53</v>
      </c>
      <c r="AD7466" t="s">
        <v>53</v>
      </c>
      <c r="AK7466">
        <v>0</v>
      </c>
      <c r="AU7466" s="6">
        <v>42282</v>
      </c>
      <c r="AV7466" s="6">
        <v>42282</v>
      </c>
      <c r="AW7466" t="s">
        <v>54</v>
      </c>
      <c r="AX7466" t="str">
        <f t="shared" si="602"/>
        <v>FOR</v>
      </c>
      <c r="AY7466" t="s">
        <v>55</v>
      </c>
    </row>
    <row r="7467" spans="1:51">
      <c r="A7467">
        <v>104195</v>
      </c>
      <c r="B7467" t="s">
        <v>1247</v>
      </c>
      <c r="C7467" t="str">
        <f t="shared" si="604"/>
        <v>11206730159</v>
      </c>
      <c r="D7467" t="str">
        <f t="shared" si="604"/>
        <v>11206730159</v>
      </c>
      <c r="E7467" t="s">
        <v>52</v>
      </c>
      <c r="F7467">
        <v>2014</v>
      </c>
      <c r="G7467">
        <v>71122820</v>
      </c>
      <c r="H7467" s="1">
        <v>41939</v>
      </c>
      <c r="I7467" s="1">
        <v>41941</v>
      </c>
      <c r="J7467" s="1">
        <v>41941</v>
      </c>
      <c r="K7467" s="1">
        <v>42001</v>
      </c>
      <c r="L7467" s="7">
        <v>884</v>
      </c>
      <c r="M7467" s="5">
        <v>281</v>
      </c>
      <c r="N7467" s="7">
        <v>248404</v>
      </c>
      <c r="O7467">
        <v>884</v>
      </c>
      <c r="P7467">
        <v>281</v>
      </c>
      <c r="Q7467" s="2">
        <v>248404</v>
      </c>
      <c r="R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 s="1">
        <v>42382</v>
      </c>
      <c r="AC7467" t="s">
        <v>53</v>
      </c>
      <c r="AD7467" t="s">
        <v>53</v>
      </c>
      <c r="AK7467">
        <v>0</v>
      </c>
      <c r="AU7467" s="6">
        <v>42282</v>
      </c>
      <c r="AV7467" s="6">
        <v>42282</v>
      </c>
      <c r="AW7467" t="s">
        <v>54</v>
      </c>
      <c r="AX7467" t="str">
        <f t="shared" si="602"/>
        <v>FOR</v>
      </c>
      <c r="AY7467" t="s">
        <v>55</v>
      </c>
    </row>
    <row r="7468" spans="1:51">
      <c r="A7468">
        <v>104195</v>
      </c>
      <c r="B7468" t="s">
        <v>1247</v>
      </c>
      <c r="C7468" t="str">
        <f t="shared" ref="C7468:D7487" si="605">"11206730159"</f>
        <v>11206730159</v>
      </c>
      <c r="D7468" t="str">
        <f t="shared" si="605"/>
        <v>11206730159</v>
      </c>
      <c r="E7468" t="s">
        <v>52</v>
      </c>
      <c r="F7468">
        <v>2014</v>
      </c>
      <c r="G7468">
        <v>71122821</v>
      </c>
      <c r="H7468" s="1">
        <v>41939</v>
      </c>
      <c r="I7468" s="1">
        <v>41941</v>
      </c>
      <c r="J7468" s="1">
        <v>41941</v>
      </c>
      <c r="K7468" s="1">
        <v>42001</v>
      </c>
      <c r="L7468" s="7">
        <v>183</v>
      </c>
      <c r="M7468" s="5">
        <v>281</v>
      </c>
      <c r="N7468" s="7">
        <v>51423</v>
      </c>
      <c r="O7468">
        <v>183</v>
      </c>
      <c r="P7468">
        <v>281</v>
      </c>
      <c r="Q7468" s="2">
        <v>51423</v>
      </c>
      <c r="R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 s="1">
        <v>42382</v>
      </c>
      <c r="AC7468" t="s">
        <v>53</v>
      </c>
      <c r="AD7468" t="s">
        <v>53</v>
      </c>
      <c r="AK7468">
        <v>0</v>
      </c>
      <c r="AU7468" s="6">
        <v>42282</v>
      </c>
      <c r="AV7468" s="6">
        <v>42282</v>
      </c>
      <c r="AW7468" t="s">
        <v>54</v>
      </c>
      <c r="AX7468" t="str">
        <f t="shared" si="602"/>
        <v>FOR</v>
      </c>
      <c r="AY7468" t="s">
        <v>55</v>
      </c>
    </row>
    <row r="7469" spans="1:51">
      <c r="A7469">
        <v>104195</v>
      </c>
      <c r="B7469" t="s">
        <v>1247</v>
      </c>
      <c r="C7469" t="str">
        <f t="shared" si="605"/>
        <v>11206730159</v>
      </c>
      <c r="D7469" t="str">
        <f t="shared" si="605"/>
        <v>11206730159</v>
      </c>
      <c r="E7469" t="s">
        <v>52</v>
      </c>
      <c r="F7469">
        <v>2014</v>
      </c>
      <c r="G7469">
        <v>71122822</v>
      </c>
      <c r="H7469" s="1">
        <v>41939</v>
      </c>
      <c r="I7469" s="1">
        <v>41941</v>
      </c>
      <c r="J7469" s="1">
        <v>41941</v>
      </c>
      <c r="K7469" s="1">
        <v>42001</v>
      </c>
      <c r="L7469" s="7">
        <v>183</v>
      </c>
      <c r="M7469" s="5">
        <v>281</v>
      </c>
      <c r="N7469" s="7">
        <v>51423</v>
      </c>
      <c r="O7469">
        <v>183</v>
      </c>
      <c r="P7469">
        <v>281</v>
      </c>
      <c r="Q7469" s="2">
        <v>51423</v>
      </c>
      <c r="R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 s="1">
        <v>42382</v>
      </c>
      <c r="AC7469" t="s">
        <v>53</v>
      </c>
      <c r="AD7469" t="s">
        <v>53</v>
      </c>
      <c r="AK7469">
        <v>0</v>
      </c>
      <c r="AU7469" s="6">
        <v>42282</v>
      </c>
      <c r="AV7469" s="6">
        <v>42282</v>
      </c>
      <c r="AW7469" t="s">
        <v>54</v>
      </c>
      <c r="AX7469" t="str">
        <f t="shared" si="602"/>
        <v>FOR</v>
      </c>
      <c r="AY7469" t="s">
        <v>55</v>
      </c>
    </row>
    <row r="7470" spans="1:51">
      <c r="A7470">
        <v>104195</v>
      </c>
      <c r="B7470" t="s">
        <v>1247</v>
      </c>
      <c r="C7470" t="str">
        <f t="shared" si="605"/>
        <v>11206730159</v>
      </c>
      <c r="D7470" t="str">
        <f t="shared" si="605"/>
        <v>11206730159</v>
      </c>
      <c r="E7470" t="s">
        <v>52</v>
      </c>
      <c r="F7470">
        <v>2014</v>
      </c>
      <c r="G7470">
        <v>71122823</v>
      </c>
      <c r="H7470" s="1">
        <v>41939</v>
      </c>
      <c r="I7470" s="1">
        <v>41941</v>
      </c>
      <c r="J7470" s="1">
        <v>41941</v>
      </c>
      <c r="K7470" s="1">
        <v>42001</v>
      </c>
      <c r="L7470" s="7">
        <v>894.4</v>
      </c>
      <c r="M7470" s="5">
        <v>281</v>
      </c>
      <c r="N7470" s="7">
        <v>251326.4</v>
      </c>
      <c r="O7470">
        <v>894.4</v>
      </c>
      <c r="P7470">
        <v>281</v>
      </c>
      <c r="Q7470" s="2">
        <v>251326.4</v>
      </c>
      <c r="R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 s="1">
        <v>42382</v>
      </c>
      <c r="AC7470" t="s">
        <v>53</v>
      </c>
      <c r="AD7470" t="s">
        <v>53</v>
      </c>
      <c r="AK7470">
        <v>0</v>
      </c>
      <c r="AU7470" s="6">
        <v>42282</v>
      </c>
      <c r="AV7470" s="6">
        <v>42282</v>
      </c>
      <c r="AW7470" t="s">
        <v>54</v>
      </c>
      <c r="AX7470" t="str">
        <f t="shared" si="602"/>
        <v>FOR</v>
      </c>
      <c r="AY7470" t="s">
        <v>55</v>
      </c>
    </row>
    <row r="7471" spans="1:51">
      <c r="A7471">
        <v>104195</v>
      </c>
      <c r="B7471" t="s">
        <v>1247</v>
      </c>
      <c r="C7471" t="str">
        <f t="shared" si="605"/>
        <v>11206730159</v>
      </c>
      <c r="D7471" t="str">
        <f t="shared" si="605"/>
        <v>11206730159</v>
      </c>
      <c r="E7471" t="s">
        <v>52</v>
      </c>
      <c r="F7471">
        <v>2014</v>
      </c>
      <c r="G7471">
        <v>71122824</v>
      </c>
      <c r="H7471" s="1">
        <v>41939</v>
      </c>
      <c r="I7471" s="1">
        <v>41941</v>
      </c>
      <c r="J7471" s="1">
        <v>41941</v>
      </c>
      <c r="K7471" s="1">
        <v>42001</v>
      </c>
      <c r="L7471" s="7">
        <v>183</v>
      </c>
      <c r="M7471" s="5">
        <v>281</v>
      </c>
      <c r="N7471" s="7">
        <v>51423</v>
      </c>
      <c r="O7471">
        <v>183</v>
      </c>
      <c r="P7471">
        <v>281</v>
      </c>
      <c r="Q7471" s="2">
        <v>51423</v>
      </c>
      <c r="R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 s="1">
        <v>42382</v>
      </c>
      <c r="AC7471" t="s">
        <v>53</v>
      </c>
      <c r="AD7471" t="s">
        <v>53</v>
      </c>
      <c r="AK7471">
        <v>0</v>
      </c>
      <c r="AU7471" s="6">
        <v>42282</v>
      </c>
      <c r="AV7471" s="6">
        <v>42282</v>
      </c>
      <c r="AW7471" t="s">
        <v>54</v>
      </c>
      <c r="AX7471" t="str">
        <f t="shared" si="602"/>
        <v>FOR</v>
      </c>
      <c r="AY7471" t="s">
        <v>55</v>
      </c>
    </row>
    <row r="7472" spans="1:51">
      <c r="A7472">
        <v>104195</v>
      </c>
      <c r="B7472" t="s">
        <v>1247</v>
      </c>
      <c r="C7472" t="str">
        <f t="shared" si="605"/>
        <v>11206730159</v>
      </c>
      <c r="D7472" t="str">
        <f t="shared" si="605"/>
        <v>11206730159</v>
      </c>
      <c r="E7472" t="s">
        <v>52</v>
      </c>
      <c r="F7472">
        <v>2014</v>
      </c>
      <c r="G7472">
        <v>71122825</v>
      </c>
      <c r="H7472" s="1">
        <v>41939</v>
      </c>
      <c r="I7472" s="1">
        <v>41941</v>
      </c>
      <c r="J7472" s="1">
        <v>41941</v>
      </c>
      <c r="K7472" s="1">
        <v>42001</v>
      </c>
      <c r="L7472" s="7">
        <v>183</v>
      </c>
      <c r="M7472" s="5">
        <v>281</v>
      </c>
      <c r="N7472" s="7">
        <v>51423</v>
      </c>
      <c r="O7472">
        <v>183</v>
      </c>
      <c r="P7472">
        <v>281</v>
      </c>
      <c r="Q7472" s="2">
        <v>51423</v>
      </c>
      <c r="R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 s="1">
        <v>42382</v>
      </c>
      <c r="AC7472" t="s">
        <v>53</v>
      </c>
      <c r="AD7472" t="s">
        <v>53</v>
      </c>
      <c r="AK7472">
        <v>0</v>
      </c>
      <c r="AU7472" s="6">
        <v>42282</v>
      </c>
      <c r="AV7472" s="6">
        <v>42282</v>
      </c>
      <c r="AW7472" t="s">
        <v>54</v>
      </c>
      <c r="AX7472" t="str">
        <f t="shared" si="602"/>
        <v>FOR</v>
      </c>
      <c r="AY7472" t="s">
        <v>55</v>
      </c>
    </row>
    <row r="7473" spans="1:51">
      <c r="A7473">
        <v>104195</v>
      </c>
      <c r="B7473" t="s">
        <v>1247</v>
      </c>
      <c r="C7473" t="str">
        <f t="shared" si="605"/>
        <v>11206730159</v>
      </c>
      <c r="D7473" t="str">
        <f t="shared" si="605"/>
        <v>11206730159</v>
      </c>
      <c r="E7473" t="s">
        <v>52</v>
      </c>
      <c r="F7473">
        <v>2014</v>
      </c>
      <c r="G7473">
        <v>71122826</v>
      </c>
      <c r="H7473" s="1">
        <v>41939</v>
      </c>
      <c r="I7473" s="1">
        <v>41941</v>
      </c>
      <c r="J7473" s="1">
        <v>41941</v>
      </c>
      <c r="K7473" s="1">
        <v>42001</v>
      </c>
      <c r="L7473" s="7">
        <v>894.4</v>
      </c>
      <c r="M7473" s="5">
        <v>281</v>
      </c>
      <c r="N7473" s="7">
        <v>251326.4</v>
      </c>
      <c r="O7473">
        <v>894.4</v>
      </c>
      <c r="P7473">
        <v>281</v>
      </c>
      <c r="Q7473" s="2">
        <v>251326.4</v>
      </c>
      <c r="R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 s="1">
        <v>42382</v>
      </c>
      <c r="AC7473" t="s">
        <v>53</v>
      </c>
      <c r="AD7473" t="s">
        <v>53</v>
      </c>
      <c r="AK7473">
        <v>0</v>
      </c>
      <c r="AU7473" s="6">
        <v>42282</v>
      </c>
      <c r="AV7473" s="6">
        <v>42282</v>
      </c>
      <c r="AW7473" t="s">
        <v>54</v>
      </c>
      <c r="AX7473" t="str">
        <f t="shared" si="602"/>
        <v>FOR</v>
      </c>
      <c r="AY7473" t="s">
        <v>55</v>
      </c>
    </row>
    <row r="7474" spans="1:51">
      <c r="A7474">
        <v>104195</v>
      </c>
      <c r="B7474" t="s">
        <v>1247</v>
      </c>
      <c r="C7474" t="str">
        <f t="shared" si="605"/>
        <v>11206730159</v>
      </c>
      <c r="D7474" t="str">
        <f t="shared" si="605"/>
        <v>11206730159</v>
      </c>
      <c r="E7474" t="s">
        <v>52</v>
      </c>
      <c r="F7474">
        <v>2014</v>
      </c>
      <c r="G7474">
        <v>71122827</v>
      </c>
      <c r="H7474" s="1">
        <v>41939</v>
      </c>
      <c r="I7474" s="1">
        <v>41941</v>
      </c>
      <c r="J7474" s="1">
        <v>41941</v>
      </c>
      <c r="K7474" s="1">
        <v>42001</v>
      </c>
      <c r="L7474" s="7">
        <v>183</v>
      </c>
      <c r="M7474" s="5">
        <v>281</v>
      </c>
      <c r="N7474" s="7">
        <v>51423</v>
      </c>
      <c r="O7474">
        <v>183</v>
      </c>
      <c r="P7474">
        <v>281</v>
      </c>
      <c r="Q7474" s="2">
        <v>51423</v>
      </c>
      <c r="R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 s="1">
        <v>42382</v>
      </c>
      <c r="AC7474" t="s">
        <v>53</v>
      </c>
      <c r="AD7474" t="s">
        <v>53</v>
      </c>
      <c r="AK7474">
        <v>0</v>
      </c>
      <c r="AU7474" s="6">
        <v>42282</v>
      </c>
      <c r="AV7474" s="6">
        <v>42282</v>
      </c>
      <c r="AW7474" t="s">
        <v>54</v>
      </c>
      <c r="AX7474" t="str">
        <f t="shared" si="602"/>
        <v>FOR</v>
      </c>
      <c r="AY7474" t="s">
        <v>55</v>
      </c>
    </row>
    <row r="7475" spans="1:51">
      <c r="A7475">
        <v>104195</v>
      </c>
      <c r="B7475" t="s">
        <v>1247</v>
      </c>
      <c r="C7475" t="str">
        <f t="shared" si="605"/>
        <v>11206730159</v>
      </c>
      <c r="D7475" t="str">
        <f t="shared" si="605"/>
        <v>11206730159</v>
      </c>
      <c r="E7475" t="s">
        <v>52</v>
      </c>
      <c r="F7475">
        <v>2014</v>
      </c>
      <c r="G7475">
        <v>71125953</v>
      </c>
      <c r="H7475" s="1">
        <v>41948</v>
      </c>
      <c r="I7475" s="1">
        <v>41955</v>
      </c>
      <c r="J7475" s="1">
        <v>41955</v>
      </c>
      <c r="K7475" s="1">
        <v>42015</v>
      </c>
      <c r="L7475" s="7">
        <v>894.4</v>
      </c>
      <c r="M7475" s="5">
        <v>289</v>
      </c>
      <c r="N7475" s="7">
        <v>258481.6</v>
      </c>
      <c r="O7475">
        <v>894.4</v>
      </c>
      <c r="P7475">
        <v>289</v>
      </c>
      <c r="Q7475" s="2">
        <v>258481.6</v>
      </c>
      <c r="R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 s="1">
        <v>42382</v>
      </c>
      <c r="AC7475" t="s">
        <v>53</v>
      </c>
      <c r="AD7475" t="s">
        <v>53</v>
      </c>
      <c r="AK7475">
        <v>0</v>
      </c>
      <c r="AU7475" s="6">
        <v>42304</v>
      </c>
      <c r="AV7475" s="6">
        <v>42304</v>
      </c>
      <c r="AW7475" t="s">
        <v>54</v>
      </c>
      <c r="AX7475" t="str">
        <f t="shared" si="602"/>
        <v>FOR</v>
      </c>
      <c r="AY7475" t="s">
        <v>55</v>
      </c>
    </row>
    <row r="7476" spans="1:51">
      <c r="A7476">
        <v>104195</v>
      </c>
      <c r="B7476" t="s">
        <v>1247</v>
      </c>
      <c r="C7476" t="str">
        <f t="shared" si="605"/>
        <v>11206730159</v>
      </c>
      <c r="D7476" t="str">
        <f t="shared" si="605"/>
        <v>11206730159</v>
      </c>
      <c r="E7476" t="s">
        <v>52</v>
      </c>
      <c r="F7476">
        <v>2014</v>
      </c>
      <c r="G7476">
        <v>71125954</v>
      </c>
      <c r="H7476" s="1">
        <v>41948</v>
      </c>
      <c r="I7476" s="1">
        <v>41955</v>
      </c>
      <c r="J7476" s="1">
        <v>41955</v>
      </c>
      <c r="K7476" s="1">
        <v>42015</v>
      </c>
      <c r="L7476" s="7">
        <v>884</v>
      </c>
      <c r="M7476" s="5">
        <v>289</v>
      </c>
      <c r="N7476" s="7">
        <v>255476</v>
      </c>
      <c r="O7476">
        <v>884</v>
      </c>
      <c r="P7476">
        <v>289</v>
      </c>
      <c r="Q7476" s="2">
        <v>255476</v>
      </c>
      <c r="R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 s="1">
        <v>42382</v>
      </c>
      <c r="AC7476" t="s">
        <v>53</v>
      </c>
      <c r="AD7476" t="s">
        <v>53</v>
      </c>
      <c r="AK7476">
        <v>0</v>
      </c>
      <c r="AU7476" s="6">
        <v>42304</v>
      </c>
      <c r="AV7476" s="6">
        <v>42304</v>
      </c>
      <c r="AW7476" t="s">
        <v>54</v>
      </c>
      <c r="AX7476" t="str">
        <f t="shared" si="602"/>
        <v>FOR</v>
      </c>
      <c r="AY7476" t="s">
        <v>55</v>
      </c>
    </row>
    <row r="7477" spans="1:51">
      <c r="A7477">
        <v>104195</v>
      </c>
      <c r="B7477" t="s">
        <v>1247</v>
      </c>
      <c r="C7477" t="str">
        <f t="shared" si="605"/>
        <v>11206730159</v>
      </c>
      <c r="D7477" t="str">
        <f t="shared" si="605"/>
        <v>11206730159</v>
      </c>
      <c r="E7477" t="s">
        <v>52</v>
      </c>
      <c r="F7477">
        <v>2014</v>
      </c>
      <c r="G7477">
        <v>71125955</v>
      </c>
      <c r="H7477" s="1">
        <v>41948</v>
      </c>
      <c r="I7477" s="1">
        <v>41955</v>
      </c>
      <c r="J7477" s="1">
        <v>41955</v>
      </c>
      <c r="K7477" s="1">
        <v>42015</v>
      </c>
      <c r="L7477" s="7">
        <v>884</v>
      </c>
      <c r="M7477" s="5">
        <v>289</v>
      </c>
      <c r="N7477" s="7">
        <v>255476</v>
      </c>
      <c r="O7477">
        <v>884</v>
      </c>
      <c r="P7477">
        <v>289</v>
      </c>
      <c r="Q7477" s="2">
        <v>255476</v>
      </c>
      <c r="R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 s="1">
        <v>42382</v>
      </c>
      <c r="AC7477" t="s">
        <v>53</v>
      </c>
      <c r="AD7477" t="s">
        <v>53</v>
      </c>
      <c r="AK7477">
        <v>0</v>
      </c>
      <c r="AU7477" s="6">
        <v>42304</v>
      </c>
      <c r="AV7477" s="6">
        <v>42304</v>
      </c>
      <c r="AW7477" t="s">
        <v>54</v>
      </c>
      <c r="AX7477" t="str">
        <f t="shared" si="602"/>
        <v>FOR</v>
      </c>
      <c r="AY7477" t="s">
        <v>55</v>
      </c>
    </row>
    <row r="7478" spans="1:51">
      <c r="A7478">
        <v>104195</v>
      </c>
      <c r="B7478" t="s">
        <v>1247</v>
      </c>
      <c r="C7478" t="str">
        <f t="shared" si="605"/>
        <v>11206730159</v>
      </c>
      <c r="D7478" t="str">
        <f t="shared" si="605"/>
        <v>11206730159</v>
      </c>
      <c r="E7478" t="s">
        <v>52</v>
      </c>
      <c r="F7478">
        <v>2014</v>
      </c>
      <c r="G7478">
        <v>71125956</v>
      </c>
      <c r="H7478" s="1">
        <v>41948</v>
      </c>
      <c r="I7478" s="1">
        <v>41955</v>
      </c>
      <c r="J7478" s="1">
        <v>41955</v>
      </c>
      <c r="K7478" s="1">
        <v>42015</v>
      </c>
      <c r="L7478" s="7">
        <v>894.4</v>
      </c>
      <c r="M7478" s="5">
        <v>289</v>
      </c>
      <c r="N7478" s="7">
        <v>258481.6</v>
      </c>
      <c r="O7478">
        <v>894.4</v>
      </c>
      <c r="P7478">
        <v>289</v>
      </c>
      <c r="Q7478" s="2">
        <v>258481.6</v>
      </c>
      <c r="R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 s="1">
        <v>42382</v>
      </c>
      <c r="AC7478" t="s">
        <v>53</v>
      </c>
      <c r="AD7478" t="s">
        <v>53</v>
      </c>
      <c r="AK7478">
        <v>0</v>
      </c>
      <c r="AU7478" s="6">
        <v>42304</v>
      </c>
      <c r="AV7478" s="6">
        <v>42304</v>
      </c>
      <c r="AW7478" t="s">
        <v>54</v>
      </c>
      <c r="AX7478" t="str">
        <f t="shared" si="602"/>
        <v>FOR</v>
      </c>
      <c r="AY7478" t="s">
        <v>55</v>
      </c>
    </row>
    <row r="7479" spans="1:51">
      <c r="A7479">
        <v>104195</v>
      </c>
      <c r="B7479" t="s">
        <v>1247</v>
      </c>
      <c r="C7479" t="str">
        <f t="shared" si="605"/>
        <v>11206730159</v>
      </c>
      <c r="D7479" t="str">
        <f t="shared" si="605"/>
        <v>11206730159</v>
      </c>
      <c r="E7479" t="s">
        <v>52</v>
      </c>
      <c r="F7479">
        <v>2014</v>
      </c>
      <c r="G7479">
        <v>71125957</v>
      </c>
      <c r="H7479" s="1">
        <v>41948</v>
      </c>
      <c r="I7479" s="1">
        <v>41955</v>
      </c>
      <c r="J7479" s="1">
        <v>41955</v>
      </c>
      <c r="K7479" s="1">
        <v>42015</v>
      </c>
      <c r="L7479" s="7">
        <v>183</v>
      </c>
      <c r="M7479" s="5">
        <v>289</v>
      </c>
      <c r="N7479" s="7">
        <v>52887</v>
      </c>
      <c r="O7479">
        <v>183</v>
      </c>
      <c r="P7479">
        <v>289</v>
      </c>
      <c r="Q7479" s="2">
        <v>52887</v>
      </c>
      <c r="R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 s="1">
        <v>42382</v>
      </c>
      <c r="AC7479" t="s">
        <v>53</v>
      </c>
      <c r="AD7479" t="s">
        <v>53</v>
      </c>
      <c r="AK7479">
        <v>0</v>
      </c>
      <c r="AU7479" s="6">
        <v>42304</v>
      </c>
      <c r="AV7479" s="6">
        <v>42304</v>
      </c>
      <c r="AW7479" t="s">
        <v>54</v>
      </c>
      <c r="AX7479" t="str">
        <f t="shared" si="602"/>
        <v>FOR</v>
      </c>
      <c r="AY7479" t="s">
        <v>55</v>
      </c>
    </row>
    <row r="7480" spans="1:51">
      <c r="A7480">
        <v>104195</v>
      </c>
      <c r="B7480" t="s">
        <v>1247</v>
      </c>
      <c r="C7480" t="str">
        <f t="shared" si="605"/>
        <v>11206730159</v>
      </c>
      <c r="D7480" t="str">
        <f t="shared" si="605"/>
        <v>11206730159</v>
      </c>
      <c r="E7480" t="s">
        <v>52</v>
      </c>
      <c r="F7480">
        <v>2014</v>
      </c>
      <c r="G7480">
        <v>71129175</v>
      </c>
      <c r="H7480" s="1">
        <v>41960</v>
      </c>
      <c r="I7480" s="1">
        <v>41967</v>
      </c>
      <c r="J7480" s="1">
        <v>41967</v>
      </c>
      <c r="K7480" s="1">
        <v>42027</v>
      </c>
      <c r="L7480" s="7">
        <v>884</v>
      </c>
      <c r="M7480" s="5">
        <v>277</v>
      </c>
      <c r="N7480" s="7">
        <v>244868</v>
      </c>
      <c r="O7480">
        <v>884</v>
      </c>
      <c r="P7480">
        <v>277</v>
      </c>
      <c r="Q7480" s="2">
        <v>244868</v>
      </c>
      <c r="R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 s="1">
        <v>42382</v>
      </c>
      <c r="AC7480" t="s">
        <v>53</v>
      </c>
      <c r="AD7480" t="s">
        <v>53</v>
      </c>
      <c r="AK7480">
        <v>0</v>
      </c>
      <c r="AU7480" s="6">
        <v>42304</v>
      </c>
      <c r="AV7480" s="6">
        <v>42304</v>
      </c>
      <c r="AW7480" t="s">
        <v>54</v>
      </c>
      <c r="AX7480" t="str">
        <f t="shared" si="602"/>
        <v>FOR</v>
      </c>
      <c r="AY7480" t="s">
        <v>55</v>
      </c>
    </row>
    <row r="7481" spans="1:51">
      <c r="A7481">
        <v>104195</v>
      </c>
      <c r="B7481" t="s">
        <v>1247</v>
      </c>
      <c r="C7481" t="str">
        <f t="shared" si="605"/>
        <v>11206730159</v>
      </c>
      <c r="D7481" t="str">
        <f t="shared" si="605"/>
        <v>11206730159</v>
      </c>
      <c r="E7481" t="s">
        <v>52</v>
      </c>
      <c r="F7481">
        <v>2014</v>
      </c>
      <c r="G7481">
        <v>71129176</v>
      </c>
      <c r="H7481" s="1">
        <v>41960</v>
      </c>
      <c r="I7481" s="1">
        <v>41967</v>
      </c>
      <c r="J7481" s="1">
        <v>41967</v>
      </c>
      <c r="K7481" s="1">
        <v>42027</v>
      </c>
      <c r="L7481" s="7">
        <v>183</v>
      </c>
      <c r="M7481" s="5">
        <v>277</v>
      </c>
      <c r="N7481" s="7">
        <v>50691</v>
      </c>
      <c r="O7481">
        <v>183</v>
      </c>
      <c r="P7481">
        <v>277</v>
      </c>
      <c r="Q7481" s="2">
        <v>50691</v>
      </c>
      <c r="R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 s="1">
        <v>42382</v>
      </c>
      <c r="AC7481" t="s">
        <v>53</v>
      </c>
      <c r="AD7481" t="s">
        <v>53</v>
      </c>
      <c r="AK7481">
        <v>0</v>
      </c>
      <c r="AU7481" s="6">
        <v>42304</v>
      </c>
      <c r="AV7481" s="6">
        <v>42304</v>
      </c>
      <c r="AW7481" t="s">
        <v>54</v>
      </c>
      <c r="AX7481" t="str">
        <f t="shared" si="602"/>
        <v>FOR</v>
      </c>
      <c r="AY7481" t="s">
        <v>55</v>
      </c>
    </row>
    <row r="7482" spans="1:51">
      <c r="A7482">
        <v>104195</v>
      </c>
      <c r="B7482" t="s">
        <v>1247</v>
      </c>
      <c r="C7482" t="str">
        <f t="shared" si="605"/>
        <v>11206730159</v>
      </c>
      <c r="D7482" t="str">
        <f t="shared" si="605"/>
        <v>11206730159</v>
      </c>
      <c r="E7482" t="s">
        <v>52</v>
      </c>
      <c r="F7482">
        <v>2014</v>
      </c>
      <c r="G7482">
        <v>71129177</v>
      </c>
      <c r="H7482" s="1">
        <v>41960</v>
      </c>
      <c r="I7482" s="1">
        <v>41967</v>
      </c>
      <c r="J7482" s="1">
        <v>41967</v>
      </c>
      <c r="K7482" s="1">
        <v>42027</v>
      </c>
      <c r="L7482" s="7">
        <v>183</v>
      </c>
      <c r="M7482" s="5">
        <v>277</v>
      </c>
      <c r="N7482" s="7">
        <v>50691</v>
      </c>
      <c r="O7482">
        <v>183</v>
      </c>
      <c r="P7482">
        <v>277</v>
      </c>
      <c r="Q7482" s="2">
        <v>50691</v>
      </c>
      <c r="R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 s="1">
        <v>42382</v>
      </c>
      <c r="AC7482" t="s">
        <v>53</v>
      </c>
      <c r="AD7482" t="s">
        <v>53</v>
      </c>
      <c r="AK7482">
        <v>0</v>
      </c>
      <c r="AU7482" s="6">
        <v>42304</v>
      </c>
      <c r="AV7482" s="6">
        <v>42304</v>
      </c>
      <c r="AW7482" t="s">
        <v>54</v>
      </c>
      <c r="AX7482" t="str">
        <f t="shared" si="602"/>
        <v>FOR</v>
      </c>
      <c r="AY7482" t="s">
        <v>55</v>
      </c>
    </row>
    <row r="7483" spans="1:51">
      <c r="A7483">
        <v>104195</v>
      </c>
      <c r="B7483" t="s">
        <v>1247</v>
      </c>
      <c r="C7483" t="str">
        <f t="shared" si="605"/>
        <v>11206730159</v>
      </c>
      <c r="D7483" t="str">
        <f t="shared" si="605"/>
        <v>11206730159</v>
      </c>
      <c r="E7483" t="s">
        <v>52</v>
      </c>
      <c r="F7483">
        <v>2014</v>
      </c>
      <c r="G7483">
        <v>71129178</v>
      </c>
      <c r="H7483" s="1">
        <v>41960</v>
      </c>
      <c r="I7483" s="1">
        <v>41967</v>
      </c>
      <c r="J7483" s="1">
        <v>41967</v>
      </c>
      <c r="K7483" s="1">
        <v>42027</v>
      </c>
      <c r="L7483" s="7">
        <v>183</v>
      </c>
      <c r="M7483" s="5">
        <v>277</v>
      </c>
      <c r="N7483" s="7">
        <v>50691</v>
      </c>
      <c r="O7483">
        <v>183</v>
      </c>
      <c r="P7483">
        <v>277</v>
      </c>
      <c r="Q7483" s="2">
        <v>50691</v>
      </c>
      <c r="R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 s="1">
        <v>42382</v>
      </c>
      <c r="AC7483" t="s">
        <v>53</v>
      </c>
      <c r="AD7483" t="s">
        <v>53</v>
      </c>
      <c r="AK7483">
        <v>0</v>
      </c>
      <c r="AU7483" s="6">
        <v>42304</v>
      </c>
      <c r="AV7483" s="6">
        <v>42304</v>
      </c>
      <c r="AW7483" t="s">
        <v>54</v>
      </c>
      <c r="AX7483" t="str">
        <f t="shared" si="602"/>
        <v>FOR</v>
      </c>
      <c r="AY7483" t="s">
        <v>55</v>
      </c>
    </row>
    <row r="7484" spans="1:51">
      <c r="A7484">
        <v>104195</v>
      </c>
      <c r="B7484" t="s">
        <v>1247</v>
      </c>
      <c r="C7484" t="str">
        <f t="shared" si="605"/>
        <v>11206730159</v>
      </c>
      <c r="D7484" t="str">
        <f t="shared" si="605"/>
        <v>11206730159</v>
      </c>
      <c r="E7484" t="s">
        <v>52</v>
      </c>
      <c r="F7484">
        <v>2014</v>
      </c>
      <c r="G7484">
        <v>71129179</v>
      </c>
      <c r="H7484" s="1">
        <v>41960</v>
      </c>
      <c r="I7484" s="1">
        <v>41967</v>
      </c>
      <c r="J7484" s="1">
        <v>41967</v>
      </c>
      <c r="K7484" s="1">
        <v>42027</v>
      </c>
      <c r="L7484" s="7">
        <v>183</v>
      </c>
      <c r="M7484" s="5">
        <v>277</v>
      </c>
      <c r="N7484" s="7">
        <v>50691</v>
      </c>
      <c r="O7484">
        <v>183</v>
      </c>
      <c r="P7484">
        <v>277</v>
      </c>
      <c r="Q7484" s="2">
        <v>50691</v>
      </c>
      <c r="R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 s="1">
        <v>42382</v>
      </c>
      <c r="AC7484" t="s">
        <v>53</v>
      </c>
      <c r="AD7484" t="s">
        <v>53</v>
      </c>
      <c r="AK7484">
        <v>0</v>
      </c>
      <c r="AU7484" s="6">
        <v>42304</v>
      </c>
      <c r="AV7484" s="6">
        <v>42304</v>
      </c>
      <c r="AW7484" t="s">
        <v>54</v>
      </c>
      <c r="AX7484" t="str">
        <f t="shared" si="602"/>
        <v>FOR</v>
      </c>
      <c r="AY7484" t="s">
        <v>55</v>
      </c>
    </row>
    <row r="7485" spans="1:51">
      <c r="A7485">
        <v>104195</v>
      </c>
      <c r="B7485" t="s">
        <v>1247</v>
      </c>
      <c r="C7485" t="str">
        <f t="shared" si="605"/>
        <v>11206730159</v>
      </c>
      <c r="D7485" t="str">
        <f t="shared" si="605"/>
        <v>11206730159</v>
      </c>
      <c r="E7485" t="s">
        <v>52</v>
      </c>
      <c r="F7485">
        <v>2014</v>
      </c>
      <c r="G7485">
        <v>71134684</v>
      </c>
      <c r="H7485" s="1">
        <v>41977</v>
      </c>
      <c r="I7485" s="1">
        <v>41984</v>
      </c>
      <c r="J7485" s="1">
        <v>41984</v>
      </c>
      <c r="K7485" s="1">
        <v>42044</v>
      </c>
      <c r="L7485" s="7">
        <v>884</v>
      </c>
      <c r="M7485" s="5">
        <v>312</v>
      </c>
      <c r="N7485" s="7">
        <v>275808</v>
      </c>
      <c r="O7485">
        <v>884</v>
      </c>
      <c r="P7485">
        <v>312</v>
      </c>
      <c r="Q7485" s="2">
        <v>275808</v>
      </c>
      <c r="R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 s="1">
        <v>42382</v>
      </c>
      <c r="AC7485" t="s">
        <v>53</v>
      </c>
      <c r="AD7485" t="s">
        <v>53</v>
      </c>
      <c r="AK7485">
        <v>0</v>
      </c>
      <c r="AU7485" s="6">
        <v>42356</v>
      </c>
      <c r="AV7485" s="6">
        <v>42356</v>
      </c>
      <c r="AW7485" t="s">
        <v>54</v>
      </c>
      <c r="AX7485" t="str">
        <f t="shared" si="602"/>
        <v>FOR</v>
      </c>
      <c r="AY7485" t="s">
        <v>55</v>
      </c>
    </row>
    <row r="7486" spans="1:51">
      <c r="A7486">
        <v>104195</v>
      </c>
      <c r="B7486" t="s">
        <v>1247</v>
      </c>
      <c r="C7486" t="str">
        <f t="shared" si="605"/>
        <v>11206730159</v>
      </c>
      <c r="D7486" t="str">
        <f t="shared" si="605"/>
        <v>11206730159</v>
      </c>
      <c r="E7486" t="s">
        <v>52</v>
      </c>
      <c r="F7486">
        <v>2014</v>
      </c>
      <c r="G7486">
        <v>71134685</v>
      </c>
      <c r="H7486" s="1">
        <v>41977</v>
      </c>
      <c r="I7486" s="1">
        <v>41984</v>
      </c>
      <c r="J7486" s="1">
        <v>41984</v>
      </c>
      <c r="K7486" s="1">
        <v>42044</v>
      </c>
      <c r="L7486" s="7">
        <v>915</v>
      </c>
      <c r="M7486" s="5">
        <v>312</v>
      </c>
      <c r="N7486" s="7">
        <v>285480</v>
      </c>
      <c r="O7486">
        <v>915</v>
      </c>
      <c r="P7486">
        <v>312</v>
      </c>
      <c r="Q7486" s="2">
        <v>285480</v>
      </c>
      <c r="R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 s="1">
        <v>42382</v>
      </c>
      <c r="AC7486" t="s">
        <v>53</v>
      </c>
      <c r="AD7486" t="s">
        <v>53</v>
      </c>
      <c r="AK7486">
        <v>0</v>
      </c>
      <c r="AU7486" s="6">
        <v>42356</v>
      </c>
      <c r="AV7486" s="6">
        <v>42356</v>
      </c>
      <c r="AW7486" t="s">
        <v>54</v>
      </c>
      <c r="AX7486" t="str">
        <f t="shared" si="602"/>
        <v>FOR</v>
      </c>
      <c r="AY7486" t="s">
        <v>55</v>
      </c>
    </row>
    <row r="7487" spans="1:51">
      <c r="A7487">
        <v>104195</v>
      </c>
      <c r="B7487" t="s">
        <v>1247</v>
      </c>
      <c r="C7487" t="str">
        <f t="shared" si="605"/>
        <v>11206730159</v>
      </c>
      <c r="D7487" t="str">
        <f t="shared" si="605"/>
        <v>11206730159</v>
      </c>
      <c r="E7487" t="s">
        <v>52</v>
      </c>
      <c r="F7487">
        <v>2014</v>
      </c>
      <c r="G7487">
        <v>71134686</v>
      </c>
      <c r="H7487" s="1">
        <v>41977</v>
      </c>
      <c r="I7487" s="1">
        <v>41984</v>
      </c>
      <c r="J7487" s="1">
        <v>41984</v>
      </c>
      <c r="K7487" s="1">
        <v>42044</v>
      </c>
      <c r="L7487" s="7">
        <v>1144</v>
      </c>
      <c r="M7487" s="5">
        <v>312</v>
      </c>
      <c r="N7487" s="7">
        <v>356928</v>
      </c>
      <c r="O7487" s="2">
        <v>1144</v>
      </c>
      <c r="P7487">
        <v>312</v>
      </c>
      <c r="Q7487" s="2">
        <v>356928</v>
      </c>
      <c r="R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 s="1">
        <v>42382</v>
      </c>
      <c r="AC7487" t="s">
        <v>53</v>
      </c>
      <c r="AD7487" t="s">
        <v>53</v>
      </c>
      <c r="AK7487">
        <v>0</v>
      </c>
      <c r="AU7487" s="6">
        <v>42356</v>
      </c>
      <c r="AV7487" s="6">
        <v>42356</v>
      </c>
      <c r="AW7487" t="s">
        <v>54</v>
      </c>
      <c r="AX7487" t="str">
        <f t="shared" si="602"/>
        <v>FOR</v>
      </c>
      <c r="AY7487" t="s">
        <v>55</v>
      </c>
    </row>
    <row r="7488" spans="1:51">
      <c r="A7488">
        <v>104195</v>
      </c>
      <c r="B7488" t="s">
        <v>1247</v>
      </c>
      <c r="C7488" t="str">
        <f t="shared" ref="C7488:D7494" si="606">"11206730159"</f>
        <v>11206730159</v>
      </c>
      <c r="D7488" t="str">
        <f t="shared" si="606"/>
        <v>11206730159</v>
      </c>
      <c r="E7488" t="s">
        <v>52</v>
      </c>
      <c r="F7488">
        <v>2014</v>
      </c>
      <c r="G7488">
        <v>71134687</v>
      </c>
      <c r="H7488" s="1">
        <v>41977</v>
      </c>
      <c r="I7488" s="1">
        <v>41984</v>
      </c>
      <c r="J7488" s="1">
        <v>41984</v>
      </c>
      <c r="K7488" s="1">
        <v>42044</v>
      </c>
      <c r="L7488" s="7">
        <v>183</v>
      </c>
      <c r="M7488" s="5">
        <v>312</v>
      </c>
      <c r="N7488" s="7">
        <v>57096</v>
      </c>
      <c r="O7488">
        <v>183</v>
      </c>
      <c r="P7488">
        <v>312</v>
      </c>
      <c r="Q7488" s="2">
        <v>57096</v>
      </c>
      <c r="R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 s="1">
        <v>42382</v>
      </c>
      <c r="AC7488" t="s">
        <v>53</v>
      </c>
      <c r="AD7488" t="s">
        <v>53</v>
      </c>
      <c r="AK7488">
        <v>0</v>
      </c>
      <c r="AU7488" s="6">
        <v>42356</v>
      </c>
      <c r="AV7488" s="6">
        <v>42356</v>
      </c>
      <c r="AW7488" t="s">
        <v>54</v>
      </c>
      <c r="AX7488" t="str">
        <f t="shared" si="602"/>
        <v>FOR</v>
      </c>
      <c r="AY7488" t="s">
        <v>55</v>
      </c>
    </row>
    <row r="7489" spans="1:51">
      <c r="A7489">
        <v>104195</v>
      </c>
      <c r="B7489" t="s">
        <v>1247</v>
      </c>
      <c r="C7489" t="str">
        <f t="shared" si="606"/>
        <v>11206730159</v>
      </c>
      <c r="D7489" t="str">
        <f t="shared" si="606"/>
        <v>11206730159</v>
      </c>
      <c r="E7489" t="s">
        <v>52</v>
      </c>
      <c r="F7489">
        <v>2014</v>
      </c>
      <c r="G7489">
        <v>71134688</v>
      </c>
      <c r="H7489" s="1">
        <v>41977</v>
      </c>
      <c r="I7489" s="1">
        <v>41984</v>
      </c>
      <c r="J7489" s="1">
        <v>41984</v>
      </c>
      <c r="K7489" s="1">
        <v>42044</v>
      </c>
      <c r="L7489" s="7">
        <v>183</v>
      </c>
      <c r="M7489" s="5">
        <v>312</v>
      </c>
      <c r="N7489" s="7">
        <v>57096</v>
      </c>
      <c r="O7489">
        <v>183</v>
      </c>
      <c r="P7489">
        <v>312</v>
      </c>
      <c r="Q7489" s="2">
        <v>57096</v>
      </c>
      <c r="R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 s="1">
        <v>42382</v>
      </c>
      <c r="AC7489" t="s">
        <v>53</v>
      </c>
      <c r="AD7489" t="s">
        <v>53</v>
      </c>
      <c r="AK7489">
        <v>0</v>
      </c>
      <c r="AU7489" s="6">
        <v>42356</v>
      </c>
      <c r="AV7489" s="6">
        <v>42356</v>
      </c>
      <c r="AW7489" t="s">
        <v>54</v>
      </c>
      <c r="AX7489" t="str">
        <f t="shared" si="602"/>
        <v>FOR</v>
      </c>
      <c r="AY7489" t="s">
        <v>55</v>
      </c>
    </row>
    <row r="7490" spans="1:51">
      <c r="A7490">
        <v>104195</v>
      </c>
      <c r="B7490" t="s">
        <v>1247</v>
      </c>
      <c r="C7490" t="str">
        <f t="shared" si="606"/>
        <v>11206730159</v>
      </c>
      <c r="D7490" t="str">
        <f t="shared" si="606"/>
        <v>11206730159</v>
      </c>
      <c r="E7490" t="s">
        <v>52</v>
      </c>
      <c r="F7490">
        <v>2014</v>
      </c>
      <c r="G7490">
        <v>71138227</v>
      </c>
      <c r="H7490" s="1">
        <v>41990</v>
      </c>
      <c r="I7490" s="1">
        <v>42002</v>
      </c>
      <c r="J7490" s="1">
        <v>42002</v>
      </c>
      <c r="K7490" s="1">
        <v>42062</v>
      </c>
      <c r="L7490" s="7">
        <v>884</v>
      </c>
      <c r="M7490" s="5">
        <v>294</v>
      </c>
      <c r="N7490" s="7">
        <v>259896</v>
      </c>
      <c r="O7490">
        <v>884</v>
      </c>
      <c r="P7490">
        <v>294</v>
      </c>
      <c r="Q7490" s="2">
        <v>259896</v>
      </c>
      <c r="R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 s="1">
        <v>42382</v>
      </c>
      <c r="AC7490" t="s">
        <v>53</v>
      </c>
      <c r="AD7490" t="s">
        <v>53</v>
      </c>
      <c r="AK7490">
        <v>0</v>
      </c>
      <c r="AU7490" s="6">
        <v>42356</v>
      </c>
      <c r="AV7490" s="6">
        <v>42356</v>
      </c>
      <c r="AW7490" t="s">
        <v>54</v>
      </c>
      <c r="AX7490" t="str">
        <f t="shared" si="602"/>
        <v>FOR</v>
      </c>
      <c r="AY7490" t="s">
        <v>55</v>
      </c>
    </row>
    <row r="7491" spans="1:51">
      <c r="A7491">
        <v>104195</v>
      </c>
      <c r="B7491" t="s">
        <v>1247</v>
      </c>
      <c r="C7491" t="str">
        <f t="shared" si="606"/>
        <v>11206730159</v>
      </c>
      <c r="D7491" t="str">
        <f t="shared" si="606"/>
        <v>11206730159</v>
      </c>
      <c r="E7491" t="s">
        <v>52</v>
      </c>
      <c r="F7491">
        <v>2014</v>
      </c>
      <c r="G7491">
        <v>71138228</v>
      </c>
      <c r="H7491" s="1">
        <v>41990</v>
      </c>
      <c r="I7491" s="1">
        <v>42002</v>
      </c>
      <c r="J7491" s="1">
        <v>42002</v>
      </c>
      <c r="K7491" s="1">
        <v>42062</v>
      </c>
      <c r="L7491" s="7">
        <v>884</v>
      </c>
      <c r="M7491" s="5">
        <v>294</v>
      </c>
      <c r="N7491" s="7">
        <v>259896</v>
      </c>
      <c r="O7491">
        <v>884</v>
      </c>
      <c r="P7491">
        <v>294</v>
      </c>
      <c r="Q7491" s="2">
        <v>259896</v>
      </c>
      <c r="R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 s="1">
        <v>42382</v>
      </c>
      <c r="AC7491" t="s">
        <v>53</v>
      </c>
      <c r="AD7491" t="s">
        <v>53</v>
      </c>
      <c r="AK7491">
        <v>0</v>
      </c>
      <c r="AU7491" s="6">
        <v>42356</v>
      </c>
      <c r="AV7491" s="6">
        <v>42356</v>
      </c>
      <c r="AW7491" t="s">
        <v>54</v>
      </c>
      <c r="AX7491" t="str">
        <f t="shared" ref="AX7491:AX7554" si="607">"FOR"</f>
        <v>FOR</v>
      </c>
      <c r="AY7491" t="s">
        <v>55</v>
      </c>
    </row>
    <row r="7492" spans="1:51">
      <c r="A7492">
        <v>104195</v>
      </c>
      <c r="B7492" t="s">
        <v>1247</v>
      </c>
      <c r="C7492" t="str">
        <f t="shared" si="606"/>
        <v>11206730159</v>
      </c>
      <c r="D7492" t="str">
        <f t="shared" si="606"/>
        <v>11206730159</v>
      </c>
      <c r="E7492" t="s">
        <v>52</v>
      </c>
      <c r="F7492">
        <v>2015</v>
      </c>
      <c r="G7492">
        <v>7171144566</v>
      </c>
      <c r="H7492" s="1">
        <v>42018</v>
      </c>
      <c r="I7492" s="1">
        <v>42025</v>
      </c>
      <c r="J7492" s="1">
        <v>42025</v>
      </c>
      <c r="K7492" s="1">
        <v>42085</v>
      </c>
      <c r="L7492" s="7">
        <v>850</v>
      </c>
      <c r="M7492" s="5">
        <v>271</v>
      </c>
      <c r="N7492" s="7">
        <v>230350</v>
      </c>
      <c r="O7492">
        <v>850</v>
      </c>
      <c r="P7492">
        <v>271</v>
      </c>
      <c r="Q7492" s="2">
        <v>230350</v>
      </c>
      <c r="R7492">
        <v>34</v>
      </c>
      <c r="V7492">
        <v>0</v>
      </c>
      <c r="W7492">
        <v>0</v>
      </c>
      <c r="X7492">
        <v>0</v>
      </c>
      <c r="Y7492">
        <v>884</v>
      </c>
      <c r="Z7492">
        <v>884</v>
      </c>
      <c r="AA7492">
        <v>884</v>
      </c>
      <c r="AB7492" s="1">
        <v>42382</v>
      </c>
      <c r="AC7492" t="s">
        <v>53</v>
      </c>
      <c r="AD7492" t="s">
        <v>53</v>
      </c>
      <c r="AK7492">
        <v>34</v>
      </c>
      <c r="AU7492" s="6">
        <v>42356</v>
      </c>
      <c r="AV7492" s="6">
        <v>42356</v>
      </c>
      <c r="AW7492" t="s">
        <v>54</v>
      </c>
      <c r="AX7492" t="str">
        <f t="shared" si="607"/>
        <v>FOR</v>
      </c>
      <c r="AY7492" t="s">
        <v>55</v>
      </c>
    </row>
    <row r="7493" spans="1:51">
      <c r="A7493">
        <v>104195</v>
      </c>
      <c r="B7493" t="s">
        <v>1247</v>
      </c>
      <c r="C7493" t="str">
        <f t="shared" si="606"/>
        <v>11206730159</v>
      </c>
      <c r="D7493" t="str">
        <f t="shared" si="606"/>
        <v>11206730159</v>
      </c>
      <c r="E7493" t="s">
        <v>52</v>
      </c>
      <c r="F7493">
        <v>2015</v>
      </c>
      <c r="G7493">
        <v>7171144567</v>
      </c>
      <c r="H7493" s="1">
        <v>42018</v>
      </c>
      <c r="I7493" s="1">
        <v>42025</v>
      </c>
      <c r="J7493" s="1">
        <v>42025</v>
      </c>
      <c r="K7493" s="1">
        <v>42085</v>
      </c>
      <c r="L7493" s="7">
        <v>850</v>
      </c>
      <c r="M7493" s="5">
        <v>271</v>
      </c>
      <c r="N7493" s="7">
        <v>230350</v>
      </c>
      <c r="O7493">
        <v>850</v>
      </c>
      <c r="P7493">
        <v>271</v>
      </c>
      <c r="Q7493" s="2">
        <v>230350</v>
      </c>
      <c r="R7493">
        <v>34</v>
      </c>
      <c r="V7493">
        <v>0</v>
      </c>
      <c r="W7493">
        <v>0</v>
      </c>
      <c r="X7493">
        <v>0</v>
      </c>
      <c r="Y7493">
        <v>884</v>
      </c>
      <c r="Z7493">
        <v>884</v>
      </c>
      <c r="AA7493">
        <v>884</v>
      </c>
      <c r="AB7493" s="1">
        <v>42382</v>
      </c>
      <c r="AC7493" t="s">
        <v>53</v>
      </c>
      <c r="AD7493" t="s">
        <v>53</v>
      </c>
      <c r="AK7493">
        <v>34</v>
      </c>
      <c r="AU7493" s="6">
        <v>42356</v>
      </c>
      <c r="AV7493" s="6">
        <v>42356</v>
      </c>
      <c r="AW7493" t="s">
        <v>54</v>
      </c>
      <c r="AX7493" t="str">
        <f t="shared" si="607"/>
        <v>FOR</v>
      </c>
      <c r="AY7493" t="s">
        <v>55</v>
      </c>
    </row>
    <row r="7494" spans="1:51">
      <c r="A7494">
        <v>104195</v>
      </c>
      <c r="B7494" t="s">
        <v>1247</v>
      </c>
      <c r="C7494" t="str">
        <f t="shared" si="606"/>
        <v>11206730159</v>
      </c>
      <c r="D7494" t="str">
        <f t="shared" si="606"/>
        <v>11206730159</v>
      </c>
      <c r="E7494" t="s">
        <v>52</v>
      </c>
      <c r="F7494">
        <v>2015</v>
      </c>
      <c r="G7494">
        <v>7171148099</v>
      </c>
      <c r="H7494" s="1">
        <v>42030</v>
      </c>
      <c r="I7494" s="1">
        <v>42047</v>
      </c>
      <c r="J7494" s="1">
        <v>42047</v>
      </c>
      <c r="K7494" s="1">
        <v>42107</v>
      </c>
      <c r="L7494" s="7">
        <v>3800</v>
      </c>
      <c r="M7494" s="5">
        <v>249</v>
      </c>
      <c r="N7494" s="7">
        <v>946200</v>
      </c>
      <c r="O7494" s="2">
        <v>3800</v>
      </c>
      <c r="P7494">
        <v>249</v>
      </c>
      <c r="Q7494" s="2">
        <v>946200</v>
      </c>
      <c r="R7494">
        <v>836</v>
      </c>
      <c r="V7494">
        <v>0</v>
      </c>
      <c r="W7494">
        <v>0</v>
      </c>
      <c r="X7494">
        <v>0</v>
      </c>
      <c r="Y7494" s="2">
        <v>4636</v>
      </c>
      <c r="Z7494" s="2">
        <v>4636</v>
      </c>
      <c r="AA7494" s="2">
        <v>4636</v>
      </c>
      <c r="AB7494" s="1">
        <v>42382</v>
      </c>
      <c r="AC7494" t="s">
        <v>53</v>
      </c>
      <c r="AD7494" t="s">
        <v>53</v>
      </c>
      <c r="AK7494">
        <v>836</v>
      </c>
      <c r="AU7494" s="6">
        <v>42356</v>
      </c>
      <c r="AV7494" s="6">
        <v>42356</v>
      </c>
      <c r="AW7494" t="s">
        <v>54</v>
      </c>
      <c r="AX7494" t="str">
        <f t="shared" si="607"/>
        <v>FOR</v>
      </c>
      <c r="AY7494" t="s">
        <v>55</v>
      </c>
    </row>
    <row r="7495" spans="1:51" hidden="1">
      <c r="A7495">
        <v>104198</v>
      </c>
      <c r="B7495" t="s">
        <v>1248</v>
      </c>
      <c r="C7495" t="str">
        <f t="shared" ref="C7495:D7497" si="608">"05038691001"</f>
        <v>05038691001</v>
      </c>
      <c r="D7495" t="str">
        <f t="shared" si="608"/>
        <v>05038691001</v>
      </c>
      <c r="E7495" t="s">
        <v>52</v>
      </c>
      <c r="F7495">
        <v>2014</v>
      </c>
      <c r="G7495">
        <v>8120</v>
      </c>
      <c r="H7495" s="1">
        <v>41810</v>
      </c>
      <c r="I7495" s="1">
        <v>41821</v>
      </c>
      <c r="J7495" s="1">
        <v>41821</v>
      </c>
      <c r="K7495" s="1">
        <v>41911</v>
      </c>
      <c r="N7495" s="5"/>
      <c r="O7495">
        <v>336.19</v>
      </c>
      <c r="P7495">
        <v>248</v>
      </c>
      <c r="Q7495" s="2">
        <v>83375.12</v>
      </c>
      <c r="R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 s="1">
        <v>42382</v>
      </c>
      <c r="AC7495" t="s">
        <v>53</v>
      </c>
      <c r="AD7495" t="s">
        <v>53</v>
      </c>
      <c r="AK7495">
        <v>0</v>
      </c>
      <c r="AU7495" s="6">
        <v>42159</v>
      </c>
      <c r="AV7495" s="6">
        <v>42159</v>
      </c>
      <c r="AW7495" t="s">
        <v>54</v>
      </c>
      <c r="AX7495" t="str">
        <f t="shared" si="607"/>
        <v>FOR</v>
      </c>
      <c r="AY7495" t="s">
        <v>55</v>
      </c>
    </row>
    <row r="7496" spans="1:51" hidden="1">
      <c r="A7496">
        <v>104198</v>
      </c>
      <c r="B7496" t="s">
        <v>1248</v>
      </c>
      <c r="C7496" t="str">
        <f t="shared" si="608"/>
        <v>05038691001</v>
      </c>
      <c r="D7496" t="str">
        <f t="shared" si="608"/>
        <v>05038691001</v>
      </c>
      <c r="E7496" t="s">
        <v>52</v>
      </c>
      <c r="F7496">
        <v>2014</v>
      </c>
      <c r="G7496">
        <v>9818</v>
      </c>
      <c r="H7496" s="1">
        <v>41842</v>
      </c>
      <c r="I7496" s="1">
        <v>41872</v>
      </c>
      <c r="J7496" s="1">
        <v>41872</v>
      </c>
      <c r="K7496" s="1">
        <v>41962</v>
      </c>
      <c r="N7496" s="5"/>
      <c r="O7496">
        <v>760.72</v>
      </c>
      <c r="P7496">
        <v>229</v>
      </c>
      <c r="Q7496" s="2">
        <v>174204.88</v>
      </c>
      <c r="R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 s="1">
        <v>42382</v>
      </c>
      <c r="AC7496" t="s">
        <v>53</v>
      </c>
      <c r="AD7496" t="s">
        <v>53</v>
      </c>
      <c r="AK7496">
        <v>0</v>
      </c>
      <c r="AU7496" s="6">
        <v>42191</v>
      </c>
      <c r="AV7496" s="6">
        <v>42191</v>
      </c>
      <c r="AW7496" t="s">
        <v>54</v>
      </c>
      <c r="AX7496" t="str">
        <f t="shared" si="607"/>
        <v>FOR</v>
      </c>
      <c r="AY7496" t="s">
        <v>55</v>
      </c>
    </row>
    <row r="7497" spans="1:51">
      <c r="A7497">
        <v>104198</v>
      </c>
      <c r="B7497" t="s">
        <v>1248</v>
      </c>
      <c r="C7497" t="str">
        <f t="shared" si="608"/>
        <v>05038691001</v>
      </c>
      <c r="D7497" t="str">
        <f t="shared" si="608"/>
        <v>05038691001</v>
      </c>
      <c r="E7497" t="s">
        <v>52</v>
      </c>
      <c r="F7497">
        <v>2014</v>
      </c>
      <c r="G7497">
        <v>14508</v>
      </c>
      <c r="H7497" s="1">
        <v>41970</v>
      </c>
      <c r="I7497" s="1">
        <v>41990</v>
      </c>
      <c r="J7497" s="1">
        <v>41990</v>
      </c>
      <c r="K7497" s="1">
        <v>42050</v>
      </c>
      <c r="L7497" s="7">
        <v>584.07000000000005</v>
      </c>
      <c r="M7497" s="5">
        <v>255</v>
      </c>
      <c r="N7497" s="7">
        <v>148937.85</v>
      </c>
      <c r="O7497">
        <v>584.07000000000005</v>
      </c>
      <c r="P7497">
        <v>255</v>
      </c>
      <c r="Q7497" s="2">
        <v>148937.85</v>
      </c>
      <c r="R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 s="1">
        <v>42382</v>
      </c>
      <c r="AC7497" t="s">
        <v>53</v>
      </c>
      <c r="AD7497" t="s">
        <v>53</v>
      </c>
      <c r="AK7497">
        <v>0</v>
      </c>
      <c r="AU7497" s="6">
        <v>42305</v>
      </c>
      <c r="AV7497" s="6">
        <v>42305</v>
      </c>
      <c r="AW7497" t="s">
        <v>54</v>
      </c>
      <c r="AX7497" t="str">
        <f t="shared" si="607"/>
        <v>FOR</v>
      </c>
      <c r="AY7497" t="s">
        <v>55</v>
      </c>
    </row>
    <row r="7498" spans="1:51" hidden="1">
      <c r="A7498">
        <v>104207</v>
      </c>
      <c r="B7498" t="s">
        <v>1249</v>
      </c>
      <c r="C7498" t="str">
        <f>"10767630154"</f>
        <v>10767630154</v>
      </c>
      <c r="D7498" t="str">
        <f>"10767630154"</f>
        <v>10767630154</v>
      </c>
      <c r="E7498" t="s">
        <v>52</v>
      </c>
      <c r="F7498">
        <v>2014</v>
      </c>
      <c r="G7498">
        <v>4257</v>
      </c>
      <c r="H7498" s="1">
        <v>41855</v>
      </c>
      <c r="I7498" s="1">
        <v>41955</v>
      </c>
      <c r="J7498" s="1">
        <v>41955</v>
      </c>
      <c r="K7498" s="1">
        <v>42015</v>
      </c>
      <c r="N7498" s="5"/>
      <c r="O7498">
        <v>261.95999999999998</v>
      </c>
      <c r="P7498">
        <v>47</v>
      </c>
      <c r="Q7498" s="2">
        <v>12312.12</v>
      </c>
      <c r="R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 s="1">
        <v>42382</v>
      </c>
      <c r="AC7498" t="s">
        <v>53</v>
      </c>
      <c r="AD7498" t="s">
        <v>53</v>
      </c>
      <c r="AK7498">
        <v>0</v>
      </c>
      <c r="AU7498" s="6">
        <v>42062</v>
      </c>
      <c r="AV7498" s="6">
        <v>42062</v>
      </c>
      <c r="AW7498" t="s">
        <v>54</v>
      </c>
      <c r="AX7498" t="str">
        <f t="shared" si="607"/>
        <v>FOR</v>
      </c>
      <c r="AY7498" t="s">
        <v>55</v>
      </c>
    </row>
    <row r="7499" spans="1:51">
      <c r="A7499">
        <v>104207</v>
      </c>
      <c r="B7499" t="s">
        <v>1249</v>
      </c>
      <c r="C7499" t="str">
        <f>"10767630154"</f>
        <v>10767630154</v>
      </c>
      <c r="D7499" t="str">
        <f>"10767630154"</f>
        <v>10767630154</v>
      </c>
      <c r="E7499" t="s">
        <v>52</v>
      </c>
      <c r="F7499">
        <v>2015</v>
      </c>
      <c r="G7499" t="s">
        <v>1250</v>
      </c>
      <c r="H7499" s="1">
        <v>42131</v>
      </c>
      <c r="I7499" s="1">
        <v>42139</v>
      </c>
      <c r="J7499" s="1">
        <v>42137</v>
      </c>
      <c r="K7499" s="1">
        <v>42197</v>
      </c>
      <c r="L7499" s="7">
        <v>14314.65</v>
      </c>
      <c r="M7499" s="5">
        <v>81</v>
      </c>
      <c r="N7499" s="7">
        <v>1159486.6499999999</v>
      </c>
      <c r="O7499" s="2">
        <v>14314.65</v>
      </c>
      <c r="P7499">
        <v>81</v>
      </c>
      <c r="Q7499" s="2">
        <v>1159486.6499999999</v>
      </c>
      <c r="R7499">
        <v>0</v>
      </c>
      <c r="V7499">
        <v>0</v>
      </c>
      <c r="W7499">
        <v>0</v>
      </c>
      <c r="X7499">
        <v>0</v>
      </c>
      <c r="Y7499" s="2">
        <v>17463.88</v>
      </c>
      <c r="Z7499" s="2">
        <v>17463.88</v>
      </c>
      <c r="AA7499" s="2">
        <v>17463.88</v>
      </c>
      <c r="AB7499" s="1">
        <v>42382</v>
      </c>
      <c r="AC7499" t="s">
        <v>53</v>
      </c>
      <c r="AD7499" t="s">
        <v>53</v>
      </c>
      <c r="AK7499">
        <v>0</v>
      </c>
      <c r="AU7499" s="6">
        <v>42278</v>
      </c>
      <c r="AV7499" s="6">
        <v>42278</v>
      </c>
      <c r="AW7499" t="s">
        <v>54</v>
      </c>
      <c r="AX7499" t="str">
        <f t="shared" si="607"/>
        <v>FOR</v>
      </c>
      <c r="AY7499" t="s">
        <v>55</v>
      </c>
    </row>
    <row r="7500" spans="1:51" hidden="1">
      <c r="A7500">
        <v>104211</v>
      </c>
      <c r="B7500" t="s">
        <v>1251</v>
      </c>
      <c r="C7500" t="str">
        <f>"02871910655"</f>
        <v>02871910655</v>
      </c>
      <c r="D7500" t="str">
        <f>"02871910655"</f>
        <v>02871910655</v>
      </c>
      <c r="E7500" t="s">
        <v>52</v>
      </c>
      <c r="F7500">
        <v>2014</v>
      </c>
      <c r="G7500">
        <v>432</v>
      </c>
      <c r="H7500" s="1">
        <v>41926</v>
      </c>
      <c r="I7500" s="1">
        <v>41948</v>
      </c>
      <c r="J7500" s="1">
        <v>41948</v>
      </c>
      <c r="K7500" s="1">
        <v>42008</v>
      </c>
      <c r="N7500" s="5"/>
      <c r="O7500">
        <v>726</v>
      </c>
      <c r="P7500">
        <v>158</v>
      </c>
      <c r="Q7500" s="2">
        <v>114708</v>
      </c>
      <c r="R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 s="1">
        <v>42382</v>
      </c>
      <c r="AC7500" t="s">
        <v>53</v>
      </c>
      <c r="AD7500" t="s">
        <v>53</v>
      </c>
      <c r="AK7500">
        <v>0</v>
      </c>
      <c r="AU7500" s="6">
        <v>42166</v>
      </c>
      <c r="AV7500" s="6">
        <v>42166</v>
      </c>
      <c r="AW7500" t="s">
        <v>54</v>
      </c>
      <c r="AX7500" t="str">
        <f t="shared" si="607"/>
        <v>FOR</v>
      </c>
      <c r="AY7500" t="s">
        <v>55</v>
      </c>
    </row>
    <row r="7501" spans="1:51" hidden="1">
      <c r="A7501">
        <v>104229</v>
      </c>
      <c r="B7501" t="s">
        <v>1252</v>
      </c>
      <c r="C7501" t="str">
        <f t="shared" ref="C7501:D7508" si="609">"03350760967"</f>
        <v>03350760967</v>
      </c>
      <c r="D7501" t="str">
        <f t="shared" si="609"/>
        <v>03350760967</v>
      </c>
      <c r="E7501" t="s">
        <v>52</v>
      </c>
      <c r="F7501">
        <v>2014</v>
      </c>
      <c r="G7501">
        <v>14009520</v>
      </c>
      <c r="H7501" s="1">
        <v>41716</v>
      </c>
      <c r="I7501" s="1">
        <v>41724</v>
      </c>
      <c r="J7501" s="1">
        <v>41724</v>
      </c>
      <c r="K7501" s="1">
        <v>41814</v>
      </c>
      <c r="N7501" s="5"/>
      <c r="O7501">
        <v>140.54</v>
      </c>
      <c r="P7501">
        <v>377</v>
      </c>
      <c r="Q7501" s="2">
        <v>52983.58</v>
      </c>
      <c r="R7501">
        <v>0</v>
      </c>
      <c r="V7501">
        <v>0</v>
      </c>
      <c r="W7501">
        <v>0</v>
      </c>
      <c r="X7501">
        <v>0</v>
      </c>
      <c r="Y7501">
        <v>-30.5</v>
      </c>
      <c r="Z7501">
        <v>-30.5</v>
      </c>
      <c r="AA7501">
        <v>-30.5</v>
      </c>
      <c r="AB7501" s="1">
        <v>42382</v>
      </c>
      <c r="AC7501" t="s">
        <v>53</v>
      </c>
      <c r="AD7501" t="s">
        <v>53</v>
      </c>
      <c r="AK7501">
        <v>0</v>
      </c>
      <c r="AU7501" s="6">
        <v>42191</v>
      </c>
      <c r="AV7501" s="6">
        <v>42191</v>
      </c>
      <c r="AW7501" t="s">
        <v>54</v>
      </c>
      <c r="AX7501" t="str">
        <f t="shared" si="607"/>
        <v>FOR</v>
      </c>
      <c r="AY7501" t="s">
        <v>55</v>
      </c>
    </row>
    <row r="7502" spans="1:51" hidden="1">
      <c r="A7502">
        <v>104229</v>
      </c>
      <c r="B7502" t="s">
        <v>1252</v>
      </c>
      <c r="C7502" t="str">
        <f t="shared" si="609"/>
        <v>03350760967</v>
      </c>
      <c r="D7502" t="str">
        <f t="shared" si="609"/>
        <v>03350760967</v>
      </c>
      <c r="E7502" t="s">
        <v>52</v>
      </c>
      <c r="F7502">
        <v>2014</v>
      </c>
      <c r="G7502">
        <v>14012642</v>
      </c>
      <c r="H7502" s="1">
        <v>41733</v>
      </c>
      <c r="I7502" s="1">
        <v>41739</v>
      </c>
      <c r="J7502" s="1">
        <v>41739</v>
      </c>
      <c r="K7502" s="1">
        <v>41829</v>
      </c>
      <c r="N7502" s="5"/>
      <c r="O7502">
        <v>140.54</v>
      </c>
      <c r="P7502">
        <v>362</v>
      </c>
      <c r="Q7502" s="2">
        <v>50875.48</v>
      </c>
      <c r="R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 s="1">
        <v>42382</v>
      </c>
      <c r="AC7502" t="s">
        <v>53</v>
      </c>
      <c r="AD7502" t="s">
        <v>53</v>
      </c>
      <c r="AK7502">
        <v>0</v>
      </c>
      <c r="AU7502" s="6">
        <v>42191</v>
      </c>
      <c r="AV7502" s="6">
        <v>42191</v>
      </c>
      <c r="AW7502" t="s">
        <v>54</v>
      </c>
      <c r="AX7502" t="str">
        <f t="shared" si="607"/>
        <v>FOR</v>
      </c>
      <c r="AY7502" t="s">
        <v>55</v>
      </c>
    </row>
    <row r="7503" spans="1:51" hidden="1">
      <c r="A7503">
        <v>104229</v>
      </c>
      <c r="B7503" t="s">
        <v>1252</v>
      </c>
      <c r="C7503" t="str">
        <f t="shared" si="609"/>
        <v>03350760967</v>
      </c>
      <c r="D7503" t="str">
        <f t="shared" si="609"/>
        <v>03350760967</v>
      </c>
      <c r="E7503" t="s">
        <v>52</v>
      </c>
      <c r="F7503">
        <v>2014</v>
      </c>
      <c r="G7503">
        <v>14023247</v>
      </c>
      <c r="H7503" s="1">
        <v>41822</v>
      </c>
      <c r="I7503" s="1">
        <v>41830</v>
      </c>
      <c r="J7503" s="1">
        <v>41830</v>
      </c>
      <c r="K7503" s="1">
        <v>41920</v>
      </c>
      <c r="N7503" s="5"/>
      <c r="O7503">
        <v>105.41</v>
      </c>
      <c r="P7503">
        <v>271</v>
      </c>
      <c r="Q7503" s="2">
        <v>28566.11</v>
      </c>
      <c r="R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 s="1">
        <v>42382</v>
      </c>
      <c r="AC7503" t="s">
        <v>53</v>
      </c>
      <c r="AD7503" t="s">
        <v>53</v>
      </c>
      <c r="AK7503">
        <v>0</v>
      </c>
      <c r="AU7503" s="6">
        <v>42191</v>
      </c>
      <c r="AV7503" s="6">
        <v>42191</v>
      </c>
      <c r="AW7503" t="s">
        <v>54</v>
      </c>
      <c r="AX7503" t="str">
        <f t="shared" si="607"/>
        <v>FOR</v>
      </c>
      <c r="AY7503" t="s">
        <v>55</v>
      </c>
    </row>
    <row r="7504" spans="1:51" hidden="1">
      <c r="A7504">
        <v>104229</v>
      </c>
      <c r="B7504" t="s">
        <v>1252</v>
      </c>
      <c r="C7504" t="str">
        <f t="shared" si="609"/>
        <v>03350760967</v>
      </c>
      <c r="D7504" t="str">
        <f t="shared" si="609"/>
        <v>03350760967</v>
      </c>
      <c r="E7504" t="s">
        <v>52</v>
      </c>
      <c r="F7504">
        <v>2014</v>
      </c>
      <c r="G7504">
        <v>14029308</v>
      </c>
      <c r="H7504" s="1">
        <v>41885</v>
      </c>
      <c r="I7504" s="1">
        <v>41891</v>
      </c>
      <c r="J7504" s="1">
        <v>41891</v>
      </c>
      <c r="K7504" s="1">
        <v>41981</v>
      </c>
      <c r="N7504" s="5"/>
      <c r="O7504">
        <v>140.54</v>
      </c>
      <c r="P7504">
        <v>228</v>
      </c>
      <c r="Q7504" s="2">
        <v>32043.119999999999</v>
      </c>
      <c r="R7504">
        <v>0</v>
      </c>
      <c r="V7504">
        <v>0</v>
      </c>
      <c r="W7504">
        <v>0</v>
      </c>
      <c r="X7504">
        <v>0</v>
      </c>
      <c r="Y7504">
        <v>-30.5</v>
      </c>
      <c r="Z7504">
        <v>-30.5</v>
      </c>
      <c r="AA7504">
        <v>-30.5</v>
      </c>
      <c r="AB7504" s="1">
        <v>42382</v>
      </c>
      <c r="AC7504" t="s">
        <v>53</v>
      </c>
      <c r="AD7504" t="s">
        <v>53</v>
      </c>
      <c r="AK7504">
        <v>0</v>
      </c>
      <c r="AU7504" s="6">
        <v>42209</v>
      </c>
      <c r="AV7504" s="6">
        <v>42209</v>
      </c>
      <c r="AW7504" t="s">
        <v>54</v>
      </c>
      <c r="AX7504" t="str">
        <f t="shared" si="607"/>
        <v>FOR</v>
      </c>
      <c r="AY7504" t="s">
        <v>55</v>
      </c>
    </row>
    <row r="7505" spans="1:51" hidden="1">
      <c r="A7505">
        <v>104229</v>
      </c>
      <c r="B7505" t="s">
        <v>1252</v>
      </c>
      <c r="C7505" t="str">
        <f t="shared" si="609"/>
        <v>03350760967</v>
      </c>
      <c r="D7505" t="str">
        <f t="shared" si="609"/>
        <v>03350760967</v>
      </c>
      <c r="E7505" t="s">
        <v>52</v>
      </c>
      <c r="F7505">
        <v>2014</v>
      </c>
      <c r="G7505">
        <v>14035167</v>
      </c>
      <c r="H7505" s="1">
        <v>41941</v>
      </c>
      <c r="I7505" s="1">
        <v>41948</v>
      </c>
      <c r="J7505" s="1">
        <v>41948</v>
      </c>
      <c r="K7505" s="1">
        <v>42008</v>
      </c>
      <c r="N7505" s="5"/>
      <c r="O7505">
        <v>140.54</v>
      </c>
      <c r="P7505">
        <v>201</v>
      </c>
      <c r="Q7505" s="2">
        <v>28248.54</v>
      </c>
      <c r="R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 s="1">
        <v>42382</v>
      </c>
      <c r="AC7505" t="s">
        <v>53</v>
      </c>
      <c r="AD7505" t="s">
        <v>53</v>
      </c>
      <c r="AK7505">
        <v>0</v>
      </c>
      <c r="AU7505" s="6">
        <v>42209</v>
      </c>
      <c r="AV7505" s="6">
        <v>42209</v>
      </c>
      <c r="AW7505" t="s">
        <v>54</v>
      </c>
      <c r="AX7505" t="str">
        <f t="shared" si="607"/>
        <v>FOR</v>
      </c>
      <c r="AY7505" t="s">
        <v>55</v>
      </c>
    </row>
    <row r="7506" spans="1:51" hidden="1">
      <c r="A7506">
        <v>104229</v>
      </c>
      <c r="B7506" t="s">
        <v>1252</v>
      </c>
      <c r="C7506" t="str">
        <f t="shared" si="609"/>
        <v>03350760967</v>
      </c>
      <c r="D7506" t="str">
        <f t="shared" si="609"/>
        <v>03350760967</v>
      </c>
      <c r="E7506" t="s">
        <v>52</v>
      </c>
      <c r="F7506">
        <v>2014</v>
      </c>
      <c r="G7506">
        <v>14036011</v>
      </c>
      <c r="H7506" s="1">
        <v>41948</v>
      </c>
      <c r="I7506" s="1">
        <v>41964</v>
      </c>
      <c r="J7506" s="1">
        <v>41964</v>
      </c>
      <c r="K7506" s="1">
        <v>42024</v>
      </c>
      <c r="N7506" s="5"/>
      <c r="O7506">
        <v>195.2</v>
      </c>
      <c r="P7506">
        <v>185</v>
      </c>
      <c r="Q7506" s="2">
        <v>36112</v>
      </c>
      <c r="R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 s="1">
        <v>42382</v>
      </c>
      <c r="AC7506" t="s">
        <v>53</v>
      </c>
      <c r="AD7506" t="s">
        <v>53</v>
      </c>
      <c r="AK7506">
        <v>0</v>
      </c>
      <c r="AU7506" s="6">
        <v>42209</v>
      </c>
      <c r="AV7506" s="6">
        <v>42209</v>
      </c>
      <c r="AW7506" t="s">
        <v>54</v>
      </c>
      <c r="AX7506" t="str">
        <f t="shared" si="607"/>
        <v>FOR</v>
      </c>
      <c r="AY7506" t="s">
        <v>55</v>
      </c>
    </row>
    <row r="7507" spans="1:51" hidden="1">
      <c r="A7507">
        <v>104229</v>
      </c>
      <c r="B7507" t="s">
        <v>1252</v>
      </c>
      <c r="C7507" t="str">
        <f t="shared" si="609"/>
        <v>03350760967</v>
      </c>
      <c r="D7507" t="str">
        <f t="shared" si="609"/>
        <v>03350760967</v>
      </c>
      <c r="E7507" t="s">
        <v>52</v>
      </c>
      <c r="F7507">
        <v>2015</v>
      </c>
      <c r="G7507">
        <v>2015004066</v>
      </c>
      <c r="H7507" s="1">
        <v>42048</v>
      </c>
      <c r="I7507" s="1">
        <v>42055</v>
      </c>
      <c r="J7507" s="1">
        <v>42055</v>
      </c>
      <c r="K7507" s="1">
        <v>42115</v>
      </c>
      <c r="N7507" s="5"/>
      <c r="O7507">
        <v>500</v>
      </c>
      <c r="P7507">
        <v>94</v>
      </c>
      <c r="Q7507" s="2">
        <v>47000</v>
      </c>
      <c r="R7507">
        <v>0</v>
      </c>
      <c r="V7507">
        <v>0</v>
      </c>
      <c r="W7507">
        <v>0</v>
      </c>
      <c r="X7507">
        <v>0</v>
      </c>
      <c r="Y7507">
        <v>610</v>
      </c>
      <c r="Z7507">
        <v>610</v>
      </c>
      <c r="AA7507">
        <v>610</v>
      </c>
      <c r="AB7507" s="1">
        <v>42382</v>
      </c>
      <c r="AC7507" t="s">
        <v>53</v>
      </c>
      <c r="AD7507" t="s">
        <v>53</v>
      </c>
      <c r="AK7507">
        <v>0</v>
      </c>
      <c r="AU7507" s="6">
        <v>42209</v>
      </c>
      <c r="AV7507" s="6">
        <v>42209</v>
      </c>
      <c r="AW7507" t="s">
        <v>54</v>
      </c>
      <c r="AX7507" t="str">
        <f t="shared" si="607"/>
        <v>FOR</v>
      </c>
      <c r="AY7507" t="s">
        <v>55</v>
      </c>
    </row>
    <row r="7508" spans="1:51">
      <c r="A7508">
        <v>104229</v>
      </c>
      <c r="B7508" t="s">
        <v>1252</v>
      </c>
      <c r="C7508" t="str">
        <f t="shared" si="609"/>
        <v>03350760967</v>
      </c>
      <c r="D7508" t="str">
        <f t="shared" si="609"/>
        <v>03350760967</v>
      </c>
      <c r="E7508" t="s">
        <v>52</v>
      </c>
      <c r="F7508">
        <v>2015</v>
      </c>
      <c r="G7508">
        <v>3000001965</v>
      </c>
      <c r="H7508" s="1">
        <v>42212</v>
      </c>
      <c r="I7508" s="1">
        <v>42215</v>
      </c>
      <c r="J7508" s="1">
        <v>42213</v>
      </c>
      <c r="K7508" s="1">
        <v>42273</v>
      </c>
      <c r="L7508" s="7">
        <v>115.2</v>
      </c>
      <c r="M7508" s="5">
        <v>31</v>
      </c>
      <c r="N7508" s="7">
        <v>3571.2</v>
      </c>
      <c r="O7508">
        <v>115.2</v>
      </c>
      <c r="P7508">
        <v>31</v>
      </c>
      <c r="Q7508" s="2">
        <v>3571.2</v>
      </c>
      <c r="R7508">
        <v>0</v>
      </c>
      <c r="V7508">
        <v>0</v>
      </c>
      <c r="W7508">
        <v>0</v>
      </c>
      <c r="X7508">
        <v>0</v>
      </c>
      <c r="Y7508">
        <v>140.54</v>
      </c>
      <c r="Z7508">
        <v>140.54</v>
      </c>
      <c r="AA7508">
        <v>140.54</v>
      </c>
      <c r="AB7508" s="1">
        <v>42382</v>
      </c>
      <c r="AC7508" t="s">
        <v>53</v>
      </c>
      <c r="AD7508" t="s">
        <v>53</v>
      </c>
      <c r="AK7508">
        <v>0</v>
      </c>
      <c r="AU7508" s="6">
        <v>42304</v>
      </c>
      <c r="AV7508" s="6">
        <v>42304</v>
      </c>
      <c r="AW7508" t="s">
        <v>54</v>
      </c>
      <c r="AX7508" t="str">
        <f t="shared" si="607"/>
        <v>FOR</v>
      </c>
      <c r="AY7508" t="s">
        <v>55</v>
      </c>
    </row>
    <row r="7509" spans="1:51">
      <c r="A7509">
        <v>104230</v>
      </c>
      <c r="B7509" t="s">
        <v>1253</v>
      </c>
      <c r="C7509" t="str">
        <f>"03841180106"</f>
        <v>03841180106</v>
      </c>
      <c r="D7509" t="str">
        <f>"03841180106"</f>
        <v>03841180106</v>
      </c>
      <c r="E7509" t="s">
        <v>52</v>
      </c>
      <c r="F7509">
        <v>2015</v>
      </c>
      <c r="G7509">
        <v>150405</v>
      </c>
      <c r="H7509" s="1">
        <v>42026</v>
      </c>
      <c r="I7509" s="1">
        <v>42081</v>
      </c>
      <c r="J7509" s="1">
        <v>42081</v>
      </c>
      <c r="K7509" s="1">
        <v>42141</v>
      </c>
      <c r="L7509" s="7">
        <v>925</v>
      </c>
      <c r="M7509" s="5">
        <v>214</v>
      </c>
      <c r="N7509" s="7">
        <v>197950</v>
      </c>
      <c r="O7509">
        <v>925</v>
      </c>
      <c r="P7509">
        <v>214</v>
      </c>
      <c r="Q7509" s="2">
        <v>197950</v>
      </c>
      <c r="R7509">
        <v>92.5</v>
      </c>
      <c r="V7509">
        <v>0</v>
      </c>
      <c r="W7509">
        <v>0</v>
      </c>
      <c r="X7509">
        <v>0</v>
      </c>
      <c r="Y7509" s="2">
        <v>1017.5</v>
      </c>
      <c r="Z7509" s="2">
        <v>1017.5</v>
      </c>
      <c r="AA7509" s="2">
        <v>1017.5</v>
      </c>
      <c r="AB7509" s="1">
        <v>42382</v>
      </c>
      <c r="AC7509" t="s">
        <v>53</v>
      </c>
      <c r="AD7509" t="s">
        <v>53</v>
      </c>
      <c r="AK7509">
        <v>92.5</v>
      </c>
      <c r="AU7509" s="6">
        <v>42355</v>
      </c>
      <c r="AV7509" s="6">
        <v>42355</v>
      </c>
      <c r="AW7509" t="s">
        <v>54</v>
      </c>
      <c r="AX7509" t="str">
        <f t="shared" si="607"/>
        <v>FOR</v>
      </c>
      <c r="AY7509" t="s">
        <v>55</v>
      </c>
    </row>
    <row r="7510" spans="1:51" hidden="1">
      <c r="A7510">
        <v>104231</v>
      </c>
      <c r="B7510" t="s">
        <v>1254</v>
      </c>
      <c r="C7510" t="str">
        <f t="shared" ref="C7510:D7517" si="610">"04786680639"</f>
        <v>04786680639</v>
      </c>
      <c r="D7510" t="str">
        <f t="shared" si="610"/>
        <v>04786680639</v>
      </c>
      <c r="E7510" t="s">
        <v>52</v>
      </c>
      <c r="F7510">
        <v>2013</v>
      </c>
      <c r="G7510">
        <v>78</v>
      </c>
      <c r="H7510" s="1">
        <v>41639</v>
      </c>
      <c r="I7510" s="1">
        <v>41964</v>
      </c>
      <c r="J7510" s="1">
        <v>41964</v>
      </c>
      <c r="K7510" s="1">
        <v>42024</v>
      </c>
      <c r="N7510" s="5"/>
      <c r="O7510" s="2">
        <v>6749.65</v>
      </c>
      <c r="P7510">
        <v>71</v>
      </c>
      <c r="Q7510" s="2">
        <v>479225.15</v>
      </c>
      <c r="R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 s="1">
        <v>42382</v>
      </c>
      <c r="AC7510" t="s">
        <v>53</v>
      </c>
      <c r="AD7510" t="s">
        <v>53</v>
      </c>
      <c r="AK7510">
        <v>0</v>
      </c>
      <c r="AU7510" s="6">
        <v>42095</v>
      </c>
      <c r="AV7510" s="6">
        <v>42095</v>
      </c>
      <c r="AW7510" t="s">
        <v>54</v>
      </c>
      <c r="AX7510" t="str">
        <f t="shared" si="607"/>
        <v>FOR</v>
      </c>
      <c r="AY7510" t="s">
        <v>55</v>
      </c>
    </row>
    <row r="7511" spans="1:51" hidden="1">
      <c r="A7511">
        <v>104231</v>
      </c>
      <c r="B7511" t="s">
        <v>1254</v>
      </c>
      <c r="C7511" t="str">
        <f t="shared" si="610"/>
        <v>04786680639</v>
      </c>
      <c r="D7511" t="str">
        <f t="shared" si="610"/>
        <v>04786680639</v>
      </c>
      <c r="E7511" t="s">
        <v>52</v>
      </c>
      <c r="F7511">
        <v>2014</v>
      </c>
      <c r="G7511">
        <v>16</v>
      </c>
      <c r="H7511" s="1">
        <v>41729</v>
      </c>
      <c r="I7511" s="1">
        <v>41736</v>
      </c>
      <c r="J7511" s="1">
        <v>41736</v>
      </c>
      <c r="K7511" s="1">
        <v>41826</v>
      </c>
      <c r="N7511" s="5"/>
      <c r="O7511" s="2">
        <v>9058.5</v>
      </c>
      <c r="P7511">
        <v>269</v>
      </c>
      <c r="Q7511" s="2">
        <v>2436736.5</v>
      </c>
      <c r="R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 s="1">
        <v>42382</v>
      </c>
      <c r="AC7511" t="s">
        <v>53</v>
      </c>
      <c r="AD7511" t="s">
        <v>53</v>
      </c>
      <c r="AK7511">
        <v>0</v>
      </c>
      <c r="AU7511" s="6">
        <v>42095</v>
      </c>
      <c r="AV7511" s="6">
        <v>42095</v>
      </c>
      <c r="AW7511" t="s">
        <v>54</v>
      </c>
      <c r="AX7511" t="str">
        <f t="shared" si="607"/>
        <v>FOR</v>
      </c>
      <c r="AY7511" t="s">
        <v>55</v>
      </c>
    </row>
    <row r="7512" spans="1:51" hidden="1">
      <c r="A7512">
        <v>104231</v>
      </c>
      <c r="B7512" t="s">
        <v>1254</v>
      </c>
      <c r="C7512" t="str">
        <f t="shared" si="610"/>
        <v>04786680639</v>
      </c>
      <c r="D7512" t="str">
        <f t="shared" si="610"/>
        <v>04786680639</v>
      </c>
      <c r="E7512" t="s">
        <v>52</v>
      </c>
      <c r="F7512">
        <v>2014</v>
      </c>
      <c r="G7512">
        <v>44</v>
      </c>
      <c r="H7512" s="1">
        <v>41883</v>
      </c>
      <c r="I7512" s="1">
        <v>41913</v>
      </c>
      <c r="J7512" s="1">
        <v>41913</v>
      </c>
      <c r="K7512" s="1">
        <v>42003</v>
      </c>
      <c r="N7512" s="5"/>
      <c r="O7512" s="2">
        <v>4172.3999999999996</v>
      </c>
      <c r="P7512">
        <v>246</v>
      </c>
      <c r="Q7512" s="2">
        <v>1026410.4</v>
      </c>
      <c r="R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 s="1">
        <v>42382</v>
      </c>
      <c r="AC7512" t="s">
        <v>53</v>
      </c>
      <c r="AD7512" t="s">
        <v>53</v>
      </c>
      <c r="AK7512">
        <v>0</v>
      </c>
      <c r="AU7512" s="6">
        <v>42249</v>
      </c>
      <c r="AV7512" s="6">
        <v>42249</v>
      </c>
      <c r="AW7512" t="s">
        <v>54</v>
      </c>
      <c r="AX7512" t="str">
        <f t="shared" si="607"/>
        <v>FOR</v>
      </c>
      <c r="AY7512" t="s">
        <v>55</v>
      </c>
    </row>
    <row r="7513" spans="1:51">
      <c r="A7513">
        <v>104231</v>
      </c>
      <c r="B7513" t="s">
        <v>1254</v>
      </c>
      <c r="C7513" t="str">
        <f t="shared" si="610"/>
        <v>04786680639</v>
      </c>
      <c r="D7513" t="str">
        <f t="shared" si="610"/>
        <v>04786680639</v>
      </c>
      <c r="E7513" t="s">
        <v>52</v>
      </c>
      <c r="F7513">
        <v>2014</v>
      </c>
      <c r="G7513">
        <v>56</v>
      </c>
      <c r="H7513" s="1">
        <v>41943</v>
      </c>
      <c r="I7513" s="1">
        <v>41962</v>
      </c>
      <c r="J7513" s="1">
        <v>41962</v>
      </c>
      <c r="K7513" s="1">
        <v>42022</v>
      </c>
      <c r="L7513" s="7">
        <v>10660.36</v>
      </c>
      <c r="M7513" s="5">
        <v>256</v>
      </c>
      <c r="N7513" s="7">
        <v>2729052.1600000001</v>
      </c>
      <c r="O7513" s="2">
        <v>10660.36</v>
      </c>
      <c r="P7513">
        <v>256</v>
      </c>
      <c r="Q7513" s="2">
        <v>2729052.1600000001</v>
      </c>
      <c r="R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 s="1">
        <v>42382</v>
      </c>
      <c r="AC7513" t="s">
        <v>53</v>
      </c>
      <c r="AD7513" t="s">
        <v>53</v>
      </c>
      <c r="AK7513">
        <v>0</v>
      </c>
      <c r="AU7513" s="6">
        <v>42278</v>
      </c>
      <c r="AV7513" s="6">
        <v>42278</v>
      </c>
      <c r="AW7513" t="s">
        <v>54</v>
      </c>
      <c r="AX7513" t="str">
        <f t="shared" si="607"/>
        <v>FOR</v>
      </c>
      <c r="AY7513" t="s">
        <v>55</v>
      </c>
    </row>
    <row r="7514" spans="1:51">
      <c r="A7514">
        <v>104231</v>
      </c>
      <c r="B7514" t="s">
        <v>1254</v>
      </c>
      <c r="C7514" t="str">
        <f t="shared" si="610"/>
        <v>04786680639</v>
      </c>
      <c r="D7514" t="str">
        <f t="shared" si="610"/>
        <v>04786680639</v>
      </c>
      <c r="E7514" t="s">
        <v>52</v>
      </c>
      <c r="F7514">
        <v>2014</v>
      </c>
      <c r="G7514">
        <v>57</v>
      </c>
      <c r="H7514" s="1">
        <v>41943</v>
      </c>
      <c r="I7514" s="1">
        <v>41962</v>
      </c>
      <c r="J7514" s="1">
        <v>41962</v>
      </c>
      <c r="K7514" s="1">
        <v>42022</v>
      </c>
      <c r="L7514" s="7">
        <v>12141.2</v>
      </c>
      <c r="M7514" s="5">
        <v>256</v>
      </c>
      <c r="N7514" s="7">
        <v>3108147.2000000002</v>
      </c>
      <c r="O7514" s="2">
        <v>12141.2</v>
      </c>
      <c r="P7514">
        <v>256</v>
      </c>
      <c r="Q7514" s="2">
        <v>3108147.2000000002</v>
      </c>
      <c r="R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 s="1">
        <v>42382</v>
      </c>
      <c r="AC7514" t="s">
        <v>53</v>
      </c>
      <c r="AD7514" t="s">
        <v>53</v>
      </c>
      <c r="AK7514">
        <v>0</v>
      </c>
      <c r="AU7514" s="6">
        <v>42278</v>
      </c>
      <c r="AV7514" s="6">
        <v>42278</v>
      </c>
      <c r="AW7514" t="s">
        <v>54</v>
      </c>
      <c r="AX7514" t="str">
        <f t="shared" si="607"/>
        <v>FOR</v>
      </c>
      <c r="AY7514" t="s">
        <v>55</v>
      </c>
    </row>
    <row r="7515" spans="1:51">
      <c r="A7515">
        <v>104231</v>
      </c>
      <c r="B7515" t="s">
        <v>1254</v>
      </c>
      <c r="C7515" t="str">
        <f t="shared" si="610"/>
        <v>04786680639</v>
      </c>
      <c r="D7515" t="str">
        <f t="shared" si="610"/>
        <v>04786680639</v>
      </c>
      <c r="E7515" t="s">
        <v>52</v>
      </c>
      <c r="F7515">
        <v>2015</v>
      </c>
      <c r="G7515">
        <v>4</v>
      </c>
      <c r="H7515" s="1">
        <v>42034</v>
      </c>
      <c r="I7515" s="1">
        <v>42052</v>
      </c>
      <c r="J7515" s="1">
        <v>42052</v>
      </c>
      <c r="K7515" s="1">
        <v>42112</v>
      </c>
      <c r="L7515" s="7">
        <v>9951.7999999999993</v>
      </c>
      <c r="M7515" s="5">
        <v>247</v>
      </c>
      <c r="N7515" s="7">
        <v>2458094.6</v>
      </c>
      <c r="O7515" s="2">
        <v>9951.7999999999993</v>
      </c>
      <c r="P7515">
        <v>247</v>
      </c>
      <c r="Q7515" s="2">
        <v>2458094.6</v>
      </c>
      <c r="R7515" s="2">
        <v>2189.4</v>
      </c>
      <c r="V7515">
        <v>0</v>
      </c>
      <c r="W7515">
        <v>0</v>
      </c>
      <c r="X7515">
        <v>0</v>
      </c>
      <c r="Y7515">
        <v>0</v>
      </c>
      <c r="Z7515" s="2">
        <v>12141.2</v>
      </c>
      <c r="AA7515" s="2">
        <v>12141.2</v>
      </c>
      <c r="AB7515" s="1">
        <v>42382</v>
      </c>
      <c r="AC7515" t="s">
        <v>53</v>
      </c>
      <c r="AD7515" t="s">
        <v>53</v>
      </c>
      <c r="AK7515" s="2">
        <v>2189.4</v>
      </c>
      <c r="AU7515" s="6">
        <v>42359</v>
      </c>
      <c r="AV7515" s="6">
        <v>42359</v>
      </c>
      <c r="AW7515" t="s">
        <v>54</v>
      </c>
      <c r="AX7515" t="str">
        <f t="shared" si="607"/>
        <v>FOR</v>
      </c>
      <c r="AY7515" t="s">
        <v>55</v>
      </c>
    </row>
    <row r="7516" spans="1:51">
      <c r="A7516">
        <v>104231</v>
      </c>
      <c r="B7516" t="s">
        <v>1254</v>
      </c>
      <c r="C7516" t="str">
        <f t="shared" si="610"/>
        <v>04786680639</v>
      </c>
      <c r="D7516" t="str">
        <f t="shared" si="610"/>
        <v>04786680639</v>
      </c>
      <c r="E7516" t="s">
        <v>52</v>
      </c>
      <c r="F7516">
        <v>2015</v>
      </c>
      <c r="G7516">
        <v>5</v>
      </c>
      <c r="H7516" s="1">
        <v>42034</v>
      </c>
      <c r="I7516" s="1">
        <v>42052</v>
      </c>
      <c r="J7516" s="1">
        <v>42052</v>
      </c>
      <c r="K7516" s="1">
        <v>42112</v>
      </c>
      <c r="L7516" s="7">
        <v>9986.65</v>
      </c>
      <c r="M7516" s="5">
        <v>247</v>
      </c>
      <c r="N7516" s="7">
        <v>2466702.5499999998</v>
      </c>
      <c r="O7516" s="2">
        <v>9986.65</v>
      </c>
      <c r="P7516">
        <v>247</v>
      </c>
      <c r="Q7516" s="2">
        <v>2466702.5499999998</v>
      </c>
      <c r="R7516" s="2">
        <v>2197.06</v>
      </c>
      <c r="V7516">
        <v>0</v>
      </c>
      <c r="W7516">
        <v>0</v>
      </c>
      <c r="X7516">
        <v>0</v>
      </c>
      <c r="Y7516" s="2">
        <v>12183.71</v>
      </c>
      <c r="Z7516" s="2">
        <v>12183.71</v>
      </c>
      <c r="AA7516" s="2">
        <v>12183.71</v>
      </c>
      <c r="AB7516" s="1">
        <v>42382</v>
      </c>
      <c r="AC7516" t="s">
        <v>53</v>
      </c>
      <c r="AD7516" t="s">
        <v>53</v>
      </c>
      <c r="AK7516" s="2">
        <v>2197.06</v>
      </c>
      <c r="AU7516" s="6">
        <v>42359</v>
      </c>
      <c r="AV7516" s="6">
        <v>42359</v>
      </c>
      <c r="AW7516" t="s">
        <v>54</v>
      </c>
      <c r="AX7516" t="str">
        <f t="shared" si="607"/>
        <v>FOR</v>
      </c>
      <c r="AY7516" t="s">
        <v>55</v>
      </c>
    </row>
    <row r="7517" spans="1:51">
      <c r="A7517">
        <v>104231</v>
      </c>
      <c r="B7517" t="s">
        <v>1254</v>
      </c>
      <c r="C7517" t="str">
        <f t="shared" si="610"/>
        <v>04786680639</v>
      </c>
      <c r="D7517" t="str">
        <f t="shared" si="610"/>
        <v>04786680639</v>
      </c>
      <c r="E7517" t="s">
        <v>52</v>
      </c>
      <c r="F7517">
        <v>2015</v>
      </c>
      <c r="G7517">
        <v>9</v>
      </c>
      <c r="H7517" s="1">
        <v>42052</v>
      </c>
      <c r="I7517" s="1">
        <v>42060</v>
      </c>
      <c r="J7517" s="1">
        <v>42060</v>
      </c>
      <c r="K7517" s="1">
        <v>42120</v>
      </c>
      <c r="L7517" s="7">
        <v>8760</v>
      </c>
      <c r="M7517" s="5">
        <v>239</v>
      </c>
      <c r="N7517" s="7">
        <v>2093640</v>
      </c>
      <c r="O7517" s="2">
        <v>8760</v>
      </c>
      <c r="P7517">
        <v>239</v>
      </c>
      <c r="Q7517" s="2">
        <v>2093640</v>
      </c>
      <c r="R7517" s="2">
        <v>1927.2</v>
      </c>
      <c r="V7517">
        <v>0</v>
      </c>
      <c r="W7517">
        <v>0</v>
      </c>
      <c r="X7517">
        <v>0</v>
      </c>
      <c r="Y7517">
        <v>0</v>
      </c>
      <c r="Z7517" s="2">
        <v>10687.2</v>
      </c>
      <c r="AA7517" s="2">
        <v>10687.2</v>
      </c>
      <c r="AB7517" s="1">
        <v>42382</v>
      </c>
      <c r="AC7517" t="s">
        <v>53</v>
      </c>
      <c r="AD7517" t="s">
        <v>53</v>
      </c>
      <c r="AK7517" s="2">
        <v>1927.2</v>
      </c>
      <c r="AU7517" s="6">
        <v>42359</v>
      </c>
      <c r="AV7517" s="6">
        <v>42359</v>
      </c>
      <c r="AW7517" t="s">
        <v>54</v>
      </c>
      <c r="AX7517" t="str">
        <f t="shared" si="607"/>
        <v>FOR</v>
      </c>
      <c r="AY7517" t="s">
        <v>55</v>
      </c>
    </row>
    <row r="7518" spans="1:51" hidden="1">
      <c r="A7518">
        <v>104243</v>
      </c>
      <c r="B7518" t="s">
        <v>1255</v>
      </c>
      <c r="C7518" t="str">
        <f t="shared" ref="C7518:C7536" si="611">"02426070120"</f>
        <v>02426070120</v>
      </c>
      <c r="D7518" t="str">
        <f t="shared" ref="D7518:D7536" si="612">"12300580151"</f>
        <v>12300580151</v>
      </c>
      <c r="E7518" t="s">
        <v>52</v>
      </c>
      <c r="F7518">
        <v>2014</v>
      </c>
      <c r="G7518">
        <v>90001267</v>
      </c>
      <c r="H7518" s="1">
        <v>41661</v>
      </c>
      <c r="I7518" s="1">
        <v>41680</v>
      </c>
      <c r="J7518" s="1">
        <v>41680</v>
      </c>
      <c r="K7518" s="1">
        <v>41770</v>
      </c>
      <c r="N7518" s="5"/>
      <c r="O7518" s="2">
        <v>5535.87</v>
      </c>
      <c r="P7518">
        <v>254</v>
      </c>
      <c r="Q7518" s="2">
        <v>1406110.98</v>
      </c>
      <c r="R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 s="1">
        <v>42382</v>
      </c>
      <c r="AC7518" t="s">
        <v>53</v>
      </c>
      <c r="AD7518" t="s">
        <v>53</v>
      </c>
      <c r="AK7518">
        <v>0</v>
      </c>
      <c r="AU7518" s="6">
        <v>42024</v>
      </c>
      <c r="AV7518" s="6">
        <v>42024</v>
      </c>
      <c r="AW7518" t="s">
        <v>54</v>
      </c>
      <c r="AX7518" t="str">
        <f t="shared" si="607"/>
        <v>FOR</v>
      </c>
      <c r="AY7518" t="s">
        <v>55</v>
      </c>
    </row>
    <row r="7519" spans="1:51" hidden="1">
      <c r="A7519">
        <v>104243</v>
      </c>
      <c r="B7519" t="s">
        <v>1255</v>
      </c>
      <c r="C7519" t="str">
        <f t="shared" si="611"/>
        <v>02426070120</v>
      </c>
      <c r="D7519" t="str">
        <f t="shared" si="612"/>
        <v>12300580151</v>
      </c>
      <c r="E7519" t="s">
        <v>52</v>
      </c>
      <c r="F7519">
        <v>2014</v>
      </c>
      <c r="G7519">
        <v>90001527</v>
      </c>
      <c r="H7519" s="1">
        <v>41666</v>
      </c>
      <c r="I7519" s="1">
        <v>41684</v>
      </c>
      <c r="J7519" s="1">
        <v>41684</v>
      </c>
      <c r="K7519" s="1">
        <v>41774</v>
      </c>
      <c r="N7519" s="5"/>
      <c r="O7519">
        <v>605.12</v>
      </c>
      <c r="P7519">
        <v>250</v>
      </c>
      <c r="Q7519" s="2">
        <v>151280</v>
      </c>
      <c r="R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 s="1">
        <v>42382</v>
      </c>
      <c r="AC7519" t="s">
        <v>53</v>
      </c>
      <c r="AD7519" t="s">
        <v>53</v>
      </c>
      <c r="AK7519">
        <v>0</v>
      </c>
      <c r="AU7519" s="6">
        <v>42024</v>
      </c>
      <c r="AV7519" s="6">
        <v>42024</v>
      </c>
      <c r="AW7519" t="s">
        <v>54</v>
      </c>
      <c r="AX7519" t="str">
        <f t="shared" si="607"/>
        <v>FOR</v>
      </c>
      <c r="AY7519" t="s">
        <v>55</v>
      </c>
    </row>
    <row r="7520" spans="1:51" hidden="1">
      <c r="A7520">
        <v>104243</v>
      </c>
      <c r="B7520" t="s">
        <v>1255</v>
      </c>
      <c r="C7520" t="str">
        <f t="shared" si="611"/>
        <v>02426070120</v>
      </c>
      <c r="D7520" t="str">
        <f t="shared" si="612"/>
        <v>12300580151</v>
      </c>
      <c r="E7520" t="s">
        <v>52</v>
      </c>
      <c r="F7520">
        <v>2014</v>
      </c>
      <c r="G7520">
        <v>90002301</v>
      </c>
      <c r="H7520" s="1">
        <v>41673</v>
      </c>
      <c r="I7520" s="1">
        <v>41697</v>
      </c>
      <c r="J7520" s="1">
        <v>41697</v>
      </c>
      <c r="K7520" s="1">
        <v>41787</v>
      </c>
      <c r="N7520" s="5"/>
      <c r="O7520" s="2">
        <v>1735.33</v>
      </c>
      <c r="P7520">
        <v>250</v>
      </c>
      <c r="Q7520" s="2">
        <v>433832.5</v>
      </c>
      <c r="R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 s="1">
        <v>42382</v>
      </c>
      <c r="AC7520" t="s">
        <v>53</v>
      </c>
      <c r="AD7520" t="s">
        <v>53</v>
      </c>
      <c r="AK7520">
        <v>0</v>
      </c>
      <c r="AU7520" s="6">
        <v>42037</v>
      </c>
      <c r="AV7520" s="6">
        <v>42037</v>
      </c>
      <c r="AW7520" t="s">
        <v>54</v>
      </c>
      <c r="AX7520" t="str">
        <f t="shared" si="607"/>
        <v>FOR</v>
      </c>
      <c r="AY7520" t="s">
        <v>55</v>
      </c>
    </row>
    <row r="7521" spans="1:51" hidden="1">
      <c r="A7521">
        <v>104243</v>
      </c>
      <c r="B7521" t="s">
        <v>1255</v>
      </c>
      <c r="C7521" t="str">
        <f t="shared" si="611"/>
        <v>02426070120</v>
      </c>
      <c r="D7521" t="str">
        <f t="shared" si="612"/>
        <v>12300580151</v>
      </c>
      <c r="E7521" t="s">
        <v>52</v>
      </c>
      <c r="F7521">
        <v>2014</v>
      </c>
      <c r="G7521">
        <v>90002302</v>
      </c>
      <c r="H7521" s="1">
        <v>41673</v>
      </c>
      <c r="I7521" s="1">
        <v>41697</v>
      </c>
      <c r="J7521" s="1">
        <v>41697</v>
      </c>
      <c r="K7521" s="1">
        <v>41787</v>
      </c>
      <c r="N7521" s="5"/>
      <c r="O7521" s="2">
        <v>1648.95</v>
      </c>
      <c r="P7521">
        <v>250</v>
      </c>
      <c r="Q7521" s="2">
        <v>412237.5</v>
      </c>
      <c r="R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 s="1">
        <v>42382</v>
      </c>
      <c r="AC7521" t="s">
        <v>53</v>
      </c>
      <c r="AD7521" t="s">
        <v>53</v>
      </c>
      <c r="AK7521">
        <v>0</v>
      </c>
      <c r="AU7521" s="6">
        <v>42037</v>
      </c>
      <c r="AV7521" s="6">
        <v>42037</v>
      </c>
      <c r="AW7521" t="s">
        <v>54</v>
      </c>
      <c r="AX7521" t="str">
        <f t="shared" si="607"/>
        <v>FOR</v>
      </c>
      <c r="AY7521" t="s">
        <v>55</v>
      </c>
    </row>
    <row r="7522" spans="1:51" hidden="1">
      <c r="A7522">
        <v>104243</v>
      </c>
      <c r="B7522" t="s">
        <v>1255</v>
      </c>
      <c r="C7522" t="str">
        <f t="shared" si="611"/>
        <v>02426070120</v>
      </c>
      <c r="D7522" t="str">
        <f t="shared" si="612"/>
        <v>12300580151</v>
      </c>
      <c r="E7522" t="s">
        <v>52</v>
      </c>
      <c r="F7522">
        <v>2014</v>
      </c>
      <c r="G7522">
        <v>90005027</v>
      </c>
      <c r="H7522" s="1">
        <v>41710</v>
      </c>
      <c r="I7522" s="1">
        <v>41730</v>
      </c>
      <c r="J7522" s="1">
        <v>41730</v>
      </c>
      <c r="K7522" s="1">
        <v>41820</v>
      </c>
      <c r="N7522" s="5"/>
      <c r="O7522" s="2">
        <v>4567.68</v>
      </c>
      <c r="P7522">
        <v>282</v>
      </c>
      <c r="Q7522" s="2">
        <v>1288085.76</v>
      </c>
      <c r="R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 s="1">
        <v>42382</v>
      </c>
      <c r="AC7522" t="s">
        <v>53</v>
      </c>
      <c r="AD7522" t="s">
        <v>53</v>
      </c>
      <c r="AK7522">
        <v>0</v>
      </c>
      <c r="AU7522" s="6">
        <v>42102</v>
      </c>
      <c r="AV7522" s="6">
        <v>42102</v>
      </c>
      <c r="AW7522" t="s">
        <v>54</v>
      </c>
      <c r="AX7522" t="str">
        <f t="shared" si="607"/>
        <v>FOR</v>
      </c>
      <c r="AY7522" t="s">
        <v>55</v>
      </c>
    </row>
    <row r="7523" spans="1:51" hidden="1">
      <c r="A7523">
        <v>104243</v>
      </c>
      <c r="B7523" t="s">
        <v>1255</v>
      </c>
      <c r="C7523" t="str">
        <f t="shared" si="611"/>
        <v>02426070120</v>
      </c>
      <c r="D7523" t="str">
        <f t="shared" si="612"/>
        <v>12300580151</v>
      </c>
      <c r="E7523" t="s">
        <v>52</v>
      </c>
      <c r="F7523">
        <v>2014</v>
      </c>
      <c r="G7523">
        <v>90007193</v>
      </c>
      <c r="H7523" s="1">
        <v>41738</v>
      </c>
      <c r="I7523" s="1">
        <v>41758</v>
      </c>
      <c r="J7523" s="1">
        <v>41758</v>
      </c>
      <c r="K7523" s="1">
        <v>41848</v>
      </c>
      <c r="N7523" s="5"/>
      <c r="O7523" s="2">
        <v>1977.38</v>
      </c>
      <c r="P7523">
        <v>254</v>
      </c>
      <c r="Q7523" s="2">
        <v>502254.52</v>
      </c>
      <c r="R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 s="1">
        <v>42382</v>
      </c>
      <c r="AC7523" t="s">
        <v>53</v>
      </c>
      <c r="AD7523" t="s">
        <v>53</v>
      </c>
      <c r="AK7523">
        <v>0</v>
      </c>
      <c r="AU7523" s="6">
        <v>42102</v>
      </c>
      <c r="AV7523" s="6">
        <v>42102</v>
      </c>
      <c r="AW7523" t="s">
        <v>54</v>
      </c>
      <c r="AX7523" t="str">
        <f t="shared" si="607"/>
        <v>FOR</v>
      </c>
      <c r="AY7523" t="s">
        <v>55</v>
      </c>
    </row>
    <row r="7524" spans="1:51" hidden="1">
      <c r="A7524">
        <v>104243</v>
      </c>
      <c r="B7524" t="s">
        <v>1255</v>
      </c>
      <c r="C7524" t="str">
        <f t="shared" si="611"/>
        <v>02426070120</v>
      </c>
      <c r="D7524" t="str">
        <f t="shared" si="612"/>
        <v>12300580151</v>
      </c>
      <c r="E7524" t="s">
        <v>52</v>
      </c>
      <c r="F7524">
        <v>2014</v>
      </c>
      <c r="G7524">
        <v>90007194</v>
      </c>
      <c r="H7524" s="1">
        <v>41738</v>
      </c>
      <c r="I7524" s="1">
        <v>41758</v>
      </c>
      <c r="J7524" s="1">
        <v>41758</v>
      </c>
      <c r="K7524" s="1">
        <v>41848</v>
      </c>
      <c r="N7524" s="5"/>
      <c r="O7524" s="2">
        <v>1543.06</v>
      </c>
      <c r="P7524">
        <v>254</v>
      </c>
      <c r="Q7524" s="2">
        <v>391937.24</v>
      </c>
      <c r="R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 s="1">
        <v>42382</v>
      </c>
      <c r="AC7524" t="s">
        <v>53</v>
      </c>
      <c r="AD7524" t="s">
        <v>53</v>
      </c>
      <c r="AK7524">
        <v>0</v>
      </c>
      <c r="AU7524" s="6">
        <v>42102</v>
      </c>
      <c r="AV7524" s="6">
        <v>42102</v>
      </c>
      <c r="AW7524" t="s">
        <v>54</v>
      </c>
      <c r="AX7524" t="str">
        <f t="shared" si="607"/>
        <v>FOR</v>
      </c>
      <c r="AY7524" t="s">
        <v>55</v>
      </c>
    </row>
    <row r="7525" spans="1:51" hidden="1">
      <c r="A7525">
        <v>104243</v>
      </c>
      <c r="B7525" t="s">
        <v>1255</v>
      </c>
      <c r="C7525" t="str">
        <f t="shared" si="611"/>
        <v>02426070120</v>
      </c>
      <c r="D7525" t="str">
        <f t="shared" si="612"/>
        <v>12300580151</v>
      </c>
      <c r="E7525" t="s">
        <v>52</v>
      </c>
      <c r="F7525">
        <v>2014</v>
      </c>
      <c r="G7525">
        <v>90007608</v>
      </c>
      <c r="H7525" s="1">
        <v>41744</v>
      </c>
      <c r="I7525" s="1">
        <v>41758</v>
      </c>
      <c r="J7525" s="1">
        <v>41758</v>
      </c>
      <c r="K7525" s="1">
        <v>41848</v>
      </c>
      <c r="N7525" s="5"/>
      <c r="O7525">
        <v>484.1</v>
      </c>
      <c r="P7525">
        <v>254</v>
      </c>
      <c r="Q7525" s="2">
        <v>122961.4</v>
      </c>
      <c r="R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 s="1">
        <v>42382</v>
      </c>
      <c r="AC7525" t="s">
        <v>53</v>
      </c>
      <c r="AD7525" t="s">
        <v>53</v>
      </c>
      <c r="AK7525">
        <v>0</v>
      </c>
      <c r="AU7525" s="6">
        <v>42102</v>
      </c>
      <c r="AV7525" s="6">
        <v>42102</v>
      </c>
      <c r="AW7525" t="s">
        <v>54</v>
      </c>
      <c r="AX7525" t="str">
        <f t="shared" si="607"/>
        <v>FOR</v>
      </c>
      <c r="AY7525" t="s">
        <v>55</v>
      </c>
    </row>
    <row r="7526" spans="1:51" hidden="1">
      <c r="A7526">
        <v>104243</v>
      </c>
      <c r="B7526" t="s">
        <v>1255</v>
      </c>
      <c r="C7526" t="str">
        <f t="shared" si="611"/>
        <v>02426070120</v>
      </c>
      <c r="D7526" t="str">
        <f t="shared" si="612"/>
        <v>12300580151</v>
      </c>
      <c r="E7526" t="s">
        <v>52</v>
      </c>
      <c r="F7526">
        <v>2014</v>
      </c>
      <c r="G7526">
        <v>90009216</v>
      </c>
      <c r="H7526" s="1">
        <v>41766</v>
      </c>
      <c r="I7526" s="1">
        <v>41779</v>
      </c>
      <c r="J7526" s="1">
        <v>41779</v>
      </c>
      <c r="K7526" s="1">
        <v>41869</v>
      </c>
      <c r="N7526" s="5"/>
      <c r="O7526">
        <v>968.19</v>
      </c>
      <c r="P7526">
        <v>261</v>
      </c>
      <c r="Q7526" s="2">
        <v>252697.59</v>
      </c>
      <c r="R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 s="1">
        <v>42382</v>
      </c>
      <c r="AC7526" t="s">
        <v>53</v>
      </c>
      <c r="AD7526" t="s">
        <v>53</v>
      </c>
      <c r="AK7526">
        <v>0</v>
      </c>
      <c r="AU7526" s="6">
        <v>42130</v>
      </c>
      <c r="AV7526" s="6">
        <v>42130</v>
      </c>
      <c r="AW7526" t="s">
        <v>54</v>
      </c>
      <c r="AX7526" t="str">
        <f t="shared" si="607"/>
        <v>FOR</v>
      </c>
      <c r="AY7526" t="s">
        <v>55</v>
      </c>
    </row>
    <row r="7527" spans="1:51" hidden="1">
      <c r="A7527">
        <v>104243</v>
      </c>
      <c r="B7527" t="s">
        <v>1255</v>
      </c>
      <c r="C7527" t="str">
        <f t="shared" si="611"/>
        <v>02426070120</v>
      </c>
      <c r="D7527" t="str">
        <f t="shared" si="612"/>
        <v>12300580151</v>
      </c>
      <c r="E7527" t="s">
        <v>52</v>
      </c>
      <c r="F7527">
        <v>2014</v>
      </c>
      <c r="G7527">
        <v>90010509</v>
      </c>
      <c r="H7527" s="1">
        <v>41786</v>
      </c>
      <c r="I7527" s="1">
        <v>41800</v>
      </c>
      <c r="J7527" s="1">
        <v>41800</v>
      </c>
      <c r="K7527" s="1">
        <v>41890</v>
      </c>
      <c r="N7527" s="5"/>
      <c r="O7527" s="2">
        <v>3780.05</v>
      </c>
      <c r="P7527">
        <v>240</v>
      </c>
      <c r="Q7527" s="2">
        <v>907212</v>
      </c>
      <c r="R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 s="1">
        <v>42382</v>
      </c>
      <c r="AC7527" t="s">
        <v>53</v>
      </c>
      <c r="AD7527" t="s">
        <v>53</v>
      </c>
      <c r="AK7527">
        <v>0</v>
      </c>
      <c r="AU7527" s="6">
        <v>42130</v>
      </c>
      <c r="AV7527" s="6">
        <v>42130</v>
      </c>
      <c r="AW7527" t="s">
        <v>54</v>
      </c>
      <c r="AX7527" t="str">
        <f t="shared" si="607"/>
        <v>FOR</v>
      </c>
      <c r="AY7527" t="s">
        <v>55</v>
      </c>
    </row>
    <row r="7528" spans="1:51" hidden="1">
      <c r="A7528">
        <v>104243</v>
      </c>
      <c r="B7528" t="s">
        <v>1255</v>
      </c>
      <c r="C7528" t="str">
        <f t="shared" si="611"/>
        <v>02426070120</v>
      </c>
      <c r="D7528" t="str">
        <f t="shared" si="612"/>
        <v>12300580151</v>
      </c>
      <c r="E7528" t="s">
        <v>52</v>
      </c>
      <c r="F7528">
        <v>2014</v>
      </c>
      <c r="G7528">
        <v>90012517</v>
      </c>
      <c r="H7528" s="1">
        <v>41813</v>
      </c>
      <c r="I7528" s="1">
        <v>41829</v>
      </c>
      <c r="J7528" s="1">
        <v>41829</v>
      </c>
      <c r="K7528" s="1">
        <v>41919</v>
      </c>
      <c r="N7528" s="5"/>
      <c r="O7528" s="2">
        <v>3076.35</v>
      </c>
      <c r="P7528">
        <v>240</v>
      </c>
      <c r="Q7528" s="2">
        <v>738324</v>
      </c>
      <c r="R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 s="1">
        <v>42382</v>
      </c>
      <c r="AC7528" t="s">
        <v>53</v>
      </c>
      <c r="AD7528" t="s">
        <v>53</v>
      </c>
      <c r="AK7528">
        <v>0</v>
      </c>
      <c r="AU7528" s="6">
        <v>42159</v>
      </c>
      <c r="AV7528" s="6">
        <v>42159</v>
      </c>
      <c r="AW7528" t="s">
        <v>54</v>
      </c>
      <c r="AX7528" t="str">
        <f t="shared" si="607"/>
        <v>FOR</v>
      </c>
      <c r="AY7528" t="s">
        <v>55</v>
      </c>
    </row>
    <row r="7529" spans="1:51" hidden="1">
      <c r="A7529">
        <v>104243</v>
      </c>
      <c r="B7529" t="s">
        <v>1255</v>
      </c>
      <c r="C7529" t="str">
        <f t="shared" si="611"/>
        <v>02426070120</v>
      </c>
      <c r="D7529" t="str">
        <f t="shared" si="612"/>
        <v>12300580151</v>
      </c>
      <c r="E7529" t="s">
        <v>52</v>
      </c>
      <c r="F7529">
        <v>2014</v>
      </c>
      <c r="G7529">
        <v>90012518</v>
      </c>
      <c r="H7529" s="1">
        <v>41813</v>
      </c>
      <c r="I7529" s="1">
        <v>41829</v>
      </c>
      <c r="J7529" s="1">
        <v>41829</v>
      </c>
      <c r="K7529" s="1">
        <v>41919</v>
      </c>
      <c r="N7529" s="5"/>
      <c r="O7529">
        <v>484.1</v>
      </c>
      <c r="P7529">
        <v>240</v>
      </c>
      <c r="Q7529" s="2">
        <v>116184</v>
      </c>
      <c r="R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 s="1">
        <v>42382</v>
      </c>
      <c r="AC7529" t="s">
        <v>53</v>
      </c>
      <c r="AD7529" t="s">
        <v>53</v>
      </c>
      <c r="AK7529">
        <v>0</v>
      </c>
      <c r="AU7529" s="6">
        <v>42159</v>
      </c>
      <c r="AV7529" s="6">
        <v>42159</v>
      </c>
      <c r="AW7529" t="s">
        <v>54</v>
      </c>
      <c r="AX7529" t="str">
        <f t="shared" si="607"/>
        <v>FOR</v>
      </c>
      <c r="AY7529" t="s">
        <v>55</v>
      </c>
    </row>
    <row r="7530" spans="1:51" hidden="1">
      <c r="A7530">
        <v>104243</v>
      </c>
      <c r="B7530" t="s">
        <v>1255</v>
      </c>
      <c r="C7530" t="str">
        <f t="shared" si="611"/>
        <v>02426070120</v>
      </c>
      <c r="D7530" t="str">
        <f t="shared" si="612"/>
        <v>12300580151</v>
      </c>
      <c r="E7530" t="s">
        <v>52</v>
      </c>
      <c r="F7530">
        <v>2014</v>
      </c>
      <c r="G7530">
        <v>90017391</v>
      </c>
      <c r="H7530" s="1">
        <v>41890</v>
      </c>
      <c r="I7530" s="1">
        <v>41914</v>
      </c>
      <c r="J7530" s="1">
        <v>41914</v>
      </c>
      <c r="K7530" s="1">
        <v>42004</v>
      </c>
      <c r="N7530" s="5"/>
      <c r="O7530" s="2">
        <v>1769.98</v>
      </c>
      <c r="P7530">
        <v>245</v>
      </c>
      <c r="Q7530" s="2">
        <v>433645.1</v>
      </c>
      <c r="R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 s="1">
        <v>42382</v>
      </c>
      <c r="AC7530" t="s">
        <v>53</v>
      </c>
      <c r="AD7530" t="s">
        <v>53</v>
      </c>
      <c r="AK7530">
        <v>0</v>
      </c>
      <c r="AU7530" s="6">
        <v>42249</v>
      </c>
      <c r="AV7530" s="6">
        <v>42249</v>
      </c>
      <c r="AW7530" t="s">
        <v>54</v>
      </c>
      <c r="AX7530" t="str">
        <f t="shared" si="607"/>
        <v>FOR</v>
      </c>
      <c r="AY7530" t="s">
        <v>55</v>
      </c>
    </row>
    <row r="7531" spans="1:51" hidden="1">
      <c r="A7531">
        <v>104243</v>
      </c>
      <c r="B7531" t="s">
        <v>1255</v>
      </c>
      <c r="C7531" t="str">
        <f t="shared" si="611"/>
        <v>02426070120</v>
      </c>
      <c r="D7531" t="str">
        <f t="shared" si="612"/>
        <v>12300580151</v>
      </c>
      <c r="E7531" t="s">
        <v>52</v>
      </c>
      <c r="F7531">
        <v>2014</v>
      </c>
      <c r="G7531">
        <v>90018422</v>
      </c>
      <c r="H7531" s="1">
        <v>41907</v>
      </c>
      <c r="I7531" s="1">
        <v>41921</v>
      </c>
      <c r="J7531" s="1">
        <v>41921</v>
      </c>
      <c r="K7531" s="1">
        <v>42011</v>
      </c>
      <c r="N7531" s="5"/>
      <c r="O7531">
        <v>484.1</v>
      </c>
      <c r="P7531">
        <v>238</v>
      </c>
      <c r="Q7531" s="2">
        <v>115215.8</v>
      </c>
      <c r="R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 s="1">
        <v>42382</v>
      </c>
      <c r="AC7531" t="s">
        <v>53</v>
      </c>
      <c r="AD7531" t="s">
        <v>53</v>
      </c>
      <c r="AK7531">
        <v>0</v>
      </c>
      <c r="AU7531" s="6">
        <v>42249</v>
      </c>
      <c r="AV7531" s="6">
        <v>42249</v>
      </c>
      <c r="AW7531" t="s">
        <v>54</v>
      </c>
      <c r="AX7531" t="str">
        <f t="shared" si="607"/>
        <v>FOR</v>
      </c>
      <c r="AY7531" t="s">
        <v>55</v>
      </c>
    </row>
    <row r="7532" spans="1:51">
      <c r="A7532">
        <v>104243</v>
      </c>
      <c r="B7532" t="s">
        <v>1255</v>
      </c>
      <c r="C7532" t="str">
        <f t="shared" si="611"/>
        <v>02426070120</v>
      </c>
      <c r="D7532" t="str">
        <f t="shared" si="612"/>
        <v>12300580151</v>
      </c>
      <c r="E7532" t="s">
        <v>52</v>
      </c>
      <c r="F7532">
        <v>2014</v>
      </c>
      <c r="G7532">
        <v>90019275</v>
      </c>
      <c r="H7532" s="1">
        <v>41918</v>
      </c>
      <c r="I7532" s="1">
        <v>41932</v>
      </c>
      <c r="J7532" s="1">
        <v>41932</v>
      </c>
      <c r="K7532" s="1">
        <v>41992</v>
      </c>
      <c r="L7532" s="7">
        <v>2720.11</v>
      </c>
      <c r="M7532" s="5">
        <v>290</v>
      </c>
      <c r="N7532" s="7">
        <v>788831.9</v>
      </c>
      <c r="O7532" s="2">
        <v>2720.11</v>
      </c>
      <c r="P7532">
        <v>290</v>
      </c>
      <c r="Q7532" s="2">
        <v>788831.9</v>
      </c>
      <c r="R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 s="1">
        <v>42382</v>
      </c>
      <c r="AC7532" t="s">
        <v>53</v>
      </c>
      <c r="AD7532" t="s">
        <v>53</v>
      </c>
      <c r="AK7532">
        <v>0</v>
      </c>
      <c r="AU7532" s="6">
        <v>42282</v>
      </c>
      <c r="AV7532" s="6">
        <v>42282</v>
      </c>
      <c r="AW7532" t="s">
        <v>54</v>
      </c>
      <c r="AX7532" t="str">
        <f t="shared" si="607"/>
        <v>FOR</v>
      </c>
      <c r="AY7532" t="s">
        <v>55</v>
      </c>
    </row>
    <row r="7533" spans="1:51">
      <c r="A7533">
        <v>104243</v>
      </c>
      <c r="B7533" t="s">
        <v>1255</v>
      </c>
      <c r="C7533" t="str">
        <f t="shared" si="611"/>
        <v>02426070120</v>
      </c>
      <c r="D7533" t="str">
        <f t="shared" si="612"/>
        <v>12300580151</v>
      </c>
      <c r="E7533" t="s">
        <v>52</v>
      </c>
      <c r="F7533">
        <v>2014</v>
      </c>
      <c r="G7533">
        <v>90019276</v>
      </c>
      <c r="H7533" s="1">
        <v>41918</v>
      </c>
      <c r="I7533" s="1">
        <v>41932</v>
      </c>
      <c r="J7533" s="1">
        <v>41932</v>
      </c>
      <c r="K7533" s="1">
        <v>41992</v>
      </c>
      <c r="L7533" s="7">
        <v>4668.21</v>
      </c>
      <c r="M7533" s="5">
        <v>290</v>
      </c>
      <c r="N7533" s="7">
        <v>1353780.9</v>
      </c>
      <c r="O7533" s="2">
        <v>4668.21</v>
      </c>
      <c r="P7533">
        <v>290</v>
      </c>
      <c r="Q7533" s="2">
        <v>1353780.9</v>
      </c>
      <c r="R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 s="1">
        <v>42382</v>
      </c>
      <c r="AC7533" t="s">
        <v>53</v>
      </c>
      <c r="AD7533" t="s">
        <v>53</v>
      </c>
      <c r="AK7533">
        <v>0</v>
      </c>
      <c r="AU7533" s="6">
        <v>42282</v>
      </c>
      <c r="AV7533" s="6">
        <v>42282</v>
      </c>
      <c r="AW7533" t="s">
        <v>54</v>
      </c>
      <c r="AX7533" t="str">
        <f t="shared" si="607"/>
        <v>FOR</v>
      </c>
      <c r="AY7533" t="s">
        <v>55</v>
      </c>
    </row>
    <row r="7534" spans="1:51">
      <c r="A7534">
        <v>104243</v>
      </c>
      <c r="B7534" t="s">
        <v>1255</v>
      </c>
      <c r="C7534" t="str">
        <f t="shared" si="611"/>
        <v>02426070120</v>
      </c>
      <c r="D7534" t="str">
        <f t="shared" si="612"/>
        <v>12300580151</v>
      </c>
      <c r="E7534" t="s">
        <v>52</v>
      </c>
      <c r="F7534">
        <v>2014</v>
      </c>
      <c r="G7534">
        <v>90019277</v>
      </c>
      <c r="H7534" s="1">
        <v>41918</v>
      </c>
      <c r="I7534" s="1">
        <v>41932</v>
      </c>
      <c r="J7534" s="1">
        <v>41932</v>
      </c>
      <c r="K7534" s="1">
        <v>41992</v>
      </c>
      <c r="L7534" s="7">
        <v>2445.86</v>
      </c>
      <c r="M7534" s="5">
        <v>290</v>
      </c>
      <c r="N7534" s="7">
        <v>709299.4</v>
      </c>
      <c r="O7534" s="2">
        <v>2445.86</v>
      </c>
      <c r="P7534">
        <v>290</v>
      </c>
      <c r="Q7534" s="2">
        <v>709299.4</v>
      </c>
      <c r="R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 s="1">
        <v>42382</v>
      </c>
      <c r="AC7534" t="s">
        <v>53</v>
      </c>
      <c r="AD7534" t="s">
        <v>53</v>
      </c>
      <c r="AK7534">
        <v>0</v>
      </c>
      <c r="AU7534" s="6">
        <v>42282</v>
      </c>
      <c r="AV7534" s="6">
        <v>42282</v>
      </c>
      <c r="AW7534" t="s">
        <v>54</v>
      </c>
      <c r="AX7534" t="str">
        <f t="shared" si="607"/>
        <v>FOR</v>
      </c>
      <c r="AY7534" t="s">
        <v>55</v>
      </c>
    </row>
    <row r="7535" spans="1:51">
      <c r="A7535">
        <v>104243</v>
      </c>
      <c r="B7535" t="s">
        <v>1255</v>
      </c>
      <c r="C7535" t="str">
        <f t="shared" si="611"/>
        <v>02426070120</v>
      </c>
      <c r="D7535" t="str">
        <f t="shared" si="612"/>
        <v>12300580151</v>
      </c>
      <c r="E7535" t="s">
        <v>52</v>
      </c>
      <c r="F7535">
        <v>2014</v>
      </c>
      <c r="G7535">
        <v>90022009</v>
      </c>
      <c r="H7535" s="1">
        <v>41960</v>
      </c>
      <c r="I7535" s="1">
        <v>41976</v>
      </c>
      <c r="J7535" s="1">
        <v>41976</v>
      </c>
      <c r="K7535" s="1">
        <v>42036</v>
      </c>
      <c r="L7535" s="7">
        <v>968.19</v>
      </c>
      <c r="M7535" s="5">
        <v>268</v>
      </c>
      <c r="N7535" s="7">
        <v>259474.92</v>
      </c>
      <c r="O7535">
        <v>968.19</v>
      </c>
      <c r="P7535">
        <v>268</v>
      </c>
      <c r="Q7535" s="2">
        <v>259474.92</v>
      </c>
      <c r="R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 s="1">
        <v>42382</v>
      </c>
      <c r="AC7535" t="s">
        <v>53</v>
      </c>
      <c r="AD7535" t="s">
        <v>53</v>
      </c>
      <c r="AK7535">
        <v>0</v>
      </c>
      <c r="AU7535" s="6">
        <v>42304</v>
      </c>
      <c r="AV7535" s="6">
        <v>42304</v>
      </c>
      <c r="AW7535" t="s">
        <v>54</v>
      </c>
      <c r="AX7535" t="str">
        <f t="shared" si="607"/>
        <v>FOR</v>
      </c>
      <c r="AY7535" t="s">
        <v>55</v>
      </c>
    </row>
    <row r="7536" spans="1:51">
      <c r="A7536">
        <v>104243</v>
      </c>
      <c r="B7536" t="s">
        <v>1255</v>
      </c>
      <c r="C7536" t="str">
        <f t="shared" si="611"/>
        <v>02426070120</v>
      </c>
      <c r="D7536" t="str">
        <f t="shared" si="612"/>
        <v>12300580151</v>
      </c>
      <c r="E7536" t="s">
        <v>52</v>
      </c>
      <c r="F7536">
        <v>2014</v>
      </c>
      <c r="G7536">
        <v>90022010</v>
      </c>
      <c r="H7536" s="1">
        <v>41960</v>
      </c>
      <c r="I7536" s="1">
        <v>41976</v>
      </c>
      <c r="J7536" s="1">
        <v>41976</v>
      </c>
      <c r="K7536" s="1">
        <v>42036</v>
      </c>
      <c r="L7536" s="7">
        <v>4477.3999999999996</v>
      </c>
      <c r="M7536" s="5">
        <v>268</v>
      </c>
      <c r="N7536" s="7">
        <v>1199943.2</v>
      </c>
      <c r="O7536" s="2">
        <v>4477.3999999999996</v>
      </c>
      <c r="P7536">
        <v>268</v>
      </c>
      <c r="Q7536" s="2">
        <v>1199943.2</v>
      </c>
      <c r="R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 s="1">
        <v>42382</v>
      </c>
      <c r="AC7536" t="s">
        <v>53</v>
      </c>
      <c r="AD7536" t="s">
        <v>53</v>
      </c>
      <c r="AK7536">
        <v>0</v>
      </c>
      <c r="AU7536" s="6">
        <v>42304</v>
      </c>
      <c r="AV7536" s="6">
        <v>42304</v>
      </c>
      <c r="AW7536" t="s">
        <v>54</v>
      </c>
      <c r="AX7536" t="str">
        <f t="shared" si="607"/>
        <v>FOR</v>
      </c>
      <c r="AY7536" t="s">
        <v>55</v>
      </c>
    </row>
    <row r="7537" spans="1:51" hidden="1">
      <c r="A7537">
        <v>104253</v>
      </c>
      <c r="B7537" t="s">
        <v>1256</v>
      </c>
      <c r="C7537" t="str">
        <f>"12575740159"</f>
        <v>12575740159</v>
      </c>
      <c r="D7537" t="str">
        <f>"97204800151"</f>
        <v>97204800151</v>
      </c>
      <c r="E7537" t="s">
        <v>52</v>
      </c>
      <c r="F7537">
        <v>2014</v>
      </c>
      <c r="G7537">
        <v>31400654</v>
      </c>
      <c r="H7537" s="1">
        <v>41711</v>
      </c>
      <c r="I7537" s="1">
        <v>41964</v>
      </c>
      <c r="J7537" s="1">
        <v>41964</v>
      </c>
      <c r="K7537" s="1">
        <v>42024</v>
      </c>
      <c r="N7537" s="5"/>
      <c r="O7537" s="2">
        <v>1443.52</v>
      </c>
      <c r="P7537">
        <v>50</v>
      </c>
      <c r="Q7537" s="2">
        <v>72176</v>
      </c>
      <c r="R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 s="1">
        <v>42382</v>
      </c>
      <c r="AC7537" t="s">
        <v>53</v>
      </c>
      <c r="AD7537" t="s">
        <v>53</v>
      </c>
      <c r="AK7537">
        <v>0</v>
      </c>
      <c r="AU7537" s="6">
        <v>42074</v>
      </c>
      <c r="AV7537" s="6">
        <v>42074</v>
      </c>
      <c r="AW7537" t="s">
        <v>54</v>
      </c>
      <c r="AX7537" t="str">
        <f t="shared" si="607"/>
        <v>FOR</v>
      </c>
      <c r="AY7537" t="s">
        <v>55</v>
      </c>
    </row>
    <row r="7538" spans="1:51" hidden="1">
      <c r="A7538">
        <v>104253</v>
      </c>
      <c r="B7538" t="s">
        <v>1256</v>
      </c>
      <c r="C7538" t="str">
        <f>"12575740159"</f>
        <v>12575740159</v>
      </c>
      <c r="D7538" t="str">
        <f>"97204800151"</f>
        <v>97204800151</v>
      </c>
      <c r="E7538" t="s">
        <v>52</v>
      </c>
      <c r="F7538">
        <v>2014</v>
      </c>
      <c r="G7538">
        <v>31401913</v>
      </c>
      <c r="H7538" s="1">
        <v>41835</v>
      </c>
      <c r="I7538" s="1">
        <v>41849</v>
      </c>
      <c r="J7538" s="1">
        <v>41849</v>
      </c>
      <c r="K7538" s="1">
        <v>41939</v>
      </c>
      <c r="N7538" s="5"/>
      <c r="O7538" s="2">
        <v>1804.4</v>
      </c>
      <c r="P7538">
        <v>220</v>
      </c>
      <c r="Q7538" s="2">
        <v>396968</v>
      </c>
      <c r="R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 s="1">
        <v>42382</v>
      </c>
      <c r="AC7538" t="s">
        <v>53</v>
      </c>
      <c r="AD7538" t="s">
        <v>53</v>
      </c>
      <c r="AK7538">
        <v>0</v>
      </c>
      <c r="AU7538" s="6">
        <v>42159</v>
      </c>
      <c r="AV7538" s="6">
        <v>42159</v>
      </c>
      <c r="AW7538" t="s">
        <v>54</v>
      </c>
      <c r="AX7538" t="str">
        <f t="shared" si="607"/>
        <v>FOR</v>
      </c>
      <c r="AY7538" t="s">
        <v>55</v>
      </c>
    </row>
    <row r="7539" spans="1:51" hidden="1">
      <c r="A7539">
        <v>104253</v>
      </c>
      <c r="B7539" t="s">
        <v>1256</v>
      </c>
      <c r="C7539" t="str">
        <f>"12575740159"</f>
        <v>12575740159</v>
      </c>
      <c r="D7539" t="str">
        <f>"97204800151"</f>
        <v>97204800151</v>
      </c>
      <c r="E7539" t="s">
        <v>52</v>
      </c>
      <c r="F7539">
        <v>2014</v>
      </c>
      <c r="G7539">
        <v>31403058</v>
      </c>
      <c r="H7539" s="1">
        <v>41957</v>
      </c>
      <c r="I7539" s="1">
        <v>41964</v>
      </c>
      <c r="J7539" s="1">
        <v>41964</v>
      </c>
      <c r="K7539" s="1">
        <v>42024</v>
      </c>
      <c r="N7539" s="5"/>
      <c r="O7539">
        <v>541.32000000000005</v>
      </c>
      <c r="P7539">
        <v>135</v>
      </c>
      <c r="Q7539" s="2">
        <v>73078.2</v>
      </c>
      <c r="R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 s="1">
        <v>42382</v>
      </c>
      <c r="AC7539" t="s">
        <v>53</v>
      </c>
      <c r="AD7539" t="s">
        <v>53</v>
      </c>
      <c r="AK7539">
        <v>0</v>
      </c>
      <c r="AU7539" s="6">
        <v>42159</v>
      </c>
      <c r="AV7539" s="6">
        <v>42159</v>
      </c>
      <c r="AW7539" t="s">
        <v>54</v>
      </c>
      <c r="AX7539" t="str">
        <f t="shared" si="607"/>
        <v>FOR</v>
      </c>
      <c r="AY7539" t="s">
        <v>55</v>
      </c>
    </row>
    <row r="7540" spans="1:51" hidden="1">
      <c r="A7540">
        <v>104253</v>
      </c>
      <c r="B7540" t="s">
        <v>1256</v>
      </c>
      <c r="C7540" t="str">
        <f>"12575740159"</f>
        <v>12575740159</v>
      </c>
      <c r="D7540" t="str">
        <f>"97204800151"</f>
        <v>97204800151</v>
      </c>
      <c r="E7540" t="s">
        <v>52</v>
      </c>
      <c r="F7540">
        <v>2015</v>
      </c>
      <c r="G7540">
        <v>9031500420</v>
      </c>
      <c r="H7540" s="1">
        <v>42058</v>
      </c>
      <c r="I7540" s="1">
        <v>42060</v>
      </c>
      <c r="J7540" s="1">
        <v>42060</v>
      </c>
      <c r="K7540" s="1">
        <v>42120</v>
      </c>
      <c r="N7540" s="5"/>
      <c r="O7540">
        <v>520.5</v>
      </c>
      <c r="P7540">
        <v>129</v>
      </c>
      <c r="Q7540" s="2">
        <v>67144.5</v>
      </c>
      <c r="R7540">
        <v>0</v>
      </c>
      <c r="V7540">
        <v>0</v>
      </c>
      <c r="W7540">
        <v>0</v>
      </c>
      <c r="X7540">
        <v>0</v>
      </c>
      <c r="Y7540">
        <v>541.32000000000005</v>
      </c>
      <c r="Z7540">
        <v>541.32000000000005</v>
      </c>
      <c r="AA7540">
        <v>541.32000000000005</v>
      </c>
      <c r="AB7540" s="1">
        <v>42382</v>
      </c>
      <c r="AC7540" t="s">
        <v>53</v>
      </c>
      <c r="AD7540" t="s">
        <v>53</v>
      </c>
      <c r="AK7540">
        <v>0</v>
      </c>
      <c r="AU7540" s="6">
        <v>42249</v>
      </c>
      <c r="AV7540" s="6">
        <v>42249</v>
      </c>
      <c r="AW7540" t="s">
        <v>54</v>
      </c>
      <c r="AX7540" t="str">
        <f t="shared" si="607"/>
        <v>FOR</v>
      </c>
      <c r="AY7540" t="s">
        <v>55</v>
      </c>
    </row>
    <row r="7541" spans="1:51" hidden="1">
      <c r="A7541">
        <v>104269</v>
      </c>
      <c r="B7541" t="s">
        <v>1257</v>
      </c>
      <c r="C7541" t="str">
        <f>"01144960620"</f>
        <v>01144960620</v>
      </c>
      <c r="D7541" t="str">
        <f>"PPAQNT67R21D693K"</f>
        <v>PPAQNT67R21D693K</v>
      </c>
      <c r="E7541" t="s">
        <v>52</v>
      </c>
      <c r="F7541">
        <v>2015</v>
      </c>
      <c r="G7541">
        <v>1</v>
      </c>
      <c r="H7541" s="1">
        <v>42124</v>
      </c>
      <c r="I7541" s="1">
        <v>42139</v>
      </c>
      <c r="J7541" s="1">
        <v>42137</v>
      </c>
      <c r="K7541" s="1">
        <v>42197</v>
      </c>
      <c r="N7541" s="5"/>
      <c r="O7541" s="2">
        <v>4944.5</v>
      </c>
      <c r="P7541">
        <v>-16</v>
      </c>
      <c r="Q7541" s="2">
        <v>-79112</v>
      </c>
      <c r="R7541">
        <v>0</v>
      </c>
      <c r="V7541">
        <v>0</v>
      </c>
      <c r="W7541">
        <v>0</v>
      </c>
      <c r="X7541">
        <v>0</v>
      </c>
      <c r="Y7541" s="2">
        <v>6032.29</v>
      </c>
      <c r="Z7541" s="2">
        <v>6032.29</v>
      </c>
      <c r="AA7541" s="2">
        <v>6032.29</v>
      </c>
      <c r="AB7541" s="1">
        <v>42382</v>
      </c>
      <c r="AC7541" t="s">
        <v>53</v>
      </c>
      <c r="AD7541" t="s">
        <v>53</v>
      </c>
      <c r="AK7541">
        <v>0</v>
      </c>
      <c r="AU7541" s="6">
        <v>42181</v>
      </c>
      <c r="AV7541" s="6">
        <v>42181</v>
      </c>
      <c r="AW7541" t="s">
        <v>54</v>
      </c>
      <c r="AX7541" t="str">
        <f t="shared" si="607"/>
        <v>FOR</v>
      </c>
      <c r="AY7541" t="s">
        <v>55</v>
      </c>
    </row>
    <row r="7542" spans="1:51">
      <c r="A7542">
        <v>104269</v>
      </c>
      <c r="B7542" t="s">
        <v>1257</v>
      </c>
      <c r="C7542" t="str">
        <f>"01144960620"</f>
        <v>01144960620</v>
      </c>
      <c r="D7542" t="str">
        <f>"PPAQNT67R21D693K"</f>
        <v>PPAQNT67R21D693K</v>
      </c>
      <c r="E7542" t="s">
        <v>52</v>
      </c>
      <c r="F7542">
        <v>2015</v>
      </c>
      <c r="G7542" t="s">
        <v>1258</v>
      </c>
      <c r="H7542" s="1">
        <v>42312</v>
      </c>
      <c r="I7542" s="1">
        <v>42320</v>
      </c>
      <c r="J7542" s="1">
        <v>42318</v>
      </c>
      <c r="K7542" s="1">
        <v>42378</v>
      </c>
      <c r="L7542" s="7">
        <v>3023.66</v>
      </c>
      <c r="M7542" s="5">
        <v>-25</v>
      </c>
      <c r="N7542" s="7">
        <v>-75591.5</v>
      </c>
      <c r="O7542" s="2">
        <v>3023.66</v>
      </c>
      <c r="P7542">
        <v>-25</v>
      </c>
      <c r="Q7542" s="2">
        <v>-75591.5</v>
      </c>
      <c r="R7542">
        <v>665.21</v>
      </c>
      <c r="V7542">
        <v>0</v>
      </c>
      <c r="W7542" s="2">
        <v>3688.87</v>
      </c>
      <c r="X7542" s="2">
        <v>3688.87</v>
      </c>
      <c r="Y7542" s="2">
        <v>3688.87</v>
      </c>
      <c r="Z7542" s="2">
        <v>3688.87</v>
      </c>
      <c r="AA7542" s="2">
        <v>3688.87</v>
      </c>
      <c r="AB7542" s="1">
        <v>42382</v>
      </c>
      <c r="AC7542" t="s">
        <v>53</v>
      </c>
      <c r="AD7542" t="s">
        <v>53</v>
      </c>
      <c r="AK7542">
        <v>0</v>
      </c>
      <c r="AM7542">
        <v>665.21</v>
      </c>
      <c r="AU7542" s="6">
        <v>42353</v>
      </c>
      <c r="AV7542" s="6">
        <v>42353</v>
      </c>
      <c r="AW7542" t="s">
        <v>54</v>
      </c>
      <c r="AX7542" t="str">
        <f t="shared" si="607"/>
        <v>FOR</v>
      </c>
      <c r="AY7542" t="s">
        <v>55</v>
      </c>
    </row>
    <row r="7543" spans="1:51">
      <c r="A7543">
        <v>104269</v>
      </c>
      <c r="B7543" t="s">
        <v>1257</v>
      </c>
      <c r="C7543" t="str">
        <f>"01144960620"</f>
        <v>01144960620</v>
      </c>
      <c r="D7543" t="str">
        <f>"PPAQNT67R21D693K"</f>
        <v>PPAQNT67R21D693K</v>
      </c>
      <c r="E7543" t="s">
        <v>52</v>
      </c>
      <c r="F7543">
        <v>2015</v>
      </c>
      <c r="G7543" t="s">
        <v>1259</v>
      </c>
      <c r="H7543" s="1">
        <v>42331</v>
      </c>
      <c r="I7543" s="1">
        <v>42334</v>
      </c>
      <c r="J7543" s="1">
        <v>42333</v>
      </c>
      <c r="K7543" s="1">
        <v>42393</v>
      </c>
      <c r="L7543" s="7">
        <v>1947.12</v>
      </c>
      <c r="M7543" s="5">
        <v>-40</v>
      </c>
      <c r="N7543" s="7">
        <v>-77884.800000000003</v>
      </c>
      <c r="O7543" s="2">
        <v>1947.12</v>
      </c>
      <c r="P7543">
        <v>-40</v>
      </c>
      <c r="Q7543" s="2">
        <v>-77884.800000000003</v>
      </c>
      <c r="R7543">
        <v>428.37</v>
      </c>
      <c r="V7543">
        <v>0</v>
      </c>
      <c r="W7543" s="2">
        <v>2375.4899999999998</v>
      </c>
      <c r="X7543" s="2">
        <v>2375.4899999999998</v>
      </c>
      <c r="Y7543" s="2">
        <v>2375.4899999999998</v>
      </c>
      <c r="Z7543" s="2">
        <v>2375.4899999999998</v>
      </c>
      <c r="AA7543" s="2">
        <v>2375.4899999999998</v>
      </c>
      <c r="AB7543" s="1">
        <v>42382</v>
      </c>
      <c r="AC7543" t="s">
        <v>53</v>
      </c>
      <c r="AD7543" t="s">
        <v>53</v>
      </c>
      <c r="AK7543">
        <v>0</v>
      </c>
      <c r="AM7543">
        <v>428.37</v>
      </c>
      <c r="AU7543" s="6">
        <v>42353</v>
      </c>
      <c r="AV7543" s="6">
        <v>42353</v>
      </c>
      <c r="AW7543" t="s">
        <v>54</v>
      </c>
      <c r="AX7543" t="str">
        <f t="shared" si="607"/>
        <v>FOR</v>
      </c>
      <c r="AY7543" t="s">
        <v>55</v>
      </c>
    </row>
    <row r="7544" spans="1:51" hidden="1">
      <c r="A7544">
        <v>104274</v>
      </c>
      <c r="B7544" t="s">
        <v>1260</v>
      </c>
      <c r="C7544" t="str">
        <f>"01423300183"</f>
        <v>01423300183</v>
      </c>
      <c r="D7544" t="str">
        <f>""</f>
        <v/>
      </c>
      <c r="E7544" t="s">
        <v>52</v>
      </c>
      <c r="F7544">
        <v>2015</v>
      </c>
      <c r="G7544" t="s">
        <v>1261</v>
      </c>
      <c r="H7544" s="1">
        <v>42124</v>
      </c>
      <c r="I7544" s="1">
        <v>42174</v>
      </c>
      <c r="J7544" s="1">
        <v>42138</v>
      </c>
      <c r="K7544" s="1">
        <v>42198</v>
      </c>
      <c r="N7544" s="5"/>
      <c r="O7544" s="2">
        <v>1036.2</v>
      </c>
      <c r="P7544">
        <v>77</v>
      </c>
      <c r="Q7544" s="2">
        <v>79787.399999999994</v>
      </c>
      <c r="R7544">
        <v>0</v>
      </c>
      <c r="V7544">
        <v>0</v>
      </c>
      <c r="W7544">
        <v>0</v>
      </c>
      <c r="X7544">
        <v>0</v>
      </c>
      <c r="Y7544" s="2">
        <v>1139.82</v>
      </c>
      <c r="Z7544" s="2">
        <v>1139.82</v>
      </c>
      <c r="AA7544" s="2">
        <v>1139.82</v>
      </c>
      <c r="AB7544" s="1">
        <v>42382</v>
      </c>
      <c r="AC7544" t="s">
        <v>53</v>
      </c>
      <c r="AD7544" t="s">
        <v>53</v>
      </c>
      <c r="AK7544">
        <v>0</v>
      </c>
      <c r="AU7544" s="6">
        <v>42275</v>
      </c>
      <c r="AV7544" s="6">
        <v>42275</v>
      </c>
      <c r="AW7544" t="s">
        <v>54</v>
      </c>
      <c r="AX7544" t="str">
        <f t="shared" si="607"/>
        <v>FOR</v>
      </c>
      <c r="AY7544" t="s">
        <v>55</v>
      </c>
    </row>
    <row r="7545" spans="1:51" hidden="1">
      <c r="A7545">
        <v>104284</v>
      </c>
      <c r="B7545" t="s">
        <v>1262</v>
      </c>
      <c r="C7545" t="str">
        <f>"11264670156"</f>
        <v>11264670156</v>
      </c>
      <c r="D7545" t="str">
        <f>"11264670156"</f>
        <v>11264670156</v>
      </c>
      <c r="E7545" t="s">
        <v>52</v>
      </c>
      <c r="F7545">
        <v>2014</v>
      </c>
      <c r="G7545">
        <v>19352</v>
      </c>
      <c r="H7545" s="1">
        <v>41835</v>
      </c>
      <c r="I7545" s="1">
        <v>41872</v>
      </c>
      <c r="J7545" s="1">
        <v>41872</v>
      </c>
      <c r="K7545" s="1">
        <v>41962</v>
      </c>
      <c r="N7545" s="5"/>
      <c r="O7545" s="2">
        <v>13592.8</v>
      </c>
      <c r="P7545">
        <v>288</v>
      </c>
      <c r="Q7545" s="2">
        <v>3914726.4</v>
      </c>
      <c r="R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 s="1">
        <v>42382</v>
      </c>
      <c r="AC7545" t="s">
        <v>53</v>
      </c>
      <c r="AD7545" t="s">
        <v>53</v>
      </c>
      <c r="AK7545">
        <v>0</v>
      </c>
      <c r="AU7545" s="6">
        <v>42250</v>
      </c>
      <c r="AV7545" s="6">
        <v>42250</v>
      </c>
      <c r="AW7545" t="s">
        <v>54</v>
      </c>
      <c r="AX7545" t="str">
        <f t="shared" si="607"/>
        <v>FOR</v>
      </c>
      <c r="AY7545" t="s">
        <v>55</v>
      </c>
    </row>
    <row r="7546" spans="1:51" hidden="1">
      <c r="A7546">
        <v>104284</v>
      </c>
      <c r="B7546" t="s">
        <v>1262</v>
      </c>
      <c r="C7546" t="str">
        <f>"11264670156"</f>
        <v>11264670156</v>
      </c>
      <c r="D7546" t="str">
        <f>"11264670156"</f>
        <v>11264670156</v>
      </c>
      <c r="E7546" t="s">
        <v>52</v>
      </c>
      <c r="F7546">
        <v>2014</v>
      </c>
      <c r="G7546">
        <v>19353</v>
      </c>
      <c r="H7546" s="1">
        <v>41835</v>
      </c>
      <c r="I7546" s="1">
        <v>41872</v>
      </c>
      <c r="J7546" s="1">
        <v>41872</v>
      </c>
      <c r="K7546" s="1">
        <v>41962</v>
      </c>
      <c r="N7546" s="5"/>
      <c r="O7546" s="2">
        <v>13520</v>
      </c>
      <c r="P7546">
        <v>288</v>
      </c>
      <c r="Q7546" s="2">
        <v>3893760</v>
      </c>
      <c r="R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 s="1">
        <v>42382</v>
      </c>
      <c r="AC7546" t="s">
        <v>53</v>
      </c>
      <c r="AD7546" t="s">
        <v>53</v>
      </c>
      <c r="AK7546">
        <v>0</v>
      </c>
      <c r="AU7546" s="6">
        <v>42250</v>
      </c>
      <c r="AV7546" s="6">
        <v>42250</v>
      </c>
      <c r="AW7546" t="s">
        <v>54</v>
      </c>
      <c r="AX7546" t="str">
        <f t="shared" si="607"/>
        <v>FOR</v>
      </c>
      <c r="AY7546" t="s">
        <v>55</v>
      </c>
    </row>
    <row r="7547" spans="1:51" hidden="1">
      <c r="A7547">
        <v>104285</v>
      </c>
      <c r="B7547" t="s">
        <v>1263</v>
      </c>
      <c r="C7547" t="str">
        <f t="shared" ref="C7547:D7552" si="613">"01835220482"</f>
        <v>01835220482</v>
      </c>
      <c r="D7547" t="str">
        <f t="shared" si="613"/>
        <v>01835220482</v>
      </c>
      <c r="E7547" t="s">
        <v>52</v>
      </c>
      <c r="F7547">
        <v>2014</v>
      </c>
      <c r="G7547">
        <v>1651</v>
      </c>
      <c r="H7547" s="1">
        <v>41682</v>
      </c>
      <c r="I7547" s="1">
        <v>41711</v>
      </c>
      <c r="J7547" s="1">
        <v>41711</v>
      </c>
      <c r="K7547" s="1">
        <v>41801</v>
      </c>
      <c r="N7547" s="5"/>
      <c r="O7547" s="2">
        <v>2275.91</v>
      </c>
      <c r="P7547">
        <v>301</v>
      </c>
      <c r="Q7547" s="2">
        <v>685048.91</v>
      </c>
      <c r="R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 s="1">
        <v>42382</v>
      </c>
      <c r="AC7547" t="s">
        <v>53</v>
      </c>
      <c r="AD7547" t="s">
        <v>53</v>
      </c>
      <c r="AK7547">
        <v>0</v>
      </c>
      <c r="AU7547" s="6">
        <v>42102</v>
      </c>
      <c r="AV7547" s="6">
        <v>42102</v>
      </c>
      <c r="AW7547" t="s">
        <v>54</v>
      </c>
      <c r="AX7547" t="str">
        <f t="shared" si="607"/>
        <v>FOR</v>
      </c>
      <c r="AY7547" t="s">
        <v>55</v>
      </c>
    </row>
    <row r="7548" spans="1:51" hidden="1">
      <c r="A7548">
        <v>104285</v>
      </c>
      <c r="B7548" t="s">
        <v>1263</v>
      </c>
      <c r="C7548" t="str">
        <f t="shared" si="613"/>
        <v>01835220482</v>
      </c>
      <c r="D7548" t="str">
        <f t="shared" si="613"/>
        <v>01835220482</v>
      </c>
      <c r="E7548" t="s">
        <v>52</v>
      </c>
      <c r="F7548">
        <v>2014</v>
      </c>
      <c r="G7548">
        <v>5876</v>
      </c>
      <c r="H7548" s="1">
        <v>41747</v>
      </c>
      <c r="I7548" s="1">
        <v>41778</v>
      </c>
      <c r="J7548" s="1">
        <v>41778</v>
      </c>
      <c r="K7548" s="1">
        <v>41868</v>
      </c>
      <c r="N7548" s="5"/>
      <c r="O7548" s="2">
        <v>1225.49</v>
      </c>
      <c r="P7548">
        <v>234</v>
      </c>
      <c r="Q7548" s="2">
        <v>286764.65999999997</v>
      </c>
      <c r="R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 s="1">
        <v>42382</v>
      </c>
      <c r="AC7548" t="s">
        <v>53</v>
      </c>
      <c r="AD7548" t="s">
        <v>53</v>
      </c>
      <c r="AK7548">
        <v>0</v>
      </c>
      <c r="AU7548" s="6">
        <v>42102</v>
      </c>
      <c r="AV7548" s="6">
        <v>42102</v>
      </c>
      <c r="AW7548" t="s">
        <v>54</v>
      </c>
      <c r="AX7548" t="str">
        <f t="shared" si="607"/>
        <v>FOR</v>
      </c>
      <c r="AY7548" t="s">
        <v>55</v>
      </c>
    </row>
    <row r="7549" spans="1:51" hidden="1">
      <c r="A7549">
        <v>104285</v>
      </c>
      <c r="B7549" t="s">
        <v>1263</v>
      </c>
      <c r="C7549" t="str">
        <f t="shared" si="613"/>
        <v>01835220482</v>
      </c>
      <c r="D7549" t="str">
        <f t="shared" si="613"/>
        <v>01835220482</v>
      </c>
      <c r="E7549" t="s">
        <v>52</v>
      </c>
      <c r="F7549">
        <v>2014</v>
      </c>
      <c r="G7549">
        <v>10138</v>
      </c>
      <c r="H7549" s="1">
        <v>41836</v>
      </c>
      <c r="I7549" s="1">
        <v>41877</v>
      </c>
      <c r="J7549" s="1">
        <v>41877</v>
      </c>
      <c r="K7549" s="1">
        <v>41967</v>
      </c>
      <c r="N7549" s="5"/>
      <c r="O7549" s="2">
        <v>2100.84</v>
      </c>
      <c r="P7549">
        <v>224</v>
      </c>
      <c r="Q7549" s="2">
        <v>470588.15999999997</v>
      </c>
      <c r="R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 s="1">
        <v>42382</v>
      </c>
      <c r="AC7549" t="s">
        <v>53</v>
      </c>
      <c r="AD7549" t="s">
        <v>53</v>
      </c>
      <c r="AK7549">
        <v>0</v>
      </c>
      <c r="AU7549" s="6">
        <v>42191</v>
      </c>
      <c r="AV7549" s="6">
        <v>42191</v>
      </c>
      <c r="AW7549" t="s">
        <v>54</v>
      </c>
      <c r="AX7549" t="str">
        <f t="shared" si="607"/>
        <v>FOR</v>
      </c>
      <c r="AY7549" t="s">
        <v>55</v>
      </c>
    </row>
    <row r="7550" spans="1:51">
      <c r="A7550">
        <v>104285</v>
      </c>
      <c r="B7550" t="s">
        <v>1263</v>
      </c>
      <c r="C7550" t="str">
        <f t="shared" si="613"/>
        <v>01835220482</v>
      </c>
      <c r="D7550" t="str">
        <f t="shared" si="613"/>
        <v>01835220482</v>
      </c>
      <c r="E7550" t="s">
        <v>52</v>
      </c>
      <c r="F7550">
        <v>2014</v>
      </c>
      <c r="G7550">
        <v>15024</v>
      </c>
      <c r="H7550" s="1">
        <v>41939</v>
      </c>
      <c r="I7550" s="1">
        <v>41971</v>
      </c>
      <c r="J7550" s="1">
        <v>41971</v>
      </c>
      <c r="K7550" s="1">
        <v>42031</v>
      </c>
      <c r="L7550" s="7">
        <v>350.14</v>
      </c>
      <c r="M7550" s="5">
        <v>273</v>
      </c>
      <c r="N7550" s="7">
        <v>95588.22</v>
      </c>
      <c r="O7550">
        <v>350.14</v>
      </c>
      <c r="P7550">
        <v>273</v>
      </c>
      <c r="Q7550" s="2">
        <v>95588.22</v>
      </c>
      <c r="R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 s="1">
        <v>42382</v>
      </c>
      <c r="AC7550" t="s">
        <v>53</v>
      </c>
      <c r="AD7550" t="s">
        <v>53</v>
      </c>
      <c r="AK7550">
        <v>0</v>
      </c>
      <c r="AU7550" s="6">
        <v>42304</v>
      </c>
      <c r="AV7550" s="6">
        <v>42304</v>
      </c>
      <c r="AW7550" t="s">
        <v>54</v>
      </c>
      <c r="AX7550" t="str">
        <f t="shared" si="607"/>
        <v>FOR</v>
      </c>
      <c r="AY7550" t="s">
        <v>55</v>
      </c>
    </row>
    <row r="7551" spans="1:51">
      <c r="A7551">
        <v>104285</v>
      </c>
      <c r="B7551" t="s">
        <v>1263</v>
      </c>
      <c r="C7551" t="str">
        <f t="shared" si="613"/>
        <v>01835220482</v>
      </c>
      <c r="D7551" t="str">
        <f t="shared" si="613"/>
        <v>01835220482</v>
      </c>
      <c r="E7551" t="s">
        <v>52</v>
      </c>
      <c r="F7551">
        <v>2014</v>
      </c>
      <c r="G7551">
        <v>16116</v>
      </c>
      <c r="H7551" s="1">
        <v>41957</v>
      </c>
      <c r="I7551" s="1">
        <v>41990</v>
      </c>
      <c r="J7551" s="1">
        <v>41990</v>
      </c>
      <c r="K7551" s="1">
        <v>42050</v>
      </c>
      <c r="L7551" s="7">
        <v>700.28</v>
      </c>
      <c r="M7551" s="5">
        <v>254</v>
      </c>
      <c r="N7551" s="7">
        <v>177871.12</v>
      </c>
      <c r="O7551">
        <v>700.28</v>
      </c>
      <c r="P7551">
        <v>254</v>
      </c>
      <c r="Q7551" s="2">
        <v>177871.12</v>
      </c>
      <c r="R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 s="1">
        <v>42382</v>
      </c>
      <c r="AC7551" t="s">
        <v>53</v>
      </c>
      <c r="AD7551" t="s">
        <v>53</v>
      </c>
      <c r="AK7551">
        <v>0</v>
      </c>
      <c r="AU7551" s="6">
        <v>42304</v>
      </c>
      <c r="AV7551" s="6">
        <v>42304</v>
      </c>
      <c r="AW7551" t="s">
        <v>54</v>
      </c>
      <c r="AX7551" t="str">
        <f t="shared" si="607"/>
        <v>FOR</v>
      </c>
      <c r="AY7551" t="s">
        <v>55</v>
      </c>
    </row>
    <row r="7552" spans="1:51">
      <c r="A7552">
        <v>104285</v>
      </c>
      <c r="B7552" t="s">
        <v>1263</v>
      </c>
      <c r="C7552" t="str">
        <f t="shared" si="613"/>
        <v>01835220482</v>
      </c>
      <c r="D7552" t="str">
        <f t="shared" si="613"/>
        <v>01835220482</v>
      </c>
      <c r="E7552" t="s">
        <v>52</v>
      </c>
      <c r="F7552">
        <v>2015</v>
      </c>
      <c r="G7552">
        <v>561</v>
      </c>
      <c r="H7552" s="1">
        <v>42034</v>
      </c>
      <c r="I7552" s="1">
        <v>42060</v>
      </c>
      <c r="J7552" s="1">
        <v>42060</v>
      </c>
      <c r="K7552" s="1">
        <v>42120</v>
      </c>
      <c r="L7552" s="7">
        <v>1148</v>
      </c>
      <c r="M7552" s="5">
        <v>184</v>
      </c>
      <c r="N7552" s="7">
        <v>211232</v>
      </c>
      <c r="O7552" s="2">
        <v>1148</v>
      </c>
      <c r="P7552">
        <v>184</v>
      </c>
      <c r="Q7552" s="2">
        <v>211232</v>
      </c>
      <c r="R7552">
        <v>0</v>
      </c>
      <c r="V7552">
        <v>0</v>
      </c>
      <c r="W7552">
        <v>0</v>
      </c>
      <c r="X7552">
        <v>0</v>
      </c>
      <c r="Y7552" s="2">
        <v>1400.56</v>
      </c>
      <c r="Z7552" s="2">
        <v>1400.56</v>
      </c>
      <c r="AA7552" s="2">
        <v>1400.56</v>
      </c>
      <c r="AB7552" s="1">
        <v>42382</v>
      </c>
      <c r="AC7552" t="s">
        <v>53</v>
      </c>
      <c r="AD7552" t="s">
        <v>53</v>
      </c>
      <c r="AK7552">
        <v>0</v>
      </c>
      <c r="AU7552" s="6">
        <v>42304</v>
      </c>
      <c r="AV7552" s="6">
        <v>42304</v>
      </c>
      <c r="AW7552" t="s">
        <v>54</v>
      </c>
      <c r="AX7552" t="str">
        <f t="shared" si="607"/>
        <v>FOR</v>
      </c>
      <c r="AY7552" t="s">
        <v>55</v>
      </c>
    </row>
    <row r="7553" spans="1:51" hidden="1">
      <c r="A7553">
        <v>104292</v>
      </c>
      <c r="B7553" t="s">
        <v>1264</v>
      </c>
      <c r="C7553" t="str">
        <f>"04624161008"</f>
        <v>04624161008</v>
      </c>
      <c r="D7553" t="str">
        <f>"04624161008"</f>
        <v>04624161008</v>
      </c>
      <c r="E7553" t="s">
        <v>52</v>
      </c>
      <c r="F7553">
        <v>2014</v>
      </c>
      <c r="G7553">
        <v>305</v>
      </c>
      <c r="H7553" s="1">
        <v>41789</v>
      </c>
      <c r="I7553" s="1">
        <v>41796</v>
      </c>
      <c r="J7553" s="1">
        <v>41796</v>
      </c>
      <c r="K7553" s="1">
        <v>41886</v>
      </c>
      <c r="N7553" s="5"/>
      <c r="O7553" s="2">
        <v>14884</v>
      </c>
      <c r="P7553">
        <v>272</v>
      </c>
      <c r="Q7553" s="2">
        <v>4048448</v>
      </c>
      <c r="R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 s="1">
        <v>42382</v>
      </c>
      <c r="AC7553" t="s">
        <v>53</v>
      </c>
      <c r="AD7553" t="s">
        <v>53</v>
      </c>
      <c r="AK7553">
        <v>0</v>
      </c>
      <c r="AU7553" s="6">
        <v>42158</v>
      </c>
      <c r="AV7553" s="6">
        <v>42158</v>
      </c>
      <c r="AW7553" t="s">
        <v>54</v>
      </c>
      <c r="AX7553" t="str">
        <f t="shared" si="607"/>
        <v>FOR</v>
      </c>
      <c r="AY7553" t="s">
        <v>55</v>
      </c>
    </row>
    <row r="7554" spans="1:51" hidden="1">
      <c r="A7554">
        <v>104292</v>
      </c>
      <c r="B7554" t="s">
        <v>1264</v>
      </c>
      <c r="C7554" t="str">
        <f>"04624161008"</f>
        <v>04624161008</v>
      </c>
      <c r="D7554" t="str">
        <f>"04624161008"</f>
        <v>04624161008</v>
      </c>
      <c r="E7554" t="s">
        <v>52</v>
      </c>
      <c r="F7554">
        <v>2014</v>
      </c>
      <c r="G7554">
        <v>348</v>
      </c>
      <c r="H7554" s="1">
        <v>41814</v>
      </c>
      <c r="I7554" s="1">
        <v>41821</v>
      </c>
      <c r="J7554" s="1">
        <v>41821</v>
      </c>
      <c r="K7554" s="1">
        <v>41911</v>
      </c>
      <c r="N7554" s="5"/>
      <c r="O7554" s="2">
        <v>1427.4</v>
      </c>
      <c r="P7554">
        <v>247</v>
      </c>
      <c r="Q7554" s="2">
        <v>352567.8</v>
      </c>
      <c r="R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 s="1">
        <v>42382</v>
      </c>
      <c r="AC7554" t="s">
        <v>53</v>
      </c>
      <c r="AD7554" t="s">
        <v>53</v>
      </c>
      <c r="AK7554">
        <v>0</v>
      </c>
      <c r="AU7554" s="6">
        <v>42158</v>
      </c>
      <c r="AV7554" s="6">
        <v>42158</v>
      </c>
      <c r="AW7554" t="s">
        <v>54</v>
      </c>
      <c r="AX7554" t="str">
        <f t="shared" si="607"/>
        <v>FOR</v>
      </c>
      <c r="AY7554" t="s">
        <v>55</v>
      </c>
    </row>
    <row r="7555" spans="1:51" hidden="1">
      <c r="A7555">
        <v>104296</v>
      </c>
      <c r="B7555" t="s">
        <v>1265</v>
      </c>
      <c r="C7555" t="str">
        <f t="shared" ref="C7555:C7564" si="614">"03663500969"</f>
        <v>03663500969</v>
      </c>
      <c r="D7555" t="str">
        <f t="shared" ref="D7555:D7564" si="615">"93027710016"</f>
        <v>93027710016</v>
      </c>
      <c r="E7555" t="s">
        <v>52</v>
      </c>
      <c r="F7555">
        <v>2012</v>
      </c>
      <c r="G7555">
        <v>2002383</v>
      </c>
      <c r="H7555" s="1">
        <v>41169</v>
      </c>
      <c r="I7555" s="1">
        <v>41176</v>
      </c>
      <c r="J7555" s="1">
        <v>41176</v>
      </c>
      <c r="K7555" s="1">
        <v>41266</v>
      </c>
      <c r="N7555" s="5"/>
      <c r="O7555" s="2">
        <v>114139.63</v>
      </c>
      <c r="P7555">
        <v>984</v>
      </c>
      <c r="Q7555" s="2">
        <v>112313395.92</v>
      </c>
      <c r="R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 s="1">
        <v>42382</v>
      </c>
      <c r="AC7555" t="s">
        <v>53</v>
      </c>
      <c r="AD7555" t="s">
        <v>53</v>
      </c>
      <c r="AK7555">
        <v>0</v>
      </c>
      <c r="AU7555" s="6">
        <v>42250</v>
      </c>
      <c r="AV7555" s="6">
        <v>42250</v>
      </c>
      <c r="AW7555" t="s">
        <v>54</v>
      </c>
      <c r="AX7555" t="str">
        <f t="shared" ref="AX7555:AX7618" si="616">"FOR"</f>
        <v>FOR</v>
      </c>
      <c r="AY7555" t="s">
        <v>55</v>
      </c>
    </row>
    <row r="7556" spans="1:51" hidden="1">
      <c r="A7556">
        <v>104296</v>
      </c>
      <c r="B7556" t="s">
        <v>1265</v>
      </c>
      <c r="C7556" t="str">
        <f t="shared" si="614"/>
        <v>03663500969</v>
      </c>
      <c r="D7556" t="str">
        <f t="shared" si="615"/>
        <v>93027710016</v>
      </c>
      <c r="E7556" t="s">
        <v>52</v>
      </c>
      <c r="F7556">
        <v>2014</v>
      </c>
      <c r="G7556">
        <v>2000087</v>
      </c>
      <c r="H7556" s="1">
        <v>41648</v>
      </c>
      <c r="I7556" s="1">
        <v>41667</v>
      </c>
      <c r="J7556" s="1">
        <v>41667</v>
      </c>
      <c r="K7556" s="1">
        <v>41757</v>
      </c>
      <c r="N7556" s="5"/>
      <c r="O7556" s="2">
        <v>7076</v>
      </c>
      <c r="P7556">
        <v>337</v>
      </c>
      <c r="Q7556" s="2">
        <v>2384612</v>
      </c>
      <c r="R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 s="1">
        <v>42382</v>
      </c>
      <c r="AC7556" t="s">
        <v>53</v>
      </c>
      <c r="AD7556" t="s">
        <v>53</v>
      </c>
      <c r="AK7556">
        <v>0</v>
      </c>
      <c r="AU7556" s="6">
        <v>42094</v>
      </c>
      <c r="AV7556" s="6">
        <v>42094</v>
      </c>
      <c r="AW7556" t="s">
        <v>54</v>
      </c>
      <c r="AX7556" t="str">
        <f t="shared" si="616"/>
        <v>FOR</v>
      </c>
      <c r="AY7556" t="s">
        <v>55</v>
      </c>
    </row>
    <row r="7557" spans="1:51" hidden="1">
      <c r="A7557">
        <v>104296</v>
      </c>
      <c r="B7557" t="s">
        <v>1265</v>
      </c>
      <c r="C7557" t="str">
        <f t="shared" si="614"/>
        <v>03663500969</v>
      </c>
      <c r="D7557" t="str">
        <f t="shared" si="615"/>
        <v>93027710016</v>
      </c>
      <c r="E7557" t="s">
        <v>52</v>
      </c>
      <c r="F7557">
        <v>2014</v>
      </c>
      <c r="G7557">
        <v>2001373</v>
      </c>
      <c r="H7557" s="1">
        <v>41807</v>
      </c>
      <c r="I7557" s="1">
        <v>41831</v>
      </c>
      <c r="J7557" s="1">
        <v>41831</v>
      </c>
      <c r="K7557" s="1">
        <v>41920</v>
      </c>
      <c r="N7557" s="5"/>
      <c r="O7557" s="2">
        <v>72206.92</v>
      </c>
      <c r="P7557">
        <v>211</v>
      </c>
      <c r="Q7557" s="2">
        <v>15235660.119999999</v>
      </c>
      <c r="R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 s="1">
        <v>42382</v>
      </c>
      <c r="AC7557" t="s">
        <v>53</v>
      </c>
      <c r="AD7557" t="s">
        <v>53</v>
      </c>
      <c r="AK7557">
        <v>0</v>
      </c>
      <c r="AU7557" s="6">
        <v>42131</v>
      </c>
      <c r="AV7557" s="6">
        <v>42131</v>
      </c>
      <c r="AW7557" t="s">
        <v>54</v>
      </c>
      <c r="AX7557" t="str">
        <f t="shared" si="616"/>
        <v>FOR</v>
      </c>
      <c r="AY7557" t="s">
        <v>55</v>
      </c>
    </row>
    <row r="7558" spans="1:51" hidden="1">
      <c r="A7558">
        <v>104296</v>
      </c>
      <c r="B7558" t="s">
        <v>1265</v>
      </c>
      <c r="C7558" t="str">
        <f t="shared" si="614"/>
        <v>03663500969</v>
      </c>
      <c r="D7558" t="str">
        <f t="shared" si="615"/>
        <v>93027710016</v>
      </c>
      <c r="E7558" t="s">
        <v>52</v>
      </c>
      <c r="F7558">
        <v>2014</v>
      </c>
      <c r="G7558">
        <v>2001806</v>
      </c>
      <c r="H7558" s="1">
        <v>41810</v>
      </c>
      <c r="I7558" s="1">
        <v>42138</v>
      </c>
      <c r="J7558" s="1">
        <v>42138</v>
      </c>
      <c r="K7558" s="1">
        <v>42198</v>
      </c>
      <c r="N7558" s="5"/>
      <c r="O7558" s="2">
        <v>72206.92</v>
      </c>
      <c r="P7558">
        <v>-35</v>
      </c>
      <c r="Q7558" s="2">
        <v>-2527242.2000000002</v>
      </c>
      <c r="R7558">
        <v>0</v>
      </c>
      <c r="V7558">
        <v>0</v>
      </c>
      <c r="W7558">
        <v>0</v>
      </c>
      <c r="X7558">
        <v>0</v>
      </c>
      <c r="Y7558">
        <v>0</v>
      </c>
      <c r="Z7558" s="2">
        <v>72206.92</v>
      </c>
      <c r="AA7558">
        <v>0</v>
      </c>
      <c r="AB7558" s="1">
        <v>42382</v>
      </c>
      <c r="AC7558" t="s">
        <v>53</v>
      </c>
      <c r="AD7558" t="s">
        <v>53</v>
      </c>
      <c r="AK7558">
        <v>0</v>
      </c>
      <c r="AU7558" s="6">
        <v>42163</v>
      </c>
      <c r="AV7558" s="6">
        <v>42163</v>
      </c>
      <c r="AW7558" t="s">
        <v>54</v>
      </c>
      <c r="AX7558" t="str">
        <f t="shared" si="616"/>
        <v>FOR</v>
      </c>
      <c r="AY7558" t="s">
        <v>55</v>
      </c>
    </row>
    <row r="7559" spans="1:51" hidden="1">
      <c r="A7559">
        <v>104296</v>
      </c>
      <c r="B7559" t="s">
        <v>1265</v>
      </c>
      <c r="C7559" t="str">
        <f t="shared" si="614"/>
        <v>03663500969</v>
      </c>
      <c r="D7559" t="str">
        <f t="shared" si="615"/>
        <v>93027710016</v>
      </c>
      <c r="E7559" t="s">
        <v>52</v>
      </c>
      <c r="F7559">
        <v>2014</v>
      </c>
      <c r="G7559">
        <v>2002033</v>
      </c>
      <c r="H7559" s="1">
        <v>41830</v>
      </c>
      <c r="I7559" s="1">
        <v>41845</v>
      </c>
      <c r="J7559" s="1">
        <v>41845</v>
      </c>
      <c r="K7559" s="1">
        <v>41935</v>
      </c>
      <c r="N7559" s="5"/>
      <c r="O7559">
        <v>86.71</v>
      </c>
      <c r="P7559">
        <v>228</v>
      </c>
      <c r="Q7559" s="2">
        <v>19769.88</v>
      </c>
      <c r="R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 s="1">
        <v>42382</v>
      </c>
      <c r="AC7559" t="s">
        <v>53</v>
      </c>
      <c r="AD7559" t="s">
        <v>53</v>
      </c>
      <c r="AK7559">
        <v>0</v>
      </c>
      <c r="AU7559" s="6">
        <v>42163</v>
      </c>
      <c r="AV7559" s="6">
        <v>42163</v>
      </c>
      <c r="AW7559" t="s">
        <v>54</v>
      </c>
      <c r="AX7559" t="str">
        <f t="shared" si="616"/>
        <v>FOR</v>
      </c>
      <c r="AY7559" t="s">
        <v>55</v>
      </c>
    </row>
    <row r="7560" spans="1:51" hidden="1">
      <c r="A7560">
        <v>104296</v>
      </c>
      <c r="B7560" t="s">
        <v>1265</v>
      </c>
      <c r="C7560" t="str">
        <f t="shared" si="614"/>
        <v>03663500969</v>
      </c>
      <c r="D7560" t="str">
        <f t="shared" si="615"/>
        <v>93027710016</v>
      </c>
      <c r="E7560" t="s">
        <v>52</v>
      </c>
      <c r="F7560">
        <v>2014</v>
      </c>
      <c r="G7560">
        <v>2002760</v>
      </c>
      <c r="H7560" s="1">
        <v>41904</v>
      </c>
      <c r="I7560" s="1">
        <v>41928</v>
      </c>
      <c r="J7560" s="1">
        <v>41928</v>
      </c>
      <c r="K7560" s="1">
        <v>41988</v>
      </c>
      <c r="N7560" s="5"/>
      <c r="O7560" s="2">
        <v>72206.92</v>
      </c>
      <c r="P7560">
        <v>262</v>
      </c>
      <c r="Q7560" s="2">
        <v>18918213.039999999</v>
      </c>
      <c r="R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 s="1">
        <v>42382</v>
      </c>
      <c r="AC7560" t="s">
        <v>53</v>
      </c>
      <c r="AD7560" t="s">
        <v>53</v>
      </c>
      <c r="AK7560">
        <v>0</v>
      </c>
      <c r="AU7560" s="6">
        <v>42250</v>
      </c>
      <c r="AV7560" s="6">
        <v>42250</v>
      </c>
      <c r="AW7560" t="s">
        <v>54</v>
      </c>
      <c r="AX7560" t="str">
        <f t="shared" si="616"/>
        <v>FOR</v>
      </c>
      <c r="AY7560" t="s">
        <v>55</v>
      </c>
    </row>
    <row r="7561" spans="1:51">
      <c r="A7561">
        <v>104296</v>
      </c>
      <c r="B7561" t="s">
        <v>1265</v>
      </c>
      <c r="C7561" t="str">
        <f t="shared" si="614"/>
        <v>03663500969</v>
      </c>
      <c r="D7561" t="str">
        <f t="shared" si="615"/>
        <v>93027710016</v>
      </c>
      <c r="E7561" t="s">
        <v>52</v>
      </c>
      <c r="F7561">
        <v>2014</v>
      </c>
      <c r="G7561">
        <v>2003310</v>
      </c>
      <c r="H7561" s="1">
        <v>41957</v>
      </c>
      <c r="I7561" s="1">
        <v>41974</v>
      </c>
      <c r="J7561" s="1">
        <v>41974</v>
      </c>
      <c r="K7561" s="1">
        <v>42034</v>
      </c>
      <c r="L7561" s="7">
        <v>4514</v>
      </c>
      <c r="M7561" s="5">
        <v>248</v>
      </c>
      <c r="N7561" s="7">
        <v>1119472</v>
      </c>
      <c r="O7561" s="2">
        <v>4514</v>
      </c>
      <c r="P7561">
        <v>248</v>
      </c>
      <c r="Q7561" s="2">
        <v>1119472</v>
      </c>
      <c r="R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 s="1">
        <v>42382</v>
      </c>
      <c r="AC7561" t="s">
        <v>53</v>
      </c>
      <c r="AD7561" t="s">
        <v>53</v>
      </c>
      <c r="AK7561">
        <v>0</v>
      </c>
      <c r="AU7561" s="6">
        <v>42282</v>
      </c>
      <c r="AV7561" s="6">
        <v>42282</v>
      </c>
      <c r="AW7561" t="s">
        <v>54</v>
      </c>
      <c r="AX7561" t="str">
        <f t="shared" si="616"/>
        <v>FOR</v>
      </c>
      <c r="AY7561" t="s">
        <v>55</v>
      </c>
    </row>
    <row r="7562" spans="1:51">
      <c r="A7562">
        <v>104296</v>
      </c>
      <c r="B7562" t="s">
        <v>1265</v>
      </c>
      <c r="C7562" t="str">
        <f t="shared" si="614"/>
        <v>03663500969</v>
      </c>
      <c r="D7562" t="str">
        <f t="shared" si="615"/>
        <v>93027710016</v>
      </c>
      <c r="E7562" t="s">
        <v>52</v>
      </c>
      <c r="F7562">
        <v>2014</v>
      </c>
      <c r="G7562">
        <v>2004124</v>
      </c>
      <c r="H7562" s="1">
        <v>41995</v>
      </c>
      <c r="I7562" s="1">
        <v>42004</v>
      </c>
      <c r="J7562" s="1">
        <v>42004</v>
      </c>
      <c r="K7562" s="1">
        <v>42064</v>
      </c>
      <c r="L7562" s="7">
        <v>72206.92</v>
      </c>
      <c r="M7562" s="5">
        <v>240</v>
      </c>
      <c r="N7562" s="7">
        <v>17329660.800000001</v>
      </c>
      <c r="O7562" s="2">
        <v>72206.92</v>
      </c>
      <c r="P7562">
        <v>240</v>
      </c>
      <c r="Q7562" s="2">
        <v>17329660.800000001</v>
      </c>
      <c r="R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 s="1">
        <v>42382</v>
      </c>
      <c r="AC7562" t="s">
        <v>53</v>
      </c>
      <c r="AD7562" t="s">
        <v>53</v>
      </c>
      <c r="AK7562">
        <v>0</v>
      </c>
      <c r="AU7562" s="6">
        <v>42304</v>
      </c>
      <c r="AV7562" s="6">
        <v>42304</v>
      </c>
      <c r="AW7562" t="s">
        <v>54</v>
      </c>
      <c r="AX7562" t="str">
        <f t="shared" si="616"/>
        <v>FOR</v>
      </c>
      <c r="AY7562" t="s">
        <v>55</v>
      </c>
    </row>
    <row r="7563" spans="1:51">
      <c r="A7563">
        <v>104296</v>
      </c>
      <c r="B7563" t="s">
        <v>1265</v>
      </c>
      <c r="C7563" t="str">
        <f t="shared" si="614"/>
        <v>03663500969</v>
      </c>
      <c r="D7563" t="str">
        <f t="shared" si="615"/>
        <v>93027710016</v>
      </c>
      <c r="E7563" t="s">
        <v>52</v>
      </c>
      <c r="F7563">
        <v>2015</v>
      </c>
      <c r="G7563">
        <v>15304966</v>
      </c>
      <c r="H7563" s="1">
        <v>42349</v>
      </c>
      <c r="I7563" s="1">
        <v>42359</v>
      </c>
      <c r="J7563" s="1">
        <v>42352</v>
      </c>
      <c r="K7563" s="1">
        <v>42412</v>
      </c>
      <c r="L7563" s="7">
        <v>20864.07</v>
      </c>
      <c r="M7563" s="5">
        <v>-51</v>
      </c>
      <c r="N7563" s="7">
        <v>-1064067.57</v>
      </c>
      <c r="O7563" s="2">
        <v>20864.07</v>
      </c>
      <c r="P7563">
        <v>-51</v>
      </c>
      <c r="Q7563" s="2">
        <v>-1064067.57</v>
      </c>
      <c r="R7563">
        <v>0</v>
      </c>
      <c r="V7563" s="2">
        <v>25454.17</v>
      </c>
      <c r="W7563" s="2">
        <v>25454.17</v>
      </c>
      <c r="X7563" s="2">
        <v>25454.17</v>
      </c>
      <c r="Y7563" s="2">
        <v>25454.17</v>
      </c>
      <c r="Z7563" s="2">
        <v>25454.17</v>
      </c>
      <c r="AA7563" s="2">
        <v>25454.17</v>
      </c>
      <c r="AB7563" s="1">
        <v>42382</v>
      </c>
      <c r="AC7563" t="s">
        <v>53</v>
      </c>
      <c r="AD7563" t="s">
        <v>53</v>
      </c>
      <c r="AK7563">
        <v>0</v>
      </c>
      <c r="AU7563" s="6">
        <v>42361</v>
      </c>
      <c r="AV7563" s="6">
        <v>42361</v>
      </c>
      <c r="AW7563" t="s">
        <v>54</v>
      </c>
      <c r="AX7563" t="str">
        <f t="shared" si="616"/>
        <v>FOR</v>
      </c>
      <c r="AY7563" t="s">
        <v>55</v>
      </c>
    </row>
    <row r="7564" spans="1:51">
      <c r="A7564">
        <v>104296</v>
      </c>
      <c r="B7564" t="s">
        <v>1265</v>
      </c>
      <c r="C7564" t="str">
        <f t="shared" si="614"/>
        <v>03663500969</v>
      </c>
      <c r="D7564" t="str">
        <f t="shared" si="615"/>
        <v>93027710016</v>
      </c>
      <c r="E7564" t="s">
        <v>52</v>
      </c>
      <c r="F7564">
        <v>2015</v>
      </c>
      <c r="G7564">
        <v>15304967</v>
      </c>
      <c r="H7564" s="1">
        <v>42349</v>
      </c>
      <c r="I7564" s="1">
        <v>42359</v>
      </c>
      <c r="J7564" s="1">
        <v>42352</v>
      </c>
      <c r="K7564" s="1">
        <v>42412</v>
      </c>
      <c r="L7564" s="7">
        <v>430718.43</v>
      </c>
      <c r="M7564" s="5">
        <v>-51</v>
      </c>
      <c r="N7564" s="7">
        <v>-21966639.93</v>
      </c>
      <c r="O7564" s="2">
        <v>430718.43</v>
      </c>
      <c r="P7564">
        <v>-51</v>
      </c>
      <c r="Q7564" s="2">
        <v>-21966639.93</v>
      </c>
      <c r="R7564">
        <v>0</v>
      </c>
      <c r="V7564" s="2">
        <v>525476.48</v>
      </c>
      <c r="W7564" s="2">
        <v>525476.48</v>
      </c>
      <c r="X7564" s="2">
        <v>525476.48</v>
      </c>
      <c r="Y7564" s="2">
        <v>525476.48</v>
      </c>
      <c r="Z7564" s="2">
        <v>525476.48</v>
      </c>
      <c r="AA7564" s="2">
        <v>525476.48</v>
      </c>
      <c r="AB7564" s="1">
        <v>42382</v>
      </c>
      <c r="AC7564" t="s">
        <v>53</v>
      </c>
      <c r="AD7564" t="s">
        <v>53</v>
      </c>
      <c r="AK7564">
        <v>0</v>
      </c>
      <c r="AU7564" s="6">
        <v>42361</v>
      </c>
      <c r="AV7564" s="6">
        <v>42361</v>
      </c>
      <c r="AW7564" t="s">
        <v>54</v>
      </c>
      <c r="AX7564" t="str">
        <f t="shared" si="616"/>
        <v>FOR</v>
      </c>
      <c r="AY7564" t="s">
        <v>55</v>
      </c>
    </row>
    <row r="7565" spans="1:51" hidden="1">
      <c r="A7565">
        <v>104297</v>
      </c>
      <c r="B7565" t="s">
        <v>1266</v>
      </c>
      <c r="C7565" t="str">
        <f t="shared" ref="C7565:D7572" si="617">"01282940681"</f>
        <v>01282940681</v>
      </c>
      <c r="D7565" t="str">
        <f t="shared" si="617"/>
        <v>01282940681</v>
      </c>
      <c r="E7565" t="s">
        <v>52</v>
      </c>
      <c r="F7565">
        <v>2014</v>
      </c>
      <c r="G7565">
        <v>963</v>
      </c>
      <c r="H7565" s="1">
        <v>41809</v>
      </c>
      <c r="I7565" s="1">
        <v>41817</v>
      </c>
      <c r="J7565" s="1">
        <v>41817</v>
      </c>
      <c r="K7565" s="1">
        <v>41907</v>
      </c>
      <c r="N7565" s="5"/>
      <c r="O7565">
        <v>393.45</v>
      </c>
      <c r="P7565">
        <v>188</v>
      </c>
      <c r="Q7565" s="2">
        <v>73968.600000000006</v>
      </c>
      <c r="R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 s="1">
        <v>42382</v>
      </c>
      <c r="AC7565" t="s">
        <v>53</v>
      </c>
      <c r="AD7565" t="s">
        <v>53</v>
      </c>
      <c r="AK7565">
        <v>0</v>
      </c>
      <c r="AU7565" s="6">
        <v>42095</v>
      </c>
      <c r="AV7565" s="6">
        <v>42095</v>
      </c>
      <c r="AW7565" t="s">
        <v>54</v>
      </c>
      <c r="AX7565" t="str">
        <f t="shared" si="616"/>
        <v>FOR</v>
      </c>
      <c r="AY7565" t="s">
        <v>55</v>
      </c>
    </row>
    <row r="7566" spans="1:51" hidden="1">
      <c r="A7566">
        <v>104297</v>
      </c>
      <c r="B7566" t="s">
        <v>1266</v>
      </c>
      <c r="C7566" t="str">
        <f t="shared" si="617"/>
        <v>01282940681</v>
      </c>
      <c r="D7566" t="str">
        <f t="shared" si="617"/>
        <v>01282940681</v>
      </c>
      <c r="E7566" t="s">
        <v>52</v>
      </c>
      <c r="F7566">
        <v>2014</v>
      </c>
      <c r="G7566">
        <v>1460</v>
      </c>
      <c r="H7566" s="1">
        <v>41893</v>
      </c>
      <c r="I7566" s="1">
        <v>41901</v>
      </c>
      <c r="J7566" s="1">
        <v>41901</v>
      </c>
      <c r="K7566" s="1">
        <v>41991</v>
      </c>
      <c r="N7566" s="5"/>
      <c r="O7566">
        <v>524.6</v>
      </c>
      <c r="P7566">
        <v>104</v>
      </c>
      <c r="Q7566" s="2">
        <v>54558.400000000001</v>
      </c>
      <c r="R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 s="1">
        <v>42382</v>
      </c>
      <c r="AC7566" t="s">
        <v>53</v>
      </c>
      <c r="AD7566" t="s">
        <v>53</v>
      </c>
      <c r="AK7566">
        <v>0</v>
      </c>
      <c r="AU7566" s="6">
        <v>42095</v>
      </c>
      <c r="AV7566" s="6">
        <v>42095</v>
      </c>
      <c r="AW7566" t="s">
        <v>54</v>
      </c>
      <c r="AX7566" t="str">
        <f t="shared" si="616"/>
        <v>FOR</v>
      </c>
      <c r="AY7566" t="s">
        <v>55</v>
      </c>
    </row>
    <row r="7567" spans="1:51" hidden="1">
      <c r="A7567">
        <v>104297</v>
      </c>
      <c r="B7567" t="s">
        <v>1266</v>
      </c>
      <c r="C7567" t="str">
        <f t="shared" si="617"/>
        <v>01282940681</v>
      </c>
      <c r="D7567" t="str">
        <f t="shared" si="617"/>
        <v>01282940681</v>
      </c>
      <c r="E7567" t="s">
        <v>52</v>
      </c>
      <c r="F7567">
        <v>2014</v>
      </c>
      <c r="G7567">
        <v>1730</v>
      </c>
      <c r="H7567" s="1">
        <v>41933</v>
      </c>
      <c r="I7567" s="1">
        <v>41939</v>
      </c>
      <c r="J7567" s="1">
        <v>41939</v>
      </c>
      <c r="K7567" s="1">
        <v>41999</v>
      </c>
      <c r="N7567" s="5"/>
      <c r="O7567">
        <v>524.6</v>
      </c>
      <c r="P7567">
        <v>96</v>
      </c>
      <c r="Q7567" s="2">
        <v>50361.599999999999</v>
      </c>
      <c r="R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 s="1">
        <v>42382</v>
      </c>
      <c r="AC7567" t="s">
        <v>53</v>
      </c>
      <c r="AD7567" t="s">
        <v>53</v>
      </c>
      <c r="AK7567">
        <v>0</v>
      </c>
      <c r="AU7567" s="6">
        <v>42095</v>
      </c>
      <c r="AV7567" s="6">
        <v>42095</v>
      </c>
      <c r="AW7567" t="s">
        <v>54</v>
      </c>
      <c r="AX7567" t="str">
        <f t="shared" si="616"/>
        <v>FOR</v>
      </c>
      <c r="AY7567" t="s">
        <v>55</v>
      </c>
    </row>
    <row r="7568" spans="1:51" hidden="1">
      <c r="A7568">
        <v>104297</v>
      </c>
      <c r="B7568" t="s">
        <v>1266</v>
      </c>
      <c r="C7568" t="str">
        <f t="shared" si="617"/>
        <v>01282940681</v>
      </c>
      <c r="D7568" t="str">
        <f t="shared" si="617"/>
        <v>01282940681</v>
      </c>
      <c r="E7568" t="s">
        <v>52</v>
      </c>
      <c r="F7568">
        <v>2015</v>
      </c>
      <c r="G7568">
        <v>430</v>
      </c>
      <c r="H7568" s="1">
        <v>42081</v>
      </c>
      <c r="I7568" s="1">
        <v>42087</v>
      </c>
      <c r="J7568" s="1">
        <v>42087</v>
      </c>
      <c r="K7568" s="1">
        <v>42147</v>
      </c>
      <c r="N7568" s="5"/>
      <c r="O7568">
        <v>860</v>
      </c>
      <c r="P7568">
        <v>44</v>
      </c>
      <c r="Q7568" s="2">
        <v>37840</v>
      </c>
      <c r="R7568">
        <v>0</v>
      </c>
      <c r="V7568">
        <v>0</v>
      </c>
      <c r="W7568">
        <v>0</v>
      </c>
      <c r="X7568">
        <v>0</v>
      </c>
      <c r="Y7568" s="2">
        <v>1049.2</v>
      </c>
      <c r="Z7568" s="2">
        <v>1049.2</v>
      </c>
      <c r="AA7568" s="2">
        <v>1049.2</v>
      </c>
      <c r="AB7568" s="1">
        <v>42382</v>
      </c>
      <c r="AC7568" t="s">
        <v>53</v>
      </c>
      <c r="AD7568" t="s">
        <v>53</v>
      </c>
      <c r="AK7568">
        <v>0</v>
      </c>
      <c r="AU7568" s="6">
        <v>42191</v>
      </c>
      <c r="AV7568" s="6">
        <v>42191</v>
      </c>
      <c r="AW7568" t="s">
        <v>54</v>
      </c>
      <c r="AX7568" t="str">
        <f t="shared" si="616"/>
        <v>FOR</v>
      </c>
      <c r="AY7568" t="s">
        <v>55</v>
      </c>
    </row>
    <row r="7569" spans="1:51" hidden="1">
      <c r="A7569">
        <v>104297</v>
      </c>
      <c r="B7569" t="s">
        <v>1266</v>
      </c>
      <c r="C7569" t="str">
        <f t="shared" si="617"/>
        <v>01282940681</v>
      </c>
      <c r="D7569" t="str">
        <f t="shared" si="617"/>
        <v>01282940681</v>
      </c>
      <c r="E7569" t="s">
        <v>52</v>
      </c>
      <c r="F7569">
        <v>2015</v>
      </c>
      <c r="G7569">
        <v>957</v>
      </c>
      <c r="H7569" s="1">
        <v>42172</v>
      </c>
      <c r="I7569" s="1">
        <v>42186</v>
      </c>
      <c r="J7569" s="1">
        <v>42182</v>
      </c>
      <c r="K7569" s="1">
        <v>42242</v>
      </c>
      <c r="N7569" s="5"/>
      <c r="O7569">
        <v>430</v>
      </c>
      <c r="P7569">
        <v>33</v>
      </c>
      <c r="Q7569" s="2">
        <v>14190</v>
      </c>
      <c r="R7569">
        <v>0</v>
      </c>
      <c r="V7569">
        <v>0</v>
      </c>
      <c r="W7569">
        <v>0</v>
      </c>
      <c r="X7569">
        <v>0</v>
      </c>
      <c r="Y7569">
        <v>524.6</v>
      </c>
      <c r="Z7569">
        <v>524.6</v>
      </c>
      <c r="AA7569">
        <v>524.6</v>
      </c>
      <c r="AB7569" s="1">
        <v>42382</v>
      </c>
      <c r="AC7569" t="s">
        <v>53</v>
      </c>
      <c r="AD7569" t="s">
        <v>53</v>
      </c>
      <c r="AK7569">
        <v>0</v>
      </c>
      <c r="AU7569" s="6">
        <v>42275</v>
      </c>
      <c r="AV7569" s="6">
        <v>42275</v>
      </c>
      <c r="AW7569" t="s">
        <v>54</v>
      </c>
      <c r="AX7569" t="str">
        <f t="shared" si="616"/>
        <v>FOR</v>
      </c>
      <c r="AY7569" t="s">
        <v>55</v>
      </c>
    </row>
    <row r="7570" spans="1:51">
      <c r="A7570">
        <v>104297</v>
      </c>
      <c r="B7570" t="s">
        <v>1266</v>
      </c>
      <c r="C7570" t="str">
        <f t="shared" si="617"/>
        <v>01282940681</v>
      </c>
      <c r="D7570" t="str">
        <f t="shared" si="617"/>
        <v>01282940681</v>
      </c>
      <c r="E7570" t="s">
        <v>52</v>
      </c>
      <c r="F7570">
        <v>2015</v>
      </c>
      <c r="G7570">
        <v>1486</v>
      </c>
      <c r="H7570" s="1">
        <v>42277</v>
      </c>
      <c r="I7570" s="1">
        <v>42283</v>
      </c>
      <c r="J7570" s="1">
        <v>42278</v>
      </c>
      <c r="K7570" s="1">
        <v>42338</v>
      </c>
      <c r="L7570" s="7">
        <v>768</v>
      </c>
      <c r="M7570" s="5">
        <v>1</v>
      </c>
      <c r="N7570" s="7">
        <v>768</v>
      </c>
      <c r="O7570">
        <v>768</v>
      </c>
      <c r="P7570">
        <v>1</v>
      </c>
      <c r="Q7570">
        <v>768</v>
      </c>
      <c r="R7570">
        <v>30.72</v>
      </c>
      <c r="V7570">
        <v>0</v>
      </c>
      <c r="W7570">
        <v>798.72</v>
      </c>
      <c r="X7570">
        <v>0</v>
      </c>
      <c r="Y7570">
        <v>798.72</v>
      </c>
      <c r="Z7570">
        <v>798.72</v>
      </c>
      <c r="AA7570">
        <v>798.72</v>
      </c>
      <c r="AB7570" s="1">
        <v>42382</v>
      </c>
      <c r="AC7570" t="s">
        <v>53</v>
      </c>
      <c r="AD7570" t="s">
        <v>53</v>
      </c>
      <c r="AF7570">
        <v>30.72</v>
      </c>
      <c r="AK7570">
        <v>0</v>
      </c>
      <c r="AU7570" s="6">
        <v>42339</v>
      </c>
      <c r="AV7570" s="6">
        <v>42339</v>
      </c>
      <c r="AW7570" t="s">
        <v>54</v>
      </c>
      <c r="AX7570" t="str">
        <f t="shared" si="616"/>
        <v>FOR</v>
      </c>
      <c r="AY7570" t="s">
        <v>55</v>
      </c>
    </row>
    <row r="7571" spans="1:51">
      <c r="A7571">
        <v>104297</v>
      </c>
      <c r="B7571" t="s">
        <v>1266</v>
      </c>
      <c r="C7571" t="str">
        <f t="shared" si="617"/>
        <v>01282940681</v>
      </c>
      <c r="D7571" t="str">
        <f t="shared" si="617"/>
        <v>01282940681</v>
      </c>
      <c r="E7571" t="s">
        <v>52</v>
      </c>
      <c r="F7571">
        <v>2015</v>
      </c>
      <c r="G7571">
        <v>1542</v>
      </c>
      <c r="H7571" s="1">
        <v>42286</v>
      </c>
      <c r="I7571" s="1">
        <v>42291</v>
      </c>
      <c r="J7571" s="1">
        <v>42291</v>
      </c>
      <c r="K7571" s="1">
        <v>42351</v>
      </c>
      <c r="L7571" s="7">
        <v>430</v>
      </c>
      <c r="M7571" s="5">
        <v>-12</v>
      </c>
      <c r="N7571" s="7">
        <v>-5160</v>
      </c>
      <c r="O7571">
        <v>430</v>
      </c>
      <c r="P7571">
        <v>-12</v>
      </c>
      <c r="Q7571" s="2">
        <v>-5160</v>
      </c>
      <c r="R7571">
        <v>94.6</v>
      </c>
      <c r="V7571">
        <v>524.6</v>
      </c>
      <c r="W7571">
        <v>524.6</v>
      </c>
      <c r="X7571">
        <v>524.6</v>
      </c>
      <c r="Y7571">
        <v>524.6</v>
      </c>
      <c r="Z7571">
        <v>524.6</v>
      </c>
      <c r="AA7571">
        <v>524.6</v>
      </c>
      <c r="AB7571" s="1">
        <v>42382</v>
      </c>
      <c r="AC7571" t="s">
        <v>53</v>
      </c>
      <c r="AD7571" t="s">
        <v>53</v>
      </c>
      <c r="AE7571">
        <v>94.6</v>
      </c>
      <c r="AK7571">
        <v>0</v>
      </c>
      <c r="AU7571" s="6">
        <v>42339</v>
      </c>
      <c r="AV7571" s="6">
        <v>42339</v>
      </c>
      <c r="AW7571" t="s">
        <v>54</v>
      </c>
      <c r="AX7571" t="str">
        <f t="shared" si="616"/>
        <v>FOR</v>
      </c>
      <c r="AY7571" t="s">
        <v>55</v>
      </c>
    </row>
    <row r="7572" spans="1:51">
      <c r="A7572">
        <v>104297</v>
      </c>
      <c r="B7572" t="s">
        <v>1266</v>
      </c>
      <c r="C7572" t="str">
        <f t="shared" si="617"/>
        <v>01282940681</v>
      </c>
      <c r="D7572" t="str">
        <f t="shared" si="617"/>
        <v>01282940681</v>
      </c>
      <c r="E7572" t="s">
        <v>52</v>
      </c>
      <c r="F7572">
        <v>2015</v>
      </c>
      <c r="G7572">
        <v>1638</v>
      </c>
      <c r="H7572" s="1">
        <v>42306</v>
      </c>
      <c r="I7572" s="1">
        <v>42311</v>
      </c>
      <c r="J7572" s="1">
        <v>42310</v>
      </c>
      <c r="K7572" s="1">
        <v>42370</v>
      </c>
      <c r="L7572" s="7">
        <v>312</v>
      </c>
      <c r="M7572" s="5">
        <v>-31</v>
      </c>
      <c r="N7572" s="7">
        <v>-9672</v>
      </c>
      <c r="O7572">
        <v>312</v>
      </c>
      <c r="P7572">
        <v>-31</v>
      </c>
      <c r="Q7572" s="2">
        <v>-9672</v>
      </c>
      <c r="R7572">
        <v>12.48</v>
      </c>
      <c r="V7572">
        <v>324.48</v>
      </c>
      <c r="W7572">
        <v>324.48</v>
      </c>
      <c r="X7572">
        <v>324.48</v>
      </c>
      <c r="Y7572">
        <v>324.48</v>
      </c>
      <c r="Z7572">
        <v>324.48</v>
      </c>
      <c r="AA7572">
        <v>324.48</v>
      </c>
      <c r="AB7572" s="1">
        <v>42382</v>
      </c>
      <c r="AC7572" t="s">
        <v>53</v>
      </c>
      <c r="AD7572" t="s">
        <v>53</v>
      </c>
      <c r="AK7572">
        <v>0</v>
      </c>
      <c r="AM7572">
        <v>12.48</v>
      </c>
      <c r="AU7572" s="6">
        <v>42339</v>
      </c>
      <c r="AV7572" s="6">
        <v>42339</v>
      </c>
      <c r="AW7572" t="s">
        <v>54</v>
      </c>
      <c r="AX7572" t="str">
        <f t="shared" si="616"/>
        <v>FOR</v>
      </c>
      <c r="AY7572" t="s">
        <v>55</v>
      </c>
    </row>
    <row r="7573" spans="1:51" hidden="1">
      <c r="A7573">
        <v>104311</v>
      </c>
      <c r="B7573" t="s">
        <v>1267</v>
      </c>
      <c r="C7573" t="str">
        <f t="shared" ref="C7573:D7578" si="618">"06202160013"</f>
        <v>06202160013</v>
      </c>
      <c r="D7573" t="str">
        <f t="shared" si="618"/>
        <v>06202160013</v>
      </c>
      <c r="E7573" t="s">
        <v>52</v>
      </c>
      <c r="F7573">
        <v>2014</v>
      </c>
      <c r="G7573">
        <v>395</v>
      </c>
      <c r="H7573" s="1">
        <v>41724</v>
      </c>
      <c r="I7573" s="1">
        <v>41736</v>
      </c>
      <c r="J7573" s="1">
        <v>41736</v>
      </c>
      <c r="K7573" s="1">
        <v>41826</v>
      </c>
      <c r="N7573" s="5"/>
      <c r="O7573" s="2">
        <v>12254.9</v>
      </c>
      <c r="P7573">
        <v>192</v>
      </c>
      <c r="Q7573" s="2">
        <v>2352940.7999999998</v>
      </c>
      <c r="R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 s="1">
        <v>42382</v>
      </c>
      <c r="AC7573" t="s">
        <v>53</v>
      </c>
      <c r="AD7573" t="s">
        <v>53</v>
      </c>
      <c r="AK7573">
        <v>0</v>
      </c>
      <c r="AU7573" s="6">
        <v>42018</v>
      </c>
      <c r="AV7573" s="6">
        <v>42018</v>
      </c>
      <c r="AW7573" t="s">
        <v>54</v>
      </c>
      <c r="AX7573" t="str">
        <f t="shared" si="616"/>
        <v>FOR</v>
      </c>
      <c r="AY7573" t="s">
        <v>55</v>
      </c>
    </row>
    <row r="7574" spans="1:51" hidden="1">
      <c r="A7574">
        <v>104311</v>
      </c>
      <c r="B7574" t="s">
        <v>1267</v>
      </c>
      <c r="C7574" t="str">
        <f t="shared" si="618"/>
        <v>06202160013</v>
      </c>
      <c r="D7574" t="str">
        <f t="shared" si="618"/>
        <v>06202160013</v>
      </c>
      <c r="E7574" t="s">
        <v>52</v>
      </c>
      <c r="F7574">
        <v>2014</v>
      </c>
      <c r="G7574">
        <v>885</v>
      </c>
      <c r="H7574" s="1">
        <v>41831</v>
      </c>
      <c r="I7574" s="1">
        <v>41842</v>
      </c>
      <c r="J7574" s="1">
        <v>41842</v>
      </c>
      <c r="K7574" s="1">
        <v>41932</v>
      </c>
      <c r="N7574" s="5"/>
      <c r="O7574" s="2">
        <v>14355.74</v>
      </c>
      <c r="P7574">
        <v>86</v>
      </c>
      <c r="Q7574" s="2">
        <v>1234593.6399999999</v>
      </c>
      <c r="R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 s="1">
        <v>42382</v>
      </c>
      <c r="AC7574" t="s">
        <v>53</v>
      </c>
      <c r="AD7574" t="s">
        <v>53</v>
      </c>
      <c r="AK7574">
        <v>0</v>
      </c>
      <c r="AU7574" s="6">
        <v>42018</v>
      </c>
      <c r="AV7574" s="6">
        <v>42018</v>
      </c>
      <c r="AW7574" t="s">
        <v>54</v>
      </c>
      <c r="AX7574" t="str">
        <f t="shared" si="616"/>
        <v>FOR</v>
      </c>
      <c r="AY7574" t="s">
        <v>55</v>
      </c>
    </row>
    <row r="7575" spans="1:51" hidden="1">
      <c r="A7575">
        <v>104311</v>
      </c>
      <c r="B7575" t="s">
        <v>1267</v>
      </c>
      <c r="C7575" t="str">
        <f t="shared" si="618"/>
        <v>06202160013</v>
      </c>
      <c r="D7575" t="str">
        <f t="shared" si="618"/>
        <v>06202160013</v>
      </c>
      <c r="E7575" t="s">
        <v>52</v>
      </c>
      <c r="F7575">
        <v>2014</v>
      </c>
      <c r="G7575">
        <v>1018</v>
      </c>
      <c r="H7575" s="1">
        <v>41845</v>
      </c>
      <c r="I7575" s="1">
        <v>41852</v>
      </c>
      <c r="J7575" s="1">
        <v>41852</v>
      </c>
      <c r="K7575" s="1">
        <v>41942</v>
      </c>
      <c r="N7575" s="5"/>
      <c r="O7575">
        <v>774.7</v>
      </c>
      <c r="P7575">
        <v>76</v>
      </c>
      <c r="Q7575" s="2">
        <v>58877.2</v>
      </c>
      <c r="R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 s="1">
        <v>42382</v>
      </c>
      <c r="AC7575" t="s">
        <v>53</v>
      </c>
      <c r="AD7575" t="s">
        <v>53</v>
      </c>
      <c r="AK7575">
        <v>0</v>
      </c>
      <c r="AU7575" s="6">
        <v>42018</v>
      </c>
      <c r="AV7575" s="6">
        <v>42018</v>
      </c>
      <c r="AW7575" t="s">
        <v>54</v>
      </c>
      <c r="AX7575" t="str">
        <f t="shared" si="616"/>
        <v>FOR</v>
      </c>
      <c r="AY7575" t="s">
        <v>55</v>
      </c>
    </row>
    <row r="7576" spans="1:51" hidden="1">
      <c r="A7576">
        <v>104311</v>
      </c>
      <c r="B7576" t="s">
        <v>1267</v>
      </c>
      <c r="C7576" t="str">
        <f t="shared" si="618"/>
        <v>06202160013</v>
      </c>
      <c r="D7576" t="str">
        <f t="shared" si="618"/>
        <v>06202160013</v>
      </c>
      <c r="E7576" t="s">
        <v>52</v>
      </c>
      <c r="F7576">
        <v>2014</v>
      </c>
      <c r="G7576">
        <v>1025</v>
      </c>
      <c r="H7576" s="1">
        <v>41851</v>
      </c>
      <c r="I7576" s="1">
        <v>41872</v>
      </c>
      <c r="J7576" s="1">
        <v>41872</v>
      </c>
      <c r="K7576" s="1">
        <v>41962</v>
      </c>
      <c r="N7576" s="5"/>
      <c r="O7576" s="2">
        <v>1921.5</v>
      </c>
      <c r="P7576">
        <v>197</v>
      </c>
      <c r="Q7576" s="2">
        <v>378535.5</v>
      </c>
      <c r="R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 s="1">
        <v>42382</v>
      </c>
      <c r="AC7576" t="s">
        <v>53</v>
      </c>
      <c r="AD7576" t="s">
        <v>53</v>
      </c>
      <c r="AK7576">
        <v>0</v>
      </c>
      <c r="AU7576" s="6">
        <v>42159</v>
      </c>
      <c r="AV7576" s="6">
        <v>42159</v>
      </c>
      <c r="AW7576" t="s">
        <v>54</v>
      </c>
      <c r="AX7576" t="str">
        <f t="shared" si="616"/>
        <v>FOR</v>
      </c>
      <c r="AY7576" t="s">
        <v>55</v>
      </c>
    </row>
    <row r="7577" spans="1:51" hidden="1">
      <c r="A7577">
        <v>104311</v>
      </c>
      <c r="B7577" t="s">
        <v>1267</v>
      </c>
      <c r="C7577" t="str">
        <f t="shared" si="618"/>
        <v>06202160013</v>
      </c>
      <c r="D7577" t="str">
        <f t="shared" si="618"/>
        <v>06202160013</v>
      </c>
      <c r="E7577" t="s">
        <v>52</v>
      </c>
      <c r="F7577">
        <v>2014</v>
      </c>
      <c r="G7577">
        <v>1581</v>
      </c>
      <c r="H7577" s="1">
        <v>41971</v>
      </c>
      <c r="I7577" s="1">
        <v>41988</v>
      </c>
      <c r="J7577" s="1">
        <v>41988</v>
      </c>
      <c r="K7577" s="1">
        <v>42048</v>
      </c>
      <c r="N7577" s="5"/>
      <c r="O7577" s="2">
        <v>2970.7</v>
      </c>
      <c r="P7577">
        <v>111</v>
      </c>
      <c r="Q7577" s="2">
        <v>329747.7</v>
      </c>
      <c r="R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 s="1">
        <v>42382</v>
      </c>
      <c r="AC7577" t="s">
        <v>53</v>
      </c>
      <c r="AD7577" t="s">
        <v>53</v>
      </c>
      <c r="AK7577">
        <v>0</v>
      </c>
      <c r="AU7577" s="6">
        <v>42159</v>
      </c>
      <c r="AV7577" s="6">
        <v>42159</v>
      </c>
      <c r="AW7577" t="s">
        <v>54</v>
      </c>
      <c r="AX7577" t="str">
        <f t="shared" si="616"/>
        <v>FOR</v>
      </c>
      <c r="AY7577" t="s">
        <v>55</v>
      </c>
    </row>
    <row r="7578" spans="1:51">
      <c r="A7578">
        <v>104311</v>
      </c>
      <c r="B7578" t="s">
        <v>1267</v>
      </c>
      <c r="C7578" t="str">
        <f t="shared" si="618"/>
        <v>06202160013</v>
      </c>
      <c r="D7578" t="str">
        <f t="shared" si="618"/>
        <v>06202160013</v>
      </c>
      <c r="E7578" t="s">
        <v>52</v>
      </c>
      <c r="F7578">
        <v>2015</v>
      </c>
      <c r="G7578">
        <v>44</v>
      </c>
      <c r="H7578" s="1">
        <v>42124</v>
      </c>
      <c r="I7578" s="1">
        <v>42132</v>
      </c>
      <c r="J7578" s="1">
        <v>42131</v>
      </c>
      <c r="K7578" s="1">
        <v>42191</v>
      </c>
      <c r="L7578" s="7">
        <v>3702</v>
      </c>
      <c r="M7578" s="5">
        <v>148</v>
      </c>
      <c r="N7578" s="7">
        <v>547896</v>
      </c>
      <c r="O7578" s="2">
        <v>3702</v>
      </c>
      <c r="P7578">
        <v>148</v>
      </c>
      <c r="Q7578" s="2">
        <v>547896</v>
      </c>
      <c r="R7578">
        <v>814.44</v>
      </c>
      <c r="V7578">
        <v>0</v>
      </c>
      <c r="W7578">
        <v>0</v>
      </c>
      <c r="X7578">
        <v>0</v>
      </c>
      <c r="Y7578" s="2">
        <v>4516.4399999999996</v>
      </c>
      <c r="Z7578" s="2">
        <v>4516.4399999999996</v>
      </c>
      <c r="AA7578" s="2">
        <v>4516.4399999999996</v>
      </c>
      <c r="AB7578" s="1">
        <v>42382</v>
      </c>
      <c r="AC7578" t="s">
        <v>53</v>
      </c>
      <c r="AD7578" t="s">
        <v>53</v>
      </c>
      <c r="AJ7578">
        <v>814.44</v>
      </c>
      <c r="AK7578">
        <v>0</v>
      </c>
      <c r="AU7578" s="6">
        <v>42339</v>
      </c>
      <c r="AV7578" s="6">
        <v>42339</v>
      </c>
      <c r="AW7578" t="s">
        <v>54</v>
      </c>
      <c r="AX7578" t="str">
        <f t="shared" si="616"/>
        <v>FOR</v>
      </c>
      <c r="AY7578" t="s">
        <v>55</v>
      </c>
    </row>
    <row r="7579" spans="1:51">
      <c r="A7579">
        <v>104316</v>
      </c>
      <c r="B7579" t="s">
        <v>1268</v>
      </c>
      <c r="C7579" t="str">
        <f>"08539010010"</f>
        <v>08539010010</v>
      </c>
      <c r="D7579" t="str">
        <f>"93026890017"</f>
        <v>93026890017</v>
      </c>
      <c r="E7579" t="s">
        <v>52</v>
      </c>
      <c r="F7579">
        <v>2015</v>
      </c>
      <c r="G7579" t="s">
        <v>1269</v>
      </c>
      <c r="H7579" s="1">
        <v>42012</v>
      </c>
      <c r="I7579" s="1">
        <v>42354</v>
      </c>
      <c r="J7579" s="1">
        <v>42354</v>
      </c>
      <c r="K7579" s="1">
        <v>42414</v>
      </c>
      <c r="L7579" s="7">
        <v>61</v>
      </c>
      <c r="M7579" s="5">
        <v>-60</v>
      </c>
      <c r="N7579" s="7">
        <v>-3660</v>
      </c>
      <c r="O7579">
        <v>61</v>
      </c>
      <c r="P7579">
        <v>-60</v>
      </c>
      <c r="Q7579" s="2">
        <v>-3660</v>
      </c>
      <c r="R7579">
        <v>0</v>
      </c>
      <c r="V7579">
        <v>0</v>
      </c>
      <c r="W7579">
        <v>61</v>
      </c>
      <c r="X7579">
        <v>0</v>
      </c>
      <c r="Y7579">
        <v>61</v>
      </c>
      <c r="Z7579">
        <v>61</v>
      </c>
      <c r="AA7579">
        <v>61</v>
      </c>
      <c r="AB7579" s="1">
        <v>42382</v>
      </c>
      <c r="AC7579" t="s">
        <v>53</v>
      </c>
      <c r="AD7579" t="s">
        <v>53</v>
      </c>
      <c r="AK7579">
        <v>0</v>
      </c>
      <c r="AU7579" s="6">
        <v>42354</v>
      </c>
      <c r="AV7579" s="6">
        <v>42354</v>
      </c>
      <c r="AW7579" t="s">
        <v>54</v>
      </c>
      <c r="AX7579" t="str">
        <f t="shared" si="616"/>
        <v>FOR</v>
      </c>
      <c r="AY7579" t="s">
        <v>55</v>
      </c>
    </row>
    <row r="7580" spans="1:51">
      <c r="A7580">
        <v>104316</v>
      </c>
      <c r="B7580" t="s">
        <v>1268</v>
      </c>
      <c r="C7580" t="str">
        <f>"08539010010"</f>
        <v>08539010010</v>
      </c>
      <c r="D7580" t="str">
        <f>"93026890017"</f>
        <v>93026890017</v>
      </c>
      <c r="E7580" t="s">
        <v>52</v>
      </c>
      <c r="F7580">
        <v>2015</v>
      </c>
      <c r="G7580" t="s">
        <v>1270</v>
      </c>
      <c r="H7580" s="1">
        <v>42069</v>
      </c>
      <c r="I7580" s="1">
        <v>42229</v>
      </c>
      <c r="J7580" s="1">
        <v>42220</v>
      </c>
      <c r="K7580" s="1">
        <v>42280</v>
      </c>
      <c r="L7580" s="7">
        <v>50</v>
      </c>
      <c r="M7580" s="5">
        <v>75</v>
      </c>
      <c r="N7580" s="7">
        <v>3750</v>
      </c>
      <c r="O7580">
        <v>50</v>
      </c>
      <c r="P7580">
        <v>75</v>
      </c>
      <c r="Q7580" s="2">
        <v>3750</v>
      </c>
      <c r="R7580">
        <v>11</v>
      </c>
      <c r="V7580">
        <v>0</v>
      </c>
      <c r="W7580">
        <v>0</v>
      </c>
      <c r="X7580">
        <v>0</v>
      </c>
      <c r="Y7580">
        <v>61</v>
      </c>
      <c r="Z7580">
        <v>61</v>
      </c>
      <c r="AA7580">
        <v>61</v>
      </c>
      <c r="AB7580" s="1">
        <v>42382</v>
      </c>
      <c r="AC7580" t="s">
        <v>53</v>
      </c>
      <c r="AD7580" t="s">
        <v>53</v>
      </c>
      <c r="AG7580">
        <v>11</v>
      </c>
      <c r="AK7580">
        <v>0</v>
      </c>
      <c r="AU7580" s="6">
        <v>42355</v>
      </c>
      <c r="AV7580" s="6">
        <v>42355</v>
      </c>
      <c r="AW7580" t="s">
        <v>54</v>
      </c>
      <c r="AX7580" t="str">
        <f t="shared" si="616"/>
        <v>FOR</v>
      </c>
      <c r="AY7580" t="s">
        <v>55</v>
      </c>
    </row>
    <row r="7581" spans="1:51">
      <c r="A7581">
        <v>104316</v>
      </c>
      <c r="B7581" t="s">
        <v>1268</v>
      </c>
      <c r="C7581" t="str">
        <f>"08539010010"</f>
        <v>08539010010</v>
      </c>
      <c r="D7581" t="str">
        <f>"93026890017"</f>
        <v>93026890017</v>
      </c>
      <c r="E7581" t="s">
        <v>52</v>
      </c>
      <c r="F7581">
        <v>2015</v>
      </c>
      <c r="G7581" t="s">
        <v>1271</v>
      </c>
      <c r="H7581" s="1">
        <v>42190</v>
      </c>
      <c r="I7581" s="1">
        <v>42198</v>
      </c>
      <c r="J7581" s="1">
        <v>42191</v>
      </c>
      <c r="K7581" s="1">
        <v>42251</v>
      </c>
      <c r="L7581" s="7">
        <v>50</v>
      </c>
      <c r="M7581" s="5">
        <v>104</v>
      </c>
      <c r="N7581" s="7">
        <v>5200</v>
      </c>
      <c r="O7581">
        <v>50</v>
      </c>
      <c r="P7581">
        <v>104</v>
      </c>
      <c r="Q7581" s="2">
        <v>5200</v>
      </c>
      <c r="R7581">
        <v>11</v>
      </c>
      <c r="V7581">
        <v>0</v>
      </c>
      <c r="W7581">
        <v>0</v>
      </c>
      <c r="X7581">
        <v>0</v>
      </c>
      <c r="Y7581">
        <v>61</v>
      </c>
      <c r="Z7581">
        <v>61</v>
      </c>
      <c r="AA7581">
        <v>61</v>
      </c>
      <c r="AB7581" s="1">
        <v>42382</v>
      </c>
      <c r="AC7581" t="s">
        <v>53</v>
      </c>
      <c r="AD7581" t="s">
        <v>53</v>
      </c>
      <c r="AH7581">
        <v>11</v>
      </c>
      <c r="AK7581">
        <v>0</v>
      </c>
      <c r="AU7581" s="6">
        <v>42355</v>
      </c>
      <c r="AV7581" s="6">
        <v>42355</v>
      </c>
      <c r="AW7581" t="s">
        <v>54</v>
      </c>
      <c r="AX7581" t="str">
        <f t="shared" si="616"/>
        <v>FOR</v>
      </c>
      <c r="AY7581" t="s">
        <v>55</v>
      </c>
    </row>
    <row r="7582" spans="1:51">
      <c r="A7582">
        <v>104316</v>
      </c>
      <c r="B7582" t="s">
        <v>1268</v>
      </c>
      <c r="C7582" t="str">
        <f>"08539010010"</f>
        <v>08539010010</v>
      </c>
      <c r="D7582" t="str">
        <f>"93026890017"</f>
        <v>93026890017</v>
      </c>
      <c r="E7582" t="s">
        <v>52</v>
      </c>
      <c r="F7582">
        <v>2015</v>
      </c>
      <c r="G7582" t="s">
        <v>1272</v>
      </c>
      <c r="H7582" s="1">
        <v>42250</v>
      </c>
      <c r="I7582" s="1">
        <v>42251</v>
      </c>
      <c r="J7582" s="1">
        <v>42251</v>
      </c>
      <c r="K7582" s="1">
        <v>42311</v>
      </c>
      <c r="L7582" s="7">
        <v>50</v>
      </c>
      <c r="M7582" s="5">
        <v>44</v>
      </c>
      <c r="N7582" s="7">
        <v>2200</v>
      </c>
      <c r="O7582">
        <v>50</v>
      </c>
      <c r="P7582">
        <v>44</v>
      </c>
      <c r="Q7582" s="2">
        <v>2200</v>
      </c>
      <c r="R7582">
        <v>11</v>
      </c>
      <c r="V7582">
        <v>0</v>
      </c>
      <c r="W7582">
        <v>0</v>
      </c>
      <c r="X7582">
        <v>0</v>
      </c>
      <c r="Y7582">
        <v>61</v>
      </c>
      <c r="Z7582">
        <v>61</v>
      </c>
      <c r="AA7582">
        <v>61</v>
      </c>
      <c r="AB7582" s="1">
        <v>42382</v>
      </c>
      <c r="AC7582" t="s">
        <v>53</v>
      </c>
      <c r="AD7582" t="s">
        <v>53</v>
      </c>
      <c r="AF7582">
        <v>11</v>
      </c>
      <c r="AK7582">
        <v>0</v>
      </c>
      <c r="AU7582" s="6">
        <v>42355</v>
      </c>
      <c r="AV7582" s="6">
        <v>42355</v>
      </c>
      <c r="AW7582" t="s">
        <v>54</v>
      </c>
      <c r="AX7582" t="str">
        <f t="shared" si="616"/>
        <v>FOR</v>
      </c>
      <c r="AY7582" t="s">
        <v>55</v>
      </c>
    </row>
    <row r="7583" spans="1:51" hidden="1">
      <c r="A7583">
        <v>104321</v>
      </c>
      <c r="B7583" t="s">
        <v>1273</v>
      </c>
      <c r="C7583" t="str">
        <f t="shared" ref="C7583:D7597" si="619">"00707060323"</f>
        <v>00707060323</v>
      </c>
      <c r="D7583" t="str">
        <f t="shared" si="619"/>
        <v>00707060323</v>
      </c>
      <c r="E7583" t="s">
        <v>52</v>
      </c>
      <c r="F7583">
        <v>2014</v>
      </c>
      <c r="G7583">
        <v>300352</v>
      </c>
      <c r="H7583" s="1">
        <v>41936</v>
      </c>
      <c r="I7583" s="1">
        <v>41956</v>
      </c>
      <c r="J7583" s="1">
        <v>41956</v>
      </c>
      <c r="K7583" s="1">
        <v>42016</v>
      </c>
      <c r="N7583" s="5"/>
      <c r="O7583">
        <v>767.26</v>
      </c>
      <c r="P7583">
        <v>261</v>
      </c>
      <c r="Q7583" s="2">
        <v>200254.86</v>
      </c>
      <c r="R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 s="1">
        <v>42382</v>
      </c>
      <c r="AC7583" t="s">
        <v>53</v>
      </c>
      <c r="AD7583" t="s">
        <v>53</v>
      </c>
      <c r="AK7583">
        <v>0</v>
      </c>
      <c r="AU7583" s="6">
        <v>42277</v>
      </c>
      <c r="AV7583" s="6">
        <v>42277</v>
      </c>
      <c r="AW7583" t="s">
        <v>54</v>
      </c>
      <c r="AX7583" t="str">
        <f t="shared" si="616"/>
        <v>FOR</v>
      </c>
      <c r="AY7583" t="s">
        <v>55</v>
      </c>
    </row>
    <row r="7584" spans="1:51" hidden="1">
      <c r="A7584">
        <v>104321</v>
      </c>
      <c r="B7584" t="s">
        <v>1273</v>
      </c>
      <c r="C7584" t="str">
        <f t="shared" si="619"/>
        <v>00707060323</v>
      </c>
      <c r="D7584" t="str">
        <f t="shared" si="619"/>
        <v>00707060323</v>
      </c>
      <c r="E7584" t="s">
        <v>52</v>
      </c>
      <c r="F7584">
        <v>2014</v>
      </c>
      <c r="G7584">
        <v>300557</v>
      </c>
      <c r="H7584" s="1">
        <v>41971</v>
      </c>
      <c r="I7584" s="1">
        <v>41985</v>
      </c>
      <c r="J7584" s="1">
        <v>41985</v>
      </c>
      <c r="K7584" s="1">
        <v>42045</v>
      </c>
      <c r="N7584" s="5"/>
      <c r="O7584" s="2">
        <v>2738.9</v>
      </c>
      <c r="P7584">
        <v>232</v>
      </c>
      <c r="Q7584" s="2">
        <v>635424.80000000005</v>
      </c>
      <c r="R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 s="1">
        <v>42382</v>
      </c>
      <c r="AC7584" t="s">
        <v>53</v>
      </c>
      <c r="AD7584" t="s">
        <v>53</v>
      </c>
      <c r="AK7584">
        <v>0</v>
      </c>
      <c r="AU7584" s="6">
        <v>42277</v>
      </c>
      <c r="AV7584" s="6">
        <v>42277</v>
      </c>
      <c r="AW7584" t="s">
        <v>54</v>
      </c>
      <c r="AX7584" t="str">
        <f t="shared" si="616"/>
        <v>FOR</v>
      </c>
      <c r="AY7584" t="s">
        <v>55</v>
      </c>
    </row>
    <row r="7585" spans="1:51">
      <c r="A7585">
        <v>104321</v>
      </c>
      <c r="B7585" t="s">
        <v>1273</v>
      </c>
      <c r="C7585" t="str">
        <f t="shared" si="619"/>
        <v>00707060323</v>
      </c>
      <c r="D7585" t="str">
        <f t="shared" si="619"/>
        <v>00707060323</v>
      </c>
      <c r="E7585" t="s">
        <v>52</v>
      </c>
      <c r="F7585">
        <v>2014</v>
      </c>
      <c r="G7585">
        <v>300775</v>
      </c>
      <c r="H7585" s="1">
        <v>41988</v>
      </c>
      <c r="I7585" s="1">
        <v>42004</v>
      </c>
      <c r="J7585" s="1">
        <v>42004</v>
      </c>
      <c r="K7585" s="1">
        <v>42064</v>
      </c>
      <c r="L7585" s="7">
        <v>644.16</v>
      </c>
      <c r="M7585" s="5">
        <v>236</v>
      </c>
      <c r="N7585" s="7">
        <v>152021.76000000001</v>
      </c>
      <c r="O7585">
        <v>644.16</v>
      </c>
      <c r="P7585">
        <v>236</v>
      </c>
      <c r="Q7585" s="2">
        <v>152021.76000000001</v>
      </c>
      <c r="R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 s="1">
        <v>42382</v>
      </c>
      <c r="AC7585" t="s">
        <v>53</v>
      </c>
      <c r="AD7585" t="s">
        <v>53</v>
      </c>
      <c r="AK7585">
        <v>0</v>
      </c>
      <c r="AU7585" s="6">
        <v>42300</v>
      </c>
      <c r="AV7585" s="6">
        <v>42300</v>
      </c>
      <c r="AW7585" t="s">
        <v>54</v>
      </c>
      <c r="AX7585" t="str">
        <f t="shared" si="616"/>
        <v>FOR</v>
      </c>
      <c r="AY7585" t="s">
        <v>55</v>
      </c>
    </row>
    <row r="7586" spans="1:51">
      <c r="A7586">
        <v>104321</v>
      </c>
      <c r="B7586" t="s">
        <v>1273</v>
      </c>
      <c r="C7586" t="str">
        <f t="shared" si="619"/>
        <v>00707060323</v>
      </c>
      <c r="D7586" t="str">
        <f t="shared" si="619"/>
        <v>00707060323</v>
      </c>
      <c r="E7586" t="s">
        <v>52</v>
      </c>
      <c r="F7586">
        <v>2014</v>
      </c>
      <c r="G7586">
        <v>300839</v>
      </c>
      <c r="H7586" s="1">
        <v>41997</v>
      </c>
      <c r="I7586" s="1">
        <v>42004</v>
      </c>
      <c r="J7586" s="1">
        <v>42004</v>
      </c>
      <c r="K7586" s="1">
        <v>42064</v>
      </c>
      <c r="L7586" s="7">
        <v>269.62</v>
      </c>
      <c r="M7586" s="5">
        <v>236</v>
      </c>
      <c r="N7586" s="7">
        <v>63630.32</v>
      </c>
      <c r="O7586">
        <v>269.62</v>
      </c>
      <c r="P7586">
        <v>236</v>
      </c>
      <c r="Q7586" s="2">
        <v>63630.32</v>
      </c>
      <c r="R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 s="1">
        <v>42382</v>
      </c>
      <c r="AC7586" t="s">
        <v>53</v>
      </c>
      <c r="AD7586" t="s">
        <v>53</v>
      </c>
      <c r="AK7586">
        <v>0</v>
      </c>
      <c r="AU7586" s="6">
        <v>42300</v>
      </c>
      <c r="AV7586" s="6">
        <v>42300</v>
      </c>
      <c r="AW7586" t="s">
        <v>54</v>
      </c>
      <c r="AX7586" t="str">
        <f t="shared" si="616"/>
        <v>FOR</v>
      </c>
      <c r="AY7586" t="s">
        <v>55</v>
      </c>
    </row>
    <row r="7587" spans="1:51">
      <c r="A7587">
        <v>104321</v>
      </c>
      <c r="B7587" t="s">
        <v>1273</v>
      </c>
      <c r="C7587" t="str">
        <f t="shared" si="619"/>
        <v>00707060323</v>
      </c>
      <c r="D7587" t="str">
        <f t="shared" si="619"/>
        <v>00707060323</v>
      </c>
      <c r="E7587" t="s">
        <v>52</v>
      </c>
      <c r="F7587">
        <v>2015</v>
      </c>
      <c r="G7587">
        <v>400001</v>
      </c>
      <c r="H7587" s="1">
        <v>42031</v>
      </c>
      <c r="I7587" s="1">
        <v>42055</v>
      </c>
      <c r="J7587" s="1">
        <v>42055</v>
      </c>
      <c r="K7587" s="1">
        <v>42115</v>
      </c>
      <c r="L7587" s="7">
        <v>1171.9000000000001</v>
      </c>
      <c r="M7587" s="5">
        <v>185</v>
      </c>
      <c r="N7587" s="7">
        <v>216801.5</v>
      </c>
      <c r="O7587" s="2">
        <v>1171.9000000000001</v>
      </c>
      <c r="P7587">
        <v>185</v>
      </c>
      <c r="Q7587" s="2">
        <v>216801.5</v>
      </c>
      <c r="R7587">
        <v>0</v>
      </c>
      <c r="V7587">
        <v>0</v>
      </c>
      <c r="W7587">
        <v>0</v>
      </c>
      <c r="X7587">
        <v>0</v>
      </c>
      <c r="Y7587" s="2">
        <v>1429.72</v>
      </c>
      <c r="Z7587" s="2">
        <v>1429.72</v>
      </c>
      <c r="AA7587" s="2">
        <v>1429.72</v>
      </c>
      <c r="AB7587" s="1">
        <v>42382</v>
      </c>
      <c r="AC7587" t="s">
        <v>53</v>
      </c>
      <c r="AD7587" t="s">
        <v>53</v>
      </c>
      <c r="AK7587">
        <v>0</v>
      </c>
      <c r="AU7587" s="6">
        <v>42300</v>
      </c>
      <c r="AV7587" s="6">
        <v>42300</v>
      </c>
      <c r="AW7587" t="s">
        <v>54</v>
      </c>
      <c r="AX7587" t="str">
        <f t="shared" si="616"/>
        <v>FOR</v>
      </c>
      <c r="AY7587" t="s">
        <v>55</v>
      </c>
    </row>
    <row r="7588" spans="1:51">
      <c r="A7588">
        <v>104321</v>
      </c>
      <c r="B7588" t="s">
        <v>1273</v>
      </c>
      <c r="C7588" t="str">
        <f t="shared" si="619"/>
        <v>00707060323</v>
      </c>
      <c r="D7588" t="str">
        <f t="shared" si="619"/>
        <v>00707060323</v>
      </c>
      <c r="E7588" t="s">
        <v>52</v>
      </c>
      <c r="F7588">
        <v>2015</v>
      </c>
      <c r="G7588">
        <v>400013</v>
      </c>
      <c r="H7588" s="1">
        <v>42047</v>
      </c>
      <c r="I7588" s="1">
        <v>42081</v>
      </c>
      <c r="J7588" s="1">
        <v>42081</v>
      </c>
      <c r="K7588" s="1">
        <v>42141</v>
      </c>
      <c r="L7588" s="7">
        <v>1834</v>
      </c>
      <c r="M7588" s="5">
        <v>159</v>
      </c>
      <c r="N7588" s="7">
        <v>291606</v>
      </c>
      <c r="O7588" s="2">
        <v>1834</v>
      </c>
      <c r="P7588">
        <v>159</v>
      </c>
      <c r="Q7588" s="2">
        <v>291606</v>
      </c>
      <c r="R7588">
        <v>0</v>
      </c>
      <c r="V7588">
        <v>0</v>
      </c>
      <c r="W7588">
        <v>0</v>
      </c>
      <c r="X7588">
        <v>0</v>
      </c>
      <c r="Y7588" s="2">
        <v>2237.48</v>
      </c>
      <c r="Z7588" s="2">
        <v>2237.48</v>
      </c>
      <c r="AA7588" s="2">
        <v>2237.48</v>
      </c>
      <c r="AB7588" s="1">
        <v>42382</v>
      </c>
      <c r="AC7588" t="s">
        <v>53</v>
      </c>
      <c r="AD7588" t="s">
        <v>53</v>
      </c>
      <c r="AK7588">
        <v>0</v>
      </c>
      <c r="AU7588" s="6">
        <v>42300</v>
      </c>
      <c r="AV7588" s="6">
        <v>42300</v>
      </c>
      <c r="AW7588" t="s">
        <v>54</v>
      </c>
      <c r="AX7588" t="str">
        <f t="shared" si="616"/>
        <v>FOR</v>
      </c>
      <c r="AY7588" t="s">
        <v>55</v>
      </c>
    </row>
    <row r="7589" spans="1:51">
      <c r="A7589">
        <v>104321</v>
      </c>
      <c r="B7589" t="s">
        <v>1273</v>
      </c>
      <c r="C7589" t="str">
        <f t="shared" si="619"/>
        <v>00707060323</v>
      </c>
      <c r="D7589" t="str">
        <f t="shared" si="619"/>
        <v>00707060323</v>
      </c>
      <c r="E7589" t="s">
        <v>52</v>
      </c>
      <c r="F7589">
        <v>2015</v>
      </c>
      <c r="G7589">
        <v>400025</v>
      </c>
      <c r="H7589" s="1">
        <v>42063</v>
      </c>
      <c r="I7589" s="1">
        <v>42081</v>
      </c>
      <c r="J7589" s="1">
        <v>42081</v>
      </c>
      <c r="K7589" s="1">
        <v>42141</v>
      </c>
      <c r="L7589" s="7">
        <v>765</v>
      </c>
      <c r="M7589" s="5">
        <v>159</v>
      </c>
      <c r="N7589" s="7">
        <v>121635</v>
      </c>
      <c r="O7589">
        <v>765</v>
      </c>
      <c r="P7589">
        <v>159</v>
      </c>
      <c r="Q7589" s="2">
        <v>121635</v>
      </c>
      <c r="R7589">
        <v>0</v>
      </c>
      <c r="V7589">
        <v>0</v>
      </c>
      <c r="W7589">
        <v>0</v>
      </c>
      <c r="X7589">
        <v>0</v>
      </c>
      <c r="Y7589">
        <v>933.3</v>
      </c>
      <c r="Z7589">
        <v>933.3</v>
      </c>
      <c r="AA7589">
        <v>933.3</v>
      </c>
      <c r="AB7589" s="1">
        <v>42382</v>
      </c>
      <c r="AC7589" t="s">
        <v>53</v>
      </c>
      <c r="AD7589" t="s">
        <v>53</v>
      </c>
      <c r="AK7589">
        <v>0</v>
      </c>
      <c r="AU7589" s="6">
        <v>42300</v>
      </c>
      <c r="AV7589" s="6">
        <v>42300</v>
      </c>
      <c r="AW7589" t="s">
        <v>54</v>
      </c>
      <c r="AX7589" t="str">
        <f t="shared" si="616"/>
        <v>FOR</v>
      </c>
      <c r="AY7589" t="s">
        <v>55</v>
      </c>
    </row>
    <row r="7590" spans="1:51">
      <c r="A7590">
        <v>104321</v>
      </c>
      <c r="B7590" t="s">
        <v>1273</v>
      </c>
      <c r="C7590" t="str">
        <f t="shared" si="619"/>
        <v>00707060323</v>
      </c>
      <c r="D7590" t="str">
        <f t="shared" si="619"/>
        <v>00707060323</v>
      </c>
      <c r="E7590" t="s">
        <v>52</v>
      </c>
      <c r="F7590">
        <v>2015</v>
      </c>
      <c r="G7590">
        <v>400035</v>
      </c>
      <c r="H7590" s="1">
        <v>42066</v>
      </c>
      <c r="I7590" s="1">
        <v>42118</v>
      </c>
      <c r="J7590" s="1">
        <v>42118</v>
      </c>
      <c r="K7590" s="1">
        <v>42178</v>
      </c>
      <c r="L7590" s="7">
        <v>859.5</v>
      </c>
      <c r="M7590" s="5">
        <v>122</v>
      </c>
      <c r="N7590" s="7">
        <v>104859</v>
      </c>
      <c r="O7590">
        <v>859.5</v>
      </c>
      <c r="P7590">
        <v>122</v>
      </c>
      <c r="Q7590" s="2">
        <v>104859</v>
      </c>
      <c r="R7590">
        <v>0</v>
      </c>
      <c r="V7590">
        <v>0</v>
      </c>
      <c r="W7590">
        <v>0</v>
      </c>
      <c r="X7590">
        <v>0</v>
      </c>
      <c r="Y7590" s="2">
        <v>1048.5899999999999</v>
      </c>
      <c r="Z7590" s="2">
        <v>1048.5899999999999</v>
      </c>
      <c r="AA7590" s="2">
        <v>1048.5899999999999</v>
      </c>
      <c r="AB7590" s="1">
        <v>42382</v>
      </c>
      <c r="AC7590" t="s">
        <v>53</v>
      </c>
      <c r="AD7590" t="s">
        <v>53</v>
      </c>
      <c r="AK7590">
        <v>0</v>
      </c>
      <c r="AU7590" s="6">
        <v>42300</v>
      </c>
      <c r="AV7590" s="6">
        <v>42300</v>
      </c>
      <c r="AW7590" t="s">
        <v>54</v>
      </c>
      <c r="AX7590" t="str">
        <f t="shared" si="616"/>
        <v>FOR</v>
      </c>
      <c r="AY7590" t="s">
        <v>55</v>
      </c>
    </row>
    <row r="7591" spans="1:51">
      <c r="A7591">
        <v>104321</v>
      </c>
      <c r="B7591" t="s">
        <v>1273</v>
      </c>
      <c r="C7591" t="str">
        <f t="shared" si="619"/>
        <v>00707060323</v>
      </c>
      <c r="D7591" t="str">
        <f t="shared" si="619"/>
        <v>00707060323</v>
      </c>
      <c r="E7591" t="s">
        <v>52</v>
      </c>
      <c r="F7591">
        <v>2015</v>
      </c>
      <c r="G7591">
        <v>400037</v>
      </c>
      <c r="H7591" s="1">
        <v>42069</v>
      </c>
      <c r="I7591" s="1">
        <v>42123</v>
      </c>
      <c r="J7591" s="1">
        <v>42123</v>
      </c>
      <c r="K7591" s="1">
        <v>42183</v>
      </c>
      <c r="L7591" s="7">
        <v>420</v>
      </c>
      <c r="M7591" s="5">
        <v>117</v>
      </c>
      <c r="N7591" s="7">
        <v>49140</v>
      </c>
      <c r="O7591">
        <v>420</v>
      </c>
      <c r="P7591">
        <v>117</v>
      </c>
      <c r="Q7591" s="2">
        <v>49140</v>
      </c>
      <c r="R7591">
        <v>0</v>
      </c>
      <c r="V7591">
        <v>0</v>
      </c>
      <c r="W7591">
        <v>0</v>
      </c>
      <c r="X7591">
        <v>0</v>
      </c>
      <c r="Y7591">
        <v>512.4</v>
      </c>
      <c r="Z7591">
        <v>512.4</v>
      </c>
      <c r="AA7591">
        <v>512.4</v>
      </c>
      <c r="AB7591" s="1">
        <v>42382</v>
      </c>
      <c r="AC7591" t="s">
        <v>53</v>
      </c>
      <c r="AD7591" t="s">
        <v>53</v>
      </c>
      <c r="AK7591">
        <v>0</v>
      </c>
      <c r="AU7591" s="6">
        <v>42300</v>
      </c>
      <c r="AV7591" s="6">
        <v>42300</v>
      </c>
      <c r="AW7591" t="s">
        <v>54</v>
      </c>
      <c r="AX7591" t="str">
        <f t="shared" si="616"/>
        <v>FOR</v>
      </c>
      <c r="AY7591" t="s">
        <v>55</v>
      </c>
    </row>
    <row r="7592" spans="1:51">
      <c r="A7592">
        <v>104321</v>
      </c>
      <c r="B7592" t="s">
        <v>1273</v>
      </c>
      <c r="C7592" t="str">
        <f t="shared" si="619"/>
        <v>00707060323</v>
      </c>
      <c r="D7592" t="str">
        <f t="shared" si="619"/>
        <v>00707060323</v>
      </c>
      <c r="E7592" t="s">
        <v>52</v>
      </c>
      <c r="F7592">
        <v>2015</v>
      </c>
      <c r="G7592">
        <v>400039</v>
      </c>
      <c r="H7592" s="1">
        <v>42069</v>
      </c>
      <c r="I7592" s="1">
        <v>42118</v>
      </c>
      <c r="J7592" s="1">
        <v>42118</v>
      </c>
      <c r="K7592" s="1">
        <v>42178</v>
      </c>
      <c r="L7592" s="7">
        <v>663</v>
      </c>
      <c r="M7592" s="5">
        <v>122</v>
      </c>
      <c r="N7592" s="7">
        <v>80886</v>
      </c>
      <c r="O7592">
        <v>663</v>
      </c>
      <c r="P7592">
        <v>122</v>
      </c>
      <c r="Q7592" s="2">
        <v>80886</v>
      </c>
      <c r="R7592">
        <v>0</v>
      </c>
      <c r="V7592">
        <v>0</v>
      </c>
      <c r="W7592">
        <v>0</v>
      </c>
      <c r="X7592">
        <v>0</v>
      </c>
      <c r="Y7592">
        <v>808.86</v>
      </c>
      <c r="Z7592">
        <v>808.86</v>
      </c>
      <c r="AA7592">
        <v>808.86</v>
      </c>
      <c r="AB7592" s="1">
        <v>42382</v>
      </c>
      <c r="AC7592" t="s">
        <v>53</v>
      </c>
      <c r="AD7592" t="s">
        <v>53</v>
      </c>
      <c r="AK7592">
        <v>0</v>
      </c>
      <c r="AU7592" s="6">
        <v>42300</v>
      </c>
      <c r="AV7592" s="6">
        <v>42300</v>
      </c>
      <c r="AW7592" t="s">
        <v>54</v>
      </c>
      <c r="AX7592" t="str">
        <f t="shared" si="616"/>
        <v>FOR</v>
      </c>
      <c r="AY7592" t="s">
        <v>55</v>
      </c>
    </row>
    <row r="7593" spans="1:51">
      <c r="A7593">
        <v>104321</v>
      </c>
      <c r="B7593" t="s">
        <v>1273</v>
      </c>
      <c r="C7593" t="str">
        <f t="shared" si="619"/>
        <v>00707060323</v>
      </c>
      <c r="D7593" t="str">
        <f t="shared" si="619"/>
        <v>00707060323</v>
      </c>
      <c r="E7593" t="s">
        <v>52</v>
      </c>
      <c r="F7593">
        <v>2015</v>
      </c>
      <c r="G7593">
        <v>400054</v>
      </c>
      <c r="H7593" s="1">
        <v>42093</v>
      </c>
      <c r="I7593" s="1">
        <v>42123</v>
      </c>
      <c r="J7593" s="1">
        <v>42123</v>
      </c>
      <c r="K7593" s="1">
        <v>42183</v>
      </c>
      <c r="L7593" s="7">
        <v>879.8</v>
      </c>
      <c r="M7593" s="5">
        <v>117</v>
      </c>
      <c r="N7593" s="7">
        <v>102936.6</v>
      </c>
      <c r="O7593">
        <v>879.8</v>
      </c>
      <c r="P7593">
        <v>117</v>
      </c>
      <c r="Q7593" s="2">
        <v>102936.6</v>
      </c>
      <c r="R7593">
        <v>0</v>
      </c>
      <c r="V7593">
        <v>0</v>
      </c>
      <c r="W7593">
        <v>0</v>
      </c>
      <c r="X7593">
        <v>0</v>
      </c>
      <c r="Y7593" s="2">
        <v>1073.3599999999999</v>
      </c>
      <c r="Z7593" s="2">
        <v>1073.3599999999999</v>
      </c>
      <c r="AA7593" s="2">
        <v>1073.3599999999999</v>
      </c>
      <c r="AB7593" s="1">
        <v>42382</v>
      </c>
      <c r="AC7593" t="s">
        <v>53</v>
      </c>
      <c r="AD7593" t="s">
        <v>53</v>
      </c>
      <c r="AK7593">
        <v>0</v>
      </c>
      <c r="AU7593" s="6">
        <v>42300</v>
      </c>
      <c r="AV7593" s="6">
        <v>42300</v>
      </c>
      <c r="AW7593" t="s">
        <v>54</v>
      </c>
      <c r="AX7593" t="str">
        <f t="shared" si="616"/>
        <v>FOR</v>
      </c>
      <c r="AY7593" t="s">
        <v>55</v>
      </c>
    </row>
    <row r="7594" spans="1:51">
      <c r="A7594">
        <v>104321</v>
      </c>
      <c r="B7594" t="s">
        <v>1273</v>
      </c>
      <c r="C7594" t="str">
        <f t="shared" si="619"/>
        <v>00707060323</v>
      </c>
      <c r="D7594" t="str">
        <f t="shared" si="619"/>
        <v>00707060323</v>
      </c>
      <c r="E7594" t="s">
        <v>52</v>
      </c>
      <c r="F7594">
        <v>2015</v>
      </c>
      <c r="G7594">
        <v>400060</v>
      </c>
      <c r="H7594" s="1">
        <v>42093</v>
      </c>
      <c r="I7594" s="1">
        <v>42123</v>
      </c>
      <c r="J7594" s="1">
        <v>42123</v>
      </c>
      <c r="K7594" s="1">
        <v>42183</v>
      </c>
      <c r="L7594" s="7">
        <v>1400</v>
      </c>
      <c r="M7594" s="5">
        <v>117</v>
      </c>
      <c r="N7594" s="7">
        <v>163800</v>
      </c>
      <c r="O7594" s="2">
        <v>1400</v>
      </c>
      <c r="P7594">
        <v>117</v>
      </c>
      <c r="Q7594" s="2">
        <v>163800</v>
      </c>
      <c r="R7594">
        <v>0</v>
      </c>
      <c r="V7594">
        <v>0</v>
      </c>
      <c r="W7594">
        <v>0</v>
      </c>
      <c r="X7594">
        <v>0</v>
      </c>
      <c r="Y7594" s="2">
        <v>1708</v>
      </c>
      <c r="Z7594" s="2">
        <v>1708</v>
      </c>
      <c r="AA7594" s="2">
        <v>1708</v>
      </c>
      <c r="AB7594" s="1">
        <v>42382</v>
      </c>
      <c r="AC7594" t="s">
        <v>53</v>
      </c>
      <c r="AD7594" t="s">
        <v>53</v>
      </c>
      <c r="AK7594">
        <v>0</v>
      </c>
      <c r="AU7594" s="6">
        <v>42300</v>
      </c>
      <c r="AV7594" s="6">
        <v>42300</v>
      </c>
      <c r="AW7594" t="s">
        <v>54</v>
      </c>
      <c r="AX7594" t="str">
        <f t="shared" si="616"/>
        <v>FOR</v>
      </c>
      <c r="AY7594" t="s">
        <v>55</v>
      </c>
    </row>
    <row r="7595" spans="1:51">
      <c r="A7595">
        <v>104321</v>
      </c>
      <c r="B7595" t="s">
        <v>1273</v>
      </c>
      <c r="C7595" t="str">
        <f t="shared" si="619"/>
        <v>00707060323</v>
      </c>
      <c r="D7595" t="str">
        <f t="shared" si="619"/>
        <v>00707060323</v>
      </c>
      <c r="E7595" t="s">
        <v>52</v>
      </c>
      <c r="F7595">
        <v>2015</v>
      </c>
      <c r="G7595">
        <v>400094</v>
      </c>
      <c r="H7595" s="1">
        <v>42124</v>
      </c>
      <c r="I7595" s="1">
        <v>42165</v>
      </c>
      <c r="J7595" s="1">
        <v>42142</v>
      </c>
      <c r="K7595" s="1">
        <v>42202</v>
      </c>
      <c r="L7595" s="7">
        <v>551.22</v>
      </c>
      <c r="M7595" s="5">
        <v>98</v>
      </c>
      <c r="N7595" s="7">
        <v>54019.56</v>
      </c>
      <c r="O7595">
        <v>551.22</v>
      </c>
      <c r="P7595">
        <v>98</v>
      </c>
      <c r="Q7595" s="2">
        <v>54019.56</v>
      </c>
      <c r="R7595">
        <v>0</v>
      </c>
      <c r="V7595">
        <v>0</v>
      </c>
      <c r="W7595">
        <v>0</v>
      </c>
      <c r="X7595">
        <v>0</v>
      </c>
      <c r="Y7595">
        <v>672.49</v>
      </c>
      <c r="Z7595">
        <v>672.49</v>
      </c>
      <c r="AA7595">
        <v>672.49</v>
      </c>
      <c r="AB7595" s="1">
        <v>42382</v>
      </c>
      <c r="AC7595" t="s">
        <v>53</v>
      </c>
      <c r="AD7595" t="s">
        <v>53</v>
      </c>
      <c r="AK7595">
        <v>0</v>
      </c>
      <c r="AU7595" s="6">
        <v>42300</v>
      </c>
      <c r="AV7595" s="6">
        <v>42300</v>
      </c>
      <c r="AW7595" t="s">
        <v>54</v>
      </c>
      <c r="AX7595" t="str">
        <f t="shared" si="616"/>
        <v>FOR</v>
      </c>
      <c r="AY7595" t="s">
        <v>55</v>
      </c>
    </row>
    <row r="7596" spans="1:51">
      <c r="A7596">
        <v>104321</v>
      </c>
      <c r="B7596" t="s">
        <v>1273</v>
      </c>
      <c r="C7596" t="str">
        <f t="shared" si="619"/>
        <v>00707060323</v>
      </c>
      <c r="D7596" t="str">
        <f t="shared" si="619"/>
        <v>00707060323</v>
      </c>
      <c r="E7596" t="s">
        <v>52</v>
      </c>
      <c r="F7596">
        <v>2015</v>
      </c>
      <c r="G7596">
        <v>400135</v>
      </c>
      <c r="H7596" s="1">
        <v>42179</v>
      </c>
      <c r="I7596" s="1">
        <v>42198</v>
      </c>
      <c r="J7596" s="1">
        <v>42194</v>
      </c>
      <c r="K7596" s="1">
        <v>42254</v>
      </c>
      <c r="L7596" s="7">
        <v>4404</v>
      </c>
      <c r="M7596" s="5">
        <v>86</v>
      </c>
      <c r="N7596" s="7">
        <v>378744</v>
      </c>
      <c r="O7596" s="2">
        <v>4404</v>
      </c>
      <c r="P7596">
        <v>86</v>
      </c>
      <c r="Q7596" s="2">
        <v>378744</v>
      </c>
      <c r="R7596">
        <v>968.88</v>
      </c>
      <c r="V7596">
        <v>0</v>
      </c>
      <c r="W7596">
        <v>0</v>
      </c>
      <c r="X7596">
        <v>0</v>
      </c>
      <c r="Y7596" s="2">
        <v>5372.88</v>
      </c>
      <c r="Z7596" s="2">
        <v>5372.88</v>
      </c>
      <c r="AA7596" s="2">
        <v>5372.88</v>
      </c>
      <c r="AB7596" s="1">
        <v>42382</v>
      </c>
      <c r="AC7596" t="s">
        <v>53</v>
      </c>
      <c r="AD7596" t="s">
        <v>53</v>
      </c>
      <c r="AH7596">
        <v>968.88</v>
      </c>
      <c r="AK7596">
        <v>0</v>
      </c>
      <c r="AU7596" s="6">
        <v>42340</v>
      </c>
      <c r="AV7596" s="6">
        <v>42340</v>
      </c>
      <c r="AW7596" t="s">
        <v>54</v>
      </c>
      <c r="AX7596" t="str">
        <f t="shared" si="616"/>
        <v>FOR</v>
      </c>
      <c r="AY7596" t="s">
        <v>55</v>
      </c>
    </row>
    <row r="7597" spans="1:51">
      <c r="A7597">
        <v>104321</v>
      </c>
      <c r="B7597" t="s">
        <v>1273</v>
      </c>
      <c r="C7597" t="str">
        <f t="shared" si="619"/>
        <v>00707060323</v>
      </c>
      <c r="D7597" t="str">
        <f t="shared" si="619"/>
        <v>00707060323</v>
      </c>
      <c r="E7597" t="s">
        <v>52</v>
      </c>
      <c r="F7597">
        <v>2015</v>
      </c>
      <c r="G7597">
        <v>400150</v>
      </c>
      <c r="H7597" s="1">
        <v>42199</v>
      </c>
      <c r="I7597" s="1">
        <v>42227</v>
      </c>
      <c r="J7597" s="1">
        <v>42213</v>
      </c>
      <c r="K7597" s="1">
        <v>42273</v>
      </c>
      <c r="L7597" s="7">
        <v>288</v>
      </c>
      <c r="M7597" s="5">
        <v>67</v>
      </c>
      <c r="N7597" s="7">
        <v>19296</v>
      </c>
      <c r="O7597">
        <v>288</v>
      </c>
      <c r="P7597">
        <v>67</v>
      </c>
      <c r="Q7597" s="2">
        <v>19296</v>
      </c>
      <c r="R7597">
        <v>63.36</v>
      </c>
      <c r="V7597">
        <v>0</v>
      </c>
      <c r="W7597">
        <v>0</v>
      </c>
      <c r="X7597">
        <v>0</v>
      </c>
      <c r="Y7597">
        <v>351.36</v>
      </c>
      <c r="Z7597">
        <v>351.36</v>
      </c>
      <c r="AA7597">
        <v>351.36</v>
      </c>
      <c r="AB7597" s="1">
        <v>42382</v>
      </c>
      <c r="AC7597" t="s">
        <v>53</v>
      </c>
      <c r="AD7597" t="s">
        <v>53</v>
      </c>
      <c r="AH7597">
        <v>63.36</v>
      </c>
      <c r="AK7597">
        <v>0</v>
      </c>
      <c r="AU7597" s="6">
        <v>42340</v>
      </c>
      <c r="AV7597" s="6">
        <v>42340</v>
      </c>
      <c r="AW7597" t="s">
        <v>54</v>
      </c>
      <c r="AX7597" t="str">
        <f t="shared" si="616"/>
        <v>FOR</v>
      </c>
      <c r="AY7597" t="s">
        <v>55</v>
      </c>
    </row>
    <row r="7598" spans="1:51" hidden="1">
      <c r="A7598">
        <v>104327</v>
      </c>
      <c r="B7598" t="s">
        <v>1274</v>
      </c>
      <c r="C7598" t="str">
        <f t="shared" ref="C7598:D7600" si="620">"06891420157"</f>
        <v>06891420157</v>
      </c>
      <c r="D7598" t="str">
        <f t="shared" si="620"/>
        <v>06891420157</v>
      </c>
      <c r="E7598" t="s">
        <v>52</v>
      </c>
      <c r="F7598">
        <v>2014</v>
      </c>
      <c r="G7598">
        <v>10015955</v>
      </c>
      <c r="H7598" s="1">
        <v>41894</v>
      </c>
      <c r="I7598" s="1">
        <v>41995</v>
      </c>
      <c r="J7598" s="1">
        <v>41995</v>
      </c>
      <c r="K7598" s="1">
        <v>42055</v>
      </c>
      <c r="N7598" s="5"/>
      <c r="O7598" s="2">
        <v>1654.46</v>
      </c>
      <c r="P7598">
        <v>-21</v>
      </c>
      <c r="Q7598" s="2">
        <v>-34743.660000000003</v>
      </c>
      <c r="R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 s="1">
        <v>42382</v>
      </c>
      <c r="AC7598" t="s">
        <v>53</v>
      </c>
      <c r="AD7598" t="s">
        <v>53</v>
      </c>
      <c r="AK7598">
        <v>0</v>
      </c>
      <c r="AU7598" s="6">
        <v>42034</v>
      </c>
      <c r="AV7598" s="6">
        <v>42034</v>
      </c>
      <c r="AW7598" t="s">
        <v>54</v>
      </c>
      <c r="AX7598" t="str">
        <f t="shared" si="616"/>
        <v>FOR</v>
      </c>
      <c r="AY7598" t="s">
        <v>55</v>
      </c>
    </row>
    <row r="7599" spans="1:51" hidden="1">
      <c r="A7599">
        <v>104327</v>
      </c>
      <c r="B7599" t="s">
        <v>1274</v>
      </c>
      <c r="C7599" t="str">
        <f t="shared" si="620"/>
        <v>06891420157</v>
      </c>
      <c r="D7599" t="str">
        <f t="shared" si="620"/>
        <v>06891420157</v>
      </c>
      <c r="E7599" t="s">
        <v>52</v>
      </c>
      <c r="F7599">
        <v>2015</v>
      </c>
      <c r="G7599">
        <v>60001421</v>
      </c>
      <c r="H7599" s="1">
        <v>42083</v>
      </c>
      <c r="I7599" s="1">
        <v>42107</v>
      </c>
      <c r="J7599" s="1">
        <v>42107</v>
      </c>
      <c r="K7599" s="1">
        <v>42167</v>
      </c>
      <c r="N7599" s="5"/>
      <c r="O7599" s="2">
        <v>2913.5</v>
      </c>
      <c r="P7599">
        <v>108</v>
      </c>
      <c r="Q7599" s="2">
        <v>314658</v>
      </c>
      <c r="R7599">
        <v>0</v>
      </c>
      <c r="V7599">
        <v>0</v>
      </c>
      <c r="W7599">
        <v>0</v>
      </c>
      <c r="X7599">
        <v>0</v>
      </c>
      <c r="Y7599" s="2">
        <v>3204.85</v>
      </c>
      <c r="Z7599" s="2">
        <v>3204.85</v>
      </c>
      <c r="AA7599" s="2">
        <v>3204.85</v>
      </c>
      <c r="AB7599" s="1">
        <v>42382</v>
      </c>
      <c r="AC7599" t="s">
        <v>53</v>
      </c>
      <c r="AD7599" t="s">
        <v>53</v>
      </c>
      <c r="AK7599">
        <v>0</v>
      </c>
      <c r="AU7599" s="6">
        <v>42275</v>
      </c>
      <c r="AV7599" s="6">
        <v>42275</v>
      </c>
      <c r="AW7599" t="s">
        <v>54</v>
      </c>
      <c r="AX7599" t="str">
        <f t="shared" si="616"/>
        <v>FOR</v>
      </c>
      <c r="AY7599" t="s">
        <v>55</v>
      </c>
    </row>
    <row r="7600" spans="1:51">
      <c r="A7600">
        <v>104327</v>
      </c>
      <c r="B7600" t="s">
        <v>1274</v>
      </c>
      <c r="C7600" t="str">
        <f t="shared" si="620"/>
        <v>06891420157</v>
      </c>
      <c r="D7600" t="str">
        <f t="shared" si="620"/>
        <v>06891420157</v>
      </c>
      <c r="E7600" t="s">
        <v>52</v>
      </c>
      <c r="F7600">
        <v>2015</v>
      </c>
      <c r="G7600">
        <v>91000034</v>
      </c>
      <c r="H7600" s="1">
        <v>42216</v>
      </c>
      <c r="I7600" s="1">
        <v>42229</v>
      </c>
      <c r="J7600" s="1">
        <v>42220</v>
      </c>
      <c r="K7600" s="1">
        <v>42280</v>
      </c>
      <c r="L7600" s="7">
        <v>2420.9</v>
      </c>
      <c r="M7600" s="5">
        <v>73</v>
      </c>
      <c r="N7600" s="7">
        <v>176725.7</v>
      </c>
      <c r="O7600" s="2">
        <v>2420.9</v>
      </c>
      <c r="P7600">
        <v>73</v>
      </c>
      <c r="Q7600" s="2">
        <v>176725.7</v>
      </c>
      <c r="R7600">
        <v>242.09</v>
      </c>
      <c r="V7600">
        <v>0</v>
      </c>
      <c r="W7600">
        <v>0</v>
      </c>
      <c r="X7600">
        <v>0</v>
      </c>
      <c r="Y7600" s="2">
        <v>2662.99</v>
      </c>
      <c r="Z7600" s="2">
        <v>2662.99</v>
      </c>
      <c r="AA7600" s="2">
        <v>2662.99</v>
      </c>
      <c r="AB7600" s="1">
        <v>42382</v>
      </c>
      <c r="AC7600" t="s">
        <v>53</v>
      </c>
      <c r="AD7600" t="s">
        <v>53</v>
      </c>
      <c r="AG7600">
        <v>242.09</v>
      </c>
      <c r="AK7600">
        <v>0</v>
      </c>
      <c r="AU7600" s="6">
        <v>42353</v>
      </c>
      <c r="AV7600" s="6">
        <v>42353</v>
      </c>
      <c r="AW7600" t="s">
        <v>54</v>
      </c>
      <c r="AX7600" t="str">
        <f t="shared" si="616"/>
        <v>FOR</v>
      </c>
      <c r="AY7600" t="s">
        <v>55</v>
      </c>
    </row>
    <row r="7601" spans="1:51" hidden="1">
      <c r="A7601">
        <v>104358</v>
      </c>
      <c r="B7601" t="s">
        <v>1275</v>
      </c>
      <c r="C7601" t="str">
        <f t="shared" ref="C7601:D7604" si="621">"04887560631"</f>
        <v>04887560631</v>
      </c>
      <c r="D7601" t="str">
        <f t="shared" si="621"/>
        <v>04887560631</v>
      </c>
      <c r="E7601" t="s">
        <v>52</v>
      </c>
      <c r="F7601">
        <v>2014</v>
      </c>
      <c r="G7601">
        <v>169</v>
      </c>
      <c r="H7601" s="1">
        <v>41759</v>
      </c>
      <c r="I7601" s="1">
        <v>41771</v>
      </c>
      <c r="J7601" s="1">
        <v>41771</v>
      </c>
      <c r="K7601" s="1">
        <v>41861</v>
      </c>
      <c r="N7601" s="5"/>
      <c r="O7601" s="2">
        <v>9724</v>
      </c>
      <c r="P7601">
        <v>297</v>
      </c>
      <c r="Q7601" s="2">
        <v>2888028</v>
      </c>
      <c r="R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 s="1">
        <v>42382</v>
      </c>
      <c r="AC7601" t="s">
        <v>53</v>
      </c>
      <c r="AD7601" t="s">
        <v>53</v>
      </c>
      <c r="AK7601">
        <v>0</v>
      </c>
      <c r="AU7601" s="6">
        <v>42158</v>
      </c>
      <c r="AV7601" s="6">
        <v>42158</v>
      </c>
      <c r="AW7601" t="s">
        <v>54</v>
      </c>
      <c r="AX7601" t="str">
        <f t="shared" si="616"/>
        <v>FOR</v>
      </c>
      <c r="AY7601" t="s">
        <v>55</v>
      </c>
    </row>
    <row r="7602" spans="1:51" hidden="1">
      <c r="A7602">
        <v>104358</v>
      </c>
      <c r="B7602" t="s">
        <v>1275</v>
      </c>
      <c r="C7602" t="str">
        <f t="shared" si="621"/>
        <v>04887560631</v>
      </c>
      <c r="D7602" t="str">
        <f t="shared" si="621"/>
        <v>04887560631</v>
      </c>
      <c r="E7602" t="s">
        <v>52</v>
      </c>
      <c r="F7602">
        <v>2014</v>
      </c>
      <c r="G7602">
        <v>170</v>
      </c>
      <c r="H7602" s="1">
        <v>41759</v>
      </c>
      <c r="I7602" s="1">
        <v>41771</v>
      </c>
      <c r="J7602" s="1">
        <v>41771</v>
      </c>
      <c r="K7602" s="1">
        <v>41861</v>
      </c>
      <c r="N7602" s="5"/>
      <c r="O7602" s="2">
        <v>10400.5</v>
      </c>
      <c r="P7602">
        <v>297</v>
      </c>
      <c r="Q7602" s="2">
        <v>3088948.5</v>
      </c>
      <c r="R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 s="1">
        <v>42382</v>
      </c>
      <c r="AC7602" t="s">
        <v>53</v>
      </c>
      <c r="AD7602" t="s">
        <v>53</v>
      </c>
      <c r="AK7602">
        <v>0</v>
      </c>
      <c r="AU7602" s="6">
        <v>42158</v>
      </c>
      <c r="AV7602" s="6">
        <v>42158</v>
      </c>
      <c r="AW7602" t="s">
        <v>54</v>
      </c>
      <c r="AX7602" t="str">
        <f t="shared" si="616"/>
        <v>FOR</v>
      </c>
      <c r="AY7602" t="s">
        <v>55</v>
      </c>
    </row>
    <row r="7603" spans="1:51" hidden="1">
      <c r="A7603">
        <v>104358</v>
      </c>
      <c r="B7603" t="s">
        <v>1275</v>
      </c>
      <c r="C7603" t="str">
        <f t="shared" si="621"/>
        <v>04887560631</v>
      </c>
      <c r="D7603" t="str">
        <f t="shared" si="621"/>
        <v>04887560631</v>
      </c>
      <c r="E7603" t="s">
        <v>52</v>
      </c>
      <c r="F7603">
        <v>2014</v>
      </c>
      <c r="G7603">
        <v>220</v>
      </c>
      <c r="H7603" s="1">
        <v>41789</v>
      </c>
      <c r="I7603" s="1">
        <v>41800</v>
      </c>
      <c r="J7603" s="1">
        <v>41800</v>
      </c>
      <c r="K7603" s="1">
        <v>41890</v>
      </c>
      <c r="N7603" s="5"/>
      <c r="O7603" s="2">
        <v>12012</v>
      </c>
      <c r="P7603">
        <v>268</v>
      </c>
      <c r="Q7603" s="2">
        <v>3219216</v>
      </c>
      <c r="R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 s="1">
        <v>42382</v>
      </c>
      <c r="AC7603" t="s">
        <v>53</v>
      </c>
      <c r="AD7603" t="s">
        <v>53</v>
      </c>
      <c r="AK7603">
        <v>0</v>
      </c>
      <c r="AU7603" s="6">
        <v>42158</v>
      </c>
      <c r="AV7603" s="6">
        <v>42158</v>
      </c>
      <c r="AW7603" t="s">
        <v>54</v>
      </c>
      <c r="AX7603" t="str">
        <f t="shared" si="616"/>
        <v>FOR</v>
      </c>
      <c r="AY7603" t="s">
        <v>55</v>
      </c>
    </row>
    <row r="7604" spans="1:51" hidden="1">
      <c r="A7604">
        <v>104358</v>
      </c>
      <c r="B7604" t="s">
        <v>1275</v>
      </c>
      <c r="C7604" t="str">
        <f t="shared" si="621"/>
        <v>04887560631</v>
      </c>
      <c r="D7604" t="str">
        <f t="shared" si="621"/>
        <v>04887560631</v>
      </c>
      <c r="E7604" t="s">
        <v>52</v>
      </c>
      <c r="F7604">
        <v>2014</v>
      </c>
      <c r="G7604">
        <v>364</v>
      </c>
      <c r="H7604" s="1">
        <v>41912</v>
      </c>
      <c r="I7604" s="1">
        <v>41922</v>
      </c>
      <c r="J7604" s="1">
        <v>41922</v>
      </c>
      <c r="K7604" s="1">
        <v>42012</v>
      </c>
      <c r="N7604" s="5"/>
      <c r="O7604" s="2">
        <v>30888</v>
      </c>
      <c r="P7604">
        <v>238</v>
      </c>
      <c r="Q7604" s="2">
        <v>7351344</v>
      </c>
      <c r="R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 s="1">
        <v>42382</v>
      </c>
      <c r="AC7604" t="s">
        <v>53</v>
      </c>
      <c r="AD7604" t="s">
        <v>53</v>
      </c>
      <c r="AK7604">
        <v>0</v>
      </c>
      <c r="AU7604" s="6">
        <v>42250</v>
      </c>
      <c r="AV7604" s="6">
        <v>42250</v>
      </c>
      <c r="AW7604" t="s">
        <v>54</v>
      </c>
      <c r="AX7604" t="str">
        <f t="shared" si="616"/>
        <v>FOR</v>
      </c>
      <c r="AY7604" t="s">
        <v>55</v>
      </c>
    </row>
    <row r="7605" spans="1:51" hidden="1">
      <c r="A7605">
        <v>104364</v>
      </c>
      <c r="B7605" t="s">
        <v>1276</v>
      </c>
      <c r="C7605" t="str">
        <f t="shared" ref="C7605:D7615" si="622">"05525540729"</f>
        <v>05525540729</v>
      </c>
      <c r="D7605" t="str">
        <f t="shared" si="622"/>
        <v>05525540729</v>
      </c>
      <c r="E7605" t="s">
        <v>52</v>
      </c>
      <c r="F7605">
        <v>2012</v>
      </c>
      <c r="G7605">
        <v>453</v>
      </c>
      <c r="H7605" s="1">
        <v>41234</v>
      </c>
      <c r="I7605" s="1">
        <v>41893</v>
      </c>
      <c r="J7605" s="1">
        <v>41893</v>
      </c>
      <c r="K7605" s="1">
        <v>41983</v>
      </c>
      <c r="N7605" s="5"/>
      <c r="O7605" s="2">
        <v>2268.75</v>
      </c>
      <c r="P7605">
        <v>41</v>
      </c>
      <c r="Q7605" s="2">
        <v>93018.75</v>
      </c>
      <c r="R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 s="1">
        <v>42382</v>
      </c>
      <c r="AC7605" t="s">
        <v>53</v>
      </c>
      <c r="AD7605" t="s">
        <v>53</v>
      </c>
      <c r="AK7605">
        <v>0</v>
      </c>
      <c r="AU7605" s="6">
        <v>42024</v>
      </c>
      <c r="AV7605" s="6">
        <v>42024</v>
      </c>
      <c r="AW7605" t="s">
        <v>54</v>
      </c>
      <c r="AX7605" t="str">
        <f t="shared" si="616"/>
        <v>FOR</v>
      </c>
      <c r="AY7605" t="s">
        <v>55</v>
      </c>
    </row>
    <row r="7606" spans="1:51" hidden="1">
      <c r="A7606">
        <v>104364</v>
      </c>
      <c r="B7606" t="s">
        <v>1276</v>
      </c>
      <c r="C7606" t="str">
        <f t="shared" si="622"/>
        <v>05525540729</v>
      </c>
      <c r="D7606" t="str">
        <f t="shared" si="622"/>
        <v>05525540729</v>
      </c>
      <c r="E7606" t="s">
        <v>52</v>
      </c>
      <c r="F7606">
        <v>2014</v>
      </c>
      <c r="G7606">
        <v>37</v>
      </c>
      <c r="H7606" s="1">
        <v>41667</v>
      </c>
      <c r="I7606" s="1">
        <v>41684</v>
      </c>
      <c r="J7606" s="1">
        <v>41684</v>
      </c>
      <c r="K7606" s="1">
        <v>41774</v>
      </c>
      <c r="N7606" s="5"/>
      <c r="O7606" s="2">
        <v>4044.91</v>
      </c>
      <c r="P7606">
        <v>250</v>
      </c>
      <c r="Q7606" s="2">
        <v>1011227.5</v>
      </c>
      <c r="R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 s="1">
        <v>42382</v>
      </c>
      <c r="AC7606" t="s">
        <v>53</v>
      </c>
      <c r="AD7606" t="s">
        <v>53</v>
      </c>
      <c r="AK7606">
        <v>0</v>
      </c>
      <c r="AU7606" s="6">
        <v>42024</v>
      </c>
      <c r="AV7606" s="6">
        <v>42024</v>
      </c>
      <c r="AW7606" t="s">
        <v>54</v>
      </c>
      <c r="AX7606" t="str">
        <f t="shared" si="616"/>
        <v>FOR</v>
      </c>
      <c r="AY7606" t="s">
        <v>55</v>
      </c>
    </row>
    <row r="7607" spans="1:51" hidden="1">
      <c r="A7607">
        <v>104364</v>
      </c>
      <c r="B7607" t="s">
        <v>1276</v>
      </c>
      <c r="C7607" t="str">
        <f t="shared" si="622"/>
        <v>05525540729</v>
      </c>
      <c r="D7607" t="str">
        <f t="shared" si="622"/>
        <v>05525540729</v>
      </c>
      <c r="E7607" t="s">
        <v>52</v>
      </c>
      <c r="F7607">
        <v>2014</v>
      </c>
      <c r="G7607">
        <v>50</v>
      </c>
      <c r="H7607" s="1">
        <v>41677</v>
      </c>
      <c r="I7607" s="1">
        <v>41697</v>
      </c>
      <c r="J7607" s="1">
        <v>41697</v>
      </c>
      <c r="K7607" s="1">
        <v>41787</v>
      </c>
      <c r="N7607" s="5"/>
      <c r="O7607" s="2">
        <v>3660</v>
      </c>
      <c r="P7607">
        <v>343</v>
      </c>
      <c r="Q7607" s="2">
        <v>1255380</v>
      </c>
      <c r="R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 s="1">
        <v>42382</v>
      </c>
      <c r="AC7607" t="s">
        <v>53</v>
      </c>
      <c r="AD7607" t="s">
        <v>53</v>
      </c>
      <c r="AK7607">
        <v>0</v>
      </c>
      <c r="AU7607" s="6">
        <v>42130</v>
      </c>
      <c r="AV7607" s="6">
        <v>42130</v>
      </c>
      <c r="AW7607" t="s">
        <v>54</v>
      </c>
      <c r="AX7607" t="str">
        <f t="shared" si="616"/>
        <v>FOR</v>
      </c>
      <c r="AY7607" t="s">
        <v>55</v>
      </c>
    </row>
    <row r="7608" spans="1:51" hidden="1">
      <c r="A7608">
        <v>104364</v>
      </c>
      <c r="B7608" t="s">
        <v>1276</v>
      </c>
      <c r="C7608" t="str">
        <f t="shared" si="622"/>
        <v>05525540729</v>
      </c>
      <c r="D7608" t="str">
        <f t="shared" si="622"/>
        <v>05525540729</v>
      </c>
      <c r="E7608" t="s">
        <v>52</v>
      </c>
      <c r="F7608">
        <v>2014</v>
      </c>
      <c r="G7608">
        <v>72</v>
      </c>
      <c r="H7608" s="1">
        <v>41687</v>
      </c>
      <c r="I7608" s="1">
        <v>41711</v>
      </c>
      <c r="J7608" s="1">
        <v>41711</v>
      </c>
      <c r="K7608" s="1">
        <v>41801</v>
      </c>
      <c r="N7608" s="5"/>
      <c r="O7608" s="2">
        <v>4044.91</v>
      </c>
      <c r="P7608">
        <v>329</v>
      </c>
      <c r="Q7608" s="2">
        <v>1330775.3899999999</v>
      </c>
      <c r="R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 s="1">
        <v>42382</v>
      </c>
      <c r="AC7608" t="s">
        <v>53</v>
      </c>
      <c r="AD7608" t="s">
        <v>53</v>
      </c>
      <c r="AK7608">
        <v>0</v>
      </c>
      <c r="AU7608" s="6">
        <v>42130</v>
      </c>
      <c r="AV7608" s="6">
        <v>42130</v>
      </c>
      <c r="AW7608" t="s">
        <v>54</v>
      </c>
      <c r="AX7608" t="str">
        <f t="shared" si="616"/>
        <v>FOR</v>
      </c>
      <c r="AY7608" t="s">
        <v>55</v>
      </c>
    </row>
    <row r="7609" spans="1:51" hidden="1">
      <c r="A7609">
        <v>104364</v>
      </c>
      <c r="B7609" t="s">
        <v>1276</v>
      </c>
      <c r="C7609" t="str">
        <f t="shared" si="622"/>
        <v>05525540729</v>
      </c>
      <c r="D7609" t="str">
        <f t="shared" si="622"/>
        <v>05525540729</v>
      </c>
      <c r="E7609" t="s">
        <v>52</v>
      </c>
      <c r="F7609">
        <v>2014</v>
      </c>
      <c r="G7609">
        <v>185</v>
      </c>
      <c r="H7609" s="1">
        <v>41757</v>
      </c>
      <c r="I7609" s="1">
        <v>41773</v>
      </c>
      <c r="J7609" s="1">
        <v>41773</v>
      </c>
      <c r="K7609" s="1">
        <v>41863</v>
      </c>
      <c r="N7609" s="5"/>
      <c r="O7609" s="2">
        <v>4044.91</v>
      </c>
      <c r="P7609">
        <v>267</v>
      </c>
      <c r="Q7609" s="2">
        <v>1079990.97</v>
      </c>
      <c r="R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 s="1">
        <v>42382</v>
      </c>
      <c r="AC7609" t="s">
        <v>53</v>
      </c>
      <c r="AD7609" t="s">
        <v>53</v>
      </c>
      <c r="AK7609">
        <v>0</v>
      </c>
      <c r="AU7609" s="6">
        <v>42130</v>
      </c>
      <c r="AV7609" s="6">
        <v>42130</v>
      </c>
      <c r="AW7609" t="s">
        <v>54</v>
      </c>
      <c r="AX7609" t="str">
        <f t="shared" si="616"/>
        <v>FOR</v>
      </c>
      <c r="AY7609" t="s">
        <v>55</v>
      </c>
    </row>
    <row r="7610" spans="1:51" hidden="1">
      <c r="A7610">
        <v>104364</v>
      </c>
      <c r="B7610" t="s">
        <v>1276</v>
      </c>
      <c r="C7610" t="str">
        <f t="shared" si="622"/>
        <v>05525540729</v>
      </c>
      <c r="D7610" t="str">
        <f t="shared" si="622"/>
        <v>05525540729</v>
      </c>
      <c r="E7610" t="s">
        <v>52</v>
      </c>
      <c r="F7610">
        <v>2014</v>
      </c>
      <c r="G7610">
        <v>277</v>
      </c>
      <c r="H7610" s="1">
        <v>41808</v>
      </c>
      <c r="I7610" s="1">
        <v>41810</v>
      </c>
      <c r="J7610" s="1">
        <v>41810</v>
      </c>
      <c r="K7610" s="1">
        <v>41900</v>
      </c>
      <c r="N7610" s="5"/>
      <c r="O7610" s="2">
        <v>2745</v>
      </c>
      <c r="P7610">
        <v>259</v>
      </c>
      <c r="Q7610" s="2">
        <v>710955</v>
      </c>
      <c r="R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 s="1">
        <v>42382</v>
      </c>
      <c r="AC7610" t="s">
        <v>53</v>
      </c>
      <c r="AD7610" t="s">
        <v>53</v>
      </c>
      <c r="AK7610">
        <v>0</v>
      </c>
      <c r="AU7610" s="6">
        <v>42159</v>
      </c>
      <c r="AV7610" s="6">
        <v>42159</v>
      </c>
      <c r="AW7610" t="s">
        <v>54</v>
      </c>
      <c r="AX7610" t="str">
        <f t="shared" si="616"/>
        <v>FOR</v>
      </c>
      <c r="AY7610" t="s">
        <v>55</v>
      </c>
    </row>
    <row r="7611" spans="1:51" hidden="1">
      <c r="A7611">
        <v>104364</v>
      </c>
      <c r="B7611" t="s">
        <v>1276</v>
      </c>
      <c r="C7611" t="str">
        <f t="shared" si="622"/>
        <v>05525540729</v>
      </c>
      <c r="D7611" t="str">
        <f t="shared" si="622"/>
        <v>05525540729</v>
      </c>
      <c r="E7611" t="s">
        <v>52</v>
      </c>
      <c r="F7611">
        <v>2014</v>
      </c>
      <c r="G7611">
        <v>294</v>
      </c>
      <c r="H7611" s="1">
        <v>41813</v>
      </c>
      <c r="I7611" s="1">
        <v>41834</v>
      </c>
      <c r="J7611" s="1">
        <v>41834</v>
      </c>
      <c r="K7611" s="1">
        <v>41924</v>
      </c>
      <c r="N7611" s="5"/>
      <c r="O7611">
        <v>915</v>
      </c>
      <c r="P7611">
        <v>235</v>
      </c>
      <c r="Q7611" s="2">
        <v>215025</v>
      </c>
      <c r="R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 s="1">
        <v>42382</v>
      </c>
      <c r="AC7611" t="s">
        <v>53</v>
      </c>
      <c r="AD7611" t="s">
        <v>53</v>
      </c>
      <c r="AK7611">
        <v>0</v>
      </c>
      <c r="AU7611" s="6">
        <v>42159</v>
      </c>
      <c r="AV7611" s="6">
        <v>42159</v>
      </c>
      <c r="AW7611" t="s">
        <v>54</v>
      </c>
      <c r="AX7611" t="str">
        <f t="shared" si="616"/>
        <v>FOR</v>
      </c>
      <c r="AY7611" t="s">
        <v>55</v>
      </c>
    </row>
    <row r="7612" spans="1:51" hidden="1">
      <c r="A7612">
        <v>104364</v>
      </c>
      <c r="B7612" t="s">
        <v>1276</v>
      </c>
      <c r="C7612" t="str">
        <f t="shared" si="622"/>
        <v>05525540729</v>
      </c>
      <c r="D7612" t="str">
        <f t="shared" si="622"/>
        <v>05525540729</v>
      </c>
      <c r="E7612" t="s">
        <v>52</v>
      </c>
      <c r="F7612">
        <v>2014</v>
      </c>
      <c r="G7612">
        <v>350</v>
      </c>
      <c r="H7612" s="1">
        <v>41845</v>
      </c>
      <c r="I7612" s="1">
        <v>41872</v>
      </c>
      <c r="J7612" s="1">
        <v>41872</v>
      </c>
      <c r="K7612" s="1">
        <v>41962</v>
      </c>
      <c r="N7612" s="5"/>
      <c r="O7612" s="2">
        <v>7320</v>
      </c>
      <c r="P7612">
        <v>229</v>
      </c>
      <c r="Q7612" s="2">
        <v>1676280</v>
      </c>
      <c r="R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 s="1">
        <v>42382</v>
      </c>
      <c r="AC7612" t="s">
        <v>53</v>
      </c>
      <c r="AD7612" t="s">
        <v>53</v>
      </c>
      <c r="AK7612">
        <v>0</v>
      </c>
      <c r="AU7612" s="6">
        <v>42191</v>
      </c>
      <c r="AV7612" s="6">
        <v>42191</v>
      </c>
      <c r="AW7612" t="s">
        <v>54</v>
      </c>
      <c r="AX7612" t="str">
        <f t="shared" si="616"/>
        <v>FOR</v>
      </c>
      <c r="AY7612" t="s">
        <v>55</v>
      </c>
    </row>
    <row r="7613" spans="1:51" hidden="1">
      <c r="A7613">
        <v>104364</v>
      </c>
      <c r="B7613" t="s">
        <v>1276</v>
      </c>
      <c r="C7613" t="str">
        <f t="shared" si="622"/>
        <v>05525540729</v>
      </c>
      <c r="D7613" t="str">
        <f t="shared" si="622"/>
        <v>05525540729</v>
      </c>
      <c r="E7613" t="s">
        <v>52</v>
      </c>
      <c r="F7613">
        <v>2014</v>
      </c>
      <c r="G7613">
        <v>402</v>
      </c>
      <c r="H7613" s="1">
        <v>41893</v>
      </c>
      <c r="I7613" s="1">
        <v>41893</v>
      </c>
      <c r="J7613" s="1">
        <v>41893</v>
      </c>
      <c r="K7613" s="1">
        <v>41983</v>
      </c>
      <c r="N7613" s="5"/>
      <c r="O7613" s="2">
        <v>4044.91</v>
      </c>
      <c r="P7613">
        <v>266</v>
      </c>
      <c r="Q7613" s="2">
        <v>1075946.06</v>
      </c>
      <c r="R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 s="1">
        <v>42382</v>
      </c>
      <c r="AC7613" t="s">
        <v>53</v>
      </c>
      <c r="AD7613" t="s">
        <v>53</v>
      </c>
      <c r="AK7613">
        <v>0</v>
      </c>
      <c r="AU7613" s="6">
        <v>42249</v>
      </c>
      <c r="AV7613" s="6">
        <v>42249</v>
      </c>
      <c r="AW7613" t="s">
        <v>54</v>
      </c>
      <c r="AX7613" t="str">
        <f t="shared" si="616"/>
        <v>FOR</v>
      </c>
      <c r="AY7613" t="s">
        <v>55</v>
      </c>
    </row>
    <row r="7614" spans="1:51">
      <c r="A7614">
        <v>104364</v>
      </c>
      <c r="B7614" t="s">
        <v>1276</v>
      </c>
      <c r="C7614" t="str">
        <f t="shared" si="622"/>
        <v>05525540729</v>
      </c>
      <c r="D7614" t="str">
        <f t="shared" si="622"/>
        <v>05525540729</v>
      </c>
      <c r="E7614" t="s">
        <v>52</v>
      </c>
      <c r="F7614">
        <v>2014</v>
      </c>
      <c r="G7614">
        <v>528</v>
      </c>
      <c r="H7614" s="1">
        <v>41983</v>
      </c>
      <c r="I7614" s="1">
        <v>41988</v>
      </c>
      <c r="J7614" s="1">
        <v>41988</v>
      </c>
      <c r="K7614" s="1">
        <v>42048</v>
      </c>
      <c r="L7614" s="7">
        <v>1617.96</v>
      </c>
      <c r="M7614" s="5">
        <v>293</v>
      </c>
      <c r="N7614" s="7">
        <v>474062.28</v>
      </c>
      <c r="O7614" s="2">
        <v>1617.96</v>
      </c>
      <c r="P7614">
        <v>293</v>
      </c>
      <c r="Q7614" s="2">
        <v>474062.28</v>
      </c>
      <c r="R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 s="1">
        <v>42382</v>
      </c>
      <c r="AC7614" t="s">
        <v>53</v>
      </c>
      <c r="AD7614" t="s">
        <v>53</v>
      </c>
      <c r="AK7614">
        <v>0</v>
      </c>
      <c r="AU7614" s="6">
        <v>42341</v>
      </c>
      <c r="AV7614" s="6">
        <v>42341</v>
      </c>
      <c r="AW7614" t="s">
        <v>54</v>
      </c>
      <c r="AX7614" t="str">
        <f t="shared" si="616"/>
        <v>FOR</v>
      </c>
      <c r="AY7614" t="s">
        <v>55</v>
      </c>
    </row>
    <row r="7615" spans="1:51">
      <c r="A7615">
        <v>104364</v>
      </c>
      <c r="B7615" t="s">
        <v>1276</v>
      </c>
      <c r="C7615" t="str">
        <f t="shared" si="622"/>
        <v>05525540729</v>
      </c>
      <c r="D7615" t="str">
        <f t="shared" si="622"/>
        <v>05525540729</v>
      </c>
      <c r="E7615" t="s">
        <v>52</v>
      </c>
      <c r="F7615">
        <v>2014</v>
      </c>
      <c r="G7615">
        <v>541</v>
      </c>
      <c r="H7615" s="1">
        <v>41988</v>
      </c>
      <c r="I7615" s="1">
        <v>42004</v>
      </c>
      <c r="J7615" s="1">
        <v>42004</v>
      </c>
      <c r="K7615" s="1">
        <v>42064</v>
      </c>
      <c r="L7615" s="7">
        <v>1617.96</v>
      </c>
      <c r="M7615" s="5">
        <v>277</v>
      </c>
      <c r="N7615" s="7">
        <v>448174.92</v>
      </c>
      <c r="O7615" s="2">
        <v>1617.96</v>
      </c>
      <c r="P7615">
        <v>277</v>
      </c>
      <c r="Q7615" s="2">
        <v>448174.92</v>
      </c>
      <c r="R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 s="1">
        <v>42382</v>
      </c>
      <c r="AC7615" t="s">
        <v>53</v>
      </c>
      <c r="AD7615" t="s">
        <v>53</v>
      </c>
      <c r="AK7615">
        <v>0</v>
      </c>
      <c r="AU7615" s="6">
        <v>42341</v>
      </c>
      <c r="AV7615" s="6">
        <v>42341</v>
      </c>
      <c r="AW7615" t="s">
        <v>54</v>
      </c>
      <c r="AX7615" t="str">
        <f t="shared" si="616"/>
        <v>FOR</v>
      </c>
      <c r="AY7615" t="s">
        <v>55</v>
      </c>
    </row>
    <row r="7616" spans="1:51" hidden="1">
      <c r="A7616">
        <v>104365</v>
      </c>
      <c r="B7616" t="s">
        <v>1277</v>
      </c>
      <c r="C7616" t="str">
        <f>"12864800151"</f>
        <v>12864800151</v>
      </c>
      <c r="D7616" t="str">
        <f>"12864800151"</f>
        <v>12864800151</v>
      </c>
      <c r="E7616" t="s">
        <v>52</v>
      </c>
      <c r="F7616">
        <v>2015</v>
      </c>
      <c r="G7616">
        <v>3072702197</v>
      </c>
      <c r="H7616" s="1">
        <v>42026</v>
      </c>
      <c r="I7616" s="1">
        <v>42032</v>
      </c>
      <c r="J7616" s="1">
        <v>42032</v>
      </c>
      <c r="K7616" s="1">
        <v>42092</v>
      </c>
      <c r="N7616" s="5"/>
      <c r="O7616">
        <v>182.05</v>
      </c>
      <c r="P7616">
        <v>156</v>
      </c>
      <c r="Q7616" s="2">
        <v>28399.8</v>
      </c>
      <c r="R7616">
        <v>0</v>
      </c>
      <c r="V7616">
        <v>0</v>
      </c>
      <c r="W7616">
        <v>0</v>
      </c>
      <c r="X7616">
        <v>0</v>
      </c>
      <c r="Y7616">
        <v>222.1</v>
      </c>
      <c r="Z7616">
        <v>222.1</v>
      </c>
      <c r="AA7616">
        <v>222.1</v>
      </c>
      <c r="AB7616" s="1">
        <v>42382</v>
      </c>
      <c r="AC7616" t="s">
        <v>53</v>
      </c>
      <c r="AD7616" t="s">
        <v>53</v>
      </c>
      <c r="AK7616">
        <v>0</v>
      </c>
      <c r="AU7616" s="6">
        <v>42248</v>
      </c>
      <c r="AV7616" s="6">
        <v>42248</v>
      </c>
      <c r="AW7616" t="s">
        <v>54</v>
      </c>
      <c r="AX7616" t="str">
        <f t="shared" si="616"/>
        <v>FOR</v>
      </c>
      <c r="AY7616" t="s">
        <v>55</v>
      </c>
    </row>
    <row r="7617" spans="1:51" hidden="1">
      <c r="A7617">
        <v>104365</v>
      </c>
      <c r="B7617" t="s">
        <v>1277</v>
      </c>
      <c r="C7617" t="str">
        <f>"12864800151"</f>
        <v>12864800151</v>
      </c>
      <c r="D7617" t="str">
        <f>"12864800151"</f>
        <v>12864800151</v>
      </c>
      <c r="E7617" t="s">
        <v>52</v>
      </c>
      <c r="F7617">
        <v>2015</v>
      </c>
      <c r="G7617">
        <v>3072703502</v>
      </c>
      <c r="H7617" s="1">
        <v>42033</v>
      </c>
      <c r="I7617" s="1">
        <v>42038</v>
      </c>
      <c r="J7617" s="1">
        <v>42038</v>
      </c>
      <c r="K7617" s="1">
        <v>42098</v>
      </c>
      <c r="N7617" s="5"/>
      <c r="O7617">
        <v>83.03</v>
      </c>
      <c r="P7617">
        <v>150</v>
      </c>
      <c r="Q7617" s="2">
        <v>12454.5</v>
      </c>
      <c r="R7617">
        <v>0</v>
      </c>
      <c r="V7617">
        <v>0</v>
      </c>
      <c r="W7617">
        <v>0</v>
      </c>
      <c r="X7617">
        <v>0</v>
      </c>
      <c r="Y7617">
        <v>101.3</v>
      </c>
      <c r="Z7617">
        <v>101.3</v>
      </c>
      <c r="AA7617">
        <v>101.3</v>
      </c>
      <c r="AB7617" s="1">
        <v>42382</v>
      </c>
      <c r="AC7617" t="s">
        <v>53</v>
      </c>
      <c r="AD7617" t="s">
        <v>53</v>
      </c>
      <c r="AK7617">
        <v>0</v>
      </c>
      <c r="AU7617" s="6">
        <v>42248</v>
      </c>
      <c r="AV7617" s="6">
        <v>42248</v>
      </c>
      <c r="AW7617" t="s">
        <v>54</v>
      </c>
      <c r="AX7617" t="str">
        <f t="shared" si="616"/>
        <v>FOR</v>
      </c>
      <c r="AY7617" t="s">
        <v>55</v>
      </c>
    </row>
    <row r="7618" spans="1:51" hidden="1">
      <c r="A7618">
        <v>104368</v>
      </c>
      <c r="B7618" t="s">
        <v>1278</v>
      </c>
      <c r="C7618" t="str">
        <f t="shared" ref="C7618:D7631" si="623">"02705540165"</f>
        <v>02705540165</v>
      </c>
      <c r="D7618" t="str">
        <f t="shared" si="623"/>
        <v>02705540165</v>
      </c>
      <c r="E7618" t="s">
        <v>52</v>
      </c>
      <c r="F7618">
        <v>2013</v>
      </c>
      <c r="G7618">
        <v>7792</v>
      </c>
      <c r="H7618" s="1">
        <v>41522</v>
      </c>
      <c r="I7618" s="1">
        <v>41534</v>
      </c>
      <c r="J7618" s="1">
        <v>41534</v>
      </c>
      <c r="K7618" s="1">
        <v>41624</v>
      </c>
      <c r="N7618" s="5"/>
      <c r="O7618">
        <v>688.73</v>
      </c>
      <c r="P7618">
        <v>394</v>
      </c>
      <c r="Q7618" s="2">
        <v>271359.62</v>
      </c>
      <c r="R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 s="1">
        <v>42382</v>
      </c>
      <c r="AC7618" t="s">
        <v>53</v>
      </c>
      <c r="AD7618" t="s">
        <v>53</v>
      </c>
      <c r="AK7618">
        <v>0</v>
      </c>
      <c r="AU7618" s="6">
        <v>42018</v>
      </c>
      <c r="AV7618" s="6">
        <v>42018</v>
      </c>
      <c r="AW7618" t="s">
        <v>54</v>
      </c>
      <c r="AX7618" t="str">
        <f t="shared" si="616"/>
        <v>FOR</v>
      </c>
      <c r="AY7618" t="s">
        <v>55</v>
      </c>
    </row>
    <row r="7619" spans="1:51" hidden="1">
      <c r="A7619">
        <v>104368</v>
      </c>
      <c r="B7619" t="s">
        <v>1278</v>
      </c>
      <c r="C7619" t="str">
        <f t="shared" si="623"/>
        <v>02705540165</v>
      </c>
      <c r="D7619" t="str">
        <f t="shared" si="623"/>
        <v>02705540165</v>
      </c>
      <c r="E7619" t="s">
        <v>52</v>
      </c>
      <c r="F7619">
        <v>2013</v>
      </c>
      <c r="G7619">
        <v>8294</v>
      </c>
      <c r="H7619" s="1">
        <v>41537</v>
      </c>
      <c r="I7619" s="1">
        <v>41547</v>
      </c>
      <c r="J7619" s="1">
        <v>41547</v>
      </c>
      <c r="K7619" s="1">
        <v>41637</v>
      </c>
      <c r="N7619" s="5"/>
      <c r="O7619">
        <v>116.16</v>
      </c>
      <c r="P7619">
        <v>381</v>
      </c>
      <c r="Q7619" s="2">
        <v>44256.959999999999</v>
      </c>
      <c r="R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 s="1">
        <v>42382</v>
      </c>
      <c r="AC7619" t="s">
        <v>53</v>
      </c>
      <c r="AD7619" t="s">
        <v>53</v>
      </c>
      <c r="AK7619">
        <v>0</v>
      </c>
      <c r="AU7619" s="6">
        <v>42018</v>
      </c>
      <c r="AV7619" s="6">
        <v>42018</v>
      </c>
      <c r="AW7619" t="s">
        <v>54</v>
      </c>
      <c r="AX7619" t="str">
        <f t="shared" ref="AX7619:AX7682" si="624">"FOR"</f>
        <v>FOR</v>
      </c>
      <c r="AY7619" t="s">
        <v>55</v>
      </c>
    </row>
    <row r="7620" spans="1:51" hidden="1">
      <c r="A7620">
        <v>104368</v>
      </c>
      <c r="B7620" t="s">
        <v>1278</v>
      </c>
      <c r="C7620" t="str">
        <f t="shared" si="623"/>
        <v>02705540165</v>
      </c>
      <c r="D7620" t="str">
        <f t="shared" si="623"/>
        <v>02705540165</v>
      </c>
      <c r="E7620" t="s">
        <v>52</v>
      </c>
      <c r="F7620">
        <v>2013</v>
      </c>
      <c r="G7620">
        <v>8435</v>
      </c>
      <c r="H7620" s="1">
        <v>41543</v>
      </c>
      <c r="I7620" s="1">
        <v>41555</v>
      </c>
      <c r="J7620" s="1">
        <v>41555</v>
      </c>
      <c r="K7620" s="1">
        <v>41645</v>
      </c>
      <c r="N7620" s="5"/>
      <c r="O7620">
        <v>175.69</v>
      </c>
      <c r="P7620">
        <v>373</v>
      </c>
      <c r="Q7620" s="2">
        <v>65532.37</v>
      </c>
      <c r="R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 s="1">
        <v>42382</v>
      </c>
      <c r="AC7620" t="s">
        <v>53</v>
      </c>
      <c r="AD7620" t="s">
        <v>53</v>
      </c>
      <c r="AK7620">
        <v>0</v>
      </c>
      <c r="AU7620" s="6">
        <v>42018</v>
      </c>
      <c r="AV7620" s="6">
        <v>42018</v>
      </c>
      <c r="AW7620" t="s">
        <v>54</v>
      </c>
      <c r="AX7620" t="str">
        <f t="shared" si="624"/>
        <v>FOR</v>
      </c>
      <c r="AY7620" t="s">
        <v>55</v>
      </c>
    </row>
    <row r="7621" spans="1:51" hidden="1">
      <c r="A7621">
        <v>104368</v>
      </c>
      <c r="B7621" t="s">
        <v>1278</v>
      </c>
      <c r="C7621" t="str">
        <f t="shared" si="623"/>
        <v>02705540165</v>
      </c>
      <c r="D7621" t="str">
        <f t="shared" si="623"/>
        <v>02705540165</v>
      </c>
      <c r="E7621" t="s">
        <v>52</v>
      </c>
      <c r="F7621">
        <v>2013</v>
      </c>
      <c r="G7621">
        <v>10569</v>
      </c>
      <c r="H7621" s="1">
        <v>41614</v>
      </c>
      <c r="I7621" s="1">
        <v>41628</v>
      </c>
      <c r="J7621" s="1">
        <v>41628</v>
      </c>
      <c r="K7621" s="1">
        <v>41718</v>
      </c>
      <c r="N7621" s="5"/>
      <c r="O7621">
        <v>585.6</v>
      </c>
      <c r="P7621">
        <v>300</v>
      </c>
      <c r="Q7621" s="2">
        <v>175680</v>
      </c>
      <c r="R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 s="1">
        <v>42382</v>
      </c>
      <c r="AC7621" t="s">
        <v>53</v>
      </c>
      <c r="AD7621" t="s">
        <v>53</v>
      </c>
      <c r="AK7621">
        <v>0</v>
      </c>
      <c r="AU7621" s="6">
        <v>42018</v>
      </c>
      <c r="AV7621" s="6">
        <v>42018</v>
      </c>
      <c r="AW7621" t="s">
        <v>54</v>
      </c>
      <c r="AX7621" t="str">
        <f t="shared" si="624"/>
        <v>FOR</v>
      </c>
      <c r="AY7621" t="s">
        <v>55</v>
      </c>
    </row>
    <row r="7622" spans="1:51" hidden="1">
      <c r="A7622">
        <v>104368</v>
      </c>
      <c r="B7622" t="s">
        <v>1278</v>
      </c>
      <c r="C7622" t="str">
        <f t="shared" si="623"/>
        <v>02705540165</v>
      </c>
      <c r="D7622" t="str">
        <f t="shared" si="623"/>
        <v>02705540165</v>
      </c>
      <c r="E7622" t="s">
        <v>52</v>
      </c>
      <c r="F7622">
        <v>2014</v>
      </c>
      <c r="G7622">
        <v>2682</v>
      </c>
      <c r="H7622" s="1">
        <v>41718</v>
      </c>
      <c r="I7622" s="1">
        <v>41730</v>
      </c>
      <c r="J7622" s="1">
        <v>41730</v>
      </c>
      <c r="K7622" s="1">
        <v>41820</v>
      </c>
      <c r="N7622" s="5"/>
      <c r="O7622">
        <v>765.31</v>
      </c>
      <c r="P7622">
        <v>254</v>
      </c>
      <c r="Q7622" s="2">
        <v>194388.74</v>
      </c>
      <c r="R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 s="1">
        <v>42382</v>
      </c>
      <c r="AC7622" t="s">
        <v>53</v>
      </c>
      <c r="AD7622" t="s">
        <v>53</v>
      </c>
      <c r="AK7622">
        <v>0</v>
      </c>
      <c r="AU7622" s="6">
        <v>42074</v>
      </c>
      <c r="AV7622" s="6">
        <v>42074</v>
      </c>
      <c r="AW7622" t="s">
        <v>54</v>
      </c>
      <c r="AX7622" t="str">
        <f t="shared" si="624"/>
        <v>FOR</v>
      </c>
      <c r="AY7622" t="s">
        <v>55</v>
      </c>
    </row>
    <row r="7623" spans="1:51" hidden="1">
      <c r="A7623">
        <v>104368</v>
      </c>
      <c r="B7623" t="s">
        <v>1278</v>
      </c>
      <c r="C7623" t="str">
        <f t="shared" si="623"/>
        <v>02705540165</v>
      </c>
      <c r="D7623" t="str">
        <f t="shared" si="623"/>
        <v>02705540165</v>
      </c>
      <c r="E7623" t="s">
        <v>52</v>
      </c>
      <c r="F7623">
        <v>2014</v>
      </c>
      <c r="G7623">
        <v>2736</v>
      </c>
      <c r="H7623" s="1">
        <v>41719</v>
      </c>
      <c r="I7623" s="1">
        <v>41730</v>
      </c>
      <c r="J7623" s="1">
        <v>41730</v>
      </c>
      <c r="K7623" s="1">
        <v>41820</v>
      </c>
      <c r="N7623" s="5"/>
      <c r="O7623">
        <v>15.01</v>
      </c>
      <c r="P7623">
        <v>254</v>
      </c>
      <c r="Q7623" s="2">
        <v>3812.54</v>
      </c>
      <c r="R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 s="1">
        <v>42382</v>
      </c>
      <c r="AC7623" t="s">
        <v>53</v>
      </c>
      <c r="AD7623" t="s">
        <v>53</v>
      </c>
      <c r="AK7623">
        <v>0</v>
      </c>
      <c r="AU7623" s="6">
        <v>42074</v>
      </c>
      <c r="AV7623" s="6">
        <v>42074</v>
      </c>
      <c r="AW7623" t="s">
        <v>54</v>
      </c>
      <c r="AX7623" t="str">
        <f t="shared" si="624"/>
        <v>FOR</v>
      </c>
      <c r="AY7623" t="s">
        <v>55</v>
      </c>
    </row>
    <row r="7624" spans="1:51" hidden="1">
      <c r="A7624">
        <v>104368</v>
      </c>
      <c r="B7624" t="s">
        <v>1278</v>
      </c>
      <c r="C7624" t="str">
        <f t="shared" si="623"/>
        <v>02705540165</v>
      </c>
      <c r="D7624" t="str">
        <f t="shared" si="623"/>
        <v>02705540165</v>
      </c>
      <c r="E7624" t="s">
        <v>52</v>
      </c>
      <c r="F7624">
        <v>2014</v>
      </c>
      <c r="G7624">
        <v>4970</v>
      </c>
      <c r="H7624" s="1">
        <v>41782</v>
      </c>
      <c r="I7624" s="1">
        <v>41789</v>
      </c>
      <c r="J7624" s="1">
        <v>41789</v>
      </c>
      <c r="K7624" s="1">
        <v>41879</v>
      </c>
      <c r="N7624" s="5"/>
      <c r="O7624">
        <v>780.32</v>
      </c>
      <c r="P7624">
        <v>245</v>
      </c>
      <c r="Q7624" s="2">
        <v>191178.4</v>
      </c>
      <c r="R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 s="1">
        <v>42382</v>
      </c>
      <c r="AC7624" t="s">
        <v>53</v>
      </c>
      <c r="AD7624" t="s">
        <v>53</v>
      </c>
      <c r="AK7624">
        <v>0</v>
      </c>
      <c r="AU7624" s="6">
        <v>42124</v>
      </c>
      <c r="AV7624" s="6">
        <v>42124</v>
      </c>
      <c r="AW7624" t="s">
        <v>54</v>
      </c>
      <c r="AX7624" t="str">
        <f t="shared" si="624"/>
        <v>FOR</v>
      </c>
      <c r="AY7624" t="s">
        <v>55</v>
      </c>
    </row>
    <row r="7625" spans="1:51" hidden="1">
      <c r="A7625">
        <v>104368</v>
      </c>
      <c r="B7625" t="s">
        <v>1278</v>
      </c>
      <c r="C7625" t="str">
        <f t="shared" si="623"/>
        <v>02705540165</v>
      </c>
      <c r="D7625" t="str">
        <f t="shared" si="623"/>
        <v>02705540165</v>
      </c>
      <c r="E7625" t="s">
        <v>52</v>
      </c>
      <c r="F7625">
        <v>2014</v>
      </c>
      <c r="G7625">
        <v>6611</v>
      </c>
      <c r="H7625" s="1">
        <v>41830</v>
      </c>
      <c r="I7625" s="1">
        <v>41837</v>
      </c>
      <c r="J7625" s="1">
        <v>41837</v>
      </c>
      <c r="K7625" s="1">
        <v>41927</v>
      </c>
      <c r="N7625" s="5"/>
      <c r="O7625" s="2">
        <v>1125.45</v>
      </c>
      <c r="P7625">
        <v>264</v>
      </c>
      <c r="Q7625" s="2">
        <v>297118.8</v>
      </c>
      <c r="R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 s="1">
        <v>42382</v>
      </c>
      <c r="AC7625" t="s">
        <v>53</v>
      </c>
      <c r="AD7625" t="s">
        <v>53</v>
      </c>
      <c r="AK7625">
        <v>0</v>
      </c>
      <c r="AU7625" s="6">
        <v>42191</v>
      </c>
      <c r="AV7625" s="6">
        <v>42191</v>
      </c>
      <c r="AW7625" t="s">
        <v>54</v>
      </c>
      <c r="AX7625" t="str">
        <f t="shared" si="624"/>
        <v>FOR</v>
      </c>
      <c r="AY7625" t="s">
        <v>55</v>
      </c>
    </row>
    <row r="7626" spans="1:51" hidden="1">
      <c r="A7626">
        <v>104368</v>
      </c>
      <c r="B7626" t="s">
        <v>1278</v>
      </c>
      <c r="C7626" t="str">
        <f t="shared" si="623"/>
        <v>02705540165</v>
      </c>
      <c r="D7626" t="str">
        <f t="shared" si="623"/>
        <v>02705540165</v>
      </c>
      <c r="E7626" t="s">
        <v>52</v>
      </c>
      <c r="F7626">
        <v>2014</v>
      </c>
      <c r="G7626">
        <v>9989</v>
      </c>
      <c r="H7626" s="1">
        <v>41946</v>
      </c>
      <c r="I7626" s="1">
        <v>41956</v>
      </c>
      <c r="J7626" s="1">
        <v>41956</v>
      </c>
      <c r="K7626" s="1">
        <v>42016</v>
      </c>
      <c r="N7626" s="5"/>
      <c r="O7626">
        <v>756.82</v>
      </c>
      <c r="P7626">
        <v>259</v>
      </c>
      <c r="Q7626" s="2">
        <v>196016.38</v>
      </c>
      <c r="R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 s="1">
        <v>42382</v>
      </c>
      <c r="AC7626" t="s">
        <v>53</v>
      </c>
      <c r="AD7626" t="s">
        <v>53</v>
      </c>
      <c r="AK7626">
        <v>0</v>
      </c>
      <c r="AU7626" s="6">
        <v>42275</v>
      </c>
      <c r="AV7626" s="6">
        <v>42275</v>
      </c>
      <c r="AW7626" t="s">
        <v>54</v>
      </c>
      <c r="AX7626" t="str">
        <f t="shared" si="624"/>
        <v>FOR</v>
      </c>
      <c r="AY7626" t="s">
        <v>55</v>
      </c>
    </row>
    <row r="7627" spans="1:51" hidden="1">
      <c r="A7627">
        <v>104368</v>
      </c>
      <c r="B7627" t="s">
        <v>1278</v>
      </c>
      <c r="C7627" t="str">
        <f t="shared" si="623"/>
        <v>02705540165</v>
      </c>
      <c r="D7627" t="str">
        <f t="shared" si="623"/>
        <v>02705540165</v>
      </c>
      <c r="E7627" t="s">
        <v>52</v>
      </c>
      <c r="F7627">
        <v>2014</v>
      </c>
      <c r="G7627">
        <v>10491</v>
      </c>
      <c r="H7627" s="1">
        <v>41961</v>
      </c>
      <c r="I7627" s="1">
        <v>41971</v>
      </c>
      <c r="J7627" s="1">
        <v>41971</v>
      </c>
      <c r="K7627" s="1">
        <v>42031</v>
      </c>
      <c r="N7627" s="5"/>
      <c r="O7627">
        <v>750.3</v>
      </c>
      <c r="P7627">
        <v>244</v>
      </c>
      <c r="Q7627" s="2">
        <v>183073.2</v>
      </c>
      <c r="R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 s="1">
        <v>42382</v>
      </c>
      <c r="AC7627" t="s">
        <v>53</v>
      </c>
      <c r="AD7627" t="s">
        <v>53</v>
      </c>
      <c r="AK7627">
        <v>0</v>
      </c>
      <c r="AU7627" s="6">
        <v>42275</v>
      </c>
      <c r="AV7627" s="6">
        <v>42275</v>
      </c>
      <c r="AW7627" t="s">
        <v>54</v>
      </c>
      <c r="AX7627" t="str">
        <f t="shared" si="624"/>
        <v>FOR</v>
      </c>
      <c r="AY7627" t="s">
        <v>55</v>
      </c>
    </row>
    <row r="7628" spans="1:51" hidden="1">
      <c r="A7628">
        <v>104368</v>
      </c>
      <c r="B7628" t="s">
        <v>1278</v>
      </c>
      <c r="C7628" t="str">
        <f t="shared" si="623"/>
        <v>02705540165</v>
      </c>
      <c r="D7628" t="str">
        <f t="shared" si="623"/>
        <v>02705540165</v>
      </c>
      <c r="E7628" t="s">
        <v>52</v>
      </c>
      <c r="F7628">
        <v>2014</v>
      </c>
      <c r="G7628">
        <v>10492</v>
      </c>
      <c r="H7628" s="1">
        <v>41961</v>
      </c>
      <c r="I7628" s="1">
        <v>41971</v>
      </c>
      <c r="J7628" s="1">
        <v>41971</v>
      </c>
      <c r="K7628" s="1">
        <v>42031</v>
      </c>
      <c r="N7628" s="5"/>
      <c r="O7628">
        <v>97.6</v>
      </c>
      <c r="P7628">
        <v>244</v>
      </c>
      <c r="Q7628" s="2">
        <v>23814.400000000001</v>
      </c>
      <c r="R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 s="1">
        <v>42382</v>
      </c>
      <c r="AC7628" t="s">
        <v>53</v>
      </c>
      <c r="AD7628" t="s">
        <v>53</v>
      </c>
      <c r="AK7628">
        <v>0</v>
      </c>
      <c r="AU7628" s="6">
        <v>42275</v>
      </c>
      <c r="AV7628" s="6">
        <v>42275</v>
      </c>
      <c r="AW7628" t="s">
        <v>54</v>
      </c>
      <c r="AX7628" t="str">
        <f t="shared" si="624"/>
        <v>FOR</v>
      </c>
      <c r="AY7628" t="s">
        <v>55</v>
      </c>
    </row>
    <row r="7629" spans="1:51">
      <c r="A7629">
        <v>104368</v>
      </c>
      <c r="B7629" t="s">
        <v>1278</v>
      </c>
      <c r="C7629" t="str">
        <f t="shared" si="623"/>
        <v>02705540165</v>
      </c>
      <c r="D7629" t="str">
        <f t="shared" si="623"/>
        <v>02705540165</v>
      </c>
      <c r="E7629" t="s">
        <v>52</v>
      </c>
      <c r="F7629">
        <v>2014</v>
      </c>
      <c r="G7629">
        <v>10853</v>
      </c>
      <c r="H7629" s="1">
        <v>41971</v>
      </c>
      <c r="I7629" s="1">
        <v>41978</v>
      </c>
      <c r="J7629" s="1">
        <v>41978</v>
      </c>
      <c r="K7629" s="1">
        <v>42038</v>
      </c>
      <c r="L7629" s="7">
        <v>375.15</v>
      </c>
      <c r="M7629" s="5">
        <v>302</v>
      </c>
      <c r="N7629" s="7">
        <v>113295.3</v>
      </c>
      <c r="O7629">
        <v>375.15</v>
      </c>
      <c r="P7629">
        <v>302</v>
      </c>
      <c r="Q7629" s="2">
        <v>113295.3</v>
      </c>
      <c r="R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 s="1">
        <v>42382</v>
      </c>
      <c r="AC7629" t="s">
        <v>53</v>
      </c>
      <c r="AD7629" t="s">
        <v>53</v>
      </c>
      <c r="AK7629">
        <v>0</v>
      </c>
      <c r="AU7629" s="6">
        <v>42340</v>
      </c>
      <c r="AV7629" s="6">
        <v>42340</v>
      </c>
      <c r="AW7629" t="s">
        <v>54</v>
      </c>
      <c r="AX7629" t="str">
        <f t="shared" si="624"/>
        <v>FOR</v>
      </c>
      <c r="AY7629" t="s">
        <v>55</v>
      </c>
    </row>
    <row r="7630" spans="1:51">
      <c r="A7630">
        <v>104368</v>
      </c>
      <c r="B7630" t="s">
        <v>1278</v>
      </c>
      <c r="C7630" t="str">
        <f t="shared" si="623"/>
        <v>02705540165</v>
      </c>
      <c r="D7630" t="str">
        <f t="shared" si="623"/>
        <v>02705540165</v>
      </c>
      <c r="E7630" t="s">
        <v>52</v>
      </c>
      <c r="F7630">
        <v>2014</v>
      </c>
      <c r="G7630">
        <v>10854</v>
      </c>
      <c r="H7630" s="1">
        <v>41971</v>
      </c>
      <c r="I7630" s="1">
        <v>41978</v>
      </c>
      <c r="J7630" s="1">
        <v>41978</v>
      </c>
      <c r="K7630" s="1">
        <v>42038</v>
      </c>
      <c r="L7630" s="7">
        <v>97.6</v>
      </c>
      <c r="M7630" s="5">
        <v>317</v>
      </c>
      <c r="N7630" s="7">
        <v>30939.200000000001</v>
      </c>
      <c r="O7630">
        <v>97.6</v>
      </c>
      <c r="P7630">
        <v>317</v>
      </c>
      <c r="Q7630" s="2">
        <v>30939.200000000001</v>
      </c>
      <c r="R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 s="1">
        <v>42382</v>
      </c>
      <c r="AC7630" t="s">
        <v>53</v>
      </c>
      <c r="AD7630" t="s">
        <v>53</v>
      </c>
      <c r="AK7630">
        <v>0</v>
      </c>
      <c r="AU7630" s="6">
        <v>42355</v>
      </c>
      <c r="AV7630" s="6">
        <v>42355</v>
      </c>
      <c r="AW7630" t="s">
        <v>54</v>
      </c>
      <c r="AX7630" t="str">
        <f t="shared" si="624"/>
        <v>FOR</v>
      </c>
      <c r="AY7630" t="s">
        <v>55</v>
      </c>
    </row>
    <row r="7631" spans="1:51">
      <c r="A7631">
        <v>104368</v>
      </c>
      <c r="B7631" t="s">
        <v>1278</v>
      </c>
      <c r="C7631" t="str">
        <f t="shared" si="623"/>
        <v>02705540165</v>
      </c>
      <c r="D7631" t="str">
        <f t="shared" si="623"/>
        <v>02705540165</v>
      </c>
      <c r="E7631" t="s">
        <v>52</v>
      </c>
      <c r="F7631">
        <v>2015</v>
      </c>
      <c r="G7631">
        <v>1530</v>
      </c>
      <c r="H7631" s="1">
        <v>42058</v>
      </c>
      <c r="I7631" s="1">
        <v>42068</v>
      </c>
      <c r="J7631" s="1">
        <v>42068</v>
      </c>
      <c r="K7631" s="1">
        <v>42128</v>
      </c>
      <c r="L7631" s="7">
        <v>96</v>
      </c>
      <c r="M7631" s="5">
        <v>212</v>
      </c>
      <c r="N7631" s="7">
        <v>20352</v>
      </c>
      <c r="O7631">
        <v>96</v>
      </c>
      <c r="P7631">
        <v>212</v>
      </c>
      <c r="Q7631" s="2">
        <v>20352</v>
      </c>
      <c r="R7631">
        <v>21.12</v>
      </c>
      <c r="V7631">
        <v>0</v>
      </c>
      <c r="W7631">
        <v>0</v>
      </c>
      <c r="X7631">
        <v>0</v>
      </c>
      <c r="Y7631">
        <v>117.12</v>
      </c>
      <c r="Z7631">
        <v>117.12</v>
      </c>
      <c r="AA7631">
        <v>117.12</v>
      </c>
      <c r="AB7631" s="1">
        <v>42382</v>
      </c>
      <c r="AC7631" t="s">
        <v>53</v>
      </c>
      <c r="AD7631" t="s">
        <v>53</v>
      </c>
      <c r="AK7631">
        <v>21.12</v>
      </c>
      <c r="AU7631" s="6">
        <v>42340</v>
      </c>
      <c r="AV7631" s="6">
        <v>42340</v>
      </c>
      <c r="AW7631" t="s">
        <v>54</v>
      </c>
      <c r="AX7631" t="str">
        <f t="shared" si="624"/>
        <v>FOR</v>
      </c>
      <c r="AY7631" t="s">
        <v>55</v>
      </c>
    </row>
    <row r="7632" spans="1:51" hidden="1">
      <c r="A7632">
        <v>104372</v>
      </c>
      <c r="B7632" t="s">
        <v>1279</v>
      </c>
      <c r="C7632" t="str">
        <f>"03237200963"</f>
        <v>03237200963</v>
      </c>
      <c r="D7632" t="str">
        <f>"01275170080"</f>
        <v>01275170080</v>
      </c>
      <c r="E7632" t="s">
        <v>52</v>
      </c>
      <c r="F7632">
        <v>2014</v>
      </c>
      <c r="G7632">
        <v>8981443</v>
      </c>
      <c r="H7632" s="1">
        <v>41940</v>
      </c>
      <c r="I7632" s="1">
        <v>41948</v>
      </c>
      <c r="J7632" s="1">
        <v>41948</v>
      </c>
      <c r="K7632" s="1">
        <v>42008</v>
      </c>
      <c r="N7632" s="5"/>
      <c r="O7632" s="2">
        <v>24314.07</v>
      </c>
      <c r="P7632">
        <v>87</v>
      </c>
      <c r="Q7632" s="2">
        <v>2115324.09</v>
      </c>
      <c r="R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 s="1">
        <v>42382</v>
      </c>
      <c r="AC7632" t="s">
        <v>53</v>
      </c>
      <c r="AD7632" t="s">
        <v>53</v>
      </c>
      <c r="AK7632">
        <v>0</v>
      </c>
      <c r="AU7632" s="6">
        <v>42095</v>
      </c>
      <c r="AV7632" s="6">
        <v>42095</v>
      </c>
      <c r="AW7632" t="s">
        <v>54</v>
      </c>
      <c r="AX7632" t="str">
        <f t="shared" si="624"/>
        <v>FOR</v>
      </c>
      <c r="AY7632" t="s">
        <v>55</v>
      </c>
    </row>
    <row r="7633" spans="1:51" hidden="1">
      <c r="A7633">
        <v>104372</v>
      </c>
      <c r="B7633" t="s">
        <v>1279</v>
      </c>
      <c r="C7633" t="str">
        <f>"03237200963"</f>
        <v>03237200963</v>
      </c>
      <c r="D7633" t="str">
        <f>"01275170080"</f>
        <v>01275170080</v>
      </c>
      <c r="E7633" t="s">
        <v>52</v>
      </c>
      <c r="F7633">
        <v>2015</v>
      </c>
      <c r="G7633">
        <v>9279624</v>
      </c>
      <c r="H7633" s="1">
        <v>42026</v>
      </c>
      <c r="I7633" s="1">
        <v>42031</v>
      </c>
      <c r="J7633" s="1">
        <v>42031</v>
      </c>
      <c r="K7633" s="1">
        <v>42091</v>
      </c>
      <c r="N7633" s="5"/>
      <c r="O7633" s="2">
        <v>8841.48</v>
      </c>
      <c r="P7633">
        <v>184</v>
      </c>
      <c r="Q7633" s="2">
        <v>1626832.32</v>
      </c>
      <c r="R7633">
        <v>0</v>
      </c>
      <c r="V7633">
        <v>0</v>
      </c>
      <c r="W7633">
        <v>0</v>
      </c>
      <c r="X7633">
        <v>0</v>
      </c>
      <c r="Y7633" s="2">
        <v>9725.6299999999992</v>
      </c>
      <c r="Z7633" s="2">
        <v>9725.6299999999992</v>
      </c>
      <c r="AA7633" s="2">
        <v>9725.6299999999992</v>
      </c>
      <c r="AB7633" s="1">
        <v>42382</v>
      </c>
      <c r="AC7633" t="s">
        <v>53</v>
      </c>
      <c r="AD7633" t="s">
        <v>53</v>
      </c>
      <c r="AK7633">
        <v>0</v>
      </c>
      <c r="AU7633" s="6">
        <v>42275</v>
      </c>
      <c r="AV7633" s="6">
        <v>42275</v>
      </c>
      <c r="AW7633" t="s">
        <v>54</v>
      </c>
      <c r="AX7633" t="str">
        <f t="shared" si="624"/>
        <v>FOR</v>
      </c>
      <c r="AY7633" t="s">
        <v>55</v>
      </c>
    </row>
    <row r="7634" spans="1:51" hidden="1">
      <c r="A7634">
        <v>104378</v>
      </c>
      <c r="B7634" t="s">
        <v>1280</v>
      </c>
      <c r="C7634" t="str">
        <f t="shared" ref="C7634:D7636" si="625">"00440180545"</f>
        <v>00440180545</v>
      </c>
      <c r="D7634" t="str">
        <f t="shared" si="625"/>
        <v>00440180545</v>
      </c>
      <c r="E7634" t="s">
        <v>52</v>
      </c>
      <c r="F7634">
        <v>2014</v>
      </c>
      <c r="G7634">
        <v>814</v>
      </c>
      <c r="H7634" s="1">
        <v>41712</v>
      </c>
      <c r="I7634" s="1">
        <v>41879</v>
      </c>
      <c r="J7634" s="1">
        <v>41879</v>
      </c>
      <c r="K7634" s="1">
        <v>41969</v>
      </c>
      <c r="N7634" s="5"/>
      <c r="O7634">
        <v>292.8</v>
      </c>
      <c r="P7634">
        <v>133</v>
      </c>
      <c r="Q7634" s="2">
        <v>38942.400000000001</v>
      </c>
      <c r="R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 s="1">
        <v>42382</v>
      </c>
      <c r="AC7634" t="s">
        <v>53</v>
      </c>
      <c r="AD7634" t="s">
        <v>53</v>
      </c>
      <c r="AK7634">
        <v>0</v>
      </c>
      <c r="AU7634" s="6">
        <v>42102</v>
      </c>
      <c r="AV7634" s="6">
        <v>42102</v>
      </c>
      <c r="AW7634" t="s">
        <v>54</v>
      </c>
      <c r="AX7634" t="str">
        <f t="shared" si="624"/>
        <v>FOR</v>
      </c>
      <c r="AY7634" t="s">
        <v>55</v>
      </c>
    </row>
    <row r="7635" spans="1:51" hidden="1">
      <c r="A7635">
        <v>104378</v>
      </c>
      <c r="B7635" t="s">
        <v>1280</v>
      </c>
      <c r="C7635" t="str">
        <f t="shared" si="625"/>
        <v>00440180545</v>
      </c>
      <c r="D7635" t="str">
        <f t="shared" si="625"/>
        <v>00440180545</v>
      </c>
      <c r="E7635" t="s">
        <v>52</v>
      </c>
      <c r="F7635">
        <v>2014</v>
      </c>
      <c r="G7635">
        <v>2866</v>
      </c>
      <c r="H7635" s="1">
        <v>41851</v>
      </c>
      <c r="I7635" s="1">
        <v>41877</v>
      </c>
      <c r="J7635" s="1">
        <v>41877</v>
      </c>
      <c r="K7635" s="1">
        <v>41967</v>
      </c>
      <c r="N7635" s="5"/>
      <c r="O7635">
        <v>292.8</v>
      </c>
      <c r="P7635">
        <v>135</v>
      </c>
      <c r="Q7635" s="2">
        <v>39528</v>
      </c>
      <c r="R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 s="1">
        <v>42382</v>
      </c>
      <c r="AC7635" t="s">
        <v>53</v>
      </c>
      <c r="AD7635" t="s">
        <v>53</v>
      </c>
      <c r="AK7635">
        <v>0</v>
      </c>
      <c r="AU7635" s="6">
        <v>42102</v>
      </c>
      <c r="AV7635" s="6">
        <v>42102</v>
      </c>
      <c r="AW7635" t="s">
        <v>54</v>
      </c>
      <c r="AX7635" t="str">
        <f t="shared" si="624"/>
        <v>FOR</v>
      </c>
      <c r="AY7635" t="s">
        <v>55</v>
      </c>
    </row>
    <row r="7636" spans="1:51" hidden="1">
      <c r="A7636">
        <v>104378</v>
      </c>
      <c r="B7636" t="s">
        <v>1280</v>
      </c>
      <c r="C7636" t="str">
        <f t="shared" si="625"/>
        <v>00440180545</v>
      </c>
      <c r="D7636" t="str">
        <f t="shared" si="625"/>
        <v>00440180545</v>
      </c>
      <c r="E7636" t="s">
        <v>52</v>
      </c>
      <c r="F7636">
        <v>2014</v>
      </c>
      <c r="G7636">
        <v>4337</v>
      </c>
      <c r="H7636" s="1">
        <v>41962</v>
      </c>
      <c r="I7636" s="1">
        <v>41976</v>
      </c>
      <c r="J7636" s="1">
        <v>41976</v>
      </c>
      <c r="K7636" s="1">
        <v>42036</v>
      </c>
      <c r="N7636" s="5"/>
      <c r="O7636">
        <v>292.8</v>
      </c>
      <c r="P7636">
        <v>66</v>
      </c>
      <c r="Q7636" s="2">
        <v>19324.8</v>
      </c>
      <c r="R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 s="1">
        <v>42382</v>
      </c>
      <c r="AC7636" t="s">
        <v>53</v>
      </c>
      <c r="AD7636" t="s">
        <v>53</v>
      </c>
      <c r="AK7636">
        <v>0</v>
      </c>
      <c r="AU7636" s="6">
        <v>42102</v>
      </c>
      <c r="AV7636" s="6">
        <v>42102</v>
      </c>
      <c r="AW7636" t="s">
        <v>54</v>
      </c>
      <c r="AX7636" t="str">
        <f t="shared" si="624"/>
        <v>FOR</v>
      </c>
      <c r="AY7636" t="s">
        <v>55</v>
      </c>
    </row>
    <row r="7637" spans="1:51" hidden="1">
      <c r="A7637">
        <v>104379</v>
      </c>
      <c r="B7637" t="s">
        <v>1281</v>
      </c>
      <c r="C7637" t="str">
        <f t="shared" ref="C7637:C7668" si="626">"01836081008"</f>
        <v>01836081008</v>
      </c>
      <c r="D7637" t="str">
        <f t="shared" ref="D7637:D7668" si="627">"07668030583"</f>
        <v>07668030583</v>
      </c>
      <c r="E7637" t="s">
        <v>52</v>
      </c>
      <c r="F7637">
        <v>2014</v>
      </c>
      <c r="G7637">
        <v>76044</v>
      </c>
      <c r="H7637" s="1">
        <v>41851</v>
      </c>
      <c r="I7637" s="1">
        <v>41876</v>
      </c>
      <c r="J7637" s="1">
        <v>41876</v>
      </c>
      <c r="K7637" s="1">
        <v>41966</v>
      </c>
      <c r="N7637" s="5"/>
      <c r="O7637">
        <v>520</v>
      </c>
      <c r="P7637">
        <v>103</v>
      </c>
      <c r="Q7637" s="2">
        <v>53560</v>
      </c>
      <c r="R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 s="1">
        <v>42382</v>
      </c>
      <c r="AC7637" t="s">
        <v>53</v>
      </c>
      <c r="AD7637" t="s">
        <v>53</v>
      </c>
      <c r="AK7637">
        <v>0</v>
      </c>
      <c r="AU7637" s="6">
        <v>42069</v>
      </c>
      <c r="AV7637" s="6">
        <v>42069</v>
      </c>
      <c r="AW7637" t="s">
        <v>54</v>
      </c>
      <c r="AX7637" t="str">
        <f t="shared" si="624"/>
        <v>FOR</v>
      </c>
      <c r="AY7637" t="s">
        <v>55</v>
      </c>
    </row>
    <row r="7638" spans="1:51" hidden="1">
      <c r="A7638">
        <v>104379</v>
      </c>
      <c r="B7638" t="s">
        <v>1281</v>
      </c>
      <c r="C7638" t="str">
        <f t="shared" si="626"/>
        <v>01836081008</v>
      </c>
      <c r="D7638" t="str">
        <f t="shared" si="627"/>
        <v>07668030583</v>
      </c>
      <c r="E7638" t="s">
        <v>52</v>
      </c>
      <c r="F7638">
        <v>2014</v>
      </c>
      <c r="G7638">
        <v>76045</v>
      </c>
      <c r="H7638" s="1">
        <v>41851</v>
      </c>
      <c r="I7638" s="1">
        <v>41876</v>
      </c>
      <c r="J7638" s="1">
        <v>41876</v>
      </c>
      <c r="K7638" s="1">
        <v>41966</v>
      </c>
      <c r="N7638" s="5"/>
      <c r="O7638">
        <v>144.56</v>
      </c>
      <c r="P7638">
        <v>103</v>
      </c>
      <c r="Q7638" s="2">
        <v>14889.68</v>
      </c>
      <c r="R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 s="1">
        <v>42382</v>
      </c>
      <c r="AC7638" t="s">
        <v>53</v>
      </c>
      <c r="AD7638" t="s">
        <v>53</v>
      </c>
      <c r="AK7638">
        <v>0</v>
      </c>
      <c r="AU7638" s="6">
        <v>42069</v>
      </c>
      <c r="AV7638" s="6">
        <v>42069</v>
      </c>
      <c r="AW7638" t="s">
        <v>54</v>
      </c>
      <c r="AX7638" t="str">
        <f t="shared" si="624"/>
        <v>FOR</v>
      </c>
      <c r="AY7638" t="s">
        <v>55</v>
      </c>
    </row>
    <row r="7639" spans="1:51" hidden="1">
      <c r="A7639">
        <v>104379</v>
      </c>
      <c r="B7639" t="s">
        <v>1281</v>
      </c>
      <c r="C7639" t="str">
        <f t="shared" si="626"/>
        <v>01836081008</v>
      </c>
      <c r="D7639" t="str">
        <f t="shared" si="627"/>
        <v>07668030583</v>
      </c>
      <c r="E7639" t="s">
        <v>52</v>
      </c>
      <c r="F7639">
        <v>2014</v>
      </c>
      <c r="G7639">
        <v>76046</v>
      </c>
      <c r="H7639" s="1">
        <v>41851</v>
      </c>
      <c r="I7639" s="1">
        <v>41876</v>
      </c>
      <c r="J7639" s="1">
        <v>41876</v>
      </c>
      <c r="K7639" s="1">
        <v>41966</v>
      </c>
      <c r="N7639" s="5"/>
      <c r="O7639">
        <v>572</v>
      </c>
      <c r="P7639">
        <v>103</v>
      </c>
      <c r="Q7639" s="2">
        <v>58916</v>
      </c>
      <c r="R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 s="1">
        <v>42382</v>
      </c>
      <c r="AC7639" t="s">
        <v>53</v>
      </c>
      <c r="AD7639" t="s">
        <v>53</v>
      </c>
      <c r="AK7639">
        <v>0</v>
      </c>
      <c r="AU7639" s="6">
        <v>42069</v>
      </c>
      <c r="AV7639" s="6">
        <v>42069</v>
      </c>
      <c r="AW7639" t="s">
        <v>54</v>
      </c>
      <c r="AX7639" t="str">
        <f t="shared" si="624"/>
        <v>FOR</v>
      </c>
      <c r="AY7639" t="s">
        <v>55</v>
      </c>
    </row>
    <row r="7640" spans="1:51" hidden="1">
      <c r="A7640">
        <v>104379</v>
      </c>
      <c r="B7640" t="s">
        <v>1281</v>
      </c>
      <c r="C7640" t="str">
        <f t="shared" si="626"/>
        <v>01836081008</v>
      </c>
      <c r="D7640" t="str">
        <f t="shared" si="627"/>
        <v>07668030583</v>
      </c>
      <c r="E7640" t="s">
        <v>52</v>
      </c>
      <c r="F7640">
        <v>2014</v>
      </c>
      <c r="G7640">
        <v>76047</v>
      </c>
      <c r="H7640" s="1">
        <v>41851</v>
      </c>
      <c r="I7640" s="1">
        <v>41876</v>
      </c>
      <c r="J7640" s="1">
        <v>41876</v>
      </c>
      <c r="K7640" s="1">
        <v>41966</v>
      </c>
      <c r="N7640" s="5"/>
      <c r="O7640">
        <v>144.56</v>
      </c>
      <c r="P7640">
        <v>103</v>
      </c>
      <c r="Q7640" s="2">
        <v>14889.68</v>
      </c>
      <c r="R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 s="1">
        <v>42382</v>
      </c>
      <c r="AC7640" t="s">
        <v>53</v>
      </c>
      <c r="AD7640" t="s">
        <v>53</v>
      </c>
      <c r="AK7640">
        <v>0</v>
      </c>
      <c r="AU7640" s="6">
        <v>42069</v>
      </c>
      <c r="AV7640" s="6">
        <v>42069</v>
      </c>
      <c r="AW7640" t="s">
        <v>54</v>
      </c>
      <c r="AX7640" t="str">
        <f t="shared" si="624"/>
        <v>FOR</v>
      </c>
      <c r="AY7640" t="s">
        <v>55</v>
      </c>
    </row>
    <row r="7641" spans="1:51" hidden="1">
      <c r="A7641">
        <v>104379</v>
      </c>
      <c r="B7641" t="s">
        <v>1281</v>
      </c>
      <c r="C7641" t="str">
        <f t="shared" si="626"/>
        <v>01836081008</v>
      </c>
      <c r="D7641" t="str">
        <f t="shared" si="627"/>
        <v>07668030583</v>
      </c>
      <c r="E7641" t="s">
        <v>52</v>
      </c>
      <c r="F7641">
        <v>2014</v>
      </c>
      <c r="G7641">
        <v>76048</v>
      </c>
      <c r="H7641" s="1">
        <v>41851</v>
      </c>
      <c r="I7641" s="1">
        <v>41876</v>
      </c>
      <c r="J7641" s="1">
        <v>41876</v>
      </c>
      <c r="K7641" s="1">
        <v>41966</v>
      </c>
      <c r="N7641" s="5"/>
      <c r="O7641">
        <v>144.56</v>
      </c>
      <c r="P7641">
        <v>103</v>
      </c>
      <c r="Q7641" s="2">
        <v>14889.68</v>
      </c>
      <c r="R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 s="1">
        <v>42382</v>
      </c>
      <c r="AC7641" t="s">
        <v>53</v>
      </c>
      <c r="AD7641" t="s">
        <v>53</v>
      </c>
      <c r="AK7641">
        <v>0</v>
      </c>
      <c r="AU7641" s="6">
        <v>42069</v>
      </c>
      <c r="AV7641" s="6">
        <v>42069</v>
      </c>
      <c r="AW7641" t="s">
        <v>54</v>
      </c>
      <c r="AX7641" t="str">
        <f t="shared" si="624"/>
        <v>FOR</v>
      </c>
      <c r="AY7641" t="s">
        <v>55</v>
      </c>
    </row>
    <row r="7642" spans="1:51" hidden="1">
      <c r="A7642">
        <v>104379</v>
      </c>
      <c r="B7642" t="s">
        <v>1281</v>
      </c>
      <c r="C7642" t="str">
        <f t="shared" si="626"/>
        <v>01836081008</v>
      </c>
      <c r="D7642" t="str">
        <f t="shared" si="627"/>
        <v>07668030583</v>
      </c>
      <c r="E7642" t="s">
        <v>52</v>
      </c>
      <c r="F7642">
        <v>2014</v>
      </c>
      <c r="G7642">
        <v>76375</v>
      </c>
      <c r="H7642" s="1">
        <v>41880</v>
      </c>
      <c r="I7642" s="1">
        <v>41897</v>
      </c>
      <c r="J7642" s="1">
        <v>41897</v>
      </c>
      <c r="K7642" s="1">
        <v>41987</v>
      </c>
      <c r="N7642" s="5"/>
      <c r="O7642">
        <v>520</v>
      </c>
      <c r="P7642">
        <v>82</v>
      </c>
      <c r="Q7642" s="2">
        <v>42640</v>
      </c>
      <c r="R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 s="1">
        <v>42382</v>
      </c>
      <c r="AC7642" t="s">
        <v>53</v>
      </c>
      <c r="AD7642" t="s">
        <v>53</v>
      </c>
      <c r="AK7642">
        <v>0</v>
      </c>
      <c r="AU7642" s="6">
        <v>42069</v>
      </c>
      <c r="AV7642" s="6">
        <v>42069</v>
      </c>
      <c r="AW7642" t="s">
        <v>54</v>
      </c>
      <c r="AX7642" t="str">
        <f t="shared" si="624"/>
        <v>FOR</v>
      </c>
      <c r="AY7642" t="s">
        <v>55</v>
      </c>
    </row>
    <row r="7643" spans="1:51" hidden="1">
      <c r="A7643">
        <v>104379</v>
      </c>
      <c r="B7643" t="s">
        <v>1281</v>
      </c>
      <c r="C7643" t="str">
        <f t="shared" si="626"/>
        <v>01836081008</v>
      </c>
      <c r="D7643" t="str">
        <f t="shared" si="627"/>
        <v>07668030583</v>
      </c>
      <c r="E7643" t="s">
        <v>52</v>
      </c>
      <c r="F7643">
        <v>2014</v>
      </c>
      <c r="G7643">
        <v>76376</v>
      </c>
      <c r="H7643" s="1">
        <v>41880</v>
      </c>
      <c r="I7643" s="1">
        <v>41897</v>
      </c>
      <c r="J7643" s="1">
        <v>41897</v>
      </c>
      <c r="K7643" s="1">
        <v>41987</v>
      </c>
      <c r="N7643" s="5"/>
      <c r="O7643">
        <v>572</v>
      </c>
      <c r="P7643">
        <v>82</v>
      </c>
      <c r="Q7643" s="2">
        <v>46904</v>
      </c>
      <c r="R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 s="1">
        <v>42382</v>
      </c>
      <c r="AC7643" t="s">
        <v>53</v>
      </c>
      <c r="AD7643" t="s">
        <v>53</v>
      </c>
      <c r="AK7643">
        <v>0</v>
      </c>
      <c r="AU7643" s="6">
        <v>42069</v>
      </c>
      <c r="AV7643" s="6">
        <v>42069</v>
      </c>
      <c r="AW7643" t="s">
        <v>54</v>
      </c>
      <c r="AX7643" t="str">
        <f t="shared" si="624"/>
        <v>FOR</v>
      </c>
      <c r="AY7643" t="s">
        <v>55</v>
      </c>
    </row>
    <row r="7644" spans="1:51" hidden="1">
      <c r="A7644">
        <v>104379</v>
      </c>
      <c r="B7644" t="s">
        <v>1281</v>
      </c>
      <c r="C7644" t="str">
        <f t="shared" si="626"/>
        <v>01836081008</v>
      </c>
      <c r="D7644" t="str">
        <f t="shared" si="627"/>
        <v>07668030583</v>
      </c>
      <c r="E7644" t="s">
        <v>52</v>
      </c>
      <c r="F7644">
        <v>2014</v>
      </c>
      <c r="G7644">
        <v>76377</v>
      </c>
      <c r="H7644" s="1">
        <v>41880</v>
      </c>
      <c r="I7644" s="1">
        <v>41897</v>
      </c>
      <c r="J7644" s="1">
        <v>41897</v>
      </c>
      <c r="K7644" s="1">
        <v>41987</v>
      </c>
      <c r="N7644" s="5"/>
      <c r="O7644">
        <v>572</v>
      </c>
      <c r="P7644">
        <v>82</v>
      </c>
      <c r="Q7644" s="2">
        <v>46904</v>
      </c>
      <c r="R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 s="1">
        <v>42382</v>
      </c>
      <c r="AC7644" t="s">
        <v>53</v>
      </c>
      <c r="AD7644" t="s">
        <v>53</v>
      </c>
      <c r="AK7644">
        <v>0</v>
      </c>
      <c r="AU7644" s="6">
        <v>42069</v>
      </c>
      <c r="AV7644" s="6">
        <v>42069</v>
      </c>
      <c r="AW7644" t="s">
        <v>54</v>
      </c>
      <c r="AX7644" t="str">
        <f t="shared" si="624"/>
        <v>FOR</v>
      </c>
      <c r="AY7644" t="s">
        <v>55</v>
      </c>
    </row>
    <row r="7645" spans="1:51" hidden="1">
      <c r="A7645">
        <v>104379</v>
      </c>
      <c r="B7645" t="s">
        <v>1281</v>
      </c>
      <c r="C7645" t="str">
        <f t="shared" si="626"/>
        <v>01836081008</v>
      </c>
      <c r="D7645" t="str">
        <f t="shared" si="627"/>
        <v>07668030583</v>
      </c>
      <c r="E7645" t="s">
        <v>52</v>
      </c>
      <c r="F7645">
        <v>2014</v>
      </c>
      <c r="G7645">
        <v>76378</v>
      </c>
      <c r="H7645" s="1">
        <v>41880</v>
      </c>
      <c r="I7645" s="1">
        <v>41897</v>
      </c>
      <c r="J7645" s="1">
        <v>41897</v>
      </c>
      <c r="K7645" s="1">
        <v>41987</v>
      </c>
      <c r="N7645" s="5"/>
      <c r="O7645">
        <v>572</v>
      </c>
      <c r="P7645">
        <v>82</v>
      </c>
      <c r="Q7645" s="2">
        <v>46904</v>
      </c>
      <c r="R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 s="1">
        <v>42382</v>
      </c>
      <c r="AC7645" t="s">
        <v>53</v>
      </c>
      <c r="AD7645" t="s">
        <v>53</v>
      </c>
      <c r="AK7645">
        <v>0</v>
      </c>
      <c r="AU7645" s="6">
        <v>42069</v>
      </c>
      <c r="AV7645" s="6">
        <v>42069</v>
      </c>
      <c r="AW7645" t="s">
        <v>54</v>
      </c>
      <c r="AX7645" t="str">
        <f t="shared" si="624"/>
        <v>FOR</v>
      </c>
      <c r="AY7645" t="s">
        <v>55</v>
      </c>
    </row>
    <row r="7646" spans="1:51" hidden="1">
      <c r="A7646">
        <v>104379</v>
      </c>
      <c r="B7646" t="s">
        <v>1281</v>
      </c>
      <c r="C7646" t="str">
        <f t="shared" si="626"/>
        <v>01836081008</v>
      </c>
      <c r="D7646" t="str">
        <f t="shared" si="627"/>
        <v>07668030583</v>
      </c>
      <c r="E7646" t="s">
        <v>52</v>
      </c>
      <c r="F7646">
        <v>2014</v>
      </c>
      <c r="G7646">
        <v>76708</v>
      </c>
      <c r="H7646" s="1">
        <v>41912</v>
      </c>
      <c r="I7646" s="1">
        <v>41929</v>
      </c>
      <c r="J7646" s="1">
        <v>41929</v>
      </c>
      <c r="K7646" s="1">
        <v>41989</v>
      </c>
      <c r="N7646" s="5"/>
      <c r="O7646">
        <v>144.56</v>
      </c>
      <c r="P7646">
        <v>80</v>
      </c>
      <c r="Q7646" s="2">
        <v>11564.8</v>
      </c>
      <c r="R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 s="1">
        <v>42382</v>
      </c>
      <c r="AC7646" t="s">
        <v>53</v>
      </c>
      <c r="AD7646" t="s">
        <v>53</v>
      </c>
      <c r="AK7646">
        <v>0</v>
      </c>
      <c r="AU7646" s="6">
        <v>42069</v>
      </c>
      <c r="AV7646" s="6">
        <v>42069</v>
      </c>
      <c r="AW7646" t="s">
        <v>54</v>
      </c>
      <c r="AX7646" t="str">
        <f t="shared" si="624"/>
        <v>FOR</v>
      </c>
      <c r="AY7646" t="s">
        <v>55</v>
      </c>
    </row>
    <row r="7647" spans="1:51" hidden="1">
      <c r="A7647">
        <v>104379</v>
      </c>
      <c r="B7647" t="s">
        <v>1281</v>
      </c>
      <c r="C7647" t="str">
        <f t="shared" si="626"/>
        <v>01836081008</v>
      </c>
      <c r="D7647" t="str">
        <f t="shared" si="627"/>
        <v>07668030583</v>
      </c>
      <c r="E7647" t="s">
        <v>52</v>
      </c>
      <c r="F7647">
        <v>2014</v>
      </c>
      <c r="G7647">
        <v>76832</v>
      </c>
      <c r="H7647" s="1">
        <v>41912</v>
      </c>
      <c r="I7647" s="1">
        <v>41929</v>
      </c>
      <c r="J7647" s="1">
        <v>41929</v>
      </c>
      <c r="K7647" s="1">
        <v>41989</v>
      </c>
      <c r="N7647" s="5"/>
      <c r="O7647">
        <v>144.56</v>
      </c>
      <c r="P7647">
        <v>80</v>
      </c>
      <c r="Q7647" s="2">
        <v>11564.8</v>
      </c>
      <c r="R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 s="1">
        <v>42382</v>
      </c>
      <c r="AC7647" t="s">
        <v>53</v>
      </c>
      <c r="AD7647" t="s">
        <v>53</v>
      </c>
      <c r="AK7647">
        <v>0</v>
      </c>
      <c r="AU7647" s="6">
        <v>42069</v>
      </c>
      <c r="AV7647" s="6">
        <v>42069</v>
      </c>
      <c r="AW7647" t="s">
        <v>54</v>
      </c>
      <c r="AX7647" t="str">
        <f t="shared" si="624"/>
        <v>FOR</v>
      </c>
      <c r="AY7647" t="s">
        <v>55</v>
      </c>
    </row>
    <row r="7648" spans="1:51" hidden="1">
      <c r="A7648">
        <v>104379</v>
      </c>
      <c r="B7648" t="s">
        <v>1281</v>
      </c>
      <c r="C7648" t="str">
        <f t="shared" si="626"/>
        <v>01836081008</v>
      </c>
      <c r="D7648" t="str">
        <f t="shared" si="627"/>
        <v>07668030583</v>
      </c>
      <c r="E7648" t="s">
        <v>52</v>
      </c>
      <c r="F7648">
        <v>2014</v>
      </c>
      <c r="G7648">
        <v>77099</v>
      </c>
      <c r="H7648" s="1">
        <v>41943</v>
      </c>
      <c r="I7648" s="1">
        <v>41964</v>
      </c>
      <c r="J7648" s="1">
        <v>41964</v>
      </c>
      <c r="K7648" s="1">
        <v>42024</v>
      </c>
      <c r="N7648" s="5"/>
      <c r="O7648">
        <v>572</v>
      </c>
      <c r="P7648">
        <v>45</v>
      </c>
      <c r="Q7648" s="2">
        <v>25740</v>
      </c>
      <c r="R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 s="1">
        <v>42382</v>
      </c>
      <c r="AC7648" t="s">
        <v>53</v>
      </c>
      <c r="AD7648" t="s">
        <v>53</v>
      </c>
      <c r="AK7648">
        <v>0</v>
      </c>
      <c r="AU7648" s="6">
        <v>42069</v>
      </c>
      <c r="AV7648" s="6">
        <v>42069</v>
      </c>
      <c r="AW7648" t="s">
        <v>54</v>
      </c>
      <c r="AX7648" t="str">
        <f t="shared" si="624"/>
        <v>FOR</v>
      </c>
      <c r="AY7648" t="s">
        <v>55</v>
      </c>
    </row>
    <row r="7649" spans="1:51" hidden="1">
      <c r="A7649">
        <v>104379</v>
      </c>
      <c r="B7649" t="s">
        <v>1281</v>
      </c>
      <c r="C7649" t="str">
        <f t="shared" si="626"/>
        <v>01836081008</v>
      </c>
      <c r="D7649" t="str">
        <f t="shared" si="627"/>
        <v>07668030583</v>
      </c>
      <c r="E7649" t="s">
        <v>52</v>
      </c>
      <c r="F7649">
        <v>2014</v>
      </c>
      <c r="G7649">
        <v>77100</v>
      </c>
      <c r="H7649" s="1">
        <v>41943</v>
      </c>
      <c r="I7649" s="1">
        <v>41964</v>
      </c>
      <c r="J7649" s="1">
        <v>41964</v>
      </c>
      <c r="K7649" s="1">
        <v>42024</v>
      </c>
      <c r="N7649" s="5"/>
      <c r="O7649">
        <v>572</v>
      </c>
      <c r="P7649">
        <v>45</v>
      </c>
      <c r="Q7649" s="2">
        <v>25740</v>
      </c>
      <c r="R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 s="1">
        <v>42382</v>
      </c>
      <c r="AC7649" t="s">
        <v>53</v>
      </c>
      <c r="AD7649" t="s">
        <v>53</v>
      </c>
      <c r="AK7649">
        <v>0</v>
      </c>
      <c r="AU7649" s="6">
        <v>42069</v>
      </c>
      <c r="AV7649" s="6">
        <v>42069</v>
      </c>
      <c r="AW7649" t="s">
        <v>54</v>
      </c>
      <c r="AX7649" t="str">
        <f t="shared" si="624"/>
        <v>FOR</v>
      </c>
      <c r="AY7649" t="s">
        <v>55</v>
      </c>
    </row>
    <row r="7650" spans="1:51" hidden="1">
      <c r="A7650">
        <v>104379</v>
      </c>
      <c r="B7650" t="s">
        <v>1281</v>
      </c>
      <c r="C7650" t="str">
        <f t="shared" si="626"/>
        <v>01836081008</v>
      </c>
      <c r="D7650" t="str">
        <f t="shared" si="627"/>
        <v>07668030583</v>
      </c>
      <c r="E7650" t="s">
        <v>52</v>
      </c>
      <c r="F7650">
        <v>2014</v>
      </c>
      <c r="G7650">
        <v>77101</v>
      </c>
      <c r="H7650" s="1">
        <v>41943</v>
      </c>
      <c r="I7650" s="1">
        <v>41964</v>
      </c>
      <c r="J7650" s="1">
        <v>41964</v>
      </c>
      <c r="K7650" s="1">
        <v>42024</v>
      </c>
      <c r="N7650" s="5"/>
      <c r="O7650">
        <v>144.56</v>
      </c>
      <c r="P7650">
        <v>45</v>
      </c>
      <c r="Q7650" s="2">
        <v>6505.2</v>
      </c>
      <c r="R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 s="1">
        <v>42382</v>
      </c>
      <c r="AC7650" t="s">
        <v>53</v>
      </c>
      <c r="AD7650" t="s">
        <v>53</v>
      </c>
      <c r="AK7650">
        <v>0</v>
      </c>
      <c r="AU7650" s="6">
        <v>42069</v>
      </c>
      <c r="AV7650" s="6">
        <v>42069</v>
      </c>
      <c r="AW7650" t="s">
        <v>54</v>
      </c>
      <c r="AX7650" t="str">
        <f t="shared" si="624"/>
        <v>FOR</v>
      </c>
      <c r="AY7650" t="s">
        <v>55</v>
      </c>
    </row>
    <row r="7651" spans="1:51" hidden="1">
      <c r="A7651">
        <v>104379</v>
      </c>
      <c r="B7651" t="s">
        <v>1281</v>
      </c>
      <c r="C7651" t="str">
        <f t="shared" si="626"/>
        <v>01836081008</v>
      </c>
      <c r="D7651" t="str">
        <f t="shared" si="627"/>
        <v>07668030583</v>
      </c>
      <c r="E7651" t="s">
        <v>52</v>
      </c>
      <c r="F7651">
        <v>2014</v>
      </c>
      <c r="G7651">
        <v>77102</v>
      </c>
      <c r="H7651" s="1">
        <v>41943</v>
      </c>
      <c r="I7651" s="1">
        <v>41964</v>
      </c>
      <c r="J7651" s="1">
        <v>41964</v>
      </c>
      <c r="K7651" s="1">
        <v>42024</v>
      </c>
      <c r="N7651" s="5"/>
      <c r="O7651">
        <v>144.56</v>
      </c>
      <c r="P7651">
        <v>45</v>
      </c>
      <c r="Q7651" s="2">
        <v>6505.2</v>
      </c>
      <c r="R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 s="1">
        <v>42382</v>
      </c>
      <c r="AC7651" t="s">
        <v>53</v>
      </c>
      <c r="AD7651" t="s">
        <v>53</v>
      </c>
      <c r="AK7651">
        <v>0</v>
      </c>
      <c r="AU7651" s="6">
        <v>42069</v>
      </c>
      <c r="AV7651" s="6">
        <v>42069</v>
      </c>
      <c r="AW7651" t="s">
        <v>54</v>
      </c>
      <c r="AX7651" t="str">
        <f t="shared" si="624"/>
        <v>FOR</v>
      </c>
      <c r="AY7651" t="s">
        <v>55</v>
      </c>
    </row>
    <row r="7652" spans="1:51" hidden="1">
      <c r="A7652">
        <v>104379</v>
      </c>
      <c r="B7652" t="s">
        <v>1281</v>
      </c>
      <c r="C7652" t="str">
        <f t="shared" si="626"/>
        <v>01836081008</v>
      </c>
      <c r="D7652" t="str">
        <f t="shared" si="627"/>
        <v>07668030583</v>
      </c>
      <c r="E7652" t="s">
        <v>52</v>
      </c>
      <c r="F7652">
        <v>2014</v>
      </c>
      <c r="G7652">
        <v>77240</v>
      </c>
      <c r="H7652" s="1">
        <v>41943</v>
      </c>
      <c r="I7652" s="1">
        <v>41964</v>
      </c>
      <c r="J7652" s="1">
        <v>41964</v>
      </c>
      <c r="K7652" s="1">
        <v>42024</v>
      </c>
      <c r="N7652" s="5"/>
      <c r="O7652">
        <v>572</v>
      </c>
      <c r="P7652">
        <v>45</v>
      </c>
      <c r="Q7652" s="2">
        <v>25740</v>
      </c>
      <c r="R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 s="1">
        <v>42382</v>
      </c>
      <c r="AC7652" t="s">
        <v>53</v>
      </c>
      <c r="AD7652" t="s">
        <v>53</v>
      </c>
      <c r="AK7652">
        <v>0</v>
      </c>
      <c r="AU7652" s="6">
        <v>42069</v>
      </c>
      <c r="AV7652" s="6">
        <v>42069</v>
      </c>
      <c r="AW7652" t="s">
        <v>54</v>
      </c>
      <c r="AX7652" t="str">
        <f t="shared" si="624"/>
        <v>FOR</v>
      </c>
      <c r="AY7652" t="s">
        <v>55</v>
      </c>
    </row>
    <row r="7653" spans="1:51" hidden="1">
      <c r="A7653">
        <v>104379</v>
      </c>
      <c r="B7653" t="s">
        <v>1281</v>
      </c>
      <c r="C7653" t="str">
        <f t="shared" si="626"/>
        <v>01836081008</v>
      </c>
      <c r="D7653" t="str">
        <f t="shared" si="627"/>
        <v>07668030583</v>
      </c>
      <c r="E7653" t="s">
        <v>52</v>
      </c>
      <c r="F7653">
        <v>2014</v>
      </c>
      <c r="G7653">
        <v>77572</v>
      </c>
      <c r="H7653" s="1">
        <v>41971</v>
      </c>
      <c r="I7653" s="1">
        <v>41990</v>
      </c>
      <c r="J7653" s="1">
        <v>41990</v>
      </c>
      <c r="K7653" s="1">
        <v>42050</v>
      </c>
      <c r="N7653" s="5"/>
      <c r="O7653">
        <v>144.56</v>
      </c>
      <c r="P7653">
        <v>19</v>
      </c>
      <c r="Q7653" s="2">
        <v>2746.64</v>
      </c>
      <c r="R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 s="1">
        <v>42382</v>
      </c>
      <c r="AC7653" t="s">
        <v>53</v>
      </c>
      <c r="AD7653" t="s">
        <v>53</v>
      </c>
      <c r="AK7653">
        <v>0</v>
      </c>
      <c r="AU7653" s="6">
        <v>42069</v>
      </c>
      <c r="AV7653" s="6">
        <v>42069</v>
      </c>
      <c r="AW7653" t="s">
        <v>54</v>
      </c>
      <c r="AX7653" t="str">
        <f t="shared" si="624"/>
        <v>FOR</v>
      </c>
      <c r="AY7653" t="s">
        <v>55</v>
      </c>
    </row>
    <row r="7654" spans="1:51" hidden="1">
      <c r="A7654">
        <v>104379</v>
      </c>
      <c r="B7654" t="s">
        <v>1281</v>
      </c>
      <c r="C7654" t="str">
        <f t="shared" si="626"/>
        <v>01836081008</v>
      </c>
      <c r="D7654" t="str">
        <f t="shared" si="627"/>
        <v>07668030583</v>
      </c>
      <c r="E7654" t="s">
        <v>52</v>
      </c>
      <c r="F7654">
        <v>2014</v>
      </c>
      <c r="G7654">
        <v>77830</v>
      </c>
      <c r="H7654" s="1">
        <v>42004</v>
      </c>
      <c r="I7654" s="1">
        <v>42026</v>
      </c>
      <c r="J7654" s="1">
        <v>42026</v>
      </c>
      <c r="K7654" s="1">
        <v>42086</v>
      </c>
      <c r="N7654" s="5"/>
      <c r="O7654">
        <v>144.56</v>
      </c>
      <c r="P7654">
        <v>-17</v>
      </c>
      <c r="Q7654" s="2">
        <v>-2457.52</v>
      </c>
      <c r="R7654">
        <v>0</v>
      </c>
      <c r="V7654">
        <v>0</v>
      </c>
      <c r="W7654">
        <v>0</v>
      </c>
      <c r="X7654">
        <v>0</v>
      </c>
      <c r="Y7654">
        <v>0</v>
      </c>
      <c r="Z7654">
        <v>144.56</v>
      </c>
      <c r="AA7654">
        <v>0</v>
      </c>
      <c r="AB7654" s="1">
        <v>42382</v>
      </c>
      <c r="AC7654" t="s">
        <v>53</v>
      </c>
      <c r="AD7654" t="s">
        <v>53</v>
      </c>
      <c r="AK7654">
        <v>0</v>
      </c>
      <c r="AU7654" s="6">
        <v>42069</v>
      </c>
      <c r="AV7654" s="6">
        <v>42069</v>
      </c>
      <c r="AW7654" t="s">
        <v>54</v>
      </c>
      <c r="AX7654" t="str">
        <f t="shared" si="624"/>
        <v>FOR</v>
      </c>
      <c r="AY7654" t="s">
        <v>55</v>
      </c>
    </row>
    <row r="7655" spans="1:51" hidden="1">
      <c r="A7655">
        <v>104379</v>
      </c>
      <c r="B7655" t="s">
        <v>1281</v>
      </c>
      <c r="C7655" t="str">
        <f t="shared" si="626"/>
        <v>01836081008</v>
      </c>
      <c r="D7655" t="str">
        <f t="shared" si="627"/>
        <v>07668030583</v>
      </c>
      <c r="E7655" t="s">
        <v>52</v>
      </c>
      <c r="F7655">
        <v>2014</v>
      </c>
      <c r="G7655">
        <v>77831</v>
      </c>
      <c r="H7655" s="1">
        <v>42004</v>
      </c>
      <c r="I7655" s="1">
        <v>42026</v>
      </c>
      <c r="J7655" s="1">
        <v>42026</v>
      </c>
      <c r="K7655" s="1">
        <v>42086</v>
      </c>
      <c r="N7655" s="5"/>
      <c r="O7655">
        <v>144.56</v>
      </c>
      <c r="P7655">
        <v>-17</v>
      </c>
      <c r="Q7655" s="2">
        <v>-2457.52</v>
      </c>
      <c r="R7655">
        <v>0</v>
      </c>
      <c r="V7655">
        <v>0</v>
      </c>
      <c r="W7655">
        <v>0</v>
      </c>
      <c r="X7655">
        <v>0</v>
      </c>
      <c r="Y7655">
        <v>0</v>
      </c>
      <c r="Z7655">
        <v>144.56</v>
      </c>
      <c r="AA7655">
        <v>0</v>
      </c>
      <c r="AB7655" s="1">
        <v>42382</v>
      </c>
      <c r="AC7655" t="s">
        <v>53</v>
      </c>
      <c r="AD7655" t="s">
        <v>53</v>
      </c>
      <c r="AK7655">
        <v>0</v>
      </c>
      <c r="AU7655" s="6">
        <v>42069</v>
      </c>
      <c r="AV7655" s="6">
        <v>42069</v>
      </c>
      <c r="AW7655" t="s">
        <v>54</v>
      </c>
      <c r="AX7655" t="str">
        <f t="shared" si="624"/>
        <v>FOR</v>
      </c>
      <c r="AY7655" t="s">
        <v>55</v>
      </c>
    </row>
    <row r="7656" spans="1:51" hidden="1">
      <c r="A7656">
        <v>104379</v>
      </c>
      <c r="B7656" t="s">
        <v>1281</v>
      </c>
      <c r="C7656" t="str">
        <f t="shared" si="626"/>
        <v>01836081008</v>
      </c>
      <c r="D7656" t="str">
        <f t="shared" si="627"/>
        <v>07668030583</v>
      </c>
      <c r="E7656" t="s">
        <v>52</v>
      </c>
      <c r="F7656">
        <v>2014</v>
      </c>
      <c r="G7656">
        <v>77832</v>
      </c>
      <c r="H7656" s="1">
        <v>42004</v>
      </c>
      <c r="I7656" s="1">
        <v>42026</v>
      </c>
      <c r="J7656" s="1">
        <v>42026</v>
      </c>
      <c r="K7656" s="1">
        <v>42086</v>
      </c>
      <c r="N7656" s="5"/>
      <c r="O7656">
        <v>144.56</v>
      </c>
      <c r="P7656">
        <v>-17</v>
      </c>
      <c r="Q7656" s="2">
        <v>-2457.52</v>
      </c>
      <c r="R7656">
        <v>0</v>
      </c>
      <c r="V7656">
        <v>0</v>
      </c>
      <c r="W7656">
        <v>0</v>
      </c>
      <c r="X7656">
        <v>0</v>
      </c>
      <c r="Y7656">
        <v>0</v>
      </c>
      <c r="Z7656">
        <v>144.56</v>
      </c>
      <c r="AA7656">
        <v>0</v>
      </c>
      <c r="AB7656" s="1">
        <v>42382</v>
      </c>
      <c r="AC7656" t="s">
        <v>53</v>
      </c>
      <c r="AD7656" t="s">
        <v>53</v>
      </c>
      <c r="AK7656">
        <v>0</v>
      </c>
      <c r="AU7656" s="6">
        <v>42069</v>
      </c>
      <c r="AV7656" s="6">
        <v>42069</v>
      </c>
      <c r="AW7656" t="s">
        <v>54</v>
      </c>
      <c r="AX7656" t="str">
        <f t="shared" si="624"/>
        <v>FOR</v>
      </c>
      <c r="AY7656" t="s">
        <v>55</v>
      </c>
    </row>
    <row r="7657" spans="1:51" hidden="1">
      <c r="A7657">
        <v>104379</v>
      </c>
      <c r="B7657" t="s">
        <v>1281</v>
      </c>
      <c r="C7657" t="str">
        <f t="shared" si="626"/>
        <v>01836081008</v>
      </c>
      <c r="D7657" t="str">
        <f t="shared" si="627"/>
        <v>07668030583</v>
      </c>
      <c r="E7657" t="s">
        <v>52</v>
      </c>
      <c r="F7657">
        <v>2014</v>
      </c>
      <c r="G7657">
        <v>77922</v>
      </c>
      <c r="H7657" s="1">
        <v>42004</v>
      </c>
      <c r="I7657" s="1">
        <v>42026</v>
      </c>
      <c r="J7657" s="1">
        <v>42026</v>
      </c>
      <c r="K7657" s="1">
        <v>42086</v>
      </c>
      <c r="N7657" s="5"/>
      <c r="O7657">
        <v>520</v>
      </c>
      <c r="P7657">
        <v>-17</v>
      </c>
      <c r="Q7657" s="2">
        <v>-8840</v>
      </c>
      <c r="R7657">
        <v>0</v>
      </c>
      <c r="V7657">
        <v>0</v>
      </c>
      <c r="W7657">
        <v>0</v>
      </c>
      <c r="X7657">
        <v>0</v>
      </c>
      <c r="Y7657">
        <v>0</v>
      </c>
      <c r="Z7657">
        <v>520</v>
      </c>
      <c r="AA7657">
        <v>0</v>
      </c>
      <c r="AB7657" s="1">
        <v>42382</v>
      </c>
      <c r="AC7657" t="s">
        <v>53</v>
      </c>
      <c r="AD7657" t="s">
        <v>53</v>
      </c>
      <c r="AK7657">
        <v>0</v>
      </c>
      <c r="AU7657" s="6">
        <v>42069</v>
      </c>
      <c r="AV7657" s="6">
        <v>42069</v>
      </c>
      <c r="AW7657" t="s">
        <v>54</v>
      </c>
      <c r="AX7657" t="str">
        <f t="shared" si="624"/>
        <v>FOR</v>
      </c>
      <c r="AY7657" t="s">
        <v>55</v>
      </c>
    </row>
    <row r="7658" spans="1:51" hidden="1">
      <c r="A7658">
        <v>104379</v>
      </c>
      <c r="B7658" t="s">
        <v>1281</v>
      </c>
      <c r="C7658" t="str">
        <f t="shared" si="626"/>
        <v>01836081008</v>
      </c>
      <c r="D7658" t="str">
        <f t="shared" si="627"/>
        <v>07668030583</v>
      </c>
      <c r="E7658" t="s">
        <v>52</v>
      </c>
      <c r="F7658">
        <v>2014</v>
      </c>
      <c r="G7658">
        <v>77923</v>
      </c>
      <c r="H7658" s="1">
        <v>42004</v>
      </c>
      <c r="I7658" s="1">
        <v>42026</v>
      </c>
      <c r="J7658" s="1">
        <v>42026</v>
      </c>
      <c r="K7658" s="1">
        <v>42086</v>
      </c>
      <c r="N7658" s="5"/>
      <c r="O7658">
        <v>572</v>
      </c>
      <c r="P7658">
        <v>-17</v>
      </c>
      <c r="Q7658" s="2">
        <v>-9724</v>
      </c>
      <c r="R7658">
        <v>0</v>
      </c>
      <c r="V7658">
        <v>0</v>
      </c>
      <c r="W7658">
        <v>0</v>
      </c>
      <c r="X7658">
        <v>0</v>
      </c>
      <c r="Y7658">
        <v>0</v>
      </c>
      <c r="Z7658">
        <v>572</v>
      </c>
      <c r="AA7658">
        <v>0</v>
      </c>
      <c r="AB7658" s="1">
        <v>42382</v>
      </c>
      <c r="AC7658" t="s">
        <v>53</v>
      </c>
      <c r="AD7658" t="s">
        <v>53</v>
      </c>
      <c r="AK7658">
        <v>0</v>
      </c>
      <c r="AU7658" s="6">
        <v>42069</v>
      </c>
      <c r="AV7658" s="6">
        <v>42069</v>
      </c>
      <c r="AW7658" t="s">
        <v>54</v>
      </c>
      <c r="AX7658" t="str">
        <f t="shared" si="624"/>
        <v>FOR</v>
      </c>
      <c r="AY7658" t="s">
        <v>55</v>
      </c>
    </row>
    <row r="7659" spans="1:51" hidden="1">
      <c r="A7659">
        <v>104379</v>
      </c>
      <c r="B7659" t="s">
        <v>1281</v>
      </c>
      <c r="C7659" t="str">
        <f t="shared" si="626"/>
        <v>01836081008</v>
      </c>
      <c r="D7659" t="str">
        <f t="shared" si="627"/>
        <v>07668030583</v>
      </c>
      <c r="E7659" t="s">
        <v>52</v>
      </c>
      <c r="F7659">
        <v>2014</v>
      </c>
      <c r="G7659">
        <v>77924</v>
      </c>
      <c r="H7659" s="1">
        <v>42004</v>
      </c>
      <c r="I7659" s="1">
        <v>42026</v>
      </c>
      <c r="J7659" s="1">
        <v>42026</v>
      </c>
      <c r="K7659" s="1">
        <v>42086</v>
      </c>
      <c r="N7659" s="5"/>
      <c r="O7659">
        <v>144.56</v>
      </c>
      <c r="P7659">
        <v>-17</v>
      </c>
      <c r="Q7659" s="2">
        <v>-2457.52</v>
      </c>
      <c r="R7659">
        <v>0</v>
      </c>
      <c r="V7659">
        <v>0</v>
      </c>
      <c r="W7659">
        <v>0</v>
      </c>
      <c r="X7659">
        <v>0</v>
      </c>
      <c r="Y7659">
        <v>0</v>
      </c>
      <c r="Z7659">
        <v>144.56</v>
      </c>
      <c r="AA7659">
        <v>0</v>
      </c>
      <c r="AB7659" s="1">
        <v>42382</v>
      </c>
      <c r="AC7659" t="s">
        <v>53</v>
      </c>
      <c r="AD7659" t="s">
        <v>53</v>
      </c>
      <c r="AK7659">
        <v>0</v>
      </c>
      <c r="AU7659" s="6">
        <v>42069</v>
      </c>
      <c r="AV7659" s="6">
        <v>42069</v>
      </c>
      <c r="AW7659" t="s">
        <v>54</v>
      </c>
      <c r="AX7659" t="str">
        <f t="shared" si="624"/>
        <v>FOR</v>
      </c>
      <c r="AY7659" t="s">
        <v>55</v>
      </c>
    </row>
    <row r="7660" spans="1:51" hidden="1">
      <c r="A7660">
        <v>104379</v>
      </c>
      <c r="B7660" t="s">
        <v>1281</v>
      </c>
      <c r="C7660" t="str">
        <f t="shared" si="626"/>
        <v>01836081008</v>
      </c>
      <c r="D7660" t="str">
        <f t="shared" si="627"/>
        <v>07668030583</v>
      </c>
      <c r="E7660" t="s">
        <v>52</v>
      </c>
      <c r="F7660">
        <v>2014</v>
      </c>
      <c r="G7660">
        <v>77925</v>
      </c>
      <c r="H7660" s="1">
        <v>42004</v>
      </c>
      <c r="I7660" s="1">
        <v>42026</v>
      </c>
      <c r="J7660" s="1">
        <v>42026</v>
      </c>
      <c r="K7660" s="1">
        <v>42086</v>
      </c>
      <c r="N7660" s="5"/>
      <c r="O7660">
        <v>572</v>
      </c>
      <c r="P7660">
        <v>-17</v>
      </c>
      <c r="Q7660" s="2">
        <v>-9724</v>
      </c>
      <c r="R7660">
        <v>0</v>
      </c>
      <c r="V7660">
        <v>0</v>
      </c>
      <c r="W7660">
        <v>0</v>
      </c>
      <c r="X7660">
        <v>0</v>
      </c>
      <c r="Y7660">
        <v>0</v>
      </c>
      <c r="Z7660">
        <v>572</v>
      </c>
      <c r="AA7660">
        <v>0</v>
      </c>
      <c r="AB7660" s="1">
        <v>42382</v>
      </c>
      <c r="AC7660" t="s">
        <v>53</v>
      </c>
      <c r="AD7660" t="s">
        <v>53</v>
      </c>
      <c r="AK7660">
        <v>0</v>
      </c>
      <c r="AU7660" s="6">
        <v>42069</v>
      </c>
      <c r="AV7660" s="6">
        <v>42069</v>
      </c>
      <c r="AW7660" t="s">
        <v>54</v>
      </c>
      <c r="AX7660" t="str">
        <f t="shared" si="624"/>
        <v>FOR</v>
      </c>
      <c r="AY7660" t="s">
        <v>55</v>
      </c>
    </row>
    <row r="7661" spans="1:51">
      <c r="A7661">
        <v>104379</v>
      </c>
      <c r="B7661" t="s">
        <v>1281</v>
      </c>
      <c r="C7661" t="str">
        <f t="shared" si="626"/>
        <v>01836081008</v>
      </c>
      <c r="D7661" t="str">
        <f t="shared" si="627"/>
        <v>07668030583</v>
      </c>
      <c r="E7661" t="s">
        <v>52</v>
      </c>
      <c r="F7661">
        <v>2015</v>
      </c>
      <c r="G7661" t="s">
        <v>1282</v>
      </c>
      <c r="H7661" s="1">
        <v>42124</v>
      </c>
      <c r="I7661" s="1">
        <v>42160</v>
      </c>
      <c r="J7661" s="1">
        <v>42142</v>
      </c>
      <c r="K7661" s="1">
        <v>42202</v>
      </c>
      <c r="L7661" s="7">
        <v>550</v>
      </c>
      <c r="M7661" s="5">
        <v>136</v>
      </c>
      <c r="N7661" s="7">
        <v>74800</v>
      </c>
      <c r="O7661">
        <v>550</v>
      </c>
      <c r="P7661">
        <v>136</v>
      </c>
      <c r="Q7661" s="2">
        <v>74800</v>
      </c>
      <c r="R7661">
        <v>0</v>
      </c>
      <c r="V7661">
        <v>0</v>
      </c>
      <c r="W7661">
        <v>0</v>
      </c>
      <c r="X7661">
        <v>0</v>
      </c>
      <c r="Y7661">
        <v>572</v>
      </c>
      <c r="Z7661">
        <v>572</v>
      </c>
      <c r="AA7661">
        <v>572</v>
      </c>
      <c r="AB7661" s="1">
        <v>42382</v>
      </c>
      <c r="AC7661" t="s">
        <v>53</v>
      </c>
      <c r="AD7661" t="s">
        <v>53</v>
      </c>
      <c r="AK7661">
        <v>0</v>
      </c>
      <c r="AU7661" s="6">
        <v>42338</v>
      </c>
      <c r="AV7661" s="6">
        <v>42338</v>
      </c>
      <c r="AW7661" t="s">
        <v>54</v>
      </c>
      <c r="AX7661" t="str">
        <f t="shared" si="624"/>
        <v>FOR</v>
      </c>
      <c r="AY7661" t="s">
        <v>55</v>
      </c>
    </row>
    <row r="7662" spans="1:51">
      <c r="A7662">
        <v>104379</v>
      </c>
      <c r="B7662" t="s">
        <v>1281</v>
      </c>
      <c r="C7662" t="str">
        <f t="shared" si="626"/>
        <v>01836081008</v>
      </c>
      <c r="D7662" t="str">
        <f t="shared" si="627"/>
        <v>07668030583</v>
      </c>
      <c r="E7662" t="s">
        <v>52</v>
      </c>
      <c r="F7662">
        <v>2015</v>
      </c>
      <c r="G7662" t="s">
        <v>1283</v>
      </c>
      <c r="H7662" s="1">
        <v>42124</v>
      </c>
      <c r="I7662" s="1">
        <v>42158</v>
      </c>
      <c r="J7662" s="1">
        <v>42142</v>
      </c>
      <c r="K7662" s="1">
        <v>42202</v>
      </c>
      <c r="L7662" s="7">
        <v>139</v>
      </c>
      <c r="M7662" s="5">
        <v>136</v>
      </c>
      <c r="N7662" s="7">
        <v>18904</v>
      </c>
      <c r="O7662">
        <v>139</v>
      </c>
      <c r="P7662">
        <v>136</v>
      </c>
      <c r="Q7662" s="2">
        <v>18904</v>
      </c>
      <c r="R7662">
        <v>0</v>
      </c>
      <c r="V7662">
        <v>0</v>
      </c>
      <c r="W7662">
        <v>0</v>
      </c>
      <c r="X7662">
        <v>0</v>
      </c>
      <c r="Y7662">
        <v>144.56</v>
      </c>
      <c r="Z7662">
        <v>144.56</v>
      </c>
      <c r="AA7662">
        <v>144.56</v>
      </c>
      <c r="AB7662" s="1">
        <v>42382</v>
      </c>
      <c r="AC7662" t="s">
        <v>53</v>
      </c>
      <c r="AD7662" t="s">
        <v>53</v>
      </c>
      <c r="AK7662">
        <v>0</v>
      </c>
      <c r="AU7662" s="6">
        <v>42338</v>
      </c>
      <c r="AV7662" s="6">
        <v>42338</v>
      </c>
      <c r="AW7662" t="s">
        <v>54</v>
      </c>
      <c r="AX7662" t="str">
        <f t="shared" si="624"/>
        <v>FOR</v>
      </c>
      <c r="AY7662" t="s">
        <v>55</v>
      </c>
    </row>
    <row r="7663" spans="1:51">
      <c r="A7663">
        <v>104379</v>
      </c>
      <c r="B7663" t="s">
        <v>1281</v>
      </c>
      <c r="C7663" t="str">
        <f t="shared" si="626"/>
        <v>01836081008</v>
      </c>
      <c r="D7663" t="str">
        <f t="shared" si="627"/>
        <v>07668030583</v>
      </c>
      <c r="E7663" t="s">
        <v>52</v>
      </c>
      <c r="F7663">
        <v>2015</v>
      </c>
      <c r="G7663" t="s">
        <v>1284</v>
      </c>
      <c r="H7663" s="1">
        <v>42124</v>
      </c>
      <c r="I7663" s="1">
        <v>42160</v>
      </c>
      <c r="J7663" s="1">
        <v>42142</v>
      </c>
      <c r="K7663" s="1">
        <v>42202</v>
      </c>
      <c r="L7663" s="7">
        <v>139</v>
      </c>
      <c r="M7663" s="5">
        <v>136</v>
      </c>
      <c r="N7663" s="7">
        <v>18904</v>
      </c>
      <c r="O7663">
        <v>139</v>
      </c>
      <c r="P7663">
        <v>136</v>
      </c>
      <c r="Q7663" s="2">
        <v>18904</v>
      </c>
      <c r="R7663">
        <v>0</v>
      </c>
      <c r="V7663">
        <v>0</v>
      </c>
      <c r="W7663">
        <v>0</v>
      </c>
      <c r="X7663">
        <v>0</v>
      </c>
      <c r="Y7663">
        <v>144.56</v>
      </c>
      <c r="Z7663">
        <v>144.56</v>
      </c>
      <c r="AA7663">
        <v>144.56</v>
      </c>
      <c r="AB7663" s="1">
        <v>42382</v>
      </c>
      <c r="AC7663" t="s">
        <v>53</v>
      </c>
      <c r="AD7663" t="s">
        <v>53</v>
      </c>
      <c r="AK7663">
        <v>0</v>
      </c>
      <c r="AU7663" s="6">
        <v>42338</v>
      </c>
      <c r="AV7663" s="6">
        <v>42338</v>
      </c>
      <c r="AW7663" t="s">
        <v>54</v>
      </c>
      <c r="AX7663" t="str">
        <f t="shared" si="624"/>
        <v>FOR</v>
      </c>
      <c r="AY7663" t="s">
        <v>55</v>
      </c>
    </row>
    <row r="7664" spans="1:51" hidden="1">
      <c r="A7664">
        <v>104379</v>
      </c>
      <c r="B7664" t="s">
        <v>1281</v>
      </c>
      <c r="C7664" t="str">
        <f t="shared" si="626"/>
        <v>01836081008</v>
      </c>
      <c r="D7664" t="str">
        <f t="shared" si="627"/>
        <v>07668030583</v>
      </c>
      <c r="E7664" t="s">
        <v>52</v>
      </c>
      <c r="F7664">
        <v>2015</v>
      </c>
      <c r="G7664">
        <v>78251</v>
      </c>
      <c r="H7664" s="1">
        <v>42034</v>
      </c>
      <c r="I7664" s="1">
        <v>42054</v>
      </c>
      <c r="J7664" s="1">
        <v>42054</v>
      </c>
      <c r="K7664" s="1">
        <v>42114</v>
      </c>
      <c r="N7664" s="5"/>
      <c r="O7664">
        <v>500</v>
      </c>
      <c r="P7664">
        <v>161</v>
      </c>
      <c r="Q7664" s="2">
        <v>80500</v>
      </c>
      <c r="R7664">
        <v>0</v>
      </c>
      <c r="V7664">
        <v>0</v>
      </c>
      <c r="W7664">
        <v>0</v>
      </c>
      <c r="X7664">
        <v>0</v>
      </c>
      <c r="Y7664">
        <v>520</v>
      </c>
      <c r="Z7664">
        <v>520</v>
      </c>
      <c r="AA7664">
        <v>520</v>
      </c>
      <c r="AB7664" s="1">
        <v>42382</v>
      </c>
      <c r="AC7664" t="s">
        <v>53</v>
      </c>
      <c r="AD7664" t="s">
        <v>53</v>
      </c>
      <c r="AK7664">
        <v>0</v>
      </c>
      <c r="AU7664" s="6">
        <v>42275</v>
      </c>
      <c r="AV7664" s="6">
        <v>42275</v>
      </c>
      <c r="AW7664" t="s">
        <v>54</v>
      </c>
      <c r="AX7664" t="str">
        <f t="shared" si="624"/>
        <v>FOR</v>
      </c>
      <c r="AY7664" t="s">
        <v>55</v>
      </c>
    </row>
    <row r="7665" spans="1:51" hidden="1">
      <c r="A7665">
        <v>104379</v>
      </c>
      <c r="B7665" t="s">
        <v>1281</v>
      </c>
      <c r="C7665" t="str">
        <f t="shared" si="626"/>
        <v>01836081008</v>
      </c>
      <c r="D7665" t="str">
        <f t="shared" si="627"/>
        <v>07668030583</v>
      </c>
      <c r="E7665" t="s">
        <v>52</v>
      </c>
      <c r="F7665">
        <v>2015</v>
      </c>
      <c r="G7665">
        <v>78252</v>
      </c>
      <c r="H7665" s="1">
        <v>42034</v>
      </c>
      <c r="I7665" s="1">
        <v>42054</v>
      </c>
      <c r="J7665" s="1">
        <v>42054</v>
      </c>
      <c r="K7665" s="1">
        <v>42114</v>
      </c>
      <c r="N7665" s="5"/>
      <c r="O7665">
        <v>500</v>
      </c>
      <c r="P7665">
        <v>161</v>
      </c>
      <c r="Q7665" s="2">
        <v>80500</v>
      </c>
      <c r="R7665">
        <v>0</v>
      </c>
      <c r="V7665">
        <v>0</v>
      </c>
      <c r="W7665">
        <v>0</v>
      </c>
      <c r="X7665">
        <v>0</v>
      </c>
      <c r="Y7665">
        <v>520</v>
      </c>
      <c r="Z7665">
        <v>520</v>
      </c>
      <c r="AA7665">
        <v>520</v>
      </c>
      <c r="AB7665" s="1">
        <v>42382</v>
      </c>
      <c r="AC7665" t="s">
        <v>53</v>
      </c>
      <c r="AD7665" t="s">
        <v>53</v>
      </c>
      <c r="AK7665">
        <v>0</v>
      </c>
      <c r="AU7665" s="6">
        <v>42275</v>
      </c>
      <c r="AV7665" s="6">
        <v>42275</v>
      </c>
      <c r="AW7665" t="s">
        <v>54</v>
      </c>
      <c r="AX7665" t="str">
        <f t="shared" si="624"/>
        <v>FOR</v>
      </c>
      <c r="AY7665" t="s">
        <v>55</v>
      </c>
    </row>
    <row r="7666" spans="1:51" hidden="1">
      <c r="A7666">
        <v>104379</v>
      </c>
      <c r="B7666" t="s">
        <v>1281</v>
      </c>
      <c r="C7666" t="str">
        <f t="shared" si="626"/>
        <v>01836081008</v>
      </c>
      <c r="D7666" t="str">
        <f t="shared" si="627"/>
        <v>07668030583</v>
      </c>
      <c r="E7666" t="s">
        <v>52</v>
      </c>
      <c r="F7666">
        <v>2015</v>
      </c>
      <c r="G7666">
        <v>78253</v>
      </c>
      <c r="H7666" s="1">
        <v>42034</v>
      </c>
      <c r="I7666" s="1">
        <v>42054</v>
      </c>
      <c r="J7666" s="1">
        <v>42054</v>
      </c>
      <c r="K7666" s="1">
        <v>42114</v>
      </c>
      <c r="N7666" s="5"/>
      <c r="O7666">
        <v>500</v>
      </c>
      <c r="P7666">
        <v>161</v>
      </c>
      <c r="Q7666" s="2">
        <v>80500</v>
      </c>
      <c r="R7666">
        <v>0</v>
      </c>
      <c r="V7666">
        <v>0</v>
      </c>
      <c r="W7666">
        <v>0</v>
      </c>
      <c r="X7666">
        <v>0</v>
      </c>
      <c r="Y7666">
        <v>520</v>
      </c>
      <c r="Z7666">
        <v>520</v>
      </c>
      <c r="AA7666">
        <v>520</v>
      </c>
      <c r="AB7666" s="1">
        <v>42382</v>
      </c>
      <c r="AC7666" t="s">
        <v>53</v>
      </c>
      <c r="AD7666" t="s">
        <v>53</v>
      </c>
      <c r="AK7666">
        <v>0</v>
      </c>
      <c r="AU7666" s="6">
        <v>42275</v>
      </c>
      <c r="AV7666" s="6">
        <v>42275</v>
      </c>
      <c r="AW7666" t="s">
        <v>54</v>
      </c>
      <c r="AX7666" t="str">
        <f t="shared" si="624"/>
        <v>FOR</v>
      </c>
      <c r="AY7666" t="s">
        <v>55</v>
      </c>
    </row>
    <row r="7667" spans="1:51" hidden="1">
      <c r="A7667">
        <v>104379</v>
      </c>
      <c r="B7667" t="s">
        <v>1281</v>
      </c>
      <c r="C7667" t="str">
        <f t="shared" si="626"/>
        <v>01836081008</v>
      </c>
      <c r="D7667" t="str">
        <f t="shared" si="627"/>
        <v>07668030583</v>
      </c>
      <c r="E7667" t="s">
        <v>52</v>
      </c>
      <c r="F7667">
        <v>2015</v>
      </c>
      <c r="G7667">
        <v>78254</v>
      </c>
      <c r="H7667" s="1">
        <v>42034</v>
      </c>
      <c r="I7667" s="1">
        <v>42054</v>
      </c>
      <c r="J7667" s="1">
        <v>42054</v>
      </c>
      <c r="K7667" s="1">
        <v>42114</v>
      </c>
      <c r="N7667" s="5"/>
      <c r="O7667">
        <v>139</v>
      </c>
      <c r="P7667">
        <v>161</v>
      </c>
      <c r="Q7667" s="2">
        <v>22379</v>
      </c>
      <c r="R7667">
        <v>0</v>
      </c>
      <c r="V7667">
        <v>0</v>
      </c>
      <c r="W7667">
        <v>0</v>
      </c>
      <c r="X7667">
        <v>0</v>
      </c>
      <c r="Y7667">
        <v>144.56</v>
      </c>
      <c r="Z7667">
        <v>144.56</v>
      </c>
      <c r="AA7667">
        <v>144.56</v>
      </c>
      <c r="AB7667" s="1">
        <v>42382</v>
      </c>
      <c r="AC7667" t="s">
        <v>53</v>
      </c>
      <c r="AD7667" t="s">
        <v>53</v>
      </c>
      <c r="AK7667">
        <v>0</v>
      </c>
      <c r="AU7667" s="6">
        <v>42275</v>
      </c>
      <c r="AV7667" s="6">
        <v>42275</v>
      </c>
      <c r="AW7667" t="s">
        <v>54</v>
      </c>
      <c r="AX7667" t="str">
        <f t="shared" si="624"/>
        <v>FOR</v>
      </c>
      <c r="AY7667" t="s">
        <v>55</v>
      </c>
    </row>
    <row r="7668" spans="1:51" hidden="1">
      <c r="A7668">
        <v>104379</v>
      </c>
      <c r="B7668" t="s">
        <v>1281</v>
      </c>
      <c r="C7668" t="str">
        <f t="shared" si="626"/>
        <v>01836081008</v>
      </c>
      <c r="D7668" t="str">
        <f t="shared" si="627"/>
        <v>07668030583</v>
      </c>
      <c r="E7668" t="s">
        <v>52</v>
      </c>
      <c r="F7668">
        <v>2015</v>
      </c>
      <c r="G7668">
        <v>78540</v>
      </c>
      <c r="H7668" s="1">
        <v>42062</v>
      </c>
      <c r="I7668" s="1">
        <v>42080</v>
      </c>
      <c r="J7668" s="1">
        <v>42080</v>
      </c>
      <c r="K7668" s="1">
        <v>42140</v>
      </c>
      <c r="N7668" s="5"/>
      <c r="O7668">
        <v>139</v>
      </c>
      <c r="P7668">
        <v>135</v>
      </c>
      <c r="Q7668" s="2">
        <v>18765</v>
      </c>
      <c r="R7668">
        <v>0</v>
      </c>
      <c r="V7668">
        <v>0</v>
      </c>
      <c r="W7668">
        <v>0</v>
      </c>
      <c r="X7668">
        <v>0</v>
      </c>
      <c r="Y7668">
        <v>144.56</v>
      </c>
      <c r="Z7668">
        <v>144.56</v>
      </c>
      <c r="AA7668">
        <v>144.56</v>
      </c>
      <c r="AB7668" s="1">
        <v>42382</v>
      </c>
      <c r="AC7668" t="s">
        <v>53</v>
      </c>
      <c r="AD7668" t="s">
        <v>53</v>
      </c>
      <c r="AK7668">
        <v>0</v>
      </c>
      <c r="AU7668" s="6">
        <v>42275</v>
      </c>
      <c r="AV7668" s="6">
        <v>42275</v>
      </c>
      <c r="AW7668" t="s">
        <v>54</v>
      </c>
      <c r="AX7668" t="str">
        <f t="shared" si="624"/>
        <v>FOR</v>
      </c>
      <c r="AY7668" t="s">
        <v>55</v>
      </c>
    </row>
    <row r="7669" spans="1:51" hidden="1">
      <c r="A7669">
        <v>104379</v>
      </c>
      <c r="B7669" t="s">
        <v>1281</v>
      </c>
      <c r="C7669" t="str">
        <f t="shared" ref="C7669:C7699" si="628">"01836081008"</f>
        <v>01836081008</v>
      </c>
      <c r="D7669" t="str">
        <f t="shared" ref="D7669:D7699" si="629">"07668030583"</f>
        <v>07668030583</v>
      </c>
      <c r="E7669" t="s">
        <v>52</v>
      </c>
      <c r="F7669">
        <v>2015</v>
      </c>
      <c r="G7669">
        <v>78541</v>
      </c>
      <c r="H7669" s="1">
        <v>42062</v>
      </c>
      <c r="I7669" s="1">
        <v>42080</v>
      </c>
      <c r="J7669" s="1">
        <v>42080</v>
      </c>
      <c r="K7669" s="1">
        <v>42140</v>
      </c>
      <c r="N7669" s="5"/>
      <c r="O7669">
        <v>550</v>
      </c>
      <c r="P7669">
        <v>135</v>
      </c>
      <c r="Q7669" s="2">
        <v>74250</v>
      </c>
      <c r="R7669">
        <v>0</v>
      </c>
      <c r="V7669">
        <v>0</v>
      </c>
      <c r="W7669">
        <v>0</v>
      </c>
      <c r="X7669">
        <v>0</v>
      </c>
      <c r="Y7669">
        <v>572</v>
      </c>
      <c r="Z7669">
        <v>572</v>
      </c>
      <c r="AA7669">
        <v>572</v>
      </c>
      <c r="AB7669" s="1">
        <v>42382</v>
      </c>
      <c r="AC7669" t="s">
        <v>53</v>
      </c>
      <c r="AD7669" t="s">
        <v>53</v>
      </c>
      <c r="AK7669">
        <v>0</v>
      </c>
      <c r="AU7669" s="6">
        <v>42275</v>
      </c>
      <c r="AV7669" s="6">
        <v>42275</v>
      </c>
      <c r="AW7669" t="s">
        <v>54</v>
      </c>
      <c r="AX7669" t="str">
        <f t="shared" si="624"/>
        <v>FOR</v>
      </c>
      <c r="AY7669" t="s">
        <v>55</v>
      </c>
    </row>
    <row r="7670" spans="1:51" hidden="1">
      <c r="A7670">
        <v>104379</v>
      </c>
      <c r="B7670" t="s">
        <v>1281</v>
      </c>
      <c r="C7670" t="str">
        <f t="shared" si="628"/>
        <v>01836081008</v>
      </c>
      <c r="D7670" t="str">
        <f t="shared" si="629"/>
        <v>07668030583</v>
      </c>
      <c r="E7670" t="s">
        <v>52</v>
      </c>
      <c r="F7670">
        <v>2015</v>
      </c>
      <c r="G7670">
        <v>78542</v>
      </c>
      <c r="H7670" s="1">
        <v>42062</v>
      </c>
      <c r="I7670" s="1">
        <v>42080</v>
      </c>
      <c r="J7670" s="1">
        <v>42080</v>
      </c>
      <c r="K7670" s="1">
        <v>42140</v>
      </c>
      <c r="N7670" s="5"/>
      <c r="O7670">
        <v>550</v>
      </c>
      <c r="P7670">
        <v>135</v>
      </c>
      <c r="Q7670" s="2">
        <v>74250</v>
      </c>
      <c r="R7670">
        <v>0</v>
      </c>
      <c r="V7670">
        <v>0</v>
      </c>
      <c r="W7670">
        <v>0</v>
      </c>
      <c r="X7670">
        <v>0</v>
      </c>
      <c r="Y7670">
        <v>572</v>
      </c>
      <c r="Z7670">
        <v>572</v>
      </c>
      <c r="AA7670">
        <v>572</v>
      </c>
      <c r="AB7670" s="1">
        <v>42382</v>
      </c>
      <c r="AC7670" t="s">
        <v>53</v>
      </c>
      <c r="AD7670" t="s">
        <v>53</v>
      </c>
      <c r="AK7670">
        <v>0</v>
      </c>
      <c r="AU7670" s="6">
        <v>42275</v>
      </c>
      <c r="AV7670" s="6">
        <v>42275</v>
      </c>
      <c r="AW7670" t="s">
        <v>54</v>
      </c>
      <c r="AX7670" t="str">
        <f t="shared" si="624"/>
        <v>FOR</v>
      </c>
      <c r="AY7670" t="s">
        <v>55</v>
      </c>
    </row>
    <row r="7671" spans="1:51" hidden="1">
      <c r="A7671">
        <v>104379</v>
      </c>
      <c r="B7671" t="s">
        <v>1281</v>
      </c>
      <c r="C7671" t="str">
        <f t="shared" si="628"/>
        <v>01836081008</v>
      </c>
      <c r="D7671" t="str">
        <f t="shared" si="629"/>
        <v>07668030583</v>
      </c>
      <c r="E7671" t="s">
        <v>52</v>
      </c>
      <c r="F7671">
        <v>2015</v>
      </c>
      <c r="G7671">
        <v>78543</v>
      </c>
      <c r="H7671" s="1">
        <v>42062</v>
      </c>
      <c r="I7671" s="1">
        <v>42080</v>
      </c>
      <c r="J7671" s="1">
        <v>42080</v>
      </c>
      <c r="K7671" s="1">
        <v>42140</v>
      </c>
      <c r="N7671" s="5"/>
      <c r="O7671">
        <v>500</v>
      </c>
      <c r="P7671">
        <v>135</v>
      </c>
      <c r="Q7671" s="2">
        <v>67500</v>
      </c>
      <c r="R7671">
        <v>0</v>
      </c>
      <c r="V7671">
        <v>0</v>
      </c>
      <c r="W7671">
        <v>0</v>
      </c>
      <c r="X7671">
        <v>0</v>
      </c>
      <c r="Y7671">
        <v>520</v>
      </c>
      <c r="Z7671">
        <v>520</v>
      </c>
      <c r="AA7671">
        <v>520</v>
      </c>
      <c r="AB7671" s="1">
        <v>42382</v>
      </c>
      <c r="AC7671" t="s">
        <v>53</v>
      </c>
      <c r="AD7671" t="s">
        <v>53</v>
      </c>
      <c r="AK7671">
        <v>0</v>
      </c>
      <c r="AU7671" s="6">
        <v>42275</v>
      </c>
      <c r="AV7671" s="6">
        <v>42275</v>
      </c>
      <c r="AW7671" t="s">
        <v>54</v>
      </c>
      <c r="AX7671" t="str">
        <f t="shared" si="624"/>
        <v>FOR</v>
      </c>
      <c r="AY7671" t="s">
        <v>55</v>
      </c>
    </row>
    <row r="7672" spans="1:51" hidden="1">
      <c r="A7672">
        <v>104379</v>
      </c>
      <c r="B7672" t="s">
        <v>1281</v>
      </c>
      <c r="C7672" t="str">
        <f t="shared" si="628"/>
        <v>01836081008</v>
      </c>
      <c r="D7672" t="str">
        <f t="shared" si="629"/>
        <v>07668030583</v>
      </c>
      <c r="E7672" t="s">
        <v>52</v>
      </c>
      <c r="F7672">
        <v>2015</v>
      </c>
      <c r="G7672">
        <v>78544</v>
      </c>
      <c r="H7672" s="1">
        <v>42062</v>
      </c>
      <c r="I7672" s="1">
        <v>42080</v>
      </c>
      <c r="J7672" s="1">
        <v>42080</v>
      </c>
      <c r="K7672" s="1">
        <v>42140</v>
      </c>
      <c r="N7672" s="5"/>
      <c r="O7672">
        <v>139</v>
      </c>
      <c r="P7672">
        <v>135</v>
      </c>
      <c r="Q7672" s="2">
        <v>18765</v>
      </c>
      <c r="R7672">
        <v>0</v>
      </c>
      <c r="V7672">
        <v>0</v>
      </c>
      <c r="W7672">
        <v>0</v>
      </c>
      <c r="X7672">
        <v>0</v>
      </c>
      <c r="Y7672">
        <v>144.56</v>
      </c>
      <c r="Z7672">
        <v>144.56</v>
      </c>
      <c r="AA7672">
        <v>144.56</v>
      </c>
      <c r="AB7672" s="1">
        <v>42382</v>
      </c>
      <c r="AC7672" t="s">
        <v>53</v>
      </c>
      <c r="AD7672" t="s">
        <v>53</v>
      </c>
      <c r="AK7672">
        <v>0</v>
      </c>
      <c r="AU7672" s="6">
        <v>42275</v>
      </c>
      <c r="AV7672" s="6">
        <v>42275</v>
      </c>
      <c r="AW7672" t="s">
        <v>54</v>
      </c>
      <c r="AX7672" t="str">
        <f t="shared" si="624"/>
        <v>FOR</v>
      </c>
      <c r="AY7672" t="s">
        <v>55</v>
      </c>
    </row>
    <row r="7673" spans="1:51" hidden="1">
      <c r="A7673">
        <v>104379</v>
      </c>
      <c r="B7673" t="s">
        <v>1281</v>
      </c>
      <c r="C7673" t="str">
        <f t="shared" si="628"/>
        <v>01836081008</v>
      </c>
      <c r="D7673" t="str">
        <f t="shared" si="629"/>
        <v>07668030583</v>
      </c>
      <c r="E7673" t="s">
        <v>52</v>
      </c>
      <c r="F7673">
        <v>2015</v>
      </c>
      <c r="G7673">
        <v>78545</v>
      </c>
      <c r="H7673" s="1">
        <v>42062</v>
      </c>
      <c r="I7673" s="1">
        <v>42080</v>
      </c>
      <c r="J7673" s="1">
        <v>42080</v>
      </c>
      <c r="K7673" s="1">
        <v>42140</v>
      </c>
      <c r="N7673" s="5"/>
      <c r="O7673">
        <v>550</v>
      </c>
      <c r="P7673">
        <v>135</v>
      </c>
      <c r="Q7673" s="2">
        <v>74250</v>
      </c>
      <c r="R7673">
        <v>0</v>
      </c>
      <c r="V7673">
        <v>0</v>
      </c>
      <c r="W7673">
        <v>0</v>
      </c>
      <c r="X7673">
        <v>0</v>
      </c>
      <c r="Y7673">
        <v>572</v>
      </c>
      <c r="Z7673">
        <v>572</v>
      </c>
      <c r="AA7673">
        <v>572</v>
      </c>
      <c r="AB7673" s="1">
        <v>42382</v>
      </c>
      <c r="AC7673" t="s">
        <v>53</v>
      </c>
      <c r="AD7673" t="s">
        <v>53</v>
      </c>
      <c r="AK7673">
        <v>0</v>
      </c>
      <c r="AU7673" s="6">
        <v>42275</v>
      </c>
      <c r="AV7673" s="6">
        <v>42275</v>
      </c>
      <c r="AW7673" t="s">
        <v>54</v>
      </c>
      <c r="AX7673" t="str">
        <f t="shared" si="624"/>
        <v>FOR</v>
      </c>
      <c r="AY7673" t="s">
        <v>55</v>
      </c>
    </row>
    <row r="7674" spans="1:51" hidden="1">
      <c r="A7674">
        <v>104379</v>
      </c>
      <c r="B7674" t="s">
        <v>1281</v>
      </c>
      <c r="C7674" t="str">
        <f t="shared" si="628"/>
        <v>01836081008</v>
      </c>
      <c r="D7674" t="str">
        <f t="shared" si="629"/>
        <v>07668030583</v>
      </c>
      <c r="E7674" t="s">
        <v>52</v>
      </c>
      <c r="F7674">
        <v>2015</v>
      </c>
      <c r="G7674">
        <v>78546</v>
      </c>
      <c r="H7674" s="1">
        <v>42062</v>
      </c>
      <c r="I7674" s="1">
        <v>42080</v>
      </c>
      <c r="J7674" s="1">
        <v>42080</v>
      </c>
      <c r="K7674" s="1">
        <v>42140</v>
      </c>
      <c r="N7674" s="5"/>
      <c r="O7674">
        <v>550</v>
      </c>
      <c r="P7674">
        <v>135</v>
      </c>
      <c r="Q7674" s="2">
        <v>74250</v>
      </c>
      <c r="R7674">
        <v>0</v>
      </c>
      <c r="V7674">
        <v>0</v>
      </c>
      <c r="W7674">
        <v>0</v>
      </c>
      <c r="X7674">
        <v>0</v>
      </c>
      <c r="Y7674">
        <v>572</v>
      </c>
      <c r="Z7674">
        <v>572</v>
      </c>
      <c r="AA7674">
        <v>572</v>
      </c>
      <c r="AB7674" s="1">
        <v>42382</v>
      </c>
      <c r="AC7674" t="s">
        <v>53</v>
      </c>
      <c r="AD7674" t="s">
        <v>53</v>
      </c>
      <c r="AK7674">
        <v>0</v>
      </c>
      <c r="AU7674" s="6">
        <v>42275</v>
      </c>
      <c r="AV7674" s="6">
        <v>42275</v>
      </c>
      <c r="AW7674" t="s">
        <v>54</v>
      </c>
      <c r="AX7674" t="str">
        <f t="shared" si="624"/>
        <v>FOR</v>
      </c>
      <c r="AY7674" t="s">
        <v>55</v>
      </c>
    </row>
    <row r="7675" spans="1:51" hidden="1">
      <c r="A7675">
        <v>104379</v>
      </c>
      <c r="B7675" t="s">
        <v>1281</v>
      </c>
      <c r="C7675" t="str">
        <f t="shared" si="628"/>
        <v>01836081008</v>
      </c>
      <c r="D7675" t="str">
        <f t="shared" si="629"/>
        <v>07668030583</v>
      </c>
      <c r="E7675" t="s">
        <v>52</v>
      </c>
      <c r="F7675">
        <v>2015</v>
      </c>
      <c r="G7675">
        <v>78547</v>
      </c>
      <c r="H7675" s="1">
        <v>42062</v>
      </c>
      <c r="I7675" s="1">
        <v>42080</v>
      </c>
      <c r="J7675" s="1">
        <v>42080</v>
      </c>
      <c r="K7675" s="1">
        <v>42140</v>
      </c>
      <c r="N7675" s="5"/>
      <c r="O7675">
        <v>550</v>
      </c>
      <c r="P7675">
        <v>135</v>
      </c>
      <c r="Q7675" s="2">
        <v>74250</v>
      </c>
      <c r="R7675">
        <v>0</v>
      </c>
      <c r="V7675">
        <v>0</v>
      </c>
      <c r="W7675">
        <v>0</v>
      </c>
      <c r="X7675">
        <v>0</v>
      </c>
      <c r="Y7675">
        <v>572</v>
      </c>
      <c r="Z7675">
        <v>572</v>
      </c>
      <c r="AA7675">
        <v>572</v>
      </c>
      <c r="AB7675" s="1">
        <v>42382</v>
      </c>
      <c r="AC7675" t="s">
        <v>53</v>
      </c>
      <c r="AD7675" t="s">
        <v>53</v>
      </c>
      <c r="AK7675">
        <v>0</v>
      </c>
      <c r="AU7675" s="6">
        <v>42275</v>
      </c>
      <c r="AV7675" s="6">
        <v>42275</v>
      </c>
      <c r="AW7675" t="s">
        <v>54</v>
      </c>
      <c r="AX7675" t="str">
        <f t="shared" si="624"/>
        <v>FOR</v>
      </c>
      <c r="AY7675" t="s">
        <v>55</v>
      </c>
    </row>
    <row r="7676" spans="1:51">
      <c r="A7676">
        <v>104379</v>
      </c>
      <c r="B7676" t="s">
        <v>1281</v>
      </c>
      <c r="C7676" t="str">
        <f t="shared" si="628"/>
        <v>01836081008</v>
      </c>
      <c r="D7676" t="str">
        <f t="shared" si="629"/>
        <v>07668030583</v>
      </c>
      <c r="E7676" t="s">
        <v>52</v>
      </c>
      <c r="F7676">
        <v>2015</v>
      </c>
      <c r="G7676">
        <v>78879</v>
      </c>
      <c r="H7676" s="1">
        <v>42093</v>
      </c>
      <c r="I7676" s="1">
        <v>42108</v>
      </c>
      <c r="J7676" s="1">
        <v>42108</v>
      </c>
      <c r="K7676" s="1">
        <v>42168</v>
      </c>
      <c r="L7676" s="7">
        <v>139</v>
      </c>
      <c r="M7676" s="5">
        <v>170</v>
      </c>
      <c r="N7676" s="7">
        <v>23630</v>
      </c>
      <c r="O7676">
        <v>139</v>
      </c>
      <c r="P7676">
        <v>170</v>
      </c>
      <c r="Q7676" s="2">
        <v>23630</v>
      </c>
      <c r="R7676">
        <v>0</v>
      </c>
      <c r="V7676">
        <v>0</v>
      </c>
      <c r="W7676">
        <v>0</v>
      </c>
      <c r="X7676">
        <v>0</v>
      </c>
      <c r="Y7676">
        <v>144.56</v>
      </c>
      <c r="Z7676">
        <v>144.56</v>
      </c>
      <c r="AA7676">
        <v>144.56</v>
      </c>
      <c r="AB7676" s="1">
        <v>42382</v>
      </c>
      <c r="AC7676" t="s">
        <v>53</v>
      </c>
      <c r="AD7676" t="s">
        <v>53</v>
      </c>
      <c r="AK7676">
        <v>0</v>
      </c>
      <c r="AU7676" s="6">
        <v>42338</v>
      </c>
      <c r="AV7676" s="6">
        <v>42338</v>
      </c>
      <c r="AW7676" t="s">
        <v>54</v>
      </c>
      <c r="AX7676" t="str">
        <f t="shared" si="624"/>
        <v>FOR</v>
      </c>
      <c r="AY7676" t="s">
        <v>55</v>
      </c>
    </row>
    <row r="7677" spans="1:51">
      <c r="A7677">
        <v>104379</v>
      </c>
      <c r="B7677" t="s">
        <v>1281</v>
      </c>
      <c r="C7677" t="str">
        <f t="shared" si="628"/>
        <v>01836081008</v>
      </c>
      <c r="D7677" t="str">
        <f t="shared" si="629"/>
        <v>07668030583</v>
      </c>
      <c r="E7677" t="s">
        <v>52</v>
      </c>
      <c r="F7677">
        <v>2015</v>
      </c>
      <c r="G7677">
        <v>78880</v>
      </c>
      <c r="H7677" s="1">
        <v>42093</v>
      </c>
      <c r="I7677" s="1">
        <v>42108</v>
      </c>
      <c r="J7677" s="1">
        <v>42108</v>
      </c>
      <c r="K7677" s="1">
        <v>42168</v>
      </c>
      <c r="L7677" s="7">
        <v>139</v>
      </c>
      <c r="M7677" s="5">
        <v>170</v>
      </c>
      <c r="N7677" s="7">
        <v>23630</v>
      </c>
      <c r="O7677">
        <v>139</v>
      </c>
      <c r="P7677">
        <v>170</v>
      </c>
      <c r="Q7677" s="2">
        <v>23630</v>
      </c>
      <c r="R7677">
        <v>0</v>
      </c>
      <c r="V7677">
        <v>0</v>
      </c>
      <c r="W7677">
        <v>0</v>
      </c>
      <c r="X7677">
        <v>0</v>
      </c>
      <c r="Y7677">
        <v>144.56</v>
      </c>
      <c r="Z7677">
        <v>144.56</v>
      </c>
      <c r="AA7677">
        <v>144.56</v>
      </c>
      <c r="AB7677" s="1">
        <v>42382</v>
      </c>
      <c r="AC7677" t="s">
        <v>53</v>
      </c>
      <c r="AD7677" t="s">
        <v>53</v>
      </c>
      <c r="AK7677">
        <v>0</v>
      </c>
      <c r="AU7677" s="6">
        <v>42338</v>
      </c>
      <c r="AV7677" s="6">
        <v>42338</v>
      </c>
      <c r="AW7677" t="s">
        <v>54</v>
      </c>
      <c r="AX7677" t="str">
        <f t="shared" si="624"/>
        <v>FOR</v>
      </c>
      <c r="AY7677" t="s">
        <v>55</v>
      </c>
    </row>
    <row r="7678" spans="1:51">
      <c r="A7678">
        <v>104379</v>
      </c>
      <c r="B7678" t="s">
        <v>1281</v>
      </c>
      <c r="C7678" t="str">
        <f t="shared" si="628"/>
        <v>01836081008</v>
      </c>
      <c r="D7678" t="str">
        <f t="shared" si="629"/>
        <v>07668030583</v>
      </c>
      <c r="E7678" t="s">
        <v>52</v>
      </c>
      <c r="F7678">
        <v>2015</v>
      </c>
      <c r="G7678">
        <v>78964</v>
      </c>
      <c r="H7678" s="1">
        <v>42093</v>
      </c>
      <c r="I7678" s="1">
        <v>42108</v>
      </c>
      <c r="J7678" s="1">
        <v>42108</v>
      </c>
      <c r="K7678" s="1">
        <v>42168</v>
      </c>
      <c r="L7678" s="7">
        <v>550</v>
      </c>
      <c r="M7678" s="5">
        <v>170</v>
      </c>
      <c r="N7678" s="7">
        <v>93500</v>
      </c>
      <c r="O7678">
        <v>550</v>
      </c>
      <c r="P7678">
        <v>170</v>
      </c>
      <c r="Q7678" s="2">
        <v>93500</v>
      </c>
      <c r="R7678">
        <v>0</v>
      </c>
      <c r="V7678">
        <v>0</v>
      </c>
      <c r="W7678">
        <v>0</v>
      </c>
      <c r="X7678">
        <v>0</v>
      </c>
      <c r="Y7678">
        <v>572</v>
      </c>
      <c r="Z7678">
        <v>572</v>
      </c>
      <c r="AA7678">
        <v>572</v>
      </c>
      <c r="AB7678" s="1">
        <v>42382</v>
      </c>
      <c r="AC7678" t="s">
        <v>53</v>
      </c>
      <c r="AD7678" t="s">
        <v>53</v>
      </c>
      <c r="AK7678">
        <v>0</v>
      </c>
      <c r="AU7678" s="6">
        <v>42338</v>
      </c>
      <c r="AV7678" s="6">
        <v>42338</v>
      </c>
      <c r="AW7678" t="s">
        <v>54</v>
      </c>
      <c r="AX7678" t="str">
        <f t="shared" si="624"/>
        <v>FOR</v>
      </c>
      <c r="AY7678" t="s">
        <v>55</v>
      </c>
    </row>
    <row r="7679" spans="1:51">
      <c r="A7679">
        <v>104379</v>
      </c>
      <c r="B7679" t="s">
        <v>1281</v>
      </c>
      <c r="C7679" t="str">
        <f t="shared" si="628"/>
        <v>01836081008</v>
      </c>
      <c r="D7679" t="str">
        <f t="shared" si="629"/>
        <v>07668030583</v>
      </c>
      <c r="E7679" t="s">
        <v>52</v>
      </c>
      <c r="F7679">
        <v>2015</v>
      </c>
      <c r="G7679">
        <v>78965</v>
      </c>
      <c r="H7679" s="1">
        <v>42093</v>
      </c>
      <c r="I7679" s="1">
        <v>42108</v>
      </c>
      <c r="J7679" s="1">
        <v>42108</v>
      </c>
      <c r="K7679" s="1">
        <v>42168</v>
      </c>
      <c r="L7679" s="7">
        <v>550</v>
      </c>
      <c r="M7679" s="5">
        <v>170</v>
      </c>
      <c r="N7679" s="7">
        <v>93500</v>
      </c>
      <c r="O7679">
        <v>550</v>
      </c>
      <c r="P7679">
        <v>170</v>
      </c>
      <c r="Q7679" s="2">
        <v>93500</v>
      </c>
      <c r="R7679">
        <v>0</v>
      </c>
      <c r="V7679">
        <v>0</v>
      </c>
      <c r="W7679">
        <v>0</v>
      </c>
      <c r="X7679">
        <v>0</v>
      </c>
      <c r="Y7679">
        <v>572</v>
      </c>
      <c r="Z7679">
        <v>572</v>
      </c>
      <c r="AA7679">
        <v>572</v>
      </c>
      <c r="AB7679" s="1">
        <v>42382</v>
      </c>
      <c r="AC7679" t="s">
        <v>53</v>
      </c>
      <c r="AD7679" t="s">
        <v>53</v>
      </c>
      <c r="AK7679">
        <v>0</v>
      </c>
      <c r="AU7679" s="6">
        <v>42338</v>
      </c>
      <c r="AV7679" s="6">
        <v>42338</v>
      </c>
      <c r="AW7679" t="s">
        <v>54</v>
      </c>
      <c r="AX7679" t="str">
        <f t="shared" si="624"/>
        <v>FOR</v>
      </c>
      <c r="AY7679" t="s">
        <v>55</v>
      </c>
    </row>
    <row r="7680" spans="1:51">
      <c r="A7680">
        <v>104379</v>
      </c>
      <c r="B7680" t="s">
        <v>1281</v>
      </c>
      <c r="C7680" t="str">
        <f t="shared" si="628"/>
        <v>01836081008</v>
      </c>
      <c r="D7680" t="str">
        <f t="shared" si="629"/>
        <v>07668030583</v>
      </c>
      <c r="E7680" t="s">
        <v>52</v>
      </c>
      <c r="F7680">
        <v>2015</v>
      </c>
      <c r="G7680">
        <v>78966</v>
      </c>
      <c r="H7680" s="1">
        <v>42093</v>
      </c>
      <c r="I7680" s="1">
        <v>42108</v>
      </c>
      <c r="J7680" s="1">
        <v>42108</v>
      </c>
      <c r="K7680" s="1">
        <v>42168</v>
      </c>
      <c r="L7680" s="7">
        <v>500</v>
      </c>
      <c r="M7680" s="5">
        <v>170</v>
      </c>
      <c r="N7680" s="7">
        <v>85000</v>
      </c>
      <c r="O7680">
        <v>500</v>
      </c>
      <c r="P7680">
        <v>170</v>
      </c>
      <c r="Q7680" s="2">
        <v>85000</v>
      </c>
      <c r="R7680">
        <v>0</v>
      </c>
      <c r="V7680">
        <v>0</v>
      </c>
      <c r="W7680">
        <v>0</v>
      </c>
      <c r="X7680">
        <v>0</v>
      </c>
      <c r="Y7680">
        <v>520</v>
      </c>
      <c r="Z7680">
        <v>520</v>
      </c>
      <c r="AA7680">
        <v>520</v>
      </c>
      <c r="AB7680" s="1">
        <v>42382</v>
      </c>
      <c r="AC7680" t="s">
        <v>53</v>
      </c>
      <c r="AD7680" t="s">
        <v>53</v>
      </c>
      <c r="AK7680">
        <v>0</v>
      </c>
      <c r="AU7680" s="6">
        <v>42338</v>
      </c>
      <c r="AV7680" s="6">
        <v>42338</v>
      </c>
      <c r="AW7680" t="s">
        <v>54</v>
      </c>
      <c r="AX7680" t="str">
        <f t="shared" si="624"/>
        <v>FOR</v>
      </c>
      <c r="AY7680" t="s">
        <v>55</v>
      </c>
    </row>
    <row r="7681" spans="1:51">
      <c r="A7681">
        <v>104379</v>
      </c>
      <c r="B7681" t="s">
        <v>1281</v>
      </c>
      <c r="C7681" t="str">
        <f t="shared" si="628"/>
        <v>01836081008</v>
      </c>
      <c r="D7681" t="str">
        <f t="shared" si="629"/>
        <v>07668030583</v>
      </c>
      <c r="E7681" t="s">
        <v>52</v>
      </c>
      <c r="F7681">
        <v>2015</v>
      </c>
      <c r="G7681">
        <v>78967</v>
      </c>
      <c r="H7681" s="1">
        <v>42093</v>
      </c>
      <c r="I7681" s="1">
        <v>42108</v>
      </c>
      <c r="J7681" s="1">
        <v>42108</v>
      </c>
      <c r="K7681" s="1">
        <v>42168</v>
      </c>
      <c r="L7681" s="7">
        <v>139</v>
      </c>
      <c r="M7681" s="5">
        <v>170</v>
      </c>
      <c r="N7681" s="7">
        <v>23630</v>
      </c>
      <c r="O7681">
        <v>139</v>
      </c>
      <c r="P7681">
        <v>170</v>
      </c>
      <c r="Q7681" s="2">
        <v>23630</v>
      </c>
      <c r="R7681">
        <v>0</v>
      </c>
      <c r="V7681">
        <v>0</v>
      </c>
      <c r="W7681">
        <v>0</v>
      </c>
      <c r="X7681">
        <v>0</v>
      </c>
      <c r="Y7681">
        <v>144.56</v>
      </c>
      <c r="Z7681">
        <v>144.56</v>
      </c>
      <c r="AA7681">
        <v>144.56</v>
      </c>
      <c r="AB7681" s="1">
        <v>42382</v>
      </c>
      <c r="AC7681" t="s">
        <v>53</v>
      </c>
      <c r="AD7681" t="s">
        <v>53</v>
      </c>
      <c r="AK7681">
        <v>0</v>
      </c>
      <c r="AU7681" s="6">
        <v>42338</v>
      </c>
      <c r="AV7681" s="6">
        <v>42338</v>
      </c>
      <c r="AW7681" t="s">
        <v>54</v>
      </c>
      <c r="AX7681" t="str">
        <f t="shared" si="624"/>
        <v>FOR</v>
      </c>
      <c r="AY7681" t="s">
        <v>55</v>
      </c>
    </row>
    <row r="7682" spans="1:51">
      <c r="A7682">
        <v>104379</v>
      </c>
      <c r="B7682" t="s">
        <v>1281</v>
      </c>
      <c r="C7682" t="str">
        <f t="shared" si="628"/>
        <v>01836081008</v>
      </c>
      <c r="D7682" t="str">
        <f t="shared" si="629"/>
        <v>07668030583</v>
      </c>
      <c r="E7682" t="s">
        <v>52</v>
      </c>
      <c r="F7682">
        <v>2015</v>
      </c>
      <c r="G7682">
        <v>78968</v>
      </c>
      <c r="H7682" s="1">
        <v>42093</v>
      </c>
      <c r="I7682" s="1">
        <v>42108</v>
      </c>
      <c r="J7682" s="1">
        <v>42108</v>
      </c>
      <c r="K7682" s="1">
        <v>42168</v>
      </c>
      <c r="L7682" s="7">
        <v>139</v>
      </c>
      <c r="M7682" s="5">
        <v>170</v>
      </c>
      <c r="N7682" s="7">
        <v>23630</v>
      </c>
      <c r="O7682">
        <v>139</v>
      </c>
      <c r="P7682">
        <v>170</v>
      </c>
      <c r="Q7682" s="2">
        <v>23630</v>
      </c>
      <c r="R7682">
        <v>0</v>
      </c>
      <c r="V7682">
        <v>0</v>
      </c>
      <c r="W7682">
        <v>0</v>
      </c>
      <c r="X7682">
        <v>0</v>
      </c>
      <c r="Y7682">
        <v>144.56</v>
      </c>
      <c r="Z7682">
        <v>144.56</v>
      </c>
      <c r="AA7682">
        <v>144.56</v>
      </c>
      <c r="AB7682" s="1">
        <v>42382</v>
      </c>
      <c r="AC7682" t="s">
        <v>53</v>
      </c>
      <c r="AD7682" t="s">
        <v>53</v>
      </c>
      <c r="AK7682">
        <v>0</v>
      </c>
      <c r="AU7682" s="6">
        <v>42338</v>
      </c>
      <c r="AV7682" s="6">
        <v>42338</v>
      </c>
      <c r="AW7682" t="s">
        <v>54</v>
      </c>
      <c r="AX7682" t="str">
        <f t="shared" si="624"/>
        <v>FOR</v>
      </c>
      <c r="AY7682" t="s">
        <v>55</v>
      </c>
    </row>
    <row r="7683" spans="1:51">
      <c r="A7683">
        <v>104379</v>
      </c>
      <c r="B7683" t="s">
        <v>1281</v>
      </c>
      <c r="C7683" t="str">
        <f t="shared" si="628"/>
        <v>01836081008</v>
      </c>
      <c r="D7683" t="str">
        <f t="shared" si="629"/>
        <v>07668030583</v>
      </c>
      <c r="E7683" t="s">
        <v>52</v>
      </c>
      <c r="F7683">
        <v>2015</v>
      </c>
      <c r="G7683">
        <v>78969</v>
      </c>
      <c r="H7683" s="1">
        <v>42093</v>
      </c>
      <c r="I7683" s="1">
        <v>42108</v>
      </c>
      <c r="J7683" s="1">
        <v>42108</v>
      </c>
      <c r="K7683" s="1">
        <v>42168</v>
      </c>
      <c r="L7683" s="7">
        <v>500</v>
      </c>
      <c r="M7683" s="5">
        <v>170</v>
      </c>
      <c r="N7683" s="7">
        <v>85000</v>
      </c>
      <c r="O7683">
        <v>500</v>
      </c>
      <c r="P7683">
        <v>170</v>
      </c>
      <c r="Q7683" s="2">
        <v>85000</v>
      </c>
      <c r="R7683">
        <v>0</v>
      </c>
      <c r="V7683">
        <v>0</v>
      </c>
      <c r="W7683">
        <v>0</v>
      </c>
      <c r="X7683">
        <v>0</v>
      </c>
      <c r="Y7683">
        <v>520</v>
      </c>
      <c r="Z7683">
        <v>520</v>
      </c>
      <c r="AA7683">
        <v>520</v>
      </c>
      <c r="AB7683" s="1">
        <v>42382</v>
      </c>
      <c r="AC7683" t="s">
        <v>53</v>
      </c>
      <c r="AD7683" t="s">
        <v>53</v>
      </c>
      <c r="AK7683">
        <v>0</v>
      </c>
      <c r="AU7683" s="6">
        <v>42338</v>
      </c>
      <c r="AV7683" s="6">
        <v>42338</v>
      </c>
      <c r="AW7683" t="s">
        <v>54</v>
      </c>
      <c r="AX7683" t="str">
        <f t="shared" ref="AX7683:AX7746" si="630">"FOR"</f>
        <v>FOR</v>
      </c>
      <c r="AY7683" t="s">
        <v>55</v>
      </c>
    </row>
    <row r="7684" spans="1:51">
      <c r="A7684">
        <v>104379</v>
      </c>
      <c r="B7684" t="s">
        <v>1281</v>
      </c>
      <c r="C7684" t="str">
        <f t="shared" si="628"/>
        <v>01836081008</v>
      </c>
      <c r="D7684" t="str">
        <f t="shared" si="629"/>
        <v>07668030583</v>
      </c>
      <c r="E7684" t="s">
        <v>52</v>
      </c>
      <c r="F7684">
        <v>2015</v>
      </c>
      <c r="G7684" t="s">
        <v>1285</v>
      </c>
      <c r="H7684" s="1">
        <v>42153</v>
      </c>
      <c r="I7684" s="1">
        <v>42167</v>
      </c>
      <c r="J7684" s="1">
        <v>42166</v>
      </c>
      <c r="K7684" s="1">
        <v>42226</v>
      </c>
      <c r="L7684" s="7">
        <v>139</v>
      </c>
      <c r="M7684" s="5">
        <v>112</v>
      </c>
      <c r="N7684" s="7">
        <v>15568</v>
      </c>
      <c r="O7684">
        <v>139</v>
      </c>
      <c r="P7684">
        <v>112</v>
      </c>
      <c r="Q7684" s="2">
        <v>15568</v>
      </c>
      <c r="R7684">
        <v>0</v>
      </c>
      <c r="V7684">
        <v>0</v>
      </c>
      <c r="W7684">
        <v>0</v>
      </c>
      <c r="X7684">
        <v>0</v>
      </c>
      <c r="Y7684">
        <v>144.56</v>
      </c>
      <c r="Z7684">
        <v>144.56</v>
      </c>
      <c r="AA7684">
        <v>144.56</v>
      </c>
      <c r="AB7684" s="1">
        <v>42382</v>
      </c>
      <c r="AC7684" t="s">
        <v>53</v>
      </c>
      <c r="AD7684" t="s">
        <v>53</v>
      </c>
      <c r="AK7684">
        <v>0</v>
      </c>
      <c r="AU7684" s="6">
        <v>42338</v>
      </c>
      <c r="AV7684" s="6">
        <v>42338</v>
      </c>
      <c r="AW7684" t="s">
        <v>54</v>
      </c>
      <c r="AX7684" t="str">
        <f t="shared" si="630"/>
        <v>FOR</v>
      </c>
      <c r="AY7684" t="s">
        <v>55</v>
      </c>
    </row>
    <row r="7685" spans="1:51">
      <c r="A7685">
        <v>104379</v>
      </c>
      <c r="B7685" t="s">
        <v>1281</v>
      </c>
      <c r="C7685" t="str">
        <f t="shared" si="628"/>
        <v>01836081008</v>
      </c>
      <c r="D7685" t="str">
        <f t="shared" si="629"/>
        <v>07668030583</v>
      </c>
      <c r="E7685" t="s">
        <v>52</v>
      </c>
      <c r="F7685">
        <v>2015</v>
      </c>
      <c r="G7685" t="s">
        <v>1286</v>
      </c>
      <c r="H7685" s="1">
        <v>42153</v>
      </c>
      <c r="I7685" s="1">
        <v>42167</v>
      </c>
      <c r="J7685" s="1">
        <v>42166</v>
      </c>
      <c r="K7685" s="1">
        <v>42226</v>
      </c>
      <c r="L7685" s="7">
        <v>139</v>
      </c>
      <c r="M7685" s="5">
        <v>112</v>
      </c>
      <c r="N7685" s="7">
        <v>15568</v>
      </c>
      <c r="O7685">
        <v>139</v>
      </c>
      <c r="P7685">
        <v>112</v>
      </c>
      <c r="Q7685" s="2">
        <v>15568</v>
      </c>
      <c r="R7685">
        <v>0</v>
      </c>
      <c r="V7685">
        <v>0</v>
      </c>
      <c r="W7685">
        <v>0</v>
      </c>
      <c r="X7685">
        <v>0</v>
      </c>
      <c r="Y7685">
        <v>144.56</v>
      </c>
      <c r="Z7685">
        <v>144.56</v>
      </c>
      <c r="AA7685">
        <v>144.56</v>
      </c>
      <c r="AB7685" s="1">
        <v>42382</v>
      </c>
      <c r="AC7685" t="s">
        <v>53</v>
      </c>
      <c r="AD7685" t="s">
        <v>53</v>
      </c>
      <c r="AK7685">
        <v>0</v>
      </c>
      <c r="AU7685" s="6">
        <v>42338</v>
      </c>
      <c r="AV7685" s="6">
        <v>42338</v>
      </c>
      <c r="AW7685" t="s">
        <v>54</v>
      </c>
      <c r="AX7685" t="str">
        <f t="shared" si="630"/>
        <v>FOR</v>
      </c>
      <c r="AY7685" t="s">
        <v>55</v>
      </c>
    </row>
    <row r="7686" spans="1:51">
      <c r="A7686">
        <v>104379</v>
      </c>
      <c r="B7686" t="s">
        <v>1281</v>
      </c>
      <c r="C7686" t="str">
        <f t="shared" si="628"/>
        <v>01836081008</v>
      </c>
      <c r="D7686" t="str">
        <f t="shared" si="629"/>
        <v>07668030583</v>
      </c>
      <c r="E7686" t="s">
        <v>52</v>
      </c>
      <c r="F7686">
        <v>2015</v>
      </c>
      <c r="G7686" t="s">
        <v>1287</v>
      </c>
      <c r="H7686" s="1">
        <v>42153</v>
      </c>
      <c r="I7686" s="1">
        <v>42171</v>
      </c>
      <c r="J7686" s="1">
        <v>42170</v>
      </c>
      <c r="K7686" s="1">
        <v>42230</v>
      </c>
      <c r="L7686" s="7">
        <v>500</v>
      </c>
      <c r="M7686" s="5">
        <v>108</v>
      </c>
      <c r="N7686" s="7">
        <v>54000</v>
      </c>
      <c r="O7686">
        <v>500</v>
      </c>
      <c r="P7686">
        <v>108</v>
      </c>
      <c r="Q7686" s="2">
        <v>54000</v>
      </c>
      <c r="R7686">
        <v>0</v>
      </c>
      <c r="V7686">
        <v>0</v>
      </c>
      <c r="W7686">
        <v>0</v>
      </c>
      <c r="X7686">
        <v>0</v>
      </c>
      <c r="Y7686">
        <v>520</v>
      </c>
      <c r="Z7686">
        <v>520</v>
      </c>
      <c r="AA7686">
        <v>520</v>
      </c>
      <c r="AB7686" s="1">
        <v>42382</v>
      </c>
      <c r="AC7686" t="s">
        <v>53</v>
      </c>
      <c r="AD7686" t="s">
        <v>53</v>
      </c>
      <c r="AK7686">
        <v>0</v>
      </c>
      <c r="AU7686" s="6">
        <v>42338</v>
      </c>
      <c r="AV7686" s="6">
        <v>42338</v>
      </c>
      <c r="AW7686" t="s">
        <v>54</v>
      </c>
      <c r="AX7686" t="str">
        <f t="shared" si="630"/>
        <v>FOR</v>
      </c>
      <c r="AY7686" t="s">
        <v>55</v>
      </c>
    </row>
    <row r="7687" spans="1:51">
      <c r="A7687">
        <v>104379</v>
      </c>
      <c r="B7687" t="s">
        <v>1281</v>
      </c>
      <c r="C7687" t="str">
        <f t="shared" si="628"/>
        <v>01836081008</v>
      </c>
      <c r="D7687" t="str">
        <f t="shared" si="629"/>
        <v>07668030583</v>
      </c>
      <c r="E7687" t="s">
        <v>52</v>
      </c>
      <c r="F7687">
        <v>2015</v>
      </c>
      <c r="G7687" t="s">
        <v>1288</v>
      </c>
      <c r="H7687" s="1">
        <v>42153</v>
      </c>
      <c r="I7687" s="1">
        <v>42171</v>
      </c>
      <c r="J7687" s="1">
        <v>42170</v>
      </c>
      <c r="K7687" s="1">
        <v>42230</v>
      </c>
      <c r="L7687" s="7">
        <v>550</v>
      </c>
      <c r="M7687" s="5">
        <v>108</v>
      </c>
      <c r="N7687" s="7">
        <v>59400</v>
      </c>
      <c r="O7687">
        <v>550</v>
      </c>
      <c r="P7687">
        <v>108</v>
      </c>
      <c r="Q7687" s="2">
        <v>59400</v>
      </c>
      <c r="R7687">
        <v>0</v>
      </c>
      <c r="V7687">
        <v>0</v>
      </c>
      <c r="W7687">
        <v>0</v>
      </c>
      <c r="X7687">
        <v>0</v>
      </c>
      <c r="Y7687">
        <v>572</v>
      </c>
      <c r="Z7687">
        <v>572</v>
      </c>
      <c r="AA7687">
        <v>572</v>
      </c>
      <c r="AB7687" s="1">
        <v>42382</v>
      </c>
      <c r="AC7687" t="s">
        <v>53</v>
      </c>
      <c r="AD7687" t="s">
        <v>53</v>
      </c>
      <c r="AK7687">
        <v>0</v>
      </c>
      <c r="AU7687" s="6">
        <v>42338</v>
      </c>
      <c r="AV7687" s="6">
        <v>42338</v>
      </c>
      <c r="AW7687" t="s">
        <v>54</v>
      </c>
      <c r="AX7687" t="str">
        <f t="shared" si="630"/>
        <v>FOR</v>
      </c>
      <c r="AY7687" t="s">
        <v>55</v>
      </c>
    </row>
    <row r="7688" spans="1:51">
      <c r="A7688">
        <v>104379</v>
      </c>
      <c r="B7688" t="s">
        <v>1281</v>
      </c>
      <c r="C7688" t="str">
        <f t="shared" si="628"/>
        <v>01836081008</v>
      </c>
      <c r="D7688" t="str">
        <f t="shared" si="629"/>
        <v>07668030583</v>
      </c>
      <c r="E7688" t="s">
        <v>52</v>
      </c>
      <c r="F7688">
        <v>2015</v>
      </c>
      <c r="G7688" t="s">
        <v>1289</v>
      </c>
      <c r="H7688" s="1">
        <v>42153</v>
      </c>
      <c r="I7688" s="1">
        <v>42171</v>
      </c>
      <c r="J7688" s="1">
        <v>42170</v>
      </c>
      <c r="K7688" s="1">
        <v>42230</v>
      </c>
      <c r="L7688" s="7">
        <v>500</v>
      </c>
      <c r="M7688" s="5">
        <v>108</v>
      </c>
      <c r="N7688" s="7">
        <v>54000</v>
      </c>
      <c r="O7688">
        <v>500</v>
      </c>
      <c r="P7688">
        <v>108</v>
      </c>
      <c r="Q7688" s="2">
        <v>54000</v>
      </c>
      <c r="R7688">
        <v>0</v>
      </c>
      <c r="V7688">
        <v>0</v>
      </c>
      <c r="W7688">
        <v>0</v>
      </c>
      <c r="X7688">
        <v>0</v>
      </c>
      <c r="Y7688">
        <v>520</v>
      </c>
      <c r="Z7688">
        <v>520</v>
      </c>
      <c r="AA7688">
        <v>520</v>
      </c>
      <c r="AB7688" s="1">
        <v>42382</v>
      </c>
      <c r="AC7688" t="s">
        <v>53</v>
      </c>
      <c r="AD7688" t="s">
        <v>53</v>
      </c>
      <c r="AK7688">
        <v>0</v>
      </c>
      <c r="AU7688" s="6">
        <v>42338</v>
      </c>
      <c r="AV7688" s="6">
        <v>42338</v>
      </c>
      <c r="AW7688" t="s">
        <v>54</v>
      </c>
      <c r="AX7688" t="str">
        <f t="shared" si="630"/>
        <v>FOR</v>
      </c>
      <c r="AY7688" t="s">
        <v>55</v>
      </c>
    </row>
    <row r="7689" spans="1:51">
      <c r="A7689">
        <v>104379</v>
      </c>
      <c r="B7689" t="s">
        <v>1281</v>
      </c>
      <c r="C7689" t="str">
        <f t="shared" si="628"/>
        <v>01836081008</v>
      </c>
      <c r="D7689" t="str">
        <f t="shared" si="629"/>
        <v>07668030583</v>
      </c>
      <c r="E7689" t="s">
        <v>52</v>
      </c>
      <c r="F7689">
        <v>2015</v>
      </c>
      <c r="G7689" t="s">
        <v>1290</v>
      </c>
      <c r="H7689" s="1">
        <v>42153</v>
      </c>
      <c r="I7689" s="1">
        <v>42171</v>
      </c>
      <c r="J7689" s="1">
        <v>42170</v>
      </c>
      <c r="K7689" s="1">
        <v>42230</v>
      </c>
      <c r="L7689" s="7">
        <v>550</v>
      </c>
      <c r="M7689" s="5">
        <v>108</v>
      </c>
      <c r="N7689" s="7">
        <v>59400</v>
      </c>
      <c r="O7689">
        <v>550</v>
      </c>
      <c r="P7689">
        <v>108</v>
      </c>
      <c r="Q7689" s="2">
        <v>59400</v>
      </c>
      <c r="R7689">
        <v>0</v>
      </c>
      <c r="V7689">
        <v>0</v>
      </c>
      <c r="W7689">
        <v>0</v>
      </c>
      <c r="X7689">
        <v>0</v>
      </c>
      <c r="Y7689">
        <v>572</v>
      </c>
      <c r="Z7689">
        <v>572</v>
      </c>
      <c r="AA7689">
        <v>572</v>
      </c>
      <c r="AB7689" s="1">
        <v>42382</v>
      </c>
      <c r="AC7689" t="s">
        <v>53</v>
      </c>
      <c r="AD7689" t="s">
        <v>53</v>
      </c>
      <c r="AK7689">
        <v>0</v>
      </c>
      <c r="AU7689" s="6">
        <v>42338</v>
      </c>
      <c r="AV7689" s="6">
        <v>42338</v>
      </c>
      <c r="AW7689" t="s">
        <v>54</v>
      </c>
      <c r="AX7689" t="str">
        <f t="shared" si="630"/>
        <v>FOR</v>
      </c>
      <c r="AY7689" t="s">
        <v>55</v>
      </c>
    </row>
    <row r="7690" spans="1:51">
      <c r="A7690">
        <v>104379</v>
      </c>
      <c r="B7690" t="s">
        <v>1281</v>
      </c>
      <c r="C7690" t="str">
        <f t="shared" si="628"/>
        <v>01836081008</v>
      </c>
      <c r="D7690" t="str">
        <f t="shared" si="629"/>
        <v>07668030583</v>
      </c>
      <c r="E7690" t="s">
        <v>52</v>
      </c>
      <c r="F7690">
        <v>2015</v>
      </c>
      <c r="G7690" t="s">
        <v>1291</v>
      </c>
      <c r="H7690" s="1">
        <v>42153</v>
      </c>
      <c r="I7690" s="1">
        <v>42171</v>
      </c>
      <c r="J7690" s="1">
        <v>42170</v>
      </c>
      <c r="K7690" s="1">
        <v>42230</v>
      </c>
      <c r="L7690" s="7">
        <v>139</v>
      </c>
      <c r="M7690" s="5">
        <v>108</v>
      </c>
      <c r="N7690" s="7">
        <v>15012</v>
      </c>
      <c r="O7690">
        <v>139</v>
      </c>
      <c r="P7690">
        <v>108</v>
      </c>
      <c r="Q7690" s="2">
        <v>15012</v>
      </c>
      <c r="R7690">
        <v>0</v>
      </c>
      <c r="V7690">
        <v>0</v>
      </c>
      <c r="W7690">
        <v>0</v>
      </c>
      <c r="X7690">
        <v>0</v>
      </c>
      <c r="Y7690">
        <v>144.56</v>
      </c>
      <c r="Z7690">
        <v>144.56</v>
      </c>
      <c r="AA7690">
        <v>144.56</v>
      </c>
      <c r="AB7690" s="1">
        <v>42382</v>
      </c>
      <c r="AC7690" t="s">
        <v>53</v>
      </c>
      <c r="AD7690" t="s">
        <v>53</v>
      </c>
      <c r="AK7690">
        <v>0</v>
      </c>
      <c r="AU7690" s="6">
        <v>42338</v>
      </c>
      <c r="AV7690" s="6">
        <v>42338</v>
      </c>
      <c r="AW7690" t="s">
        <v>54</v>
      </c>
      <c r="AX7690" t="str">
        <f t="shared" si="630"/>
        <v>FOR</v>
      </c>
      <c r="AY7690" t="s">
        <v>55</v>
      </c>
    </row>
    <row r="7691" spans="1:51">
      <c r="A7691">
        <v>104379</v>
      </c>
      <c r="B7691" t="s">
        <v>1281</v>
      </c>
      <c r="C7691" t="str">
        <f t="shared" si="628"/>
        <v>01836081008</v>
      </c>
      <c r="D7691" t="str">
        <f t="shared" si="629"/>
        <v>07668030583</v>
      </c>
      <c r="E7691" t="s">
        <v>52</v>
      </c>
      <c r="F7691">
        <v>2015</v>
      </c>
      <c r="G7691" t="s">
        <v>1292</v>
      </c>
      <c r="H7691" s="1">
        <v>42153</v>
      </c>
      <c r="I7691" s="1">
        <v>42171</v>
      </c>
      <c r="J7691" s="1">
        <v>42170</v>
      </c>
      <c r="K7691" s="1">
        <v>42230</v>
      </c>
      <c r="L7691" s="7">
        <v>139</v>
      </c>
      <c r="M7691" s="5">
        <v>108</v>
      </c>
      <c r="N7691" s="7">
        <v>15012</v>
      </c>
      <c r="O7691">
        <v>139</v>
      </c>
      <c r="P7691">
        <v>108</v>
      </c>
      <c r="Q7691" s="2">
        <v>15012</v>
      </c>
      <c r="R7691">
        <v>0</v>
      </c>
      <c r="V7691">
        <v>0</v>
      </c>
      <c r="W7691">
        <v>0</v>
      </c>
      <c r="X7691">
        <v>0</v>
      </c>
      <c r="Y7691">
        <v>144.56</v>
      </c>
      <c r="Z7691">
        <v>144.56</v>
      </c>
      <c r="AA7691">
        <v>144.56</v>
      </c>
      <c r="AB7691" s="1">
        <v>42382</v>
      </c>
      <c r="AC7691" t="s">
        <v>53</v>
      </c>
      <c r="AD7691" t="s">
        <v>53</v>
      </c>
      <c r="AK7691">
        <v>0</v>
      </c>
      <c r="AU7691" s="6">
        <v>42338</v>
      </c>
      <c r="AV7691" s="6">
        <v>42338</v>
      </c>
      <c r="AW7691" t="s">
        <v>54</v>
      </c>
      <c r="AX7691" t="str">
        <f t="shared" si="630"/>
        <v>FOR</v>
      </c>
      <c r="AY7691" t="s">
        <v>55</v>
      </c>
    </row>
    <row r="7692" spans="1:51">
      <c r="A7692">
        <v>104379</v>
      </c>
      <c r="B7692" t="s">
        <v>1281</v>
      </c>
      <c r="C7692" t="str">
        <f t="shared" si="628"/>
        <v>01836081008</v>
      </c>
      <c r="D7692" t="str">
        <f t="shared" si="629"/>
        <v>07668030583</v>
      </c>
      <c r="E7692" t="s">
        <v>52</v>
      </c>
      <c r="F7692">
        <v>2015</v>
      </c>
      <c r="G7692" t="s">
        <v>1293</v>
      </c>
      <c r="H7692" s="1">
        <v>42153</v>
      </c>
      <c r="I7692" s="1">
        <v>42171</v>
      </c>
      <c r="J7692" s="1">
        <v>42170</v>
      </c>
      <c r="K7692" s="1">
        <v>42230</v>
      </c>
      <c r="L7692" s="7">
        <v>550</v>
      </c>
      <c r="M7692" s="5">
        <v>108</v>
      </c>
      <c r="N7692" s="7">
        <v>59400</v>
      </c>
      <c r="O7692">
        <v>550</v>
      </c>
      <c r="P7692">
        <v>108</v>
      </c>
      <c r="Q7692" s="2">
        <v>59400</v>
      </c>
      <c r="R7692">
        <v>0</v>
      </c>
      <c r="V7692">
        <v>0</v>
      </c>
      <c r="W7692">
        <v>0</v>
      </c>
      <c r="X7692">
        <v>0</v>
      </c>
      <c r="Y7692">
        <v>572</v>
      </c>
      <c r="Z7692">
        <v>572</v>
      </c>
      <c r="AA7692">
        <v>572</v>
      </c>
      <c r="AB7692" s="1">
        <v>42382</v>
      </c>
      <c r="AC7692" t="s">
        <v>53</v>
      </c>
      <c r="AD7692" t="s">
        <v>53</v>
      </c>
      <c r="AK7692">
        <v>0</v>
      </c>
      <c r="AU7692" s="6">
        <v>42338</v>
      </c>
      <c r="AV7692" s="6">
        <v>42338</v>
      </c>
      <c r="AW7692" t="s">
        <v>54</v>
      </c>
      <c r="AX7692" t="str">
        <f t="shared" si="630"/>
        <v>FOR</v>
      </c>
      <c r="AY7692" t="s">
        <v>55</v>
      </c>
    </row>
    <row r="7693" spans="1:51">
      <c r="A7693">
        <v>104379</v>
      </c>
      <c r="B7693" t="s">
        <v>1281</v>
      </c>
      <c r="C7693" t="str">
        <f t="shared" si="628"/>
        <v>01836081008</v>
      </c>
      <c r="D7693" t="str">
        <f t="shared" si="629"/>
        <v>07668030583</v>
      </c>
      <c r="E7693" t="s">
        <v>52</v>
      </c>
      <c r="F7693">
        <v>2015</v>
      </c>
      <c r="G7693" t="s">
        <v>1294</v>
      </c>
      <c r="H7693" s="1">
        <v>42185</v>
      </c>
      <c r="I7693" s="1">
        <v>42206</v>
      </c>
      <c r="J7693" s="1">
        <v>42205</v>
      </c>
      <c r="K7693" s="1">
        <v>42265</v>
      </c>
      <c r="L7693" s="7">
        <v>550</v>
      </c>
      <c r="M7693" s="5">
        <v>73</v>
      </c>
      <c r="N7693" s="7">
        <v>40150</v>
      </c>
      <c r="O7693">
        <v>550</v>
      </c>
      <c r="P7693">
        <v>73</v>
      </c>
      <c r="Q7693" s="2">
        <v>40150</v>
      </c>
      <c r="R7693">
        <v>0</v>
      </c>
      <c r="V7693">
        <v>0</v>
      </c>
      <c r="W7693">
        <v>0</v>
      </c>
      <c r="X7693">
        <v>0</v>
      </c>
      <c r="Y7693">
        <v>572</v>
      </c>
      <c r="Z7693">
        <v>572</v>
      </c>
      <c r="AA7693">
        <v>572</v>
      </c>
      <c r="AB7693" s="1">
        <v>42382</v>
      </c>
      <c r="AC7693" t="s">
        <v>53</v>
      </c>
      <c r="AD7693" t="s">
        <v>53</v>
      </c>
      <c r="AK7693">
        <v>0</v>
      </c>
      <c r="AU7693" s="6">
        <v>42338</v>
      </c>
      <c r="AV7693" s="6">
        <v>42338</v>
      </c>
      <c r="AW7693" t="s">
        <v>54</v>
      </c>
      <c r="AX7693" t="str">
        <f t="shared" si="630"/>
        <v>FOR</v>
      </c>
      <c r="AY7693" t="s">
        <v>55</v>
      </c>
    </row>
    <row r="7694" spans="1:51">
      <c r="A7694">
        <v>104379</v>
      </c>
      <c r="B7694" t="s">
        <v>1281</v>
      </c>
      <c r="C7694" t="str">
        <f t="shared" si="628"/>
        <v>01836081008</v>
      </c>
      <c r="D7694" t="str">
        <f t="shared" si="629"/>
        <v>07668030583</v>
      </c>
      <c r="E7694" t="s">
        <v>52</v>
      </c>
      <c r="F7694">
        <v>2015</v>
      </c>
      <c r="G7694" t="s">
        <v>1295</v>
      </c>
      <c r="H7694" s="1">
        <v>42185</v>
      </c>
      <c r="I7694" s="1">
        <v>42206</v>
      </c>
      <c r="J7694" s="1">
        <v>42205</v>
      </c>
      <c r="K7694" s="1">
        <v>42265</v>
      </c>
      <c r="L7694" s="7">
        <v>139</v>
      </c>
      <c r="M7694" s="5">
        <v>73</v>
      </c>
      <c r="N7694" s="7">
        <v>10147</v>
      </c>
      <c r="O7694">
        <v>139</v>
      </c>
      <c r="P7694">
        <v>73</v>
      </c>
      <c r="Q7694" s="2">
        <v>10147</v>
      </c>
      <c r="R7694">
        <v>0</v>
      </c>
      <c r="V7694">
        <v>0</v>
      </c>
      <c r="W7694">
        <v>0</v>
      </c>
      <c r="X7694">
        <v>0</v>
      </c>
      <c r="Y7694">
        <v>144.56</v>
      </c>
      <c r="Z7694">
        <v>144.56</v>
      </c>
      <c r="AA7694">
        <v>144.56</v>
      </c>
      <c r="AB7694" s="1">
        <v>42382</v>
      </c>
      <c r="AC7694" t="s">
        <v>53</v>
      </c>
      <c r="AD7694" t="s">
        <v>53</v>
      </c>
      <c r="AK7694">
        <v>0</v>
      </c>
      <c r="AU7694" s="6">
        <v>42338</v>
      </c>
      <c r="AV7694" s="6">
        <v>42338</v>
      </c>
      <c r="AW7694" t="s">
        <v>54</v>
      </c>
      <c r="AX7694" t="str">
        <f t="shared" si="630"/>
        <v>FOR</v>
      </c>
      <c r="AY7694" t="s">
        <v>55</v>
      </c>
    </row>
    <row r="7695" spans="1:51">
      <c r="A7695">
        <v>104379</v>
      </c>
      <c r="B7695" t="s">
        <v>1281</v>
      </c>
      <c r="C7695" t="str">
        <f t="shared" si="628"/>
        <v>01836081008</v>
      </c>
      <c r="D7695" t="str">
        <f t="shared" si="629"/>
        <v>07668030583</v>
      </c>
      <c r="E7695" t="s">
        <v>52</v>
      </c>
      <c r="F7695">
        <v>2015</v>
      </c>
      <c r="G7695" t="s">
        <v>1296</v>
      </c>
      <c r="H7695" s="1">
        <v>42185</v>
      </c>
      <c r="I7695" s="1">
        <v>42206</v>
      </c>
      <c r="J7695" s="1">
        <v>42205</v>
      </c>
      <c r="K7695" s="1">
        <v>42265</v>
      </c>
      <c r="L7695" s="7">
        <v>139</v>
      </c>
      <c r="M7695" s="5">
        <v>73</v>
      </c>
      <c r="N7695" s="7">
        <v>10147</v>
      </c>
      <c r="O7695">
        <v>139</v>
      </c>
      <c r="P7695">
        <v>73</v>
      </c>
      <c r="Q7695" s="2">
        <v>10147</v>
      </c>
      <c r="R7695">
        <v>0</v>
      </c>
      <c r="V7695">
        <v>0</v>
      </c>
      <c r="W7695">
        <v>0</v>
      </c>
      <c r="X7695">
        <v>0</v>
      </c>
      <c r="Y7695">
        <v>144.56</v>
      </c>
      <c r="Z7695">
        <v>144.56</v>
      </c>
      <c r="AA7695">
        <v>144.56</v>
      </c>
      <c r="AB7695" s="1">
        <v>42382</v>
      </c>
      <c r="AC7695" t="s">
        <v>53</v>
      </c>
      <c r="AD7695" t="s">
        <v>53</v>
      </c>
      <c r="AK7695">
        <v>0</v>
      </c>
      <c r="AU7695" s="6">
        <v>42338</v>
      </c>
      <c r="AV7695" s="6">
        <v>42338</v>
      </c>
      <c r="AW7695" t="s">
        <v>54</v>
      </c>
      <c r="AX7695" t="str">
        <f t="shared" si="630"/>
        <v>FOR</v>
      </c>
      <c r="AY7695" t="s">
        <v>55</v>
      </c>
    </row>
    <row r="7696" spans="1:51">
      <c r="A7696">
        <v>104379</v>
      </c>
      <c r="B7696" t="s">
        <v>1281</v>
      </c>
      <c r="C7696" t="str">
        <f t="shared" si="628"/>
        <v>01836081008</v>
      </c>
      <c r="D7696" t="str">
        <f t="shared" si="629"/>
        <v>07668030583</v>
      </c>
      <c r="E7696" t="s">
        <v>52</v>
      </c>
      <c r="F7696">
        <v>2015</v>
      </c>
      <c r="G7696" t="s">
        <v>1297</v>
      </c>
      <c r="H7696" s="1">
        <v>42185</v>
      </c>
      <c r="I7696" s="1">
        <v>42206</v>
      </c>
      <c r="J7696" s="1">
        <v>42205</v>
      </c>
      <c r="K7696" s="1">
        <v>42265</v>
      </c>
      <c r="L7696" s="7">
        <v>550</v>
      </c>
      <c r="M7696" s="5">
        <v>73</v>
      </c>
      <c r="N7696" s="7">
        <v>40150</v>
      </c>
      <c r="O7696">
        <v>550</v>
      </c>
      <c r="P7696">
        <v>73</v>
      </c>
      <c r="Q7696" s="2">
        <v>40150</v>
      </c>
      <c r="R7696">
        <v>0</v>
      </c>
      <c r="V7696">
        <v>0</v>
      </c>
      <c r="W7696">
        <v>0</v>
      </c>
      <c r="X7696">
        <v>0</v>
      </c>
      <c r="Y7696">
        <v>572</v>
      </c>
      <c r="Z7696">
        <v>572</v>
      </c>
      <c r="AA7696">
        <v>572</v>
      </c>
      <c r="AB7696" s="1">
        <v>42382</v>
      </c>
      <c r="AC7696" t="s">
        <v>53</v>
      </c>
      <c r="AD7696" t="s">
        <v>53</v>
      </c>
      <c r="AK7696">
        <v>0</v>
      </c>
      <c r="AU7696" s="6">
        <v>42338</v>
      </c>
      <c r="AV7696" s="6">
        <v>42338</v>
      </c>
      <c r="AW7696" t="s">
        <v>54</v>
      </c>
      <c r="AX7696" t="str">
        <f t="shared" si="630"/>
        <v>FOR</v>
      </c>
      <c r="AY7696" t="s">
        <v>55</v>
      </c>
    </row>
    <row r="7697" spans="1:51">
      <c r="A7697">
        <v>104379</v>
      </c>
      <c r="B7697" t="s">
        <v>1281</v>
      </c>
      <c r="C7697" t="str">
        <f t="shared" si="628"/>
        <v>01836081008</v>
      </c>
      <c r="D7697" t="str">
        <f t="shared" si="629"/>
        <v>07668030583</v>
      </c>
      <c r="E7697" t="s">
        <v>52</v>
      </c>
      <c r="F7697">
        <v>2015</v>
      </c>
      <c r="G7697" t="s">
        <v>1298</v>
      </c>
      <c r="H7697" s="1">
        <v>42185</v>
      </c>
      <c r="I7697" s="1">
        <v>42206</v>
      </c>
      <c r="J7697" s="1">
        <v>42205</v>
      </c>
      <c r="K7697" s="1">
        <v>42265</v>
      </c>
      <c r="L7697" s="7">
        <v>550</v>
      </c>
      <c r="M7697" s="5">
        <v>73</v>
      </c>
      <c r="N7697" s="7">
        <v>40150</v>
      </c>
      <c r="O7697">
        <v>550</v>
      </c>
      <c r="P7697">
        <v>73</v>
      </c>
      <c r="Q7697" s="2">
        <v>40150</v>
      </c>
      <c r="R7697">
        <v>0</v>
      </c>
      <c r="V7697">
        <v>0</v>
      </c>
      <c r="W7697">
        <v>0</v>
      </c>
      <c r="X7697">
        <v>0</v>
      </c>
      <c r="Y7697">
        <v>572</v>
      </c>
      <c r="Z7697">
        <v>572</v>
      </c>
      <c r="AA7697">
        <v>572</v>
      </c>
      <c r="AB7697" s="1">
        <v>42382</v>
      </c>
      <c r="AC7697" t="s">
        <v>53</v>
      </c>
      <c r="AD7697" t="s">
        <v>53</v>
      </c>
      <c r="AK7697">
        <v>0</v>
      </c>
      <c r="AU7697" s="6">
        <v>42338</v>
      </c>
      <c r="AV7697" s="6">
        <v>42338</v>
      </c>
      <c r="AW7697" t="s">
        <v>54</v>
      </c>
      <c r="AX7697" t="str">
        <f t="shared" si="630"/>
        <v>FOR</v>
      </c>
      <c r="AY7697" t="s">
        <v>55</v>
      </c>
    </row>
    <row r="7698" spans="1:51">
      <c r="A7698">
        <v>104379</v>
      </c>
      <c r="B7698" t="s">
        <v>1281</v>
      </c>
      <c r="C7698" t="str">
        <f t="shared" si="628"/>
        <v>01836081008</v>
      </c>
      <c r="D7698" t="str">
        <f t="shared" si="629"/>
        <v>07668030583</v>
      </c>
      <c r="E7698" t="s">
        <v>52</v>
      </c>
      <c r="F7698">
        <v>2015</v>
      </c>
      <c r="G7698" t="s">
        <v>1299</v>
      </c>
      <c r="H7698" s="1">
        <v>42185</v>
      </c>
      <c r="I7698" s="1">
        <v>42206</v>
      </c>
      <c r="J7698" s="1">
        <v>42205</v>
      </c>
      <c r="K7698" s="1">
        <v>42265</v>
      </c>
      <c r="L7698" s="7">
        <v>550</v>
      </c>
      <c r="M7698" s="5">
        <v>73</v>
      </c>
      <c r="N7698" s="7">
        <v>40150</v>
      </c>
      <c r="O7698">
        <v>550</v>
      </c>
      <c r="P7698">
        <v>73</v>
      </c>
      <c r="Q7698" s="2">
        <v>40150</v>
      </c>
      <c r="R7698">
        <v>0</v>
      </c>
      <c r="V7698">
        <v>0</v>
      </c>
      <c r="W7698">
        <v>0</v>
      </c>
      <c r="X7698">
        <v>0</v>
      </c>
      <c r="Y7698">
        <v>572</v>
      </c>
      <c r="Z7698">
        <v>572</v>
      </c>
      <c r="AA7698">
        <v>572</v>
      </c>
      <c r="AB7698" s="1">
        <v>42382</v>
      </c>
      <c r="AC7698" t="s">
        <v>53</v>
      </c>
      <c r="AD7698" t="s">
        <v>53</v>
      </c>
      <c r="AK7698">
        <v>0</v>
      </c>
      <c r="AU7698" s="6">
        <v>42338</v>
      </c>
      <c r="AV7698" s="6">
        <v>42338</v>
      </c>
      <c r="AW7698" t="s">
        <v>54</v>
      </c>
      <c r="AX7698" t="str">
        <f t="shared" si="630"/>
        <v>FOR</v>
      </c>
      <c r="AY7698" t="s">
        <v>55</v>
      </c>
    </row>
    <row r="7699" spans="1:51">
      <c r="A7699">
        <v>104379</v>
      </c>
      <c r="B7699" t="s">
        <v>1281</v>
      </c>
      <c r="C7699" t="str">
        <f t="shared" si="628"/>
        <v>01836081008</v>
      </c>
      <c r="D7699" t="str">
        <f t="shared" si="629"/>
        <v>07668030583</v>
      </c>
      <c r="E7699" t="s">
        <v>52</v>
      </c>
      <c r="F7699">
        <v>2015</v>
      </c>
      <c r="G7699" t="s">
        <v>1300</v>
      </c>
      <c r="H7699" s="1">
        <v>42185</v>
      </c>
      <c r="I7699" s="1">
        <v>42206</v>
      </c>
      <c r="J7699" s="1">
        <v>42205</v>
      </c>
      <c r="K7699" s="1">
        <v>42265</v>
      </c>
      <c r="L7699" s="7">
        <v>500</v>
      </c>
      <c r="M7699" s="5">
        <v>73</v>
      </c>
      <c r="N7699" s="7">
        <v>36500</v>
      </c>
      <c r="O7699">
        <v>500</v>
      </c>
      <c r="P7699">
        <v>73</v>
      </c>
      <c r="Q7699" s="2">
        <v>36500</v>
      </c>
      <c r="R7699">
        <v>0</v>
      </c>
      <c r="V7699">
        <v>0</v>
      </c>
      <c r="W7699">
        <v>0</v>
      </c>
      <c r="X7699">
        <v>0</v>
      </c>
      <c r="Y7699">
        <v>520</v>
      </c>
      <c r="Z7699">
        <v>520</v>
      </c>
      <c r="AA7699">
        <v>520</v>
      </c>
      <c r="AB7699" s="1">
        <v>42382</v>
      </c>
      <c r="AC7699" t="s">
        <v>53</v>
      </c>
      <c r="AD7699" t="s">
        <v>53</v>
      </c>
      <c r="AK7699">
        <v>0</v>
      </c>
      <c r="AU7699" s="6">
        <v>42338</v>
      </c>
      <c r="AV7699" s="6">
        <v>42338</v>
      </c>
      <c r="AW7699" t="s">
        <v>54</v>
      </c>
      <c r="AX7699" t="str">
        <f t="shared" si="630"/>
        <v>FOR</v>
      </c>
      <c r="AY7699" t="s">
        <v>55</v>
      </c>
    </row>
    <row r="7700" spans="1:51" hidden="1">
      <c r="A7700">
        <v>104394</v>
      </c>
      <c r="B7700" t="s">
        <v>1301</v>
      </c>
      <c r="C7700" t="str">
        <f t="shared" ref="C7700:D7719" si="631">"00234290658"</f>
        <v>00234290658</v>
      </c>
      <c r="D7700" t="str">
        <f t="shared" si="631"/>
        <v>00234290658</v>
      </c>
      <c r="E7700" t="s">
        <v>52</v>
      </c>
      <c r="F7700">
        <v>2014</v>
      </c>
      <c r="G7700">
        <v>193</v>
      </c>
      <c r="H7700" s="1">
        <v>41759</v>
      </c>
      <c r="I7700" s="1">
        <v>41773</v>
      </c>
      <c r="J7700" s="1">
        <v>41773</v>
      </c>
      <c r="K7700" s="1">
        <v>41863</v>
      </c>
      <c r="N7700" s="5"/>
      <c r="O7700" s="2">
        <v>108885.7</v>
      </c>
      <c r="P7700">
        <v>156</v>
      </c>
      <c r="Q7700" s="2">
        <v>16986169.199999999</v>
      </c>
      <c r="R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 s="1">
        <v>42382</v>
      </c>
      <c r="AC7700" t="s">
        <v>53</v>
      </c>
      <c r="AD7700" t="s">
        <v>53</v>
      </c>
      <c r="AK7700">
        <v>0</v>
      </c>
      <c r="AU7700" s="6">
        <v>42019</v>
      </c>
      <c r="AV7700" s="6">
        <v>42019</v>
      </c>
      <c r="AW7700" t="s">
        <v>54</v>
      </c>
      <c r="AX7700" t="str">
        <f t="shared" si="630"/>
        <v>FOR</v>
      </c>
      <c r="AY7700" t="s">
        <v>55</v>
      </c>
    </row>
    <row r="7701" spans="1:51" hidden="1">
      <c r="A7701">
        <v>104394</v>
      </c>
      <c r="B7701" t="s">
        <v>1301</v>
      </c>
      <c r="C7701" t="str">
        <f t="shared" si="631"/>
        <v>00234290658</v>
      </c>
      <c r="D7701" t="str">
        <f t="shared" si="631"/>
        <v>00234290658</v>
      </c>
      <c r="E7701" t="s">
        <v>52</v>
      </c>
      <c r="F7701">
        <v>2014</v>
      </c>
      <c r="G7701">
        <v>194</v>
      </c>
      <c r="H7701" s="1">
        <v>41759</v>
      </c>
      <c r="I7701" s="1">
        <v>41773</v>
      </c>
      <c r="J7701" s="1">
        <v>41773</v>
      </c>
      <c r="K7701" s="1">
        <v>41863</v>
      </c>
      <c r="N7701" s="5"/>
      <c r="O7701">
        <v>109.8</v>
      </c>
      <c r="P7701">
        <v>156</v>
      </c>
      <c r="Q7701" s="2">
        <v>17128.8</v>
      </c>
      <c r="R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 s="1">
        <v>42382</v>
      </c>
      <c r="AC7701" t="s">
        <v>53</v>
      </c>
      <c r="AD7701" t="s">
        <v>53</v>
      </c>
      <c r="AK7701">
        <v>0</v>
      </c>
      <c r="AU7701" s="6">
        <v>42019</v>
      </c>
      <c r="AV7701" s="6">
        <v>42019</v>
      </c>
      <c r="AW7701" t="s">
        <v>54</v>
      </c>
      <c r="AX7701" t="str">
        <f t="shared" si="630"/>
        <v>FOR</v>
      </c>
      <c r="AY7701" t="s">
        <v>55</v>
      </c>
    </row>
    <row r="7702" spans="1:51" hidden="1">
      <c r="A7702">
        <v>104394</v>
      </c>
      <c r="B7702" t="s">
        <v>1301</v>
      </c>
      <c r="C7702" t="str">
        <f t="shared" si="631"/>
        <v>00234290658</v>
      </c>
      <c r="D7702" t="str">
        <f t="shared" si="631"/>
        <v>00234290658</v>
      </c>
      <c r="E7702" t="s">
        <v>52</v>
      </c>
      <c r="F7702">
        <v>2014</v>
      </c>
      <c r="G7702">
        <v>195</v>
      </c>
      <c r="H7702" s="1">
        <v>41759</v>
      </c>
      <c r="I7702" s="1">
        <v>41773</v>
      </c>
      <c r="J7702" s="1">
        <v>41773</v>
      </c>
      <c r="K7702" s="1">
        <v>41863</v>
      </c>
      <c r="N7702" s="5"/>
      <c r="O7702">
        <v>374.05</v>
      </c>
      <c r="P7702">
        <v>156</v>
      </c>
      <c r="Q7702" s="2">
        <v>58351.8</v>
      </c>
      <c r="R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 s="1">
        <v>42382</v>
      </c>
      <c r="AC7702" t="s">
        <v>53</v>
      </c>
      <c r="AD7702" t="s">
        <v>53</v>
      </c>
      <c r="AK7702">
        <v>0</v>
      </c>
      <c r="AU7702" s="6">
        <v>42019</v>
      </c>
      <c r="AV7702" s="6">
        <v>42019</v>
      </c>
      <c r="AW7702" t="s">
        <v>54</v>
      </c>
      <c r="AX7702" t="str">
        <f t="shared" si="630"/>
        <v>FOR</v>
      </c>
      <c r="AY7702" t="s">
        <v>55</v>
      </c>
    </row>
    <row r="7703" spans="1:51" hidden="1">
      <c r="A7703">
        <v>104394</v>
      </c>
      <c r="B7703" t="s">
        <v>1301</v>
      </c>
      <c r="C7703" t="str">
        <f t="shared" si="631"/>
        <v>00234290658</v>
      </c>
      <c r="D7703" t="str">
        <f t="shared" si="631"/>
        <v>00234290658</v>
      </c>
      <c r="E7703" t="s">
        <v>52</v>
      </c>
      <c r="F7703">
        <v>2014</v>
      </c>
      <c r="G7703">
        <v>284</v>
      </c>
      <c r="H7703" s="1">
        <v>41790</v>
      </c>
      <c r="I7703" s="1">
        <v>41814</v>
      </c>
      <c r="J7703" s="1">
        <v>41814</v>
      </c>
      <c r="K7703" s="1">
        <v>41904</v>
      </c>
      <c r="N7703" s="5"/>
      <c r="O7703" s="2">
        <v>98686.399999999994</v>
      </c>
      <c r="P7703">
        <v>168</v>
      </c>
      <c r="Q7703" s="2">
        <v>16579315.199999999</v>
      </c>
      <c r="R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 s="1">
        <v>42382</v>
      </c>
      <c r="AC7703" t="s">
        <v>53</v>
      </c>
      <c r="AD7703" t="s">
        <v>53</v>
      </c>
      <c r="AK7703">
        <v>0</v>
      </c>
      <c r="AU7703" s="6">
        <v>42072</v>
      </c>
      <c r="AV7703" s="6">
        <v>42072</v>
      </c>
      <c r="AW7703" t="s">
        <v>54</v>
      </c>
      <c r="AX7703" t="str">
        <f t="shared" si="630"/>
        <v>FOR</v>
      </c>
      <c r="AY7703" t="s">
        <v>55</v>
      </c>
    </row>
    <row r="7704" spans="1:51" hidden="1">
      <c r="A7704">
        <v>104394</v>
      </c>
      <c r="B7704" t="s">
        <v>1301</v>
      </c>
      <c r="C7704" t="str">
        <f t="shared" si="631"/>
        <v>00234290658</v>
      </c>
      <c r="D7704" t="str">
        <f t="shared" si="631"/>
        <v>00234290658</v>
      </c>
      <c r="E7704" t="s">
        <v>52</v>
      </c>
      <c r="F7704">
        <v>2014</v>
      </c>
      <c r="G7704">
        <v>285</v>
      </c>
      <c r="H7704" s="1">
        <v>41790</v>
      </c>
      <c r="I7704" s="1">
        <v>41816</v>
      </c>
      <c r="J7704" s="1">
        <v>41816</v>
      </c>
      <c r="K7704" s="1">
        <v>41906</v>
      </c>
      <c r="N7704" s="5"/>
      <c r="O7704">
        <v>109.8</v>
      </c>
      <c r="P7704">
        <v>166</v>
      </c>
      <c r="Q7704" s="2">
        <v>18226.8</v>
      </c>
      <c r="R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 s="1">
        <v>42382</v>
      </c>
      <c r="AC7704" t="s">
        <v>53</v>
      </c>
      <c r="AD7704" t="s">
        <v>53</v>
      </c>
      <c r="AK7704">
        <v>0</v>
      </c>
      <c r="AU7704" s="6">
        <v>42072</v>
      </c>
      <c r="AV7704" s="6">
        <v>42072</v>
      </c>
      <c r="AW7704" t="s">
        <v>54</v>
      </c>
      <c r="AX7704" t="str">
        <f t="shared" si="630"/>
        <v>FOR</v>
      </c>
      <c r="AY7704" t="s">
        <v>55</v>
      </c>
    </row>
    <row r="7705" spans="1:51" hidden="1">
      <c r="A7705">
        <v>104394</v>
      </c>
      <c r="B7705" t="s">
        <v>1301</v>
      </c>
      <c r="C7705" t="str">
        <f t="shared" si="631"/>
        <v>00234290658</v>
      </c>
      <c r="D7705" t="str">
        <f t="shared" si="631"/>
        <v>00234290658</v>
      </c>
      <c r="E7705" t="s">
        <v>52</v>
      </c>
      <c r="F7705">
        <v>2014</v>
      </c>
      <c r="G7705">
        <v>286</v>
      </c>
      <c r="H7705" s="1">
        <v>41790</v>
      </c>
      <c r="I7705" s="1">
        <v>41814</v>
      </c>
      <c r="J7705" s="1">
        <v>41814</v>
      </c>
      <c r="K7705" s="1">
        <v>41904</v>
      </c>
      <c r="N7705" s="5"/>
      <c r="O7705">
        <v>322.81</v>
      </c>
      <c r="P7705">
        <v>168</v>
      </c>
      <c r="Q7705" s="2">
        <v>54232.08</v>
      </c>
      <c r="R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 s="1">
        <v>42382</v>
      </c>
      <c r="AC7705" t="s">
        <v>53</v>
      </c>
      <c r="AD7705" t="s">
        <v>53</v>
      </c>
      <c r="AK7705">
        <v>0</v>
      </c>
      <c r="AU7705" s="6">
        <v>42072</v>
      </c>
      <c r="AV7705" s="6">
        <v>42072</v>
      </c>
      <c r="AW7705" t="s">
        <v>54</v>
      </c>
      <c r="AX7705" t="str">
        <f t="shared" si="630"/>
        <v>FOR</v>
      </c>
      <c r="AY7705" t="s">
        <v>55</v>
      </c>
    </row>
    <row r="7706" spans="1:51" hidden="1">
      <c r="A7706">
        <v>104394</v>
      </c>
      <c r="B7706" t="s">
        <v>1301</v>
      </c>
      <c r="C7706" t="str">
        <f t="shared" si="631"/>
        <v>00234290658</v>
      </c>
      <c r="D7706" t="str">
        <f t="shared" si="631"/>
        <v>00234290658</v>
      </c>
      <c r="E7706" t="s">
        <v>52</v>
      </c>
      <c r="F7706">
        <v>2014</v>
      </c>
      <c r="G7706">
        <v>287</v>
      </c>
      <c r="H7706" s="1">
        <v>41790</v>
      </c>
      <c r="I7706" s="1">
        <v>41814</v>
      </c>
      <c r="J7706" s="1">
        <v>41814</v>
      </c>
      <c r="K7706" s="1">
        <v>41904</v>
      </c>
      <c r="N7706" s="5"/>
      <c r="O7706">
        <v>452.68</v>
      </c>
      <c r="P7706">
        <v>168</v>
      </c>
      <c r="Q7706" s="2">
        <v>76050.240000000005</v>
      </c>
      <c r="R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 s="1">
        <v>42382</v>
      </c>
      <c r="AC7706" t="s">
        <v>53</v>
      </c>
      <c r="AD7706" t="s">
        <v>53</v>
      </c>
      <c r="AK7706">
        <v>0</v>
      </c>
      <c r="AU7706" s="6">
        <v>42072</v>
      </c>
      <c r="AV7706" s="6">
        <v>42072</v>
      </c>
      <c r="AW7706" t="s">
        <v>54</v>
      </c>
      <c r="AX7706" t="str">
        <f t="shared" si="630"/>
        <v>FOR</v>
      </c>
      <c r="AY7706" t="s">
        <v>55</v>
      </c>
    </row>
    <row r="7707" spans="1:51" hidden="1">
      <c r="A7707">
        <v>104394</v>
      </c>
      <c r="B7707" t="s">
        <v>1301</v>
      </c>
      <c r="C7707" t="str">
        <f t="shared" si="631"/>
        <v>00234290658</v>
      </c>
      <c r="D7707" t="str">
        <f t="shared" si="631"/>
        <v>00234290658</v>
      </c>
      <c r="E7707" t="s">
        <v>52</v>
      </c>
      <c r="F7707">
        <v>2014</v>
      </c>
      <c r="G7707">
        <v>288</v>
      </c>
      <c r="H7707" s="1">
        <v>41790</v>
      </c>
      <c r="I7707" s="1">
        <v>41816</v>
      </c>
      <c r="J7707" s="1">
        <v>41816</v>
      </c>
      <c r="K7707" s="1">
        <v>41906</v>
      </c>
      <c r="N7707" s="5"/>
      <c r="O7707">
        <v>20.010000000000002</v>
      </c>
      <c r="P7707">
        <v>166</v>
      </c>
      <c r="Q7707" s="2">
        <v>3321.66</v>
      </c>
      <c r="R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 s="1">
        <v>42382</v>
      </c>
      <c r="AC7707" t="s">
        <v>53</v>
      </c>
      <c r="AD7707" t="s">
        <v>53</v>
      </c>
      <c r="AK7707">
        <v>0</v>
      </c>
      <c r="AU7707" s="6">
        <v>42072</v>
      </c>
      <c r="AV7707" s="6">
        <v>42072</v>
      </c>
      <c r="AW7707" t="s">
        <v>54</v>
      </c>
      <c r="AX7707" t="str">
        <f t="shared" si="630"/>
        <v>FOR</v>
      </c>
      <c r="AY7707" t="s">
        <v>55</v>
      </c>
    </row>
    <row r="7708" spans="1:51" hidden="1">
      <c r="A7708">
        <v>104394</v>
      </c>
      <c r="B7708" t="s">
        <v>1301</v>
      </c>
      <c r="C7708" t="str">
        <f t="shared" si="631"/>
        <v>00234290658</v>
      </c>
      <c r="D7708" t="str">
        <f t="shared" si="631"/>
        <v>00234290658</v>
      </c>
      <c r="E7708" t="s">
        <v>52</v>
      </c>
      <c r="F7708">
        <v>2014</v>
      </c>
      <c r="G7708">
        <v>349</v>
      </c>
      <c r="H7708" s="1">
        <v>41820</v>
      </c>
      <c r="I7708" s="1">
        <v>41830</v>
      </c>
      <c r="J7708" s="1">
        <v>41830</v>
      </c>
      <c r="K7708" s="1">
        <v>41920</v>
      </c>
      <c r="N7708" s="5"/>
      <c r="O7708" s="2">
        <v>101376.41</v>
      </c>
      <c r="P7708">
        <v>175</v>
      </c>
      <c r="Q7708" s="2">
        <v>17740871.75</v>
      </c>
      <c r="R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 s="1">
        <v>42382</v>
      </c>
      <c r="AC7708" t="s">
        <v>53</v>
      </c>
      <c r="AD7708" t="s">
        <v>53</v>
      </c>
      <c r="AK7708">
        <v>0</v>
      </c>
      <c r="AU7708" s="6">
        <v>42095</v>
      </c>
      <c r="AV7708" s="6">
        <v>42095</v>
      </c>
      <c r="AW7708" t="s">
        <v>54</v>
      </c>
      <c r="AX7708" t="str">
        <f t="shared" si="630"/>
        <v>FOR</v>
      </c>
      <c r="AY7708" t="s">
        <v>55</v>
      </c>
    </row>
    <row r="7709" spans="1:51" hidden="1">
      <c r="A7709">
        <v>104394</v>
      </c>
      <c r="B7709" t="s">
        <v>1301</v>
      </c>
      <c r="C7709" t="str">
        <f t="shared" si="631"/>
        <v>00234290658</v>
      </c>
      <c r="D7709" t="str">
        <f t="shared" si="631"/>
        <v>00234290658</v>
      </c>
      <c r="E7709" t="s">
        <v>52</v>
      </c>
      <c r="F7709">
        <v>2014</v>
      </c>
      <c r="G7709">
        <v>350</v>
      </c>
      <c r="H7709" s="1">
        <v>41820</v>
      </c>
      <c r="I7709" s="1">
        <v>41830</v>
      </c>
      <c r="J7709" s="1">
        <v>41830</v>
      </c>
      <c r="K7709" s="1">
        <v>41920</v>
      </c>
      <c r="N7709" s="5"/>
      <c r="O7709">
        <v>109.8</v>
      </c>
      <c r="P7709">
        <v>175</v>
      </c>
      <c r="Q7709" s="2">
        <v>19215</v>
      </c>
      <c r="R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 s="1">
        <v>42382</v>
      </c>
      <c r="AC7709" t="s">
        <v>53</v>
      </c>
      <c r="AD7709" t="s">
        <v>53</v>
      </c>
      <c r="AK7709">
        <v>0</v>
      </c>
      <c r="AU7709" s="6">
        <v>42095</v>
      </c>
      <c r="AV7709" s="6">
        <v>42095</v>
      </c>
      <c r="AW7709" t="s">
        <v>54</v>
      </c>
      <c r="AX7709" t="str">
        <f t="shared" si="630"/>
        <v>FOR</v>
      </c>
      <c r="AY7709" t="s">
        <v>55</v>
      </c>
    </row>
    <row r="7710" spans="1:51" hidden="1">
      <c r="A7710">
        <v>104394</v>
      </c>
      <c r="B7710" t="s">
        <v>1301</v>
      </c>
      <c r="C7710" t="str">
        <f t="shared" si="631"/>
        <v>00234290658</v>
      </c>
      <c r="D7710" t="str">
        <f t="shared" si="631"/>
        <v>00234290658</v>
      </c>
      <c r="E7710" t="s">
        <v>52</v>
      </c>
      <c r="F7710">
        <v>2014</v>
      </c>
      <c r="G7710">
        <v>351</v>
      </c>
      <c r="H7710" s="1">
        <v>41820</v>
      </c>
      <c r="I7710" s="1">
        <v>41830</v>
      </c>
      <c r="J7710" s="1">
        <v>41830</v>
      </c>
      <c r="K7710" s="1">
        <v>41920</v>
      </c>
      <c r="N7710" s="5"/>
      <c r="O7710">
        <v>326.66000000000003</v>
      </c>
      <c r="P7710">
        <v>175</v>
      </c>
      <c r="Q7710" s="2">
        <v>57165.5</v>
      </c>
      <c r="R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 s="1">
        <v>42382</v>
      </c>
      <c r="AC7710" t="s">
        <v>53</v>
      </c>
      <c r="AD7710" t="s">
        <v>53</v>
      </c>
      <c r="AK7710">
        <v>0</v>
      </c>
      <c r="AU7710" s="6">
        <v>42095</v>
      </c>
      <c r="AV7710" s="6">
        <v>42095</v>
      </c>
      <c r="AW7710" t="s">
        <v>54</v>
      </c>
      <c r="AX7710" t="str">
        <f t="shared" si="630"/>
        <v>FOR</v>
      </c>
      <c r="AY7710" t="s">
        <v>55</v>
      </c>
    </row>
    <row r="7711" spans="1:51" hidden="1">
      <c r="A7711">
        <v>104394</v>
      </c>
      <c r="B7711" t="s">
        <v>1301</v>
      </c>
      <c r="C7711" t="str">
        <f t="shared" si="631"/>
        <v>00234290658</v>
      </c>
      <c r="D7711" t="str">
        <f t="shared" si="631"/>
        <v>00234290658</v>
      </c>
      <c r="E7711" t="s">
        <v>52</v>
      </c>
      <c r="F7711">
        <v>2014</v>
      </c>
      <c r="G7711">
        <v>352</v>
      </c>
      <c r="H7711" s="1">
        <v>41820</v>
      </c>
      <c r="I7711" s="1">
        <v>41830</v>
      </c>
      <c r="J7711" s="1">
        <v>41830</v>
      </c>
      <c r="K7711" s="1">
        <v>41920</v>
      </c>
      <c r="N7711" s="5"/>
      <c r="O7711">
        <v>369.65</v>
      </c>
      <c r="P7711">
        <v>175</v>
      </c>
      <c r="Q7711" s="2">
        <v>64688.75</v>
      </c>
      <c r="R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 s="1">
        <v>42382</v>
      </c>
      <c r="AC7711" t="s">
        <v>53</v>
      </c>
      <c r="AD7711" t="s">
        <v>53</v>
      </c>
      <c r="AK7711">
        <v>0</v>
      </c>
      <c r="AU7711" s="6">
        <v>42095</v>
      </c>
      <c r="AV7711" s="6">
        <v>42095</v>
      </c>
      <c r="AW7711" t="s">
        <v>54</v>
      </c>
      <c r="AX7711" t="str">
        <f t="shared" si="630"/>
        <v>FOR</v>
      </c>
      <c r="AY7711" t="s">
        <v>55</v>
      </c>
    </row>
    <row r="7712" spans="1:51" hidden="1">
      <c r="A7712">
        <v>104394</v>
      </c>
      <c r="B7712" t="s">
        <v>1301</v>
      </c>
      <c r="C7712" t="str">
        <f t="shared" si="631"/>
        <v>00234290658</v>
      </c>
      <c r="D7712" t="str">
        <f t="shared" si="631"/>
        <v>00234290658</v>
      </c>
      <c r="E7712" t="s">
        <v>52</v>
      </c>
      <c r="F7712">
        <v>2014</v>
      </c>
      <c r="G7712">
        <v>353</v>
      </c>
      <c r="H7712" s="1">
        <v>41820</v>
      </c>
      <c r="I7712" s="1">
        <v>41830</v>
      </c>
      <c r="J7712" s="1">
        <v>41830</v>
      </c>
      <c r="K7712" s="1">
        <v>41920</v>
      </c>
      <c r="N7712" s="5"/>
      <c r="O7712">
        <v>5</v>
      </c>
      <c r="P7712">
        <v>175</v>
      </c>
      <c r="Q7712">
        <v>875</v>
      </c>
      <c r="R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 s="1">
        <v>42382</v>
      </c>
      <c r="AC7712" t="s">
        <v>53</v>
      </c>
      <c r="AD7712" t="s">
        <v>53</v>
      </c>
      <c r="AK7712">
        <v>0</v>
      </c>
      <c r="AU7712" s="6">
        <v>42095</v>
      </c>
      <c r="AV7712" s="6">
        <v>42095</v>
      </c>
      <c r="AW7712" t="s">
        <v>54</v>
      </c>
      <c r="AX7712" t="str">
        <f t="shared" si="630"/>
        <v>FOR</v>
      </c>
      <c r="AY7712" t="s">
        <v>55</v>
      </c>
    </row>
    <row r="7713" spans="1:51" hidden="1">
      <c r="A7713">
        <v>104394</v>
      </c>
      <c r="B7713" t="s">
        <v>1301</v>
      </c>
      <c r="C7713" t="str">
        <f t="shared" si="631"/>
        <v>00234290658</v>
      </c>
      <c r="D7713" t="str">
        <f t="shared" si="631"/>
        <v>00234290658</v>
      </c>
      <c r="E7713" t="s">
        <v>52</v>
      </c>
      <c r="F7713">
        <v>2014</v>
      </c>
      <c r="G7713">
        <v>416</v>
      </c>
      <c r="H7713" s="1">
        <v>41851</v>
      </c>
      <c r="I7713" s="1">
        <v>41876</v>
      </c>
      <c r="J7713" s="1">
        <v>41876</v>
      </c>
      <c r="K7713" s="1">
        <v>41966</v>
      </c>
      <c r="N7713" s="5"/>
      <c r="O7713" s="2">
        <v>111230.55</v>
      </c>
      <c r="P7713">
        <v>158</v>
      </c>
      <c r="Q7713" s="2">
        <v>17574426.899999999</v>
      </c>
      <c r="R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 s="1">
        <v>42382</v>
      </c>
      <c r="AC7713" t="s">
        <v>53</v>
      </c>
      <c r="AD7713" t="s">
        <v>53</v>
      </c>
      <c r="AK7713">
        <v>0</v>
      </c>
      <c r="AU7713" s="6">
        <v>42124</v>
      </c>
      <c r="AV7713" s="6">
        <v>42124</v>
      </c>
      <c r="AW7713" t="s">
        <v>54</v>
      </c>
      <c r="AX7713" t="str">
        <f t="shared" si="630"/>
        <v>FOR</v>
      </c>
      <c r="AY7713" t="s">
        <v>55</v>
      </c>
    </row>
    <row r="7714" spans="1:51" hidden="1">
      <c r="A7714">
        <v>104394</v>
      </c>
      <c r="B7714" t="s">
        <v>1301</v>
      </c>
      <c r="C7714" t="str">
        <f t="shared" si="631"/>
        <v>00234290658</v>
      </c>
      <c r="D7714" t="str">
        <f t="shared" si="631"/>
        <v>00234290658</v>
      </c>
      <c r="E7714" t="s">
        <v>52</v>
      </c>
      <c r="F7714">
        <v>2014</v>
      </c>
      <c r="G7714">
        <v>417</v>
      </c>
      <c r="H7714" s="1">
        <v>41851</v>
      </c>
      <c r="I7714" s="1">
        <v>41876</v>
      </c>
      <c r="J7714" s="1">
        <v>41876</v>
      </c>
      <c r="K7714" s="1">
        <v>41966</v>
      </c>
      <c r="N7714" s="5"/>
      <c r="O7714">
        <v>109.8</v>
      </c>
      <c r="P7714">
        <v>158</v>
      </c>
      <c r="Q7714" s="2">
        <v>17348.400000000001</v>
      </c>
      <c r="R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 s="1">
        <v>42382</v>
      </c>
      <c r="AC7714" t="s">
        <v>53</v>
      </c>
      <c r="AD7714" t="s">
        <v>53</v>
      </c>
      <c r="AK7714">
        <v>0</v>
      </c>
      <c r="AU7714" s="6">
        <v>42124</v>
      </c>
      <c r="AV7714" s="6">
        <v>42124</v>
      </c>
      <c r="AW7714" t="s">
        <v>54</v>
      </c>
      <c r="AX7714" t="str">
        <f t="shared" si="630"/>
        <v>FOR</v>
      </c>
      <c r="AY7714" t="s">
        <v>55</v>
      </c>
    </row>
    <row r="7715" spans="1:51" hidden="1">
      <c r="A7715">
        <v>104394</v>
      </c>
      <c r="B7715" t="s">
        <v>1301</v>
      </c>
      <c r="C7715" t="str">
        <f t="shared" si="631"/>
        <v>00234290658</v>
      </c>
      <c r="D7715" t="str">
        <f t="shared" si="631"/>
        <v>00234290658</v>
      </c>
      <c r="E7715" t="s">
        <v>52</v>
      </c>
      <c r="F7715">
        <v>2014</v>
      </c>
      <c r="G7715">
        <v>418</v>
      </c>
      <c r="H7715" s="1">
        <v>41851</v>
      </c>
      <c r="I7715" s="1">
        <v>41876</v>
      </c>
      <c r="J7715" s="1">
        <v>41876</v>
      </c>
      <c r="K7715" s="1">
        <v>41966</v>
      </c>
      <c r="N7715" s="5"/>
      <c r="O7715">
        <v>372.77</v>
      </c>
      <c r="P7715">
        <v>158</v>
      </c>
      <c r="Q7715" s="2">
        <v>58897.66</v>
      </c>
      <c r="R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 s="1">
        <v>42382</v>
      </c>
      <c r="AC7715" t="s">
        <v>53</v>
      </c>
      <c r="AD7715" t="s">
        <v>53</v>
      </c>
      <c r="AK7715">
        <v>0</v>
      </c>
      <c r="AU7715" s="6">
        <v>42124</v>
      </c>
      <c r="AV7715" s="6">
        <v>42124</v>
      </c>
      <c r="AW7715" t="s">
        <v>54</v>
      </c>
      <c r="AX7715" t="str">
        <f t="shared" si="630"/>
        <v>FOR</v>
      </c>
      <c r="AY7715" t="s">
        <v>55</v>
      </c>
    </row>
    <row r="7716" spans="1:51" hidden="1">
      <c r="A7716">
        <v>104394</v>
      </c>
      <c r="B7716" t="s">
        <v>1301</v>
      </c>
      <c r="C7716" t="str">
        <f t="shared" si="631"/>
        <v>00234290658</v>
      </c>
      <c r="D7716" t="str">
        <f t="shared" si="631"/>
        <v>00234290658</v>
      </c>
      <c r="E7716" t="s">
        <v>52</v>
      </c>
      <c r="F7716">
        <v>2014</v>
      </c>
      <c r="G7716">
        <v>419</v>
      </c>
      <c r="H7716" s="1">
        <v>41851</v>
      </c>
      <c r="I7716" s="1">
        <v>41876</v>
      </c>
      <c r="J7716" s="1">
        <v>41876</v>
      </c>
      <c r="K7716" s="1">
        <v>41966</v>
      </c>
      <c r="N7716" s="5"/>
      <c r="O7716">
        <v>572.62</v>
      </c>
      <c r="P7716">
        <v>158</v>
      </c>
      <c r="Q7716" s="2">
        <v>90473.96</v>
      </c>
      <c r="R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 s="1">
        <v>42382</v>
      </c>
      <c r="AC7716" t="s">
        <v>53</v>
      </c>
      <c r="AD7716" t="s">
        <v>53</v>
      </c>
      <c r="AK7716">
        <v>0</v>
      </c>
      <c r="AU7716" s="6">
        <v>42124</v>
      </c>
      <c r="AV7716" s="6">
        <v>42124</v>
      </c>
      <c r="AW7716" t="s">
        <v>54</v>
      </c>
      <c r="AX7716" t="str">
        <f t="shared" si="630"/>
        <v>FOR</v>
      </c>
      <c r="AY7716" t="s">
        <v>55</v>
      </c>
    </row>
    <row r="7717" spans="1:51" hidden="1">
      <c r="A7717">
        <v>104394</v>
      </c>
      <c r="B7717" t="s">
        <v>1301</v>
      </c>
      <c r="C7717" t="str">
        <f t="shared" si="631"/>
        <v>00234290658</v>
      </c>
      <c r="D7717" t="str">
        <f t="shared" si="631"/>
        <v>00234290658</v>
      </c>
      <c r="E7717" t="s">
        <v>52</v>
      </c>
      <c r="F7717">
        <v>2014</v>
      </c>
      <c r="G7717">
        <v>420</v>
      </c>
      <c r="H7717" s="1">
        <v>41851</v>
      </c>
      <c r="I7717" s="1">
        <v>41876</v>
      </c>
      <c r="J7717" s="1">
        <v>41876</v>
      </c>
      <c r="K7717" s="1">
        <v>41966</v>
      </c>
      <c r="N7717" s="5"/>
      <c r="O7717">
        <v>1</v>
      </c>
      <c r="P7717">
        <v>158</v>
      </c>
      <c r="Q7717">
        <v>158</v>
      </c>
      <c r="R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 s="1">
        <v>42382</v>
      </c>
      <c r="AC7717" t="s">
        <v>53</v>
      </c>
      <c r="AD7717" t="s">
        <v>53</v>
      </c>
      <c r="AK7717">
        <v>0</v>
      </c>
      <c r="AU7717" s="6">
        <v>42124</v>
      </c>
      <c r="AV7717" s="6">
        <v>42124</v>
      </c>
      <c r="AW7717" t="s">
        <v>54</v>
      </c>
      <c r="AX7717" t="str">
        <f t="shared" si="630"/>
        <v>FOR</v>
      </c>
      <c r="AY7717" t="s">
        <v>55</v>
      </c>
    </row>
    <row r="7718" spans="1:51" hidden="1">
      <c r="A7718">
        <v>104394</v>
      </c>
      <c r="B7718" t="s">
        <v>1301</v>
      </c>
      <c r="C7718" t="str">
        <f t="shared" si="631"/>
        <v>00234290658</v>
      </c>
      <c r="D7718" t="str">
        <f t="shared" si="631"/>
        <v>00234290658</v>
      </c>
      <c r="E7718" t="s">
        <v>52</v>
      </c>
      <c r="F7718">
        <v>2014</v>
      </c>
      <c r="G7718">
        <v>486</v>
      </c>
      <c r="H7718" s="1">
        <v>41882</v>
      </c>
      <c r="I7718" s="1">
        <v>41897</v>
      </c>
      <c r="J7718" s="1">
        <v>41897</v>
      </c>
      <c r="K7718" s="1">
        <v>41987</v>
      </c>
      <c r="N7718" s="5"/>
      <c r="O7718" s="2">
        <v>91382.59</v>
      </c>
      <c r="P7718">
        <v>169</v>
      </c>
      <c r="Q7718" s="2">
        <v>15443657.710000001</v>
      </c>
      <c r="R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 s="1">
        <v>42382</v>
      </c>
      <c r="AC7718" t="s">
        <v>53</v>
      </c>
      <c r="AD7718" t="s">
        <v>53</v>
      </c>
      <c r="AK7718">
        <v>0</v>
      </c>
      <c r="AU7718" s="6">
        <v>42156</v>
      </c>
      <c r="AV7718" s="6">
        <v>42156</v>
      </c>
      <c r="AW7718" t="s">
        <v>54</v>
      </c>
      <c r="AX7718" t="str">
        <f t="shared" si="630"/>
        <v>FOR</v>
      </c>
      <c r="AY7718" t="s">
        <v>55</v>
      </c>
    </row>
    <row r="7719" spans="1:51" hidden="1">
      <c r="A7719">
        <v>104394</v>
      </c>
      <c r="B7719" t="s">
        <v>1301</v>
      </c>
      <c r="C7719" t="str">
        <f t="shared" si="631"/>
        <v>00234290658</v>
      </c>
      <c r="D7719" t="str">
        <f t="shared" si="631"/>
        <v>00234290658</v>
      </c>
      <c r="E7719" t="s">
        <v>52</v>
      </c>
      <c r="F7719">
        <v>2014</v>
      </c>
      <c r="G7719">
        <v>487</v>
      </c>
      <c r="H7719" s="1">
        <v>41882</v>
      </c>
      <c r="I7719" s="1">
        <v>41897</v>
      </c>
      <c r="J7719" s="1">
        <v>41897</v>
      </c>
      <c r="K7719" s="1">
        <v>41987</v>
      </c>
      <c r="N7719" s="5"/>
      <c r="O7719">
        <v>109.8</v>
      </c>
      <c r="P7719">
        <v>169</v>
      </c>
      <c r="Q7719" s="2">
        <v>18556.2</v>
      </c>
      <c r="R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 s="1">
        <v>42382</v>
      </c>
      <c r="AC7719" t="s">
        <v>53</v>
      </c>
      <c r="AD7719" t="s">
        <v>53</v>
      </c>
      <c r="AK7719">
        <v>0</v>
      </c>
      <c r="AU7719" s="6">
        <v>42156</v>
      </c>
      <c r="AV7719" s="6">
        <v>42156</v>
      </c>
      <c r="AW7719" t="s">
        <v>54</v>
      </c>
      <c r="AX7719" t="str">
        <f t="shared" si="630"/>
        <v>FOR</v>
      </c>
      <c r="AY7719" t="s">
        <v>55</v>
      </c>
    </row>
    <row r="7720" spans="1:51" hidden="1">
      <c r="A7720">
        <v>104394</v>
      </c>
      <c r="B7720" t="s">
        <v>1301</v>
      </c>
      <c r="C7720" t="str">
        <f t="shared" ref="C7720:D7739" si="632">"00234290658"</f>
        <v>00234290658</v>
      </c>
      <c r="D7720" t="str">
        <f t="shared" si="632"/>
        <v>00234290658</v>
      </c>
      <c r="E7720" t="s">
        <v>52</v>
      </c>
      <c r="F7720">
        <v>2014</v>
      </c>
      <c r="G7720">
        <v>488</v>
      </c>
      <c r="H7720" s="1">
        <v>41882</v>
      </c>
      <c r="I7720" s="1">
        <v>41897</v>
      </c>
      <c r="J7720" s="1">
        <v>41897</v>
      </c>
      <c r="K7720" s="1">
        <v>41987</v>
      </c>
      <c r="N7720" s="5"/>
      <c r="O7720">
        <v>167.81</v>
      </c>
      <c r="P7720">
        <v>169</v>
      </c>
      <c r="Q7720" s="2">
        <v>28359.89</v>
      </c>
      <c r="R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 s="1">
        <v>42382</v>
      </c>
      <c r="AC7720" t="s">
        <v>53</v>
      </c>
      <c r="AD7720" t="s">
        <v>53</v>
      </c>
      <c r="AK7720">
        <v>0</v>
      </c>
      <c r="AU7720" s="6">
        <v>42156</v>
      </c>
      <c r="AV7720" s="6">
        <v>42156</v>
      </c>
      <c r="AW7720" t="s">
        <v>54</v>
      </c>
      <c r="AX7720" t="str">
        <f t="shared" si="630"/>
        <v>FOR</v>
      </c>
      <c r="AY7720" t="s">
        <v>55</v>
      </c>
    </row>
    <row r="7721" spans="1:51" hidden="1">
      <c r="A7721">
        <v>104394</v>
      </c>
      <c r="B7721" t="s">
        <v>1301</v>
      </c>
      <c r="C7721" t="str">
        <f t="shared" si="632"/>
        <v>00234290658</v>
      </c>
      <c r="D7721" t="str">
        <f t="shared" si="632"/>
        <v>00234290658</v>
      </c>
      <c r="E7721" t="s">
        <v>52</v>
      </c>
      <c r="F7721">
        <v>2014</v>
      </c>
      <c r="G7721">
        <v>489</v>
      </c>
      <c r="H7721" s="1">
        <v>41882</v>
      </c>
      <c r="I7721" s="1">
        <v>41897</v>
      </c>
      <c r="J7721" s="1">
        <v>41897</v>
      </c>
      <c r="K7721" s="1">
        <v>41987</v>
      </c>
      <c r="N7721" s="5"/>
      <c r="O7721">
        <v>520.71</v>
      </c>
      <c r="P7721">
        <v>169</v>
      </c>
      <c r="Q7721" s="2">
        <v>87999.99</v>
      </c>
      <c r="R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 s="1">
        <v>42382</v>
      </c>
      <c r="AC7721" t="s">
        <v>53</v>
      </c>
      <c r="AD7721" t="s">
        <v>53</v>
      </c>
      <c r="AK7721">
        <v>0</v>
      </c>
      <c r="AU7721" s="6">
        <v>42156</v>
      </c>
      <c r="AV7721" s="6">
        <v>42156</v>
      </c>
      <c r="AW7721" t="s">
        <v>54</v>
      </c>
      <c r="AX7721" t="str">
        <f t="shared" si="630"/>
        <v>FOR</v>
      </c>
      <c r="AY7721" t="s">
        <v>55</v>
      </c>
    </row>
    <row r="7722" spans="1:51" hidden="1">
      <c r="A7722">
        <v>104394</v>
      </c>
      <c r="B7722" t="s">
        <v>1301</v>
      </c>
      <c r="C7722" t="str">
        <f t="shared" si="632"/>
        <v>00234290658</v>
      </c>
      <c r="D7722" t="str">
        <f t="shared" si="632"/>
        <v>00234290658</v>
      </c>
      <c r="E7722" t="s">
        <v>52</v>
      </c>
      <c r="F7722">
        <v>2014</v>
      </c>
      <c r="G7722">
        <v>553</v>
      </c>
      <c r="H7722" s="1">
        <v>41912</v>
      </c>
      <c r="I7722" s="1">
        <v>41927</v>
      </c>
      <c r="J7722" s="1">
        <v>41927</v>
      </c>
      <c r="K7722" s="1">
        <v>41987</v>
      </c>
      <c r="N7722" s="5"/>
      <c r="O7722" s="2">
        <v>103479.27</v>
      </c>
      <c r="P7722">
        <v>199</v>
      </c>
      <c r="Q7722" s="2">
        <v>20592374.73</v>
      </c>
      <c r="R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 s="1">
        <v>42382</v>
      </c>
      <c r="AC7722" t="s">
        <v>53</v>
      </c>
      <c r="AD7722" t="s">
        <v>53</v>
      </c>
      <c r="AK7722">
        <v>0</v>
      </c>
      <c r="AU7722" s="6">
        <v>42186</v>
      </c>
      <c r="AV7722" s="6">
        <v>42186</v>
      </c>
      <c r="AW7722" t="s">
        <v>54</v>
      </c>
      <c r="AX7722" t="str">
        <f t="shared" si="630"/>
        <v>FOR</v>
      </c>
      <c r="AY7722" t="s">
        <v>55</v>
      </c>
    </row>
    <row r="7723" spans="1:51" hidden="1">
      <c r="A7723">
        <v>104394</v>
      </c>
      <c r="B7723" t="s">
        <v>1301</v>
      </c>
      <c r="C7723" t="str">
        <f t="shared" si="632"/>
        <v>00234290658</v>
      </c>
      <c r="D7723" t="str">
        <f t="shared" si="632"/>
        <v>00234290658</v>
      </c>
      <c r="E7723" t="s">
        <v>52</v>
      </c>
      <c r="F7723">
        <v>2014</v>
      </c>
      <c r="G7723">
        <v>554</v>
      </c>
      <c r="H7723" s="1">
        <v>41912</v>
      </c>
      <c r="I7723" s="1">
        <v>41927</v>
      </c>
      <c r="J7723" s="1">
        <v>41927</v>
      </c>
      <c r="K7723" s="1">
        <v>41987</v>
      </c>
      <c r="N7723" s="5"/>
      <c r="O7723">
        <v>109.8</v>
      </c>
      <c r="P7723">
        <v>199</v>
      </c>
      <c r="Q7723" s="2">
        <v>21850.2</v>
      </c>
      <c r="R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 s="1">
        <v>42382</v>
      </c>
      <c r="AC7723" t="s">
        <v>53</v>
      </c>
      <c r="AD7723" t="s">
        <v>53</v>
      </c>
      <c r="AK7723">
        <v>0</v>
      </c>
      <c r="AU7723" s="6">
        <v>42186</v>
      </c>
      <c r="AV7723" s="6">
        <v>42186</v>
      </c>
      <c r="AW7723" t="s">
        <v>54</v>
      </c>
      <c r="AX7723" t="str">
        <f t="shared" si="630"/>
        <v>FOR</v>
      </c>
      <c r="AY7723" t="s">
        <v>55</v>
      </c>
    </row>
    <row r="7724" spans="1:51" hidden="1">
      <c r="A7724">
        <v>104394</v>
      </c>
      <c r="B7724" t="s">
        <v>1301</v>
      </c>
      <c r="C7724" t="str">
        <f t="shared" si="632"/>
        <v>00234290658</v>
      </c>
      <c r="D7724" t="str">
        <f t="shared" si="632"/>
        <v>00234290658</v>
      </c>
      <c r="E7724" t="s">
        <v>52</v>
      </c>
      <c r="F7724">
        <v>2014</v>
      </c>
      <c r="G7724">
        <v>555</v>
      </c>
      <c r="H7724" s="1">
        <v>41912</v>
      </c>
      <c r="I7724" s="1">
        <v>41927</v>
      </c>
      <c r="J7724" s="1">
        <v>41927</v>
      </c>
      <c r="K7724" s="1">
        <v>41987</v>
      </c>
      <c r="N7724" s="5"/>
      <c r="O7724">
        <v>288.23</v>
      </c>
      <c r="P7724">
        <v>199</v>
      </c>
      <c r="Q7724" s="2">
        <v>57357.77</v>
      </c>
      <c r="R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 s="1">
        <v>42382</v>
      </c>
      <c r="AC7724" t="s">
        <v>53</v>
      </c>
      <c r="AD7724" t="s">
        <v>53</v>
      </c>
      <c r="AK7724">
        <v>0</v>
      </c>
      <c r="AU7724" s="6">
        <v>42186</v>
      </c>
      <c r="AV7724" s="6">
        <v>42186</v>
      </c>
      <c r="AW7724" t="s">
        <v>54</v>
      </c>
      <c r="AX7724" t="str">
        <f t="shared" si="630"/>
        <v>FOR</v>
      </c>
      <c r="AY7724" t="s">
        <v>55</v>
      </c>
    </row>
    <row r="7725" spans="1:51" hidden="1">
      <c r="A7725">
        <v>104394</v>
      </c>
      <c r="B7725" t="s">
        <v>1301</v>
      </c>
      <c r="C7725" t="str">
        <f t="shared" si="632"/>
        <v>00234290658</v>
      </c>
      <c r="D7725" t="str">
        <f t="shared" si="632"/>
        <v>00234290658</v>
      </c>
      <c r="E7725" t="s">
        <v>52</v>
      </c>
      <c r="F7725">
        <v>2014</v>
      </c>
      <c r="G7725">
        <v>556</v>
      </c>
      <c r="H7725" s="1">
        <v>41912</v>
      </c>
      <c r="I7725" s="1">
        <v>41927</v>
      </c>
      <c r="J7725" s="1">
        <v>41927</v>
      </c>
      <c r="K7725" s="1">
        <v>41987</v>
      </c>
      <c r="N7725" s="5"/>
      <c r="O7725">
        <v>480.19</v>
      </c>
      <c r="P7725">
        <v>199</v>
      </c>
      <c r="Q7725" s="2">
        <v>95557.81</v>
      </c>
      <c r="R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 s="1">
        <v>42382</v>
      </c>
      <c r="AC7725" t="s">
        <v>53</v>
      </c>
      <c r="AD7725" t="s">
        <v>53</v>
      </c>
      <c r="AK7725">
        <v>0</v>
      </c>
      <c r="AU7725" s="6">
        <v>42186</v>
      </c>
      <c r="AV7725" s="6">
        <v>42186</v>
      </c>
      <c r="AW7725" t="s">
        <v>54</v>
      </c>
      <c r="AX7725" t="str">
        <f t="shared" si="630"/>
        <v>FOR</v>
      </c>
      <c r="AY7725" t="s">
        <v>55</v>
      </c>
    </row>
    <row r="7726" spans="1:51" hidden="1">
      <c r="A7726">
        <v>104394</v>
      </c>
      <c r="B7726" t="s">
        <v>1301</v>
      </c>
      <c r="C7726" t="str">
        <f t="shared" si="632"/>
        <v>00234290658</v>
      </c>
      <c r="D7726" t="str">
        <f t="shared" si="632"/>
        <v>00234290658</v>
      </c>
      <c r="E7726" t="s">
        <v>52</v>
      </c>
      <c r="F7726">
        <v>2014</v>
      </c>
      <c r="G7726">
        <v>613</v>
      </c>
      <c r="H7726" s="1">
        <v>41943</v>
      </c>
      <c r="I7726" s="1">
        <v>41955</v>
      </c>
      <c r="J7726" s="1">
        <v>41955</v>
      </c>
      <c r="K7726" s="1">
        <v>42010</v>
      </c>
      <c r="N7726" s="5"/>
      <c r="O7726" s="2">
        <v>117138</v>
      </c>
      <c r="P7726">
        <v>202</v>
      </c>
      <c r="Q7726" s="2">
        <v>23661876</v>
      </c>
      <c r="R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 s="1">
        <v>42382</v>
      </c>
      <c r="AC7726" t="s">
        <v>53</v>
      </c>
      <c r="AD7726" t="s">
        <v>53</v>
      </c>
      <c r="AK7726">
        <v>0</v>
      </c>
      <c r="AU7726" s="6">
        <v>42212</v>
      </c>
      <c r="AV7726" s="6">
        <v>42212</v>
      </c>
      <c r="AW7726" t="s">
        <v>54</v>
      </c>
      <c r="AX7726" t="str">
        <f t="shared" si="630"/>
        <v>FOR</v>
      </c>
      <c r="AY7726" t="s">
        <v>55</v>
      </c>
    </row>
    <row r="7727" spans="1:51" hidden="1">
      <c r="A7727">
        <v>104394</v>
      </c>
      <c r="B7727" t="s">
        <v>1301</v>
      </c>
      <c r="C7727" t="str">
        <f t="shared" si="632"/>
        <v>00234290658</v>
      </c>
      <c r="D7727" t="str">
        <f t="shared" si="632"/>
        <v>00234290658</v>
      </c>
      <c r="E7727" t="s">
        <v>52</v>
      </c>
      <c r="F7727">
        <v>2014</v>
      </c>
      <c r="G7727">
        <v>614</v>
      </c>
      <c r="H7727" s="1">
        <v>41943</v>
      </c>
      <c r="I7727" s="1">
        <v>41955</v>
      </c>
      <c r="J7727" s="1">
        <v>41955</v>
      </c>
      <c r="K7727" s="1">
        <v>42015</v>
      </c>
      <c r="N7727" s="5"/>
      <c r="O7727">
        <v>109.8</v>
      </c>
      <c r="P7727">
        <v>197</v>
      </c>
      <c r="Q7727" s="2">
        <v>21630.6</v>
      </c>
      <c r="R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 s="1">
        <v>42382</v>
      </c>
      <c r="AC7727" t="s">
        <v>53</v>
      </c>
      <c r="AD7727" t="s">
        <v>53</v>
      </c>
      <c r="AK7727">
        <v>0</v>
      </c>
      <c r="AU7727" s="6">
        <v>42212</v>
      </c>
      <c r="AV7727" s="6">
        <v>42212</v>
      </c>
      <c r="AW7727" t="s">
        <v>54</v>
      </c>
      <c r="AX7727" t="str">
        <f t="shared" si="630"/>
        <v>FOR</v>
      </c>
      <c r="AY7727" t="s">
        <v>55</v>
      </c>
    </row>
    <row r="7728" spans="1:51" hidden="1">
      <c r="A7728">
        <v>104394</v>
      </c>
      <c r="B7728" t="s">
        <v>1301</v>
      </c>
      <c r="C7728" t="str">
        <f t="shared" si="632"/>
        <v>00234290658</v>
      </c>
      <c r="D7728" t="str">
        <f t="shared" si="632"/>
        <v>00234290658</v>
      </c>
      <c r="E7728" t="s">
        <v>52</v>
      </c>
      <c r="F7728">
        <v>2014</v>
      </c>
      <c r="G7728">
        <v>615</v>
      </c>
      <c r="H7728" s="1">
        <v>41943</v>
      </c>
      <c r="I7728" s="1">
        <v>41955</v>
      </c>
      <c r="J7728" s="1">
        <v>41955</v>
      </c>
      <c r="K7728" s="1">
        <v>42015</v>
      </c>
      <c r="N7728" s="5"/>
      <c r="O7728">
        <v>270.29000000000002</v>
      </c>
      <c r="P7728">
        <v>197</v>
      </c>
      <c r="Q7728" s="2">
        <v>53247.13</v>
      </c>
      <c r="R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 s="1">
        <v>42382</v>
      </c>
      <c r="AC7728" t="s">
        <v>53</v>
      </c>
      <c r="AD7728" t="s">
        <v>53</v>
      </c>
      <c r="AK7728">
        <v>0</v>
      </c>
      <c r="AU7728" s="6">
        <v>42212</v>
      </c>
      <c r="AV7728" s="6">
        <v>42212</v>
      </c>
      <c r="AW7728" t="s">
        <v>54</v>
      </c>
      <c r="AX7728" t="str">
        <f t="shared" si="630"/>
        <v>FOR</v>
      </c>
      <c r="AY7728" t="s">
        <v>55</v>
      </c>
    </row>
    <row r="7729" spans="1:51" hidden="1">
      <c r="A7729">
        <v>104394</v>
      </c>
      <c r="B7729" t="s">
        <v>1301</v>
      </c>
      <c r="C7729" t="str">
        <f t="shared" si="632"/>
        <v>00234290658</v>
      </c>
      <c r="D7729" t="str">
        <f t="shared" si="632"/>
        <v>00234290658</v>
      </c>
      <c r="E7729" t="s">
        <v>52</v>
      </c>
      <c r="F7729">
        <v>2014</v>
      </c>
      <c r="G7729">
        <v>616</v>
      </c>
      <c r="H7729" s="1">
        <v>41943</v>
      </c>
      <c r="I7729" s="1">
        <v>41955</v>
      </c>
      <c r="J7729" s="1">
        <v>41955</v>
      </c>
      <c r="K7729" s="1">
        <v>42015</v>
      </c>
      <c r="N7729" s="5"/>
      <c r="O7729">
        <v>530.21</v>
      </c>
      <c r="P7729">
        <v>197</v>
      </c>
      <c r="Q7729" s="2">
        <v>104451.37</v>
      </c>
      <c r="R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 s="1">
        <v>42382</v>
      </c>
      <c r="AC7729" t="s">
        <v>53</v>
      </c>
      <c r="AD7729" t="s">
        <v>53</v>
      </c>
      <c r="AK7729">
        <v>0</v>
      </c>
      <c r="AU7729" s="6">
        <v>42212</v>
      </c>
      <c r="AV7729" s="6">
        <v>42212</v>
      </c>
      <c r="AW7729" t="s">
        <v>54</v>
      </c>
      <c r="AX7729" t="str">
        <f t="shared" si="630"/>
        <v>FOR</v>
      </c>
      <c r="AY7729" t="s">
        <v>55</v>
      </c>
    </row>
    <row r="7730" spans="1:51" hidden="1">
      <c r="A7730">
        <v>104394</v>
      </c>
      <c r="B7730" t="s">
        <v>1301</v>
      </c>
      <c r="C7730" t="str">
        <f t="shared" si="632"/>
        <v>00234290658</v>
      </c>
      <c r="D7730" t="str">
        <f t="shared" si="632"/>
        <v>00234290658</v>
      </c>
      <c r="E7730" t="s">
        <v>52</v>
      </c>
      <c r="F7730">
        <v>2014</v>
      </c>
      <c r="G7730">
        <v>674</v>
      </c>
      <c r="H7730" s="1">
        <v>41973</v>
      </c>
      <c r="I7730" s="1">
        <v>42004</v>
      </c>
      <c r="J7730" s="1">
        <v>42004</v>
      </c>
      <c r="K7730" s="1">
        <v>42062</v>
      </c>
      <c r="N7730" s="5"/>
      <c r="O7730" s="2">
        <v>105374.28</v>
      </c>
      <c r="P7730">
        <v>188</v>
      </c>
      <c r="Q7730" s="2">
        <v>19810364.640000001</v>
      </c>
      <c r="R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 s="1">
        <v>42382</v>
      </c>
      <c r="AC7730" t="s">
        <v>53</v>
      </c>
      <c r="AD7730" t="s">
        <v>53</v>
      </c>
      <c r="AK7730">
        <v>0</v>
      </c>
      <c r="AU7730" s="6">
        <v>42250</v>
      </c>
      <c r="AV7730" s="6">
        <v>42250</v>
      </c>
      <c r="AW7730" t="s">
        <v>54</v>
      </c>
      <c r="AX7730" t="str">
        <f t="shared" si="630"/>
        <v>FOR</v>
      </c>
      <c r="AY7730" t="s">
        <v>55</v>
      </c>
    </row>
    <row r="7731" spans="1:51" hidden="1">
      <c r="A7731">
        <v>104394</v>
      </c>
      <c r="B7731" t="s">
        <v>1301</v>
      </c>
      <c r="C7731" t="str">
        <f t="shared" si="632"/>
        <v>00234290658</v>
      </c>
      <c r="D7731" t="str">
        <f t="shared" si="632"/>
        <v>00234290658</v>
      </c>
      <c r="E7731" t="s">
        <v>52</v>
      </c>
      <c r="F7731">
        <v>2014</v>
      </c>
      <c r="G7731">
        <v>675</v>
      </c>
      <c r="H7731" s="1">
        <v>41973</v>
      </c>
      <c r="I7731" s="1">
        <v>42004</v>
      </c>
      <c r="J7731" s="1">
        <v>42004</v>
      </c>
      <c r="K7731" s="1">
        <v>42064</v>
      </c>
      <c r="N7731" s="5"/>
      <c r="O7731">
        <v>109.8</v>
      </c>
      <c r="P7731">
        <v>186</v>
      </c>
      <c r="Q7731" s="2">
        <v>20422.8</v>
      </c>
      <c r="R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 s="1">
        <v>42382</v>
      </c>
      <c r="AC7731" t="s">
        <v>53</v>
      </c>
      <c r="AD7731" t="s">
        <v>53</v>
      </c>
      <c r="AK7731">
        <v>0</v>
      </c>
      <c r="AU7731" s="6">
        <v>42250</v>
      </c>
      <c r="AV7731" s="6">
        <v>42250</v>
      </c>
      <c r="AW7731" t="s">
        <v>54</v>
      </c>
      <c r="AX7731" t="str">
        <f t="shared" si="630"/>
        <v>FOR</v>
      </c>
      <c r="AY7731" t="s">
        <v>55</v>
      </c>
    </row>
    <row r="7732" spans="1:51" hidden="1">
      <c r="A7732">
        <v>104394</v>
      </c>
      <c r="B7732" t="s">
        <v>1301</v>
      </c>
      <c r="C7732" t="str">
        <f t="shared" si="632"/>
        <v>00234290658</v>
      </c>
      <c r="D7732" t="str">
        <f t="shared" si="632"/>
        <v>00234290658</v>
      </c>
      <c r="E7732" t="s">
        <v>52</v>
      </c>
      <c r="F7732">
        <v>2014</v>
      </c>
      <c r="G7732">
        <v>676</v>
      </c>
      <c r="H7732" s="1">
        <v>41973</v>
      </c>
      <c r="I7732" s="1">
        <v>42004</v>
      </c>
      <c r="J7732" s="1">
        <v>42004</v>
      </c>
      <c r="K7732" s="1">
        <v>42064</v>
      </c>
      <c r="N7732" s="5"/>
      <c r="O7732">
        <v>329.13</v>
      </c>
      <c r="P7732">
        <v>186</v>
      </c>
      <c r="Q7732" s="2">
        <v>61218.18</v>
      </c>
      <c r="R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 s="1">
        <v>42382</v>
      </c>
      <c r="AC7732" t="s">
        <v>53</v>
      </c>
      <c r="AD7732" t="s">
        <v>53</v>
      </c>
      <c r="AK7732">
        <v>0</v>
      </c>
      <c r="AU7732" s="6">
        <v>42250</v>
      </c>
      <c r="AV7732" s="6">
        <v>42250</v>
      </c>
      <c r="AW7732" t="s">
        <v>54</v>
      </c>
      <c r="AX7732" t="str">
        <f t="shared" si="630"/>
        <v>FOR</v>
      </c>
      <c r="AY7732" t="s">
        <v>55</v>
      </c>
    </row>
    <row r="7733" spans="1:51" hidden="1">
      <c r="A7733">
        <v>104394</v>
      </c>
      <c r="B7733" t="s">
        <v>1301</v>
      </c>
      <c r="C7733" t="str">
        <f t="shared" si="632"/>
        <v>00234290658</v>
      </c>
      <c r="D7733" t="str">
        <f t="shared" si="632"/>
        <v>00234290658</v>
      </c>
      <c r="E7733" t="s">
        <v>52</v>
      </c>
      <c r="F7733">
        <v>2014</v>
      </c>
      <c r="G7733">
        <v>677</v>
      </c>
      <c r="H7733" s="1">
        <v>41973</v>
      </c>
      <c r="I7733" s="1">
        <v>42004</v>
      </c>
      <c r="J7733" s="1">
        <v>42004</v>
      </c>
      <c r="K7733" s="1">
        <v>42064</v>
      </c>
      <c r="N7733" s="5"/>
      <c r="O7733">
        <v>230.58</v>
      </c>
      <c r="P7733">
        <v>186</v>
      </c>
      <c r="Q7733" s="2">
        <v>42887.88</v>
      </c>
      <c r="R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 s="1">
        <v>42382</v>
      </c>
      <c r="AC7733" t="s">
        <v>53</v>
      </c>
      <c r="AD7733" t="s">
        <v>53</v>
      </c>
      <c r="AK7733">
        <v>0</v>
      </c>
      <c r="AU7733" s="6">
        <v>42250</v>
      </c>
      <c r="AV7733" s="6">
        <v>42250</v>
      </c>
      <c r="AW7733" t="s">
        <v>54</v>
      </c>
      <c r="AX7733" t="str">
        <f t="shared" si="630"/>
        <v>FOR</v>
      </c>
      <c r="AY7733" t="s">
        <v>55</v>
      </c>
    </row>
    <row r="7734" spans="1:51" hidden="1">
      <c r="A7734">
        <v>104394</v>
      </c>
      <c r="B7734" t="s">
        <v>1301</v>
      </c>
      <c r="C7734" t="str">
        <f t="shared" si="632"/>
        <v>00234290658</v>
      </c>
      <c r="D7734" t="str">
        <f t="shared" si="632"/>
        <v>00234290658</v>
      </c>
      <c r="E7734" t="s">
        <v>52</v>
      </c>
      <c r="F7734">
        <v>2014</v>
      </c>
      <c r="G7734">
        <v>733</v>
      </c>
      <c r="H7734" s="1">
        <v>42004</v>
      </c>
      <c r="I7734" s="1">
        <v>42025</v>
      </c>
      <c r="J7734" s="1">
        <v>42025</v>
      </c>
      <c r="K7734" s="1">
        <v>42085</v>
      </c>
      <c r="N7734" s="5"/>
      <c r="O7734" s="2">
        <v>101422.35</v>
      </c>
      <c r="P7734">
        <v>166</v>
      </c>
      <c r="Q7734" s="2">
        <v>16836110.100000001</v>
      </c>
      <c r="R7734">
        <v>0</v>
      </c>
      <c r="V7734">
        <v>0</v>
      </c>
      <c r="W7734">
        <v>0</v>
      </c>
      <c r="X7734">
        <v>0</v>
      </c>
      <c r="Y7734">
        <v>0</v>
      </c>
      <c r="Z7734" s="2">
        <v>101422.35</v>
      </c>
      <c r="AA7734">
        <v>0</v>
      </c>
      <c r="AB7734" s="1">
        <v>42382</v>
      </c>
      <c r="AC7734" t="s">
        <v>53</v>
      </c>
      <c r="AD7734" t="s">
        <v>53</v>
      </c>
      <c r="AK7734">
        <v>0</v>
      </c>
      <c r="AU7734" s="6">
        <v>42251</v>
      </c>
      <c r="AV7734" s="6">
        <v>42251</v>
      </c>
      <c r="AW7734" t="s">
        <v>54</v>
      </c>
      <c r="AX7734" t="str">
        <f t="shared" si="630"/>
        <v>FOR</v>
      </c>
      <c r="AY7734" t="s">
        <v>55</v>
      </c>
    </row>
    <row r="7735" spans="1:51" hidden="1">
      <c r="A7735">
        <v>104394</v>
      </c>
      <c r="B7735" t="s">
        <v>1301</v>
      </c>
      <c r="C7735" t="str">
        <f t="shared" si="632"/>
        <v>00234290658</v>
      </c>
      <c r="D7735" t="str">
        <f t="shared" si="632"/>
        <v>00234290658</v>
      </c>
      <c r="E7735" t="s">
        <v>52</v>
      </c>
      <c r="F7735">
        <v>2014</v>
      </c>
      <c r="G7735">
        <v>734</v>
      </c>
      <c r="H7735" s="1">
        <v>42004</v>
      </c>
      <c r="I7735" s="1">
        <v>42025</v>
      </c>
      <c r="J7735" s="1">
        <v>42025</v>
      </c>
      <c r="K7735" s="1">
        <v>42085</v>
      </c>
      <c r="N7735" s="5"/>
      <c r="O7735">
        <v>109.8</v>
      </c>
      <c r="P7735">
        <v>166</v>
      </c>
      <c r="Q7735" s="2">
        <v>18226.8</v>
      </c>
      <c r="R7735">
        <v>0</v>
      </c>
      <c r="V7735">
        <v>0</v>
      </c>
      <c r="W7735">
        <v>0</v>
      </c>
      <c r="X7735">
        <v>0</v>
      </c>
      <c r="Y7735">
        <v>0</v>
      </c>
      <c r="Z7735">
        <v>109.8</v>
      </c>
      <c r="AA7735">
        <v>0</v>
      </c>
      <c r="AB7735" s="1">
        <v>42382</v>
      </c>
      <c r="AC7735" t="s">
        <v>53</v>
      </c>
      <c r="AD7735" t="s">
        <v>53</v>
      </c>
      <c r="AK7735">
        <v>0</v>
      </c>
      <c r="AU7735" s="6">
        <v>42251</v>
      </c>
      <c r="AV7735" s="6">
        <v>42251</v>
      </c>
      <c r="AW7735" t="s">
        <v>54</v>
      </c>
      <c r="AX7735" t="str">
        <f t="shared" si="630"/>
        <v>FOR</v>
      </c>
      <c r="AY7735" t="s">
        <v>55</v>
      </c>
    </row>
    <row r="7736" spans="1:51" hidden="1">
      <c r="A7736">
        <v>104394</v>
      </c>
      <c r="B7736" t="s">
        <v>1301</v>
      </c>
      <c r="C7736" t="str">
        <f t="shared" si="632"/>
        <v>00234290658</v>
      </c>
      <c r="D7736" t="str">
        <f t="shared" si="632"/>
        <v>00234290658</v>
      </c>
      <c r="E7736" t="s">
        <v>52</v>
      </c>
      <c r="F7736">
        <v>2014</v>
      </c>
      <c r="G7736">
        <v>735</v>
      </c>
      <c r="H7736" s="1">
        <v>42004</v>
      </c>
      <c r="I7736" s="1">
        <v>42025</v>
      </c>
      <c r="J7736" s="1">
        <v>42025</v>
      </c>
      <c r="K7736" s="1">
        <v>42085</v>
      </c>
      <c r="N7736" s="5"/>
      <c r="O7736">
        <v>193.43</v>
      </c>
      <c r="P7736">
        <v>166</v>
      </c>
      <c r="Q7736" s="2">
        <v>32109.38</v>
      </c>
      <c r="R7736">
        <v>0</v>
      </c>
      <c r="V7736">
        <v>0</v>
      </c>
      <c r="W7736">
        <v>0</v>
      </c>
      <c r="X7736">
        <v>0</v>
      </c>
      <c r="Y7736">
        <v>0</v>
      </c>
      <c r="Z7736">
        <v>193.43</v>
      </c>
      <c r="AA7736">
        <v>0</v>
      </c>
      <c r="AB7736" s="1">
        <v>42382</v>
      </c>
      <c r="AC7736" t="s">
        <v>53</v>
      </c>
      <c r="AD7736" t="s">
        <v>53</v>
      </c>
      <c r="AK7736">
        <v>0</v>
      </c>
      <c r="AU7736" s="6">
        <v>42251</v>
      </c>
      <c r="AV7736" s="6">
        <v>42251</v>
      </c>
      <c r="AW7736" t="s">
        <v>54</v>
      </c>
      <c r="AX7736" t="str">
        <f t="shared" si="630"/>
        <v>FOR</v>
      </c>
      <c r="AY7736" t="s">
        <v>55</v>
      </c>
    </row>
    <row r="7737" spans="1:51" hidden="1">
      <c r="A7737">
        <v>104394</v>
      </c>
      <c r="B7737" t="s">
        <v>1301</v>
      </c>
      <c r="C7737" t="str">
        <f t="shared" si="632"/>
        <v>00234290658</v>
      </c>
      <c r="D7737" t="str">
        <f t="shared" si="632"/>
        <v>00234290658</v>
      </c>
      <c r="E7737" t="s">
        <v>52</v>
      </c>
      <c r="F7737">
        <v>2014</v>
      </c>
      <c r="G7737">
        <v>736</v>
      </c>
      <c r="H7737" s="1">
        <v>42004</v>
      </c>
      <c r="I7737" s="1">
        <v>42025</v>
      </c>
      <c r="J7737" s="1">
        <v>42025</v>
      </c>
      <c r="K7737" s="1">
        <v>42085</v>
      </c>
      <c r="N7737" s="5"/>
      <c r="O7737">
        <v>501.2</v>
      </c>
      <c r="P7737">
        <v>166</v>
      </c>
      <c r="Q7737" s="2">
        <v>83199.199999999997</v>
      </c>
      <c r="R7737">
        <v>0</v>
      </c>
      <c r="V7737">
        <v>0</v>
      </c>
      <c r="W7737">
        <v>0</v>
      </c>
      <c r="X7737">
        <v>0</v>
      </c>
      <c r="Y7737">
        <v>0</v>
      </c>
      <c r="Z7737">
        <v>501.2</v>
      </c>
      <c r="AA7737">
        <v>0</v>
      </c>
      <c r="AB7737" s="1">
        <v>42382</v>
      </c>
      <c r="AC7737" t="s">
        <v>53</v>
      </c>
      <c r="AD7737" t="s">
        <v>53</v>
      </c>
      <c r="AK7737">
        <v>0</v>
      </c>
      <c r="AU7737" s="6">
        <v>42251</v>
      </c>
      <c r="AV7737" s="6">
        <v>42251</v>
      </c>
      <c r="AW7737" t="s">
        <v>54</v>
      </c>
      <c r="AX7737" t="str">
        <f t="shared" si="630"/>
        <v>FOR</v>
      </c>
      <c r="AY7737" t="s">
        <v>55</v>
      </c>
    </row>
    <row r="7738" spans="1:51" hidden="1">
      <c r="A7738">
        <v>104394</v>
      </c>
      <c r="B7738" t="s">
        <v>1301</v>
      </c>
      <c r="C7738" t="str">
        <f t="shared" si="632"/>
        <v>00234290658</v>
      </c>
      <c r="D7738" t="str">
        <f t="shared" si="632"/>
        <v>00234290658</v>
      </c>
      <c r="E7738" t="s">
        <v>52</v>
      </c>
      <c r="F7738">
        <v>2015</v>
      </c>
      <c r="G7738">
        <v>31</v>
      </c>
      <c r="H7738" s="1">
        <v>42035</v>
      </c>
      <c r="I7738" s="1">
        <v>42053</v>
      </c>
      <c r="J7738" s="1">
        <v>42053</v>
      </c>
      <c r="K7738" s="1">
        <v>42113</v>
      </c>
      <c r="N7738" s="5"/>
      <c r="O7738" s="2">
        <v>85213.3</v>
      </c>
      <c r="P7738">
        <v>163</v>
      </c>
      <c r="Q7738" s="2">
        <v>13889767.9</v>
      </c>
      <c r="R7738">
        <v>0</v>
      </c>
      <c r="V7738">
        <v>0</v>
      </c>
      <c r="W7738">
        <v>0</v>
      </c>
      <c r="X7738">
        <v>0</v>
      </c>
      <c r="Y7738" s="2">
        <v>85213.3</v>
      </c>
      <c r="Z7738" s="2">
        <v>85213.3</v>
      </c>
      <c r="AA7738" s="2">
        <v>85213.3</v>
      </c>
      <c r="AB7738" s="1">
        <v>42382</v>
      </c>
      <c r="AC7738" t="s">
        <v>53</v>
      </c>
      <c r="AD7738" t="s">
        <v>53</v>
      </c>
      <c r="AK7738">
        <v>0</v>
      </c>
      <c r="AU7738" s="6">
        <v>42276</v>
      </c>
      <c r="AV7738" s="6">
        <v>42276</v>
      </c>
      <c r="AW7738" t="s">
        <v>54</v>
      </c>
      <c r="AX7738" t="str">
        <f t="shared" si="630"/>
        <v>FOR</v>
      </c>
      <c r="AY7738" t="s">
        <v>55</v>
      </c>
    </row>
    <row r="7739" spans="1:51" hidden="1">
      <c r="A7739">
        <v>104394</v>
      </c>
      <c r="B7739" t="s">
        <v>1301</v>
      </c>
      <c r="C7739" t="str">
        <f t="shared" si="632"/>
        <v>00234290658</v>
      </c>
      <c r="D7739" t="str">
        <f t="shared" si="632"/>
        <v>00234290658</v>
      </c>
      <c r="E7739" t="s">
        <v>52</v>
      </c>
      <c r="F7739">
        <v>2015</v>
      </c>
      <c r="G7739">
        <v>32</v>
      </c>
      <c r="H7739" s="1">
        <v>42035</v>
      </c>
      <c r="I7739" s="1">
        <v>42053</v>
      </c>
      <c r="J7739" s="1">
        <v>42053</v>
      </c>
      <c r="K7739" s="1">
        <v>42113</v>
      </c>
      <c r="N7739" s="5"/>
      <c r="O7739">
        <v>90</v>
      </c>
      <c r="P7739">
        <v>163</v>
      </c>
      <c r="Q7739" s="2">
        <v>14670</v>
      </c>
      <c r="R7739">
        <v>0</v>
      </c>
      <c r="V7739">
        <v>0</v>
      </c>
      <c r="W7739">
        <v>0</v>
      </c>
      <c r="X7739">
        <v>0</v>
      </c>
      <c r="Y7739">
        <v>109.8</v>
      </c>
      <c r="Z7739">
        <v>109.8</v>
      </c>
      <c r="AA7739">
        <v>109.8</v>
      </c>
      <c r="AB7739" s="1">
        <v>42382</v>
      </c>
      <c r="AC7739" t="s">
        <v>53</v>
      </c>
      <c r="AD7739" t="s">
        <v>53</v>
      </c>
      <c r="AK7739">
        <v>0</v>
      </c>
      <c r="AU7739" s="6">
        <v>42276</v>
      </c>
      <c r="AV7739" s="6">
        <v>42276</v>
      </c>
      <c r="AW7739" t="s">
        <v>54</v>
      </c>
      <c r="AX7739" t="str">
        <f t="shared" si="630"/>
        <v>FOR</v>
      </c>
      <c r="AY7739" t="s">
        <v>55</v>
      </c>
    </row>
    <row r="7740" spans="1:51" hidden="1">
      <c r="A7740">
        <v>104394</v>
      </c>
      <c r="B7740" t="s">
        <v>1301</v>
      </c>
      <c r="C7740" t="str">
        <f t="shared" ref="C7740:D7753" si="633">"00234290658"</f>
        <v>00234290658</v>
      </c>
      <c r="D7740" t="str">
        <f t="shared" si="633"/>
        <v>00234290658</v>
      </c>
      <c r="E7740" t="s">
        <v>52</v>
      </c>
      <c r="F7740">
        <v>2015</v>
      </c>
      <c r="G7740">
        <v>33</v>
      </c>
      <c r="H7740" s="1">
        <v>42035</v>
      </c>
      <c r="I7740" s="1">
        <v>42053</v>
      </c>
      <c r="J7740" s="1">
        <v>42053</v>
      </c>
      <c r="K7740" s="1">
        <v>42113</v>
      </c>
      <c r="N7740" s="5"/>
      <c r="O7740">
        <v>182.7</v>
      </c>
      <c r="P7740">
        <v>163</v>
      </c>
      <c r="Q7740" s="2">
        <v>29780.1</v>
      </c>
      <c r="R7740">
        <v>0</v>
      </c>
      <c r="V7740">
        <v>0</v>
      </c>
      <c r="W7740">
        <v>0</v>
      </c>
      <c r="X7740">
        <v>0</v>
      </c>
      <c r="Y7740">
        <v>222.89</v>
      </c>
      <c r="Z7740">
        <v>222.89</v>
      </c>
      <c r="AA7740">
        <v>222.89</v>
      </c>
      <c r="AB7740" s="1">
        <v>42382</v>
      </c>
      <c r="AC7740" t="s">
        <v>53</v>
      </c>
      <c r="AD7740" t="s">
        <v>53</v>
      </c>
      <c r="AK7740">
        <v>0</v>
      </c>
      <c r="AU7740" s="6">
        <v>42276</v>
      </c>
      <c r="AV7740" s="6">
        <v>42276</v>
      </c>
      <c r="AW7740" t="s">
        <v>54</v>
      </c>
      <c r="AX7740" t="str">
        <f t="shared" si="630"/>
        <v>FOR</v>
      </c>
      <c r="AY7740" t="s">
        <v>55</v>
      </c>
    </row>
    <row r="7741" spans="1:51" hidden="1">
      <c r="A7741">
        <v>104394</v>
      </c>
      <c r="B7741" t="s">
        <v>1301</v>
      </c>
      <c r="C7741" t="str">
        <f t="shared" si="633"/>
        <v>00234290658</v>
      </c>
      <c r="D7741" t="str">
        <f t="shared" si="633"/>
        <v>00234290658</v>
      </c>
      <c r="E7741" t="s">
        <v>52</v>
      </c>
      <c r="F7741">
        <v>2015</v>
      </c>
      <c r="G7741">
        <v>34</v>
      </c>
      <c r="H7741" s="1">
        <v>42035</v>
      </c>
      <c r="I7741" s="1">
        <v>42053</v>
      </c>
      <c r="J7741" s="1">
        <v>42053</v>
      </c>
      <c r="K7741" s="1">
        <v>42113</v>
      </c>
      <c r="N7741" s="5"/>
      <c r="O7741">
        <v>348.91</v>
      </c>
      <c r="P7741">
        <v>163</v>
      </c>
      <c r="Q7741" s="2">
        <v>56872.33</v>
      </c>
      <c r="R7741">
        <v>0</v>
      </c>
      <c r="V7741">
        <v>0</v>
      </c>
      <c r="W7741">
        <v>0</v>
      </c>
      <c r="X7741">
        <v>0</v>
      </c>
      <c r="Y7741">
        <v>425.67</v>
      </c>
      <c r="Z7741">
        <v>425.67</v>
      </c>
      <c r="AA7741">
        <v>425.67</v>
      </c>
      <c r="AB7741" s="1">
        <v>42382</v>
      </c>
      <c r="AC7741" t="s">
        <v>53</v>
      </c>
      <c r="AD7741" t="s">
        <v>53</v>
      </c>
      <c r="AK7741">
        <v>0</v>
      </c>
      <c r="AU7741" s="6">
        <v>42276</v>
      </c>
      <c r="AV7741" s="6">
        <v>42276</v>
      </c>
      <c r="AW7741" t="s">
        <v>54</v>
      </c>
      <c r="AX7741" t="str">
        <f t="shared" si="630"/>
        <v>FOR</v>
      </c>
      <c r="AY7741" t="s">
        <v>55</v>
      </c>
    </row>
    <row r="7742" spans="1:51">
      <c r="A7742">
        <v>104394</v>
      </c>
      <c r="B7742" t="s">
        <v>1301</v>
      </c>
      <c r="C7742" t="str">
        <f t="shared" si="633"/>
        <v>00234290658</v>
      </c>
      <c r="D7742" t="str">
        <f t="shared" si="633"/>
        <v>00234290658</v>
      </c>
      <c r="E7742" t="s">
        <v>52</v>
      </c>
      <c r="F7742">
        <v>2015</v>
      </c>
      <c r="G7742">
        <v>94</v>
      </c>
      <c r="H7742" s="1">
        <v>42063</v>
      </c>
      <c r="I7742" s="1">
        <v>42074</v>
      </c>
      <c r="J7742" s="1">
        <v>42074</v>
      </c>
      <c r="K7742" s="1">
        <v>42134</v>
      </c>
      <c r="L7742" s="7">
        <v>83275.490000000005</v>
      </c>
      <c r="M7742" s="5">
        <v>165</v>
      </c>
      <c r="N7742" s="7">
        <v>13740455.85</v>
      </c>
      <c r="O7742" s="2">
        <v>83275.490000000005</v>
      </c>
      <c r="P7742">
        <v>165</v>
      </c>
      <c r="Q7742" s="2">
        <v>13740455.85</v>
      </c>
      <c r="R7742">
        <v>0</v>
      </c>
      <c r="V7742">
        <v>0</v>
      </c>
      <c r="W7742">
        <v>0</v>
      </c>
      <c r="X7742">
        <v>0</v>
      </c>
      <c r="Y7742" s="2">
        <v>83275.490000000005</v>
      </c>
      <c r="Z7742" s="2">
        <v>83275.490000000005</v>
      </c>
      <c r="AA7742" s="2">
        <v>83275.490000000005</v>
      </c>
      <c r="AB7742" s="1">
        <v>42382</v>
      </c>
      <c r="AC7742" t="s">
        <v>53</v>
      </c>
      <c r="AD7742" t="s">
        <v>53</v>
      </c>
      <c r="AK7742">
        <v>0</v>
      </c>
      <c r="AU7742" s="6">
        <v>42299</v>
      </c>
      <c r="AV7742" s="6">
        <v>42299</v>
      </c>
      <c r="AW7742" t="s">
        <v>54</v>
      </c>
      <c r="AX7742" t="str">
        <f t="shared" si="630"/>
        <v>FOR</v>
      </c>
      <c r="AY7742" t="s">
        <v>55</v>
      </c>
    </row>
    <row r="7743" spans="1:51">
      <c r="A7743">
        <v>104394</v>
      </c>
      <c r="B7743" t="s">
        <v>1301</v>
      </c>
      <c r="C7743" t="str">
        <f t="shared" si="633"/>
        <v>00234290658</v>
      </c>
      <c r="D7743" t="str">
        <f t="shared" si="633"/>
        <v>00234290658</v>
      </c>
      <c r="E7743" t="s">
        <v>52</v>
      </c>
      <c r="F7743">
        <v>2015</v>
      </c>
      <c r="G7743">
        <v>95</v>
      </c>
      <c r="H7743" s="1">
        <v>42063</v>
      </c>
      <c r="I7743" s="1">
        <v>42074</v>
      </c>
      <c r="J7743" s="1">
        <v>42074</v>
      </c>
      <c r="K7743" s="1">
        <v>42134</v>
      </c>
      <c r="L7743" s="7">
        <v>90</v>
      </c>
      <c r="M7743" s="5">
        <v>165</v>
      </c>
      <c r="N7743" s="7">
        <v>14850</v>
      </c>
      <c r="O7743">
        <v>90</v>
      </c>
      <c r="P7743">
        <v>165</v>
      </c>
      <c r="Q7743" s="2">
        <v>14850</v>
      </c>
      <c r="R7743">
        <v>0</v>
      </c>
      <c r="V7743">
        <v>0</v>
      </c>
      <c r="W7743">
        <v>0</v>
      </c>
      <c r="X7743">
        <v>0</v>
      </c>
      <c r="Y7743">
        <v>109.8</v>
      </c>
      <c r="Z7743">
        <v>109.8</v>
      </c>
      <c r="AA7743">
        <v>109.8</v>
      </c>
      <c r="AB7743" s="1">
        <v>42382</v>
      </c>
      <c r="AC7743" t="s">
        <v>53</v>
      </c>
      <c r="AD7743" t="s">
        <v>53</v>
      </c>
      <c r="AK7743">
        <v>0</v>
      </c>
      <c r="AU7743" s="6">
        <v>42299</v>
      </c>
      <c r="AV7743" s="6">
        <v>42299</v>
      </c>
      <c r="AW7743" t="s">
        <v>54</v>
      </c>
      <c r="AX7743" t="str">
        <f t="shared" si="630"/>
        <v>FOR</v>
      </c>
      <c r="AY7743" t="s">
        <v>55</v>
      </c>
    </row>
    <row r="7744" spans="1:51">
      <c r="A7744">
        <v>104394</v>
      </c>
      <c r="B7744" t="s">
        <v>1301</v>
      </c>
      <c r="C7744" t="str">
        <f t="shared" si="633"/>
        <v>00234290658</v>
      </c>
      <c r="D7744" t="str">
        <f t="shared" si="633"/>
        <v>00234290658</v>
      </c>
      <c r="E7744" t="s">
        <v>52</v>
      </c>
      <c r="F7744">
        <v>2015</v>
      </c>
      <c r="G7744">
        <v>96</v>
      </c>
      <c r="H7744" s="1">
        <v>42063</v>
      </c>
      <c r="I7744" s="1">
        <v>42074</v>
      </c>
      <c r="J7744" s="1">
        <v>42074</v>
      </c>
      <c r="K7744" s="1">
        <v>42134</v>
      </c>
      <c r="L7744" s="7">
        <v>171.15</v>
      </c>
      <c r="M7744" s="5">
        <v>165</v>
      </c>
      <c r="N7744" s="7">
        <v>28239.75</v>
      </c>
      <c r="O7744">
        <v>171.15</v>
      </c>
      <c r="P7744">
        <v>165</v>
      </c>
      <c r="Q7744" s="2">
        <v>28239.75</v>
      </c>
      <c r="R7744">
        <v>0</v>
      </c>
      <c r="V7744">
        <v>0</v>
      </c>
      <c r="W7744">
        <v>0</v>
      </c>
      <c r="X7744">
        <v>0</v>
      </c>
      <c r="Y7744">
        <v>208.8</v>
      </c>
      <c r="Z7744">
        <v>208.8</v>
      </c>
      <c r="AA7744">
        <v>208.8</v>
      </c>
      <c r="AB7744" s="1">
        <v>42382</v>
      </c>
      <c r="AC7744" t="s">
        <v>53</v>
      </c>
      <c r="AD7744" t="s">
        <v>53</v>
      </c>
      <c r="AK7744">
        <v>0</v>
      </c>
      <c r="AU7744" s="6">
        <v>42299</v>
      </c>
      <c r="AV7744" s="6">
        <v>42299</v>
      </c>
      <c r="AW7744" t="s">
        <v>54</v>
      </c>
      <c r="AX7744" t="str">
        <f t="shared" si="630"/>
        <v>FOR</v>
      </c>
      <c r="AY7744" t="s">
        <v>55</v>
      </c>
    </row>
    <row r="7745" spans="1:51">
      <c r="A7745">
        <v>104394</v>
      </c>
      <c r="B7745" t="s">
        <v>1301</v>
      </c>
      <c r="C7745" t="str">
        <f t="shared" si="633"/>
        <v>00234290658</v>
      </c>
      <c r="D7745" t="str">
        <f t="shared" si="633"/>
        <v>00234290658</v>
      </c>
      <c r="E7745" t="s">
        <v>52</v>
      </c>
      <c r="F7745">
        <v>2015</v>
      </c>
      <c r="G7745">
        <v>97</v>
      </c>
      <c r="H7745" s="1">
        <v>42063</v>
      </c>
      <c r="I7745" s="1">
        <v>42074</v>
      </c>
      <c r="J7745" s="1">
        <v>42074</v>
      </c>
      <c r="K7745" s="1">
        <v>42134</v>
      </c>
      <c r="L7745" s="7">
        <v>303.81</v>
      </c>
      <c r="M7745" s="5">
        <v>165</v>
      </c>
      <c r="N7745" s="7">
        <v>50128.65</v>
      </c>
      <c r="O7745">
        <v>303.81</v>
      </c>
      <c r="P7745">
        <v>165</v>
      </c>
      <c r="Q7745" s="2">
        <v>50128.65</v>
      </c>
      <c r="R7745">
        <v>0</v>
      </c>
      <c r="V7745">
        <v>0</v>
      </c>
      <c r="W7745">
        <v>0</v>
      </c>
      <c r="X7745">
        <v>0</v>
      </c>
      <c r="Y7745">
        <v>370.65</v>
      </c>
      <c r="Z7745">
        <v>370.65</v>
      </c>
      <c r="AA7745">
        <v>370.65</v>
      </c>
      <c r="AB7745" s="1">
        <v>42382</v>
      </c>
      <c r="AC7745" t="s">
        <v>53</v>
      </c>
      <c r="AD7745" t="s">
        <v>53</v>
      </c>
      <c r="AK7745">
        <v>0</v>
      </c>
      <c r="AU7745" s="6">
        <v>42299</v>
      </c>
      <c r="AV7745" s="6">
        <v>42299</v>
      </c>
      <c r="AW7745" t="s">
        <v>54</v>
      </c>
      <c r="AX7745" t="str">
        <f t="shared" si="630"/>
        <v>FOR</v>
      </c>
      <c r="AY7745" t="s">
        <v>55</v>
      </c>
    </row>
    <row r="7746" spans="1:51">
      <c r="A7746">
        <v>104394</v>
      </c>
      <c r="B7746" t="s">
        <v>1301</v>
      </c>
      <c r="C7746" t="str">
        <f t="shared" si="633"/>
        <v>00234290658</v>
      </c>
      <c r="D7746" t="str">
        <f t="shared" si="633"/>
        <v>00234290658</v>
      </c>
      <c r="E7746" t="s">
        <v>52</v>
      </c>
      <c r="F7746">
        <v>2015</v>
      </c>
      <c r="G7746" t="s">
        <v>1302</v>
      </c>
      <c r="H7746" s="1">
        <v>42094</v>
      </c>
      <c r="I7746" s="1">
        <v>42129</v>
      </c>
      <c r="J7746" s="1">
        <v>42110</v>
      </c>
      <c r="K7746" s="1">
        <v>42170</v>
      </c>
      <c r="L7746" s="7">
        <v>92965.45</v>
      </c>
      <c r="M7746" s="5">
        <v>169</v>
      </c>
      <c r="N7746" s="7">
        <v>15711161.050000001</v>
      </c>
      <c r="O7746" s="2">
        <v>92965.45</v>
      </c>
      <c r="P7746">
        <v>169</v>
      </c>
      <c r="Q7746" s="2">
        <v>15711161.050000001</v>
      </c>
      <c r="R7746">
        <v>0</v>
      </c>
      <c r="V7746">
        <v>0</v>
      </c>
      <c r="W7746">
        <v>0</v>
      </c>
      <c r="X7746">
        <v>0</v>
      </c>
      <c r="Y7746" s="2">
        <v>92965.45</v>
      </c>
      <c r="Z7746" s="2">
        <v>92965.45</v>
      </c>
      <c r="AA7746" s="2">
        <v>92965.45</v>
      </c>
      <c r="AB7746" s="1">
        <v>42382</v>
      </c>
      <c r="AC7746" t="s">
        <v>53</v>
      </c>
      <c r="AD7746" t="s">
        <v>53</v>
      </c>
      <c r="AK7746">
        <v>0</v>
      </c>
      <c r="AU7746" s="6">
        <v>42339</v>
      </c>
      <c r="AV7746" s="6">
        <v>42339</v>
      </c>
      <c r="AW7746" t="s">
        <v>54</v>
      </c>
      <c r="AX7746" t="str">
        <f t="shared" si="630"/>
        <v>FOR</v>
      </c>
      <c r="AY7746" t="s">
        <v>55</v>
      </c>
    </row>
    <row r="7747" spans="1:51">
      <c r="A7747">
        <v>104394</v>
      </c>
      <c r="B7747" t="s">
        <v>1301</v>
      </c>
      <c r="C7747" t="str">
        <f t="shared" si="633"/>
        <v>00234290658</v>
      </c>
      <c r="D7747" t="str">
        <f t="shared" si="633"/>
        <v>00234290658</v>
      </c>
      <c r="E7747" t="s">
        <v>52</v>
      </c>
      <c r="F7747">
        <v>2015</v>
      </c>
      <c r="G7747" t="s">
        <v>1303</v>
      </c>
      <c r="H7747" s="1">
        <v>42094</v>
      </c>
      <c r="I7747" s="1">
        <v>42185</v>
      </c>
      <c r="J7747" s="1">
        <v>42110</v>
      </c>
      <c r="K7747" s="1">
        <v>42170</v>
      </c>
      <c r="L7747" s="7">
        <v>90</v>
      </c>
      <c r="M7747" s="5">
        <v>169</v>
      </c>
      <c r="N7747" s="7">
        <v>15210</v>
      </c>
      <c r="O7747">
        <v>90</v>
      </c>
      <c r="P7747">
        <v>169</v>
      </c>
      <c r="Q7747" s="2">
        <v>15210</v>
      </c>
      <c r="R7747">
        <v>19.8</v>
      </c>
      <c r="V7747">
        <v>0</v>
      </c>
      <c r="W7747">
        <v>0</v>
      </c>
      <c r="X7747">
        <v>0</v>
      </c>
      <c r="Y7747">
        <v>109.8</v>
      </c>
      <c r="Z7747">
        <v>109.8</v>
      </c>
      <c r="AA7747">
        <v>109.8</v>
      </c>
      <c r="AB7747" s="1">
        <v>42382</v>
      </c>
      <c r="AC7747" t="s">
        <v>53</v>
      </c>
      <c r="AD7747" t="s">
        <v>53</v>
      </c>
      <c r="AK7747">
        <v>19.8</v>
      </c>
      <c r="AU7747" s="6">
        <v>42339</v>
      </c>
      <c r="AV7747" s="6">
        <v>42339</v>
      </c>
      <c r="AW7747" t="s">
        <v>54</v>
      </c>
      <c r="AX7747" t="str">
        <f t="shared" ref="AX7747:AX7810" si="634">"FOR"</f>
        <v>FOR</v>
      </c>
      <c r="AY7747" t="s">
        <v>55</v>
      </c>
    </row>
    <row r="7748" spans="1:51">
      <c r="A7748">
        <v>104394</v>
      </c>
      <c r="B7748" t="s">
        <v>1301</v>
      </c>
      <c r="C7748" t="str">
        <f t="shared" si="633"/>
        <v>00234290658</v>
      </c>
      <c r="D7748" t="str">
        <f t="shared" si="633"/>
        <v>00234290658</v>
      </c>
      <c r="E7748" t="s">
        <v>52</v>
      </c>
      <c r="F7748">
        <v>2015</v>
      </c>
      <c r="G7748" t="s">
        <v>1304</v>
      </c>
      <c r="H7748" s="1">
        <v>42094</v>
      </c>
      <c r="I7748" s="1">
        <v>42135</v>
      </c>
      <c r="J7748" s="1">
        <v>42110</v>
      </c>
      <c r="K7748" s="1">
        <v>42170</v>
      </c>
      <c r="L7748" s="7">
        <v>207.9</v>
      </c>
      <c r="M7748" s="5">
        <v>169</v>
      </c>
      <c r="N7748" s="7">
        <v>35135.1</v>
      </c>
      <c r="O7748">
        <v>207.9</v>
      </c>
      <c r="P7748">
        <v>169</v>
      </c>
      <c r="Q7748" s="2">
        <v>35135.1</v>
      </c>
      <c r="R7748">
        <v>45.74</v>
      </c>
      <c r="V7748">
        <v>0</v>
      </c>
      <c r="W7748">
        <v>0</v>
      </c>
      <c r="X7748">
        <v>0</v>
      </c>
      <c r="Y7748">
        <v>253.64</v>
      </c>
      <c r="Z7748">
        <v>253.64</v>
      </c>
      <c r="AA7748">
        <v>253.64</v>
      </c>
      <c r="AB7748" s="1">
        <v>42382</v>
      </c>
      <c r="AC7748" t="s">
        <v>53</v>
      </c>
      <c r="AD7748" t="s">
        <v>53</v>
      </c>
      <c r="AK7748">
        <v>45.74</v>
      </c>
      <c r="AU7748" s="6">
        <v>42339</v>
      </c>
      <c r="AV7748" s="6">
        <v>42339</v>
      </c>
      <c r="AW7748" t="s">
        <v>54</v>
      </c>
      <c r="AX7748" t="str">
        <f t="shared" si="634"/>
        <v>FOR</v>
      </c>
      <c r="AY7748" t="s">
        <v>55</v>
      </c>
    </row>
    <row r="7749" spans="1:51">
      <c r="A7749">
        <v>104394</v>
      </c>
      <c r="B7749" t="s">
        <v>1301</v>
      </c>
      <c r="C7749" t="str">
        <f t="shared" si="633"/>
        <v>00234290658</v>
      </c>
      <c r="D7749" t="str">
        <f t="shared" si="633"/>
        <v>00234290658</v>
      </c>
      <c r="E7749" t="s">
        <v>52</v>
      </c>
      <c r="F7749">
        <v>2015</v>
      </c>
      <c r="G7749" t="s">
        <v>1305</v>
      </c>
      <c r="H7749" s="1">
        <v>42094</v>
      </c>
      <c r="I7749" s="1">
        <v>42135</v>
      </c>
      <c r="J7749" s="1">
        <v>42110</v>
      </c>
      <c r="K7749" s="1">
        <v>42170</v>
      </c>
      <c r="L7749" s="7">
        <v>325.95</v>
      </c>
      <c r="M7749" s="5">
        <v>169</v>
      </c>
      <c r="N7749" s="7">
        <v>55085.55</v>
      </c>
      <c r="O7749">
        <v>325.95</v>
      </c>
      <c r="P7749">
        <v>169</v>
      </c>
      <c r="Q7749" s="2">
        <v>55085.55</v>
      </c>
      <c r="R7749">
        <v>71.709999999999994</v>
      </c>
      <c r="V7749">
        <v>0</v>
      </c>
      <c r="W7749">
        <v>0</v>
      </c>
      <c r="X7749">
        <v>0</v>
      </c>
      <c r="Y7749">
        <v>397.66</v>
      </c>
      <c r="Z7749">
        <v>397.66</v>
      </c>
      <c r="AA7749">
        <v>397.66</v>
      </c>
      <c r="AB7749" s="1">
        <v>42382</v>
      </c>
      <c r="AC7749" t="s">
        <v>53</v>
      </c>
      <c r="AD7749" t="s">
        <v>53</v>
      </c>
      <c r="AK7749">
        <v>71.709999999999994</v>
      </c>
      <c r="AU7749" s="6">
        <v>42339</v>
      </c>
      <c r="AV7749" s="6">
        <v>42339</v>
      </c>
      <c r="AW7749" t="s">
        <v>54</v>
      </c>
      <c r="AX7749" t="str">
        <f t="shared" si="634"/>
        <v>FOR</v>
      </c>
      <c r="AY7749" t="s">
        <v>55</v>
      </c>
    </row>
    <row r="7750" spans="1:51">
      <c r="A7750">
        <v>104394</v>
      </c>
      <c r="B7750" t="s">
        <v>1301</v>
      </c>
      <c r="C7750" t="str">
        <f t="shared" si="633"/>
        <v>00234290658</v>
      </c>
      <c r="D7750" t="str">
        <f t="shared" si="633"/>
        <v>00234290658</v>
      </c>
      <c r="E7750" t="s">
        <v>52</v>
      </c>
      <c r="F7750">
        <v>2015</v>
      </c>
      <c r="G7750" t="s">
        <v>1306</v>
      </c>
      <c r="H7750" s="1">
        <v>42124</v>
      </c>
      <c r="I7750" s="1">
        <v>42166</v>
      </c>
      <c r="J7750" s="1">
        <v>42164</v>
      </c>
      <c r="K7750" s="1">
        <v>42224</v>
      </c>
      <c r="L7750" s="7">
        <v>94662.52</v>
      </c>
      <c r="M7750" s="5">
        <v>132</v>
      </c>
      <c r="N7750" s="7">
        <v>12495452.640000001</v>
      </c>
      <c r="O7750" s="2">
        <v>94662.52</v>
      </c>
      <c r="P7750">
        <v>132</v>
      </c>
      <c r="Q7750" s="2">
        <v>12495452.640000001</v>
      </c>
      <c r="R7750">
        <v>0</v>
      </c>
      <c r="V7750">
        <v>0</v>
      </c>
      <c r="W7750">
        <v>0</v>
      </c>
      <c r="X7750">
        <v>0</v>
      </c>
      <c r="Y7750" s="2">
        <v>94662.52</v>
      </c>
      <c r="Z7750" s="2">
        <v>94662.52</v>
      </c>
      <c r="AA7750" s="2">
        <v>94662.52</v>
      </c>
      <c r="AB7750" s="1">
        <v>42382</v>
      </c>
      <c r="AC7750" t="s">
        <v>53</v>
      </c>
      <c r="AD7750" t="s">
        <v>53</v>
      </c>
      <c r="AK7750">
        <v>0</v>
      </c>
      <c r="AU7750" s="6">
        <v>42356</v>
      </c>
      <c r="AV7750" s="6">
        <v>42356</v>
      </c>
      <c r="AW7750" t="s">
        <v>54</v>
      </c>
      <c r="AX7750" t="str">
        <f t="shared" si="634"/>
        <v>FOR</v>
      </c>
      <c r="AY7750" t="s">
        <v>55</v>
      </c>
    </row>
    <row r="7751" spans="1:51">
      <c r="A7751">
        <v>104394</v>
      </c>
      <c r="B7751" t="s">
        <v>1301</v>
      </c>
      <c r="C7751" t="str">
        <f t="shared" si="633"/>
        <v>00234290658</v>
      </c>
      <c r="D7751" t="str">
        <f t="shared" si="633"/>
        <v>00234290658</v>
      </c>
      <c r="E7751" t="s">
        <v>52</v>
      </c>
      <c r="F7751">
        <v>2015</v>
      </c>
      <c r="G7751" t="s">
        <v>1307</v>
      </c>
      <c r="H7751" s="1">
        <v>42124</v>
      </c>
      <c r="I7751" s="1">
        <v>42166</v>
      </c>
      <c r="J7751" s="1">
        <v>42164</v>
      </c>
      <c r="K7751" s="1">
        <v>42224</v>
      </c>
      <c r="L7751" s="7">
        <v>90</v>
      </c>
      <c r="M7751" s="5">
        <v>132</v>
      </c>
      <c r="N7751" s="7">
        <v>11880</v>
      </c>
      <c r="O7751">
        <v>90</v>
      </c>
      <c r="P7751">
        <v>132</v>
      </c>
      <c r="Q7751" s="2">
        <v>11880</v>
      </c>
      <c r="R7751">
        <v>19.8</v>
      </c>
      <c r="V7751">
        <v>0</v>
      </c>
      <c r="W7751">
        <v>0</v>
      </c>
      <c r="X7751">
        <v>0</v>
      </c>
      <c r="Y7751">
        <v>109.8</v>
      </c>
      <c r="Z7751">
        <v>109.8</v>
      </c>
      <c r="AA7751">
        <v>109.8</v>
      </c>
      <c r="AB7751" s="1">
        <v>42382</v>
      </c>
      <c r="AC7751" t="s">
        <v>53</v>
      </c>
      <c r="AD7751" t="s">
        <v>53</v>
      </c>
      <c r="AI7751">
        <v>19.8</v>
      </c>
      <c r="AK7751">
        <v>0</v>
      </c>
      <c r="AU7751" s="6">
        <v>42356</v>
      </c>
      <c r="AV7751" s="6">
        <v>42356</v>
      </c>
      <c r="AW7751" t="s">
        <v>54</v>
      </c>
      <c r="AX7751" t="str">
        <f t="shared" si="634"/>
        <v>FOR</v>
      </c>
      <c r="AY7751" t="s">
        <v>55</v>
      </c>
    </row>
    <row r="7752" spans="1:51">
      <c r="A7752">
        <v>104394</v>
      </c>
      <c r="B7752" t="s">
        <v>1301</v>
      </c>
      <c r="C7752" t="str">
        <f t="shared" si="633"/>
        <v>00234290658</v>
      </c>
      <c r="D7752" t="str">
        <f t="shared" si="633"/>
        <v>00234290658</v>
      </c>
      <c r="E7752" t="s">
        <v>52</v>
      </c>
      <c r="F7752">
        <v>2015</v>
      </c>
      <c r="G7752" t="s">
        <v>1308</v>
      </c>
      <c r="H7752" s="1">
        <v>42124</v>
      </c>
      <c r="I7752" s="1">
        <v>42166</v>
      </c>
      <c r="J7752" s="1">
        <v>42164</v>
      </c>
      <c r="K7752" s="1">
        <v>42224</v>
      </c>
      <c r="L7752" s="7">
        <v>349.73</v>
      </c>
      <c r="M7752" s="5">
        <v>132</v>
      </c>
      <c r="N7752" s="7">
        <v>46164.36</v>
      </c>
      <c r="O7752">
        <v>349.73</v>
      </c>
      <c r="P7752">
        <v>132</v>
      </c>
      <c r="Q7752" s="2">
        <v>46164.36</v>
      </c>
      <c r="R7752">
        <v>76.94</v>
      </c>
      <c r="V7752">
        <v>0</v>
      </c>
      <c r="W7752">
        <v>0</v>
      </c>
      <c r="X7752">
        <v>0</v>
      </c>
      <c r="Y7752">
        <v>426.67</v>
      </c>
      <c r="Z7752">
        <v>426.67</v>
      </c>
      <c r="AA7752">
        <v>426.67</v>
      </c>
      <c r="AB7752" s="1">
        <v>42382</v>
      </c>
      <c r="AC7752" t="s">
        <v>53</v>
      </c>
      <c r="AD7752" t="s">
        <v>53</v>
      </c>
      <c r="AI7752">
        <v>76.94</v>
      </c>
      <c r="AK7752">
        <v>0</v>
      </c>
      <c r="AU7752" s="6">
        <v>42356</v>
      </c>
      <c r="AV7752" s="6">
        <v>42356</v>
      </c>
      <c r="AW7752" t="s">
        <v>54</v>
      </c>
      <c r="AX7752" t="str">
        <f t="shared" si="634"/>
        <v>FOR</v>
      </c>
      <c r="AY7752" t="s">
        <v>55</v>
      </c>
    </row>
    <row r="7753" spans="1:51">
      <c r="A7753">
        <v>104394</v>
      </c>
      <c r="B7753" t="s">
        <v>1301</v>
      </c>
      <c r="C7753" t="str">
        <f t="shared" si="633"/>
        <v>00234290658</v>
      </c>
      <c r="D7753" t="str">
        <f t="shared" si="633"/>
        <v>00234290658</v>
      </c>
      <c r="E7753" t="s">
        <v>52</v>
      </c>
      <c r="F7753">
        <v>2015</v>
      </c>
      <c r="G7753" t="s">
        <v>1309</v>
      </c>
      <c r="H7753" s="1">
        <v>42124</v>
      </c>
      <c r="I7753" s="1">
        <v>42166</v>
      </c>
      <c r="J7753" s="1">
        <v>42164</v>
      </c>
      <c r="K7753" s="1">
        <v>42224</v>
      </c>
      <c r="L7753" s="7">
        <v>182.7</v>
      </c>
      <c r="M7753" s="5">
        <v>132</v>
      </c>
      <c r="N7753" s="7">
        <v>24116.400000000001</v>
      </c>
      <c r="O7753">
        <v>182.7</v>
      </c>
      <c r="P7753">
        <v>132</v>
      </c>
      <c r="Q7753" s="2">
        <v>24116.400000000001</v>
      </c>
      <c r="R7753">
        <v>40.19</v>
      </c>
      <c r="V7753">
        <v>0</v>
      </c>
      <c r="W7753">
        <v>0</v>
      </c>
      <c r="X7753">
        <v>0</v>
      </c>
      <c r="Y7753">
        <v>222.89</v>
      </c>
      <c r="Z7753">
        <v>222.89</v>
      </c>
      <c r="AA7753">
        <v>222.89</v>
      </c>
      <c r="AB7753" s="1">
        <v>42382</v>
      </c>
      <c r="AC7753" t="s">
        <v>53</v>
      </c>
      <c r="AD7753" t="s">
        <v>53</v>
      </c>
      <c r="AI7753">
        <v>40.19</v>
      </c>
      <c r="AK7753">
        <v>0</v>
      </c>
      <c r="AU7753" s="6">
        <v>42356</v>
      </c>
      <c r="AV7753" s="6">
        <v>42356</v>
      </c>
      <c r="AW7753" t="s">
        <v>54</v>
      </c>
      <c r="AX7753" t="str">
        <f t="shared" si="634"/>
        <v>FOR</v>
      </c>
      <c r="AY7753" t="s">
        <v>55</v>
      </c>
    </row>
    <row r="7754" spans="1:51" hidden="1">
      <c r="A7754">
        <v>104411</v>
      </c>
      <c r="B7754" t="s">
        <v>1310</v>
      </c>
      <c r="C7754" t="str">
        <f t="shared" ref="C7754:D7762" si="635">"09018810151"</f>
        <v>09018810151</v>
      </c>
      <c r="D7754" t="str">
        <f t="shared" si="635"/>
        <v>09018810151</v>
      </c>
      <c r="E7754" t="s">
        <v>52</v>
      </c>
      <c r="F7754">
        <v>2014</v>
      </c>
      <c r="G7754">
        <v>11388</v>
      </c>
      <c r="H7754" s="1">
        <v>41908</v>
      </c>
      <c r="I7754" s="1">
        <v>41914</v>
      </c>
      <c r="J7754" s="1">
        <v>41914</v>
      </c>
      <c r="K7754" s="1">
        <v>42004</v>
      </c>
      <c r="N7754" s="5"/>
      <c r="O7754">
        <v>118.95</v>
      </c>
      <c r="P7754">
        <v>70</v>
      </c>
      <c r="Q7754" s="2">
        <v>8326.5</v>
      </c>
      <c r="R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 s="1">
        <v>42382</v>
      </c>
      <c r="AC7754" t="s">
        <v>53</v>
      </c>
      <c r="AD7754" t="s">
        <v>53</v>
      </c>
      <c r="AK7754">
        <v>0</v>
      </c>
      <c r="AU7754" s="6">
        <v>42074</v>
      </c>
      <c r="AV7754" s="6">
        <v>42074</v>
      </c>
      <c r="AW7754" t="s">
        <v>54</v>
      </c>
      <c r="AX7754" t="str">
        <f t="shared" si="634"/>
        <v>FOR</v>
      </c>
      <c r="AY7754" t="s">
        <v>55</v>
      </c>
    </row>
    <row r="7755" spans="1:51" hidden="1">
      <c r="A7755">
        <v>104411</v>
      </c>
      <c r="B7755" t="s">
        <v>1310</v>
      </c>
      <c r="C7755" t="str">
        <f t="shared" si="635"/>
        <v>09018810151</v>
      </c>
      <c r="D7755" t="str">
        <f t="shared" si="635"/>
        <v>09018810151</v>
      </c>
      <c r="E7755" t="s">
        <v>52</v>
      </c>
      <c r="F7755">
        <v>2014</v>
      </c>
      <c r="G7755">
        <v>14225</v>
      </c>
      <c r="H7755" s="1">
        <v>41973</v>
      </c>
      <c r="I7755" s="1">
        <v>41976</v>
      </c>
      <c r="J7755" s="1">
        <v>41976</v>
      </c>
      <c r="K7755" s="1">
        <v>42036</v>
      </c>
      <c r="N7755" s="5"/>
      <c r="O7755">
        <v>79.3</v>
      </c>
      <c r="P7755">
        <v>38</v>
      </c>
      <c r="Q7755" s="2">
        <v>3013.4</v>
      </c>
      <c r="R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 s="1">
        <v>42382</v>
      </c>
      <c r="AC7755" t="s">
        <v>53</v>
      </c>
      <c r="AD7755" t="s">
        <v>53</v>
      </c>
      <c r="AK7755">
        <v>0</v>
      </c>
      <c r="AU7755" s="6">
        <v>42074</v>
      </c>
      <c r="AV7755" s="6">
        <v>42074</v>
      </c>
      <c r="AW7755" t="s">
        <v>54</v>
      </c>
      <c r="AX7755" t="str">
        <f t="shared" si="634"/>
        <v>FOR</v>
      </c>
      <c r="AY7755" t="s">
        <v>55</v>
      </c>
    </row>
    <row r="7756" spans="1:51">
      <c r="A7756">
        <v>104411</v>
      </c>
      <c r="B7756" t="s">
        <v>1310</v>
      </c>
      <c r="C7756" t="str">
        <f t="shared" si="635"/>
        <v>09018810151</v>
      </c>
      <c r="D7756" t="str">
        <f t="shared" si="635"/>
        <v>09018810151</v>
      </c>
      <c r="E7756" t="s">
        <v>52</v>
      </c>
      <c r="F7756">
        <v>2015</v>
      </c>
      <c r="G7756">
        <v>2517</v>
      </c>
      <c r="H7756" s="1">
        <v>42079</v>
      </c>
      <c r="I7756" s="1">
        <v>42081</v>
      </c>
      <c r="J7756" s="1">
        <v>42081</v>
      </c>
      <c r="K7756" s="1">
        <v>42141</v>
      </c>
      <c r="L7756" s="7">
        <v>65</v>
      </c>
      <c r="M7756" s="5">
        <v>198</v>
      </c>
      <c r="N7756" s="7">
        <v>12870</v>
      </c>
      <c r="O7756">
        <v>65</v>
      </c>
      <c r="P7756">
        <v>198</v>
      </c>
      <c r="Q7756" s="2">
        <v>12870</v>
      </c>
      <c r="R7756">
        <v>14.3</v>
      </c>
      <c r="V7756">
        <v>0</v>
      </c>
      <c r="W7756">
        <v>0</v>
      </c>
      <c r="X7756">
        <v>0</v>
      </c>
      <c r="Y7756">
        <v>79.3</v>
      </c>
      <c r="Z7756">
        <v>79.3</v>
      </c>
      <c r="AA7756">
        <v>79.3</v>
      </c>
      <c r="AB7756" s="1">
        <v>42382</v>
      </c>
      <c r="AC7756" t="s">
        <v>53</v>
      </c>
      <c r="AD7756" t="s">
        <v>53</v>
      </c>
      <c r="AK7756">
        <v>14.3</v>
      </c>
      <c r="AU7756" s="6">
        <v>42339</v>
      </c>
      <c r="AV7756" s="6">
        <v>42339</v>
      </c>
      <c r="AW7756" t="s">
        <v>54</v>
      </c>
      <c r="AX7756" t="str">
        <f t="shared" si="634"/>
        <v>FOR</v>
      </c>
      <c r="AY7756" t="s">
        <v>55</v>
      </c>
    </row>
    <row r="7757" spans="1:51">
      <c r="A7757">
        <v>104411</v>
      </c>
      <c r="B7757" t="s">
        <v>1310</v>
      </c>
      <c r="C7757" t="str">
        <f t="shared" si="635"/>
        <v>09018810151</v>
      </c>
      <c r="D7757" t="str">
        <f t="shared" si="635"/>
        <v>09018810151</v>
      </c>
      <c r="E7757" t="s">
        <v>52</v>
      </c>
      <c r="F7757">
        <v>2015</v>
      </c>
      <c r="G7757">
        <v>3037</v>
      </c>
      <c r="H7757" s="1">
        <v>42093</v>
      </c>
      <c r="I7757" s="1">
        <v>42102</v>
      </c>
      <c r="J7757" s="1">
        <v>42102</v>
      </c>
      <c r="K7757" s="1">
        <v>42162</v>
      </c>
      <c r="L7757" s="7">
        <v>4620</v>
      </c>
      <c r="M7757" s="5">
        <v>177</v>
      </c>
      <c r="N7757" s="7">
        <v>817740</v>
      </c>
      <c r="O7757" s="2">
        <v>4620</v>
      </c>
      <c r="P7757">
        <v>177</v>
      </c>
      <c r="Q7757" s="2">
        <v>817740</v>
      </c>
      <c r="R7757" s="2">
        <v>1016.4</v>
      </c>
      <c r="V7757">
        <v>0</v>
      </c>
      <c r="W7757">
        <v>0</v>
      </c>
      <c r="X7757">
        <v>0</v>
      </c>
      <c r="Y7757" s="2">
        <v>5636.4</v>
      </c>
      <c r="Z7757" s="2">
        <v>5636.4</v>
      </c>
      <c r="AA7757" s="2">
        <v>5636.4</v>
      </c>
      <c r="AB7757" s="1">
        <v>42382</v>
      </c>
      <c r="AC7757" t="s">
        <v>53</v>
      </c>
      <c r="AD7757" t="s">
        <v>53</v>
      </c>
      <c r="AK7757" s="2">
        <v>1016.4</v>
      </c>
      <c r="AU7757" s="6">
        <v>42339</v>
      </c>
      <c r="AV7757" s="6">
        <v>42339</v>
      </c>
      <c r="AW7757" t="s">
        <v>54</v>
      </c>
      <c r="AX7757" t="str">
        <f t="shared" si="634"/>
        <v>FOR</v>
      </c>
      <c r="AY7757" t="s">
        <v>55</v>
      </c>
    </row>
    <row r="7758" spans="1:51">
      <c r="A7758">
        <v>104411</v>
      </c>
      <c r="B7758" t="s">
        <v>1310</v>
      </c>
      <c r="C7758" t="str">
        <f t="shared" si="635"/>
        <v>09018810151</v>
      </c>
      <c r="D7758" t="str">
        <f t="shared" si="635"/>
        <v>09018810151</v>
      </c>
      <c r="E7758" t="s">
        <v>52</v>
      </c>
      <c r="F7758">
        <v>2015</v>
      </c>
      <c r="G7758" t="s">
        <v>1311</v>
      </c>
      <c r="H7758" s="1">
        <v>42110</v>
      </c>
      <c r="I7758" s="1">
        <v>42115</v>
      </c>
      <c r="J7758" s="1">
        <v>42113</v>
      </c>
      <c r="K7758" s="1">
        <v>42173</v>
      </c>
      <c r="L7758" s="7">
        <v>65</v>
      </c>
      <c r="M7758" s="5">
        <v>182</v>
      </c>
      <c r="N7758" s="7">
        <v>11830</v>
      </c>
      <c r="O7758">
        <v>65</v>
      </c>
      <c r="P7758">
        <v>182</v>
      </c>
      <c r="Q7758" s="2">
        <v>11830</v>
      </c>
      <c r="R7758">
        <v>14.3</v>
      </c>
      <c r="V7758">
        <v>0</v>
      </c>
      <c r="W7758">
        <v>0</v>
      </c>
      <c r="X7758">
        <v>0</v>
      </c>
      <c r="Y7758">
        <v>79.3</v>
      </c>
      <c r="Z7758">
        <v>79.3</v>
      </c>
      <c r="AA7758">
        <v>79.3</v>
      </c>
      <c r="AB7758" s="1">
        <v>42382</v>
      </c>
      <c r="AC7758" t="s">
        <v>53</v>
      </c>
      <c r="AD7758" t="s">
        <v>53</v>
      </c>
      <c r="AK7758">
        <v>14.3</v>
      </c>
      <c r="AU7758" s="6">
        <v>42355</v>
      </c>
      <c r="AV7758" s="6">
        <v>42355</v>
      </c>
      <c r="AW7758" t="s">
        <v>54</v>
      </c>
      <c r="AX7758" t="str">
        <f t="shared" si="634"/>
        <v>FOR</v>
      </c>
      <c r="AY7758" t="s">
        <v>55</v>
      </c>
    </row>
    <row r="7759" spans="1:51">
      <c r="A7759">
        <v>104411</v>
      </c>
      <c r="B7759" t="s">
        <v>1310</v>
      </c>
      <c r="C7759" t="str">
        <f t="shared" si="635"/>
        <v>09018810151</v>
      </c>
      <c r="D7759" t="str">
        <f t="shared" si="635"/>
        <v>09018810151</v>
      </c>
      <c r="E7759" t="s">
        <v>52</v>
      </c>
      <c r="F7759">
        <v>2015</v>
      </c>
      <c r="G7759" t="s">
        <v>1312</v>
      </c>
      <c r="H7759" s="1">
        <v>42177</v>
      </c>
      <c r="I7759" s="1">
        <v>42181</v>
      </c>
      <c r="J7759" s="1">
        <v>42178</v>
      </c>
      <c r="K7759" s="1">
        <v>42238</v>
      </c>
      <c r="L7759" s="7">
        <v>65</v>
      </c>
      <c r="M7759" s="5">
        <v>117</v>
      </c>
      <c r="N7759" s="7">
        <v>7605</v>
      </c>
      <c r="O7759">
        <v>65</v>
      </c>
      <c r="P7759">
        <v>117</v>
      </c>
      <c r="Q7759" s="2">
        <v>7605</v>
      </c>
      <c r="R7759">
        <v>14.3</v>
      </c>
      <c r="V7759">
        <v>0</v>
      </c>
      <c r="W7759">
        <v>0</v>
      </c>
      <c r="X7759">
        <v>0</v>
      </c>
      <c r="Y7759">
        <v>79.3</v>
      </c>
      <c r="Z7759">
        <v>79.3</v>
      </c>
      <c r="AA7759">
        <v>79.3</v>
      </c>
      <c r="AB7759" s="1">
        <v>42382</v>
      </c>
      <c r="AC7759" t="s">
        <v>53</v>
      </c>
      <c r="AD7759" t="s">
        <v>53</v>
      </c>
      <c r="AI7759">
        <v>14.3</v>
      </c>
      <c r="AK7759">
        <v>0</v>
      </c>
      <c r="AU7759" s="6">
        <v>42355</v>
      </c>
      <c r="AV7759" s="6">
        <v>42355</v>
      </c>
      <c r="AW7759" t="s">
        <v>54</v>
      </c>
      <c r="AX7759" t="str">
        <f t="shared" si="634"/>
        <v>FOR</v>
      </c>
      <c r="AY7759" t="s">
        <v>55</v>
      </c>
    </row>
    <row r="7760" spans="1:51">
      <c r="A7760">
        <v>104411</v>
      </c>
      <c r="B7760" t="s">
        <v>1310</v>
      </c>
      <c r="C7760" t="str">
        <f t="shared" si="635"/>
        <v>09018810151</v>
      </c>
      <c r="D7760" t="str">
        <f t="shared" si="635"/>
        <v>09018810151</v>
      </c>
      <c r="E7760" t="s">
        <v>52</v>
      </c>
      <c r="F7760">
        <v>2015</v>
      </c>
      <c r="G7760" t="s">
        <v>1313</v>
      </c>
      <c r="H7760" s="1">
        <v>42241</v>
      </c>
      <c r="I7760" s="1">
        <v>42243</v>
      </c>
      <c r="J7760" s="1">
        <v>42242</v>
      </c>
      <c r="K7760" s="1">
        <v>42302</v>
      </c>
      <c r="L7760" s="7">
        <v>65</v>
      </c>
      <c r="M7760" s="5">
        <v>53</v>
      </c>
      <c r="N7760" s="7">
        <v>3445</v>
      </c>
      <c r="O7760">
        <v>65</v>
      </c>
      <c r="P7760">
        <v>53</v>
      </c>
      <c r="Q7760" s="2">
        <v>3445</v>
      </c>
      <c r="R7760">
        <v>14.3</v>
      </c>
      <c r="V7760">
        <v>0</v>
      </c>
      <c r="W7760">
        <v>0</v>
      </c>
      <c r="X7760">
        <v>0</v>
      </c>
      <c r="Y7760">
        <v>79.3</v>
      </c>
      <c r="Z7760">
        <v>79.3</v>
      </c>
      <c r="AA7760">
        <v>79.3</v>
      </c>
      <c r="AB7760" s="1">
        <v>42382</v>
      </c>
      <c r="AC7760" t="s">
        <v>53</v>
      </c>
      <c r="AD7760" t="s">
        <v>53</v>
      </c>
      <c r="AG7760">
        <v>14.3</v>
      </c>
      <c r="AK7760">
        <v>0</v>
      </c>
      <c r="AU7760" s="6">
        <v>42355</v>
      </c>
      <c r="AV7760" s="6">
        <v>42355</v>
      </c>
      <c r="AW7760" t="s">
        <v>54</v>
      </c>
      <c r="AX7760" t="str">
        <f t="shared" si="634"/>
        <v>FOR</v>
      </c>
      <c r="AY7760" t="s">
        <v>55</v>
      </c>
    </row>
    <row r="7761" spans="1:51">
      <c r="A7761">
        <v>104411</v>
      </c>
      <c r="B7761" t="s">
        <v>1310</v>
      </c>
      <c r="C7761" t="str">
        <f t="shared" si="635"/>
        <v>09018810151</v>
      </c>
      <c r="D7761" t="str">
        <f t="shared" si="635"/>
        <v>09018810151</v>
      </c>
      <c r="E7761" t="s">
        <v>52</v>
      </c>
      <c r="F7761">
        <v>2015</v>
      </c>
      <c r="G7761" t="s">
        <v>1314</v>
      </c>
      <c r="H7761" s="1">
        <v>42291</v>
      </c>
      <c r="I7761" s="1">
        <v>42293</v>
      </c>
      <c r="J7761" s="1">
        <v>42293</v>
      </c>
      <c r="K7761" s="1">
        <v>42353</v>
      </c>
      <c r="L7761" s="7">
        <v>65</v>
      </c>
      <c r="M7761" s="5">
        <v>2</v>
      </c>
      <c r="N7761" s="7">
        <v>130</v>
      </c>
      <c r="O7761">
        <v>65</v>
      </c>
      <c r="P7761">
        <v>2</v>
      </c>
      <c r="Q7761">
        <v>130</v>
      </c>
      <c r="R7761">
        <v>14.3</v>
      </c>
      <c r="V7761">
        <v>79.3</v>
      </c>
      <c r="W7761">
        <v>79.3</v>
      </c>
      <c r="X7761">
        <v>79.3</v>
      </c>
      <c r="Y7761">
        <v>79.3</v>
      </c>
      <c r="Z7761">
        <v>79.3</v>
      </c>
      <c r="AA7761">
        <v>79.3</v>
      </c>
      <c r="AB7761" s="1">
        <v>42382</v>
      </c>
      <c r="AC7761" t="s">
        <v>53</v>
      </c>
      <c r="AD7761" t="s">
        <v>53</v>
      </c>
      <c r="AE7761">
        <v>14.3</v>
      </c>
      <c r="AK7761">
        <v>0</v>
      </c>
      <c r="AU7761" s="6">
        <v>42355</v>
      </c>
      <c r="AV7761" s="6">
        <v>42355</v>
      </c>
      <c r="AW7761" t="s">
        <v>54</v>
      </c>
      <c r="AX7761" t="str">
        <f t="shared" si="634"/>
        <v>FOR</v>
      </c>
      <c r="AY7761" t="s">
        <v>55</v>
      </c>
    </row>
    <row r="7762" spans="1:51">
      <c r="A7762">
        <v>104411</v>
      </c>
      <c r="B7762" t="s">
        <v>1310</v>
      </c>
      <c r="C7762" t="str">
        <f t="shared" si="635"/>
        <v>09018810151</v>
      </c>
      <c r="D7762" t="str">
        <f t="shared" si="635"/>
        <v>09018810151</v>
      </c>
      <c r="E7762" t="s">
        <v>52</v>
      </c>
      <c r="F7762">
        <v>2015</v>
      </c>
      <c r="G7762" t="s">
        <v>1315</v>
      </c>
      <c r="H7762" s="1">
        <v>42308</v>
      </c>
      <c r="I7762" s="1">
        <v>42312</v>
      </c>
      <c r="J7762" s="1">
        <v>42311</v>
      </c>
      <c r="K7762" s="1">
        <v>42371</v>
      </c>
      <c r="L7762" s="7">
        <v>65</v>
      </c>
      <c r="M7762" s="5">
        <v>-16</v>
      </c>
      <c r="N7762" s="7">
        <v>-1040</v>
      </c>
      <c r="O7762">
        <v>65</v>
      </c>
      <c r="P7762">
        <v>-16</v>
      </c>
      <c r="Q7762" s="2">
        <v>-1040</v>
      </c>
      <c r="R7762">
        <v>14.3</v>
      </c>
      <c r="V7762">
        <v>79.3</v>
      </c>
      <c r="W7762">
        <v>79.3</v>
      </c>
      <c r="X7762">
        <v>79.3</v>
      </c>
      <c r="Y7762">
        <v>79.3</v>
      </c>
      <c r="Z7762">
        <v>79.3</v>
      </c>
      <c r="AA7762">
        <v>79.3</v>
      </c>
      <c r="AB7762" s="1">
        <v>42382</v>
      </c>
      <c r="AC7762" t="s">
        <v>53</v>
      </c>
      <c r="AD7762" t="s">
        <v>53</v>
      </c>
      <c r="AK7762">
        <v>0</v>
      </c>
      <c r="AM7762">
        <v>14.3</v>
      </c>
      <c r="AU7762" s="6">
        <v>42355</v>
      </c>
      <c r="AV7762" s="6">
        <v>42355</v>
      </c>
      <c r="AW7762" t="s">
        <v>54</v>
      </c>
      <c r="AX7762" t="str">
        <f t="shared" si="634"/>
        <v>FOR</v>
      </c>
      <c r="AY7762" t="s">
        <v>55</v>
      </c>
    </row>
    <row r="7763" spans="1:51" hidden="1">
      <c r="A7763">
        <v>104425</v>
      </c>
      <c r="B7763" t="s">
        <v>1316</v>
      </c>
      <c r="C7763" t="str">
        <f>"04530531005"</f>
        <v>04530531005</v>
      </c>
      <c r="D7763" t="str">
        <f>"04530531005"</f>
        <v>04530531005</v>
      </c>
      <c r="E7763" t="s">
        <v>52</v>
      </c>
      <c r="F7763">
        <v>2013</v>
      </c>
      <c r="G7763">
        <v>1493</v>
      </c>
      <c r="H7763" s="1">
        <v>41639</v>
      </c>
      <c r="I7763" s="1">
        <v>41681</v>
      </c>
      <c r="J7763" s="1">
        <v>41681</v>
      </c>
      <c r="K7763" s="1">
        <v>41771</v>
      </c>
      <c r="N7763" s="5"/>
      <c r="O7763" s="2">
        <v>5408</v>
      </c>
      <c r="P7763">
        <v>324</v>
      </c>
      <c r="Q7763" s="2">
        <v>1752192</v>
      </c>
      <c r="R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 s="1">
        <v>42382</v>
      </c>
      <c r="AC7763" t="s">
        <v>53</v>
      </c>
      <c r="AD7763" t="s">
        <v>53</v>
      </c>
      <c r="AK7763">
        <v>0</v>
      </c>
      <c r="AU7763" s="6">
        <v>42095</v>
      </c>
      <c r="AV7763" s="6">
        <v>42095</v>
      </c>
      <c r="AW7763" t="s">
        <v>54</v>
      </c>
      <c r="AX7763" t="str">
        <f t="shared" si="634"/>
        <v>FOR</v>
      </c>
      <c r="AY7763" t="s">
        <v>55</v>
      </c>
    </row>
    <row r="7764" spans="1:51" hidden="1">
      <c r="A7764">
        <v>104452</v>
      </c>
      <c r="B7764" t="s">
        <v>1317</v>
      </c>
      <c r="C7764" t="str">
        <f>"04222630370"</f>
        <v>04222630370</v>
      </c>
      <c r="D7764" t="str">
        <f>"04222630370"</f>
        <v>04222630370</v>
      </c>
      <c r="E7764" t="s">
        <v>52</v>
      </c>
      <c r="F7764">
        <v>2014</v>
      </c>
      <c r="G7764">
        <v>156</v>
      </c>
      <c r="H7764" s="1">
        <v>41725</v>
      </c>
      <c r="I7764" s="1">
        <v>41733</v>
      </c>
      <c r="J7764" s="1">
        <v>41733</v>
      </c>
      <c r="K7764" s="1">
        <v>41823</v>
      </c>
      <c r="N7764" s="5"/>
      <c r="O7764" s="2">
        <v>1464</v>
      </c>
      <c r="P7764">
        <v>239</v>
      </c>
      <c r="Q7764" s="2">
        <v>349896</v>
      </c>
      <c r="R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 s="1">
        <v>42382</v>
      </c>
      <c r="AC7764" t="s">
        <v>53</v>
      </c>
      <c r="AD7764" t="s">
        <v>53</v>
      </c>
      <c r="AK7764">
        <v>0</v>
      </c>
      <c r="AU7764" s="6">
        <v>42062</v>
      </c>
      <c r="AV7764" s="6">
        <v>42062</v>
      </c>
      <c r="AW7764" t="s">
        <v>54</v>
      </c>
      <c r="AX7764" t="str">
        <f t="shared" si="634"/>
        <v>FOR</v>
      </c>
      <c r="AY7764" t="s">
        <v>55</v>
      </c>
    </row>
    <row r="7765" spans="1:51" hidden="1">
      <c r="A7765">
        <v>104477</v>
      </c>
      <c r="B7765" t="s">
        <v>1318</v>
      </c>
      <c r="C7765" t="str">
        <f t="shared" ref="C7765:D7775" si="636">"01762850483"</f>
        <v>01762850483</v>
      </c>
      <c r="D7765" t="str">
        <f t="shared" si="636"/>
        <v>01762850483</v>
      </c>
      <c r="E7765" t="s">
        <v>52</v>
      </c>
      <c r="F7765">
        <v>2015</v>
      </c>
      <c r="G7765">
        <v>9</v>
      </c>
      <c r="H7765" s="1">
        <v>42020</v>
      </c>
      <c r="I7765" s="1">
        <v>42020</v>
      </c>
      <c r="J7765" s="1">
        <v>42020</v>
      </c>
      <c r="K7765" s="1">
        <v>42080</v>
      </c>
      <c r="N7765" s="5"/>
      <c r="O7765" s="2">
        <v>111541.85</v>
      </c>
      <c r="P7765">
        <v>-43</v>
      </c>
      <c r="Q7765" s="2">
        <v>-4796299.55</v>
      </c>
      <c r="R7765">
        <v>0</v>
      </c>
      <c r="V7765">
        <v>0</v>
      </c>
      <c r="W7765">
        <v>0</v>
      </c>
      <c r="X7765">
        <v>0</v>
      </c>
      <c r="Y7765" s="2">
        <v>111541.85</v>
      </c>
      <c r="Z7765" s="2">
        <v>111541.85</v>
      </c>
      <c r="AA7765" s="2">
        <v>111541.85</v>
      </c>
      <c r="AB7765" s="1">
        <v>42382</v>
      </c>
      <c r="AC7765" t="s">
        <v>53</v>
      </c>
      <c r="AD7765" t="s">
        <v>53</v>
      </c>
      <c r="AK7765">
        <v>0</v>
      </c>
      <c r="AU7765" s="6">
        <v>42037</v>
      </c>
      <c r="AV7765" s="6">
        <v>42037</v>
      </c>
      <c r="AW7765" t="s">
        <v>54</v>
      </c>
      <c r="AX7765" t="str">
        <f t="shared" si="634"/>
        <v>FOR</v>
      </c>
      <c r="AY7765" t="s">
        <v>55</v>
      </c>
    </row>
    <row r="7766" spans="1:51" hidden="1">
      <c r="A7766">
        <v>104477</v>
      </c>
      <c r="B7766" t="s">
        <v>1318</v>
      </c>
      <c r="C7766" t="str">
        <f t="shared" si="636"/>
        <v>01762850483</v>
      </c>
      <c r="D7766" t="str">
        <f t="shared" si="636"/>
        <v>01762850483</v>
      </c>
      <c r="E7766" t="s">
        <v>52</v>
      </c>
      <c r="F7766">
        <v>2015</v>
      </c>
      <c r="G7766">
        <v>17</v>
      </c>
      <c r="H7766" s="1">
        <v>42038</v>
      </c>
      <c r="I7766" s="1">
        <v>42038</v>
      </c>
      <c r="J7766" s="1">
        <v>42038</v>
      </c>
      <c r="K7766" s="1">
        <v>42098</v>
      </c>
      <c r="N7766" s="5"/>
      <c r="O7766" s="2">
        <v>3589</v>
      </c>
      <c r="P7766">
        <v>-59</v>
      </c>
      <c r="Q7766" s="2">
        <v>-211751</v>
      </c>
      <c r="R7766">
        <v>0</v>
      </c>
      <c r="V7766">
        <v>0</v>
      </c>
      <c r="W7766">
        <v>0</v>
      </c>
      <c r="X7766">
        <v>0</v>
      </c>
      <c r="Y7766" s="2">
        <v>3589</v>
      </c>
      <c r="Z7766" s="2">
        <v>3589</v>
      </c>
      <c r="AA7766" s="2">
        <v>3589</v>
      </c>
      <c r="AB7766" s="1">
        <v>42382</v>
      </c>
      <c r="AC7766" t="s">
        <v>53</v>
      </c>
      <c r="AD7766" t="s">
        <v>53</v>
      </c>
      <c r="AK7766">
        <v>0</v>
      </c>
      <c r="AU7766" s="6">
        <v>42039</v>
      </c>
      <c r="AV7766" s="6">
        <v>42039</v>
      </c>
      <c r="AW7766" t="s">
        <v>54</v>
      </c>
      <c r="AX7766" t="str">
        <f t="shared" si="634"/>
        <v>FOR</v>
      </c>
      <c r="AY7766" t="s">
        <v>55</v>
      </c>
    </row>
    <row r="7767" spans="1:51" hidden="1">
      <c r="A7767">
        <v>104477</v>
      </c>
      <c r="B7767" t="s">
        <v>1318</v>
      </c>
      <c r="C7767" t="str">
        <f t="shared" si="636"/>
        <v>01762850483</v>
      </c>
      <c r="D7767" t="str">
        <f t="shared" si="636"/>
        <v>01762850483</v>
      </c>
      <c r="E7767" t="s">
        <v>52</v>
      </c>
      <c r="F7767">
        <v>2015</v>
      </c>
      <c r="G7767">
        <v>18</v>
      </c>
      <c r="H7767" s="1">
        <v>42038</v>
      </c>
      <c r="I7767" s="1">
        <v>42038</v>
      </c>
      <c r="J7767" s="1">
        <v>42038</v>
      </c>
      <c r="K7767" s="1">
        <v>42098</v>
      </c>
      <c r="N7767" s="5"/>
      <c r="O7767" s="2">
        <v>11477.4</v>
      </c>
      <c r="P7767">
        <v>-59</v>
      </c>
      <c r="Q7767" s="2">
        <v>-677166.6</v>
      </c>
      <c r="R7767">
        <v>0</v>
      </c>
      <c r="V7767">
        <v>0</v>
      </c>
      <c r="W7767">
        <v>0</v>
      </c>
      <c r="X7767">
        <v>0</v>
      </c>
      <c r="Y7767" s="2">
        <v>11477.4</v>
      </c>
      <c r="Z7767" s="2">
        <v>11477.4</v>
      </c>
      <c r="AA7767" s="2">
        <v>11477.4</v>
      </c>
      <c r="AB7767" s="1">
        <v>42382</v>
      </c>
      <c r="AC7767" t="s">
        <v>53</v>
      </c>
      <c r="AD7767" t="s">
        <v>53</v>
      </c>
      <c r="AK7767">
        <v>0</v>
      </c>
      <c r="AU7767" s="6">
        <v>42039</v>
      </c>
      <c r="AV7767" s="6">
        <v>42039</v>
      </c>
      <c r="AW7767" t="s">
        <v>54</v>
      </c>
      <c r="AX7767" t="str">
        <f t="shared" si="634"/>
        <v>FOR</v>
      </c>
      <c r="AY7767" t="s">
        <v>55</v>
      </c>
    </row>
    <row r="7768" spans="1:51" hidden="1">
      <c r="A7768">
        <v>104477</v>
      </c>
      <c r="B7768" t="s">
        <v>1318</v>
      </c>
      <c r="C7768" t="str">
        <f t="shared" si="636"/>
        <v>01762850483</v>
      </c>
      <c r="D7768" t="str">
        <f t="shared" si="636"/>
        <v>01762850483</v>
      </c>
      <c r="E7768" t="s">
        <v>52</v>
      </c>
      <c r="F7768">
        <v>2015</v>
      </c>
      <c r="G7768">
        <v>19</v>
      </c>
      <c r="H7768" s="1">
        <v>42038</v>
      </c>
      <c r="I7768" s="1">
        <v>42038</v>
      </c>
      <c r="J7768" s="1">
        <v>42038</v>
      </c>
      <c r="K7768" s="1">
        <v>42098</v>
      </c>
      <c r="N7768" s="5"/>
      <c r="O7768" s="2">
        <v>4930.12</v>
      </c>
      <c r="P7768">
        <v>-59</v>
      </c>
      <c r="Q7768" s="2">
        <v>-290877.08</v>
      </c>
      <c r="R7768">
        <v>0</v>
      </c>
      <c r="V7768">
        <v>0</v>
      </c>
      <c r="W7768">
        <v>0</v>
      </c>
      <c r="X7768">
        <v>0</v>
      </c>
      <c r="Y7768" s="2">
        <v>4930.12</v>
      </c>
      <c r="Z7768" s="2">
        <v>4930.12</v>
      </c>
      <c r="AA7768" s="2">
        <v>4930.12</v>
      </c>
      <c r="AB7768" s="1">
        <v>42382</v>
      </c>
      <c r="AC7768" t="s">
        <v>53</v>
      </c>
      <c r="AD7768" t="s">
        <v>53</v>
      </c>
      <c r="AK7768">
        <v>0</v>
      </c>
      <c r="AU7768" s="6">
        <v>42039</v>
      </c>
      <c r="AV7768" s="6">
        <v>42039</v>
      </c>
      <c r="AW7768" t="s">
        <v>54</v>
      </c>
      <c r="AX7768" t="str">
        <f t="shared" si="634"/>
        <v>FOR</v>
      </c>
      <c r="AY7768" t="s">
        <v>55</v>
      </c>
    </row>
    <row r="7769" spans="1:51" hidden="1">
      <c r="A7769">
        <v>104477</v>
      </c>
      <c r="B7769" t="s">
        <v>1318</v>
      </c>
      <c r="C7769" t="str">
        <f t="shared" si="636"/>
        <v>01762850483</v>
      </c>
      <c r="D7769" t="str">
        <f t="shared" si="636"/>
        <v>01762850483</v>
      </c>
      <c r="E7769" t="s">
        <v>52</v>
      </c>
      <c r="F7769">
        <v>2015</v>
      </c>
      <c r="G7769">
        <v>20</v>
      </c>
      <c r="H7769" s="1">
        <v>42038</v>
      </c>
      <c r="I7769" s="1">
        <v>42038</v>
      </c>
      <c r="J7769" s="1">
        <v>42038</v>
      </c>
      <c r="K7769" s="1">
        <v>42098</v>
      </c>
      <c r="N7769" s="5"/>
      <c r="O7769" s="2">
        <v>6194.32</v>
      </c>
      <c r="P7769">
        <v>-59</v>
      </c>
      <c r="Q7769" s="2">
        <v>-365464.88</v>
      </c>
      <c r="R7769">
        <v>0</v>
      </c>
      <c r="V7769">
        <v>0</v>
      </c>
      <c r="W7769">
        <v>0</v>
      </c>
      <c r="X7769">
        <v>0</v>
      </c>
      <c r="Y7769" s="2">
        <v>6194.32</v>
      </c>
      <c r="Z7769" s="2">
        <v>6194.32</v>
      </c>
      <c r="AA7769" s="2">
        <v>6194.32</v>
      </c>
      <c r="AB7769" s="1">
        <v>42382</v>
      </c>
      <c r="AC7769" t="s">
        <v>53</v>
      </c>
      <c r="AD7769" t="s">
        <v>53</v>
      </c>
      <c r="AK7769">
        <v>0</v>
      </c>
      <c r="AU7769" s="6">
        <v>42039</v>
      </c>
      <c r="AV7769" s="6">
        <v>42039</v>
      </c>
      <c r="AW7769" t="s">
        <v>54</v>
      </c>
      <c r="AX7769" t="str">
        <f t="shared" si="634"/>
        <v>FOR</v>
      </c>
      <c r="AY7769" t="s">
        <v>55</v>
      </c>
    </row>
    <row r="7770" spans="1:51" hidden="1">
      <c r="A7770">
        <v>104477</v>
      </c>
      <c r="B7770" t="s">
        <v>1318</v>
      </c>
      <c r="C7770" t="str">
        <f t="shared" si="636"/>
        <v>01762850483</v>
      </c>
      <c r="D7770" t="str">
        <f t="shared" si="636"/>
        <v>01762850483</v>
      </c>
      <c r="E7770" t="s">
        <v>52</v>
      </c>
      <c r="F7770">
        <v>2015</v>
      </c>
      <c r="G7770">
        <v>21</v>
      </c>
      <c r="H7770" s="1">
        <v>42038</v>
      </c>
      <c r="I7770" s="1">
        <v>42038</v>
      </c>
      <c r="J7770" s="1">
        <v>42038</v>
      </c>
      <c r="K7770" s="1">
        <v>42098</v>
      </c>
      <c r="N7770" s="5"/>
      <c r="O7770" s="2">
        <v>1497883.41</v>
      </c>
      <c r="P7770">
        <v>-49</v>
      </c>
      <c r="Q7770" s="2">
        <v>-72921686.170000002</v>
      </c>
      <c r="R7770">
        <v>0</v>
      </c>
      <c r="V7770">
        <v>0</v>
      </c>
      <c r="W7770">
        <v>0</v>
      </c>
      <c r="X7770">
        <v>0</v>
      </c>
      <c r="Y7770" s="2">
        <v>1497883.41</v>
      </c>
      <c r="Z7770" s="2">
        <v>1497883.41</v>
      </c>
      <c r="AA7770" s="2">
        <v>1497883.41</v>
      </c>
      <c r="AB7770" s="1">
        <v>42382</v>
      </c>
      <c r="AC7770" t="s">
        <v>53</v>
      </c>
      <c r="AD7770" t="s">
        <v>53</v>
      </c>
      <c r="AK7770">
        <v>0</v>
      </c>
      <c r="AU7770" s="6">
        <v>42039</v>
      </c>
      <c r="AV7770" s="6">
        <v>42061</v>
      </c>
      <c r="AW7770" t="s">
        <v>54</v>
      </c>
      <c r="AX7770" t="str">
        <f t="shared" si="634"/>
        <v>FOR</v>
      </c>
      <c r="AY7770" t="s">
        <v>55</v>
      </c>
    </row>
    <row r="7771" spans="1:51" hidden="1">
      <c r="A7771">
        <v>104477</v>
      </c>
      <c r="B7771" t="s">
        <v>1318</v>
      </c>
      <c r="C7771" t="str">
        <f t="shared" si="636"/>
        <v>01762850483</v>
      </c>
      <c r="D7771" t="str">
        <f t="shared" si="636"/>
        <v>01762850483</v>
      </c>
      <c r="E7771" t="s">
        <v>52</v>
      </c>
      <c r="F7771">
        <v>2015</v>
      </c>
      <c r="G7771">
        <v>93</v>
      </c>
      <c r="H7771" s="1">
        <v>42118</v>
      </c>
      <c r="I7771" s="1">
        <v>42118</v>
      </c>
      <c r="J7771" s="1">
        <v>42118</v>
      </c>
      <c r="K7771" s="1">
        <v>42178</v>
      </c>
      <c r="N7771" s="5"/>
      <c r="O7771" s="2">
        <v>21000</v>
      </c>
      <c r="P7771">
        <v>-55</v>
      </c>
      <c r="Q7771" s="2">
        <v>-1155000</v>
      </c>
      <c r="R7771">
        <v>0</v>
      </c>
      <c r="V7771">
        <v>0</v>
      </c>
      <c r="W7771">
        <v>0</v>
      </c>
      <c r="X7771">
        <v>0</v>
      </c>
      <c r="Y7771" s="2">
        <v>21000</v>
      </c>
      <c r="Z7771" s="2">
        <v>21000</v>
      </c>
      <c r="AA7771" s="2">
        <v>21000</v>
      </c>
      <c r="AB7771" s="1">
        <v>42382</v>
      </c>
      <c r="AC7771" t="s">
        <v>53</v>
      </c>
      <c r="AD7771" t="s">
        <v>53</v>
      </c>
      <c r="AK7771">
        <v>0</v>
      </c>
      <c r="AU7771" s="6">
        <v>42123</v>
      </c>
      <c r="AV7771" s="6">
        <v>42123</v>
      </c>
      <c r="AW7771" t="s">
        <v>54</v>
      </c>
      <c r="AX7771" t="str">
        <f t="shared" si="634"/>
        <v>FOR</v>
      </c>
      <c r="AY7771" t="s">
        <v>55</v>
      </c>
    </row>
    <row r="7772" spans="1:51" hidden="1">
      <c r="A7772">
        <v>104477</v>
      </c>
      <c r="B7772" t="s">
        <v>1318</v>
      </c>
      <c r="C7772" t="str">
        <f t="shared" si="636"/>
        <v>01762850483</v>
      </c>
      <c r="D7772" t="str">
        <f t="shared" si="636"/>
        <v>01762850483</v>
      </c>
      <c r="E7772" t="s">
        <v>52</v>
      </c>
      <c r="F7772">
        <v>2015</v>
      </c>
      <c r="G7772">
        <v>94</v>
      </c>
      <c r="H7772" s="1">
        <v>42118</v>
      </c>
      <c r="I7772" s="1">
        <v>42118</v>
      </c>
      <c r="J7772" s="1">
        <v>42118</v>
      </c>
      <c r="K7772" s="1">
        <v>42178</v>
      </c>
      <c r="N7772" s="5"/>
      <c r="O7772" s="2">
        <v>66063.899999999994</v>
      </c>
      <c r="P7772">
        <v>-55</v>
      </c>
      <c r="Q7772" s="2">
        <v>-3633514.5</v>
      </c>
      <c r="R7772">
        <v>0</v>
      </c>
      <c r="V7772">
        <v>0</v>
      </c>
      <c r="W7772">
        <v>0</v>
      </c>
      <c r="X7772">
        <v>0</v>
      </c>
      <c r="Y7772" s="2">
        <v>66063.899999999994</v>
      </c>
      <c r="Z7772" s="2">
        <v>66063.899999999994</v>
      </c>
      <c r="AA7772" s="2">
        <v>66063.899999999994</v>
      </c>
      <c r="AB7772" s="1">
        <v>42382</v>
      </c>
      <c r="AC7772" t="s">
        <v>53</v>
      </c>
      <c r="AD7772" t="s">
        <v>53</v>
      </c>
      <c r="AK7772">
        <v>0</v>
      </c>
      <c r="AU7772" s="6">
        <v>42123</v>
      </c>
      <c r="AV7772" s="6">
        <v>42123</v>
      </c>
      <c r="AW7772" t="s">
        <v>54</v>
      </c>
      <c r="AX7772" t="str">
        <f t="shared" si="634"/>
        <v>FOR</v>
      </c>
      <c r="AY7772" t="s">
        <v>55</v>
      </c>
    </row>
    <row r="7773" spans="1:51" hidden="1">
      <c r="A7773">
        <v>104477</v>
      </c>
      <c r="B7773" t="s">
        <v>1318</v>
      </c>
      <c r="C7773" t="str">
        <f t="shared" si="636"/>
        <v>01762850483</v>
      </c>
      <c r="D7773" t="str">
        <f t="shared" si="636"/>
        <v>01762850483</v>
      </c>
      <c r="E7773" t="s">
        <v>52</v>
      </c>
      <c r="F7773">
        <v>2015</v>
      </c>
      <c r="G7773">
        <v>157</v>
      </c>
      <c r="H7773" s="1">
        <v>42191</v>
      </c>
      <c r="I7773" s="1">
        <v>42191</v>
      </c>
      <c r="J7773" s="1">
        <v>42191</v>
      </c>
      <c r="K7773" s="1">
        <v>42251</v>
      </c>
      <c r="N7773" s="5"/>
      <c r="O7773" s="2">
        <v>30789.98</v>
      </c>
      <c r="P7773">
        <v>-60</v>
      </c>
      <c r="Q7773" s="2">
        <v>-1847398.8</v>
      </c>
      <c r="R7773">
        <v>0</v>
      </c>
      <c r="V7773">
        <v>0</v>
      </c>
      <c r="W7773">
        <v>0</v>
      </c>
      <c r="X7773">
        <v>0</v>
      </c>
      <c r="Y7773" s="2">
        <v>30789.98</v>
      </c>
      <c r="Z7773" s="2">
        <v>30789.98</v>
      </c>
      <c r="AA7773" s="2">
        <v>30789.98</v>
      </c>
      <c r="AB7773" s="1">
        <v>42382</v>
      </c>
      <c r="AC7773" t="s">
        <v>53</v>
      </c>
      <c r="AD7773" t="s">
        <v>53</v>
      </c>
      <c r="AK7773">
        <v>0</v>
      </c>
      <c r="AU7773" s="6">
        <v>42191</v>
      </c>
      <c r="AV7773" s="6">
        <v>42191</v>
      </c>
      <c r="AW7773" t="s">
        <v>54</v>
      </c>
      <c r="AX7773" t="str">
        <f t="shared" si="634"/>
        <v>FOR</v>
      </c>
      <c r="AY7773" t="s">
        <v>55</v>
      </c>
    </row>
    <row r="7774" spans="1:51" hidden="1">
      <c r="A7774">
        <v>104477</v>
      </c>
      <c r="B7774" t="s">
        <v>1318</v>
      </c>
      <c r="C7774" t="str">
        <f t="shared" si="636"/>
        <v>01762850483</v>
      </c>
      <c r="D7774" t="str">
        <f t="shared" si="636"/>
        <v>01762850483</v>
      </c>
      <c r="E7774" t="s">
        <v>52</v>
      </c>
      <c r="F7774">
        <v>2015</v>
      </c>
      <c r="G7774">
        <v>158</v>
      </c>
      <c r="H7774" s="1">
        <v>42198</v>
      </c>
      <c r="I7774" s="1">
        <v>42198</v>
      </c>
      <c r="J7774" s="1">
        <v>42198</v>
      </c>
      <c r="K7774" s="1">
        <v>42258</v>
      </c>
      <c r="N7774" s="5"/>
      <c r="O7774" s="2">
        <v>1497883.41</v>
      </c>
      <c r="P7774">
        <v>-42</v>
      </c>
      <c r="Q7774" s="2">
        <v>-62436502.299999997</v>
      </c>
      <c r="R7774">
        <v>0</v>
      </c>
      <c r="V7774">
        <v>0</v>
      </c>
      <c r="W7774">
        <v>0</v>
      </c>
      <c r="X7774">
        <v>0</v>
      </c>
      <c r="Y7774" s="2">
        <v>1497883.41</v>
      </c>
      <c r="Z7774" s="2">
        <v>1497883.41</v>
      </c>
      <c r="AA7774" s="2">
        <v>1497883.41</v>
      </c>
      <c r="AB7774" s="1">
        <v>42382</v>
      </c>
      <c r="AC7774" t="s">
        <v>53</v>
      </c>
      <c r="AD7774" t="s">
        <v>53</v>
      </c>
      <c r="AK7774">
        <v>0</v>
      </c>
      <c r="AU7774" s="6">
        <v>42200</v>
      </c>
      <c r="AV7774" s="6">
        <v>42228</v>
      </c>
      <c r="AW7774" t="s">
        <v>54</v>
      </c>
      <c r="AX7774" t="str">
        <f t="shared" si="634"/>
        <v>FOR</v>
      </c>
      <c r="AY7774" t="s">
        <v>55</v>
      </c>
    </row>
    <row r="7775" spans="1:51" hidden="1">
      <c r="A7775">
        <v>104477</v>
      </c>
      <c r="B7775" t="s">
        <v>1318</v>
      </c>
      <c r="C7775" t="str">
        <f t="shared" si="636"/>
        <v>01762850483</v>
      </c>
      <c r="D7775" t="str">
        <f t="shared" si="636"/>
        <v>01762850483</v>
      </c>
      <c r="E7775" t="s">
        <v>52</v>
      </c>
      <c r="F7775">
        <v>2015</v>
      </c>
      <c r="G7775">
        <v>228</v>
      </c>
      <c r="H7775" s="1">
        <v>42279</v>
      </c>
      <c r="I7775" s="1">
        <v>42279</v>
      </c>
      <c r="J7775" s="1">
        <v>42279</v>
      </c>
      <c r="K7775" s="1">
        <v>42339</v>
      </c>
      <c r="L7775" s="7">
        <v>170344.75</v>
      </c>
      <c r="M7775" s="5">
        <v>-57</v>
      </c>
      <c r="N7775" s="7">
        <v>-9709650.75</v>
      </c>
      <c r="O7775" s="2">
        <v>170344.75</v>
      </c>
      <c r="P7775">
        <v>-57</v>
      </c>
      <c r="Q7775" s="2">
        <v>-9709650.75</v>
      </c>
      <c r="R7775">
        <v>0</v>
      </c>
      <c r="V7775" s="2">
        <v>170344.75</v>
      </c>
      <c r="W7775" s="2">
        <v>170344.75</v>
      </c>
      <c r="X7775" s="2">
        <v>170344.75</v>
      </c>
      <c r="Y7775" s="2">
        <v>170344.75</v>
      </c>
      <c r="Z7775" s="2">
        <v>170344.75</v>
      </c>
      <c r="AA7775" s="2">
        <v>170344.75</v>
      </c>
      <c r="AB7775" s="1">
        <v>42382</v>
      </c>
      <c r="AC7775" t="s">
        <v>53</v>
      </c>
      <c r="AD7775" t="s">
        <v>53</v>
      </c>
      <c r="AK7775">
        <v>0</v>
      </c>
      <c r="AU7775" s="6">
        <v>42282</v>
      </c>
      <c r="AV7775" s="6">
        <v>42282</v>
      </c>
      <c r="AW7775" t="s">
        <v>54</v>
      </c>
      <c r="AX7775" t="str">
        <f t="shared" si="634"/>
        <v>FOR</v>
      </c>
      <c r="AY7775" t="s">
        <v>55</v>
      </c>
    </row>
    <row r="7776" spans="1:51" hidden="1">
      <c r="A7776">
        <v>104487</v>
      </c>
      <c r="B7776" t="s">
        <v>1319</v>
      </c>
      <c r="C7776" t="str">
        <f t="shared" ref="C7776:C7811" si="637">"07287630631"</f>
        <v>07287630631</v>
      </c>
      <c r="D7776" t="str">
        <f t="shared" ref="D7776:D7811" si="638">"VSTGTN63B26F839C"</f>
        <v>VSTGTN63B26F839C</v>
      </c>
      <c r="E7776" t="s">
        <v>52</v>
      </c>
      <c r="F7776">
        <v>2013</v>
      </c>
      <c r="G7776">
        <v>131</v>
      </c>
      <c r="H7776" s="1">
        <v>41590</v>
      </c>
      <c r="I7776" s="1">
        <v>41596</v>
      </c>
      <c r="J7776" s="1">
        <v>41596</v>
      </c>
      <c r="K7776" s="1">
        <v>41686</v>
      </c>
      <c r="N7776" s="5"/>
      <c r="O7776" s="2">
        <v>1449.36</v>
      </c>
      <c r="P7776">
        <v>332</v>
      </c>
      <c r="Q7776" s="2">
        <v>481187.52</v>
      </c>
      <c r="R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 s="1">
        <v>42382</v>
      </c>
      <c r="AC7776" t="s">
        <v>53</v>
      </c>
      <c r="AD7776" t="s">
        <v>53</v>
      </c>
      <c r="AK7776">
        <v>0</v>
      </c>
      <c r="AU7776" s="6">
        <v>42018</v>
      </c>
      <c r="AV7776" s="6">
        <v>42018</v>
      </c>
      <c r="AW7776" t="s">
        <v>54</v>
      </c>
      <c r="AX7776" t="str">
        <f t="shared" si="634"/>
        <v>FOR</v>
      </c>
      <c r="AY7776" t="s">
        <v>55</v>
      </c>
    </row>
    <row r="7777" spans="1:51" hidden="1">
      <c r="A7777">
        <v>104487</v>
      </c>
      <c r="B7777" t="s">
        <v>1319</v>
      </c>
      <c r="C7777" t="str">
        <f t="shared" si="637"/>
        <v>07287630631</v>
      </c>
      <c r="D7777" t="str">
        <f t="shared" si="638"/>
        <v>VSTGTN63B26F839C</v>
      </c>
      <c r="E7777" t="s">
        <v>52</v>
      </c>
      <c r="F7777">
        <v>2013</v>
      </c>
      <c r="G7777">
        <v>132</v>
      </c>
      <c r="H7777" s="1">
        <v>41590</v>
      </c>
      <c r="I7777" s="1">
        <v>41596</v>
      </c>
      <c r="J7777" s="1">
        <v>41596</v>
      </c>
      <c r="K7777" s="1">
        <v>41686</v>
      </c>
      <c r="N7777" s="5"/>
      <c r="O7777" s="2">
        <v>1281</v>
      </c>
      <c r="P7777">
        <v>332</v>
      </c>
      <c r="Q7777" s="2">
        <v>425292</v>
      </c>
      <c r="R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 s="1">
        <v>42382</v>
      </c>
      <c r="AC7777" t="s">
        <v>53</v>
      </c>
      <c r="AD7777" t="s">
        <v>53</v>
      </c>
      <c r="AK7777">
        <v>0</v>
      </c>
      <c r="AU7777" s="6">
        <v>42018</v>
      </c>
      <c r="AV7777" s="6">
        <v>42018</v>
      </c>
      <c r="AW7777" t="s">
        <v>54</v>
      </c>
      <c r="AX7777" t="str">
        <f t="shared" si="634"/>
        <v>FOR</v>
      </c>
      <c r="AY7777" t="s">
        <v>55</v>
      </c>
    </row>
    <row r="7778" spans="1:51" hidden="1">
      <c r="A7778">
        <v>104487</v>
      </c>
      <c r="B7778" t="s">
        <v>1319</v>
      </c>
      <c r="C7778" t="str">
        <f t="shared" si="637"/>
        <v>07287630631</v>
      </c>
      <c r="D7778" t="str">
        <f t="shared" si="638"/>
        <v>VSTGTN63B26F839C</v>
      </c>
      <c r="E7778" t="s">
        <v>52</v>
      </c>
      <c r="F7778">
        <v>2013</v>
      </c>
      <c r="G7778">
        <v>133</v>
      </c>
      <c r="H7778" s="1">
        <v>41592</v>
      </c>
      <c r="I7778" s="1">
        <v>41596</v>
      </c>
      <c r="J7778" s="1">
        <v>41596</v>
      </c>
      <c r="K7778" s="1">
        <v>41686</v>
      </c>
      <c r="N7778" s="5"/>
      <c r="O7778" s="2">
        <v>15782.52</v>
      </c>
      <c r="P7778">
        <v>332</v>
      </c>
      <c r="Q7778" s="2">
        <v>5239796.6399999997</v>
      </c>
      <c r="R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 s="1">
        <v>42382</v>
      </c>
      <c r="AC7778" t="s">
        <v>53</v>
      </c>
      <c r="AD7778" t="s">
        <v>53</v>
      </c>
      <c r="AK7778">
        <v>0</v>
      </c>
      <c r="AU7778" s="6">
        <v>42018</v>
      </c>
      <c r="AV7778" s="6">
        <v>42018</v>
      </c>
      <c r="AW7778" t="s">
        <v>54</v>
      </c>
      <c r="AX7778" t="str">
        <f t="shared" si="634"/>
        <v>FOR</v>
      </c>
      <c r="AY7778" t="s">
        <v>55</v>
      </c>
    </row>
    <row r="7779" spans="1:51" hidden="1">
      <c r="A7779">
        <v>104487</v>
      </c>
      <c r="B7779" t="s">
        <v>1319</v>
      </c>
      <c r="C7779" t="str">
        <f t="shared" si="637"/>
        <v>07287630631</v>
      </c>
      <c r="D7779" t="str">
        <f t="shared" si="638"/>
        <v>VSTGTN63B26F839C</v>
      </c>
      <c r="E7779" t="s">
        <v>52</v>
      </c>
      <c r="F7779">
        <v>2014</v>
      </c>
      <c r="G7779">
        <v>10</v>
      </c>
      <c r="H7779" s="1">
        <v>41661</v>
      </c>
      <c r="I7779" s="1">
        <v>41691</v>
      </c>
      <c r="J7779" s="1">
        <v>41691</v>
      </c>
      <c r="K7779" s="1">
        <v>41780</v>
      </c>
      <c r="N7779" s="5"/>
      <c r="O7779" s="2">
        <v>2635.2</v>
      </c>
      <c r="P7779">
        <v>238</v>
      </c>
      <c r="Q7779" s="2">
        <v>627177.6</v>
      </c>
      <c r="R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 s="1">
        <v>42382</v>
      </c>
      <c r="AC7779" t="s">
        <v>53</v>
      </c>
      <c r="AD7779" t="s">
        <v>53</v>
      </c>
      <c r="AK7779">
        <v>0</v>
      </c>
      <c r="AU7779" s="6">
        <v>42018</v>
      </c>
      <c r="AV7779" s="6">
        <v>42018</v>
      </c>
      <c r="AW7779" t="s">
        <v>54</v>
      </c>
      <c r="AX7779" t="str">
        <f t="shared" si="634"/>
        <v>FOR</v>
      </c>
      <c r="AY7779" t="s">
        <v>55</v>
      </c>
    </row>
    <row r="7780" spans="1:51" hidden="1">
      <c r="A7780">
        <v>104487</v>
      </c>
      <c r="B7780" t="s">
        <v>1319</v>
      </c>
      <c r="C7780" t="str">
        <f t="shared" si="637"/>
        <v>07287630631</v>
      </c>
      <c r="D7780" t="str">
        <f t="shared" si="638"/>
        <v>VSTGTN63B26F839C</v>
      </c>
      <c r="E7780" t="s">
        <v>52</v>
      </c>
      <c r="F7780">
        <v>2014</v>
      </c>
      <c r="G7780">
        <v>23</v>
      </c>
      <c r="H7780" s="1">
        <v>41690</v>
      </c>
      <c r="I7780" s="1">
        <v>41691</v>
      </c>
      <c r="J7780" s="1">
        <v>41691</v>
      </c>
      <c r="K7780" s="1">
        <v>41780</v>
      </c>
      <c r="N7780" s="5"/>
      <c r="O7780" s="2">
        <v>7363.2</v>
      </c>
      <c r="P7780">
        <v>238</v>
      </c>
      <c r="Q7780" s="2">
        <v>1752441.6</v>
      </c>
      <c r="R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 s="1">
        <v>42382</v>
      </c>
      <c r="AC7780" t="s">
        <v>53</v>
      </c>
      <c r="AD7780" t="s">
        <v>53</v>
      </c>
      <c r="AK7780">
        <v>0</v>
      </c>
      <c r="AU7780" s="6">
        <v>42018</v>
      </c>
      <c r="AV7780" s="6">
        <v>42018</v>
      </c>
      <c r="AW7780" t="s">
        <v>54</v>
      </c>
      <c r="AX7780" t="str">
        <f t="shared" si="634"/>
        <v>FOR</v>
      </c>
      <c r="AY7780" t="s">
        <v>55</v>
      </c>
    </row>
    <row r="7781" spans="1:51" hidden="1">
      <c r="A7781">
        <v>104487</v>
      </c>
      <c r="B7781" t="s">
        <v>1319</v>
      </c>
      <c r="C7781" t="str">
        <f t="shared" si="637"/>
        <v>07287630631</v>
      </c>
      <c r="D7781" t="str">
        <f t="shared" si="638"/>
        <v>VSTGTN63B26F839C</v>
      </c>
      <c r="E7781" t="s">
        <v>52</v>
      </c>
      <c r="F7781">
        <v>2014</v>
      </c>
      <c r="G7781">
        <v>38</v>
      </c>
      <c r="H7781" s="1">
        <v>41751</v>
      </c>
      <c r="I7781" s="1">
        <v>41752</v>
      </c>
      <c r="J7781" s="1">
        <v>41752</v>
      </c>
      <c r="K7781" s="1">
        <v>41842</v>
      </c>
      <c r="N7781" s="5"/>
      <c r="O7781" s="2">
        <v>9264.32</v>
      </c>
      <c r="P7781">
        <v>176</v>
      </c>
      <c r="Q7781" s="2">
        <v>1630520.3200000001</v>
      </c>
      <c r="R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 s="1">
        <v>42382</v>
      </c>
      <c r="AC7781" t="s">
        <v>53</v>
      </c>
      <c r="AD7781" t="s">
        <v>53</v>
      </c>
      <c r="AK7781">
        <v>0</v>
      </c>
      <c r="AU7781" s="6">
        <v>42018</v>
      </c>
      <c r="AV7781" s="6">
        <v>42018</v>
      </c>
      <c r="AW7781" t="s">
        <v>54</v>
      </c>
      <c r="AX7781" t="str">
        <f t="shared" si="634"/>
        <v>FOR</v>
      </c>
      <c r="AY7781" t="s">
        <v>55</v>
      </c>
    </row>
    <row r="7782" spans="1:51" hidden="1">
      <c r="A7782">
        <v>104487</v>
      </c>
      <c r="B7782" t="s">
        <v>1319</v>
      </c>
      <c r="C7782" t="str">
        <f t="shared" si="637"/>
        <v>07287630631</v>
      </c>
      <c r="D7782" t="str">
        <f t="shared" si="638"/>
        <v>VSTGTN63B26F839C</v>
      </c>
      <c r="E7782" t="s">
        <v>52</v>
      </c>
      <c r="F7782">
        <v>2014</v>
      </c>
      <c r="G7782">
        <v>42</v>
      </c>
      <c r="H7782" s="1">
        <v>41765</v>
      </c>
      <c r="I7782" s="1">
        <v>41767</v>
      </c>
      <c r="J7782" s="1">
        <v>41767</v>
      </c>
      <c r="K7782" s="1">
        <v>41857</v>
      </c>
      <c r="N7782" s="5"/>
      <c r="O7782" s="2">
        <v>1921.5</v>
      </c>
      <c r="P7782">
        <v>245</v>
      </c>
      <c r="Q7782" s="2">
        <v>470767.5</v>
      </c>
      <c r="R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 s="1">
        <v>42382</v>
      </c>
      <c r="AC7782" t="s">
        <v>53</v>
      </c>
      <c r="AD7782" t="s">
        <v>53</v>
      </c>
      <c r="AK7782">
        <v>0</v>
      </c>
      <c r="AU7782" s="6">
        <v>42102</v>
      </c>
      <c r="AV7782" s="6">
        <v>42102</v>
      </c>
      <c r="AW7782" t="s">
        <v>54</v>
      </c>
      <c r="AX7782" t="str">
        <f t="shared" si="634"/>
        <v>FOR</v>
      </c>
      <c r="AY7782" t="s">
        <v>55</v>
      </c>
    </row>
    <row r="7783" spans="1:51" hidden="1">
      <c r="A7783">
        <v>104487</v>
      </c>
      <c r="B7783" t="s">
        <v>1319</v>
      </c>
      <c r="C7783" t="str">
        <f t="shared" si="637"/>
        <v>07287630631</v>
      </c>
      <c r="D7783" t="str">
        <f t="shared" si="638"/>
        <v>VSTGTN63B26F839C</v>
      </c>
      <c r="E7783" t="s">
        <v>52</v>
      </c>
      <c r="F7783">
        <v>2014</v>
      </c>
      <c r="G7783">
        <v>43</v>
      </c>
      <c r="H7783" s="1">
        <v>41765</v>
      </c>
      <c r="I7783" s="1">
        <v>41767</v>
      </c>
      <c r="J7783" s="1">
        <v>41767</v>
      </c>
      <c r="K7783" s="1">
        <v>41857</v>
      </c>
      <c r="N7783" s="5"/>
      <c r="O7783">
        <v>442</v>
      </c>
      <c r="P7783">
        <v>245</v>
      </c>
      <c r="Q7783" s="2">
        <v>108290</v>
      </c>
      <c r="R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 s="1">
        <v>42382</v>
      </c>
      <c r="AC7783" t="s">
        <v>53</v>
      </c>
      <c r="AD7783" t="s">
        <v>53</v>
      </c>
      <c r="AK7783">
        <v>0</v>
      </c>
      <c r="AU7783" s="6">
        <v>42102</v>
      </c>
      <c r="AV7783" s="6">
        <v>42102</v>
      </c>
      <c r="AW7783" t="s">
        <v>54</v>
      </c>
      <c r="AX7783" t="str">
        <f t="shared" si="634"/>
        <v>FOR</v>
      </c>
      <c r="AY7783" t="s">
        <v>55</v>
      </c>
    </row>
    <row r="7784" spans="1:51" hidden="1">
      <c r="A7784">
        <v>104487</v>
      </c>
      <c r="B7784" t="s">
        <v>1319</v>
      </c>
      <c r="C7784" t="str">
        <f t="shared" si="637"/>
        <v>07287630631</v>
      </c>
      <c r="D7784" t="str">
        <f t="shared" si="638"/>
        <v>VSTGTN63B26F839C</v>
      </c>
      <c r="E7784" t="s">
        <v>52</v>
      </c>
      <c r="F7784">
        <v>2014</v>
      </c>
      <c r="G7784">
        <v>52</v>
      </c>
      <c r="H7784" s="1">
        <v>41796</v>
      </c>
      <c r="I7784" s="1">
        <v>41816</v>
      </c>
      <c r="J7784" s="1">
        <v>41816</v>
      </c>
      <c r="K7784" s="1">
        <v>41906</v>
      </c>
      <c r="N7784" s="5"/>
      <c r="O7784">
        <v>640.5</v>
      </c>
      <c r="P7784">
        <v>196</v>
      </c>
      <c r="Q7784" s="2">
        <v>125538</v>
      </c>
      <c r="R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 s="1">
        <v>42382</v>
      </c>
      <c r="AC7784" t="s">
        <v>53</v>
      </c>
      <c r="AD7784" t="s">
        <v>53</v>
      </c>
      <c r="AK7784">
        <v>0</v>
      </c>
      <c r="AU7784" s="6">
        <v>42102</v>
      </c>
      <c r="AV7784" s="6">
        <v>42102</v>
      </c>
      <c r="AW7784" t="s">
        <v>54</v>
      </c>
      <c r="AX7784" t="str">
        <f t="shared" si="634"/>
        <v>FOR</v>
      </c>
      <c r="AY7784" t="s">
        <v>55</v>
      </c>
    </row>
    <row r="7785" spans="1:51" hidden="1">
      <c r="A7785">
        <v>104487</v>
      </c>
      <c r="B7785" t="s">
        <v>1319</v>
      </c>
      <c r="C7785" t="str">
        <f t="shared" si="637"/>
        <v>07287630631</v>
      </c>
      <c r="D7785" t="str">
        <f t="shared" si="638"/>
        <v>VSTGTN63B26F839C</v>
      </c>
      <c r="E7785" t="s">
        <v>52</v>
      </c>
      <c r="F7785">
        <v>2014</v>
      </c>
      <c r="G7785">
        <v>53</v>
      </c>
      <c r="H7785" s="1">
        <v>41796</v>
      </c>
      <c r="I7785" s="1">
        <v>41816</v>
      </c>
      <c r="J7785" s="1">
        <v>41816</v>
      </c>
      <c r="K7785" s="1">
        <v>41906</v>
      </c>
      <c r="N7785" s="5"/>
      <c r="O7785" s="2">
        <v>8723.52</v>
      </c>
      <c r="P7785">
        <v>257</v>
      </c>
      <c r="Q7785" s="2">
        <v>2241944.64</v>
      </c>
      <c r="R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 s="1">
        <v>42382</v>
      </c>
      <c r="AC7785" t="s">
        <v>53</v>
      </c>
      <c r="AD7785" t="s">
        <v>53</v>
      </c>
      <c r="AK7785">
        <v>0</v>
      </c>
      <c r="AU7785" s="6">
        <v>42163</v>
      </c>
      <c r="AV7785" s="6">
        <v>42163</v>
      </c>
      <c r="AW7785" t="s">
        <v>54</v>
      </c>
      <c r="AX7785" t="str">
        <f t="shared" si="634"/>
        <v>FOR</v>
      </c>
      <c r="AY7785" t="s">
        <v>55</v>
      </c>
    </row>
    <row r="7786" spans="1:51" hidden="1">
      <c r="A7786">
        <v>104487</v>
      </c>
      <c r="B7786" t="s">
        <v>1319</v>
      </c>
      <c r="C7786" t="str">
        <f t="shared" si="637"/>
        <v>07287630631</v>
      </c>
      <c r="D7786" t="str">
        <f t="shared" si="638"/>
        <v>VSTGTN63B26F839C</v>
      </c>
      <c r="E7786" t="s">
        <v>52</v>
      </c>
      <c r="F7786">
        <v>2014</v>
      </c>
      <c r="G7786">
        <v>54</v>
      </c>
      <c r="H7786" s="1">
        <v>41796</v>
      </c>
      <c r="I7786" s="1">
        <v>41816</v>
      </c>
      <c r="J7786" s="1">
        <v>41816</v>
      </c>
      <c r="K7786" s="1">
        <v>41906</v>
      </c>
      <c r="N7786" s="5"/>
      <c r="O7786" s="2">
        <v>1317.6</v>
      </c>
      <c r="P7786">
        <v>196</v>
      </c>
      <c r="Q7786" s="2">
        <v>258249.60000000001</v>
      </c>
      <c r="R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 s="1">
        <v>42382</v>
      </c>
      <c r="AC7786" t="s">
        <v>53</v>
      </c>
      <c r="AD7786" t="s">
        <v>53</v>
      </c>
      <c r="AK7786">
        <v>0</v>
      </c>
      <c r="AU7786" s="6">
        <v>42102</v>
      </c>
      <c r="AV7786" s="6">
        <v>42102</v>
      </c>
      <c r="AW7786" t="s">
        <v>54</v>
      </c>
      <c r="AX7786" t="str">
        <f t="shared" si="634"/>
        <v>FOR</v>
      </c>
      <c r="AY7786" t="s">
        <v>55</v>
      </c>
    </row>
    <row r="7787" spans="1:51" hidden="1">
      <c r="A7787">
        <v>104487</v>
      </c>
      <c r="B7787" t="s">
        <v>1319</v>
      </c>
      <c r="C7787" t="str">
        <f t="shared" si="637"/>
        <v>07287630631</v>
      </c>
      <c r="D7787" t="str">
        <f t="shared" si="638"/>
        <v>VSTGTN63B26F839C</v>
      </c>
      <c r="E7787" t="s">
        <v>52</v>
      </c>
      <c r="F7787">
        <v>2014</v>
      </c>
      <c r="G7787">
        <v>63</v>
      </c>
      <c r="H7787" s="1">
        <v>41831</v>
      </c>
      <c r="I7787" s="1">
        <v>41834</v>
      </c>
      <c r="J7787" s="1">
        <v>41834</v>
      </c>
      <c r="K7787" s="1">
        <v>41924</v>
      </c>
      <c r="N7787" s="5"/>
      <c r="O7787" s="2">
        <v>9601.2800000000007</v>
      </c>
      <c r="P7787">
        <v>239</v>
      </c>
      <c r="Q7787" s="2">
        <v>2294705.92</v>
      </c>
      <c r="R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 s="1">
        <v>42382</v>
      </c>
      <c r="AC7787" t="s">
        <v>53</v>
      </c>
      <c r="AD7787" t="s">
        <v>53</v>
      </c>
      <c r="AK7787">
        <v>0</v>
      </c>
      <c r="AU7787" s="6">
        <v>42163</v>
      </c>
      <c r="AV7787" s="6">
        <v>42163</v>
      </c>
      <c r="AW7787" t="s">
        <v>54</v>
      </c>
      <c r="AX7787" t="str">
        <f t="shared" si="634"/>
        <v>FOR</v>
      </c>
      <c r="AY7787" t="s">
        <v>55</v>
      </c>
    </row>
    <row r="7788" spans="1:51" hidden="1">
      <c r="A7788">
        <v>104487</v>
      </c>
      <c r="B7788" t="s">
        <v>1319</v>
      </c>
      <c r="C7788" t="str">
        <f t="shared" si="637"/>
        <v>07287630631</v>
      </c>
      <c r="D7788" t="str">
        <f t="shared" si="638"/>
        <v>VSTGTN63B26F839C</v>
      </c>
      <c r="E7788" t="s">
        <v>52</v>
      </c>
      <c r="F7788">
        <v>2014</v>
      </c>
      <c r="G7788">
        <v>64</v>
      </c>
      <c r="H7788" s="1">
        <v>41831</v>
      </c>
      <c r="I7788" s="1">
        <v>41834</v>
      </c>
      <c r="J7788" s="1">
        <v>41834</v>
      </c>
      <c r="K7788" s="1">
        <v>41924</v>
      </c>
      <c r="N7788" s="5"/>
      <c r="O7788" s="2">
        <v>1317.6</v>
      </c>
      <c r="P7788">
        <v>239</v>
      </c>
      <c r="Q7788" s="2">
        <v>314906.40000000002</v>
      </c>
      <c r="R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 s="1">
        <v>42382</v>
      </c>
      <c r="AC7788" t="s">
        <v>53</v>
      </c>
      <c r="AD7788" t="s">
        <v>53</v>
      </c>
      <c r="AK7788">
        <v>0</v>
      </c>
      <c r="AU7788" s="6">
        <v>42163</v>
      </c>
      <c r="AV7788" s="6">
        <v>42163</v>
      </c>
      <c r="AW7788" t="s">
        <v>54</v>
      </c>
      <c r="AX7788" t="str">
        <f t="shared" si="634"/>
        <v>FOR</v>
      </c>
      <c r="AY7788" t="s">
        <v>55</v>
      </c>
    </row>
    <row r="7789" spans="1:51" hidden="1">
      <c r="A7789">
        <v>104487</v>
      </c>
      <c r="B7789" t="s">
        <v>1319</v>
      </c>
      <c r="C7789" t="str">
        <f t="shared" si="637"/>
        <v>07287630631</v>
      </c>
      <c r="D7789" t="str">
        <f t="shared" si="638"/>
        <v>VSTGTN63B26F839C</v>
      </c>
      <c r="E7789" t="s">
        <v>52</v>
      </c>
      <c r="F7789">
        <v>2014</v>
      </c>
      <c r="G7789">
        <v>71</v>
      </c>
      <c r="H7789" s="1">
        <v>41843</v>
      </c>
      <c r="I7789" s="1">
        <v>41844</v>
      </c>
      <c r="J7789" s="1">
        <v>41844</v>
      </c>
      <c r="K7789" s="1">
        <v>41934</v>
      </c>
      <c r="N7789" s="5"/>
      <c r="O7789">
        <v>530.4</v>
      </c>
      <c r="P7789">
        <v>229</v>
      </c>
      <c r="Q7789" s="2">
        <v>121461.6</v>
      </c>
      <c r="R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 s="1">
        <v>42382</v>
      </c>
      <c r="AC7789" t="s">
        <v>53</v>
      </c>
      <c r="AD7789" t="s">
        <v>53</v>
      </c>
      <c r="AK7789">
        <v>0</v>
      </c>
      <c r="AU7789" s="6">
        <v>42163</v>
      </c>
      <c r="AV7789" s="6">
        <v>42163</v>
      </c>
      <c r="AW7789" t="s">
        <v>54</v>
      </c>
      <c r="AX7789" t="str">
        <f t="shared" si="634"/>
        <v>FOR</v>
      </c>
      <c r="AY7789" t="s">
        <v>55</v>
      </c>
    </row>
    <row r="7790" spans="1:51" hidden="1">
      <c r="A7790">
        <v>104487</v>
      </c>
      <c r="B7790" t="s">
        <v>1319</v>
      </c>
      <c r="C7790" t="str">
        <f t="shared" si="637"/>
        <v>07287630631</v>
      </c>
      <c r="D7790" t="str">
        <f t="shared" si="638"/>
        <v>VSTGTN63B26F839C</v>
      </c>
      <c r="E7790" t="s">
        <v>52</v>
      </c>
      <c r="F7790">
        <v>2014</v>
      </c>
      <c r="G7790">
        <v>72</v>
      </c>
      <c r="H7790" s="1">
        <v>41852</v>
      </c>
      <c r="I7790" s="1">
        <v>41878</v>
      </c>
      <c r="J7790" s="1">
        <v>41878</v>
      </c>
      <c r="K7790" s="1">
        <v>41968</v>
      </c>
      <c r="N7790" s="5"/>
      <c r="O7790" s="2">
        <v>7608.12</v>
      </c>
      <c r="P7790">
        <v>218</v>
      </c>
      <c r="Q7790" s="2">
        <v>1658570.16</v>
      </c>
      <c r="R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 s="1">
        <v>42382</v>
      </c>
      <c r="AC7790" t="s">
        <v>53</v>
      </c>
      <c r="AD7790" t="s">
        <v>53</v>
      </c>
      <c r="AK7790">
        <v>0</v>
      </c>
      <c r="AU7790" s="6">
        <v>42186</v>
      </c>
      <c r="AV7790" s="6">
        <v>42186</v>
      </c>
      <c r="AW7790" t="s">
        <v>54</v>
      </c>
      <c r="AX7790" t="str">
        <f t="shared" si="634"/>
        <v>FOR</v>
      </c>
      <c r="AY7790" t="s">
        <v>55</v>
      </c>
    </row>
    <row r="7791" spans="1:51" hidden="1">
      <c r="A7791">
        <v>104487</v>
      </c>
      <c r="B7791" t="s">
        <v>1319</v>
      </c>
      <c r="C7791" t="str">
        <f t="shared" si="637"/>
        <v>07287630631</v>
      </c>
      <c r="D7791" t="str">
        <f t="shared" si="638"/>
        <v>VSTGTN63B26F839C</v>
      </c>
      <c r="E7791" t="s">
        <v>52</v>
      </c>
      <c r="F7791">
        <v>2014</v>
      </c>
      <c r="G7791">
        <v>73</v>
      </c>
      <c r="H7791" s="1">
        <v>41852</v>
      </c>
      <c r="I7791" s="1">
        <v>41878</v>
      </c>
      <c r="J7791" s="1">
        <v>41878</v>
      </c>
      <c r="K7791" s="1">
        <v>41968</v>
      </c>
      <c r="N7791" s="5"/>
      <c r="O7791">
        <v>640.5</v>
      </c>
      <c r="P7791">
        <v>218</v>
      </c>
      <c r="Q7791" s="2">
        <v>139629</v>
      </c>
      <c r="R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 s="1">
        <v>42382</v>
      </c>
      <c r="AC7791" t="s">
        <v>53</v>
      </c>
      <c r="AD7791" t="s">
        <v>53</v>
      </c>
      <c r="AK7791">
        <v>0</v>
      </c>
      <c r="AU7791" s="6">
        <v>42186</v>
      </c>
      <c r="AV7791" s="6">
        <v>42186</v>
      </c>
      <c r="AW7791" t="s">
        <v>54</v>
      </c>
      <c r="AX7791" t="str">
        <f t="shared" si="634"/>
        <v>FOR</v>
      </c>
      <c r="AY7791" t="s">
        <v>55</v>
      </c>
    </row>
    <row r="7792" spans="1:51" hidden="1">
      <c r="A7792">
        <v>104487</v>
      </c>
      <c r="B7792" t="s">
        <v>1319</v>
      </c>
      <c r="C7792" t="str">
        <f t="shared" si="637"/>
        <v>07287630631</v>
      </c>
      <c r="D7792" t="str">
        <f t="shared" si="638"/>
        <v>VSTGTN63B26F839C</v>
      </c>
      <c r="E7792" t="s">
        <v>52</v>
      </c>
      <c r="F7792">
        <v>2014</v>
      </c>
      <c r="G7792">
        <v>81</v>
      </c>
      <c r="H7792" s="1">
        <v>41886</v>
      </c>
      <c r="I7792" s="1">
        <v>41890</v>
      </c>
      <c r="J7792" s="1">
        <v>41890</v>
      </c>
      <c r="K7792" s="1">
        <v>41980</v>
      </c>
      <c r="N7792" s="5"/>
      <c r="O7792">
        <v>640.5</v>
      </c>
      <c r="P7792">
        <v>206</v>
      </c>
      <c r="Q7792" s="2">
        <v>131943</v>
      </c>
      <c r="R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 s="1">
        <v>42382</v>
      </c>
      <c r="AC7792" t="s">
        <v>53</v>
      </c>
      <c r="AD7792" t="s">
        <v>53</v>
      </c>
      <c r="AK7792">
        <v>0</v>
      </c>
      <c r="AU7792" s="6">
        <v>42186</v>
      </c>
      <c r="AV7792" s="6">
        <v>42186</v>
      </c>
      <c r="AW7792" t="s">
        <v>54</v>
      </c>
      <c r="AX7792" t="str">
        <f t="shared" si="634"/>
        <v>FOR</v>
      </c>
      <c r="AY7792" t="s">
        <v>55</v>
      </c>
    </row>
    <row r="7793" spans="1:51" hidden="1">
      <c r="A7793">
        <v>104487</v>
      </c>
      <c r="B7793" t="s">
        <v>1319</v>
      </c>
      <c r="C7793" t="str">
        <f t="shared" si="637"/>
        <v>07287630631</v>
      </c>
      <c r="D7793" t="str">
        <f t="shared" si="638"/>
        <v>VSTGTN63B26F839C</v>
      </c>
      <c r="E7793" t="s">
        <v>52</v>
      </c>
      <c r="F7793">
        <v>2014</v>
      </c>
      <c r="G7793">
        <v>85</v>
      </c>
      <c r="H7793" s="1">
        <v>41907</v>
      </c>
      <c r="I7793" s="1">
        <v>41911</v>
      </c>
      <c r="J7793" s="1">
        <v>41911</v>
      </c>
      <c r="K7793" s="1">
        <v>42001</v>
      </c>
      <c r="N7793" s="5"/>
      <c r="O7793" s="2">
        <v>8226.4</v>
      </c>
      <c r="P7793">
        <v>185</v>
      </c>
      <c r="Q7793" s="2">
        <v>1521884</v>
      </c>
      <c r="R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 s="1">
        <v>42382</v>
      </c>
      <c r="AC7793" t="s">
        <v>53</v>
      </c>
      <c r="AD7793" t="s">
        <v>53</v>
      </c>
      <c r="AK7793">
        <v>0</v>
      </c>
      <c r="AU7793" s="6">
        <v>42186</v>
      </c>
      <c r="AV7793" s="6">
        <v>42186</v>
      </c>
      <c r="AW7793" t="s">
        <v>54</v>
      </c>
      <c r="AX7793" t="str">
        <f t="shared" si="634"/>
        <v>FOR</v>
      </c>
      <c r="AY7793" t="s">
        <v>55</v>
      </c>
    </row>
    <row r="7794" spans="1:51" hidden="1">
      <c r="A7794">
        <v>104487</v>
      </c>
      <c r="B7794" t="s">
        <v>1319</v>
      </c>
      <c r="C7794" t="str">
        <f t="shared" si="637"/>
        <v>07287630631</v>
      </c>
      <c r="D7794" t="str">
        <f t="shared" si="638"/>
        <v>VSTGTN63B26F839C</v>
      </c>
      <c r="E7794" t="s">
        <v>52</v>
      </c>
      <c r="F7794">
        <v>2014</v>
      </c>
      <c r="G7794">
        <v>91</v>
      </c>
      <c r="H7794" s="1">
        <v>41928</v>
      </c>
      <c r="I7794" s="1">
        <v>41932</v>
      </c>
      <c r="J7794" s="1">
        <v>41932</v>
      </c>
      <c r="K7794" s="1">
        <v>41992</v>
      </c>
      <c r="N7794" s="5"/>
      <c r="O7794" s="2">
        <v>2562</v>
      </c>
      <c r="P7794">
        <v>194</v>
      </c>
      <c r="Q7794" s="2">
        <v>497028</v>
      </c>
      <c r="R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 s="1">
        <v>42382</v>
      </c>
      <c r="AC7794" t="s">
        <v>53</v>
      </c>
      <c r="AD7794" t="s">
        <v>53</v>
      </c>
      <c r="AK7794">
        <v>0</v>
      </c>
      <c r="AU7794" s="6">
        <v>42186</v>
      </c>
      <c r="AV7794" s="6">
        <v>42186</v>
      </c>
      <c r="AW7794" t="s">
        <v>54</v>
      </c>
      <c r="AX7794" t="str">
        <f t="shared" si="634"/>
        <v>FOR</v>
      </c>
      <c r="AY7794" t="s">
        <v>55</v>
      </c>
    </row>
    <row r="7795" spans="1:51" hidden="1">
      <c r="A7795">
        <v>104487</v>
      </c>
      <c r="B7795" t="s">
        <v>1319</v>
      </c>
      <c r="C7795" t="str">
        <f t="shared" si="637"/>
        <v>07287630631</v>
      </c>
      <c r="D7795" t="str">
        <f t="shared" si="638"/>
        <v>VSTGTN63B26F839C</v>
      </c>
      <c r="E7795" t="s">
        <v>52</v>
      </c>
      <c r="F7795">
        <v>2014</v>
      </c>
      <c r="G7795">
        <v>102</v>
      </c>
      <c r="H7795" s="1">
        <v>41949</v>
      </c>
      <c r="I7795" s="1">
        <v>41956</v>
      </c>
      <c r="J7795" s="1">
        <v>41956</v>
      </c>
      <c r="K7795" s="1">
        <v>42016</v>
      </c>
      <c r="N7795" s="5"/>
      <c r="O7795" s="2">
        <v>15623.92</v>
      </c>
      <c r="P7795">
        <v>170</v>
      </c>
      <c r="Q7795" s="2">
        <v>2656066.4</v>
      </c>
      <c r="R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 s="1">
        <v>42382</v>
      </c>
      <c r="AC7795" t="s">
        <v>53</v>
      </c>
      <c r="AD7795" t="s">
        <v>53</v>
      </c>
      <c r="AK7795">
        <v>0</v>
      </c>
      <c r="AU7795" s="6">
        <v>42186</v>
      </c>
      <c r="AV7795" s="6">
        <v>42186</v>
      </c>
      <c r="AW7795" t="s">
        <v>54</v>
      </c>
      <c r="AX7795" t="str">
        <f t="shared" si="634"/>
        <v>FOR</v>
      </c>
      <c r="AY7795" t="s">
        <v>55</v>
      </c>
    </row>
    <row r="7796" spans="1:51" hidden="1">
      <c r="A7796">
        <v>104487</v>
      </c>
      <c r="B7796" t="s">
        <v>1319</v>
      </c>
      <c r="C7796" t="str">
        <f t="shared" si="637"/>
        <v>07287630631</v>
      </c>
      <c r="D7796" t="str">
        <f t="shared" si="638"/>
        <v>VSTGTN63B26F839C</v>
      </c>
      <c r="E7796" t="s">
        <v>52</v>
      </c>
      <c r="F7796">
        <v>2014</v>
      </c>
      <c r="G7796">
        <v>109</v>
      </c>
      <c r="H7796" s="1">
        <v>41961</v>
      </c>
      <c r="I7796" s="1">
        <v>41967</v>
      </c>
      <c r="J7796" s="1">
        <v>41967</v>
      </c>
      <c r="K7796" s="1">
        <v>42027</v>
      </c>
      <c r="N7796" s="5"/>
      <c r="O7796" s="2">
        <v>1317.6</v>
      </c>
      <c r="P7796">
        <v>159</v>
      </c>
      <c r="Q7796" s="2">
        <v>209498.4</v>
      </c>
      <c r="R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 s="1">
        <v>42382</v>
      </c>
      <c r="AC7796" t="s">
        <v>53</v>
      </c>
      <c r="AD7796" t="s">
        <v>53</v>
      </c>
      <c r="AK7796">
        <v>0</v>
      </c>
      <c r="AU7796" s="6">
        <v>42186</v>
      </c>
      <c r="AV7796" s="6">
        <v>42186</v>
      </c>
      <c r="AW7796" t="s">
        <v>54</v>
      </c>
      <c r="AX7796" t="str">
        <f t="shared" si="634"/>
        <v>FOR</v>
      </c>
      <c r="AY7796" t="s">
        <v>55</v>
      </c>
    </row>
    <row r="7797" spans="1:51" hidden="1">
      <c r="A7797">
        <v>104487</v>
      </c>
      <c r="B7797" t="s">
        <v>1319</v>
      </c>
      <c r="C7797" t="str">
        <f t="shared" si="637"/>
        <v>07287630631</v>
      </c>
      <c r="D7797" t="str">
        <f t="shared" si="638"/>
        <v>VSTGTN63B26F839C</v>
      </c>
      <c r="E7797" t="s">
        <v>52</v>
      </c>
      <c r="F7797">
        <v>2014</v>
      </c>
      <c r="G7797">
        <v>110</v>
      </c>
      <c r="H7797" s="1">
        <v>41961</v>
      </c>
      <c r="I7797" s="1">
        <v>42075</v>
      </c>
      <c r="J7797" s="1">
        <v>42075</v>
      </c>
      <c r="K7797" s="1">
        <v>42135</v>
      </c>
      <c r="N7797" s="5"/>
      <c r="O7797">
        <v>463.32</v>
      </c>
      <c r="P7797">
        <v>51</v>
      </c>
      <c r="Q7797" s="2">
        <v>23629.32</v>
      </c>
      <c r="R7797">
        <v>0</v>
      </c>
      <c r="V7797">
        <v>0</v>
      </c>
      <c r="W7797">
        <v>0</v>
      </c>
      <c r="X7797">
        <v>0</v>
      </c>
      <c r="Y7797">
        <v>0</v>
      </c>
      <c r="Z7797">
        <v>463.32</v>
      </c>
      <c r="AA7797">
        <v>0</v>
      </c>
      <c r="AB7797" s="1">
        <v>42382</v>
      </c>
      <c r="AC7797" t="s">
        <v>53</v>
      </c>
      <c r="AD7797" t="s">
        <v>53</v>
      </c>
      <c r="AK7797">
        <v>0</v>
      </c>
      <c r="AU7797" s="6">
        <v>42186</v>
      </c>
      <c r="AV7797" s="6">
        <v>42186</v>
      </c>
      <c r="AW7797" t="s">
        <v>54</v>
      </c>
      <c r="AX7797" t="str">
        <f t="shared" si="634"/>
        <v>FOR</v>
      </c>
      <c r="AY7797" t="s">
        <v>55</v>
      </c>
    </row>
    <row r="7798" spans="1:51" hidden="1">
      <c r="A7798">
        <v>104487</v>
      </c>
      <c r="B7798" t="s">
        <v>1319</v>
      </c>
      <c r="C7798" t="str">
        <f t="shared" si="637"/>
        <v>07287630631</v>
      </c>
      <c r="D7798" t="str">
        <f t="shared" si="638"/>
        <v>VSTGTN63B26F839C</v>
      </c>
      <c r="E7798" t="s">
        <v>52</v>
      </c>
      <c r="F7798">
        <v>2014</v>
      </c>
      <c r="G7798">
        <v>120</v>
      </c>
      <c r="H7798" s="1">
        <v>41977</v>
      </c>
      <c r="I7798" s="1">
        <v>41978</v>
      </c>
      <c r="J7798" s="1">
        <v>41978</v>
      </c>
      <c r="K7798" s="1">
        <v>42038</v>
      </c>
      <c r="N7798" s="5"/>
      <c r="O7798" s="2">
        <v>9396.4</v>
      </c>
      <c r="P7798">
        <v>148</v>
      </c>
      <c r="Q7798" s="2">
        <v>1390667.2</v>
      </c>
      <c r="R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 s="1">
        <v>42382</v>
      </c>
      <c r="AC7798" t="s">
        <v>53</v>
      </c>
      <c r="AD7798" t="s">
        <v>53</v>
      </c>
      <c r="AK7798">
        <v>0</v>
      </c>
      <c r="AU7798" s="6">
        <v>42186</v>
      </c>
      <c r="AV7798" s="6">
        <v>42186</v>
      </c>
      <c r="AW7798" t="s">
        <v>54</v>
      </c>
      <c r="AX7798" t="str">
        <f t="shared" si="634"/>
        <v>FOR</v>
      </c>
      <c r="AY7798" t="s">
        <v>55</v>
      </c>
    </row>
    <row r="7799" spans="1:51" hidden="1">
      <c r="A7799">
        <v>104487</v>
      </c>
      <c r="B7799" t="s">
        <v>1319</v>
      </c>
      <c r="C7799" t="str">
        <f t="shared" si="637"/>
        <v>07287630631</v>
      </c>
      <c r="D7799" t="str">
        <f t="shared" si="638"/>
        <v>VSTGTN63B26F839C</v>
      </c>
      <c r="E7799" t="s">
        <v>52</v>
      </c>
      <c r="F7799">
        <v>2015</v>
      </c>
      <c r="G7799">
        <v>18</v>
      </c>
      <c r="H7799" s="1">
        <v>42053</v>
      </c>
      <c r="I7799" s="1">
        <v>42054</v>
      </c>
      <c r="J7799" s="1">
        <v>42054</v>
      </c>
      <c r="K7799" s="1">
        <v>42114</v>
      </c>
      <c r="N7799" s="5"/>
      <c r="O7799" s="2">
        <v>2100</v>
      </c>
      <c r="P7799">
        <v>161</v>
      </c>
      <c r="Q7799" s="2">
        <v>338100</v>
      </c>
      <c r="R7799">
        <v>0</v>
      </c>
      <c r="V7799">
        <v>0</v>
      </c>
      <c r="W7799">
        <v>0</v>
      </c>
      <c r="X7799">
        <v>0</v>
      </c>
      <c r="Y7799" s="2">
        <v>2562</v>
      </c>
      <c r="Z7799" s="2">
        <v>2562</v>
      </c>
      <c r="AA7799" s="2">
        <v>2562</v>
      </c>
      <c r="AB7799" s="1">
        <v>42382</v>
      </c>
      <c r="AC7799" t="s">
        <v>53</v>
      </c>
      <c r="AD7799" t="s">
        <v>53</v>
      </c>
      <c r="AK7799">
        <v>0</v>
      </c>
      <c r="AU7799" s="6">
        <v>42275</v>
      </c>
      <c r="AV7799" s="6">
        <v>42275</v>
      </c>
      <c r="AW7799" t="s">
        <v>54</v>
      </c>
      <c r="AX7799" t="str">
        <f t="shared" si="634"/>
        <v>FOR</v>
      </c>
      <c r="AY7799" t="s">
        <v>55</v>
      </c>
    </row>
    <row r="7800" spans="1:51" hidden="1">
      <c r="A7800">
        <v>104487</v>
      </c>
      <c r="B7800" t="s">
        <v>1319</v>
      </c>
      <c r="C7800" t="str">
        <f t="shared" si="637"/>
        <v>07287630631</v>
      </c>
      <c r="D7800" t="str">
        <f t="shared" si="638"/>
        <v>VSTGTN63B26F839C</v>
      </c>
      <c r="E7800" t="s">
        <v>52</v>
      </c>
      <c r="F7800">
        <v>2015</v>
      </c>
      <c r="G7800">
        <v>21</v>
      </c>
      <c r="H7800" s="1">
        <v>42062</v>
      </c>
      <c r="I7800" s="1">
        <v>42067</v>
      </c>
      <c r="J7800" s="1">
        <v>42067</v>
      </c>
      <c r="K7800" s="1">
        <v>42127</v>
      </c>
      <c r="N7800" s="5"/>
      <c r="O7800">
        <v>540</v>
      </c>
      <c r="P7800">
        <v>148</v>
      </c>
      <c r="Q7800" s="2">
        <v>79920</v>
      </c>
      <c r="R7800">
        <v>0</v>
      </c>
      <c r="V7800">
        <v>0</v>
      </c>
      <c r="W7800">
        <v>0</v>
      </c>
      <c r="X7800">
        <v>0</v>
      </c>
      <c r="Y7800">
        <v>658.8</v>
      </c>
      <c r="Z7800">
        <v>658.8</v>
      </c>
      <c r="AA7800">
        <v>658.8</v>
      </c>
      <c r="AB7800" s="1">
        <v>42382</v>
      </c>
      <c r="AC7800" t="s">
        <v>53</v>
      </c>
      <c r="AD7800" t="s">
        <v>53</v>
      </c>
      <c r="AK7800">
        <v>0</v>
      </c>
      <c r="AU7800" s="6">
        <v>42275</v>
      </c>
      <c r="AV7800" s="6">
        <v>42275</v>
      </c>
      <c r="AW7800" t="s">
        <v>54</v>
      </c>
      <c r="AX7800" t="str">
        <f t="shared" si="634"/>
        <v>FOR</v>
      </c>
      <c r="AY7800" t="s">
        <v>55</v>
      </c>
    </row>
    <row r="7801" spans="1:51">
      <c r="A7801">
        <v>104487</v>
      </c>
      <c r="B7801" t="s">
        <v>1319</v>
      </c>
      <c r="C7801" t="str">
        <f t="shared" si="637"/>
        <v>07287630631</v>
      </c>
      <c r="D7801" t="str">
        <f t="shared" si="638"/>
        <v>VSTGTN63B26F839C</v>
      </c>
      <c r="E7801" t="s">
        <v>52</v>
      </c>
      <c r="F7801">
        <v>2015</v>
      </c>
      <c r="G7801">
        <v>22</v>
      </c>
      <c r="H7801" s="1">
        <v>42069</v>
      </c>
      <c r="I7801" s="1">
        <v>42086</v>
      </c>
      <c r="J7801" s="1">
        <v>42086</v>
      </c>
      <c r="K7801" s="1">
        <v>42146</v>
      </c>
      <c r="L7801" s="7">
        <v>425</v>
      </c>
      <c r="M7801" s="5">
        <v>210</v>
      </c>
      <c r="N7801" s="7">
        <v>89250</v>
      </c>
      <c r="O7801">
        <v>425</v>
      </c>
      <c r="P7801">
        <v>210</v>
      </c>
      <c r="Q7801" s="2">
        <v>89250</v>
      </c>
      <c r="R7801">
        <v>17</v>
      </c>
      <c r="V7801">
        <v>0</v>
      </c>
      <c r="W7801">
        <v>0</v>
      </c>
      <c r="X7801">
        <v>0</v>
      </c>
      <c r="Y7801">
        <v>442</v>
      </c>
      <c r="Z7801">
        <v>442</v>
      </c>
      <c r="AA7801">
        <v>442</v>
      </c>
      <c r="AB7801" s="1">
        <v>42382</v>
      </c>
      <c r="AC7801" t="s">
        <v>53</v>
      </c>
      <c r="AD7801" t="s">
        <v>53</v>
      </c>
      <c r="AK7801">
        <v>17</v>
      </c>
      <c r="AU7801" s="6">
        <v>42356</v>
      </c>
      <c r="AV7801" s="6">
        <v>42356</v>
      </c>
      <c r="AW7801" t="s">
        <v>54</v>
      </c>
      <c r="AX7801" t="str">
        <f t="shared" si="634"/>
        <v>FOR</v>
      </c>
      <c r="AY7801" t="s">
        <v>55</v>
      </c>
    </row>
    <row r="7802" spans="1:51">
      <c r="A7802">
        <v>104487</v>
      </c>
      <c r="B7802" t="s">
        <v>1319</v>
      </c>
      <c r="C7802" t="str">
        <f t="shared" si="637"/>
        <v>07287630631</v>
      </c>
      <c r="D7802" t="str">
        <f t="shared" si="638"/>
        <v>VSTGTN63B26F839C</v>
      </c>
      <c r="E7802" t="s">
        <v>52</v>
      </c>
      <c r="F7802">
        <v>2015</v>
      </c>
      <c r="G7802">
        <v>26</v>
      </c>
      <c r="H7802" s="1">
        <v>42076</v>
      </c>
      <c r="I7802" s="1">
        <v>42088</v>
      </c>
      <c r="J7802" s="1">
        <v>42088</v>
      </c>
      <c r="K7802" s="1">
        <v>42148</v>
      </c>
      <c r="L7802" s="7">
        <v>12145</v>
      </c>
      <c r="M7802" s="5">
        <v>208</v>
      </c>
      <c r="N7802" s="7">
        <v>2526160</v>
      </c>
      <c r="O7802" s="2">
        <v>12145</v>
      </c>
      <c r="P7802">
        <v>208</v>
      </c>
      <c r="Q7802" s="2">
        <v>2526160</v>
      </c>
      <c r="R7802" s="2">
        <v>2671.9</v>
      </c>
      <c r="V7802">
        <v>0</v>
      </c>
      <c r="W7802">
        <v>0</v>
      </c>
      <c r="X7802">
        <v>0</v>
      </c>
      <c r="Y7802" s="2">
        <v>14816.9</v>
      </c>
      <c r="Z7802" s="2">
        <v>14816.9</v>
      </c>
      <c r="AA7802" s="2">
        <v>14816.9</v>
      </c>
      <c r="AB7802" s="1">
        <v>42382</v>
      </c>
      <c r="AC7802" t="s">
        <v>53</v>
      </c>
      <c r="AD7802" t="s">
        <v>53</v>
      </c>
      <c r="AK7802" s="2">
        <v>2671.9</v>
      </c>
      <c r="AU7802" s="6">
        <v>42356</v>
      </c>
      <c r="AV7802" s="6">
        <v>42356</v>
      </c>
      <c r="AW7802" t="s">
        <v>54</v>
      </c>
      <c r="AX7802" t="str">
        <f t="shared" si="634"/>
        <v>FOR</v>
      </c>
      <c r="AY7802" t="s">
        <v>55</v>
      </c>
    </row>
    <row r="7803" spans="1:51">
      <c r="A7803">
        <v>104487</v>
      </c>
      <c r="B7803" t="s">
        <v>1319</v>
      </c>
      <c r="C7803" t="str">
        <f t="shared" si="637"/>
        <v>07287630631</v>
      </c>
      <c r="D7803" t="str">
        <f t="shared" si="638"/>
        <v>VSTGTN63B26F839C</v>
      </c>
      <c r="E7803" t="s">
        <v>52</v>
      </c>
      <c r="F7803">
        <v>2015</v>
      </c>
      <c r="G7803">
        <v>29</v>
      </c>
      <c r="H7803" s="1">
        <v>42083</v>
      </c>
      <c r="I7803" s="1">
        <v>42086</v>
      </c>
      <c r="J7803" s="1">
        <v>42086</v>
      </c>
      <c r="K7803" s="1">
        <v>42146</v>
      </c>
      <c r="L7803" s="7">
        <v>11076</v>
      </c>
      <c r="M7803" s="5">
        <v>210</v>
      </c>
      <c r="N7803" s="7">
        <v>2325960</v>
      </c>
      <c r="O7803" s="2">
        <v>11076</v>
      </c>
      <c r="P7803">
        <v>210</v>
      </c>
      <c r="Q7803" s="2">
        <v>2325960</v>
      </c>
      <c r="R7803">
        <v>443.04</v>
      </c>
      <c r="V7803">
        <v>0</v>
      </c>
      <c r="W7803">
        <v>0</v>
      </c>
      <c r="X7803">
        <v>0</v>
      </c>
      <c r="Y7803" s="2">
        <v>11519.04</v>
      </c>
      <c r="Z7803" s="2">
        <v>11519.04</v>
      </c>
      <c r="AA7803" s="2">
        <v>11519.04</v>
      </c>
      <c r="AB7803" s="1">
        <v>42382</v>
      </c>
      <c r="AC7803" t="s">
        <v>53</v>
      </c>
      <c r="AD7803" t="s">
        <v>53</v>
      </c>
      <c r="AK7803">
        <v>443.04</v>
      </c>
      <c r="AU7803" s="6">
        <v>42356</v>
      </c>
      <c r="AV7803" s="6">
        <v>42356</v>
      </c>
      <c r="AW7803" t="s">
        <v>54</v>
      </c>
      <c r="AX7803" t="str">
        <f t="shared" si="634"/>
        <v>FOR</v>
      </c>
      <c r="AY7803" t="s">
        <v>55</v>
      </c>
    </row>
    <row r="7804" spans="1:51">
      <c r="A7804">
        <v>104487</v>
      </c>
      <c r="B7804" t="s">
        <v>1319</v>
      </c>
      <c r="C7804" t="str">
        <f t="shared" si="637"/>
        <v>07287630631</v>
      </c>
      <c r="D7804" t="str">
        <f t="shared" si="638"/>
        <v>VSTGTN63B26F839C</v>
      </c>
      <c r="E7804" t="s">
        <v>52</v>
      </c>
      <c r="F7804">
        <v>2015</v>
      </c>
      <c r="G7804">
        <v>36</v>
      </c>
      <c r="H7804" s="1">
        <v>42116</v>
      </c>
      <c r="I7804" s="1">
        <v>42132</v>
      </c>
      <c r="J7804" s="1">
        <v>42131</v>
      </c>
      <c r="K7804" s="1">
        <v>42191</v>
      </c>
      <c r="L7804" s="7">
        <v>540</v>
      </c>
      <c r="M7804" s="5">
        <v>165</v>
      </c>
      <c r="N7804" s="7">
        <v>89100</v>
      </c>
      <c r="O7804">
        <v>540</v>
      </c>
      <c r="P7804">
        <v>165</v>
      </c>
      <c r="Q7804" s="2">
        <v>89100</v>
      </c>
      <c r="R7804">
        <v>118.8</v>
      </c>
      <c r="V7804">
        <v>0</v>
      </c>
      <c r="W7804">
        <v>0</v>
      </c>
      <c r="X7804">
        <v>0</v>
      </c>
      <c r="Y7804">
        <v>658.8</v>
      </c>
      <c r="Z7804">
        <v>658.8</v>
      </c>
      <c r="AA7804">
        <v>658.8</v>
      </c>
      <c r="AB7804" s="1">
        <v>42382</v>
      </c>
      <c r="AC7804" t="s">
        <v>53</v>
      </c>
      <c r="AD7804" t="s">
        <v>53</v>
      </c>
      <c r="AJ7804">
        <v>118.8</v>
      </c>
      <c r="AK7804">
        <v>0</v>
      </c>
      <c r="AU7804" s="6">
        <v>42356</v>
      </c>
      <c r="AV7804" s="6">
        <v>42356</v>
      </c>
      <c r="AW7804" t="s">
        <v>54</v>
      </c>
      <c r="AX7804" t="str">
        <f t="shared" si="634"/>
        <v>FOR</v>
      </c>
      <c r="AY7804" t="s">
        <v>55</v>
      </c>
    </row>
    <row r="7805" spans="1:51">
      <c r="A7805">
        <v>104487</v>
      </c>
      <c r="B7805" t="s">
        <v>1319</v>
      </c>
      <c r="C7805" t="str">
        <f t="shared" si="637"/>
        <v>07287630631</v>
      </c>
      <c r="D7805" t="str">
        <f t="shared" si="638"/>
        <v>VSTGTN63B26F839C</v>
      </c>
      <c r="E7805" t="s">
        <v>52</v>
      </c>
      <c r="F7805">
        <v>2015</v>
      </c>
      <c r="G7805">
        <v>41</v>
      </c>
      <c r="H7805" s="1">
        <v>42118</v>
      </c>
      <c r="I7805" s="1">
        <v>42132</v>
      </c>
      <c r="J7805" s="1">
        <v>42131</v>
      </c>
      <c r="K7805" s="1">
        <v>42191</v>
      </c>
      <c r="L7805" s="7">
        <v>425</v>
      </c>
      <c r="M7805" s="5">
        <v>165</v>
      </c>
      <c r="N7805" s="7">
        <v>70125</v>
      </c>
      <c r="O7805">
        <v>425</v>
      </c>
      <c r="P7805">
        <v>165</v>
      </c>
      <c r="Q7805" s="2">
        <v>70125</v>
      </c>
      <c r="R7805">
        <v>17</v>
      </c>
      <c r="V7805">
        <v>0</v>
      </c>
      <c r="W7805">
        <v>0</v>
      </c>
      <c r="X7805">
        <v>0</v>
      </c>
      <c r="Y7805">
        <v>442</v>
      </c>
      <c r="Z7805">
        <v>442</v>
      </c>
      <c r="AA7805">
        <v>442</v>
      </c>
      <c r="AB7805" s="1">
        <v>42382</v>
      </c>
      <c r="AC7805" t="s">
        <v>53</v>
      </c>
      <c r="AD7805" t="s">
        <v>53</v>
      </c>
      <c r="AJ7805">
        <v>17</v>
      </c>
      <c r="AK7805">
        <v>0</v>
      </c>
      <c r="AU7805" s="6">
        <v>42356</v>
      </c>
      <c r="AV7805" s="6">
        <v>42356</v>
      </c>
      <c r="AW7805" t="s">
        <v>54</v>
      </c>
      <c r="AX7805" t="str">
        <f t="shared" si="634"/>
        <v>FOR</v>
      </c>
      <c r="AY7805" t="s">
        <v>55</v>
      </c>
    </row>
    <row r="7806" spans="1:51">
      <c r="A7806">
        <v>104487</v>
      </c>
      <c r="B7806" t="s">
        <v>1319</v>
      </c>
      <c r="C7806" t="str">
        <f t="shared" si="637"/>
        <v>07287630631</v>
      </c>
      <c r="D7806" t="str">
        <f t="shared" si="638"/>
        <v>VSTGTN63B26F839C</v>
      </c>
      <c r="E7806" t="s">
        <v>52</v>
      </c>
      <c r="F7806">
        <v>2015</v>
      </c>
      <c r="G7806" t="s">
        <v>1320</v>
      </c>
      <c r="H7806" s="1">
        <v>42215</v>
      </c>
      <c r="I7806" s="1">
        <v>42229</v>
      </c>
      <c r="J7806" s="1">
        <v>42226</v>
      </c>
      <c r="K7806" s="1">
        <v>42286</v>
      </c>
      <c r="L7806" s="7">
        <v>1080</v>
      </c>
      <c r="M7806" s="5">
        <v>70</v>
      </c>
      <c r="N7806" s="7">
        <v>75600</v>
      </c>
      <c r="O7806" s="2">
        <v>1080</v>
      </c>
      <c r="P7806">
        <v>70</v>
      </c>
      <c r="Q7806" s="2">
        <v>75600</v>
      </c>
      <c r="R7806">
        <v>237.6</v>
      </c>
      <c r="V7806">
        <v>0</v>
      </c>
      <c r="W7806">
        <v>0</v>
      </c>
      <c r="X7806">
        <v>0</v>
      </c>
      <c r="Y7806" s="2">
        <v>1317.6</v>
      </c>
      <c r="Z7806" s="2">
        <v>1317.6</v>
      </c>
      <c r="AA7806" s="2">
        <v>1317.6</v>
      </c>
      <c r="AB7806" s="1">
        <v>42382</v>
      </c>
      <c r="AC7806" t="s">
        <v>53</v>
      </c>
      <c r="AD7806" t="s">
        <v>53</v>
      </c>
      <c r="AG7806">
        <v>237.6</v>
      </c>
      <c r="AK7806">
        <v>0</v>
      </c>
      <c r="AU7806" s="6">
        <v>42356</v>
      </c>
      <c r="AV7806" s="6">
        <v>42356</v>
      </c>
      <c r="AW7806" t="s">
        <v>54</v>
      </c>
      <c r="AX7806" t="str">
        <f t="shared" si="634"/>
        <v>FOR</v>
      </c>
      <c r="AY7806" t="s">
        <v>55</v>
      </c>
    </row>
    <row r="7807" spans="1:51">
      <c r="A7807">
        <v>104487</v>
      </c>
      <c r="B7807" t="s">
        <v>1319</v>
      </c>
      <c r="C7807" t="str">
        <f t="shared" si="637"/>
        <v>07287630631</v>
      </c>
      <c r="D7807" t="str">
        <f t="shared" si="638"/>
        <v>VSTGTN63B26F839C</v>
      </c>
      <c r="E7807" t="s">
        <v>52</v>
      </c>
      <c r="F7807">
        <v>2015</v>
      </c>
      <c r="G7807" t="s">
        <v>1321</v>
      </c>
      <c r="H7807" s="1">
        <v>42215</v>
      </c>
      <c r="I7807" s="1">
        <v>42229</v>
      </c>
      <c r="J7807" s="1">
        <v>42226</v>
      </c>
      <c r="K7807" s="1">
        <v>42286</v>
      </c>
      <c r="L7807" s="7">
        <v>850</v>
      </c>
      <c r="M7807" s="5">
        <v>70</v>
      </c>
      <c r="N7807" s="7">
        <v>59500</v>
      </c>
      <c r="O7807">
        <v>850</v>
      </c>
      <c r="P7807">
        <v>70</v>
      </c>
      <c r="Q7807" s="2">
        <v>59500</v>
      </c>
      <c r="R7807">
        <v>34</v>
      </c>
      <c r="V7807">
        <v>0</v>
      </c>
      <c r="W7807">
        <v>0</v>
      </c>
      <c r="X7807">
        <v>0</v>
      </c>
      <c r="Y7807">
        <v>884</v>
      </c>
      <c r="Z7807">
        <v>884</v>
      </c>
      <c r="AA7807">
        <v>884</v>
      </c>
      <c r="AB7807" s="1">
        <v>42382</v>
      </c>
      <c r="AC7807" t="s">
        <v>53</v>
      </c>
      <c r="AD7807" t="s">
        <v>53</v>
      </c>
      <c r="AG7807">
        <v>34</v>
      </c>
      <c r="AK7807">
        <v>0</v>
      </c>
      <c r="AU7807" s="6">
        <v>42356</v>
      </c>
      <c r="AV7807" s="6">
        <v>42356</v>
      </c>
      <c r="AW7807" t="s">
        <v>54</v>
      </c>
      <c r="AX7807" t="str">
        <f t="shared" si="634"/>
        <v>FOR</v>
      </c>
      <c r="AY7807" t="s">
        <v>55</v>
      </c>
    </row>
    <row r="7808" spans="1:51">
      <c r="A7808">
        <v>104487</v>
      </c>
      <c r="B7808" t="s">
        <v>1319</v>
      </c>
      <c r="C7808" t="str">
        <f t="shared" si="637"/>
        <v>07287630631</v>
      </c>
      <c r="D7808" t="str">
        <f t="shared" si="638"/>
        <v>VSTGTN63B26F839C</v>
      </c>
      <c r="E7808" t="s">
        <v>52</v>
      </c>
      <c r="F7808">
        <v>2015</v>
      </c>
      <c r="G7808" t="s">
        <v>1322</v>
      </c>
      <c r="H7808" s="1">
        <v>42215</v>
      </c>
      <c r="I7808" s="1">
        <v>42229</v>
      </c>
      <c r="J7808" s="1">
        <v>42226</v>
      </c>
      <c r="K7808" s="1">
        <v>42286</v>
      </c>
      <c r="L7808" s="7">
        <v>540</v>
      </c>
      <c r="M7808" s="5">
        <v>70</v>
      </c>
      <c r="N7808" s="7">
        <v>37800</v>
      </c>
      <c r="O7808">
        <v>540</v>
      </c>
      <c r="P7808">
        <v>70</v>
      </c>
      <c r="Q7808" s="2">
        <v>37800</v>
      </c>
      <c r="R7808">
        <v>118.8</v>
      </c>
      <c r="V7808">
        <v>0</v>
      </c>
      <c r="W7808">
        <v>0</v>
      </c>
      <c r="X7808">
        <v>0</v>
      </c>
      <c r="Y7808">
        <v>658.8</v>
      </c>
      <c r="Z7808">
        <v>658.8</v>
      </c>
      <c r="AA7808">
        <v>658.8</v>
      </c>
      <c r="AB7808" s="1">
        <v>42382</v>
      </c>
      <c r="AC7808" t="s">
        <v>53</v>
      </c>
      <c r="AD7808" t="s">
        <v>53</v>
      </c>
      <c r="AG7808">
        <v>118.8</v>
      </c>
      <c r="AK7808">
        <v>0</v>
      </c>
      <c r="AU7808" s="6">
        <v>42356</v>
      </c>
      <c r="AV7808" s="6">
        <v>42356</v>
      </c>
      <c r="AW7808" t="s">
        <v>54</v>
      </c>
      <c r="AX7808" t="str">
        <f t="shared" si="634"/>
        <v>FOR</v>
      </c>
      <c r="AY7808" t="s">
        <v>55</v>
      </c>
    </row>
    <row r="7809" spans="1:51">
      <c r="A7809">
        <v>104487</v>
      </c>
      <c r="B7809" t="s">
        <v>1319</v>
      </c>
      <c r="C7809" t="str">
        <f t="shared" si="637"/>
        <v>07287630631</v>
      </c>
      <c r="D7809" t="str">
        <f t="shared" si="638"/>
        <v>VSTGTN63B26F839C</v>
      </c>
      <c r="E7809" t="s">
        <v>52</v>
      </c>
      <c r="F7809">
        <v>2015</v>
      </c>
      <c r="G7809" t="s">
        <v>1323</v>
      </c>
      <c r="H7809" s="1">
        <v>42215</v>
      </c>
      <c r="I7809" s="1">
        <v>42229</v>
      </c>
      <c r="J7809" s="1">
        <v>42226</v>
      </c>
      <c r="K7809" s="1">
        <v>42286</v>
      </c>
      <c r="L7809" s="7">
        <v>2100</v>
      </c>
      <c r="M7809" s="5">
        <v>70</v>
      </c>
      <c r="N7809" s="7">
        <v>147000</v>
      </c>
      <c r="O7809" s="2">
        <v>2100</v>
      </c>
      <c r="P7809">
        <v>70</v>
      </c>
      <c r="Q7809" s="2">
        <v>147000</v>
      </c>
      <c r="R7809">
        <v>462</v>
      </c>
      <c r="V7809">
        <v>0</v>
      </c>
      <c r="W7809">
        <v>0</v>
      </c>
      <c r="X7809">
        <v>0</v>
      </c>
      <c r="Y7809" s="2">
        <v>2562</v>
      </c>
      <c r="Z7809" s="2">
        <v>2562</v>
      </c>
      <c r="AA7809" s="2">
        <v>2562</v>
      </c>
      <c r="AB7809" s="1">
        <v>42382</v>
      </c>
      <c r="AC7809" t="s">
        <v>53</v>
      </c>
      <c r="AD7809" t="s">
        <v>53</v>
      </c>
      <c r="AG7809">
        <v>462</v>
      </c>
      <c r="AK7809">
        <v>0</v>
      </c>
      <c r="AU7809" s="6">
        <v>42356</v>
      </c>
      <c r="AV7809" s="6">
        <v>42356</v>
      </c>
      <c r="AW7809" t="s">
        <v>54</v>
      </c>
      <c r="AX7809" t="str">
        <f t="shared" si="634"/>
        <v>FOR</v>
      </c>
      <c r="AY7809" t="s">
        <v>55</v>
      </c>
    </row>
    <row r="7810" spans="1:51">
      <c r="A7810">
        <v>104487</v>
      </c>
      <c r="B7810" t="s">
        <v>1319</v>
      </c>
      <c r="C7810" t="str">
        <f t="shared" si="637"/>
        <v>07287630631</v>
      </c>
      <c r="D7810" t="str">
        <f t="shared" si="638"/>
        <v>VSTGTN63B26F839C</v>
      </c>
      <c r="E7810" t="s">
        <v>52</v>
      </c>
      <c r="F7810">
        <v>2015</v>
      </c>
      <c r="G7810" t="s">
        <v>1324</v>
      </c>
      <c r="H7810" s="1">
        <v>42216</v>
      </c>
      <c r="I7810" s="1">
        <v>42229</v>
      </c>
      <c r="J7810" s="1">
        <v>42226</v>
      </c>
      <c r="K7810" s="1">
        <v>42286</v>
      </c>
      <c r="L7810" s="7">
        <v>594</v>
      </c>
      <c r="M7810" s="5">
        <v>70</v>
      </c>
      <c r="N7810" s="7">
        <v>41580</v>
      </c>
      <c r="O7810">
        <v>594</v>
      </c>
      <c r="P7810">
        <v>70</v>
      </c>
      <c r="Q7810" s="2">
        <v>41580</v>
      </c>
      <c r="R7810">
        <v>23.76</v>
      </c>
      <c r="V7810">
        <v>0</v>
      </c>
      <c r="W7810">
        <v>0</v>
      </c>
      <c r="X7810">
        <v>0</v>
      </c>
      <c r="Y7810">
        <v>617.76</v>
      </c>
      <c r="Z7810">
        <v>617.76</v>
      </c>
      <c r="AA7810">
        <v>617.76</v>
      </c>
      <c r="AB7810" s="1">
        <v>42382</v>
      </c>
      <c r="AC7810" t="s">
        <v>53</v>
      </c>
      <c r="AD7810" t="s">
        <v>53</v>
      </c>
      <c r="AG7810">
        <v>23.76</v>
      </c>
      <c r="AK7810">
        <v>0</v>
      </c>
      <c r="AU7810" s="6">
        <v>42356</v>
      </c>
      <c r="AV7810" s="6">
        <v>42356</v>
      </c>
      <c r="AW7810" t="s">
        <v>54</v>
      </c>
      <c r="AX7810" t="str">
        <f t="shared" si="634"/>
        <v>FOR</v>
      </c>
      <c r="AY7810" t="s">
        <v>55</v>
      </c>
    </row>
    <row r="7811" spans="1:51">
      <c r="A7811">
        <v>104487</v>
      </c>
      <c r="B7811" t="s">
        <v>1319</v>
      </c>
      <c r="C7811" t="str">
        <f t="shared" si="637"/>
        <v>07287630631</v>
      </c>
      <c r="D7811" t="str">
        <f t="shared" si="638"/>
        <v>VSTGTN63B26F839C</v>
      </c>
      <c r="E7811" t="s">
        <v>52</v>
      </c>
      <c r="F7811">
        <v>2015</v>
      </c>
      <c r="G7811" t="s">
        <v>1325</v>
      </c>
      <c r="H7811" s="1">
        <v>42216</v>
      </c>
      <c r="I7811" s="1">
        <v>42229</v>
      </c>
      <c r="J7811" s="1">
        <v>42226</v>
      </c>
      <c r="K7811" s="1">
        <v>42286</v>
      </c>
      <c r="L7811" s="7">
        <v>7539</v>
      </c>
      <c r="M7811" s="5">
        <v>70</v>
      </c>
      <c r="N7811" s="7">
        <v>527730</v>
      </c>
      <c r="O7811" s="2">
        <v>7539</v>
      </c>
      <c r="P7811">
        <v>70</v>
      </c>
      <c r="Q7811" s="2">
        <v>527730</v>
      </c>
      <c r="R7811">
        <v>301.56</v>
      </c>
      <c r="V7811">
        <v>0</v>
      </c>
      <c r="W7811">
        <v>0</v>
      </c>
      <c r="X7811">
        <v>0</v>
      </c>
      <c r="Y7811" s="2">
        <v>7840.56</v>
      </c>
      <c r="Z7811" s="2">
        <v>7840.56</v>
      </c>
      <c r="AA7811" s="2">
        <v>7840.56</v>
      </c>
      <c r="AB7811" s="1">
        <v>42382</v>
      </c>
      <c r="AC7811" t="s">
        <v>53</v>
      </c>
      <c r="AD7811" t="s">
        <v>53</v>
      </c>
      <c r="AG7811">
        <v>301.56</v>
      </c>
      <c r="AK7811">
        <v>0</v>
      </c>
      <c r="AU7811" s="6">
        <v>42356</v>
      </c>
      <c r="AV7811" s="6">
        <v>42356</v>
      </c>
      <c r="AW7811" t="s">
        <v>54</v>
      </c>
      <c r="AX7811" t="str">
        <f t="shared" ref="AX7811:AX7874" si="639">"FOR"</f>
        <v>FOR</v>
      </c>
      <c r="AY7811" t="s">
        <v>55</v>
      </c>
    </row>
    <row r="7812" spans="1:51" hidden="1">
      <c r="A7812">
        <v>104488</v>
      </c>
      <c r="B7812" t="s">
        <v>1326</v>
      </c>
      <c r="C7812" t="str">
        <f>"10777700153"</f>
        <v>10777700153</v>
      </c>
      <c r="D7812" t="str">
        <f>"10777700153"</f>
        <v>10777700153</v>
      </c>
      <c r="E7812" t="s">
        <v>52</v>
      </c>
      <c r="F7812">
        <v>2013</v>
      </c>
      <c r="G7812" t="s">
        <v>1327</v>
      </c>
      <c r="H7812" s="1">
        <v>41432</v>
      </c>
      <c r="I7812" s="1">
        <v>41449</v>
      </c>
      <c r="J7812" s="1">
        <v>41449</v>
      </c>
      <c r="K7812" s="1">
        <v>41539</v>
      </c>
      <c r="N7812" s="5"/>
      <c r="O7812">
        <v>90.17</v>
      </c>
      <c r="P7812">
        <v>584</v>
      </c>
      <c r="Q7812" s="2">
        <v>52659.28</v>
      </c>
      <c r="R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 s="1">
        <v>42382</v>
      </c>
      <c r="AC7812" t="s">
        <v>53</v>
      </c>
      <c r="AD7812" t="s">
        <v>53</v>
      </c>
      <c r="AK7812">
        <v>0</v>
      </c>
      <c r="AU7812" s="6">
        <v>42123</v>
      </c>
      <c r="AV7812" s="6">
        <v>42123</v>
      </c>
      <c r="AW7812" t="s">
        <v>54</v>
      </c>
      <c r="AX7812" t="str">
        <f t="shared" si="639"/>
        <v>FOR</v>
      </c>
      <c r="AY7812" t="s">
        <v>55</v>
      </c>
    </row>
    <row r="7813" spans="1:51" hidden="1">
      <c r="A7813">
        <v>104488</v>
      </c>
      <c r="B7813" t="s">
        <v>1326</v>
      </c>
      <c r="C7813" t="str">
        <f>"10777700153"</f>
        <v>10777700153</v>
      </c>
      <c r="D7813" t="str">
        <f>"10777700153"</f>
        <v>10777700153</v>
      </c>
      <c r="E7813" t="s">
        <v>52</v>
      </c>
      <c r="F7813">
        <v>2013</v>
      </c>
      <c r="G7813" t="s">
        <v>1328</v>
      </c>
      <c r="H7813" s="1">
        <v>41432</v>
      </c>
      <c r="I7813" s="1">
        <v>41449</v>
      </c>
      <c r="J7813" s="1">
        <v>41449</v>
      </c>
      <c r="K7813" s="1">
        <v>41539</v>
      </c>
      <c r="N7813" s="5"/>
      <c r="O7813">
        <v>90.17</v>
      </c>
      <c r="P7813">
        <v>584</v>
      </c>
      <c r="Q7813" s="2">
        <v>52659.28</v>
      </c>
      <c r="R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 s="1">
        <v>42382</v>
      </c>
      <c r="AC7813" t="s">
        <v>53</v>
      </c>
      <c r="AD7813" t="s">
        <v>53</v>
      </c>
      <c r="AK7813">
        <v>0</v>
      </c>
      <c r="AU7813" s="6">
        <v>42123</v>
      </c>
      <c r="AV7813" s="6">
        <v>42123</v>
      </c>
      <c r="AW7813" t="s">
        <v>54</v>
      </c>
      <c r="AX7813" t="str">
        <f t="shared" si="639"/>
        <v>FOR</v>
      </c>
      <c r="AY7813" t="s">
        <v>55</v>
      </c>
    </row>
    <row r="7814" spans="1:51" hidden="1">
      <c r="A7814">
        <v>104489</v>
      </c>
      <c r="B7814" t="s">
        <v>1329</v>
      </c>
      <c r="C7814" t="str">
        <f t="shared" ref="C7814:D7833" si="640">"07854330631"</f>
        <v>07854330631</v>
      </c>
      <c r="D7814" t="str">
        <f t="shared" si="640"/>
        <v>07854330631</v>
      </c>
      <c r="E7814" t="s">
        <v>52</v>
      </c>
      <c r="F7814">
        <v>2013</v>
      </c>
      <c r="G7814">
        <v>756</v>
      </c>
      <c r="H7814" s="1">
        <v>41534</v>
      </c>
      <c r="I7814" s="1">
        <v>42096</v>
      </c>
      <c r="J7814" s="1">
        <v>42096</v>
      </c>
      <c r="K7814" s="1">
        <v>42156</v>
      </c>
      <c r="N7814" s="5"/>
      <c r="O7814">
        <v>884</v>
      </c>
      <c r="P7814">
        <v>7</v>
      </c>
      <c r="Q7814" s="2">
        <v>6188</v>
      </c>
      <c r="R7814">
        <v>0</v>
      </c>
      <c r="V7814">
        <v>0</v>
      </c>
      <c r="W7814">
        <v>0</v>
      </c>
      <c r="X7814">
        <v>0</v>
      </c>
      <c r="Y7814">
        <v>0</v>
      </c>
      <c r="Z7814">
        <v>884</v>
      </c>
      <c r="AA7814">
        <v>0</v>
      </c>
      <c r="AB7814" s="1">
        <v>42382</v>
      </c>
      <c r="AC7814" t="s">
        <v>53</v>
      </c>
      <c r="AD7814" t="s">
        <v>53</v>
      </c>
      <c r="AK7814">
        <v>0</v>
      </c>
      <c r="AU7814" s="6">
        <v>42163</v>
      </c>
      <c r="AV7814" s="6">
        <v>42163</v>
      </c>
      <c r="AW7814" t="s">
        <v>54</v>
      </c>
      <c r="AX7814" t="str">
        <f t="shared" si="639"/>
        <v>FOR</v>
      </c>
      <c r="AY7814" t="s">
        <v>55</v>
      </c>
    </row>
    <row r="7815" spans="1:51" hidden="1">
      <c r="A7815">
        <v>104489</v>
      </c>
      <c r="B7815" t="s">
        <v>1329</v>
      </c>
      <c r="C7815" t="str">
        <f t="shared" si="640"/>
        <v>07854330631</v>
      </c>
      <c r="D7815" t="str">
        <f t="shared" si="640"/>
        <v>07854330631</v>
      </c>
      <c r="E7815" t="s">
        <v>52</v>
      </c>
      <c r="F7815">
        <v>2013</v>
      </c>
      <c r="G7815">
        <v>757</v>
      </c>
      <c r="H7815" s="1">
        <v>41534</v>
      </c>
      <c r="I7815" s="1">
        <v>42097</v>
      </c>
      <c r="J7815" s="1">
        <v>42097</v>
      </c>
      <c r="K7815" s="1">
        <v>42157</v>
      </c>
      <c r="N7815" s="5"/>
      <c r="O7815">
        <v>884</v>
      </c>
      <c r="P7815">
        <v>6</v>
      </c>
      <c r="Q7815" s="2">
        <v>5304</v>
      </c>
      <c r="R7815">
        <v>0</v>
      </c>
      <c r="V7815">
        <v>0</v>
      </c>
      <c r="W7815">
        <v>0</v>
      </c>
      <c r="X7815">
        <v>0</v>
      </c>
      <c r="Y7815">
        <v>0</v>
      </c>
      <c r="Z7815">
        <v>884</v>
      </c>
      <c r="AA7815">
        <v>0</v>
      </c>
      <c r="AB7815" s="1">
        <v>42382</v>
      </c>
      <c r="AC7815" t="s">
        <v>53</v>
      </c>
      <c r="AD7815" t="s">
        <v>53</v>
      </c>
      <c r="AK7815">
        <v>0</v>
      </c>
      <c r="AU7815" s="6">
        <v>42163</v>
      </c>
      <c r="AV7815" s="6">
        <v>42163</v>
      </c>
      <c r="AW7815" t="s">
        <v>54</v>
      </c>
      <c r="AX7815" t="str">
        <f t="shared" si="639"/>
        <v>FOR</v>
      </c>
      <c r="AY7815" t="s">
        <v>55</v>
      </c>
    </row>
    <row r="7816" spans="1:51" hidden="1">
      <c r="A7816">
        <v>104489</v>
      </c>
      <c r="B7816" t="s">
        <v>1329</v>
      </c>
      <c r="C7816" t="str">
        <f t="shared" si="640"/>
        <v>07854330631</v>
      </c>
      <c r="D7816" t="str">
        <f t="shared" si="640"/>
        <v>07854330631</v>
      </c>
      <c r="E7816" t="s">
        <v>52</v>
      </c>
      <c r="F7816">
        <v>2013</v>
      </c>
      <c r="G7816">
        <v>803</v>
      </c>
      <c r="H7816" s="1">
        <v>41547</v>
      </c>
      <c r="I7816" s="1">
        <v>42097</v>
      </c>
      <c r="J7816" s="1">
        <v>42097</v>
      </c>
      <c r="K7816" s="1">
        <v>42157</v>
      </c>
      <c r="N7816" s="5"/>
      <c r="O7816" s="2">
        <v>3133.26</v>
      </c>
      <c r="P7816">
        <v>6</v>
      </c>
      <c r="Q7816" s="2">
        <v>18799.560000000001</v>
      </c>
      <c r="R7816">
        <v>0</v>
      </c>
      <c r="V7816">
        <v>0</v>
      </c>
      <c r="W7816">
        <v>0</v>
      </c>
      <c r="X7816">
        <v>0</v>
      </c>
      <c r="Y7816">
        <v>0</v>
      </c>
      <c r="Z7816" s="2">
        <v>3133.26</v>
      </c>
      <c r="AA7816">
        <v>0</v>
      </c>
      <c r="AB7816" s="1">
        <v>42382</v>
      </c>
      <c r="AC7816" t="s">
        <v>53</v>
      </c>
      <c r="AD7816" t="s">
        <v>53</v>
      </c>
      <c r="AK7816">
        <v>0</v>
      </c>
      <c r="AU7816" s="6">
        <v>42163</v>
      </c>
      <c r="AV7816" s="6">
        <v>42163</v>
      </c>
      <c r="AW7816" t="s">
        <v>54</v>
      </c>
      <c r="AX7816" t="str">
        <f t="shared" si="639"/>
        <v>FOR</v>
      </c>
      <c r="AY7816" t="s">
        <v>55</v>
      </c>
    </row>
    <row r="7817" spans="1:51" hidden="1">
      <c r="A7817">
        <v>104489</v>
      </c>
      <c r="B7817" t="s">
        <v>1329</v>
      </c>
      <c r="C7817" t="str">
        <f t="shared" si="640"/>
        <v>07854330631</v>
      </c>
      <c r="D7817" t="str">
        <f t="shared" si="640"/>
        <v>07854330631</v>
      </c>
      <c r="E7817" t="s">
        <v>52</v>
      </c>
      <c r="F7817">
        <v>2013</v>
      </c>
      <c r="G7817">
        <v>804</v>
      </c>
      <c r="H7817" s="1">
        <v>41547</v>
      </c>
      <c r="I7817" s="1">
        <v>42097</v>
      </c>
      <c r="J7817" s="1">
        <v>42097</v>
      </c>
      <c r="K7817" s="1">
        <v>42157</v>
      </c>
      <c r="N7817" s="5"/>
      <c r="O7817" s="2">
        <v>3133.26</v>
      </c>
      <c r="P7817">
        <v>6</v>
      </c>
      <c r="Q7817" s="2">
        <v>18799.560000000001</v>
      </c>
      <c r="R7817">
        <v>0</v>
      </c>
      <c r="V7817">
        <v>0</v>
      </c>
      <c r="W7817">
        <v>0</v>
      </c>
      <c r="X7817">
        <v>0</v>
      </c>
      <c r="Y7817">
        <v>0</v>
      </c>
      <c r="Z7817" s="2">
        <v>3133.26</v>
      </c>
      <c r="AA7817">
        <v>0</v>
      </c>
      <c r="AB7817" s="1">
        <v>42382</v>
      </c>
      <c r="AC7817" t="s">
        <v>53</v>
      </c>
      <c r="AD7817" t="s">
        <v>53</v>
      </c>
      <c r="AK7817">
        <v>0</v>
      </c>
      <c r="AU7817" s="6">
        <v>42163</v>
      </c>
      <c r="AV7817" s="6">
        <v>42163</v>
      </c>
      <c r="AW7817" t="s">
        <v>54</v>
      </c>
      <c r="AX7817" t="str">
        <f t="shared" si="639"/>
        <v>FOR</v>
      </c>
      <c r="AY7817" t="s">
        <v>55</v>
      </c>
    </row>
    <row r="7818" spans="1:51" hidden="1">
      <c r="A7818">
        <v>104489</v>
      </c>
      <c r="B7818" t="s">
        <v>1329</v>
      </c>
      <c r="C7818" t="str">
        <f t="shared" si="640"/>
        <v>07854330631</v>
      </c>
      <c r="D7818" t="str">
        <f t="shared" si="640"/>
        <v>07854330631</v>
      </c>
      <c r="E7818" t="s">
        <v>52</v>
      </c>
      <c r="F7818">
        <v>2013</v>
      </c>
      <c r="G7818">
        <v>805</v>
      </c>
      <c r="H7818" s="1">
        <v>41547</v>
      </c>
      <c r="I7818" s="1">
        <v>42097</v>
      </c>
      <c r="J7818" s="1">
        <v>42097</v>
      </c>
      <c r="K7818" s="1">
        <v>42157</v>
      </c>
      <c r="N7818" s="5"/>
      <c r="O7818">
        <v>624</v>
      </c>
      <c r="P7818">
        <v>6</v>
      </c>
      <c r="Q7818" s="2">
        <v>3744</v>
      </c>
      <c r="R7818">
        <v>0</v>
      </c>
      <c r="V7818">
        <v>0</v>
      </c>
      <c r="W7818">
        <v>0</v>
      </c>
      <c r="X7818">
        <v>0</v>
      </c>
      <c r="Y7818">
        <v>0</v>
      </c>
      <c r="Z7818">
        <v>624</v>
      </c>
      <c r="AA7818">
        <v>0</v>
      </c>
      <c r="AB7818" s="1">
        <v>42382</v>
      </c>
      <c r="AC7818" t="s">
        <v>53</v>
      </c>
      <c r="AD7818" t="s">
        <v>53</v>
      </c>
      <c r="AK7818">
        <v>0</v>
      </c>
      <c r="AU7818" s="6">
        <v>42163</v>
      </c>
      <c r="AV7818" s="6">
        <v>42163</v>
      </c>
      <c r="AW7818" t="s">
        <v>54</v>
      </c>
      <c r="AX7818" t="str">
        <f t="shared" si="639"/>
        <v>FOR</v>
      </c>
      <c r="AY7818" t="s">
        <v>55</v>
      </c>
    </row>
    <row r="7819" spans="1:51" hidden="1">
      <c r="A7819">
        <v>104489</v>
      </c>
      <c r="B7819" t="s">
        <v>1329</v>
      </c>
      <c r="C7819" t="str">
        <f t="shared" si="640"/>
        <v>07854330631</v>
      </c>
      <c r="D7819" t="str">
        <f t="shared" si="640"/>
        <v>07854330631</v>
      </c>
      <c r="E7819" t="s">
        <v>52</v>
      </c>
      <c r="F7819">
        <v>2013</v>
      </c>
      <c r="G7819">
        <v>806</v>
      </c>
      <c r="H7819" s="1">
        <v>41547</v>
      </c>
      <c r="I7819" s="1">
        <v>42097</v>
      </c>
      <c r="J7819" s="1">
        <v>42097</v>
      </c>
      <c r="K7819" s="1">
        <v>42157</v>
      </c>
      <c r="N7819" s="5"/>
      <c r="O7819">
        <v>624</v>
      </c>
      <c r="P7819">
        <v>6</v>
      </c>
      <c r="Q7819" s="2">
        <v>3744</v>
      </c>
      <c r="R7819">
        <v>0</v>
      </c>
      <c r="V7819">
        <v>0</v>
      </c>
      <c r="W7819">
        <v>0</v>
      </c>
      <c r="X7819">
        <v>0</v>
      </c>
      <c r="Y7819">
        <v>0</v>
      </c>
      <c r="Z7819">
        <v>624</v>
      </c>
      <c r="AA7819">
        <v>0</v>
      </c>
      <c r="AB7819" s="1">
        <v>42382</v>
      </c>
      <c r="AC7819" t="s">
        <v>53</v>
      </c>
      <c r="AD7819" t="s">
        <v>53</v>
      </c>
      <c r="AK7819">
        <v>0</v>
      </c>
      <c r="AU7819" s="6">
        <v>42163</v>
      </c>
      <c r="AV7819" s="6">
        <v>42163</v>
      </c>
      <c r="AW7819" t="s">
        <v>54</v>
      </c>
      <c r="AX7819" t="str">
        <f t="shared" si="639"/>
        <v>FOR</v>
      </c>
      <c r="AY7819" t="s">
        <v>55</v>
      </c>
    </row>
    <row r="7820" spans="1:51" hidden="1">
      <c r="A7820">
        <v>104489</v>
      </c>
      <c r="B7820" t="s">
        <v>1329</v>
      </c>
      <c r="C7820" t="str">
        <f t="shared" si="640"/>
        <v>07854330631</v>
      </c>
      <c r="D7820" t="str">
        <f t="shared" si="640"/>
        <v>07854330631</v>
      </c>
      <c r="E7820" t="s">
        <v>52</v>
      </c>
      <c r="F7820">
        <v>2013</v>
      </c>
      <c r="G7820">
        <v>807</v>
      </c>
      <c r="H7820" s="1">
        <v>41547</v>
      </c>
      <c r="I7820" s="1">
        <v>42097</v>
      </c>
      <c r="J7820" s="1">
        <v>42097</v>
      </c>
      <c r="K7820" s="1">
        <v>42157</v>
      </c>
      <c r="N7820" s="5"/>
      <c r="O7820">
        <v>624</v>
      </c>
      <c r="P7820">
        <v>6</v>
      </c>
      <c r="Q7820" s="2">
        <v>3744</v>
      </c>
      <c r="R7820">
        <v>0</v>
      </c>
      <c r="V7820">
        <v>0</v>
      </c>
      <c r="W7820">
        <v>0</v>
      </c>
      <c r="X7820">
        <v>0</v>
      </c>
      <c r="Y7820">
        <v>0</v>
      </c>
      <c r="Z7820">
        <v>624</v>
      </c>
      <c r="AA7820">
        <v>0</v>
      </c>
      <c r="AB7820" s="1">
        <v>42382</v>
      </c>
      <c r="AC7820" t="s">
        <v>53</v>
      </c>
      <c r="AD7820" t="s">
        <v>53</v>
      </c>
      <c r="AK7820">
        <v>0</v>
      </c>
      <c r="AU7820" s="6">
        <v>42163</v>
      </c>
      <c r="AV7820" s="6">
        <v>42163</v>
      </c>
      <c r="AW7820" t="s">
        <v>54</v>
      </c>
      <c r="AX7820" t="str">
        <f t="shared" si="639"/>
        <v>FOR</v>
      </c>
      <c r="AY7820" t="s">
        <v>55</v>
      </c>
    </row>
    <row r="7821" spans="1:51" hidden="1">
      <c r="A7821">
        <v>104489</v>
      </c>
      <c r="B7821" t="s">
        <v>1329</v>
      </c>
      <c r="C7821" t="str">
        <f t="shared" si="640"/>
        <v>07854330631</v>
      </c>
      <c r="D7821" t="str">
        <f t="shared" si="640"/>
        <v>07854330631</v>
      </c>
      <c r="E7821" t="s">
        <v>52</v>
      </c>
      <c r="F7821">
        <v>2013</v>
      </c>
      <c r="G7821">
        <v>808</v>
      </c>
      <c r="H7821" s="1">
        <v>41547</v>
      </c>
      <c r="I7821" s="1">
        <v>42097</v>
      </c>
      <c r="J7821" s="1">
        <v>42097</v>
      </c>
      <c r="K7821" s="1">
        <v>42157</v>
      </c>
      <c r="N7821" s="5"/>
      <c r="O7821">
        <v>624</v>
      </c>
      <c r="P7821">
        <v>6</v>
      </c>
      <c r="Q7821" s="2">
        <v>3744</v>
      </c>
      <c r="R7821">
        <v>0</v>
      </c>
      <c r="V7821">
        <v>0</v>
      </c>
      <c r="W7821">
        <v>0</v>
      </c>
      <c r="X7821">
        <v>0</v>
      </c>
      <c r="Y7821">
        <v>0</v>
      </c>
      <c r="Z7821">
        <v>624</v>
      </c>
      <c r="AA7821">
        <v>0</v>
      </c>
      <c r="AB7821" s="1">
        <v>42382</v>
      </c>
      <c r="AC7821" t="s">
        <v>53</v>
      </c>
      <c r="AD7821" t="s">
        <v>53</v>
      </c>
      <c r="AK7821">
        <v>0</v>
      </c>
      <c r="AU7821" s="6">
        <v>42163</v>
      </c>
      <c r="AV7821" s="6">
        <v>42163</v>
      </c>
      <c r="AW7821" t="s">
        <v>54</v>
      </c>
      <c r="AX7821" t="str">
        <f t="shared" si="639"/>
        <v>FOR</v>
      </c>
      <c r="AY7821" t="s">
        <v>55</v>
      </c>
    </row>
    <row r="7822" spans="1:51" hidden="1">
      <c r="A7822">
        <v>104489</v>
      </c>
      <c r="B7822" t="s">
        <v>1329</v>
      </c>
      <c r="C7822" t="str">
        <f t="shared" si="640"/>
        <v>07854330631</v>
      </c>
      <c r="D7822" t="str">
        <f t="shared" si="640"/>
        <v>07854330631</v>
      </c>
      <c r="E7822" t="s">
        <v>52</v>
      </c>
      <c r="F7822">
        <v>2013</v>
      </c>
      <c r="G7822">
        <v>809</v>
      </c>
      <c r="H7822" s="1">
        <v>41547</v>
      </c>
      <c r="I7822" s="1">
        <v>42097</v>
      </c>
      <c r="J7822" s="1">
        <v>42097</v>
      </c>
      <c r="K7822" s="1">
        <v>42157</v>
      </c>
      <c r="N7822" s="5"/>
      <c r="O7822">
        <v>624</v>
      </c>
      <c r="P7822">
        <v>6</v>
      </c>
      <c r="Q7822" s="2">
        <v>3744</v>
      </c>
      <c r="R7822">
        <v>0</v>
      </c>
      <c r="V7822">
        <v>0</v>
      </c>
      <c r="W7822">
        <v>0</v>
      </c>
      <c r="X7822">
        <v>0</v>
      </c>
      <c r="Y7822">
        <v>0</v>
      </c>
      <c r="Z7822">
        <v>624</v>
      </c>
      <c r="AA7822">
        <v>0</v>
      </c>
      <c r="AB7822" s="1">
        <v>42382</v>
      </c>
      <c r="AC7822" t="s">
        <v>53</v>
      </c>
      <c r="AD7822" t="s">
        <v>53</v>
      </c>
      <c r="AK7822">
        <v>0</v>
      </c>
      <c r="AU7822" s="6">
        <v>42163</v>
      </c>
      <c r="AV7822" s="6">
        <v>42163</v>
      </c>
      <c r="AW7822" t="s">
        <v>54</v>
      </c>
      <c r="AX7822" t="str">
        <f t="shared" si="639"/>
        <v>FOR</v>
      </c>
      <c r="AY7822" t="s">
        <v>55</v>
      </c>
    </row>
    <row r="7823" spans="1:51" hidden="1">
      <c r="A7823">
        <v>104489</v>
      </c>
      <c r="B7823" t="s">
        <v>1329</v>
      </c>
      <c r="C7823" t="str">
        <f t="shared" si="640"/>
        <v>07854330631</v>
      </c>
      <c r="D7823" t="str">
        <f t="shared" si="640"/>
        <v>07854330631</v>
      </c>
      <c r="E7823" t="s">
        <v>52</v>
      </c>
      <c r="F7823">
        <v>2013</v>
      </c>
      <c r="G7823">
        <v>810</v>
      </c>
      <c r="H7823" s="1">
        <v>41547</v>
      </c>
      <c r="I7823" s="1">
        <v>42097</v>
      </c>
      <c r="J7823" s="1">
        <v>42097</v>
      </c>
      <c r="K7823" s="1">
        <v>42157</v>
      </c>
      <c r="N7823" s="5"/>
      <c r="O7823">
        <v>624</v>
      </c>
      <c r="P7823">
        <v>6</v>
      </c>
      <c r="Q7823" s="2">
        <v>3744</v>
      </c>
      <c r="R7823">
        <v>0</v>
      </c>
      <c r="V7823">
        <v>0</v>
      </c>
      <c r="W7823">
        <v>0</v>
      </c>
      <c r="X7823">
        <v>0</v>
      </c>
      <c r="Y7823">
        <v>0</v>
      </c>
      <c r="Z7823">
        <v>624</v>
      </c>
      <c r="AA7823">
        <v>0</v>
      </c>
      <c r="AB7823" s="1">
        <v>42382</v>
      </c>
      <c r="AC7823" t="s">
        <v>53</v>
      </c>
      <c r="AD7823" t="s">
        <v>53</v>
      </c>
      <c r="AK7823">
        <v>0</v>
      </c>
      <c r="AU7823" s="6">
        <v>42163</v>
      </c>
      <c r="AV7823" s="6">
        <v>42163</v>
      </c>
      <c r="AW7823" t="s">
        <v>54</v>
      </c>
      <c r="AX7823" t="str">
        <f t="shared" si="639"/>
        <v>FOR</v>
      </c>
      <c r="AY7823" t="s">
        <v>55</v>
      </c>
    </row>
    <row r="7824" spans="1:51" hidden="1">
      <c r="A7824">
        <v>104489</v>
      </c>
      <c r="B7824" t="s">
        <v>1329</v>
      </c>
      <c r="C7824" t="str">
        <f t="shared" si="640"/>
        <v>07854330631</v>
      </c>
      <c r="D7824" t="str">
        <f t="shared" si="640"/>
        <v>07854330631</v>
      </c>
      <c r="E7824" t="s">
        <v>52</v>
      </c>
      <c r="F7824">
        <v>2013</v>
      </c>
      <c r="G7824">
        <v>811</v>
      </c>
      <c r="H7824" s="1">
        <v>41547</v>
      </c>
      <c r="I7824" s="1">
        <v>42097</v>
      </c>
      <c r="J7824" s="1">
        <v>42097</v>
      </c>
      <c r="K7824" s="1">
        <v>42157</v>
      </c>
      <c r="N7824" s="5"/>
      <c r="O7824">
        <v>936</v>
      </c>
      <c r="P7824">
        <v>6</v>
      </c>
      <c r="Q7824" s="2">
        <v>5616</v>
      </c>
      <c r="R7824">
        <v>0</v>
      </c>
      <c r="V7824">
        <v>0</v>
      </c>
      <c r="W7824">
        <v>0</v>
      </c>
      <c r="X7824">
        <v>0</v>
      </c>
      <c r="Y7824">
        <v>0</v>
      </c>
      <c r="Z7824">
        <v>936</v>
      </c>
      <c r="AA7824">
        <v>0</v>
      </c>
      <c r="AB7824" s="1">
        <v>42382</v>
      </c>
      <c r="AC7824" t="s">
        <v>53</v>
      </c>
      <c r="AD7824" t="s">
        <v>53</v>
      </c>
      <c r="AK7824">
        <v>0</v>
      </c>
      <c r="AU7824" s="6">
        <v>42163</v>
      </c>
      <c r="AV7824" s="6">
        <v>42163</v>
      </c>
      <c r="AW7824" t="s">
        <v>54</v>
      </c>
      <c r="AX7824" t="str">
        <f t="shared" si="639"/>
        <v>FOR</v>
      </c>
      <c r="AY7824" t="s">
        <v>55</v>
      </c>
    </row>
    <row r="7825" spans="1:51" hidden="1">
      <c r="A7825">
        <v>104489</v>
      </c>
      <c r="B7825" t="s">
        <v>1329</v>
      </c>
      <c r="C7825" t="str">
        <f t="shared" si="640"/>
        <v>07854330631</v>
      </c>
      <c r="D7825" t="str">
        <f t="shared" si="640"/>
        <v>07854330631</v>
      </c>
      <c r="E7825" t="s">
        <v>52</v>
      </c>
      <c r="F7825">
        <v>2013</v>
      </c>
      <c r="G7825">
        <v>812</v>
      </c>
      <c r="H7825" s="1">
        <v>41547</v>
      </c>
      <c r="I7825" s="1">
        <v>42097</v>
      </c>
      <c r="J7825" s="1">
        <v>42097</v>
      </c>
      <c r="K7825" s="1">
        <v>42157</v>
      </c>
      <c r="N7825" s="5"/>
      <c r="O7825">
        <v>145.6</v>
      </c>
      <c r="P7825">
        <v>6</v>
      </c>
      <c r="Q7825">
        <v>873.6</v>
      </c>
      <c r="R7825">
        <v>0</v>
      </c>
      <c r="V7825">
        <v>0</v>
      </c>
      <c r="W7825">
        <v>0</v>
      </c>
      <c r="X7825">
        <v>0</v>
      </c>
      <c r="Y7825">
        <v>0</v>
      </c>
      <c r="Z7825">
        <v>145.6</v>
      </c>
      <c r="AA7825">
        <v>0</v>
      </c>
      <c r="AB7825" s="1">
        <v>42382</v>
      </c>
      <c r="AC7825" t="s">
        <v>53</v>
      </c>
      <c r="AD7825" t="s">
        <v>53</v>
      </c>
      <c r="AK7825">
        <v>0</v>
      </c>
      <c r="AU7825" s="6">
        <v>42163</v>
      </c>
      <c r="AV7825" s="6">
        <v>42163</v>
      </c>
      <c r="AW7825" t="s">
        <v>54</v>
      </c>
      <c r="AX7825" t="str">
        <f t="shared" si="639"/>
        <v>FOR</v>
      </c>
      <c r="AY7825" t="s">
        <v>55</v>
      </c>
    </row>
    <row r="7826" spans="1:51" hidden="1">
      <c r="A7826">
        <v>104489</v>
      </c>
      <c r="B7826" t="s">
        <v>1329</v>
      </c>
      <c r="C7826" t="str">
        <f t="shared" si="640"/>
        <v>07854330631</v>
      </c>
      <c r="D7826" t="str">
        <f t="shared" si="640"/>
        <v>07854330631</v>
      </c>
      <c r="E7826" t="s">
        <v>52</v>
      </c>
      <c r="F7826">
        <v>2013</v>
      </c>
      <c r="G7826">
        <v>813</v>
      </c>
      <c r="H7826" s="1">
        <v>41547</v>
      </c>
      <c r="I7826" s="1">
        <v>42097</v>
      </c>
      <c r="J7826" s="1">
        <v>42097</v>
      </c>
      <c r="K7826" s="1">
        <v>42157</v>
      </c>
      <c r="N7826" s="5"/>
      <c r="O7826">
        <v>145.6</v>
      </c>
      <c r="P7826">
        <v>6</v>
      </c>
      <c r="Q7826">
        <v>873.6</v>
      </c>
      <c r="R7826">
        <v>0</v>
      </c>
      <c r="V7826">
        <v>0</v>
      </c>
      <c r="W7826">
        <v>0</v>
      </c>
      <c r="X7826">
        <v>0</v>
      </c>
      <c r="Y7826">
        <v>0</v>
      </c>
      <c r="Z7826">
        <v>145.6</v>
      </c>
      <c r="AA7826">
        <v>0</v>
      </c>
      <c r="AB7826" s="1">
        <v>42382</v>
      </c>
      <c r="AC7826" t="s">
        <v>53</v>
      </c>
      <c r="AD7826" t="s">
        <v>53</v>
      </c>
      <c r="AK7826">
        <v>0</v>
      </c>
      <c r="AU7826" s="6">
        <v>42163</v>
      </c>
      <c r="AV7826" s="6">
        <v>42163</v>
      </c>
      <c r="AW7826" t="s">
        <v>54</v>
      </c>
      <c r="AX7826" t="str">
        <f t="shared" si="639"/>
        <v>FOR</v>
      </c>
      <c r="AY7826" t="s">
        <v>55</v>
      </c>
    </row>
    <row r="7827" spans="1:51" hidden="1">
      <c r="A7827">
        <v>104489</v>
      </c>
      <c r="B7827" t="s">
        <v>1329</v>
      </c>
      <c r="C7827" t="str">
        <f t="shared" si="640"/>
        <v>07854330631</v>
      </c>
      <c r="D7827" t="str">
        <f t="shared" si="640"/>
        <v>07854330631</v>
      </c>
      <c r="E7827" t="s">
        <v>52</v>
      </c>
      <c r="F7827">
        <v>2013</v>
      </c>
      <c r="G7827">
        <v>814</v>
      </c>
      <c r="H7827" s="1">
        <v>41547</v>
      </c>
      <c r="I7827" s="1">
        <v>42097</v>
      </c>
      <c r="J7827" s="1">
        <v>42097</v>
      </c>
      <c r="K7827" s="1">
        <v>42157</v>
      </c>
      <c r="N7827" s="5"/>
      <c r="O7827">
        <v>145.6</v>
      </c>
      <c r="P7827">
        <v>6</v>
      </c>
      <c r="Q7827">
        <v>873.6</v>
      </c>
      <c r="R7827">
        <v>0</v>
      </c>
      <c r="V7827">
        <v>0</v>
      </c>
      <c r="W7827">
        <v>0</v>
      </c>
      <c r="X7827">
        <v>0</v>
      </c>
      <c r="Y7827">
        <v>0</v>
      </c>
      <c r="Z7827">
        <v>145.6</v>
      </c>
      <c r="AA7827">
        <v>0</v>
      </c>
      <c r="AB7827" s="1">
        <v>42382</v>
      </c>
      <c r="AC7827" t="s">
        <v>53</v>
      </c>
      <c r="AD7827" t="s">
        <v>53</v>
      </c>
      <c r="AK7827">
        <v>0</v>
      </c>
      <c r="AU7827" s="6">
        <v>42163</v>
      </c>
      <c r="AV7827" s="6">
        <v>42163</v>
      </c>
      <c r="AW7827" t="s">
        <v>54</v>
      </c>
      <c r="AX7827" t="str">
        <f t="shared" si="639"/>
        <v>FOR</v>
      </c>
      <c r="AY7827" t="s">
        <v>55</v>
      </c>
    </row>
    <row r="7828" spans="1:51" hidden="1">
      <c r="A7828">
        <v>104489</v>
      </c>
      <c r="B7828" t="s">
        <v>1329</v>
      </c>
      <c r="C7828" t="str">
        <f t="shared" si="640"/>
        <v>07854330631</v>
      </c>
      <c r="D7828" t="str">
        <f t="shared" si="640"/>
        <v>07854330631</v>
      </c>
      <c r="E7828" t="s">
        <v>52</v>
      </c>
      <c r="F7828">
        <v>2013</v>
      </c>
      <c r="G7828">
        <v>815</v>
      </c>
      <c r="H7828" s="1">
        <v>41547</v>
      </c>
      <c r="I7828" s="1">
        <v>42097</v>
      </c>
      <c r="J7828" s="1">
        <v>42097</v>
      </c>
      <c r="K7828" s="1">
        <v>42157</v>
      </c>
      <c r="N7828" s="5"/>
      <c r="O7828">
        <v>145.6</v>
      </c>
      <c r="P7828">
        <v>6</v>
      </c>
      <c r="Q7828">
        <v>873.6</v>
      </c>
      <c r="R7828">
        <v>0</v>
      </c>
      <c r="V7828">
        <v>0</v>
      </c>
      <c r="W7828">
        <v>0</v>
      </c>
      <c r="X7828">
        <v>0</v>
      </c>
      <c r="Y7828">
        <v>0</v>
      </c>
      <c r="Z7828">
        <v>145.6</v>
      </c>
      <c r="AA7828">
        <v>0</v>
      </c>
      <c r="AB7828" s="1">
        <v>42382</v>
      </c>
      <c r="AC7828" t="s">
        <v>53</v>
      </c>
      <c r="AD7828" t="s">
        <v>53</v>
      </c>
      <c r="AK7828">
        <v>0</v>
      </c>
      <c r="AU7828" s="6">
        <v>42163</v>
      </c>
      <c r="AV7828" s="6">
        <v>42163</v>
      </c>
      <c r="AW7828" t="s">
        <v>54</v>
      </c>
      <c r="AX7828" t="str">
        <f t="shared" si="639"/>
        <v>FOR</v>
      </c>
      <c r="AY7828" t="s">
        <v>55</v>
      </c>
    </row>
    <row r="7829" spans="1:51" hidden="1">
      <c r="A7829">
        <v>104489</v>
      </c>
      <c r="B7829" t="s">
        <v>1329</v>
      </c>
      <c r="C7829" t="str">
        <f t="shared" si="640"/>
        <v>07854330631</v>
      </c>
      <c r="D7829" t="str">
        <f t="shared" si="640"/>
        <v>07854330631</v>
      </c>
      <c r="E7829" t="s">
        <v>52</v>
      </c>
      <c r="F7829">
        <v>2013</v>
      </c>
      <c r="G7829">
        <v>816</v>
      </c>
      <c r="H7829" s="1">
        <v>41547</v>
      </c>
      <c r="I7829" s="1">
        <v>42097</v>
      </c>
      <c r="J7829" s="1">
        <v>42097</v>
      </c>
      <c r="K7829" s="1">
        <v>42157</v>
      </c>
      <c r="N7829" s="5"/>
      <c r="O7829">
        <v>145.6</v>
      </c>
      <c r="P7829">
        <v>6</v>
      </c>
      <c r="Q7829">
        <v>873.6</v>
      </c>
      <c r="R7829">
        <v>0</v>
      </c>
      <c r="V7829">
        <v>0</v>
      </c>
      <c r="W7829">
        <v>0</v>
      </c>
      <c r="X7829">
        <v>0</v>
      </c>
      <c r="Y7829">
        <v>0</v>
      </c>
      <c r="Z7829">
        <v>145.6</v>
      </c>
      <c r="AA7829">
        <v>0</v>
      </c>
      <c r="AB7829" s="1">
        <v>42382</v>
      </c>
      <c r="AC7829" t="s">
        <v>53</v>
      </c>
      <c r="AD7829" t="s">
        <v>53</v>
      </c>
      <c r="AK7829">
        <v>0</v>
      </c>
      <c r="AU7829" s="6">
        <v>42163</v>
      </c>
      <c r="AV7829" s="6">
        <v>42163</v>
      </c>
      <c r="AW7829" t="s">
        <v>54</v>
      </c>
      <c r="AX7829" t="str">
        <f t="shared" si="639"/>
        <v>FOR</v>
      </c>
      <c r="AY7829" t="s">
        <v>55</v>
      </c>
    </row>
    <row r="7830" spans="1:51" hidden="1">
      <c r="A7830">
        <v>104489</v>
      </c>
      <c r="B7830" t="s">
        <v>1329</v>
      </c>
      <c r="C7830" t="str">
        <f t="shared" si="640"/>
        <v>07854330631</v>
      </c>
      <c r="D7830" t="str">
        <f t="shared" si="640"/>
        <v>07854330631</v>
      </c>
      <c r="E7830" t="s">
        <v>52</v>
      </c>
      <c r="F7830">
        <v>2013</v>
      </c>
      <c r="G7830">
        <v>817</v>
      </c>
      <c r="H7830" s="1">
        <v>41547</v>
      </c>
      <c r="I7830" s="1">
        <v>42097</v>
      </c>
      <c r="J7830" s="1">
        <v>42097</v>
      </c>
      <c r="K7830" s="1">
        <v>42157</v>
      </c>
      <c r="N7830" s="5"/>
      <c r="O7830">
        <v>145.6</v>
      </c>
      <c r="P7830">
        <v>6</v>
      </c>
      <c r="Q7830">
        <v>873.6</v>
      </c>
      <c r="R7830">
        <v>0</v>
      </c>
      <c r="V7830">
        <v>0</v>
      </c>
      <c r="W7830">
        <v>0</v>
      </c>
      <c r="X7830">
        <v>0</v>
      </c>
      <c r="Y7830">
        <v>0</v>
      </c>
      <c r="Z7830">
        <v>145.6</v>
      </c>
      <c r="AA7830">
        <v>0</v>
      </c>
      <c r="AB7830" s="1">
        <v>42382</v>
      </c>
      <c r="AC7830" t="s">
        <v>53</v>
      </c>
      <c r="AD7830" t="s">
        <v>53</v>
      </c>
      <c r="AK7830">
        <v>0</v>
      </c>
      <c r="AU7830" s="6">
        <v>42163</v>
      </c>
      <c r="AV7830" s="6">
        <v>42163</v>
      </c>
      <c r="AW7830" t="s">
        <v>54</v>
      </c>
      <c r="AX7830" t="str">
        <f t="shared" si="639"/>
        <v>FOR</v>
      </c>
      <c r="AY7830" t="s">
        <v>55</v>
      </c>
    </row>
    <row r="7831" spans="1:51" hidden="1">
      <c r="A7831">
        <v>104489</v>
      </c>
      <c r="B7831" t="s">
        <v>1329</v>
      </c>
      <c r="C7831" t="str">
        <f t="shared" si="640"/>
        <v>07854330631</v>
      </c>
      <c r="D7831" t="str">
        <f t="shared" si="640"/>
        <v>07854330631</v>
      </c>
      <c r="E7831" t="s">
        <v>52</v>
      </c>
      <c r="F7831">
        <v>2013</v>
      </c>
      <c r="G7831">
        <v>818</v>
      </c>
      <c r="H7831" s="1">
        <v>41547</v>
      </c>
      <c r="I7831" s="1">
        <v>42097</v>
      </c>
      <c r="J7831" s="1">
        <v>42097</v>
      </c>
      <c r="K7831" s="1">
        <v>42157</v>
      </c>
      <c r="N7831" s="5"/>
      <c r="O7831">
        <v>145.6</v>
      </c>
      <c r="P7831">
        <v>6</v>
      </c>
      <c r="Q7831">
        <v>873.6</v>
      </c>
      <c r="R7831">
        <v>0</v>
      </c>
      <c r="V7831">
        <v>0</v>
      </c>
      <c r="W7831">
        <v>0</v>
      </c>
      <c r="X7831">
        <v>0</v>
      </c>
      <c r="Y7831">
        <v>0</v>
      </c>
      <c r="Z7831">
        <v>145.6</v>
      </c>
      <c r="AA7831">
        <v>0</v>
      </c>
      <c r="AB7831" s="1">
        <v>42382</v>
      </c>
      <c r="AC7831" t="s">
        <v>53</v>
      </c>
      <c r="AD7831" t="s">
        <v>53</v>
      </c>
      <c r="AK7831">
        <v>0</v>
      </c>
      <c r="AU7831" s="6">
        <v>42163</v>
      </c>
      <c r="AV7831" s="6">
        <v>42163</v>
      </c>
      <c r="AW7831" t="s">
        <v>54</v>
      </c>
      <c r="AX7831" t="str">
        <f t="shared" si="639"/>
        <v>FOR</v>
      </c>
      <c r="AY7831" t="s">
        <v>55</v>
      </c>
    </row>
    <row r="7832" spans="1:51" hidden="1">
      <c r="A7832">
        <v>104489</v>
      </c>
      <c r="B7832" t="s">
        <v>1329</v>
      </c>
      <c r="C7832" t="str">
        <f t="shared" si="640"/>
        <v>07854330631</v>
      </c>
      <c r="D7832" t="str">
        <f t="shared" si="640"/>
        <v>07854330631</v>
      </c>
      <c r="E7832" t="s">
        <v>52</v>
      </c>
      <c r="F7832">
        <v>2013</v>
      </c>
      <c r="G7832">
        <v>819</v>
      </c>
      <c r="H7832" s="1">
        <v>41547</v>
      </c>
      <c r="I7832" s="1">
        <v>42097</v>
      </c>
      <c r="J7832" s="1">
        <v>42097</v>
      </c>
      <c r="K7832" s="1">
        <v>42157</v>
      </c>
      <c r="N7832" s="5"/>
      <c r="O7832">
        <v>145.6</v>
      </c>
      <c r="P7832">
        <v>6</v>
      </c>
      <c r="Q7832">
        <v>873.6</v>
      </c>
      <c r="R7832">
        <v>0</v>
      </c>
      <c r="V7832">
        <v>0</v>
      </c>
      <c r="W7832">
        <v>0</v>
      </c>
      <c r="X7832">
        <v>0</v>
      </c>
      <c r="Y7832">
        <v>0</v>
      </c>
      <c r="Z7832">
        <v>145.6</v>
      </c>
      <c r="AA7832">
        <v>0</v>
      </c>
      <c r="AB7832" s="1">
        <v>42382</v>
      </c>
      <c r="AC7832" t="s">
        <v>53</v>
      </c>
      <c r="AD7832" t="s">
        <v>53</v>
      </c>
      <c r="AK7832">
        <v>0</v>
      </c>
      <c r="AU7832" s="6">
        <v>42163</v>
      </c>
      <c r="AV7832" s="6">
        <v>42163</v>
      </c>
      <c r="AW7832" t="s">
        <v>54</v>
      </c>
      <c r="AX7832" t="str">
        <f t="shared" si="639"/>
        <v>FOR</v>
      </c>
      <c r="AY7832" t="s">
        <v>55</v>
      </c>
    </row>
    <row r="7833" spans="1:51" hidden="1">
      <c r="A7833">
        <v>104489</v>
      </c>
      <c r="B7833" t="s">
        <v>1329</v>
      </c>
      <c r="C7833" t="str">
        <f t="shared" si="640"/>
        <v>07854330631</v>
      </c>
      <c r="D7833" t="str">
        <f t="shared" si="640"/>
        <v>07854330631</v>
      </c>
      <c r="E7833" t="s">
        <v>52</v>
      </c>
      <c r="F7833">
        <v>2014</v>
      </c>
      <c r="G7833">
        <v>72</v>
      </c>
      <c r="H7833" s="1">
        <v>41680</v>
      </c>
      <c r="I7833" s="1">
        <v>42094</v>
      </c>
      <c r="J7833" s="1">
        <v>42094</v>
      </c>
      <c r="K7833" s="1">
        <v>42154</v>
      </c>
      <c r="N7833" s="5"/>
      <c r="O7833">
        <v>884</v>
      </c>
      <c r="P7833">
        <v>9</v>
      </c>
      <c r="Q7833" s="2">
        <v>7956</v>
      </c>
      <c r="R7833">
        <v>0</v>
      </c>
      <c r="V7833">
        <v>0</v>
      </c>
      <c r="W7833">
        <v>0</v>
      </c>
      <c r="X7833">
        <v>0</v>
      </c>
      <c r="Y7833">
        <v>0</v>
      </c>
      <c r="Z7833">
        <v>884</v>
      </c>
      <c r="AA7833">
        <v>0</v>
      </c>
      <c r="AB7833" s="1">
        <v>42382</v>
      </c>
      <c r="AC7833" t="s">
        <v>53</v>
      </c>
      <c r="AD7833" t="s">
        <v>53</v>
      </c>
      <c r="AK7833">
        <v>0</v>
      </c>
      <c r="AU7833" s="6">
        <v>42163</v>
      </c>
      <c r="AV7833" s="6">
        <v>42163</v>
      </c>
      <c r="AW7833" t="s">
        <v>54</v>
      </c>
      <c r="AX7833" t="str">
        <f t="shared" si="639"/>
        <v>FOR</v>
      </c>
      <c r="AY7833" t="s">
        <v>55</v>
      </c>
    </row>
    <row r="7834" spans="1:51" hidden="1">
      <c r="A7834">
        <v>104489</v>
      </c>
      <c r="B7834" t="s">
        <v>1329</v>
      </c>
      <c r="C7834" t="str">
        <f t="shared" ref="C7834:D7855" si="641">"07854330631"</f>
        <v>07854330631</v>
      </c>
      <c r="D7834" t="str">
        <f t="shared" si="641"/>
        <v>07854330631</v>
      </c>
      <c r="E7834" t="s">
        <v>52</v>
      </c>
      <c r="F7834">
        <v>2014</v>
      </c>
      <c r="G7834">
        <v>73</v>
      </c>
      <c r="H7834" s="1">
        <v>41680</v>
      </c>
      <c r="I7834" s="1">
        <v>42094</v>
      </c>
      <c r="J7834" s="1">
        <v>42094</v>
      </c>
      <c r="K7834" s="1">
        <v>42154</v>
      </c>
      <c r="N7834" s="5"/>
      <c r="O7834">
        <v>884</v>
      </c>
      <c r="P7834">
        <v>9</v>
      </c>
      <c r="Q7834" s="2">
        <v>7956</v>
      </c>
      <c r="R7834">
        <v>0</v>
      </c>
      <c r="V7834">
        <v>0</v>
      </c>
      <c r="W7834">
        <v>0</v>
      </c>
      <c r="X7834">
        <v>0</v>
      </c>
      <c r="Y7834">
        <v>0</v>
      </c>
      <c r="Z7834">
        <v>884</v>
      </c>
      <c r="AA7834">
        <v>0</v>
      </c>
      <c r="AB7834" s="1">
        <v>42382</v>
      </c>
      <c r="AC7834" t="s">
        <v>53</v>
      </c>
      <c r="AD7834" t="s">
        <v>53</v>
      </c>
      <c r="AK7834">
        <v>0</v>
      </c>
      <c r="AU7834" s="6">
        <v>42163</v>
      </c>
      <c r="AV7834" s="6">
        <v>42163</v>
      </c>
      <c r="AW7834" t="s">
        <v>54</v>
      </c>
      <c r="AX7834" t="str">
        <f t="shared" si="639"/>
        <v>FOR</v>
      </c>
      <c r="AY7834" t="s">
        <v>55</v>
      </c>
    </row>
    <row r="7835" spans="1:51" hidden="1">
      <c r="A7835">
        <v>104489</v>
      </c>
      <c r="B7835" t="s">
        <v>1329</v>
      </c>
      <c r="C7835" t="str">
        <f t="shared" si="641"/>
        <v>07854330631</v>
      </c>
      <c r="D7835" t="str">
        <f t="shared" si="641"/>
        <v>07854330631</v>
      </c>
      <c r="E7835" t="s">
        <v>52</v>
      </c>
      <c r="F7835">
        <v>2014</v>
      </c>
      <c r="G7835">
        <v>109</v>
      </c>
      <c r="H7835" s="1">
        <v>41688</v>
      </c>
      <c r="I7835" s="1">
        <v>41697</v>
      </c>
      <c r="J7835" s="1">
        <v>41697</v>
      </c>
      <c r="K7835" s="1">
        <v>41787</v>
      </c>
      <c r="N7835" s="5"/>
      <c r="O7835">
        <v>884</v>
      </c>
      <c r="P7835">
        <v>306</v>
      </c>
      <c r="Q7835" s="2">
        <v>270504</v>
      </c>
      <c r="R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 s="1">
        <v>42382</v>
      </c>
      <c r="AC7835" t="s">
        <v>53</v>
      </c>
      <c r="AD7835" t="s">
        <v>53</v>
      </c>
      <c r="AK7835">
        <v>0</v>
      </c>
      <c r="AU7835" s="6">
        <v>42093</v>
      </c>
      <c r="AV7835" s="6">
        <v>42093</v>
      </c>
      <c r="AW7835" t="s">
        <v>54</v>
      </c>
      <c r="AX7835" t="str">
        <f t="shared" si="639"/>
        <v>FOR</v>
      </c>
      <c r="AY7835" t="s">
        <v>55</v>
      </c>
    </row>
    <row r="7836" spans="1:51" hidden="1">
      <c r="A7836">
        <v>104489</v>
      </c>
      <c r="B7836" t="s">
        <v>1329</v>
      </c>
      <c r="C7836" t="str">
        <f t="shared" si="641"/>
        <v>07854330631</v>
      </c>
      <c r="D7836" t="str">
        <f t="shared" si="641"/>
        <v>07854330631</v>
      </c>
      <c r="E7836" t="s">
        <v>52</v>
      </c>
      <c r="F7836">
        <v>2014</v>
      </c>
      <c r="G7836">
        <v>564</v>
      </c>
      <c r="H7836" s="1">
        <v>41828</v>
      </c>
      <c r="I7836" s="1">
        <v>42094</v>
      </c>
      <c r="J7836" s="1">
        <v>42094</v>
      </c>
      <c r="K7836" s="1">
        <v>42154</v>
      </c>
      <c r="N7836" s="5"/>
      <c r="O7836">
        <v>624</v>
      </c>
      <c r="P7836">
        <v>37</v>
      </c>
      <c r="Q7836" s="2">
        <v>23088</v>
      </c>
      <c r="R7836">
        <v>0</v>
      </c>
      <c r="V7836">
        <v>0</v>
      </c>
      <c r="W7836">
        <v>0</v>
      </c>
      <c r="X7836">
        <v>0</v>
      </c>
      <c r="Y7836">
        <v>0</v>
      </c>
      <c r="Z7836">
        <v>624</v>
      </c>
      <c r="AA7836">
        <v>0</v>
      </c>
      <c r="AB7836" s="1">
        <v>42382</v>
      </c>
      <c r="AC7836" t="s">
        <v>53</v>
      </c>
      <c r="AD7836" t="s">
        <v>53</v>
      </c>
      <c r="AK7836">
        <v>0</v>
      </c>
      <c r="AU7836" s="6">
        <v>42191</v>
      </c>
      <c r="AV7836" s="6">
        <v>42191</v>
      </c>
      <c r="AW7836" t="s">
        <v>54</v>
      </c>
      <c r="AX7836" t="str">
        <f t="shared" si="639"/>
        <v>FOR</v>
      </c>
      <c r="AY7836" t="s">
        <v>55</v>
      </c>
    </row>
    <row r="7837" spans="1:51" hidden="1">
      <c r="A7837">
        <v>104489</v>
      </c>
      <c r="B7837" t="s">
        <v>1329</v>
      </c>
      <c r="C7837" t="str">
        <f t="shared" si="641"/>
        <v>07854330631</v>
      </c>
      <c r="D7837" t="str">
        <f t="shared" si="641"/>
        <v>07854330631</v>
      </c>
      <c r="E7837" t="s">
        <v>52</v>
      </c>
      <c r="F7837">
        <v>2014</v>
      </c>
      <c r="G7837">
        <v>565</v>
      </c>
      <c r="H7837" s="1">
        <v>41828</v>
      </c>
      <c r="I7837" s="1">
        <v>42094</v>
      </c>
      <c r="J7837" s="1">
        <v>42094</v>
      </c>
      <c r="K7837" s="1">
        <v>42154</v>
      </c>
      <c r="N7837" s="5"/>
      <c r="O7837">
        <v>624</v>
      </c>
      <c r="P7837">
        <v>37</v>
      </c>
      <c r="Q7837" s="2">
        <v>23088</v>
      </c>
      <c r="R7837">
        <v>0</v>
      </c>
      <c r="V7837">
        <v>0</v>
      </c>
      <c r="W7837">
        <v>0</v>
      </c>
      <c r="X7837">
        <v>0</v>
      </c>
      <c r="Y7837">
        <v>0</v>
      </c>
      <c r="Z7837">
        <v>624</v>
      </c>
      <c r="AA7837">
        <v>0</v>
      </c>
      <c r="AB7837" s="1">
        <v>42382</v>
      </c>
      <c r="AC7837" t="s">
        <v>53</v>
      </c>
      <c r="AD7837" t="s">
        <v>53</v>
      </c>
      <c r="AK7837">
        <v>0</v>
      </c>
      <c r="AU7837" s="6">
        <v>42191</v>
      </c>
      <c r="AV7837" s="6">
        <v>42191</v>
      </c>
      <c r="AW7837" t="s">
        <v>54</v>
      </c>
      <c r="AX7837" t="str">
        <f t="shared" si="639"/>
        <v>FOR</v>
      </c>
      <c r="AY7837" t="s">
        <v>55</v>
      </c>
    </row>
    <row r="7838" spans="1:51" hidden="1">
      <c r="A7838">
        <v>104489</v>
      </c>
      <c r="B7838" t="s">
        <v>1329</v>
      </c>
      <c r="C7838" t="str">
        <f t="shared" si="641"/>
        <v>07854330631</v>
      </c>
      <c r="D7838" t="str">
        <f t="shared" si="641"/>
        <v>07854330631</v>
      </c>
      <c r="E7838" t="s">
        <v>52</v>
      </c>
      <c r="F7838">
        <v>2014</v>
      </c>
      <c r="G7838">
        <v>566</v>
      </c>
      <c r="H7838" s="1">
        <v>41828</v>
      </c>
      <c r="I7838" s="1">
        <v>42094</v>
      </c>
      <c r="J7838" s="1">
        <v>42094</v>
      </c>
      <c r="K7838" s="1">
        <v>42154</v>
      </c>
      <c r="N7838" s="5"/>
      <c r="O7838">
        <v>624</v>
      </c>
      <c r="P7838">
        <v>37</v>
      </c>
      <c r="Q7838" s="2">
        <v>23088</v>
      </c>
      <c r="R7838">
        <v>0</v>
      </c>
      <c r="V7838">
        <v>0</v>
      </c>
      <c r="W7838">
        <v>0</v>
      </c>
      <c r="X7838">
        <v>0</v>
      </c>
      <c r="Y7838">
        <v>0</v>
      </c>
      <c r="Z7838">
        <v>624</v>
      </c>
      <c r="AA7838">
        <v>0</v>
      </c>
      <c r="AB7838" s="1">
        <v>42382</v>
      </c>
      <c r="AC7838" t="s">
        <v>53</v>
      </c>
      <c r="AD7838" t="s">
        <v>53</v>
      </c>
      <c r="AK7838">
        <v>0</v>
      </c>
      <c r="AU7838" s="6">
        <v>42191</v>
      </c>
      <c r="AV7838" s="6">
        <v>42191</v>
      </c>
      <c r="AW7838" t="s">
        <v>54</v>
      </c>
      <c r="AX7838" t="str">
        <f t="shared" si="639"/>
        <v>FOR</v>
      </c>
      <c r="AY7838" t="s">
        <v>55</v>
      </c>
    </row>
    <row r="7839" spans="1:51" hidden="1">
      <c r="A7839">
        <v>104489</v>
      </c>
      <c r="B7839" t="s">
        <v>1329</v>
      </c>
      <c r="C7839" t="str">
        <f t="shared" si="641"/>
        <v>07854330631</v>
      </c>
      <c r="D7839" t="str">
        <f t="shared" si="641"/>
        <v>07854330631</v>
      </c>
      <c r="E7839" t="s">
        <v>52</v>
      </c>
      <c r="F7839">
        <v>2014</v>
      </c>
      <c r="G7839">
        <v>567</v>
      </c>
      <c r="H7839" s="1">
        <v>41828</v>
      </c>
      <c r="I7839" s="1">
        <v>42094</v>
      </c>
      <c r="J7839" s="1">
        <v>42094</v>
      </c>
      <c r="K7839" s="1">
        <v>42154</v>
      </c>
      <c r="N7839" s="5"/>
      <c r="O7839">
        <v>145.6</v>
      </c>
      <c r="P7839">
        <v>37</v>
      </c>
      <c r="Q7839" s="2">
        <v>5387.2</v>
      </c>
      <c r="R7839">
        <v>0</v>
      </c>
      <c r="V7839">
        <v>0</v>
      </c>
      <c r="W7839">
        <v>0</v>
      </c>
      <c r="X7839">
        <v>0</v>
      </c>
      <c r="Y7839">
        <v>0</v>
      </c>
      <c r="Z7839">
        <v>145.6</v>
      </c>
      <c r="AA7839">
        <v>0</v>
      </c>
      <c r="AB7839" s="1">
        <v>42382</v>
      </c>
      <c r="AC7839" t="s">
        <v>53</v>
      </c>
      <c r="AD7839" t="s">
        <v>53</v>
      </c>
      <c r="AK7839">
        <v>0</v>
      </c>
      <c r="AU7839" s="6">
        <v>42191</v>
      </c>
      <c r="AV7839" s="6">
        <v>42191</v>
      </c>
      <c r="AW7839" t="s">
        <v>54</v>
      </c>
      <c r="AX7839" t="str">
        <f t="shared" si="639"/>
        <v>FOR</v>
      </c>
      <c r="AY7839" t="s">
        <v>55</v>
      </c>
    </row>
    <row r="7840" spans="1:51" hidden="1">
      <c r="A7840">
        <v>104489</v>
      </c>
      <c r="B7840" t="s">
        <v>1329</v>
      </c>
      <c r="C7840" t="str">
        <f t="shared" si="641"/>
        <v>07854330631</v>
      </c>
      <c r="D7840" t="str">
        <f t="shared" si="641"/>
        <v>07854330631</v>
      </c>
      <c r="E7840" t="s">
        <v>52</v>
      </c>
      <c r="F7840">
        <v>2014</v>
      </c>
      <c r="G7840">
        <v>568</v>
      </c>
      <c r="H7840" s="1">
        <v>41828</v>
      </c>
      <c r="I7840" s="1">
        <v>42094</v>
      </c>
      <c r="J7840" s="1">
        <v>42094</v>
      </c>
      <c r="K7840" s="1">
        <v>42154</v>
      </c>
      <c r="N7840" s="5"/>
      <c r="O7840">
        <v>145.6</v>
      </c>
      <c r="P7840">
        <v>37</v>
      </c>
      <c r="Q7840" s="2">
        <v>5387.2</v>
      </c>
      <c r="R7840">
        <v>0</v>
      </c>
      <c r="V7840">
        <v>0</v>
      </c>
      <c r="W7840">
        <v>0</v>
      </c>
      <c r="X7840">
        <v>0</v>
      </c>
      <c r="Y7840">
        <v>0</v>
      </c>
      <c r="Z7840">
        <v>145.6</v>
      </c>
      <c r="AA7840">
        <v>0</v>
      </c>
      <c r="AB7840" s="1">
        <v>42382</v>
      </c>
      <c r="AC7840" t="s">
        <v>53</v>
      </c>
      <c r="AD7840" t="s">
        <v>53</v>
      </c>
      <c r="AK7840">
        <v>0</v>
      </c>
      <c r="AU7840" s="6">
        <v>42191</v>
      </c>
      <c r="AV7840" s="6">
        <v>42191</v>
      </c>
      <c r="AW7840" t="s">
        <v>54</v>
      </c>
      <c r="AX7840" t="str">
        <f t="shared" si="639"/>
        <v>FOR</v>
      </c>
      <c r="AY7840" t="s">
        <v>55</v>
      </c>
    </row>
    <row r="7841" spans="1:51" hidden="1">
      <c r="A7841">
        <v>104489</v>
      </c>
      <c r="B7841" t="s">
        <v>1329</v>
      </c>
      <c r="C7841" t="str">
        <f t="shared" si="641"/>
        <v>07854330631</v>
      </c>
      <c r="D7841" t="str">
        <f t="shared" si="641"/>
        <v>07854330631</v>
      </c>
      <c r="E7841" t="s">
        <v>52</v>
      </c>
      <c r="F7841">
        <v>2014</v>
      </c>
      <c r="G7841">
        <v>569</v>
      </c>
      <c r="H7841" s="1">
        <v>41828</v>
      </c>
      <c r="I7841" s="1">
        <v>42094</v>
      </c>
      <c r="J7841" s="1">
        <v>42094</v>
      </c>
      <c r="K7841" s="1">
        <v>42154</v>
      </c>
      <c r="N7841" s="5"/>
      <c r="O7841">
        <v>145.6</v>
      </c>
      <c r="P7841">
        <v>37</v>
      </c>
      <c r="Q7841" s="2">
        <v>5387.2</v>
      </c>
      <c r="R7841">
        <v>0</v>
      </c>
      <c r="V7841">
        <v>0</v>
      </c>
      <c r="W7841">
        <v>0</v>
      </c>
      <c r="X7841">
        <v>0</v>
      </c>
      <c r="Y7841">
        <v>0</v>
      </c>
      <c r="Z7841">
        <v>145.6</v>
      </c>
      <c r="AA7841">
        <v>0</v>
      </c>
      <c r="AB7841" s="1">
        <v>42382</v>
      </c>
      <c r="AC7841" t="s">
        <v>53</v>
      </c>
      <c r="AD7841" t="s">
        <v>53</v>
      </c>
      <c r="AK7841">
        <v>0</v>
      </c>
      <c r="AU7841" s="6">
        <v>42191</v>
      </c>
      <c r="AV7841" s="6">
        <v>42191</v>
      </c>
      <c r="AW7841" t="s">
        <v>54</v>
      </c>
      <c r="AX7841" t="str">
        <f t="shared" si="639"/>
        <v>FOR</v>
      </c>
      <c r="AY7841" t="s">
        <v>55</v>
      </c>
    </row>
    <row r="7842" spans="1:51" hidden="1">
      <c r="A7842">
        <v>104489</v>
      </c>
      <c r="B7842" t="s">
        <v>1329</v>
      </c>
      <c r="C7842" t="str">
        <f t="shared" si="641"/>
        <v>07854330631</v>
      </c>
      <c r="D7842" t="str">
        <f t="shared" si="641"/>
        <v>07854330631</v>
      </c>
      <c r="E7842" t="s">
        <v>52</v>
      </c>
      <c r="F7842">
        <v>2014</v>
      </c>
      <c r="G7842">
        <v>570</v>
      </c>
      <c r="H7842" s="1">
        <v>41828</v>
      </c>
      <c r="I7842" s="1">
        <v>42094</v>
      </c>
      <c r="J7842" s="1">
        <v>42094</v>
      </c>
      <c r="K7842" s="1">
        <v>42154</v>
      </c>
      <c r="N7842" s="5"/>
      <c r="O7842">
        <v>145.6</v>
      </c>
      <c r="P7842">
        <v>37</v>
      </c>
      <c r="Q7842" s="2">
        <v>5387.2</v>
      </c>
      <c r="R7842">
        <v>0</v>
      </c>
      <c r="V7842">
        <v>0</v>
      </c>
      <c r="W7842">
        <v>0</v>
      </c>
      <c r="X7842">
        <v>0</v>
      </c>
      <c r="Y7842">
        <v>0</v>
      </c>
      <c r="Z7842">
        <v>145.6</v>
      </c>
      <c r="AA7842">
        <v>0</v>
      </c>
      <c r="AB7842" s="1">
        <v>42382</v>
      </c>
      <c r="AC7842" t="s">
        <v>53</v>
      </c>
      <c r="AD7842" t="s">
        <v>53</v>
      </c>
      <c r="AK7842">
        <v>0</v>
      </c>
      <c r="AU7842" s="6">
        <v>42191</v>
      </c>
      <c r="AV7842" s="6">
        <v>42191</v>
      </c>
      <c r="AW7842" t="s">
        <v>54</v>
      </c>
      <c r="AX7842" t="str">
        <f t="shared" si="639"/>
        <v>FOR</v>
      </c>
      <c r="AY7842" t="s">
        <v>55</v>
      </c>
    </row>
    <row r="7843" spans="1:51" hidden="1">
      <c r="A7843">
        <v>104489</v>
      </c>
      <c r="B7843" t="s">
        <v>1329</v>
      </c>
      <c r="C7843" t="str">
        <f t="shared" si="641"/>
        <v>07854330631</v>
      </c>
      <c r="D7843" t="str">
        <f t="shared" si="641"/>
        <v>07854330631</v>
      </c>
      <c r="E7843" t="s">
        <v>52</v>
      </c>
      <c r="F7843">
        <v>2014</v>
      </c>
      <c r="G7843">
        <v>571</v>
      </c>
      <c r="H7843" s="1">
        <v>41828</v>
      </c>
      <c r="I7843" s="1">
        <v>42094</v>
      </c>
      <c r="J7843" s="1">
        <v>42094</v>
      </c>
      <c r="K7843" s="1">
        <v>42154</v>
      </c>
      <c r="N7843" s="5"/>
      <c r="O7843">
        <v>145.6</v>
      </c>
      <c r="P7843">
        <v>37</v>
      </c>
      <c r="Q7843" s="2">
        <v>5387.2</v>
      </c>
      <c r="R7843">
        <v>0</v>
      </c>
      <c r="V7843">
        <v>0</v>
      </c>
      <c r="W7843">
        <v>0</v>
      </c>
      <c r="X7843">
        <v>0</v>
      </c>
      <c r="Y7843">
        <v>0</v>
      </c>
      <c r="Z7843">
        <v>145.6</v>
      </c>
      <c r="AA7843">
        <v>0</v>
      </c>
      <c r="AB7843" s="1">
        <v>42382</v>
      </c>
      <c r="AC7843" t="s">
        <v>53</v>
      </c>
      <c r="AD7843" t="s">
        <v>53</v>
      </c>
      <c r="AK7843">
        <v>0</v>
      </c>
      <c r="AU7843" s="6">
        <v>42191</v>
      </c>
      <c r="AV7843" s="6">
        <v>42191</v>
      </c>
      <c r="AW7843" t="s">
        <v>54</v>
      </c>
      <c r="AX7843" t="str">
        <f t="shared" si="639"/>
        <v>FOR</v>
      </c>
      <c r="AY7843" t="s">
        <v>55</v>
      </c>
    </row>
    <row r="7844" spans="1:51" hidden="1">
      <c r="A7844">
        <v>104489</v>
      </c>
      <c r="B7844" t="s">
        <v>1329</v>
      </c>
      <c r="C7844" t="str">
        <f t="shared" si="641"/>
        <v>07854330631</v>
      </c>
      <c r="D7844" t="str">
        <f t="shared" si="641"/>
        <v>07854330631</v>
      </c>
      <c r="E7844" t="s">
        <v>52</v>
      </c>
      <c r="F7844">
        <v>2014</v>
      </c>
      <c r="G7844">
        <v>572</v>
      </c>
      <c r="H7844" s="1">
        <v>41828</v>
      </c>
      <c r="I7844" s="1">
        <v>42094</v>
      </c>
      <c r="J7844" s="1">
        <v>42094</v>
      </c>
      <c r="K7844" s="1">
        <v>42154</v>
      </c>
      <c r="N7844" s="5"/>
      <c r="O7844">
        <v>145.6</v>
      </c>
      <c r="P7844">
        <v>37</v>
      </c>
      <c r="Q7844" s="2">
        <v>5387.2</v>
      </c>
      <c r="R7844">
        <v>0</v>
      </c>
      <c r="V7844">
        <v>0</v>
      </c>
      <c r="W7844">
        <v>0</v>
      </c>
      <c r="X7844">
        <v>0</v>
      </c>
      <c r="Y7844">
        <v>0</v>
      </c>
      <c r="Z7844">
        <v>145.6</v>
      </c>
      <c r="AA7844">
        <v>0</v>
      </c>
      <c r="AB7844" s="1">
        <v>42382</v>
      </c>
      <c r="AC7844" t="s">
        <v>53</v>
      </c>
      <c r="AD7844" t="s">
        <v>53</v>
      </c>
      <c r="AK7844">
        <v>0</v>
      </c>
      <c r="AU7844" s="6">
        <v>42191</v>
      </c>
      <c r="AV7844" s="6">
        <v>42191</v>
      </c>
      <c r="AW7844" t="s">
        <v>54</v>
      </c>
      <c r="AX7844" t="str">
        <f t="shared" si="639"/>
        <v>FOR</v>
      </c>
      <c r="AY7844" t="s">
        <v>55</v>
      </c>
    </row>
    <row r="7845" spans="1:51" hidden="1">
      <c r="A7845">
        <v>104489</v>
      </c>
      <c r="B7845" t="s">
        <v>1329</v>
      </c>
      <c r="C7845" t="str">
        <f t="shared" si="641"/>
        <v>07854330631</v>
      </c>
      <c r="D7845" t="str">
        <f t="shared" si="641"/>
        <v>07854330631</v>
      </c>
      <c r="E7845" t="s">
        <v>52</v>
      </c>
      <c r="F7845">
        <v>2014</v>
      </c>
      <c r="G7845">
        <v>605</v>
      </c>
      <c r="H7845" s="1">
        <v>41838</v>
      </c>
      <c r="I7845" s="1">
        <v>42094</v>
      </c>
      <c r="J7845" s="1">
        <v>42094</v>
      </c>
      <c r="K7845" s="1">
        <v>42154</v>
      </c>
      <c r="N7845" s="5"/>
      <c r="O7845">
        <v>884</v>
      </c>
      <c r="P7845">
        <v>37</v>
      </c>
      <c r="Q7845" s="2">
        <v>32708</v>
      </c>
      <c r="R7845">
        <v>0</v>
      </c>
      <c r="V7845">
        <v>0</v>
      </c>
      <c r="W7845">
        <v>0</v>
      </c>
      <c r="X7845">
        <v>0</v>
      </c>
      <c r="Y7845">
        <v>0</v>
      </c>
      <c r="Z7845">
        <v>884</v>
      </c>
      <c r="AA7845">
        <v>0</v>
      </c>
      <c r="AB7845" s="1">
        <v>42382</v>
      </c>
      <c r="AC7845" t="s">
        <v>53</v>
      </c>
      <c r="AD7845" t="s">
        <v>53</v>
      </c>
      <c r="AK7845">
        <v>0</v>
      </c>
      <c r="AU7845" s="6">
        <v>42191</v>
      </c>
      <c r="AV7845" s="6">
        <v>42191</v>
      </c>
      <c r="AW7845" t="s">
        <v>54</v>
      </c>
      <c r="AX7845" t="str">
        <f t="shared" si="639"/>
        <v>FOR</v>
      </c>
      <c r="AY7845" t="s">
        <v>55</v>
      </c>
    </row>
    <row r="7846" spans="1:51" hidden="1">
      <c r="A7846">
        <v>104489</v>
      </c>
      <c r="B7846" t="s">
        <v>1329</v>
      </c>
      <c r="C7846" t="str">
        <f t="shared" si="641"/>
        <v>07854330631</v>
      </c>
      <c r="D7846" t="str">
        <f t="shared" si="641"/>
        <v>07854330631</v>
      </c>
      <c r="E7846" t="s">
        <v>52</v>
      </c>
      <c r="F7846">
        <v>2014</v>
      </c>
      <c r="G7846">
        <v>674</v>
      </c>
      <c r="H7846" s="1">
        <v>41880</v>
      </c>
      <c r="I7846" s="1">
        <v>42094</v>
      </c>
      <c r="J7846" s="1">
        <v>42094</v>
      </c>
      <c r="K7846" s="1">
        <v>42154</v>
      </c>
      <c r="N7846" s="5"/>
      <c r="O7846">
        <v>884</v>
      </c>
      <c r="P7846">
        <v>37</v>
      </c>
      <c r="Q7846" s="2">
        <v>32708</v>
      </c>
      <c r="R7846">
        <v>0</v>
      </c>
      <c r="V7846">
        <v>0</v>
      </c>
      <c r="W7846">
        <v>0</v>
      </c>
      <c r="X7846">
        <v>0</v>
      </c>
      <c r="Y7846">
        <v>0</v>
      </c>
      <c r="Z7846">
        <v>884</v>
      </c>
      <c r="AA7846">
        <v>0</v>
      </c>
      <c r="AB7846" s="1">
        <v>42382</v>
      </c>
      <c r="AC7846" t="s">
        <v>53</v>
      </c>
      <c r="AD7846" t="s">
        <v>53</v>
      </c>
      <c r="AK7846">
        <v>0</v>
      </c>
      <c r="AU7846" s="6">
        <v>42191</v>
      </c>
      <c r="AV7846" s="6">
        <v>42191</v>
      </c>
      <c r="AW7846" t="s">
        <v>54</v>
      </c>
      <c r="AX7846" t="str">
        <f t="shared" si="639"/>
        <v>FOR</v>
      </c>
      <c r="AY7846" t="s">
        <v>55</v>
      </c>
    </row>
    <row r="7847" spans="1:51" hidden="1">
      <c r="A7847">
        <v>104489</v>
      </c>
      <c r="B7847" t="s">
        <v>1329</v>
      </c>
      <c r="C7847" t="str">
        <f t="shared" si="641"/>
        <v>07854330631</v>
      </c>
      <c r="D7847" t="str">
        <f t="shared" si="641"/>
        <v>07854330631</v>
      </c>
      <c r="E7847" t="s">
        <v>52</v>
      </c>
      <c r="F7847">
        <v>2014</v>
      </c>
      <c r="G7847">
        <v>747</v>
      </c>
      <c r="H7847" s="1">
        <v>41905</v>
      </c>
      <c r="I7847" s="1">
        <v>42094</v>
      </c>
      <c r="J7847" s="1">
        <v>42094</v>
      </c>
      <c r="K7847" s="1">
        <v>42154</v>
      </c>
      <c r="N7847" s="5"/>
      <c r="O7847">
        <v>884</v>
      </c>
      <c r="P7847">
        <v>94</v>
      </c>
      <c r="Q7847" s="2">
        <v>83096</v>
      </c>
      <c r="R7847">
        <v>0</v>
      </c>
      <c r="V7847">
        <v>0</v>
      </c>
      <c r="W7847">
        <v>0</v>
      </c>
      <c r="X7847">
        <v>0</v>
      </c>
      <c r="Y7847">
        <v>0</v>
      </c>
      <c r="Z7847">
        <v>884</v>
      </c>
      <c r="AA7847">
        <v>0</v>
      </c>
      <c r="AB7847" s="1">
        <v>42382</v>
      </c>
      <c r="AC7847" t="s">
        <v>53</v>
      </c>
      <c r="AD7847" t="s">
        <v>53</v>
      </c>
      <c r="AK7847">
        <v>0</v>
      </c>
      <c r="AU7847" s="6">
        <v>42248</v>
      </c>
      <c r="AV7847" s="6">
        <v>42248</v>
      </c>
      <c r="AW7847" t="s">
        <v>54</v>
      </c>
      <c r="AX7847" t="str">
        <f t="shared" si="639"/>
        <v>FOR</v>
      </c>
      <c r="AY7847" t="s">
        <v>55</v>
      </c>
    </row>
    <row r="7848" spans="1:51" hidden="1">
      <c r="A7848">
        <v>104489</v>
      </c>
      <c r="B7848" t="s">
        <v>1329</v>
      </c>
      <c r="C7848" t="str">
        <f t="shared" si="641"/>
        <v>07854330631</v>
      </c>
      <c r="D7848" t="str">
        <f t="shared" si="641"/>
        <v>07854330631</v>
      </c>
      <c r="E7848" t="s">
        <v>52</v>
      </c>
      <c r="F7848">
        <v>2014</v>
      </c>
      <c r="G7848">
        <v>753</v>
      </c>
      <c r="H7848" s="1">
        <v>41912</v>
      </c>
      <c r="I7848" s="1">
        <v>42094</v>
      </c>
      <c r="J7848" s="1">
        <v>42094</v>
      </c>
      <c r="K7848" s="1">
        <v>42154</v>
      </c>
      <c r="N7848" s="5"/>
      <c r="O7848">
        <v>884</v>
      </c>
      <c r="P7848">
        <v>94</v>
      </c>
      <c r="Q7848" s="2">
        <v>83096</v>
      </c>
      <c r="R7848">
        <v>0</v>
      </c>
      <c r="V7848">
        <v>0</v>
      </c>
      <c r="W7848">
        <v>0</v>
      </c>
      <c r="X7848">
        <v>0</v>
      </c>
      <c r="Y7848">
        <v>0</v>
      </c>
      <c r="Z7848">
        <v>884</v>
      </c>
      <c r="AA7848">
        <v>0</v>
      </c>
      <c r="AB7848" s="1">
        <v>42382</v>
      </c>
      <c r="AC7848" t="s">
        <v>53</v>
      </c>
      <c r="AD7848" t="s">
        <v>53</v>
      </c>
      <c r="AK7848">
        <v>0</v>
      </c>
      <c r="AU7848" s="6">
        <v>42248</v>
      </c>
      <c r="AV7848" s="6">
        <v>42248</v>
      </c>
      <c r="AW7848" t="s">
        <v>54</v>
      </c>
      <c r="AX7848" t="str">
        <f t="shared" si="639"/>
        <v>FOR</v>
      </c>
      <c r="AY7848" t="s">
        <v>55</v>
      </c>
    </row>
    <row r="7849" spans="1:51" hidden="1">
      <c r="A7849">
        <v>104489</v>
      </c>
      <c r="B7849" t="s">
        <v>1329</v>
      </c>
      <c r="C7849" t="str">
        <f t="shared" si="641"/>
        <v>07854330631</v>
      </c>
      <c r="D7849" t="str">
        <f t="shared" si="641"/>
        <v>07854330631</v>
      </c>
      <c r="E7849" t="s">
        <v>52</v>
      </c>
      <c r="F7849">
        <v>2014</v>
      </c>
      <c r="G7849">
        <v>754</v>
      </c>
      <c r="H7849" s="1">
        <v>41912</v>
      </c>
      <c r="I7849" s="1">
        <v>42094</v>
      </c>
      <c r="J7849" s="1">
        <v>42094</v>
      </c>
      <c r="K7849" s="1">
        <v>42154</v>
      </c>
      <c r="N7849" s="5"/>
      <c r="O7849">
        <v>884</v>
      </c>
      <c r="P7849">
        <v>94</v>
      </c>
      <c r="Q7849" s="2">
        <v>83096</v>
      </c>
      <c r="R7849">
        <v>0</v>
      </c>
      <c r="V7849">
        <v>0</v>
      </c>
      <c r="W7849">
        <v>0</v>
      </c>
      <c r="X7849">
        <v>0</v>
      </c>
      <c r="Y7849">
        <v>0</v>
      </c>
      <c r="Z7849">
        <v>884</v>
      </c>
      <c r="AA7849">
        <v>0</v>
      </c>
      <c r="AB7849" s="1">
        <v>42382</v>
      </c>
      <c r="AC7849" t="s">
        <v>53</v>
      </c>
      <c r="AD7849" t="s">
        <v>53</v>
      </c>
      <c r="AK7849">
        <v>0</v>
      </c>
      <c r="AU7849" s="6">
        <v>42248</v>
      </c>
      <c r="AV7849" s="6">
        <v>42248</v>
      </c>
      <c r="AW7849" t="s">
        <v>54</v>
      </c>
      <c r="AX7849" t="str">
        <f t="shared" si="639"/>
        <v>FOR</v>
      </c>
      <c r="AY7849" t="s">
        <v>55</v>
      </c>
    </row>
    <row r="7850" spans="1:51">
      <c r="A7850">
        <v>104489</v>
      </c>
      <c r="B7850" t="s">
        <v>1329</v>
      </c>
      <c r="C7850" t="str">
        <f t="shared" si="641"/>
        <v>07854330631</v>
      </c>
      <c r="D7850" t="str">
        <f t="shared" si="641"/>
        <v>07854330631</v>
      </c>
      <c r="E7850" t="s">
        <v>52</v>
      </c>
      <c r="F7850">
        <v>2014</v>
      </c>
      <c r="G7850">
        <v>845</v>
      </c>
      <c r="H7850" s="1">
        <v>41942</v>
      </c>
      <c r="I7850" s="1">
        <v>42094</v>
      </c>
      <c r="J7850" s="1">
        <v>42094</v>
      </c>
      <c r="K7850" s="1">
        <v>42154</v>
      </c>
      <c r="L7850" s="7">
        <v>884</v>
      </c>
      <c r="M7850" s="5">
        <v>128</v>
      </c>
      <c r="N7850" s="7">
        <v>113152</v>
      </c>
      <c r="O7850">
        <v>884</v>
      </c>
      <c r="P7850">
        <v>128</v>
      </c>
      <c r="Q7850" s="2">
        <v>113152</v>
      </c>
      <c r="R7850">
        <v>0</v>
      </c>
      <c r="V7850">
        <v>0</v>
      </c>
      <c r="W7850">
        <v>0</v>
      </c>
      <c r="X7850">
        <v>0</v>
      </c>
      <c r="Y7850">
        <v>0</v>
      </c>
      <c r="Z7850">
        <v>884</v>
      </c>
      <c r="AA7850">
        <v>0</v>
      </c>
      <c r="AB7850" s="1">
        <v>42382</v>
      </c>
      <c r="AC7850" t="s">
        <v>53</v>
      </c>
      <c r="AD7850" t="s">
        <v>53</v>
      </c>
      <c r="AK7850">
        <v>0</v>
      </c>
      <c r="AU7850" s="6">
        <v>42282</v>
      </c>
      <c r="AV7850" s="6">
        <v>42282</v>
      </c>
      <c r="AW7850" t="s">
        <v>54</v>
      </c>
      <c r="AX7850" t="str">
        <f t="shared" si="639"/>
        <v>FOR</v>
      </c>
      <c r="AY7850" t="s">
        <v>55</v>
      </c>
    </row>
    <row r="7851" spans="1:51">
      <c r="A7851">
        <v>104489</v>
      </c>
      <c r="B7851" t="s">
        <v>1329</v>
      </c>
      <c r="C7851" t="str">
        <f t="shared" si="641"/>
        <v>07854330631</v>
      </c>
      <c r="D7851" t="str">
        <f t="shared" si="641"/>
        <v>07854330631</v>
      </c>
      <c r="E7851" t="s">
        <v>52</v>
      </c>
      <c r="F7851">
        <v>2014</v>
      </c>
      <c r="G7851">
        <v>936</v>
      </c>
      <c r="H7851" s="1">
        <v>41971</v>
      </c>
      <c r="I7851" s="1">
        <v>42094</v>
      </c>
      <c r="J7851" s="1">
        <v>42094</v>
      </c>
      <c r="K7851" s="1">
        <v>42154</v>
      </c>
      <c r="L7851" s="7">
        <v>884</v>
      </c>
      <c r="M7851" s="5">
        <v>128</v>
      </c>
      <c r="N7851" s="7">
        <v>113152</v>
      </c>
      <c r="O7851">
        <v>884</v>
      </c>
      <c r="P7851">
        <v>128</v>
      </c>
      <c r="Q7851" s="2">
        <v>113152</v>
      </c>
      <c r="R7851">
        <v>0</v>
      </c>
      <c r="V7851">
        <v>0</v>
      </c>
      <c r="W7851">
        <v>0</v>
      </c>
      <c r="X7851">
        <v>0</v>
      </c>
      <c r="Y7851">
        <v>0</v>
      </c>
      <c r="Z7851">
        <v>884</v>
      </c>
      <c r="AA7851">
        <v>0</v>
      </c>
      <c r="AB7851" s="1">
        <v>42382</v>
      </c>
      <c r="AC7851" t="s">
        <v>53</v>
      </c>
      <c r="AD7851" t="s">
        <v>53</v>
      </c>
      <c r="AK7851">
        <v>0</v>
      </c>
      <c r="AU7851" s="6">
        <v>42282</v>
      </c>
      <c r="AV7851" s="6">
        <v>42282</v>
      </c>
      <c r="AW7851" t="s">
        <v>54</v>
      </c>
      <c r="AX7851" t="str">
        <f t="shared" si="639"/>
        <v>FOR</v>
      </c>
      <c r="AY7851" t="s">
        <v>55</v>
      </c>
    </row>
    <row r="7852" spans="1:51">
      <c r="A7852">
        <v>104489</v>
      </c>
      <c r="B7852" t="s">
        <v>1329</v>
      </c>
      <c r="C7852" t="str">
        <f t="shared" si="641"/>
        <v>07854330631</v>
      </c>
      <c r="D7852" t="str">
        <f t="shared" si="641"/>
        <v>07854330631</v>
      </c>
      <c r="E7852" t="s">
        <v>52</v>
      </c>
      <c r="F7852">
        <v>2014</v>
      </c>
      <c r="G7852">
        <v>974</v>
      </c>
      <c r="H7852" s="1">
        <v>42002</v>
      </c>
      <c r="I7852" s="1">
        <v>42094</v>
      </c>
      <c r="J7852" s="1">
        <v>42094</v>
      </c>
      <c r="K7852" s="1">
        <v>42154</v>
      </c>
      <c r="L7852" s="7">
        <v>4080.96</v>
      </c>
      <c r="M7852" s="5">
        <v>186</v>
      </c>
      <c r="N7852" s="7">
        <v>759058.56</v>
      </c>
      <c r="O7852" s="2">
        <v>4080.96</v>
      </c>
      <c r="P7852">
        <v>186</v>
      </c>
      <c r="Q7852" s="2">
        <v>759058.56</v>
      </c>
      <c r="R7852">
        <v>0</v>
      </c>
      <c r="V7852">
        <v>0</v>
      </c>
      <c r="W7852">
        <v>0</v>
      </c>
      <c r="X7852">
        <v>0</v>
      </c>
      <c r="Y7852">
        <v>0</v>
      </c>
      <c r="Z7852" s="2">
        <v>4080.96</v>
      </c>
      <c r="AA7852">
        <v>0</v>
      </c>
      <c r="AB7852" s="1">
        <v>42382</v>
      </c>
      <c r="AC7852" t="s">
        <v>53</v>
      </c>
      <c r="AD7852" t="s">
        <v>53</v>
      </c>
      <c r="AK7852">
        <v>0</v>
      </c>
      <c r="AU7852" s="6">
        <v>42340</v>
      </c>
      <c r="AV7852" s="6">
        <v>42340</v>
      </c>
      <c r="AW7852" t="s">
        <v>54</v>
      </c>
      <c r="AX7852" t="str">
        <f t="shared" si="639"/>
        <v>FOR</v>
      </c>
      <c r="AY7852" t="s">
        <v>55</v>
      </c>
    </row>
    <row r="7853" spans="1:51">
      <c r="A7853">
        <v>104489</v>
      </c>
      <c r="B7853" t="s">
        <v>1329</v>
      </c>
      <c r="C7853" t="str">
        <f t="shared" si="641"/>
        <v>07854330631</v>
      </c>
      <c r="D7853" t="str">
        <f t="shared" si="641"/>
        <v>07854330631</v>
      </c>
      <c r="E7853" t="s">
        <v>52</v>
      </c>
      <c r="F7853">
        <v>2014</v>
      </c>
      <c r="G7853">
        <v>975</v>
      </c>
      <c r="H7853" s="1">
        <v>42002</v>
      </c>
      <c r="I7853" s="1">
        <v>42094</v>
      </c>
      <c r="J7853" s="1">
        <v>42094</v>
      </c>
      <c r="K7853" s="1">
        <v>42154</v>
      </c>
      <c r="L7853" s="7">
        <v>884</v>
      </c>
      <c r="M7853" s="5">
        <v>186</v>
      </c>
      <c r="N7853" s="7">
        <v>164424</v>
      </c>
      <c r="O7853">
        <v>884</v>
      </c>
      <c r="P7853">
        <v>186</v>
      </c>
      <c r="Q7853" s="2">
        <v>164424</v>
      </c>
      <c r="R7853">
        <v>0</v>
      </c>
      <c r="V7853">
        <v>0</v>
      </c>
      <c r="W7853">
        <v>0</v>
      </c>
      <c r="X7853">
        <v>0</v>
      </c>
      <c r="Y7853">
        <v>0</v>
      </c>
      <c r="Z7853">
        <v>884</v>
      </c>
      <c r="AA7853">
        <v>0</v>
      </c>
      <c r="AB7853" s="1">
        <v>42382</v>
      </c>
      <c r="AC7853" t="s">
        <v>53</v>
      </c>
      <c r="AD7853" t="s">
        <v>53</v>
      </c>
      <c r="AK7853">
        <v>0</v>
      </c>
      <c r="AU7853" s="6">
        <v>42340</v>
      </c>
      <c r="AV7853" s="6">
        <v>42340</v>
      </c>
      <c r="AW7853" t="s">
        <v>54</v>
      </c>
      <c r="AX7853" t="str">
        <f t="shared" si="639"/>
        <v>FOR</v>
      </c>
      <c r="AY7853" t="s">
        <v>55</v>
      </c>
    </row>
    <row r="7854" spans="1:51">
      <c r="A7854">
        <v>104489</v>
      </c>
      <c r="B7854" t="s">
        <v>1329</v>
      </c>
      <c r="C7854" t="str">
        <f t="shared" si="641"/>
        <v>07854330631</v>
      </c>
      <c r="D7854" t="str">
        <f t="shared" si="641"/>
        <v>07854330631</v>
      </c>
      <c r="E7854" t="s">
        <v>52</v>
      </c>
      <c r="F7854">
        <v>2015</v>
      </c>
      <c r="G7854">
        <v>29</v>
      </c>
      <c r="H7854" s="1">
        <v>42034</v>
      </c>
      <c r="I7854" s="1">
        <v>42061</v>
      </c>
      <c r="J7854" s="1">
        <v>42061</v>
      </c>
      <c r="K7854" s="1">
        <v>42121</v>
      </c>
      <c r="L7854" s="7">
        <v>850</v>
      </c>
      <c r="M7854" s="5">
        <v>234</v>
      </c>
      <c r="N7854" s="7">
        <v>198900</v>
      </c>
      <c r="O7854">
        <v>850</v>
      </c>
      <c r="P7854">
        <v>234</v>
      </c>
      <c r="Q7854" s="2">
        <v>198900</v>
      </c>
      <c r="R7854">
        <v>34</v>
      </c>
      <c r="V7854">
        <v>0</v>
      </c>
      <c r="W7854">
        <v>0</v>
      </c>
      <c r="X7854">
        <v>0</v>
      </c>
      <c r="Y7854">
        <v>884</v>
      </c>
      <c r="Z7854">
        <v>884</v>
      </c>
      <c r="AA7854">
        <v>884</v>
      </c>
      <c r="AB7854" s="1">
        <v>42382</v>
      </c>
      <c r="AC7854" t="s">
        <v>53</v>
      </c>
      <c r="AD7854" t="s">
        <v>53</v>
      </c>
      <c r="AK7854">
        <v>34</v>
      </c>
      <c r="AU7854" s="6">
        <v>42355</v>
      </c>
      <c r="AV7854" s="6">
        <v>42355</v>
      </c>
      <c r="AW7854" t="s">
        <v>54</v>
      </c>
      <c r="AX7854" t="str">
        <f t="shared" si="639"/>
        <v>FOR</v>
      </c>
      <c r="AY7854" t="s">
        <v>55</v>
      </c>
    </row>
    <row r="7855" spans="1:51">
      <c r="A7855">
        <v>104489</v>
      </c>
      <c r="B7855" t="s">
        <v>1329</v>
      </c>
      <c r="C7855" t="str">
        <f t="shared" si="641"/>
        <v>07854330631</v>
      </c>
      <c r="D7855" t="str">
        <f t="shared" si="641"/>
        <v>07854330631</v>
      </c>
      <c r="E7855" t="s">
        <v>52</v>
      </c>
      <c r="F7855">
        <v>2015</v>
      </c>
      <c r="G7855">
        <v>30</v>
      </c>
      <c r="H7855" s="1">
        <v>42034</v>
      </c>
      <c r="I7855" s="1">
        <v>42061</v>
      </c>
      <c r="J7855" s="1">
        <v>42061</v>
      </c>
      <c r="K7855" s="1">
        <v>42121</v>
      </c>
      <c r="L7855" s="7">
        <v>850</v>
      </c>
      <c r="M7855" s="5">
        <v>234</v>
      </c>
      <c r="N7855" s="7">
        <v>198900</v>
      </c>
      <c r="O7855">
        <v>850</v>
      </c>
      <c r="P7855">
        <v>234</v>
      </c>
      <c r="Q7855" s="2">
        <v>198900</v>
      </c>
      <c r="R7855">
        <v>34</v>
      </c>
      <c r="V7855">
        <v>0</v>
      </c>
      <c r="W7855">
        <v>0</v>
      </c>
      <c r="X7855">
        <v>0</v>
      </c>
      <c r="Y7855">
        <v>884</v>
      </c>
      <c r="Z7855">
        <v>884</v>
      </c>
      <c r="AA7855">
        <v>884</v>
      </c>
      <c r="AB7855" s="1">
        <v>42382</v>
      </c>
      <c r="AC7855" t="s">
        <v>53</v>
      </c>
      <c r="AD7855" t="s">
        <v>53</v>
      </c>
      <c r="AK7855">
        <v>34</v>
      </c>
      <c r="AU7855" s="6">
        <v>42355</v>
      </c>
      <c r="AV7855" s="6">
        <v>42355</v>
      </c>
      <c r="AW7855" t="s">
        <v>54</v>
      </c>
      <c r="AX7855" t="str">
        <f t="shared" si="639"/>
        <v>FOR</v>
      </c>
      <c r="AY7855" t="s">
        <v>55</v>
      </c>
    </row>
    <row r="7856" spans="1:51" hidden="1">
      <c r="A7856">
        <v>104491</v>
      </c>
      <c r="B7856" t="s">
        <v>1330</v>
      </c>
      <c r="C7856" t="str">
        <f t="shared" ref="C7856:D7864" si="642">"01572640181"</f>
        <v>01572640181</v>
      </c>
      <c r="D7856" t="str">
        <f t="shared" si="642"/>
        <v>01572640181</v>
      </c>
      <c r="E7856" t="s">
        <v>52</v>
      </c>
      <c r="F7856">
        <v>2013</v>
      </c>
      <c r="G7856">
        <v>91304448</v>
      </c>
      <c r="H7856" s="1">
        <v>41458</v>
      </c>
      <c r="I7856" s="1">
        <v>41465</v>
      </c>
      <c r="J7856" s="1">
        <v>41465</v>
      </c>
      <c r="K7856" s="1">
        <v>41555</v>
      </c>
      <c r="N7856" s="5"/>
      <c r="O7856" s="2">
        <v>2057</v>
      </c>
      <c r="P7856">
        <v>519</v>
      </c>
      <c r="Q7856" s="2">
        <v>1067583</v>
      </c>
      <c r="R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 s="1">
        <v>42382</v>
      </c>
      <c r="AC7856" t="s">
        <v>53</v>
      </c>
      <c r="AD7856" t="s">
        <v>53</v>
      </c>
      <c r="AK7856">
        <v>0</v>
      </c>
      <c r="AU7856" s="6">
        <v>42074</v>
      </c>
      <c r="AV7856" s="6">
        <v>42074</v>
      </c>
      <c r="AW7856" t="s">
        <v>54</v>
      </c>
      <c r="AX7856" t="str">
        <f t="shared" si="639"/>
        <v>FOR</v>
      </c>
      <c r="AY7856" t="s">
        <v>55</v>
      </c>
    </row>
    <row r="7857" spans="1:51" hidden="1">
      <c r="A7857">
        <v>104491</v>
      </c>
      <c r="B7857" t="s">
        <v>1330</v>
      </c>
      <c r="C7857" t="str">
        <f t="shared" si="642"/>
        <v>01572640181</v>
      </c>
      <c r="D7857" t="str">
        <f t="shared" si="642"/>
        <v>01572640181</v>
      </c>
      <c r="E7857" t="s">
        <v>52</v>
      </c>
      <c r="F7857">
        <v>2013</v>
      </c>
      <c r="G7857">
        <v>91305661</v>
      </c>
      <c r="H7857" s="1">
        <v>41516</v>
      </c>
      <c r="I7857" s="1">
        <v>41523</v>
      </c>
      <c r="J7857" s="1">
        <v>41523</v>
      </c>
      <c r="K7857" s="1">
        <v>41613</v>
      </c>
      <c r="N7857" s="5"/>
      <c r="O7857" s="2">
        <v>2057</v>
      </c>
      <c r="P7857">
        <v>461</v>
      </c>
      <c r="Q7857" s="2">
        <v>948277</v>
      </c>
      <c r="R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 s="1">
        <v>42382</v>
      </c>
      <c r="AC7857" t="s">
        <v>53</v>
      </c>
      <c r="AD7857" t="s">
        <v>53</v>
      </c>
      <c r="AK7857">
        <v>0</v>
      </c>
      <c r="AU7857" s="6">
        <v>42074</v>
      </c>
      <c r="AV7857" s="6">
        <v>42074</v>
      </c>
      <c r="AW7857" t="s">
        <v>54</v>
      </c>
      <c r="AX7857" t="str">
        <f t="shared" si="639"/>
        <v>FOR</v>
      </c>
      <c r="AY7857" t="s">
        <v>55</v>
      </c>
    </row>
    <row r="7858" spans="1:51" hidden="1">
      <c r="A7858">
        <v>104491</v>
      </c>
      <c r="B7858" t="s">
        <v>1330</v>
      </c>
      <c r="C7858" t="str">
        <f t="shared" si="642"/>
        <v>01572640181</v>
      </c>
      <c r="D7858" t="str">
        <f t="shared" si="642"/>
        <v>01572640181</v>
      </c>
      <c r="E7858" t="s">
        <v>52</v>
      </c>
      <c r="F7858">
        <v>2013</v>
      </c>
      <c r="G7858">
        <v>91306581</v>
      </c>
      <c r="H7858" s="1">
        <v>41556</v>
      </c>
      <c r="I7858" s="1">
        <v>41563</v>
      </c>
      <c r="J7858" s="1">
        <v>41563</v>
      </c>
      <c r="K7858" s="1">
        <v>41653</v>
      </c>
      <c r="N7858" s="5"/>
      <c r="O7858" s="2">
        <v>2074</v>
      </c>
      <c r="P7858">
        <v>421</v>
      </c>
      <c r="Q7858" s="2">
        <v>873154</v>
      </c>
      <c r="R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 s="1">
        <v>42382</v>
      </c>
      <c r="AC7858" t="s">
        <v>53</v>
      </c>
      <c r="AD7858" t="s">
        <v>53</v>
      </c>
      <c r="AK7858">
        <v>0</v>
      </c>
      <c r="AU7858" s="6">
        <v>42074</v>
      </c>
      <c r="AV7858" s="6">
        <v>42074</v>
      </c>
      <c r="AW7858" t="s">
        <v>54</v>
      </c>
      <c r="AX7858" t="str">
        <f t="shared" si="639"/>
        <v>FOR</v>
      </c>
      <c r="AY7858" t="s">
        <v>55</v>
      </c>
    </row>
    <row r="7859" spans="1:51" hidden="1">
      <c r="A7859">
        <v>104491</v>
      </c>
      <c r="B7859" t="s">
        <v>1330</v>
      </c>
      <c r="C7859" t="str">
        <f t="shared" si="642"/>
        <v>01572640181</v>
      </c>
      <c r="D7859" t="str">
        <f t="shared" si="642"/>
        <v>01572640181</v>
      </c>
      <c r="E7859" t="s">
        <v>52</v>
      </c>
      <c r="F7859">
        <v>2013</v>
      </c>
      <c r="G7859">
        <v>91307676</v>
      </c>
      <c r="H7859" s="1">
        <v>41599</v>
      </c>
      <c r="I7859" s="1">
        <v>41611</v>
      </c>
      <c r="J7859" s="1">
        <v>41611</v>
      </c>
      <c r="K7859" s="1">
        <v>41701</v>
      </c>
      <c r="N7859" s="5"/>
      <c r="O7859" s="2">
        <v>7551.8</v>
      </c>
      <c r="P7859">
        <v>373</v>
      </c>
      <c r="Q7859" s="2">
        <v>2816821.4</v>
      </c>
      <c r="R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 s="1">
        <v>42382</v>
      </c>
      <c r="AC7859" t="s">
        <v>53</v>
      </c>
      <c r="AD7859" t="s">
        <v>53</v>
      </c>
      <c r="AK7859">
        <v>0</v>
      </c>
      <c r="AU7859" s="6">
        <v>42074</v>
      </c>
      <c r="AV7859" s="6">
        <v>42074</v>
      </c>
      <c r="AW7859" t="s">
        <v>54</v>
      </c>
      <c r="AX7859" t="str">
        <f t="shared" si="639"/>
        <v>FOR</v>
      </c>
      <c r="AY7859" t="s">
        <v>55</v>
      </c>
    </row>
    <row r="7860" spans="1:51" hidden="1">
      <c r="A7860">
        <v>104491</v>
      </c>
      <c r="B7860" t="s">
        <v>1330</v>
      </c>
      <c r="C7860" t="str">
        <f t="shared" si="642"/>
        <v>01572640181</v>
      </c>
      <c r="D7860" t="str">
        <f t="shared" si="642"/>
        <v>01572640181</v>
      </c>
      <c r="E7860" t="s">
        <v>52</v>
      </c>
      <c r="F7860">
        <v>2014</v>
      </c>
      <c r="G7860">
        <v>91401672</v>
      </c>
      <c r="H7860" s="1">
        <v>41705</v>
      </c>
      <c r="I7860" s="1">
        <v>41715</v>
      </c>
      <c r="J7860" s="1">
        <v>41715</v>
      </c>
      <c r="K7860" s="1">
        <v>41805</v>
      </c>
      <c r="N7860" s="5"/>
      <c r="O7860" s="2">
        <v>2074</v>
      </c>
      <c r="P7860">
        <v>269</v>
      </c>
      <c r="Q7860" s="2">
        <v>557906</v>
      </c>
      <c r="R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 s="1">
        <v>42382</v>
      </c>
      <c r="AC7860" t="s">
        <v>53</v>
      </c>
      <c r="AD7860" t="s">
        <v>53</v>
      </c>
      <c r="AK7860">
        <v>0</v>
      </c>
      <c r="AU7860" s="6">
        <v>42074</v>
      </c>
      <c r="AV7860" s="6">
        <v>42074</v>
      </c>
      <c r="AW7860" t="s">
        <v>54</v>
      </c>
      <c r="AX7860" t="str">
        <f t="shared" si="639"/>
        <v>FOR</v>
      </c>
      <c r="AY7860" t="s">
        <v>55</v>
      </c>
    </row>
    <row r="7861" spans="1:51" hidden="1">
      <c r="A7861">
        <v>104491</v>
      </c>
      <c r="B7861" t="s">
        <v>1330</v>
      </c>
      <c r="C7861" t="str">
        <f t="shared" si="642"/>
        <v>01572640181</v>
      </c>
      <c r="D7861" t="str">
        <f t="shared" si="642"/>
        <v>01572640181</v>
      </c>
      <c r="E7861" t="s">
        <v>52</v>
      </c>
      <c r="F7861">
        <v>2014</v>
      </c>
      <c r="G7861">
        <v>91401791</v>
      </c>
      <c r="H7861" s="1">
        <v>41710</v>
      </c>
      <c r="I7861" s="1">
        <v>41719</v>
      </c>
      <c r="J7861" s="1">
        <v>41719</v>
      </c>
      <c r="K7861" s="1">
        <v>41809</v>
      </c>
      <c r="N7861" s="5"/>
      <c r="O7861" s="2">
        <v>2074</v>
      </c>
      <c r="P7861">
        <v>265</v>
      </c>
      <c r="Q7861" s="2">
        <v>549610</v>
      </c>
      <c r="R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 s="1">
        <v>42382</v>
      </c>
      <c r="AC7861" t="s">
        <v>53</v>
      </c>
      <c r="AD7861" t="s">
        <v>53</v>
      </c>
      <c r="AK7861">
        <v>0</v>
      </c>
      <c r="AU7861" s="6">
        <v>42074</v>
      </c>
      <c r="AV7861" s="6">
        <v>42074</v>
      </c>
      <c r="AW7861" t="s">
        <v>54</v>
      </c>
      <c r="AX7861" t="str">
        <f t="shared" si="639"/>
        <v>FOR</v>
      </c>
      <c r="AY7861" t="s">
        <v>55</v>
      </c>
    </row>
    <row r="7862" spans="1:51" hidden="1">
      <c r="A7862">
        <v>104491</v>
      </c>
      <c r="B7862" t="s">
        <v>1330</v>
      </c>
      <c r="C7862" t="str">
        <f t="shared" si="642"/>
        <v>01572640181</v>
      </c>
      <c r="D7862" t="str">
        <f t="shared" si="642"/>
        <v>01572640181</v>
      </c>
      <c r="E7862" t="s">
        <v>52</v>
      </c>
      <c r="F7862">
        <v>2014</v>
      </c>
      <c r="G7862">
        <v>91402167</v>
      </c>
      <c r="H7862" s="1">
        <v>41724</v>
      </c>
      <c r="I7862" s="1">
        <v>41739</v>
      </c>
      <c r="J7862" s="1">
        <v>41739</v>
      </c>
      <c r="K7862" s="1">
        <v>41829</v>
      </c>
      <c r="N7862" s="5"/>
      <c r="O7862" s="2">
        <v>2074</v>
      </c>
      <c r="P7862">
        <v>245</v>
      </c>
      <c r="Q7862" s="2">
        <v>508130</v>
      </c>
      <c r="R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 s="1">
        <v>42382</v>
      </c>
      <c r="AC7862" t="s">
        <v>53</v>
      </c>
      <c r="AD7862" t="s">
        <v>53</v>
      </c>
      <c r="AK7862">
        <v>0</v>
      </c>
      <c r="AU7862" s="6">
        <v>42074</v>
      </c>
      <c r="AV7862" s="6">
        <v>42074</v>
      </c>
      <c r="AW7862" t="s">
        <v>54</v>
      </c>
      <c r="AX7862" t="str">
        <f t="shared" si="639"/>
        <v>FOR</v>
      </c>
      <c r="AY7862" t="s">
        <v>55</v>
      </c>
    </row>
    <row r="7863" spans="1:51" hidden="1">
      <c r="A7863">
        <v>104491</v>
      </c>
      <c r="B7863" t="s">
        <v>1330</v>
      </c>
      <c r="C7863" t="str">
        <f t="shared" si="642"/>
        <v>01572640181</v>
      </c>
      <c r="D7863" t="str">
        <f t="shared" si="642"/>
        <v>01572640181</v>
      </c>
      <c r="E7863" t="s">
        <v>52</v>
      </c>
      <c r="F7863">
        <v>2014</v>
      </c>
      <c r="G7863">
        <v>91403392</v>
      </c>
      <c r="H7863" s="1">
        <v>41775</v>
      </c>
      <c r="I7863" s="1">
        <v>41788</v>
      </c>
      <c r="J7863" s="1">
        <v>41788</v>
      </c>
      <c r="K7863" s="1">
        <v>41878</v>
      </c>
      <c r="N7863" s="5"/>
      <c r="O7863" s="2">
        <v>2074</v>
      </c>
      <c r="P7863">
        <v>196</v>
      </c>
      <c r="Q7863" s="2">
        <v>406504</v>
      </c>
      <c r="R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 s="1">
        <v>42382</v>
      </c>
      <c r="AC7863" t="s">
        <v>53</v>
      </c>
      <c r="AD7863" t="s">
        <v>53</v>
      </c>
      <c r="AK7863">
        <v>0</v>
      </c>
      <c r="AU7863" s="6">
        <v>42074</v>
      </c>
      <c r="AV7863" s="6">
        <v>42074</v>
      </c>
      <c r="AW7863" t="s">
        <v>54</v>
      </c>
      <c r="AX7863" t="str">
        <f t="shared" si="639"/>
        <v>FOR</v>
      </c>
      <c r="AY7863" t="s">
        <v>55</v>
      </c>
    </row>
    <row r="7864" spans="1:51" hidden="1">
      <c r="A7864">
        <v>104491</v>
      </c>
      <c r="B7864" t="s">
        <v>1330</v>
      </c>
      <c r="C7864" t="str">
        <f t="shared" si="642"/>
        <v>01572640181</v>
      </c>
      <c r="D7864" t="str">
        <f t="shared" si="642"/>
        <v>01572640181</v>
      </c>
      <c r="E7864" t="s">
        <v>52</v>
      </c>
      <c r="F7864">
        <v>2014</v>
      </c>
      <c r="G7864">
        <v>91404638</v>
      </c>
      <c r="H7864" s="1">
        <v>41815</v>
      </c>
      <c r="I7864" s="1">
        <v>41821</v>
      </c>
      <c r="J7864" s="1">
        <v>41821</v>
      </c>
      <c r="K7864" s="1">
        <v>41911</v>
      </c>
      <c r="N7864" s="5"/>
      <c r="O7864" s="2">
        <v>2074</v>
      </c>
      <c r="P7864">
        <v>163</v>
      </c>
      <c r="Q7864" s="2">
        <v>338062</v>
      </c>
      <c r="R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 s="1">
        <v>42382</v>
      </c>
      <c r="AC7864" t="s">
        <v>53</v>
      </c>
      <c r="AD7864" t="s">
        <v>53</v>
      </c>
      <c r="AK7864">
        <v>0</v>
      </c>
      <c r="AU7864" s="6">
        <v>42074</v>
      </c>
      <c r="AV7864" s="6">
        <v>42074</v>
      </c>
      <c r="AW7864" t="s">
        <v>54</v>
      </c>
      <c r="AX7864" t="str">
        <f t="shared" si="639"/>
        <v>FOR</v>
      </c>
      <c r="AY7864" t="s">
        <v>55</v>
      </c>
    </row>
    <row r="7865" spans="1:51" hidden="1">
      <c r="A7865">
        <v>104492</v>
      </c>
      <c r="B7865" t="s">
        <v>1331</v>
      </c>
      <c r="C7865" t="str">
        <f t="shared" ref="C7865:D7884" si="643">"05354730631"</f>
        <v>05354730631</v>
      </c>
      <c r="D7865" t="str">
        <f t="shared" si="643"/>
        <v>05354730631</v>
      </c>
      <c r="E7865" t="s">
        <v>52</v>
      </c>
      <c r="F7865">
        <v>2014</v>
      </c>
      <c r="G7865">
        <v>89</v>
      </c>
      <c r="H7865" s="1">
        <v>41660</v>
      </c>
      <c r="I7865" s="1">
        <v>41667</v>
      </c>
      <c r="J7865" s="1">
        <v>41667</v>
      </c>
      <c r="K7865" s="1">
        <v>41757</v>
      </c>
      <c r="N7865" s="5"/>
      <c r="O7865">
        <v>104</v>
      </c>
      <c r="P7865">
        <v>262</v>
      </c>
      <c r="Q7865" s="2">
        <v>27248</v>
      </c>
      <c r="R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 s="1">
        <v>42382</v>
      </c>
      <c r="AC7865" t="s">
        <v>53</v>
      </c>
      <c r="AD7865" t="s">
        <v>53</v>
      </c>
      <c r="AK7865">
        <v>0</v>
      </c>
      <c r="AU7865" s="6">
        <v>42019</v>
      </c>
      <c r="AV7865" s="6">
        <v>42019</v>
      </c>
      <c r="AW7865" t="s">
        <v>54</v>
      </c>
      <c r="AX7865" t="str">
        <f t="shared" si="639"/>
        <v>FOR</v>
      </c>
      <c r="AY7865" t="s">
        <v>55</v>
      </c>
    </row>
    <row r="7866" spans="1:51" hidden="1">
      <c r="A7866">
        <v>104492</v>
      </c>
      <c r="B7866" t="s">
        <v>1331</v>
      </c>
      <c r="C7866" t="str">
        <f t="shared" si="643"/>
        <v>05354730631</v>
      </c>
      <c r="D7866" t="str">
        <f t="shared" si="643"/>
        <v>05354730631</v>
      </c>
      <c r="E7866" t="s">
        <v>52</v>
      </c>
      <c r="F7866">
        <v>2014</v>
      </c>
      <c r="G7866">
        <v>90</v>
      </c>
      <c r="H7866" s="1">
        <v>41660</v>
      </c>
      <c r="I7866" s="1">
        <v>41667</v>
      </c>
      <c r="J7866" s="1">
        <v>41667</v>
      </c>
      <c r="K7866" s="1">
        <v>41757</v>
      </c>
      <c r="N7866" s="5"/>
      <c r="O7866">
        <v>104</v>
      </c>
      <c r="P7866">
        <v>262</v>
      </c>
      <c r="Q7866" s="2">
        <v>27248</v>
      </c>
      <c r="R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 s="1">
        <v>42382</v>
      </c>
      <c r="AC7866" t="s">
        <v>53</v>
      </c>
      <c r="AD7866" t="s">
        <v>53</v>
      </c>
      <c r="AK7866">
        <v>0</v>
      </c>
      <c r="AU7866" s="6">
        <v>42019</v>
      </c>
      <c r="AV7866" s="6">
        <v>42019</v>
      </c>
      <c r="AW7866" t="s">
        <v>54</v>
      </c>
      <c r="AX7866" t="str">
        <f t="shared" si="639"/>
        <v>FOR</v>
      </c>
      <c r="AY7866" t="s">
        <v>55</v>
      </c>
    </row>
    <row r="7867" spans="1:51" hidden="1">
      <c r="A7867">
        <v>104492</v>
      </c>
      <c r="B7867" t="s">
        <v>1331</v>
      </c>
      <c r="C7867" t="str">
        <f t="shared" si="643"/>
        <v>05354730631</v>
      </c>
      <c r="D7867" t="str">
        <f t="shared" si="643"/>
        <v>05354730631</v>
      </c>
      <c r="E7867" t="s">
        <v>52</v>
      </c>
      <c r="F7867">
        <v>2014</v>
      </c>
      <c r="G7867">
        <v>91</v>
      </c>
      <c r="H7867" s="1">
        <v>41660</v>
      </c>
      <c r="I7867" s="1">
        <v>41667</v>
      </c>
      <c r="J7867" s="1">
        <v>41667</v>
      </c>
      <c r="K7867" s="1">
        <v>41757</v>
      </c>
      <c r="N7867" s="5"/>
      <c r="O7867">
        <v>104</v>
      </c>
      <c r="P7867">
        <v>262</v>
      </c>
      <c r="Q7867" s="2">
        <v>27248</v>
      </c>
      <c r="R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 s="1">
        <v>42382</v>
      </c>
      <c r="AC7867" t="s">
        <v>53</v>
      </c>
      <c r="AD7867" t="s">
        <v>53</v>
      </c>
      <c r="AK7867">
        <v>0</v>
      </c>
      <c r="AU7867" s="6">
        <v>42019</v>
      </c>
      <c r="AV7867" s="6">
        <v>42019</v>
      </c>
      <c r="AW7867" t="s">
        <v>54</v>
      </c>
      <c r="AX7867" t="str">
        <f t="shared" si="639"/>
        <v>FOR</v>
      </c>
      <c r="AY7867" t="s">
        <v>55</v>
      </c>
    </row>
    <row r="7868" spans="1:51" hidden="1">
      <c r="A7868">
        <v>104492</v>
      </c>
      <c r="B7868" t="s">
        <v>1331</v>
      </c>
      <c r="C7868" t="str">
        <f t="shared" si="643"/>
        <v>05354730631</v>
      </c>
      <c r="D7868" t="str">
        <f t="shared" si="643"/>
        <v>05354730631</v>
      </c>
      <c r="E7868" t="s">
        <v>52</v>
      </c>
      <c r="F7868">
        <v>2014</v>
      </c>
      <c r="G7868">
        <v>92</v>
      </c>
      <c r="H7868" s="1">
        <v>41660</v>
      </c>
      <c r="I7868" s="1">
        <v>41667</v>
      </c>
      <c r="J7868" s="1">
        <v>41667</v>
      </c>
      <c r="K7868" s="1">
        <v>41757</v>
      </c>
      <c r="N7868" s="5"/>
      <c r="O7868">
        <v>135.19999999999999</v>
      </c>
      <c r="P7868">
        <v>262</v>
      </c>
      <c r="Q7868" s="2">
        <v>35422.400000000001</v>
      </c>
      <c r="R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 s="1">
        <v>42382</v>
      </c>
      <c r="AC7868" t="s">
        <v>53</v>
      </c>
      <c r="AD7868" t="s">
        <v>53</v>
      </c>
      <c r="AK7868">
        <v>0</v>
      </c>
      <c r="AU7868" s="6">
        <v>42019</v>
      </c>
      <c r="AV7868" s="6">
        <v>42019</v>
      </c>
      <c r="AW7868" t="s">
        <v>54</v>
      </c>
      <c r="AX7868" t="str">
        <f t="shared" si="639"/>
        <v>FOR</v>
      </c>
      <c r="AY7868" t="s">
        <v>55</v>
      </c>
    </row>
    <row r="7869" spans="1:51" hidden="1">
      <c r="A7869">
        <v>104492</v>
      </c>
      <c r="B7869" t="s">
        <v>1331</v>
      </c>
      <c r="C7869" t="str">
        <f t="shared" si="643"/>
        <v>05354730631</v>
      </c>
      <c r="D7869" t="str">
        <f t="shared" si="643"/>
        <v>05354730631</v>
      </c>
      <c r="E7869" t="s">
        <v>52</v>
      </c>
      <c r="F7869">
        <v>2014</v>
      </c>
      <c r="G7869">
        <v>93</v>
      </c>
      <c r="H7869" s="1">
        <v>41660</v>
      </c>
      <c r="I7869" s="1">
        <v>41667</v>
      </c>
      <c r="J7869" s="1">
        <v>41667</v>
      </c>
      <c r="K7869" s="1">
        <v>41757</v>
      </c>
      <c r="N7869" s="5"/>
      <c r="O7869">
        <v>135.19999999999999</v>
      </c>
      <c r="P7869">
        <v>262</v>
      </c>
      <c r="Q7869" s="2">
        <v>35422.400000000001</v>
      </c>
      <c r="R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 s="1">
        <v>42382</v>
      </c>
      <c r="AC7869" t="s">
        <v>53</v>
      </c>
      <c r="AD7869" t="s">
        <v>53</v>
      </c>
      <c r="AK7869">
        <v>0</v>
      </c>
      <c r="AU7869" s="6">
        <v>42019</v>
      </c>
      <c r="AV7869" s="6">
        <v>42019</v>
      </c>
      <c r="AW7869" t="s">
        <v>54</v>
      </c>
      <c r="AX7869" t="str">
        <f t="shared" si="639"/>
        <v>FOR</v>
      </c>
      <c r="AY7869" t="s">
        <v>55</v>
      </c>
    </row>
    <row r="7870" spans="1:51" hidden="1">
      <c r="A7870">
        <v>104492</v>
      </c>
      <c r="B7870" t="s">
        <v>1331</v>
      </c>
      <c r="C7870" t="str">
        <f t="shared" si="643"/>
        <v>05354730631</v>
      </c>
      <c r="D7870" t="str">
        <f t="shared" si="643"/>
        <v>05354730631</v>
      </c>
      <c r="E7870" t="s">
        <v>52</v>
      </c>
      <c r="F7870">
        <v>2014</v>
      </c>
      <c r="G7870">
        <v>94</v>
      </c>
      <c r="H7870" s="1">
        <v>41660</v>
      </c>
      <c r="I7870" s="1">
        <v>41667</v>
      </c>
      <c r="J7870" s="1">
        <v>41667</v>
      </c>
      <c r="K7870" s="1">
        <v>41757</v>
      </c>
      <c r="N7870" s="5"/>
      <c r="O7870">
        <v>135.19999999999999</v>
      </c>
      <c r="P7870">
        <v>262</v>
      </c>
      <c r="Q7870" s="2">
        <v>35422.400000000001</v>
      </c>
      <c r="R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 s="1">
        <v>42382</v>
      </c>
      <c r="AC7870" t="s">
        <v>53</v>
      </c>
      <c r="AD7870" t="s">
        <v>53</v>
      </c>
      <c r="AK7870">
        <v>0</v>
      </c>
      <c r="AU7870" s="6">
        <v>42019</v>
      </c>
      <c r="AV7870" s="6">
        <v>42019</v>
      </c>
      <c r="AW7870" t="s">
        <v>54</v>
      </c>
      <c r="AX7870" t="str">
        <f t="shared" si="639"/>
        <v>FOR</v>
      </c>
      <c r="AY7870" t="s">
        <v>55</v>
      </c>
    </row>
    <row r="7871" spans="1:51" hidden="1">
      <c r="A7871">
        <v>104492</v>
      </c>
      <c r="B7871" t="s">
        <v>1331</v>
      </c>
      <c r="C7871" t="str">
        <f t="shared" si="643"/>
        <v>05354730631</v>
      </c>
      <c r="D7871" t="str">
        <f t="shared" si="643"/>
        <v>05354730631</v>
      </c>
      <c r="E7871" t="s">
        <v>52</v>
      </c>
      <c r="F7871">
        <v>2014</v>
      </c>
      <c r="G7871">
        <v>95</v>
      </c>
      <c r="H7871" s="1">
        <v>41660</v>
      </c>
      <c r="I7871" s="1">
        <v>41667</v>
      </c>
      <c r="J7871" s="1">
        <v>41667</v>
      </c>
      <c r="K7871" s="1">
        <v>41757</v>
      </c>
      <c r="N7871" s="5"/>
      <c r="O7871">
        <v>135.19999999999999</v>
      </c>
      <c r="P7871">
        <v>262</v>
      </c>
      <c r="Q7871" s="2">
        <v>35422.400000000001</v>
      </c>
      <c r="R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 s="1">
        <v>42382</v>
      </c>
      <c r="AC7871" t="s">
        <v>53</v>
      </c>
      <c r="AD7871" t="s">
        <v>53</v>
      </c>
      <c r="AK7871">
        <v>0</v>
      </c>
      <c r="AU7871" s="6">
        <v>42019</v>
      </c>
      <c r="AV7871" s="6">
        <v>42019</v>
      </c>
      <c r="AW7871" t="s">
        <v>54</v>
      </c>
      <c r="AX7871" t="str">
        <f t="shared" si="639"/>
        <v>FOR</v>
      </c>
      <c r="AY7871" t="s">
        <v>55</v>
      </c>
    </row>
    <row r="7872" spans="1:51" hidden="1">
      <c r="A7872">
        <v>104492</v>
      </c>
      <c r="B7872" t="s">
        <v>1331</v>
      </c>
      <c r="C7872" t="str">
        <f t="shared" si="643"/>
        <v>05354730631</v>
      </c>
      <c r="D7872" t="str">
        <f t="shared" si="643"/>
        <v>05354730631</v>
      </c>
      <c r="E7872" t="s">
        <v>52</v>
      </c>
      <c r="F7872">
        <v>2014</v>
      </c>
      <c r="G7872">
        <v>96</v>
      </c>
      <c r="H7872" s="1">
        <v>41660</v>
      </c>
      <c r="I7872" s="1">
        <v>41667</v>
      </c>
      <c r="J7872" s="1">
        <v>41667</v>
      </c>
      <c r="K7872" s="1">
        <v>41757</v>
      </c>
      <c r="N7872" s="5"/>
      <c r="O7872">
        <v>135.19999999999999</v>
      </c>
      <c r="P7872">
        <v>262</v>
      </c>
      <c r="Q7872" s="2">
        <v>35422.400000000001</v>
      </c>
      <c r="R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 s="1">
        <v>42382</v>
      </c>
      <c r="AC7872" t="s">
        <v>53</v>
      </c>
      <c r="AD7872" t="s">
        <v>53</v>
      </c>
      <c r="AK7872">
        <v>0</v>
      </c>
      <c r="AU7872" s="6">
        <v>42019</v>
      </c>
      <c r="AV7872" s="6">
        <v>42019</v>
      </c>
      <c r="AW7872" t="s">
        <v>54</v>
      </c>
      <c r="AX7872" t="str">
        <f t="shared" si="639"/>
        <v>FOR</v>
      </c>
      <c r="AY7872" t="s">
        <v>55</v>
      </c>
    </row>
    <row r="7873" spans="1:51" hidden="1">
      <c r="A7873">
        <v>104492</v>
      </c>
      <c r="B7873" t="s">
        <v>1331</v>
      </c>
      <c r="C7873" t="str">
        <f t="shared" si="643"/>
        <v>05354730631</v>
      </c>
      <c r="D7873" t="str">
        <f t="shared" si="643"/>
        <v>05354730631</v>
      </c>
      <c r="E7873" t="s">
        <v>52</v>
      </c>
      <c r="F7873">
        <v>2014</v>
      </c>
      <c r="G7873">
        <v>97</v>
      </c>
      <c r="H7873" s="1">
        <v>41660</v>
      </c>
      <c r="I7873" s="1">
        <v>41667</v>
      </c>
      <c r="J7873" s="1">
        <v>41667</v>
      </c>
      <c r="K7873" s="1">
        <v>41757</v>
      </c>
      <c r="N7873" s="5"/>
      <c r="O7873">
        <v>135.19999999999999</v>
      </c>
      <c r="P7873">
        <v>262</v>
      </c>
      <c r="Q7873" s="2">
        <v>35422.400000000001</v>
      </c>
      <c r="R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 s="1">
        <v>42382</v>
      </c>
      <c r="AC7873" t="s">
        <v>53</v>
      </c>
      <c r="AD7873" t="s">
        <v>53</v>
      </c>
      <c r="AK7873">
        <v>0</v>
      </c>
      <c r="AU7873" s="6">
        <v>42019</v>
      </c>
      <c r="AV7873" s="6">
        <v>42019</v>
      </c>
      <c r="AW7873" t="s">
        <v>54</v>
      </c>
      <c r="AX7873" t="str">
        <f t="shared" si="639"/>
        <v>FOR</v>
      </c>
      <c r="AY7873" t="s">
        <v>55</v>
      </c>
    </row>
    <row r="7874" spans="1:51" hidden="1">
      <c r="A7874">
        <v>104492</v>
      </c>
      <c r="B7874" t="s">
        <v>1331</v>
      </c>
      <c r="C7874" t="str">
        <f t="shared" si="643"/>
        <v>05354730631</v>
      </c>
      <c r="D7874" t="str">
        <f t="shared" si="643"/>
        <v>05354730631</v>
      </c>
      <c r="E7874" t="s">
        <v>52</v>
      </c>
      <c r="F7874">
        <v>2014</v>
      </c>
      <c r="G7874">
        <v>98</v>
      </c>
      <c r="H7874" s="1">
        <v>41660</v>
      </c>
      <c r="I7874" s="1">
        <v>41667</v>
      </c>
      <c r="J7874" s="1">
        <v>41667</v>
      </c>
      <c r="K7874" s="1">
        <v>41757</v>
      </c>
      <c r="N7874" s="5"/>
      <c r="O7874">
        <v>135.19999999999999</v>
      </c>
      <c r="P7874">
        <v>262</v>
      </c>
      <c r="Q7874" s="2">
        <v>35422.400000000001</v>
      </c>
      <c r="R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 s="1">
        <v>42382</v>
      </c>
      <c r="AC7874" t="s">
        <v>53</v>
      </c>
      <c r="AD7874" t="s">
        <v>53</v>
      </c>
      <c r="AK7874">
        <v>0</v>
      </c>
      <c r="AU7874" s="6">
        <v>42019</v>
      </c>
      <c r="AV7874" s="6">
        <v>42019</v>
      </c>
      <c r="AW7874" t="s">
        <v>54</v>
      </c>
      <c r="AX7874" t="str">
        <f t="shared" si="639"/>
        <v>FOR</v>
      </c>
      <c r="AY7874" t="s">
        <v>55</v>
      </c>
    </row>
    <row r="7875" spans="1:51" hidden="1">
      <c r="A7875">
        <v>104492</v>
      </c>
      <c r="B7875" t="s">
        <v>1331</v>
      </c>
      <c r="C7875" t="str">
        <f t="shared" si="643"/>
        <v>05354730631</v>
      </c>
      <c r="D7875" t="str">
        <f t="shared" si="643"/>
        <v>05354730631</v>
      </c>
      <c r="E7875" t="s">
        <v>52</v>
      </c>
      <c r="F7875">
        <v>2014</v>
      </c>
      <c r="G7875">
        <v>99</v>
      </c>
      <c r="H7875" s="1">
        <v>41660</v>
      </c>
      <c r="I7875" s="1">
        <v>41667</v>
      </c>
      <c r="J7875" s="1">
        <v>41667</v>
      </c>
      <c r="K7875" s="1">
        <v>41757</v>
      </c>
      <c r="N7875" s="5"/>
      <c r="O7875">
        <v>135.19999999999999</v>
      </c>
      <c r="P7875">
        <v>262</v>
      </c>
      <c r="Q7875" s="2">
        <v>35422.400000000001</v>
      </c>
      <c r="R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 s="1">
        <v>42382</v>
      </c>
      <c r="AC7875" t="s">
        <v>53</v>
      </c>
      <c r="AD7875" t="s">
        <v>53</v>
      </c>
      <c r="AK7875">
        <v>0</v>
      </c>
      <c r="AU7875" s="6">
        <v>42019</v>
      </c>
      <c r="AV7875" s="6">
        <v>42019</v>
      </c>
      <c r="AW7875" t="s">
        <v>54</v>
      </c>
      <c r="AX7875" t="str">
        <f t="shared" ref="AX7875:AX7938" si="644">"FOR"</f>
        <v>FOR</v>
      </c>
      <c r="AY7875" t="s">
        <v>55</v>
      </c>
    </row>
    <row r="7876" spans="1:51" hidden="1">
      <c r="A7876">
        <v>104492</v>
      </c>
      <c r="B7876" t="s">
        <v>1331</v>
      </c>
      <c r="C7876" t="str">
        <f t="shared" si="643"/>
        <v>05354730631</v>
      </c>
      <c r="D7876" t="str">
        <f t="shared" si="643"/>
        <v>05354730631</v>
      </c>
      <c r="E7876" t="s">
        <v>52</v>
      </c>
      <c r="F7876">
        <v>2014</v>
      </c>
      <c r="G7876">
        <v>100</v>
      </c>
      <c r="H7876" s="1">
        <v>41660</v>
      </c>
      <c r="I7876" s="1">
        <v>41667</v>
      </c>
      <c r="J7876" s="1">
        <v>41667</v>
      </c>
      <c r="K7876" s="1">
        <v>41757</v>
      </c>
      <c r="N7876" s="5"/>
      <c r="O7876">
        <v>135.19999999999999</v>
      </c>
      <c r="P7876">
        <v>262</v>
      </c>
      <c r="Q7876" s="2">
        <v>35422.400000000001</v>
      </c>
      <c r="R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 s="1">
        <v>42382</v>
      </c>
      <c r="AC7876" t="s">
        <v>53</v>
      </c>
      <c r="AD7876" t="s">
        <v>53</v>
      </c>
      <c r="AK7876">
        <v>0</v>
      </c>
      <c r="AU7876" s="6">
        <v>42019</v>
      </c>
      <c r="AV7876" s="6">
        <v>42019</v>
      </c>
      <c r="AW7876" t="s">
        <v>54</v>
      </c>
      <c r="AX7876" t="str">
        <f t="shared" si="644"/>
        <v>FOR</v>
      </c>
      <c r="AY7876" t="s">
        <v>55</v>
      </c>
    </row>
    <row r="7877" spans="1:51" hidden="1">
      <c r="A7877">
        <v>104492</v>
      </c>
      <c r="B7877" t="s">
        <v>1331</v>
      </c>
      <c r="C7877" t="str">
        <f t="shared" si="643"/>
        <v>05354730631</v>
      </c>
      <c r="D7877" t="str">
        <f t="shared" si="643"/>
        <v>05354730631</v>
      </c>
      <c r="E7877" t="s">
        <v>52</v>
      </c>
      <c r="F7877">
        <v>2014</v>
      </c>
      <c r="G7877">
        <v>101</v>
      </c>
      <c r="H7877" s="1">
        <v>41660</v>
      </c>
      <c r="I7877" s="1">
        <v>41667</v>
      </c>
      <c r="J7877" s="1">
        <v>41667</v>
      </c>
      <c r="K7877" s="1">
        <v>41757</v>
      </c>
      <c r="N7877" s="5"/>
      <c r="O7877">
        <v>135.19999999999999</v>
      </c>
      <c r="P7877">
        <v>262</v>
      </c>
      <c r="Q7877" s="2">
        <v>35422.400000000001</v>
      </c>
      <c r="R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 s="1">
        <v>42382</v>
      </c>
      <c r="AC7877" t="s">
        <v>53</v>
      </c>
      <c r="AD7877" t="s">
        <v>53</v>
      </c>
      <c r="AK7877">
        <v>0</v>
      </c>
      <c r="AU7877" s="6">
        <v>42019</v>
      </c>
      <c r="AV7877" s="6">
        <v>42019</v>
      </c>
      <c r="AW7877" t="s">
        <v>54</v>
      </c>
      <c r="AX7877" t="str">
        <f t="shared" si="644"/>
        <v>FOR</v>
      </c>
      <c r="AY7877" t="s">
        <v>55</v>
      </c>
    </row>
    <row r="7878" spans="1:51" hidden="1">
      <c r="A7878">
        <v>104492</v>
      </c>
      <c r="B7878" t="s">
        <v>1331</v>
      </c>
      <c r="C7878" t="str">
        <f t="shared" si="643"/>
        <v>05354730631</v>
      </c>
      <c r="D7878" t="str">
        <f t="shared" si="643"/>
        <v>05354730631</v>
      </c>
      <c r="E7878" t="s">
        <v>52</v>
      </c>
      <c r="F7878">
        <v>2014</v>
      </c>
      <c r="G7878">
        <v>102</v>
      </c>
      <c r="H7878" s="1">
        <v>41660</v>
      </c>
      <c r="I7878" s="1">
        <v>41667</v>
      </c>
      <c r="J7878" s="1">
        <v>41667</v>
      </c>
      <c r="K7878" s="1">
        <v>41757</v>
      </c>
      <c r="N7878" s="5"/>
      <c r="O7878">
        <v>104</v>
      </c>
      <c r="P7878">
        <v>262</v>
      </c>
      <c r="Q7878" s="2">
        <v>27248</v>
      </c>
      <c r="R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 s="1">
        <v>42382</v>
      </c>
      <c r="AC7878" t="s">
        <v>53</v>
      </c>
      <c r="AD7878" t="s">
        <v>53</v>
      </c>
      <c r="AK7878">
        <v>0</v>
      </c>
      <c r="AU7878" s="6">
        <v>42019</v>
      </c>
      <c r="AV7878" s="6">
        <v>42019</v>
      </c>
      <c r="AW7878" t="s">
        <v>54</v>
      </c>
      <c r="AX7878" t="str">
        <f t="shared" si="644"/>
        <v>FOR</v>
      </c>
      <c r="AY7878" t="s">
        <v>55</v>
      </c>
    </row>
    <row r="7879" spans="1:51" hidden="1">
      <c r="A7879">
        <v>104492</v>
      </c>
      <c r="B7879" t="s">
        <v>1331</v>
      </c>
      <c r="C7879" t="str">
        <f t="shared" si="643"/>
        <v>05354730631</v>
      </c>
      <c r="D7879" t="str">
        <f t="shared" si="643"/>
        <v>05354730631</v>
      </c>
      <c r="E7879" t="s">
        <v>52</v>
      </c>
      <c r="F7879">
        <v>2014</v>
      </c>
      <c r="G7879">
        <v>209</v>
      </c>
      <c r="H7879" s="1">
        <v>41670</v>
      </c>
      <c r="I7879" s="1">
        <v>41689</v>
      </c>
      <c r="J7879" s="1">
        <v>41689</v>
      </c>
      <c r="K7879" s="1">
        <v>41779</v>
      </c>
      <c r="N7879" s="5"/>
      <c r="O7879">
        <v>104</v>
      </c>
      <c r="P7879">
        <v>240</v>
      </c>
      <c r="Q7879" s="2">
        <v>24960</v>
      </c>
      <c r="R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 s="1">
        <v>42382</v>
      </c>
      <c r="AC7879" t="s">
        <v>53</v>
      </c>
      <c r="AD7879" t="s">
        <v>53</v>
      </c>
      <c r="AK7879">
        <v>0</v>
      </c>
      <c r="AU7879" s="6">
        <v>42019</v>
      </c>
      <c r="AV7879" s="6">
        <v>42019</v>
      </c>
      <c r="AW7879" t="s">
        <v>54</v>
      </c>
      <c r="AX7879" t="str">
        <f t="shared" si="644"/>
        <v>FOR</v>
      </c>
      <c r="AY7879" t="s">
        <v>55</v>
      </c>
    </row>
    <row r="7880" spans="1:51" hidden="1">
      <c r="A7880">
        <v>104492</v>
      </c>
      <c r="B7880" t="s">
        <v>1331</v>
      </c>
      <c r="C7880" t="str">
        <f t="shared" si="643"/>
        <v>05354730631</v>
      </c>
      <c r="D7880" t="str">
        <f t="shared" si="643"/>
        <v>05354730631</v>
      </c>
      <c r="E7880" t="s">
        <v>52</v>
      </c>
      <c r="F7880">
        <v>2014</v>
      </c>
      <c r="G7880">
        <v>210</v>
      </c>
      <c r="H7880" s="1">
        <v>41670</v>
      </c>
      <c r="I7880" s="1">
        <v>41689</v>
      </c>
      <c r="J7880" s="1">
        <v>41689</v>
      </c>
      <c r="K7880" s="1">
        <v>41779</v>
      </c>
      <c r="N7880" s="5"/>
      <c r="O7880">
        <v>104</v>
      </c>
      <c r="P7880">
        <v>240</v>
      </c>
      <c r="Q7880" s="2">
        <v>24960</v>
      </c>
      <c r="R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 s="1">
        <v>42382</v>
      </c>
      <c r="AC7880" t="s">
        <v>53</v>
      </c>
      <c r="AD7880" t="s">
        <v>53</v>
      </c>
      <c r="AK7880">
        <v>0</v>
      </c>
      <c r="AU7880" s="6">
        <v>42019</v>
      </c>
      <c r="AV7880" s="6">
        <v>42019</v>
      </c>
      <c r="AW7880" t="s">
        <v>54</v>
      </c>
      <c r="AX7880" t="str">
        <f t="shared" si="644"/>
        <v>FOR</v>
      </c>
      <c r="AY7880" t="s">
        <v>55</v>
      </c>
    </row>
    <row r="7881" spans="1:51" hidden="1">
      <c r="A7881">
        <v>104492</v>
      </c>
      <c r="B7881" t="s">
        <v>1331</v>
      </c>
      <c r="C7881" t="str">
        <f t="shared" si="643"/>
        <v>05354730631</v>
      </c>
      <c r="D7881" t="str">
        <f t="shared" si="643"/>
        <v>05354730631</v>
      </c>
      <c r="E7881" t="s">
        <v>52</v>
      </c>
      <c r="F7881">
        <v>2014</v>
      </c>
      <c r="G7881">
        <v>211</v>
      </c>
      <c r="H7881" s="1">
        <v>41670</v>
      </c>
      <c r="I7881" s="1">
        <v>41689</v>
      </c>
      <c r="J7881" s="1">
        <v>41689</v>
      </c>
      <c r="K7881" s="1">
        <v>41779</v>
      </c>
      <c r="N7881" s="5"/>
      <c r="O7881">
        <v>135.19999999999999</v>
      </c>
      <c r="P7881">
        <v>240</v>
      </c>
      <c r="Q7881" s="2">
        <v>32448</v>
      </c>
      <c r="R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 s="1">
        <v>42382</v>
      </c>
      <c r="AC7881" t="s">
        <v>53</v>
      </c>
      <c r="AD7881" t="s">
        <v>53</v>
      </c>
      <c r="AK7881">
        <v>0</v>
      </c>
      <c r="AU7881" s="6">
        <v>42019</v>
      </c>
      <c r="AV7881" s="6">
        <v>42019</v>
      </c>
      <c r="AW7881" t="s">
        <v>54</v>
      </c>
      <c r="AX7881" t="str">
        <f t="shared" si="644"/>
        <v>FOR</v>
      </c>
      <c r="AY7881" t="s">
        <v>55</v>
      </c>
    </row>
    <row r="7882" spans="1:51" hidden="1">
      <c r="A7882">
        <v>104492</v>
      </c>
      <c r="B7882" t="s">
        <v>1331</v>
      </c>
      <c r="C7882" t="str">
        <f t="shared" si="643"/>
        <v>05354730631</v>
      </c>
      <c r="D7882" t="str">
        <f t="shared" si="643"/>
        <v>05354730631</v>
      </c>
      <c r="E7882" t="s">
        <v>52</v>
      </c>
      <c r="F7882">
        <v>2014</v>
      </c>
      <c r="G7882">
        <v>212</v>
      </c>
      <c r="H7882" s="1">
        <v>41670</v>
      </c>
      <c r="I7882" s="1">
        <v>41689</v>
      </c>
      <c r="J7882" s="1">
        <v>41689</v>
      </c>
      <c r="K7882" s="1">
        <v>41779</v>
      </c>
      <c r="N7882" s="5"/>
      <c r="O7882">
        <v>104</v>
      </c>
      <c r="P7882">
        <v>240</v>
      </c>
      <c r="Q7882" s="2">
        <v>24960</v>
      </c>
      <c r="R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 s="1">
        <v>42382</v>
      </c>
      <c r="AC7882" t="s">
        <v>53</v>
      </c>
      <c r="AD7882" t="s">
        <v>53</v>
      </c>
      <c r="AK7882">
        <v>0</v>
      </c>
      <c r="AU7882" s="6">
        <v>42019</v>
      </c>
      <c r="AV7882" s="6">
        <v>42019</v>
      </c>
      <c r="AW7882" t="s">
        <v>54</v>
      </c>
      <c r="AX7882" t="str">
        <f t="shared" si="644"/>
        <v>FOR</v>
      </c>
      <c r="AY7882" t="s">
        <v>55</v>
      </c>
    </row>
    <row r="7883" spans="1:51" hidden="1">
      <c r="A7883">
        <v>104492</v>
      </c>
      <c r="B7883" t="s">
        <v>1331</v>
      </c>
      <c r="C7883" t="str">
        <f t="shared" si="643"/>
        <v>05354730631</v>
      </c>
      <c r="D7883" t="str">
        <f t="shared" si="643"/>
        <v>05354730631</v>
      </c>
      <c r="E7883" t="s">
        <v>52</v>
      </c>
      <c r="F7883">
        <v>2014</v>
      </c>
      <c r="G7883">
        <v>213</v>
      </c>
      <c r="H7883" s="1">
        <v>41670</v>
      </c>
      <c r="I7883" s="1">
        <v>41689</v>
      </c>
      <c r="J7883" s="1">
        <v>41689</v>
      </c>
      <c r="K7883" s="1">
        <v>41779</v>
      </c>
      <c r="N7883" s="5"/>
      <c r="O7883">
        <v>135.19999999999999</v>
      </c>
      <c r="P7883">
        <v>240</v>
      </c>
      <c r="Q7883" s="2">
        <v>32448</v>
      </c>
      <c r="R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 s="1">
        <v>42382</v>
      </c>
      <c r="AC7883" t="s">
        <v>53</v>
      </c>
      <c r="AD7883" t="s">
        <v>53</v>
      </c>
      <c r="AK7883">
        <v>0</v>
      </c>
      <c r="AU7883" s="6">
        <v>42019</v>
      </c>
      <c r="AV7883" s="6">
        <v>42019</v>
      </c>
      <c r="AW7883" t="s">
        <v>54</v>
      </c>
      <c r="AX7883" t="str">
        <f t="shared" si="644"/>
        <v>FOR</v>
      </c>
      <c r="AY7883" t="s">
        <v>55</v>
      </c>
    </row>
    <row r="7884" spans="1:51" hidden="1">
      <c r="A7884">
        <v>104492</v>
      </c>
      <c r="B7884" t="s">
        <v>1331</v>
      </c>
      <c r="C7884" t="str">
        <f t="shared" si="643"/>
        <v>05354730631</v>
      </c>
      <c r="D7884" t="str">
        <f t="shared" si="643"/>
        <v>05354730631</v>
      </c>
      <c r="E7884" t="s">
        <v>52</v>
      </c>
      <c r="F7884">
        <v>2014</v>
      </c>
      <c r="G7884">
        <v>214</v>
      </c>
      <c r="H7884" s="1">
        <v>41670</v>
      </c>
      <c r="I7884" s="1">
        <v>41689</v>
      </c>
      <c r="J7884" s="1">
        <v>41689</v>
      </c>
      <c r="K7884" s="1">
        <v>41779</v>
      </c>
      <c r="N7884" s="5"/>
      <c r="O7884">
        <v>135.19999999999999</v>
      </c>
      <c r="P7884">
        <v>240</v>
      </c>
      <c r="Q7884" s="2">
        <v>32448</v>
      </c>
      <c r="R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 s="1">
        <v>42382</v>
      </c>
      <c r="AC7884" t="s">
        <v>53</v>
      </c>
      <c r="AD7884" t="s">
        <v>53</v>
      </c>
      <c r="AK7884">
        <v>0</v>
      </c>
      <c r="AU7884" s="6">
        <v>42019</v>
      </c>
      <c r="AV7884" s="6">
        <v>42019</v>
      </c>
      <c r="AW7884" t="s">
        <v>54</v>
      </c>
      <c r="AX7884" t="str">
        <f t="shared" si="644"/>
        <v>FOR</v>
      </c>
      <c r="AY7884" t="s">
        <v>55</v>
      </c>
    </row>
    <row r="7885" spans="1:51" hidden="1">
      <c r="A7885">
        <v>104492</v>
      </c>
      <c r="B7885" t="s">
        <v>1331</v>
      </c>
      <c r="C7885" t="str">
        <f t="shared" ref="C7885:D7904" si="645">"05354730631"</f>
        <v>05354730631</v>
      </c>
      <c r="D7885" t="str">
        <f t="shared" si="645"/>
        <v>05354730631</v>
      </c>
      <c r="E7885" t="s">
        <v>52</v>
      </c>
      <c r="F7885">
        <v>2014</v>
      </c>
      <c r="G7885">
        <v>215</v>
      </c>
      <c r="H7885" s="1">
        <v>41670</v>
      </c>
      <c r="I7885" s="1">
        <v>41689</v>
      </c>
      <c r="J7885" s="1">
        <v>41689</v>
      </c>
      <c r="K7885" s="1">
        <v>41779</v>
      </c>
      <c r="N7885" s="5"/>
      <c r="O7885">
        <v>135.19999999999999</v>
      </c>
      <c r="P7885">
        <v>240</v>
      </c>
      <c r="Q7885" s="2">
        <v>32448</v>
      </c>
      <c r="R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 s="1">
        <v>42382</v>
      </c>
      <c r="AC7885" t="s">
        <v>53</v>
      </c>
      <c r="AD7885" t="s">
        <v>53</v>
      </c>
      <c r="AK7885">
        <v>0</v>
      </c>
      <c r="AU7885" s="6">
        <v>42019</v>
      </c>
      <c r="AV7885" s="6">
        <v>42019</v>
      </c>
      <c r="AW7885" t="s">
        <v>54</v>
      </c>
      <c r="AX7885" t="str">
        <f t="shared" si="644"/>
        <v>FOR</v>
      </c>
      <c r="AY7885" t="s">
        <v>55</v>
      </c>
    </row>
    <row r="7886" spans="1:51" hidden="1">
      <c r="A7886">
        <v>104492</v>
      </c>
      <c r="B7886" t="s">
        <v>1331</v>
      </c>
      <c r="C7886" t="str">
        <f t="shared" si="645"/>
        <v>05354730631</v>
      </c>
      <c r="D7886" t="str">
        <f t="shared" si="645"/>
        <v>05354730631</v>
      </c>
      <c r="E7886" t="s">
        <v>52</v>
      </c>
      <c r="F7886">
        <v>2014</v>
      </c>
      <c r="G7886">
        <v>216</v>
      </c>
      <c r="H7886" s="1">
        <v>41670</v>
      </c>
      <c r="I7886" s="1">
        <v>41689</v>
      </c>
      <c r="J7886" s="1">
        <v>41689</v>
      </c>
      <c r="K7886" s="1">
        <v>41779</v>
      </c>
      <c r="N7886" s="5"/>
      <c r="O7886">
        <v>104</v>
      </c>
      <c r="P7886">
        <v>240</v>
      </c>
      <c r="Q7886" s="2">
        <v>24960</v>
      </c>
      <c r="R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 s="1">
        <v>42382</v>
      </c>
      <c r="AC7886" t="s">
        <v>53</v>
      </c>
      <c r="AD7886" t="s">
        <v>53</v>
      </c>
      <c r="AK7886">
        <v>0</v>
      </c>
      <c r="AU7886" s="6">
        <v>42019</v>
      </c>
      <c r="AV7886" s="6">
        <v>42019</v>
      </c>
      <c r="AW7886" t="s">
        <v>54</v>
      </c>
      <c r="AX7886" t="str">
        <f t="shared" si="644"/>
        <v>FOR</v>
      </c>
      <c r="AY7886" t="s">
        <v>55</v>
      </c>
    </row>
    <row r="7887" spans="1:51" hidden="1">
      <c r="A7887">
        <v>104492</v>
      </c>
      <c r="B7887" t="s">
        <v>1331</v>
      </c>
      <c r="C7887" t="str">
        <f t="shared" si="645"/>
        <v>05354730631</v>
      </c>
      <c r="D7887" t="str">
        <f t="shared" si="645"/>
        <v>05354730631</v>
      </c>
      <c r="E7887" t="s">
        <v>52</v>
      </c>
      <c r="F7887">
        <v>2014</v>
      </c>
      <c r="G7887">
        <v>217</v>
      </c>
      <c r="H7887" s="1">
        <v>41670</v>
      </c>
      <c r="I7887" s="1">
        <v>41689</v>
      </c>
      <c r="J7887" s="1">
        <v>41689</v>
      </c>
      <c r="K7887" s="1">
        <v>41779</v>
      </c>
      <c r="N7887" s="5"/>
      <c r="O7887">
        <v>104</v>
      </c>
      <c r="P7887">
        <v>240</v>
      </c>
      <c r="Q7887" s="2">
        <v>24960</v>
      </c>
      <c r="R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 s="1">
        <v>42382</v>
      </c>
      <c r="AC7887" t="s">
        <v>53</v>
      </c>
      <c r="AD7887" t="s">
        <v>53</v>
      </c>
      <c r="AK7887">
        <v>0</v>
      </c>
      <c r="AU7887" s="6">
        <v>42019</v>
      </c>
      <c r="AV7887" s="6">
        <v>42019</v>
      </c>
      <c r="AW7887" t="s">
        <v>54</v>
      </c>
      <c r="AX7887" t="str">
        <f t="shared" si="644"/>
        <v>FOR</v>
      </c>
      <c r="AY7887" t="s">
        <v>55</v>
      </c>
    </row>
    <row r="7888" spans="1:51" hidden="1">
      <c r="A7888">
        <v>104492</v>
      </c>
      <c r="B7888" t="s">
        <v>1331</v>
      </c>
      <c r="C7888" t="str">
        <f t="shared" si="645"/>
        <v>05354730631</v>
      </c>
      <c r="D7888" t="str">
        <f t="shared" si="645"/>
        <v>05354730631</v>
      </c>
      <c r="E7888" t="s">
        <v>52</v>
      </c>
      <c r="F7888">
        <v>2014</v>
      </c>
      <c r="G7888">
        <v>218</v>
      </c>
      <c r="H7888" s="1">
        <v>41670</v>
      </c>
      <c r="I7888" s="1">
        <v>41689</v>
      </c>
      <c r="J7888" s="1">
        <v>41689</v>
      </c>
      <c r="K7888" s="1">
        <v>41779</v>
      </c>
      <c r="N7888" s="5"/>
      <c r="O7888">
        <v>104</v>
      </c>
      <c r="P7888">
        <v>240</v>
      </c>
      <c r="Q7888" s="2">
        <v>24960</v>
      </c>
      <c r="R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 s="1">
        <v>42382</v>
      </c>
      <c r="AC7888" t="s">
        <v>53</v>
      </c>
      <c r="AD7888" t="s">
        <v>53</v>
      </c>
      <c r="AK7888">
        <v>0</v>
      </c>
      <c r="AU7888" s="6">
        <v>42019</v>
      </c>
      <c r="AV7888" s="6">
        <v>42019</v>
      </c>
      <c r="AW7888" t="s">
        <v>54</v>
      </c>
      <c r="AX7888" t="str">
        <f t="shared" si="644"/>
        <v>FOR</v>
      </c>
      <c r="AY7888" t="s">
        <v>55</v>
      </c>
    </row>
    <row r="7889" spans="1:51" hidden="1">
      <c r="A7889">
        <v>104492</v>
      </c>
      <c r="B7889" t="s">
        <v>1331</v>
      </c>
      <c r="C7889" t="str">
        <f t="shared" si="645"/>
        <v>05354730631</v>
      </c>
      <c r="D7889" t="str">
        <f t="shared" si="645"/>
        <v>05354730631</v>
      </c>
      <c r="E7889" t="s">
        <v>52</v>
      </c>
      <c r="F7889">
        <v>2014</v>
      </c>
      <c r="G7889">
        <v>264</v>
      </c>
      <c r="H7889" s="1">
        <v>41670</v>
      </c>
      <c r="I7889" s="1">
        <v>41689</v>
      </c>
      <c r="J7889" s="1">
        <v>41689</v>
      </c>
      <c r="K7889" s="1">
        <v>41779</v>
      </c>
      <c r="N7889" s="5"/>
      <c r="O7889">
        <v>135.19999999999999</v>
      </c>
      <c r="P7889">
        <v>240</v>
      </c>
      <c r="Q7889" s="2">
        <v>32448</v>
      </c>
      <c r="R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 s="1">
        <v>42382</v>
      </c>
      <c r="AC7889" t="s">
        <v>53</v>
      </c>
      <c r="AD7889" t="s">
        <v>53</v>
      </c>
      <c r="AK7889">
        <v>0</v>
      </c>
      <c r="AU7889" s="6">
        <v>42019</v>
      </c>
      <c r="AV7889" s="6">
        <v>42019</v>
      </c>
      <c r="AW7889" t="s">
        <v>54</v>
      </c>
      <c r="AX7889" t="str">
        <f t="shared" si="644"/>
        <v>FOR</v>
      </c>
      <c r="AY7889" t="s">
        <v>55</v>
      </c>
    </row>
    <row r="7890" spans="1:51" hidden="1">
      <c r="A7890">
        <v>104492</v>
      </c>
      <c r="B7890" t="s">
        <v>1331</v>
      </c>
      <c r="C7890" t="str">
        <f t="shared" si="645"/>
        <v>05354730631</v>
      </c>
      <c r="D7890" t="str">
        <f t="shared" si="645"/>
        <v>05354730631</v>
      </c>
      <c r="E7890" t="s">
        <v>52</v>
      </c>
      <c r="F7890">
        <v>2014</v>
      </c>
      <c r="G7890">
        <v>340</v>
      </c>
      <c r="H7890" s="1">
        <v>41681</v>
      </c>
      <c r="I7890" s="1">
        <v>41689</v>
      </c>
      <c r="J7890" s="1">
        <v>41689</v>
      </c>
      <c r="K7890" s="1">
        <v>41779</v>
      </c>
      <c r="N7890" s="5"/>
      <c r="O7890">
        <v>135.19999999999999</v>
      </c>
      <c r="P7890">
        <v>269</v>
      </c>
      <c r="Q7890" s="2">
        <v>36368.800000000003</v>
      </c>
      <c r="R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 s="1">
        <v>42382</v>
      </c>
      <c r="AC7890" t="s">
        <v>53</v>
      </c>
      <c r="AD7890" t="s">
        <v>53</v>
      </c>
      <c r="AK7890">
        <v>0</v>
      </c>
      <c r="AU7890" s="6">
        <v>42048</v>
      </c>
      <c r="AV7890" s="6">
        <v>42048</v>
      </c>
      <c r="AW7890" t="s">
        <v>54</v>
      </c>
      <c r="AX7890" t="str">
        <f t="shared" si="644"/>
        <v>FOR</v>
      </c>
      <c r="AY7890" t="s">
        <v>55</v>
      </c>
    </row>
    <row r="7891" spans="1:51" hidden="1">
      <c r="A7891">
        <v>104492</v>
      </c>
      <c r="B7891" t="s">
        <v>1331</v>
      </c>
      <c r="C7891" t="str">
        <f t="shared" si="645"/>
        <v>05354730631</v>
      </c>
      <c r="D7891" t="str">
        <f t="shared" si="645"/>
        <v>05354730631</v>
      </c>
      <c r="E7891" t="s">
        <v>52</v>
      </c>
      <c r="F7891">
        <v>2014</v>
      </c>
      <c r="G7891">
        <v>341</v>
      </c>
      <c r="H7891" s="1">
        <v>41681</v>
      </c>
      <c r="I7891" s="1">
        <v>41689</v>
      </c>
      <c r="J7891" s="1">
        <v>41689</v>
      </c>
      <c r="K7891" s="1">
        <v>41779</v>
      </c>
      <c r="N7891" s="5"/>
      <c r="O7891">
        <v>104</v>
      </c>
      <c r="P7891">
        <v>269</v>
      </c>
      <c r="Q7891" s="2">
        <v>27976</v>
      </c>
      <c r="R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 s="1">
        <v>42382</v>
      </c>
      <c r="AC7891" t="s">
        <v>53</v>
      </c>
      <c r="AD7891" t="s">
        <v>53</v>
      </c>
      <c r="AK7891">
        <v>0</v>
      </c>
      <c r="AU7891" s="6">
        <v>42048</v>
      </c>
      <c r="AV7891" s="6">
        <v>42048</v>
      </c>
      <c r="AW7891" t="s">
        <v>54</v>
      </c>
      <c r="AX7891" t="str">
        <f t="shared" si="644"/>
        <v>FOR</v>
      </c>
      <c r="AY7891" t="s">
        <v>55</v>
      </c>
    </row>
    <row r="7892" spans="1:51" hidden="1">
      <c r="A7892">
        <v>104492</v>
      </c>
      <c r="B7892" t="s">
        <v>1331</v>
      </c>
      <c r="C7892" t="str">
        <f t="shared" si="645"/>
        <v>05354730631</v>
      </c>
      <c r="D7892" t="str">
        <f t="shared" si="645"/>
        <v>05354730631</v>
      </c>
      <c r="E7892" t="s">
        <v>52</v>
      </c>
      <c r="F7892">
        <v>2014</v>
      </c>
      <c r="G7892">
        <v>342</v>
      </c>
      <c r="H7892" s="1">
        <v>41681</v>
      </c>
      <c r="I7892" s="1">
        <v>41689</v>
      </c>
      <c r="J7892" s="1">
        <v>41689</v>
      </c>
      <c r="K7892" s="1">
        <v>41779</v>
      </c>
      <c r="N7892" s="5"/>
      <c r="O7892">
        <v>104</v>
      </c>
      <c r="P7892">
        <v>269</v>
      </c>
      <c r="Q7892" s="2">
        <v>27976</v>
      </c>
      <c r="R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 s="1">
        <v>42382</v>
      </c>
      <c r="AC7892" t="s">
        <v>53</v>
      </c>
      <c r="AD7892" t="s">
        <v>53</v>
      </c>
      <c r="AK7892">
        <v>0</v>
      </c>
      <c r="AU7892" s="6">
        <v>42048</v>
      </c>
      <c r="AV7892" s="6">
        <v>42048</v>
      </c>
      <c r="AW7892" t="s">
        <v>54</v>
      </c>
      <c r="AX7892" t="str">
        <f t="shared" si="644"/>
        <v>FOR</v>
      </c>
      <c r="AY7892" t="s">
        <v>55</v>
      </c>
    </row>
    <row r="7893" spans="1:51" hidden="1">
      <c r="A7893">
        <v>104492</v>
      </c>
      <c r="B7893" t="s">
        <v>1331</v>
      </c>
      <c r="C7893" t="str">
        <f t="shared" si="645"/>
        <v>05354730631</v>
      </c>
      <c r="D7893" t="str">
        <f t="shared" si="645"/>
        <v>05354730631</v>
      </c>
      <c r="E7893" t="s">
        <v>52</v>
      </c>
      <c r="F7893">
        <v>2014</v>
      </c>
      <c r="G7893">
        <v>343</v>
      </c>
      <c r="H7893" s="1">
        <v>41681</v>
      </c>
      <c r="I7893" s="1">
        <v>41689</v>
      </c>
      <c r="J7893" s="1">
        <v>41689</v>
      </c>
      <c r="K7893" s="1">
        <v>41779</v>
      </c>
      <c r="N7893" s="5"/>
      <c r="O7893">
        <v>135.19999999999999</v>
      </c>
      <c r="P7893">
        <v>269</v>
      </c>
      <c r="Q7893" s="2">
        <v>36368.800000000003</v>
      </c>
      <c r="R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 s="1">
        <v>42382</v>
      </c>
      <c r="AC7893" t="s">
        <v>53</v>
      </c>
      <c r="AD7893" t="s">
        <v>53</v>
      </c>
      <c r="AK7893">
        <v>0</v>
      </c>
      <c r="AU7893" s="6">
        <v>42048</v>
      </c>
      <c r="AV7893" s="6">
        <v>42048</v>
      </c>
      <c r="AW7893" t="s">
        <v>54</v>
      </c>
      <c r="AX7893" t="str">
        <f t="shared" si="644"/>
        <v>FOR</v>
      </c>
      <c r="AY7893" t="s">
        <v>55</v>
      </c>
    </row>
    <row r="7894" spans="1:51" hidden="1">
      <c r="A7894">
        <v>104492</v>
      </c>
      <c r="B7894" t="s">
        <v>1331</v>
      </c>
      <c r="C7894" t="str">
        <f t="shared" si="645"/>
        <v>05354730631</v>
      </c>
      <c r="D7894" t="str">
        <f t="shared" si="645"/>
        <v>05354730631</v>
      </c>
      <c r="E7894" t="s">
        <v>52</v>
      </c>
      <c r="F7894">
        <v>2014</v>
      </c>
      <c r="G7894">
        <v>393</v>
      </c>
      <c r="H7894" s="1">
        <v>41687</v>
      </c>
      <c r="I7894" s="1">
        <v>41694</v>
      </c>
      <c r="J7894" s="1">
        <v>41694</v>
      </c>
      <c r="K7894" s="1">
        <v>41784</v>
      </c>
      <c r="N7894" s="5"/>
      <c r="O7894">
        <v>104</v>
      </c>
      <c r="P7894">
        <v>264</v>
      </c>
      <c r="Q7894" s="2">
        <v>27456</v>
      </c>
      <c r="R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 s="1">
        <v>42382</v>
      </c>
      <c r="AC7894" t="s">
        <v>53</v>
      </c>
      <c r="AD7894" t="s">
        <v>53</v>
      </c>
      <c r="AK7894">
        <v>0</v>
      </c>
      <c r="AU7894" s="6">
        <v>42048</v>
      </c>
      <c r="AV7894" s="6">
        <v>42048</v>
      </c>
      <c r="AW7894" t="s">
        <v>54</v>
      </c>
      <c r="AX7894" t="str">
        <f t="shared" si="644"/>
        <v>FOR</v>
      </c>
      <c r="AY7894" t="s">
        <v>55</v>
      </c>
    </row>
    <row r="7895" spans="1:51" hidden="1">
      <c r="A7895">
        <v>104492</v>
      </c>
      <c r="B7895" t="s">
        <v>1331</v>
      </c>
      <c r="C7895" t="str">
        <f t="shared" si="645"/>
        <v>05354730631</v>
      </c>
      <c r="D7895" t="str">
        <f t="shared" si="645"/>
        <v>05354730631</v>
      </c>
      <c r="E7895" t="s">
        <v>52</v>
      </c>
      <c r="F7895">
        <v>2014</v>
      </c>
      <c r="G7895">
        <v>394</v>
      </c>
      <c r="H7895" s="1">
        <v>41687</v>
      </c>
      <c r="I7895" s="1">
        <v>41694</v>
      </c>
      <c r="J7895" s="1">
        <v>41694</v>
      </c>
      <c r="K7895" s="1">
        <v>41784</v>
      </c>
      <c r="N7895" s="5"/>
      <c r="O7895">
        <v>135.19999999999999</v>
      </c>
      <c r="P7895">
        <v>264</v>
      </c>
      <c r="Q7895" s="2">
        <v>35692.800000000003</v>
      </c>
      <c r="R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 s="1">
        <v>42382</v>
      </c>
      <c r="AC7895" t="s">
        <v>53</v>
      </c>
      <c r="AD7895" t="s">
        <v>53</v>
      </c>
      <c r="AK7895">
        <v>0</v>
      </c>
      <c r="AU7895" s="6">
        <v>42048</v>
      </c>
      <c r="AV7895" s="6">
        <v>42048</v>
      </c>
      <c r="AW7895" t="s">
        <v>54</v>
      </c>
      <c r="AX7895" t="str">
        <f t="shared" si="644"/>
        <v>FOR</v>
      </c>
      <c r="AY7895" t="s">
        <v>55</v>
      </c>
    </row>
    <row r="7896" spans="1:51" hidden="1">
      <c r="A7896">
        <v>104492</v>
      </c>
      <c r="B7896" t="s">
        <v>1331</v>
      </c>
      <c r="C7896" t="str">
        <f t="shared" si="645"/>
        <v>05354730631</v>
      </c>
      <c r="D7896" t="str">
        <f t="shared" si="645"/>
        <v>05354730631</v>
      </c>
      <c r="E7896" t="s">
        <v>52</v>
      </c>
      <c r="F7896">
        <v>2014</v>
      </c>
      <c r="G7896">
        <v>395</v>
      </c>
      <c r="H7896" s="1">
        <v>41687</v>
      </c>
      <c r="I7896" s="1">
        <v>41694</v>
      </c>
      <c r="J7896" s="1">
        <v>41694</v>
      </c>
      <c r="K7896" s="1">
        <v>41784</v>
      </c>
      <c r="N7896" s="5"/>
      <c r="O7896">
        <v>135.19999999999999</v>
      </c>
      <c r="P7896">
        <v>264</v>
      </c>
      <c r="Q7896" s="2">
        <v>35692.800000000003</v>
      </c>
      <c r="R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 s="1">
        <v>42382</v>
      </c>
      <c r="AC7896" t="s">
        <v>53</v>
      </c>
      <c r="AD7896" t="s">
        <v>53</v>
      </c>
      <c r="AK7896">
        <v>0</v>
      </c>
      <c r="AU7896" s="6">
        <v>42048</v>
      </c>
      <c r="AV7896" s="6">
        <v>42048</v>
      </c>
      <c r="AW7896" t="s">
        <v>54</v>
      </c>
      <c r="AX7896" t="str">
        <f t="shared" si="644"/>
        <v>FOR</v>
      </c>
      <c r="AY7896" t="s">
        <v>55</v>
      </c>
    </row>
    <row r="7897" spans="1:51" hidden="1">
      <c r="A7897">
        <v>104492</v>
      </c>
      <c r="B7897" t="s">
        <v>1331</v>
      </c>
      <c r="C7897" t="str">
        <f t="shared" si="645"/>
        <v>05354730631</v>
      </c>
      <c r="D7897" t="str">
        <f t="shared" si="645"/>
        <v>05354730631</v>
      </c>
      <c r="E7897" t="s">
        <v>52</v>
      </c>
      <c r="F7897">
        <v>2014</v>
      </c>
      <c r="G7897">
        <v>396</v>
      </c>
      <c r="H7897" s="1">
        <v>41687</v>
      </c>
      <c r="I7897" s="1">
        <v>41694</v>
      </c>
      <c r="J7897" s="1">
        <v>41694</v>
      </c>
      <c r="K7897" s="1">
        <v>41784</v>
      </c>
      <c r="N7897" s="5"/>
      <c r="O7897">
        <v>135.19999999999999</v>
      </c>
      <c r="P7897">
        <v>264</v>
      </c>
      <c r="Q7897" s="2">
        <v>35692.800000000003</v>
      </c>
      <c r="R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 s="1">
        <v>42382</v>
      </c>
      <c r="AC7897" t="s">
        <v>53</v>
      </c>
      <c r="AD7897" t="s">
        <v>53</v>
      </c>
      <c r="AK7897">
        <v>0</v>
      </c>
      <c r="AU7897" s="6">
        <v>42048</v>
      </c>
      <c r="AV7897" s="6">
        <v>42048</v>
      </c>
      <c r="AW7897" t="s">
        <v>54</v>
      </c>
      <c r="AX7897" t="str">
        <f t="shared" si="644"/>
        <v>FOR</v>
      </c>
      <c r="AY7897" t="s">
        <v>55</v>
      </c>
    </row>
    <row r="7898" spans="1:51" hidden="1">
      <c r="A7898">
        <v>104492</v>
      </c>
      <c r="B7898" t="s">
        <v>1331</v>
      </c>
      <c r="C7898" t="str">
        <f t="shared" si="645"/>
        <v>05354730631</v>
      </c>
      <c r="D7898" t="str">
        <f t="shared" si="645"/>
        <v>05354730631</v>
      </c>
      <c r="E7898" t="s">
        <v>52</v>
      </c>
      <c r="F7898">
        <v>2014</v>
      </c>
      <c r="G7898">
        <v>397</v>
      </c>
      <c r="H7898" s="1">
        <v>41687</v>
      </c>
      <c r="I7898" s="1">
        <v>41694</v>
      </c>
      <c r="J7898" s="1">
        <v>41694</v>
      </c>
      <c r="K7898" s="1">
        <v>41784</v>
      </c>
      <c r="N7898" s="5"/>
      <c r="O7898">
        <v>104</v>
      </c>
      <c r="P7898">
        <v>264</v>
      </c>
      <c r="Q7898" s="2">
        <v>27456</v>
      </c>
      <c r="R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 s="1">
        <v>42382</v>
      </c>
      <c r="AC7898" t="s">
        <v>53</v>
      </c>
      <c r="AD7898" t="s">
        <v>53</v>
      </c>
      <c r="AK7898">
        <v>0</v>
      </c>
      <c r="AU7898" s="6">
        <v>42048</v>
      </c>
      <c r="AV7898" s="6">
        <v>42048</v>
      </c>
      <c r="AW7898" t="s">
        <v>54</v>
      </c>
      <c r="AX7898" t="str">
        <f t="shared" si="644"/>
        <v>FOR</v>
      </c>
      <c r="AY7898" t="s">
        <v>55</v>
      </c>
    </row>
    <row r="7899" spans="1:51" hidden="1">
      <c r="A7899">
        <v>104492</v>
      </c>
      <c r="B7899" t="s">
        <v>1331</v>
      </c>
      <c r="C7899" t="str">
        <f t="shared" si="645"/>
        <v>05354730631</v>
      </c>
      <c r="D7899" t="str">
        <f t="shared" si="645"/>
        <v>05354730631</v>
      </c>
      <c r="E7899" t="s">
        <v>52</v>
      </c>
      <c r="F7899">
        <v>2014</v>
      </c>
      <c r="G7899">
        <v>398</v>
      </c>
      <c r="H7899" s="1">
        <v>41687</v>
      </c>
      <c r="I7899" s="1">
        <v>41694</v>
      </c>
      <c r="J7899" s="1">
        <v>41694</v>
      </c>
      <c r="K7899" s="1">
        <v>41784</v>
      </c>
      <c r="N7899" s="5"/>
      <c r="O7899">
        <v>135.19999999999999</v>
      </c>
      <c r="P7899">
        <v>264</v>
      </c>
      <c r="Q7899" s="2">
        <v>35692.800000000003</v>
      </c>
      <c r="R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 s="1">
        <v>42382</v>
      </c>
      <c r="AC7899" t="s">
        <v>53</v>
      </c>
      <c r="AD7899" t="s">
        <v>53</v>
      </c>
      <c r="AK7899">
        <v>0</v>
      </c>
      <c r="AU7899" s="6">
        <v>42048</v>
      </c>
      <c r="AV7899" s="6">
        <v>42048</v>
      </c>
      <c r="AW7899" t="s">
        <v>54</v>
      </c>
      <c r="AX7899" t="str">
        <f t="shared" si="644"/>
        <v>FOR</v>
      </c>
      <c r="AY7899" t="s">
        <v>55</v>
      </c>
    </row>
    <row r="7900" spans="1:51" hidden="1">
      <c r="A7900">
        <v>104492</v>
      </c>
      <c r="B7900" t="s">
        <v>1331</v>
      </c>
      <c r="C7900" t="str">
        <f t="shared" si="645"/>
        <v>05354730631</v>
      </c>
      <c r="D7900" t="str">
        <f t="shared" si="645"/>
        <v>05354730631</v>
      </c>
      <c r="E7900" t="s">
        <v>52</v>
      </c>
      <c r="F7900">
        <v>2014</v>
      </c>
      <c r="G7900">
        <v>399</v>
      </c>
      <c r="H7900" s="1">
        <v>41687</v>
      </c>
      <c r="I7900" s="1">
        <v>41694</v>
      </c>
      <c r="J7900" s="1">
        <v>41694</v>
      </c>
      <c r="K7900" s="1">
        <v>41784</v>
      </c>
      <c r="N7900" s="5"/>
      <c r="O7900">
        <v>135.19999999999999</v>
      </c>
      <c r="P7900">
        <v>264</v>
      </c>
      <c r="Q7900" s="2">
        <v>35692.800000000003</v>
      </c>
      <c r="R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 s="1">
        <v>42382</v>
      </c>
      <c r="AC7900" t="s">
        <v>53</v>
      </c>
      <c r="AD7900" t="s">
        <v>53</v>
      </c>
      <c r="AK7900">
        <v>0</v>
      </c>
      <c r="AU7900" s="6">
        <v>42048</v>
      </c>
      <c r="AV7900" s="6">
        <v>42048</v>
      </c>
      <c r="AW7900" t="s">
        <v>54</v>
      </c>
      <c r="AX7900" t="str">
        <f t="shared" si="644"/>
        <v>FOR</v>
      </c>
      <c r="AY7900" t="s">
        <v>55</v>
      </c>
    </row>
    <row r="7901" spans="1:51" hidden="1">
      <c r="A7901">
        <v>104492</v>
      </c>
      <c r="B7901" t="s">
        <v>1331</v>
      </c>
      <c r="C7901" t="str">
        <f t="shared" si="645"/>
        <v>05354730631</v>
      </c>
      <c r="D7901" t="str">
        <f t="shared" si="645"/>
        <v>05354730631</v>
      </c>
      <c r="E7901" t="s">
        <v>52</v>
      </c>
      <c r="F7901">
        <v>2014</v>
      </c>
      <c r="G7901">
        <v>400</v>
      </c>
      <c r="H7901" s="1">
        <v>41687</v>
      </c>
      <c r="I7901" s="1">
        <v>41694</v>
      </c>
      <c r="J7901" s="1">
        <v>41694</v>
      </c>
      <c r="K7901" s="1">
        <v>41784</v>
      </c>
      <c r="N7901" s="5"/>
      <c r="O7901">
        <v>135.19999999999999</v>
      </c>
      <c r="P7901">
        <v>264</v>
      </c>
      <c r="Q7901" s="2">
        <v>35692.800000000003</v>
      </c>
      <c r="R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 s="1">
        <v>42382</v>
      </c>
      <c r="AC7901" t="s">
        <v>53</v>
      </c>
      <c r="AD7901" t="s">
        <v>53</v>
      </c>
      <c r="AK7901">
        <v>0</v>
      </c>
      <c r="AU7901" s="6">
        <v>42048</v>
      </c>
      <c r="AV7901" s="6">
        <v>42048</v>
      </c>
      <c r="AW7901" t="s">
        <v>54</v>
      </c>
      <c r="AX7901" t="str">
        <f t="shared" si="644"/>
        <v>FOR</v>
      </c>
      <c r="AY7901" t="s">
        <v>55</v>
      </c>
    </row>
    <row r="7902" spans="1:51" hidden="1">
      <c r="A7902">
        <v>104492</v>
      </c>
      <c r="B7902" t="s">
        <v>1331</v>
      </c>
      <c r="C7902" t="str">
        <f t="shared" si="645"/>
        <v>05354730631</v>
      </c>
      <c r="D7902" t="str">
        <f t="shared" si="645"/>
        <v>05354730631</v>
      </c>
      <c r="E7902" t="s">
        <v>52</v>
      </c>
      <c r="F7902">
        <v>2014</v>
      </c>
      <c r="G7902">
        <v>401</v>
      </c>
      <c r="H7902" s="1">
        <v>41687</v>
      </c>
      <c r="I7902" s="1">
        <v>41694</v>
      </c>
      <c r="J7902" s="1">
        <v>41694</v>
      </c>
      <c r="K7902" s="1">
        <v>41784</v>
      </c>
      <c r="N7902" s="5"/>
      <c r="O7902">
        <v>135.19999999999999</v>
      </c>
      <c r="P7902">
        <v>264</v>
      </c>
      <c r="Q7902" s="2">
        <v>35692.800000000003</v>
      </c>
      <c r="R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 s="1">
        <v>42382</v>
      </c>
      <c r="AC7902" t="s">
        <v>53</v>
      </c>
      <c r="AD7902" t="s">
        <v>53</v>
      </c>
      <c r="AK7902">
        <v>0</v>
      </c>
      <c r="AU7902" s="6">
        <v>42048</v>
      </c>
      <c r="AV7902" s="6">
        <v>42048</v>
      </c>
      <c r="AW7902" t="s">
        <v>54</v>
      </c>
      <c r="AX7902" t="str">
        <f t="shared" si="644"/>
        <v>FOR</v>
      </c>
      <c r="AY7902" t="s">
        <v>55</v>
      </c>
    </row>
    <row r="7903" spans="1:51" hidden="1">
      <c r="A7903">
        <v>104492</v>
      </c>
      <c r="B7903" t="s">
        <v>1331</v>
      </c>
      <c r="C7903" t="str">
        <f t="shared" si="645"/>
        <v>05354730631</v>
      </c>
      <c r="D7903" t="str">
        <f t="shared" si="645"/>
        <v>05354730631</v>
      </c>
      <c r="E7903" t="s">
        <v>52</v>
      </c>
      <c r="F7903">
        <v>2014</v>
      </c>
      <c r="G7903">
        <v>402</v>
      </c>
      <c r="H7903" s="1">
        <v>41687</v>
      </c>
      <c r="I7903" s="1">
        <v>41694</v>
      </c>
      <c r="J7903" s="1">
        <v>41694</v>
      </c>
      <c r="K7903" s="1">
        <v>41784</v>
      </c>
      <c r="N7903" s="5"/>
      <c r="O7903">
        <v>135.19999999999999</v>
      </c>
      <c r="P7903">
        <v>264</v>
      </c>
      <c r="Q7903" s="2">
        <v>35692.800000000003</v>
      </c>
      <c r="R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 s="1">
        <v>42382</v>
      </c>
      <c r="AC7903" t="s">
        <v>53</v>
      </c>
      <c r="AD7903" t="s">
        <v>53</v>
      </c>
      <c r="AK7903">
        <v>0</v>
      </c>
      <c r="AU7903" s="6">
        <v>42048</v>
      </c>
      <c r="AV7903" s="6">
        <v>42048</v>
      </c>
      <c r="AW7903" t="s">
        <v>54</v>
      </c>
      <c r="AX7903" t="str">
        <f t="shared" si="644"/>
        <v>FOR</v>
      </c>
      <c r="AY7903" t="s">
        <v>55</v>
      </c>
    </row>
    <row r="7904" spans="1:51" hidden="1">
      <c r="A7904">
        <v>104492</v>
      </c>
      <c r="B7904" t="s">
        <v>1331</v>
      </c>
      <c r="C7904" t="str">
        <f t="shared" si="645"/>
        <v>05354730631</v>
      </c>
      <c r="D7904" t="str">
        <f t="shared" si="645"/>
        <v>05354730631</v>
      </c>
      <c r="E7904" t="s">
        <v>52</v>
      </c>
      <c r="F7904">
        <v>2014</v>
      </c>
      <c r="G7904">
        <v>449</v>
      </c>
      <c r="H7904" s="1">
        <v>41689</v>
      </c>
      <c r="I7904" s="1">
        <v>41702</v>
      </c>
      <c r="J7904" s="1">
        <v>41702</v>
      </c>
      <c r="K7904" s="1">
        <v>41792</v>
      </c>
      <c r="N7904" s="5"/>
      <c r="O7904" s="2">
        <v>5673</v>
      </c>
      <c r="P7904">
        <v>227</v>
      </c>
      <c r="Q7904" s="2">
        <v>1287771</v>
      </c>
      <c r="R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 s="1">
        <v>42382</v>
      </c>
      <c r="AC7904" t="s">
        <v>53</v>
      </c>
      <c r="AD7904" t="s">
        <v>53</v>
      </c>
      <c r="AK7904">
        <v>0</v>
      </c>
      <c r="AU7904" s="6">
        <v>42019</v>
      </c>
      <c r="AV7904" s="6">
        <v>42019</v>
      </c>
      <c r="AW7904" t="s">
        <v>54</v>
      </c>
      <c r="AX7904" t="str">
        <f t="shared" si="644"/>
        <v>FOR</v>
      </c>
      <c r="AY7904" t="s">
        <v>55</v>
      </c>
    </row>
    <row r="7905" spans="1:51" hidden="1">
      <c r="A7905">
        <v>104492</v>
      </c>
      <c r="B7905" t="s">
        <v>1331</v>
      </c>
      <c r="C7905" t="str">
        <f t="shared" ref="C7905:D7924" si="646">"05354730631"</f>
        <v>05354730631</v>
      </c>
      <c r="D7905" t="str">
        <f t="shared" si="646"/>
        <v>05354730631</v>
      </c>
      <c r="E7905" t="s">
        <v>52</v>
      </c>
      <c r="F7905">
        <v>2014</v>
      </c>
      <c r="G7905">
        <v>468</v>
      </c>
      <c r="H7905" s="1">
        <v>41690</v>
      </c>
      <c r="I7905" s="1">
        <v>41702</v>
      </c>
      <c r="J7905" s="1">
        <v>41702</v>
      </c>
      <c r="K7905" s="1">
        <v>41792</v>
      </c>
      <c r="N7905" s="5"/>
      <c r="O7905" s="2">
        <v>2458.3000000000002</v>
      </c>
      <c r="P7905">
        <v>256</v>
      </c>
      <c r="Q7905" s="2">
        <v>629324.80000000005</v>
      </c>
      <c r="R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 s="1">
        <v>42382</v>
      </c>
      <c r="AC7905" t="s">
        <v>53</v>
      </c>
      <c r="AD7905" t="s">
        <v>53</v>
      </c>
      <c r="AK7905">
        <v>0</v>
      </c>
      <c r="AU7905" s="6">
        <v>42048</v>
      </c>
      <c r="AV7905" s="6">
        <v>42048</v>
      </c>
      <c r="AW7905" t="s">
        <v>54</v>
      </c>
      <c r="AX7905" t="str">
        <f t="shared" si="644"/>
        <v>FOR</v>
      </c>
      <c r="AY7905" t="s">
        <v>55</v>
      </c>
    </row>
    <row r="7906" spans="1:51" hidden="1">
      <c r="A7906">
        <v>104492</v>
      </c>
      <c r="B7906" t="s">
        <v>1331</v>
      </c>
      <c r="C7906" t="str">
        <f t="shared" si="646"/>
        <v>05354730631</v>
      </c>
      <c r="D7906" t="str">
        <f t="shared" si="646"/>
        <v>05354730631</v>
      </c>
      <c r="E7906" t="s">
        <v>52</v>
      </c>
      <c r="F7906">
        <v>2014</v>
      </c>
      <c r="G7906">
        <v>571</v>
      </c>
      <c r="H7906" s="1">
        <v>41696</v>
      </c>
      <c r="I7906" s="1">
        <v>41711</v>
      </c>
      <c r="J7906" s="1">
        <v>41711</v>
      </c>
      <c r="K7906" s="1">
        <v>41801</v>
      </c>
      <c r="N7906" s="5"/>
      <c r="O7906">
        <v>104</v>
      </c>
      <c r="P7906">
        <v>247</v>
      </c>
      <c r="Q7906" s="2">
        <v>25688</v>
      </c>
      <c r="R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 s="1">
        <v>42382</v>
      </c>
      <c r="AC7906" t="s">
        <v>53</v>
      </c>
      <c r="AD7906" t="s">
        <v>53</v>
      </c>
      <c r="AK7906">
        <v>0</v>
      </c>
      <c r="AU7906" s="6">
        <v>42048</v>
      </c>
      <c r="AV7906" s="6">
        <v>42048</v>
      </c>
      <c r="AW7906" t="s">
        <v>54</v>
      </c>
      <c r="AX7906" t="str">
        <f t="shared" si="644"/>
        <v>FOR</v>
      </c>
      <c r="AY7906" t="s">
        <v>55</v>
      </c>
    </row>
    <row r="7907" spans="1:51" hidden="1">
      <c r="A7907">
        <v>104492</v>
      </c>
      <c r="B7907" t="s">
        <v>1331</v>
      </c>
      <c r="C7907" t="str">
        <f t="shared" si="646"/>
        <v>05354730631</v>
      </c>
      <c r="D7907" t="str">
        <f t="shared" si="646"/>
        <v>05354730631</v>
      </c>
      <c r="E7907" t="s">
        <v>52</v>
      </c>
      <c r="F7907">
        <v>2014</v>
      </c>
      <c r="G7907">
        <v>572</v>
      </c>
      <c r="H7907" s="1">
        <v>41696</v>
      </c>
      <c r="I7907" s="1">
        <v>41711</v>
      </c>
      <c r="J7907" s="1">
        <v>41711</v>
      </c>
      <c r="K7907" s="1">
        <v>41801</v>
      </c>
      <c r="N7907" s="5"/>
      <c r="O7907">
        <v>135.19999999999999</v>
      </c>
      <c r="P7907">
        <v>247</v>
      </c>
      <c r="Q7907" s="2">
        <v>33394.400000000001</v>
      </c>
      <c r="R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 s="1">
        <v>42382</v>
      </c>
      <c r="AC7907" t="s">
        <v>53</v>
      </c>
      <c r="AD7907" t="s">
        <v>53</v>
      </c>
      <c r="AK7907">
        <v>0</v>
      </c>
      <c r="AU7907" s="6">
        <v>42048</v>
      </c>
      <c r="AV7907" s="6">
        <v>42048</v>
      </c>
      <c r="AW7907" t="s">
        <v>54</v>
      </c>
      <c r="AX7907" t="str">
        <f t="shared" si="644"/>
        <v>FOR</v>
      </c>
      <c r="AY7907" t="s">
        <v>55</v>
      </c>
    </row>
    <row r="7908" spans="1:51" hidden="1">
      <c r="A7908">
        <v>104492</v>
      </c>
      <c r="B7908" t="s">
        <v>1331</v>
      </c>
      <c r="C7908" t="str">
        <f t="shared" si="646"/>
        <v>05354730631</v>
      </c>
      <c r="D7908" t="str">
        <f t="shared" si="646"/>
        <v>05354730631</v>
      </c>
      <c r="E7908" t="s">
        <v>52</v>
      </c>
      <c r="F7908">
        <v>2014</v>
      </c>
      <c r="G7908">
        <v>573</v>
      </c>
      <c r="H7908" s="1">
        <v>41696</v>
      </c>
      <c r="I7908" s="1">
        <v>41711</v>
      </c>
      <c r="J7908" s="1">
        <v>41711</v>
      </c>
      <c r="K7908" s="1">
        <v>41801</v>
      </c>
      <c r="N7908" s="5"/>
      <c r="O7908">
        <v>135.19999999999999</v>
      </c>
      <c r="P7908">
        <v>247</v>
      </c>
      <c r="Q7908" s="2">
        <v>33394.400000000001</v>
      </c>
      <c r="R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 s="1">
        <v>42382</v>
      </c>
      <c r="AC7908" t="s">
        <v>53</v>
      </c>
      <c r="AD7908" t="s">
        <v>53</v>
      </c>
      <c r="AK7908">
        <v>0</v>
      </c>
      <c r="AU7908" s="6">
        <v>42048</v>
      </c>
      <c r="AV7908" s="6">
        <v>42048</v>
      </c>
      <c r="AW7908" t="s">
        <v>54</v>
      </c>
      <c r="AX7908" t="str">
        <f t="shared" si="644"/>
        <v>FOR</v>
      </c>
      <c r="AY7908" t="s">
        <v>55</v>
      </c>
    </row>
    <row r="7909" spans="1:51" hidden="1">
      <c r="A7909">
        <v>104492</v>
      </c>
      <c r="B7909" t="s">
        <v>1331</v>
      </c>
      <c r="C7909" t="str">
        <f t="shared" si="646"/>
        <v>05354730631</v>
      </c>
      <c r="D7909" t="str">
        <f t="shared" si="646"/>
        <v>05354730631</v>
      </c>
      <c r="E7909" t="s">
        <v>52</v>
      </c>
      <c r="F7909">
        <v>2014</v>
      </c>
      <c r="G7909">
        <v>574</v>
      </c>
      <c r="H7909" s="1">
        <v>41696</v>
      </c>
      <c r="I7909" s="1">
        <v>41711</v>
      </c>
      <c r="J7909" s="1">
        <v>41711</v>
      </c>
      <c r="K7909" s="1">
        <v>41801</v>
      </c>
      <c r="N7909" s="5"/>
      <c r="O7909">
        <v>104</v>
      </c>
      <c r="P7909">
        <v>247</v>
      </c>
      <c r="Q7909" s="2">
        <v>25688</v>
      </c>
      <c r="R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 s="1">
        <v>42382</v>
      </c>
      <c r="AC7909" t="s">
        <v>53</v>
      </c>
      <c r="AD7909" t="s">
        <v>53</v>
      </c>
      <c r="AK7909">
        <v>0</v>
      </c>
      <c r="AU7909" s="6">
        <v>42048</v>
      </c>
      <c r="AV7909" s="6">
        <v>42048</v>
      </c>
      <c r="AW7909" t="s">
        <v>54</v>
      </c>
      <c r="AX7909" t="str">
        <f t="shared" si="644"/>
        <v>FOR</v>
      </c>
      <c r="AY7909" t="s">
        <v>55</v>
      </c>
    </row>
    <row r="7910" spans="1:51" hidden="1">
      <c r="A7910">
        <v>104492</v>
      </c>
      <c r="B7910" t="s">
        <v>1331</v>
      </c>
      <c r="C7910" t="str">
        <f t="shared" si="646"/>
        <v>05354730631</v>
      </c>
      <c r="D7910" t="str">
        <f t="shared" si="646"/>
        <v>05354730631</v>
      </c>
      <c r="E7910" t="s">
        <v>52</v>
      </c>
      <c r="F7910">
        <v>2014</v>
      </c>
      <c r="G7910">
        <v>575</v>
      </c>
      <c r="H7910" s="1">
        <v>41696</v>
      </c>
      <c r="I7910" s="1">
        <v>41711</v>
      </c>
      <c r="J7910" s="1">
        <v>41711</v>
      </c>
      <c r="K7910" s="1">
        <v>41801</v>
      </c>
      <c r="N7910" s="5"/>
      <c r="O7910">
        <v>104</v>
      </c>
      <c r="P7910">
        <v>247</v>
      </c>
      <c r="Q7910" s="2">
        <v>25688</v>
      </c>
      <c r="R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 s="1">
        <v>42382</v>
      </c>
      <c r="AC7910" t="s">
        <v>53</v>
      </c>
      <c r="AD7910" t="s">
        <v>53</v>
      </c>
      <c r="AK7910">
        <v>0</v>
      </c>
      <c r="AU7910" s="6">
        <v>42048</v>
      </c>
      <c r="AV7910" s="6">
        <v>42048</v>
      </c>
      <c r="AW7910" t="s">
        <v>54</v>
      </c>
      <c r="AX7910" t="str">
        <f t="shared" si="644"/>
        <v>FOR</v>
      </c>
      <c r="AY7910" t="s">
        <v>55</v>
      </c>
    </row>
    <row r="7911" spans="1:51" hidden="1">
      <c r="A7911">
        <v>104492</v>
      </c>
      <c r="B7911" t="s">
        <v>1331</v>
      </c>
      <c r="C7911" t="str">
        <f t="shared" si="646"/>
        <v>05354730631</v>
      </c>
      <c r="D7911" t="str">
        <f t="shared" si="646"/>
        <v>05354730631</v>
      </c>
      <c r="E7911" t="s">
        <v>52</v>
      </c>
      <c r="F7911">
        <v>2014</v>
      </c>
      <c r="G7911">
        <v>576</v>
      </c>
      <c r="H7911" s="1">
        <v>41696</v>
      </c>
      <c r="I7911" s="1">
        <v>41711</v>
      </c>
      <c r="J7911" s="1">
        <v>41711</v>
      </c>
      <c r="K7911" s="1">
        <v>41801</v>
      </c>
      <c r="N7911" s="5"/>
      <c r="O7911">
        <v>104</v>
      </c>
      <c r="P7911">
        <v>247</v>
      </c>
      <c r="Q7911" s="2">
        <v>25688</v>
      </c>
      <c r="R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 s="1">
        <v>42382</v>
      </c>
      <c r="AC7911" t="s">
        <v>53</v>
      </c>
      <c r="AD7911" t="s">
        <v>53</v>
      </c>
      <c r="AK7911">
        <v>0</v>
      </c>
      <c r="AU7911" s="6">
        <v>42048</v>
      </c>
      <c r="AV7911" s="6">
        <v>42048</v>
      </c>
      <c r="AW7911" t="s">
        <v>54</v>
      </c>
      <c r="AX7911" t="str">
        <f t="shared" si="644"/>
        <v>FOR</v>
      </c>
      <c r="AY7911" t="s">
        <v>55</v>
      </c>
    </row>
    <row r="7912" spans="1:51" hidden="1">
      <c r="A7912">
        <v>104492</v>
      </c>
      <c r="B7912" t="s">
        <v>1331</v>
      </c>
      <c r="C7912" t="str">
        <f t="shared" si="646"/>
        <v>05354730631</v>
      </c>
      <c r="D7912" t="str">
        <f t="shared" si="646"/>
        <v>05354730631</v>
      </c>
      <c r="E7912" t="s">
        <v>52</v>
      </c>
      <c r="F7912">
        <v>2014</v>
      </c>
      <c r="G7912">
        <v>687</v>
      </c>
      <c r="H7912" s="1">
        <v>41708</v>
      </c>
      <c r="I7912" s="1">
        <v>41712</v>
      </c>
      <c r="J7912" s="1">
        <v>41712</v>
      </c>
      <c r="K7912" s="1">
        <v>41802</v>
      </c>
      <c r="N7912" s="5"/>
      <c r="O7912">
        <v>104</v>
      </c>
      <c r="P7912">
        <v>260</v>
      </c>
      <c r="Q7912" s="2">
        <v>27040</v>
      </c>
      <c r="R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 s="1">
        <v>42382</v>
      </c>
      <c r="AC7912" t="s">
        <v>53</v>
      </c>
      <c r="AD7912" t="s">
        <v>53</v>
      </c>
      <c r="AK7912">
        <v>0</v>
      </c>
      <c r="AU7912" s="6">
        <v>42062</v>
      </c>
      <c r="AV7912" s="6">
        <v>42062</v>
      </c>
      <c r="AW7912" t="s">
        <v>54</v>
      </c>
      <c r="AX7912" t="str">
        <f t="shared" si="644"/>
        <v>FOR</v>
      </c>
      <c r="AY7912" t="s">
        <v>55</v>
      </c>
    </row>
    <row r="7913" spans="1:51" hidden="1">
      <c r="A7913">
        <v>104492</v>
      </c>
      <c r="B7913" t="s">
        <v>1331</v>
      </c>
      <c r="C7913" t="str">
        <f t="shared" si="646"/>
        <v>05354730631</v>
      </c>
      <c r="D7913" t="str">
        <f t="shared" si="646"/>
        <v>05354730631</v>
      </c>
      <c r="E7913" t="s">
        <v>52</v>
      </c>
      <c r="F7913">
        <v>2014</v>
      </c>
      <c r="G7913">
        <v>688</v>
      </c>
      <c r="H7913" s="1">
        <v>41708</v>
      </c>
      <c r="I7913" s="1">
        <v>41712</v>
      </c>
      <c r="J7913" s="1">
        <v>41712</v>
      </c>
      <c r="K7913" s="1">
        <v>41802</v>
      </c>
      <c r="N7913" s="5"/>
      <c r="O7913">
        <v>104</v>
      </c>
      <c r="P7913">
        <v>260</v>
      </c>
      <c r="Q7913" s="2">
        <v>27040</v>
      </c>
      <c r="R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 s="1">
        <v>42382</v>
      </c>
      <c r="AC7913" t="s">
        <v>53</v>
      </c>
      <c r="AD7913" t="s">
        <v>53</v>
      </c>
      <c r="AK7913">
        <v>0</v>
      </c>
      <c r="AU7913" s="6">
        <v>42062</v>
      </c>
      <c r="AV7913" s="6">
        <v>42062</v>
      </c>
      <c r="AW7913" t="s">
        <v>54</v>
      </c>
      <c r="AX7913" t="str">
        <f t="shared" si="644"/>
        <v>FOR</v>
      </c>
      <c r="AY7913" t="s">
        <v>55</v>
      </c>
    </row>
    <row r="7914" spans="1:51" hidden="1">
      <c r="A7914">
        <v>104492</v>
      </c>
      <c r="B7914" t="s">
        <v>1331</v>
      </c>
      <c r="C7914" t="str">
        <f t="shared" si="646"/>
        <v>05354730631</v>
      </c>
      <c r="D7914" t="str">
        <f t="shared" si="646"/>
        <v>05354730631</v>
      </c>
      <c r="E7914" t="s">
        <v>52</v>
      </c>
      <c r="F7914">
        <v>2014</v>
      </c>
      <c r="G7914">
        <v>689</v>
      </c>
      <c r="H7914" s="1">
        <v>41708</v>
      </c>
      <c r="I7914" s="1">
        <v>41712</v>
      </c>
      <c r="J7914" s="1">
        <v>41712</v>
      </c>
      <c r="K7914" s="1">
        <v>41802</v>
      </c>
      <c r="N7914" s="5"/>
      <c r="O7914">
        <v>135.19999999999999</v>
      </c>
      <c r="P7914">
        <v>260</v>
      </c>
      <c r="Q7914" s="2">
        <v>35152</v>
      </c>
      <c r="R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 s="1">
        <v>42382</v>
      </c>
      <c r="AC7914" t="s">
        <v>53</v>
      </c>
      <c r="AD7914" t="s">
        <v>53</v>
      </c>
      <c r="AK7914">
        <v>0</v>
      </c>
      <c r="AU7914" s="6">
        <v>42062</v>
      </c>
      <c r="AV7914" s="6">
        <v>42062</v>
      </c>
      <c r="AW7914" t="s">
        <v>54</v>
      </c>
      <c r="AX7914" t="str">
        <f t="shared" si="644"/>
        <v>FOR</v>
      </c>
      <c r="AY7914" t="s">
        <v>55</v>
      </c>
    </row>
    <row r="7915" spans="1:51" hidden="1">
      <c r="A7915">
        <v>104492</v>
      </c>
      <c r="B7915" t="s">
        <v>1331</v>
      </c>
      <c r="C7915" t="str">
        <f t="shared" si="646"/>
        <v>05354730631</v>
      </c>
      <c r="D7915" t="str">
        <f t="shared" si="646"/>
        <v>05354730631</v>
      </c>
      <c r="E7915" t="s">
        <v>52</v>
      </c>
      <c r="F7915">
        <v>2014</v>
      </c>
      <c r="G7915">
        <v>690</v>
      </c>
      <c r="H7915" s="1">
        <v>41708</v>
      </c>
      <c r="I7915" s="1">
        <v>41712</v>
      </c>
      <c r="J7915" s="1">
        <v>41712</v>
      </c>
      <c r="K7915" s="1">
        <v>41802</v>
      </c>
      <c r="N7915" s="5"/>
      <c r="O7915">
        <v>135.19999999999999</v>
      </c>
      <c r="P7915">
        <v>260</v>
      </c>
      <c r="Q7915" s="2">
        <v>35152</v>
      </c>
      <c r="R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 s="1">
        <v>42382</v>
      </c>
      <c r="AC7915" t="s">
        <v>53</v>
      </c>
      <c r="AD7915" t="s">
        <v>53</v>
      </c>
      <c r="AK7915">
        <v>0</v>
      </c>
      <c r="AU7915" s="6">
        <v>42062</v>
      </c>
      <c r="AV7915" s="6">
        <v>42062</v>
      </c>
      <c r="AW7915" t="s">
        <v>54</v>
      </c>
      <c r="AX7915" t="str">
        <f t="shared" si="644"/>
        <v>FOR</v>
      </c>
      <c r="AY7915" t="s">
        <v>55</v>
      </c>
    </row>
    <row r="7916" spans="1:51" hidden="1">
      <c r="A7916">
        <v>104492</v>
      </c>
      <c r="B7916" t="s">
        <v>1331</v>
      </c>
      <c r="C7916" t="str">
        <f t="shared" si="646"/>
        <v>05354730631</v>
      </c>
      <c r="D7916" t="str">
        <f t="shared" si="646"/>
        <v>05354730631</v>
      </c>
      <c r="E7916" t="s">
        <v>52</v>
      </c>
      <c r="F7916">
        <v>2014</v>
      </c>
      <c r="G7916">
        <v>691</v>
      </c>
      <c r="H7916" s="1">
        <v>41708</v>
      </c>
      <c r="I7916" s="1">
        <v>41712</v>
      </c>
      <c r="J7916" s="1">
        <v>41712</v>
      </c>
      <c r="K7916" s="1">
        <v>41802</v>
      </c>
      <c r="N7916" s="5"/>
      <c r="O7916">
        <v>135.19999999999999</v>
      </c>
      <c r="P7916">
        <v>260</v>
      </c>
      <c r="Q7916" s="2">
        <v>35152</v>
      </c>
      <c r="R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 s="1">
        <v>42382</v>
      </c>
      <c r="AC7916" t="s">
        <v>53</v>
      </c>
      <c r="AD7916" t="s">
        <v>53</v>
      </c>
      <c r="AK7916">
        <v>0</v>
      </c>
      <c r="AU7916" s="6">
        <v>42062</v>
      </c>
      <c r="AV7916" s="6">
        <v>42062</v>
      </c>
      <c r="AW7916" t="s">
        <v>54</v>
      </c>
      <c r="AX7916" t="str">
        <f t="shared" si="644"/>
        <v>FOR</v>
      </c>
      <c r="AY7916" t="s">
        <v>55</v>
      </c>
    </row>
    <row r="7917" spans="1:51" hidden="1">
      <c r="A7917">
        <v>104492</v>
      </c>
      <c r="B7917" t="s">
        <v>1331</v>
      </c>
      <c r="C7917" t="str">
        <f t="shared" si="646"/>
        <v>05354730631</v>
      </c>
      <c r="D7917" t="str">
        <f t="shared" si="646"/>
        <v>05354730631</v>
      </c>
      <c r="E7917" t="s">
        <v>52</v>
      </c>
      <c r="F7917">
        <v>2014</v>
      </c>
      <c r="G7917">
        <v>692</v>
      </c>
      <c r="H7917" s="1">
        <v>41708</v>
      </c>
      <c r="I7917" s="1">
        <v>41712</v>
      </c>
      <c r="J7917" s="1">
        <v>41712</v>
      </c>
      <c r="K7917" s="1">
        <v>41802</v>
      </c>
      <c r="N7917" s="5"/>
      <c r="O7917">
        <v>135.19999999999999</v>
      </c>
      <c r="P7917">
        <v>260</v>
      </c>
      <c r="Q7917" s="2">
        <v>35152</v>
      </c>
      <c r="R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 s="1">
        <v>42382</v>
      </c>
      <c r="AC7917" t="s">
        <v>53</v>
      </c>
      <c r="AD7917" t="s">
        <v>53</v>
      </c>
      <c r="AK7917">
        <v>0</v>
      </c>
      <c r="AU7917" s="6">
        <v>42062</v>
      </c>
      <c r="AV7917" s="6">
        <v>42062</v>
      </c>
      <c r="AW7917" t="s">
        <v>54</v>
      </c>
      <c r="AX7917" t="str">
        <f t="shared" si="644"/>
        <v>FOR</v>
      </c>
      <c r="AY7917" t="s">
        <v>55</v>
      </c>
    </row>
    <row r="7918" spans="1:51" hidden="1">
      <c r="A7918">
        <v>104492</v>
      </c>
      <c r="B7918" t="s">
        <v>1331</v>
      </c>
      <c r="C7918" t="str">
        <f t="shared" si="646"/>
        <v>05354730631</v>
      </c>
      <c r="D7918" t="str">
        <f t="shared" si="646"/>
        <v>05354730631</v>
      </c>
      <c r="E7918" t="s">
        <v>52</v>
      </c>
      <c r="F7918">
        <v>2014</v>
      </c>
      <c r="G7918">
        <v>693</v>
      </c>
      <c r="H7918" s="1">
        <v>41708</v>
      </c>
      <c r="I7918" s="1">
        <v>41712</v>
      </c>
      <c r="J7918" s="1">
        <v>41712</v>
      </c>
      <c r="K7918" s="1">
        <v>41802</v>
      </c>
      <c r="N7918" s="5"/>
      <c r="O7918">
        <v>135.19999999999999</v>
      </c>
      <c r="P7918">
        <v>260</v>
      </c>
      <c r="Q7918" s="2">
        <v>35152</v>
      </c>
      <c r="R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 s="1">
        <v>42382</v>
      </c>
      <c r="AC7918" t="s">
        <v>53</v>
      </c>
      <c r="AD7918" t="s">
        <v>53</v>
      </c>
      <c r="AK7918">
        <v>0</v>
      </c>
      <c r="AU7918" s="6">
        <v>42062</v>
      </c>
      <c r="AV7918" s="6">
        <v>42062</v>
      </c>
      <c r="AW7918" t="s">
        <v>54</v>
      </c>
      <c r="AX7918" t="str">
        <f t="shared" si="644"/>
        <v>FOR</v>
      </c>
      <c r="AY7918" t="s">
        <v>55</v>
      </c>
    </row>
    <row r="7919" spans="1:51" hidden="1">
      <c r="A7919">
        <v>104492</v>
      </c>
      <c r="B7919" t="s">
        <v>1331</v>
      </c>
      <c r="C7919" t="str">
        <f t="shared" si="646"/>
        <v>05354730631</v>
      </c>
      <c r="D7919" t="str">
        <f t="shared" si="646"/>
        <v>05354730631</v>
      </c>
      <c r="E7919" t="s">
        <v>52</v>
      </c>
      <c r="F7919">
        <v>2014</v>
      </c>
      <c r="G7919">
        <v>694</v>
      </c>
      <c r="H7919" s="1">
        <v>41708</v>
      </c>
      <c r="I7919" s="1">
        <v>41712</v>
      </c>
      <c r="J7919" s="1">
        <v>41712</v>
      </c>
      <c r="K7919" s="1">
        <v>41802</v>
      </c>
      <c r="N7919" s="5"/>
      <c r="O7919">
        <v>135.19999999999999</v>
      </c>
      <c r="P7919">
        <v>260</v>
      </c>
      <c r="Q7919" s="2">
        <v>35152</v>
      </c>
      <c r="R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 s="1">
        <v>42382</v>
      </c>
      <c r="AC7919" t="s">
        <v>53</v>
      </c>
      <c r="AD7919" t="s">
        <v>53</v>
      </c>
      <c r="AK7919">
        <v>0</v>
      </c>
      <c r="AU7919" s="6">
        <v>42062</v>
      </c>
      <c r="AV7919" s="6">
        <v>42062</v>
      </c>
      <c r="AW7919" t="s">
        <v>54</v>
      </c>
      <c r="AX7919" t="str">
        <f t="shared" si="644"/>
        <v>FOR</v>
      </c>
      <c r="AY7919" t="s">
        <v>55</v>
      </c>
    </row>
    <row r="7920" spans="1:51" hidden="1">
      <c r="A7920">
        <v>104492</v>
      </c>
      <c r="B7920" t="s">
        <v>1331</v>
      </c>
      <c r="C7920" t="str">
        <f t="shared" si="646"/>
        <v>05354730631</v>
      </c>
      <c r="D7920" t="str">
        <f t="shared" si="646"/>
        <v>05354730631</v>
      </c>
      <c r="E7920" t="s">
        <v>52</v>
      </c>
      <c r="F7920">
        <v>2014</v>
      </c>
      <c r="G7920">
        <v>695</v>
      </c>
      <c r="H7920" s="1">
        <v>41708</v>
      </c>
      <c r="I7920" s="1">
        <v>41712</v>
      </c>
      <c r="J7920" s="1">
        <v>41712</v>
      </c>
      <c r="K7920" s="1">
        <v>41802</v>
      </c>
      <c r="N7920" s="5"/>
      <c r="O7920">
        <v>104</v>
      </c>
      <c r="P7920">
        <v>260</v>
      </c>
      <c r="Q7920" s="2">
        <v>27040</v>
      </c>
      <c r="R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 s="1">
        <v>42382</v>
      </c>
      <c r="AC7920" t="s">
        <v>53</v>
      </c>
      <c r="AD7920" t="s">
        <v>53</v>
      </c>
      <c r="AK7920">
        <v>0</v>
      </c>
      <c r="AU7920" s="6">
        <v>42062</v>
      </c>
      <c r="AV7920" s="6">
        <v>42062</v>
      </c>
      <c r="AW7920" t="s">
        <v>54</v>
      </c>
      <c r="AX7920" t="str">
        <f t="shared" si="644"/>
        <v>FOR</v>
      </c>
      <c r="AY7920" t="s">
        <v>55</v>
      </c>
    </row>
    <row r="7921" spans="1:51" hidden="1">
      <c r="A7921">
        <v>104492</v>
      </c>
      <c r="B7921" t="s">
        <v>1331</v>
      </c>
      <c r="C7921" t="str">
        <f t="shared" si="646"/>
        <v>05354730631</v>
      </c>
      <c r="D7921" t="str">
        <f t="shared" si="646"/>
        <v>05354730631</v>
      </c>
      <c r="E7921" t="s">
        <v>52</v>
      </c>
      <c r="F7921">
        <v>2014</v>
      </c>
      <c r="G7921">
        <v>696</v>
      </c>
      <c r="H7921" s="1">
        <v>41708</v>
      </c>
      <c r="I7921" s="1">
        <v>41712</v>
      </c>
      <c r="J7921" s="1">
        <v>41712</v>
      </c>
      <c r="K7921" s="1">
        <v>41802</v>
      </c>
      <c r="N7921" s="5"/>
      <c r="O7921">
        <v>104</v>
      </c>
      <c r="P7921">
        <v>260</v>
      </c>
      <c r="Q7921" s="2">
        <v>27040</v>
      </c>
      <c r="R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 s="1">
        <v>42382</v>
      </c>
      <c r="AC7921" t="s">
        <v>53</v>
      </c>
      <c r="AD7921" t="s">
        <v>53</v>
      </c>
      <c r="AK7921">
        <v>0</v>
      </c>
      <c r="AU7921" s="6">
        <v>42062</v>
      </c>
      <c r="AV7921" s="6">
        <v>42062</v>
      </c>
      <c r="AW7921" t="s">
        <v>54</v>
      </c>
      <c r="AX7921" t="str">
        <f t="shared" si="644"/>
        <v>FOR</v>
      </c>
      <c r="AY7921" t="s">
        <v>55</v>
      </c>
    </row>
    <row r="7922" spans="1:51" hidden="1">
      <c r="A7922">
        <v>104492</v>
      </c>
      <c r="B7922" t="s">
        <v>1331</v>
      </c>
      <c r="C7922" t="str">
        <f t="shared" si="646"/>
        <v>05354730631</v>
      </c>
      <c r="D7922" t="str">
        <f t="shared" si="646"/>
        <v>05354730631</v>
      </c>
      <c r="E7922" t="s">
        <v>52</v>
      </c>
      <c r="F7922">
        <v>2014</v>
      </c>
      <c r="G7922">
        <v>801</v>
      </c>
      <c r="H7922" s="1">
        <v>41715</v>
      </c>
      <c r="I7922" s="1">
        <v>41724</v>
      </c>
      <c r="J7922" s="1">
        <v>41724</v>
      </c>
      <c r="K7922" s="1">
        <v>41814</v>
      </c>
      <c r="N7922" s="5"/>
      <c r="O7922">
        <v>135.19999999999999</v>
      </c>
      <c r="P7922">
        <v>248</v>
      </c>
      <c r="Q7922" s="2">
        <v>33529.599999999999</v>
      </c>
      <c r="R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 s="1">
        <v>42382</v>
      </c>
      <c r="AC7922" t="s">
        <v>53</v>
      </c>
      <c r="AD7922" t="s">
        <v>53</v>
      </c>
      <c r="AK7922">
        <v>0</v>
      </c>
      <c r="AU7922" s="6">
        <v>42062</v>
      </c>
      <c r="AV7922" s="6">
        <v>42062</v>
      </c>
      <c r="AW7922" t="s">
        <v>54</v>
      </c>
      <c r="AX7922" t="str">
        <f t="shared" si="644"/>
        <v>FOR</v>
      </c>
      <c r="AY7922" t="s">
        <v>55</v>
      </c>
    </row>
    <row r="7923" spans="1:51" hidden="1">
      <c r="A7923">
        <v>104492</v>
      </c>
      <c r="B7923" t="s">
        <v>1331</v>
      </c>
      <c r="C7923" t="str">
        <f t="shared" si="646"/>
        <v>05354730631</v>
      </c>
      <c r="D7923" t="str">
        <f t="shared" si="646"/>
        <v>05354730631</v>
      </c>
      <c r="E7923" t="s">
        <v>52</v>
      </c>
      <c r="F7923">
        <v>2014</v>
      </c>
      <c r="G7923">
        <v>802</v>
      </c>
      <c r="H7923" s="1">
        <v>41715</v>
      </c>
      <c r="I7923" s="1">
        <v>41724</v>
      </c>
      <c r="J7923" s="1">
        <v>41724</v>
      </c>
      <c r="K7923" s="1">
        <v>41814</v>
      </c>
      <c r="N7923" s="5"/>
      <c r="O7923">
        <v>135.19999999999999</v>
      </c>
      <c r="P7923">
        <v>248</v>
      </c>
      <c r="Q7923" s="2">
        <v>33529.599999999999</v>
      </c>
      <c r="R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 s="1">
        <v>42382</v>
      </c>
      <c r="AC7923" t="s">
        <v>53</v>
      </c>
      <c r="AD7923" t="s">
        <v>53</v>
      </c>
      <c r="AK7923">
        <v>0</v>
      </c>
      <c r="AU7923" s="6">
        <v>42062</v>
      </c>
      <c r="AV7923" s="6">
        <v>42062</v>
      </c>
      <c r="AW7923" t="s">
        <v>54</v>
      </c>
      <c r="AX7923" t="str">
        <f t="shared" si="644"/>
        <v>FOR</v>
      </c>
      <c r="AY7923" t="s">
        <v>55</v>
      </c>
    </row>
    <row r="7924" spans="1:51" hidden="1">
      <c r="A7924">
        <v>104492</v>
      </c>
      <c r="B7924" t="s">
        <v>1331</v>
      </c>
      <c r="C7924" t="str">
        <f t="shared" si="646"/>
        <v>05354730631</v>
      </c>
      <c r="D7924" t="str">
        <f t="shared" si="646"/>
        <v>05354730631</v>
      </c>
      <c r="E7924" t="s">
        <v>52</v>
      </c>
      <c r="F7924">
        <v>2014</v>
      </c>
      <c r="G7924">
        <v>803</v>
      </c>
      <c r="H7924" s="1">
        <v>41715</v>
      </c>
      <c r="I7924" s="1">
        <v>41724</v>
      </c>
      <c r="J7924" s="1">
        <v>41724</v>
      </c>
      <c r="K7924" s="1">
        <v>41814</v>
      </c>
      <c r="N7924" s="5"/>
      <c r="O7924">
        <v>104</v>
      </c>
      <c r="P7924">
        <v>248</v>
      </c>
      <c r="Q7924" s="2">
        <v>25792</v>
      </c>
      <c r="R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 s="1">
        <v>42382</v>
      </c>
      <c r="AC7924" t="s">
        <v>53</v>
      </c>
      <c r="AD7924" t="s">
        <v>53</v>
      </c>
      <c r="AK7924">
        <v>0</v>
      </c>
      <c r="AU7924" s="6">
        <v>42062</v>
      </c>
      <c r="AV7924" s="6">
        <v>42062</v>
      </c>
      <c r="AW7924" t="s">
        <v>54</v>
      </c>
      <c r="AX7924" t="str">
        <f t="shared" si="644"/>
        <v>FOR</v>
      </c>
      <c r="AY7924" t="s">
        <v>55</v>
      </c>
    </row>
    <row r="7925" spans="1:51" hidden="1">
      <c r="A7925">
        <v>104492</v>
      </c>
      <c r="B7925" t="s">
        <v>1331</v>
      </c>
      <c r="C7925" t="str">
        <f t="shared" ref="C7925:D7944" si="647">"05354730631"</f>
        <v>05354730631</v>
      </c>
      <c r="D7925" t="str">
        <f t="shared" si="647"/>
        <v>05354730631</v>
      </c>
      <c r="E7925" t="s">
        <v>52</v>
      </c>
      <c r="F7925">
        <v>2014</v>
      </c>
      <c r="G7925">
        <v>804</v>
      </c>
      <c r="H7925" s="1">
        <v>41715</v>
      </c>
      <c r="I7925" s="1">
        <v>41724</v>
      </c>
      <c r="J7925" s="1">
        <v>41724</v>
      </c>
      <c r="K7925" s="1">
        <v>41814</v>
      </c>
      <c r="N7925" s="5"/>
      <c r="O7925">
        <v>104</v>
      </c>
      <c r="P7925">
        <v>248</v>
      </c>
      <c r="Q7925" s="2">
        <v>25792</v>
      </c>
      <c r="R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 s="1">
        <v>42382</v>
      </c>
      <c r="AC7925" t="s">
        <v>53</v>
      </c>
      <c r="AD7925" t="s">
        <v>53</v>
      </c>
      <c r="AK7925">
        <v>0</v>
      </c>
      <c r="AU7925" s="6">
        <v>42062</v>
      </c>
      <c r="AV7925" s="6">
        <v>42062</v>
      </c>
      <c r="AW7925" t="s">
        <v>54</v>
      </c>
      <c r="AX7925" t="str">
        <f t="shared" si="644"/>
        <v>FOR</v>
      </c>
      <c r="AY7925" t="s">
        <v>55</v>
      </c>
    </row>
    <row r="7926" spans="1:51" hidden="1">
      <c r="A7926">
        <v>104492</v>
      </c>
      <c r="B7926" t="s">
        <v>1331</v>
      </c>
      <c r="C7926" t="str">
        <f t="shared" si="647"/>
        <v>05354730631</v>
      </c>
      <c r="D7926" t="str">
        <f t="shared" si="647"/>
        <v>05354730631</v>
      </c>
      <c r="E7926" t="s">
        <v>52</v>
      </c>
      <c r="F7926">
        <v>2014</v>
      </c>
      <c r="G7926">
        <v>805</v>
      </c>
      <c r="H7926" s="1">
        <v>41715</v>
      </c>
      <c r="I7926" s="1">
        <v>41724</v>
      </c>
      <c r="J7926" s="1">
        <v>41724</v>
      </c>
      <c r="K7926" s="1">
        <v>41814</v>
      </c>
      <c r="N7926" s="5"/>
      <c r="O7926">
        <v>104</v>
      </c>
      <c r="P7926">
        <v>248</v>
      </c>
      <c r="Q7926" s="2">
        <v>25792</v>
      </c>
      <c r="R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 s="1">
        <v>42382</v>
      </c>
      <c r="AC7926" t="s">
        <v>53</v>
      </c>
      <c r="AD7926" t="s">
        <v>53</v>
      </c>
      <c r="AK7926">
        <v>0</v>
      </c>
      <c r="AU7926" s="6">
        <v>42062</v>
      </c>
      <c r="AV7926" s="6">
        <v>42062</v>
      </c>
      <c r="AW7926" t="s">
        <v>54</v>
      </c>
      <c r="AX7926" t="str">
        <f t="shared" si="644"/>
        <v>FOR</v>
      </c>
      <c r="AY7926" t="s">
        <v>55</v>
      </c>
    </row>
    <row r="7927" spans="1:51" hidden="1">
      <c r="A7927">
        <v>104492</v>
      </c>
      <c r="B7927" t="s">
        <v>1331</v>
      </c>
      <c r="C7927" t="str">
        <f t="shared" si="647"/>
        <v>05354730631</v>
      </c>
      <c r="D7927" t="str">
        <f t="shared" si="647"/>
        <v>05354730631</v>
      </c>
      <c r="E7927" t="s">
        <v>52</v>
      </c>
      <c r="F7927">
        <v>2014</v>
      </c>
      <c r="G7927">
        <v>806</v>
      </c>
      <c r="H7927" s="1">
        <v>41715</v>
      </c>
      <c r="I7927" s="1">
        <v>41724</v>
      </c>
      <c r="J7927" s="1">
        <v>41724</v>
      </c>
      <c r="K7927" s="1">
        <v>41814</v>
      </c>
      <c r="N7927" s="5"/>
      <c r="O7927">
        <v>135.19999999999999</v>
      </c>
      <c r="P7927">
        <v>248</v>
      </c>
      <c r="Q7927" s="2">
        <v>33529.599999999999</v>
      </c>
      <c r="R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 s="1">
        <v>42382</v>
      </c>
      <c r="AC7927" t="s">
        <v>53</v>
      </c>
      <c r="AD7927" t="s">
        <v>53</v>
      </c>
      <c r="AK7927">
        <v>0</v>
      </c>
      <c r="AU7927" s="6">
        <v>42062</v>
      </c>
      <c r="AV7927" s="6">
        <v>42062</v>
      </c>
      <c r="AW7927" t="s">
        <v>54</v>
      </c>
      <c r="AX7927" t="str">
        <f t="shared" si="644"/>
        <v>FOR</v>
      </c>
      <c r="AY7927" t="s">
        <v>55</v>
      </c>
    </row>
    <row r="7928" spans="1:51" hidden="1">
      <c r="A7928">
        <v>104492</v>
      </c>
      <c r="B7928" t="s">
        <v>1331</v>
      </c>
      <c r="C7928" t="str">
        <f t="shared" si="647"/>
        <v>05354730631</v>
      </c>
      <c r="D7928" t="str">
        <f t="shared" si="647"/>
        <v>05354730631</v>
      </c>
      <c r="E7928" t="s">
        <v>52</v>
      </c>
      <c r="F7928">
        <v>2014</v>
      </c>
      <c r="G7928">
        <v>807</v>
      </c>
      <c r="H7928" s="1">
        <v>41715</v>
      </c>
      <c r="I7928" s="1">
        <v>41724</v>
      </c>
      <c r="J7928" s="1">
        <v>41724</v>
      </c>
      <c r="K7928" s="1">
        <v>41814</v>
      </c>
      <c r="N7928" s="5"/>
      <c r="O7928">
        <v>135.19999999999999</v>
      </c>
      <c r="P7928">
        <v>248</v>
      </c>
      <c r="Q7928" s="2">
        <v>33529.599999999999</v>
      </c>
      <c r="R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 s="1">
        <v>42382</v>
      </c>
      <c r="AC7928" t="s">
        <v>53</v>
      </c>
      <c r="AD7928" t="s">
        <v>53</v>
      </c>
      <c r="AK7928">
        <v>0</v>
      </c>
      <c r="AU7928" s="6">
        <v>42062</v>
      </c>
      <c r="AV7928" s="6">
        <v>42062</v>
      </c>
      <c r="AW7928" t="s">
        <v>54</v>
      </c>
      <c r="AX7928" t="str">
        <f t="shared" si="644"/>
        <v>FOR</v>
      </c>
      <c r="AY7928" t="s">
        <v>55</v>
      </c>
    </row>
    <row r="7929" spans="1:51" hidden="1">
      <c r="A7929">
        <v>104492</v>
      </c>
      <c r="B7929" t="s">
        <v>1331</v>
      </c>
      <c r="C7929" t="str">
        <f t="shared" si="647"/>
        <v>05354730631</v>
      </c>
      <c r="D7929" t="str">
        <f t="shared" si="647"/>
        <v>05354730631</v>
      </c>
      <c r="E7929" t="s">
        <v>52</v>
      </c>
      <c r="F7929">
        <v>2014</v>
      </c>
      <c r="G7929">
        <v>827</v>
      </c>
      <c r="H7929" s="1">
        <v>41717</v>
      </c>
      <c r="I7929" s="1">
        <v>41731</v>
      </c>
      <c r="J7929" s="1">
        <v>41731</v>
      </c>
      <c r="K7929" s="1">
        <v>41821</v>
      </c>
      <c r="N7929" s="5"/>
      <c r="O7929" s="2">
        <v>15262.2</v>
      </c>
      <c r="P7929">
        <v>337</v>
      </c>
      <c r="Q7929" s="2">
        <v>5143361.4000000004</v>
      </c>
      <c r="R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 s="1">
        <v>42382</v>
      </c>
      <c r="AC7929" t="s">
        <v>53</v>
      </c>
      <c r="AD7929" t="s">
        <v>53</v>
      </c>
      <c r="AK7929">
        <v>0</v>
      </c>
      <c r="AU7929" s="6">
        <v>42158</v>
      </c>
      <c r="AV7929" s="6">
        <v>42158</v>
      </c>
      <c r="AW7929" t="s">
        <v>54</v>
      </c>
      <c r="AX7929" t="str">
        <f t="shared" si="644"/>
        <v>FOR</v>
      </c>
      <c r="AY7929" t="s">
        <v>55</v>
      </c>
    </row>
    <row r="7930" spans="1:51" hidden="1">
      <c r="A7930">
        <v>104492</v>
      </c>
      <c r="B7930" t="s">
        <v>1331</v>
      </c>
      <c r="C7930" t="str">
        <f t="shared" si="647"/>
        <v>05354730631</v>
      </c>
      <c r="D7930" t="str">
        <f t="shared" si="647"/>
        <v>05354730631</v>
      </c>
      <c r="E7930" t="s">
        <v>52</v>
      </c>
      <c r="F7930">
        <v>2014</v>
      </c>
      <c r="G7930">
        <v>963</v>
      </c>
      <c r="H7930" s="1">
        <v>41726</v>
      </c>
      <c r="I7930" s="1">
        <v>41746</v>
      </c>
      <c r="J7930" s="1">
        <v>41746</v>
      </c>
      <c r="K7930" s="1">
        <v>41836</v>
      </c>
      <c r="N7930" s="5"/>
      <c r="O7930">
        <v>140.30000000000001</v>
      </c>
      <c r="P7930">
        <v>226</v>
      </c>
      <c r="Q7930" s="2">
        <v>31707.8</v>
      </c>
      <c r="R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 s="1">
        <v>42382</v>
      </c>
      <c r="AC7930" t="s">
        <v>53</v>
      </c>
      <c r="AD7930" t="s">
        <v>53</v>
      </c>
      <c r="AK7930">
        <v>0</v>
      </c>
      <c r="AU7930" s="6">
        <v>42062</v>
      </c>
      <c r="AV7930" s="6">
        <v>42062</v>
      </c>
      <c r="AW7930" t="s">
        <v>54</v>
      </c>
      <c r="AX7930" t="str">
        <f t="shared" si="644"/>
        <v>FOR</v>
      </c>
      <c r="AY7930" t="s">
        <v>55</v>
      </c>
    </row>
    <row r="7931" spans="1:51" hidden="1">
      <c r="A7931">
        <v>104492</v>
      </c>
      <c r="B7931" t="s">
        <v>1331</v>
      </c>
      <c r="C7931" t="str">
        <f t="shared" si="647"/>
        <v>05354730631</v>
      </c>
      <c r="D7931" t="str">
        <f t="shared" si="647"/>
        <v>05354730631</v>
      </c>
      <c r="E7931" t="s">
        <v>52</v>
      </c>
      <c r="F7931">
        <v>2014</v>
      </c>
      <c r="G7931">
        <v>984</v>
      </c>
      <c r="H7931" s="1">
        <v>41729</v>
      </c>
      <c r="I7931" s="1">
        <v>41743</v>
      </c>
      <c r="J7931" s="1">
        <v>41743</v>
      </c>
      <c r="K7931" s="1">
        <v>41833</v>
      </c>
      <c r="N7931" s="5"/>
      <c r="O7931">
        <v>135.19999999999999</v>
      </c>
      <c r="P7931">
        <v>229</v>
      </c>
      <c r="Q7931" s="2">
        <v>30960.799999999999</v>
      </c>
      <c r="R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 s="1">
        <v>42382</v>
      </c>
      <c r="AC7931" t="s">
        <v>53</v>
      </c>
      <c r="AD7931" t="s">
        <v>53</v>
      </c>
      <c r="AK7931">
        <v>0</v>
      </c>
      <c r="AU7931" s="6">
        <v>42062</v>
      </c>
      <c r="AV7931" s="6">
        <v>42062</v>
      </c>
      <c r="AW7931" t="s">
        <v>54</v>
      </c>
      <c r="AX7931" t="str">
        <f t="shared" si="644"/>
        <v>FOR</v>
      </c>
      <c r="AY7931" t="s">
        <v>55</v>
      </c>
    </row>
    <row r="7932" spans="1:51" hidden="1">
      <c r="A7932">
        <v>104492</v>
      </c>
      <c r="B7932" t="s">
        <v>1331</v>
      </c>
      <c r="C7932" t="str">
        <f t="shared" si="647"/>
        <v>05354730631</v>
      </c>
      <c r="D7932" t="str">
        <f t="shared" si="647"/>
        <v>05354730631</v>
      </c>
      <c r="E7932" t="s">
        <v>52</v>
      </c>
      <c r="F7932">
        <v>2014</v>
      </c>
      <c r="G7932">
        <v>985</v>
      </c>
      <c r="H7932" s="1">
        <v>41729</v>
      </c>
      <c r="I7932" s="1">
        <v>41743</v>
      </c>
      <c r="J7932" s="1">
        <v>41743</v>
      </c>
      <c r="K7932" s="1">
        <v>41833</v>
      </c>
      <c r="N7932" s="5"/>
      <c r="O7932">
        <v>135.19999999999999</v>
      </c>
      <c r="P7932">
        <v>229</v>
      </c>
      <c r="Q7932" s="2">
        <v>30960.799999999999</v>
      </c>
      <c r="R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 s="1">
        <v>42382</v>
      </c>
      <c r="AC7932" t="s">
        <v>53</v>
      </c>
      <c r="AD7932" t="s">
        <v>53</v>
      </c>
      <c r="AK7932">
        <v>0</v>
      </c>
      <c r="AU7932" s="6">
        <v>42062</v>
      </c>
      <c r="AV7932" s="6">
        <v>42062</v>
      </c>
      <c r="AW7932" t="s">
        <v>54</v>
      </c>
      <c r="AX7932" t="str">
        <f t="shared" si="644"/>
        <v>FOR</v>
      </c>
      <c r="AY7932" t="s">
        <v>55</v>
      </c>
    </row>
    <row r="7933" spans="1:51" hidden="1">
      <c r="A7933">
        <v>104492</v>
      </c>
      <c r="B7933" t="s">
        <v>1331</v>
      </c>
      <c r="C7933" t="str">
        <f t="shared" si="647"/>
        <v>05354730631</v>
      </c>
      <c r="D7933" t="str">
        <f t="shared" si="647"/>
        <v>05354730631</v>
      </c>
      <c r="E7933" t="s">
        <v>52</v>
      </c>
      <c r="F7933">
        <v>2014</v>
      </c>
      <c r="G7933">
        <v>1023</v>
      </c>
      <c r="H7933" s="1">
        <v>41729</v>
      </c>
      <c r="I7933" s="1">
        <v>41744</v>
      </c>
      <c r="J7933" s="1">
        <v>41744</v>
      </c>
      <c r="K7933" s="1">
        <v>41834</v>
      </c>
      <c r="N7933" s="5"/>
      <c r="O7933" s="2">
        <v>5673</v>
      </c>
      <c r="P7933">
        <v>214</v>
      </c>
      <c r="Q7933" s="2">
        <v>1214022</v>
      </c>
      <c r="R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 s="1">
        <v>42382</v>
      </c>
      <c r="AC7933" t="s">
        <v>53</v>
      </c>
      <c r="AD7933" t="s">
        <v>53</v>
      </c>
      <c r="AK7933">
        <v>0</v>
      </c>
      <c r="AU7933" s="6">
        <v>42048</v>
      </c>
      <c r="AV7933" s="6">
        <v>42048</v>
      </c>
      <c r="AW7933" t="s">
        <v>54</v>
      </c>
      <c r="AX7933" t="str">
        <f t="shared" si="644"/>
        <v>FOR</v>
      </c>
      <c r="AY7933" t="s">
        <v>55</v>
      </c>
    </row>
    <row r="7934" spans="1:51" hidden="1">
      <c r="A7934">
        <v>104492</v>
      </c>
      <c r="B7934" t="s">
        <v>1331</v>
      </c>
      <c r="C7934" t="str">
        <f t="shared" si="647"/>
        <v>05354730631</v>
      </c>
      <c r="D7934" t="str">
        <f t="shared" si="647"/>
        <v>05354730631</v>
      </c>
      <c r="E7934" t="s">
        <v>52</v>
      </c>
      <c r="F7934">
        <v>2014</v>
      </c>
      <c r="G7934">
        <v>1054</v>
      </c>
      <c r="H7934" s="1">
        <v>41733</v>
      </c>
      <c r="I7934" s="1">
        <v>41745</v>
      </c>
      <c r="J7934" s="1">
        <v>41745</v>
      </c>
      <c r="K7934" s="1">
        <v>41835</v>
      </c>
      <c r="N7934" s="5"/>
      <c r="O7934" s="2">
        <v>2177.6999999999998</v>
      </c>
      <c r="P7934">
        <v>267</v>
      </c>
      <c r="Q7934" s="2">
        <v>581445.9</v>
      </c>
      <c r="R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 s="1">
        <v>42382</v>
      </c>
      <c r="AC7934" t="s">
        <v>53</v>
      </c>
      <c r="AD7934" t="s">
        <v>53</v>
      </c>
      <c r="AK7934">
        <v>0</v>
      </c>
      <c r="AU7934" s="6">
        <v>42102</v>
      </c>
      <c r="AV7934" s="6">
        <v>42102</v>
      </c>
      <c r="AW7934" t="s">
        <v>54</v>
      </c>
      <c r="AX7934" t="str">
        <f t="shared" si="644"/>
        <v>FOR</v>
      </c>
      <c r="AY7934" t="s">
        <v>55</v>
      </c>
    </row>
    <row r="7935" spans="1:51" hidden="1">
      <c r="A7935">
        <v>104492</v>
      </c>
      <c r="B7935" t="s">
        <v>1331</v>
      </c>
      <c r="C7935" t="str">
        <f t="shared" si="647"/>
        <v>05354730631</v>
      </c>
      <c r="D7935" t="str">
        <f t="shared" si="647"/>
        <v>05354730631</v>
      </c>
      <c r="E7935" t="s">
        <v>52</v>
      </c>
      <c r="F7935">
        <v>2014</v>
      </c>
      <c r="G7935">
        <v>1149</v>
      </c>
      <c r="H7935" s="1">
        <v>41743</v>
      </c>
      <c r="I7935" s="1">
        <v>41752</v>
      </c>
      <c r="J7935" s="1">
        <v>41752</v>
      </c>
      <c r="K7935" s="1">
        <v>41842</v>
      </c>
      <c r="N7935" s="5"/>
      <c r="O7935">
        <v>104</v>
      </c>
      <c r="P7935">
        <v>260</v>
      </c>
      <c r="Q7935" s="2">
        <v>27040</v>
      </c>
      <c r="R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 s="1">
        <v>42382</v>
      </c>
      <c r="AC7935" t="s">
        <v>53</v>
      </c>
      <c r="AD7935" t="s">
        <v>53</v>
      </c>
      <c r="AK7935">
        <v>0</v>
      </c>
      <c r="AU7935" s="6">
        <v>42102</v>
      </c>
      <c r="AV7935" s="6">
        <v>42102</v>
      </c>
      <c r="AW7935" t="s">
        <v>54</v>
      </c>
      <c r="AX7935" t="str">
        <f t="shared" si="644"/>
        <v>FOR</v>
      </c>
      <c r="AY7935" t="s">
        <v>55</v>
      </c>
    </row>
    <row r="7936" spans="1:51" hidden="1">
      <c r="A7936">
        <v>104492</v>
      </c>
      <c r="B7936" t="s">
        <v>1331</v>
      </c>
      <c r="C7936" t="str">
        <f t="shared" si="647"/>
        <v>05354730631</v>
      </c>
      <c r="D7936" t="str">
        <f t="shared" si="647"/>
        <v>05354730631</v>
      </c>
      <c r="E7936" t="s">
        <v>52</v>
      </c>
      <c r="F7936">
        <v>2014</v>
      </c>
      <c r="G7936">
        <v>1150</v>
      </c>
      <c r="H7936" s="1">
        <v>41743</v>
      </c>
      <c r="I7936" s="1">
        <v>41752</v>
      </c>
      <c r="J7936" s="1">
        <v>41752</v>
      </c>
      <c r="K7936" s="1">
        <v>41842</v>
      </c>
      <c r="N7936" s="5"/>
      <c r="O7936">
        <v>104</v>
      </c>
      <c r="P7936">
        <v>260</v>
      </c>
      <c r="Q7936" s="2">
        <v>27040</v>
      </c>
      <c r="R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 s="1">
        <v>42382</v>
      </c>
      <c r="AC7936" t="s">
        <v>53</v>
      </c>
      <c r="AD7936" t="s">
        <v>53</v>
      </c>
      <c r="AK7936">
        <v>0</v>
      </c>
      <c r="AU7936" s="6">
        <v>42102</v>
      </c>
      <c r="AV7936" s="6">
        <v>42102</v>
      </c>
      <c r="AW7936" t="s">
        <v>54</v>
      </c>
      <c r="AX7936" t="str">
        <f t="shared" si="644"/>
        <v>FOR</v>
      </c>
      <c r="AY7936" t="s">
        <v>55</v>
      </c>
    </row>
    <row r="7937" spans="1:51" hidden="1">
      <c r="A7937">
        <v>104492</v>
      </c>
      <c r="B7937" t="s">
        <v>1331</v>
      </c>
      <c r="C7937" t="str">
        <f t="shared" si="647"/>
        <v>05354730631</v>
      </c>
      <c r="D7937" t="str">
        <f t="shared" si="647"/>
        <v>05354730631</v>
      </c>
      <c r="E7937" t="s">
        <v>52</v>
      </c>
      <c r="F7937">
        <v>2014</v>
      </c>
      <c r="G7937">
        <v>1151</v>
      </c>
      <c r="H7937" s="1">
        <v>41743</v>
      </c>
      <c r="I7937" s="1">
        <v>41752</v>
      </c>
      <c r="J7937" s="1">
        <v>41752</v>
      </c>
      <c r="K7937" s="1">
        <v>41842</v>
      </c>
      <c r="N7937" s="5"/>
      <c r="O7937">
        <v>104</v>
      </c>
      <c r="P7937">
        <v>260</v>
      </c>
      <c r="Q7937" s="2">
        <v>27040</v>
      </c>
      <c r="R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 s="1">
        <v>42382</v>
      </c>
      <c r="AC7937" t="s">
        <v>53</v>
      </c>
      <c r="AD7937" t="s">
        <v>53</v>
      </c>
      <c r="AK7937">
        <v>0</v>
      </c>
      <c r="AU7937" s="6">
        <v>42102</v>
      </c>
      <c r="AV7937" s="6">
        <v>42102</v>
      </c>
      <c r="AW7937" t="s">
        <v>54</v>
      </c>
      <c r="AX7937" t="str">
        <f t="shared" si="644"/>
        <v>FOR</v>
      </c>
      <c r="AY7937" t="s">
        <v>55</v>
      </c>
    </row>
    <row r="7938" spans="1:51" hidden="1">
      <c r="A7938">
        <v>104492</v>
      </c>
      <c r="B7938" t="s">
        <v>1331</v>
      </c>
      <c r="C7938" t="str">
        <f t="shared" si="647"/>
        <v>05354730631</v>
      </c>
      <c r="D7938" t="str">
        <f t="shared" si="647"/>
        <v>05354730631</v>
      </c>
      <c r="E7938" t="s">
        <v>52</v>
      </c>
      <c r="F7938">
        <v>2014</v>
      </c>
      <c r="G7938">
        <v>1152</v>
      </c>
      <c r="H7938" s="1">
        <v>41743</v>
      </c>
      <c r="I7938" s="1">
        <v>41752</v>
      </c>
      <c r="J7938" s="1">
        <v>41752</v>
      </c>
      <c r="K7938" s="1">
        <v>41842</v>
      </c>
      <c r="N7938" s="5"/>
      <c r="O7938">
        <v>135.19999999999999</v>
      </c>
      <c r="P7938">
        <v>260</v>
      </c>
      <c r="Q7938" s="2">
        <v>35152</v>
      </c>
      <c r="R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 s="1">
        <v>42382</v>
      </c>
      <c r="AC7938" t="s">
        <v>53</v>
      </c>
      <c r="AD7938" t="s">
        <v>53</v>
      </c>
      <c r="AK7938">
        <v>0</v>
      </c>
      <c r="AU7938" s="6">
        <v>42102</v>
      </c>
      <c r="AV7938" s="6">
        <v>42102</v>
      </c>
      <c r="AW7938" t="s">
        <v>54</v>
      </c>
      <c r="AX7938" t="str">
        <f t="shared" si="644"/>
        <v>FOR</v>
      </c>
      <c r="AY7938" t="s">
        <v>55</v>
      </c>
    </row>
    <row r="7939" spans="1:51" hidden="1">
      <c r="A7939">
        <v>104492</v>
      </c>
      <c r="B7939" t="s">
        <v>1331</v>
      </c>
      <c r="C7939" t="str">
        <f t="shared" si="647"/>
        <v>05354730631</v>
      </c>
      <c r="D7939" t="str">
        <f t="shared" si="647"/>
        <v>05354730631</v>
      </c>
      <c r="E7939" t="s">
        <v>52</v>
      </c>
      <c r="F7939">
        <v>2014</v>
      </c>
      <c r="G7939">
        <v>1153</v>
      </c>
      <c r="H7939" s="1">
        <v>41743</v>
      </c>
      <c r="I7939" s="1">
        <v>41752</v>
      </c>
      <c r="J7939" s="1">
        <v>41752</v>
      </c>
      <c r="K7939" s="1">
        <v>41842</v>
      </c>
      <c r="N7939" s="5"/>
      <c r="O7939">
        <v>135.19999999999999</v>
      </c>
      <c r="P7939">
        <v>260</v>
      </c>
      <c r="Q7939" s="2">
        <v>35152</v>
      </c>
      <c r="R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 s="1">
        <v>42382</v>
      </c>
      <c r="AC7939" t="s">
        <v>53</v>
      </c>
      <c r="AD7939" t="s">
        <v>53</v>
      </c>
      <c r="AK7939">
        <v>0</v>
      </c>
      <c r="AU7939" s="6">
        <v>42102</v>
      </c>
      <c r="AV7939" s="6">
        <v>42102</v>
      </c>
      <c r="AW7939" t="s">
        <v>54</v>
      </c>
      <c r="AX7939" t="str">
        <f t="shared" ref="AX7939:AX8002" si="648">"FOR"</f>
        <v>FOR</v>
      </c>
      <c r="AY7939" t="s">
        <v>55</v>
      </c>
    </row>
    <row r="7940" spans="1:51" hidden="1">
      <c r="A7940">
        <v>104492</v>
      </c>
      <c r="B7940" t="s">
        <v>1331</v>
      </c>
      <c r="C7940" t="str">
        <f t="shared" si="647"/>
        <v>05354730631</v>
      </c>
      <c r="D7940" t="str">
        <f t="shared" si="647"/>
        <v>05354730631</v>
      </c>
      <c r="E7940" t="s">
        <v>52</v>
      </c>
      <c r="F7940">
        <v>2014</v>
      </c>
      <c r="G7940">
        <v>1154</v>
      </c>
      <c r="H7940" s="1">
        <v>41743</v>
      </c>
      <c r="I7940" s="1">
        <v>41752</v>
      </c>
      <c r="J7940" s="1">
        <v>41752</v>
      </c>
      <c r="K7940" s="1">
        <v>41842</v>
      </c>
      <c r="N7940" s="5"/>
      <c r="O7940">
        <v>135.19999999999999</v>
      </c>
      <c r="P7940">
        <v>260</v>
      </c>
      <c r="Q7940" s="2">
        <v>35152</v>
      </c>
      <c r="R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 s="1">
        <v>42382</v>
      </c>
      <c r="AC7940" t="s">
        <v>53</v>
      </c>
      <c r="AD7940" t="s">
        <v>53</v>
      </c>
      <c r="AK7940">
        <v>0</v>
      </c>
      <c r="AU7940" s="6">
        <v>42102</v>
      </c>
      <c r="AV7940" s="6">
        <v>42102</v>
      </c>
      <c r="AW7940" t="s">
        <v>54</v>
      </c>
      <c r="AX7940" t="str">
        <f t="shared" si="648"/>
        <v>FOR</v>
      </c>
      <c r="AY7940" t="s">
        <v>55</v>
      </c>
    </row>
    <row r="7941" spans="1:51" hidden="1">
      <c r="A7941">
        <v>104492</v>
      </c>
      <c r="B7941" t="s">
        <v>1331</v>
      </c>
      <c r="C7941" t="str">
        <f t="shared" si="647"/>
        <v>05354730631</v>
      </c>
      <c r="D7941" t="str">
        <f t="shared" si="647"/>
        <v>05354730631</v>
      </c>
      <c r="E7941" t="s">
        <v>52</v>
      </c>
      <c r="F7941">
        <v>2014</v>
      </c>
      <c r="G7941">
        <v>1155</v>
      </c>
      <c r="H7941" s="1">
        <v>41743</v>
      </c>
      <c r="I7941" s="1">
        <v>41752</v>
      </c>
      <c r="J7941" s="1">
        <v>41752</v>
      </c>
      <c r="K7941" s="1">
        <v>41842</v>
      </c>
      <c r="N7941" s="5"/>
      <c r="O7941">
        <v>135.19999999999999</v>
      </c>
      <c r="P7941">
        <v>260</v>
      </c>
      <c r="Q7941" s="2">
        <v>35152</v>
      </c>
      <c r="R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 s="1">
        <v>42382</v>
      </c>
      <c r="AC7941" t="s">
        <v>53</v>
      </c>
      <c r="AD7941" t="s">
        <v>53</v>
      </c>
      <c r="AK7941">
        <v>0</v>
      </c>
      <c r="AU7941" s="6">
        <v>42102</v>
      </c>
      <c r="AV7941" s="6">
        <v>42102</v>
      </c>
      <c r="AW7941" t="s">
        <v>54</v>
      </c>
      <c r="AX7941" t="str">
        <f t="shared" si="648"/>
        <v>FOR</v>
      </c>
      <c r="AY7941" t="s">
        <v>55</v>
      </c>
    </row>
    <row r="7942" spans="1:51" hidden="1">
      <c r="A7942">
        <v>104492</v>
      </c>
      <c r="B7942" t="s">
        <v>1331</v>
      </c>
      <c r="C7942" t="str">
        <f t="shared" si="647"/>
        <v>05354730631</v>
      </c>
      <c r="D7942" t="str">
        <f t="shared" si="647"/>
        <v>05354730631</v>
      </c>
      <c r="E7942" t="s">
        <v>52</v>
      </c>
      <c r="F7942">
        <v>2014</v>
      </c>
      <c r="G7942">
        <v>1156</v>
      </c>
      <c r="H7942" s="1">
        <v>41743</v>
      </c>
      <c r="I7942" s="1">
        <v>41752</v>
      </c>
      <c r="J7942" s="1">
        <v>41752</v>
      </c>
      <c r="K7942" s="1">
        <v>41842</v>
      </c>
      <c r="N7942" s="5"/>
      <c r="O7942">
        <v>104</v>
      </c>
      <c r="P7942">
        <v>260</v>
      </c>
      <c r="Q7942" s="2">
        <v>27040</v>
      </c>
      <c r="R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 s="1">
        <v>42382</v>
      </c>
      <c r="AC7942" t="s">
        <v>53</v>
      </c>
      <c r="AD7942" t="s">
        <v>53</v>
      </c>
      <c r="AK7942">
        <v>0</v>
      </c>
      <c r="AU7942" s="6">
        <v>42102</v>
      </c>
      <c r="AV7942" s="6">
        <v>42102</v>
      </c>
      <c r="AW7942" t="s">
        <v>54</v>
      </c>
      <c r="AX7942" t="str">
        <f t="shared" si="648"/>
        <v>FOR</v>
      </c>
      <c r="AY7942" t="s">
        <v>55</v>
      </c>
    </row>
    <row r="7943" spans="1:51" hidden="1">
      <c r="A7943">
        <v>104492</v>
      </c>
      <c r="B7943" t="s">
        <v>1331</v>
      </c>
      <c r="C7943" t="str">
        <f t="shared" si="647"/>
        <v>05354730631</v>
      </c>
      <c r="D7943" t="str">
        <f t="shared" si="647"/>
        <v>05354730631</v>
      </c>
      <c r="E7943" t="s">
        <v>52</v>
      </c>
      <c r="F7943">
        <v>2014</v>
      </c>
      <c r="G7943">
        <v>1157</v>
      </c>
      <c r="H7943" s="1">
        <v>41743</v>
      </c>
      <c r="I7943" s="1">
        <v>41752</v>
      </c>
      <c r="J7943" s="1">
        <v>41752</v>
      </c>
      <c r="K7943" s="1">
        <v>41842</v>
      </c>
      <c r="N7943" s="5"/>
      <c r="O7943">
        <v>135.19999999999999</v>
      </c>
      <c r="P7943">
        <v>260</v>
      </c>
      <c r="Q7943" s="2">
        <v>35152</v>
      </c>
      <c r="R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 s="1">
        <v>42382</v>
      </c>
      <c r="AC7943" t="s">
        <v>53</v>
      </c>
      <c r="AD7943" t="s">
        <v>53</v>
      </c>
      <c r="AK7943">
        <v>0</v>
      </c>
      <c r="AU7943" s="6">
        <v>42102</v>
      </c>
      <c r="AV7943" s="6">
        <v>42102</v>
      </c>
      <c r="AW7943" t="s">
        <v>54</v>
      </c>
      <c r="AX7943" t="str">
        <f t="shared" si="648"/>
        <v>FOR</v>
      </c>
      <c r="AY7943" t="s">
        <v>55</v>
      </c>
    </row>
    <row r="7944" spans="1:51" hidden="1">
      <c r="A7944">
        <v>104492</v>
      </c>
      <c r="B7944" t="s">
        <v>1331</v>
      </c>
      <c r="C7944" t="str">
        <f t="shared" si="647"/>
        <v>05354730631</v>
      </c>
      <c r="D7944" t="str">
        <f t="shared" si="647"/>
        <v>05354730631</v>
      </c>
      <c r="E7944" t="s">
        <v>52</v>
      </c>
      <c r="F7944">
        <v>2014</v>
      </c>
      <c r="G7944">
        <v>1158</v>
      </c>
      <c r="H7944" s="1">
        <v>41743</v>
      </c>
      <c r="I7944" s="1">
        <v>41752</v>
      </c>
      <c r="J7944" s="1">
        <v>41752</v>
      </c>
      <c r="K7944" s="1">
        <v>41842</v>
      </c>
      <c r="N7944" s="5"/>
      <c r="O7944">
        <v>135.19999999999999</v>
      </c>
      <c r="P7944">
        <v>260</v>
      </c>
      <c r="Q7944" s="2">
        <v>35152</v>
      </c>
      <c r="R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 s="1">
        <v>42382</v>
      </c>
      <c r="AC7944" t="s">
        <v>53</v>
      </c>
      <c r="AD7944" t="s">
        <v>53</v>
      </c>
      <c r="AK7944">
        <v>0</v>
      </c>
      <c r="AU7944" s="6">
        <v>42102</v>
      </c>
      <c r="AV7944" s="6">
        <v>42102</v>
      </c>
      <c r="AW7944" t="s">
        <v>54</v>
      </c>
      <c r="AX7944" t="str">
        <f t="shared" si="648"/>
        <v>FOR</v>
      </c>
      <c r="AY7944" t="s">
        <v>55</v>
      </c>
    </row>
    <row r="7945" spans="1:51" hidden="1">
      <c r="A7945">
        <v>104492</v>
      </c>
      <c r="B7945" t="s">
        <v>1331</v>
      </c>
      <c r="C7945" t="str">
        <f t="shared" ref="C7945:D7964" si="649">"05354730631"</f>
        <v>05354730631</v>
      </c>
      <c r="D7945" t="str">
        <f t="shared" si="649"/>
        <v>05354730631</v>
      </c>
      <c r="E7945" t="s">
        <v>52</v>
      </c>
      <c r="F7945">
        <v>2014</v>
      </c>
      <c r="G7945">
        <v>1159</v>
      </c>
      <c r="H7945" s="1">
        <v>41743</v>
      </c>
      <c r="I7945" s="1">
        <v>41752</v>
      </c>
      <c r="J7945" s="1">
        <v>41752</v>
      </c>
      <c r="K7945" s="1">
        <v>41842</v>
      </c>
      <c r="N7945" s="5"/>
      <c r="O7945">
        <v>135.19999999999999</v>
      </c>
      <c r="P7945">
        <v>260</v>
      </c>
      <c r="Q7945" s="2">
        <v>35152</v>
      </c>
      <c r="R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 s="1">
        <v>42382</v>
      </c>
      <c r="AC7945" t="s">
        <v>53</v>
      </c>
      <c r="AD7945" t="s">
        <v>53</v>
      </c>
      <c r="AK7945">
        <v>0</v>
      </c>
      <c r="AU7945" s="6">
        <v>42102</v>
      </c>
      <c r="AV7945" s="6">
        <v>42102</v>
      </c>
      <c r="AW7945" t="s">
        <v>54</v>
      </c>
      <c r="AX7945" t="str">
        <f t="shared" si="648"/>
        <v>FOR</v>
      </c>
      <c r="AY7945" t="s">
        <v>55</v>
      </c>
    </row>
    <row r="7946" spans="1:51" hidden="1">
      <c r="A7946">
        <v>104492</v>
      </c>
      <c r="B7946" t="s">
        <v>1331</v>
      </c>
      <c r="C7946" t="str">
        <f t="shared" si="649"/>
        <v>05354730631</v>
      </c>
      <c r="D7946" t="str">
        <f t="shared" si="649"/>
        <v>05354730631</v>
      </c>
      <c r="E7946" t="s">
        <v>52</v>
      </c>
      <c r="F7946">
        <v>2014</v>
      </c>
      <c r="G7946">
        <v>1164</v>
      </c>
      <c r="H7946" s="1">
        <v>41744</v>
      </c>
      <c r="I7946" s="1">
        <v>41752</v>
      </c>
      <c r="J7946" s="1">
        <v>41752</v>
      </c>
      <c r="K7946" s="1">
        <v>41842</v>
      </c>
      <c r="N7946" s="5"/>
      <c r="O7946">
        <v>78</v>
      </c>
      <c r="P7946">
        <v>260</v>
      </c>
      <c r="Q7946" s="2">
        <v>20280</v>
      </c>
      <c r="R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 s="1">
        <v>42382</v>
      </c>
      <c r="AC7946" t="s">
        <v>53</v>
      </c>
      <c r="AD7946" t="s">
        <v>53</v>
      </c>
      <c r="AK7946">
        <v>0</v>
      </c>
      <c r="AU7946" s="6">
        <v>42102</v>
      </c>
      <c r="AV7946" s="6">
        <v>42102</v>
      </c>
      <c r="AW7946" t="s">
        <v>54</v>
      </c>
      <c r="AX7946" t="str">
        <f t="shared" si="648"/>
        <v>FOR</v>
      </c>
      <c r="AY7946" t="s">
        <v>55</v>
      </c>
    </row>
    <row r="7947" spans="1:51" hidden="1">
      <c r="A7947">
        <v>104492</v>
      </c>
      <c r="B7947" t="s">
        <v>1331</v>
      </c>
      <c r="C7947" t="str">
        <f t="shared" si="649"/>
        <v>05354730631</v>
      </c>
      <c r="D7947" t="str">
        <f t="shared" si="649"/>
        <v>05354730631</v>
      </c>
      <c r="E7947" t="s">
        <v>52</v>
      </c>
      <c r="F7947">
        <v>2014</v>
      </c>
      <c r="G7947">
        <v>1226</v>
      </c>
      <c r="H7947" s="1">
        <v>41752</v>
      </c>
      <c r="I7947" s="1">
        <v>41757</v>
      </c>
      <c r="J7947" s="1">
        <v>41757</v>
      </c>
      <c r="K7947" s="1">
        <v>41847</v>
      </c>
      <c r="N7947" s="5"/>
      <c r="O7947">
        <v>135.19999999999999</v>
      </c>
      <c r="P7947">
        <v>255</v>
      </c>
      <c r="Q7947" s="2">
        <v>34476</v>
      </c>
      <c r="R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 s="1">
        <v>42382</v>
      </c>
      <c r="AC7947" t="s">
        <v>53</v>
      </c>
      <c r="AD7947" t="s">
        <v>53</v>
      </c>
      <c r="AK7947">
        <v>0</v>
      </c>
      <c r="AU7947" s="6">
        <v>42102</v>
      </c>
      <c r="AV7947" s="6">
        <v>42102</v>
      </c>
      <c r="AW7947" t="s">
        <v>54</v>
      </c>
      <c r="AX7947" t="str">
        <f t="shared" si="648"/>
        <v>FOR</v>
      </c>
      <c r="AY7947" t="s">
        <v>55</v>
      </c>
    </row>
    <row r="7948" spans="1:51" hidden="1">
      <c r="A7948">
        <v>104492</v>
      </c>
      <c r="B7948" t="s">
        <v>1331</v>
      </c>
      <c r="C7948" t="str">
        <f t="shared" si="649"/>
        <v>05354730631</v>
      </c>
      <c r="D7948" t="str">
        <f t="shared" si="649"/>
        <v>05354730631</v>
      </c>
      <c r="E7948" t="s">
        <v>52</v>
      </c>
      <c r="F7948">
        <v>2014</v>
      </c>
      <c r="G7948">
        <v>1227</v>
      </c>
      <c r="H7948" s="1">
        <v>41752</v>
      </c>
      <c r="I7948" s="1">
        <v>41757</v>
      </c>
      <c r="J7948" s="1">
        <v>41757</v>
      </c>
      <c r="K7948" s="1">
        <v>41847</v>
      </c>
      <c r="N7948" s="5"/>
      <c r="O7948">
        <v>135.19999999999999</v>
      </c>
      <c r="P7948">
        <v>255</v>
      </c>
      <c r="Q7948" s="2">
        <v>34476</v>
      </c>
      <c r="R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 s="1">
        <v>42382</v>
      </c>
      <c r="AC7948" t="s">
        <v>53</v>
      </c>
      <c r="AD7948" t="s">
        <v>53</v>
      </c>
      <c r="AK7948">
        <v>0</v>
      </c>
      <c r="AU7948" s="6">
        <v>42102</v>
      </c>
      <c r="AV7948" s="6">
        <v>42102</v>
      </c>
      <c r="AW7948" t="s">
        <v>54</v>
      </c>
      <c r="AX7948" t="str">
        <f t="shared" si="648"/>
        <v>FOR</v>
      </c>
      <c r="AY7948" t="s">
        <v>55</v>
      </c>
    </row>
    <row r="7949" spans="1:51" hidden="1">
      <c r="A7949">
        <v>104492</v>
      </c>
      <c r="B7949" t="s">
        <v>1331</v>
      </c>
      <c r="C7949" t="str">
        <f t="shared" si="649"/>
        <v>05354730631</v>
      </c>
      <c r="D7949" t="str">
        <f t="shared" si="649"/>
        <v>05354730631</v>
      </c>
      <c r="E7949" t="s">
        <v>52</v>
      </c>
      <c r="F7949">
        <v>2014</v>
      </c>
      <c r="G7949">
        <v>1228</v>
      </c>
      <c r="H7949" s="1">
        <v>41752</v>
      </c>
      <c r="I7949" s="1">
        <v>41757</v>
      </c>
      <c r="J7949" s="1">
        <v>41757</v>
      </c>
      <c r="K7949" s="1">
        <v>41847</v>
      </c>
      <c r="N7949" s="5"/>
      <c r="O7949">
        <v>104</v>
      </c>
      <c r="P7949">
        <v>255</v>
      </c>
      <c r="Q7949" s="2">
        <v>26520</v>
      </c>
      <c r="R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 s="1">
        <v>42382</v>
      </c>
      <c r="AC7949" t="s">
        <v>53</v>
      </c>
      <c r="AD7949" t="s">
        <v>53</v>
      </c>
      <c r="AK7949">
        <v>0</v>
      </c>
      <c r="AU7949" s="6">
        <v>42102</v>
      </c>
      <c r="AV7949" s="6">
        <v>42102</v>
      </c>
      <c r="AW7949" t="s">
        <v>54</v>
      </c>
      <c r="AX7949" t="str">
        <f t="shared" si="648"/>
        <v>FOR</v>
      </c>
      <c r="AY7949" t="s">
        <v>55</v>
      </c>
    </row>
    <row r="7950" spans="1:51" hidden="1">
      <c r="A7950">
        <v>104492</v>
      </c>
      <c r="B7950" t="s">
        <v>1331</v>
      </c>
      <c r="C7950" t="str">
        <f t="shared" si="649"/>
        <v>05354730631</v>
      </c>
      <c r="D7950" t="str">
        <f t="shared" si="649"/>
        <v>05354730631</v>
      </c>
      <c r="E7950" t="s">
        <v>52</v>
      </c>
      <c r="F7950">
        <v>2014</v>
      </c>
      <c r="G7950">
        <v>1229</v>
      </c>
      <c r="H7950" s="1">
        <v>41752</v>
      </c>
      <c r="I7950" s="1">
        <v>41757</v>
      </c>
      <c r="J7950" s="1">
        <v>41757</v>
      </c>
      <c r="K7950" s="1">
        <v>41847</v>
      </c>
      <c r="N7950" s="5"/>
      <c r="O7950">
        <v>135.19999999999999</v>
      </c>
      <c r="P7950">
        <v>255</v>
      </c>
      <c r="Q7950" s="2">
        <v>34476</v>
      </c>
      <c r="R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 s="1">
        <v>42382</v>
      </c>
      <c r="AC7950" t="s">
        <v>53</v>
      </c>
      <c r="AD7950" t="s">
        <v>53</v>
      </c>
      <c r="AK7950">
        <v>0</v>
      </c>
      <c r="AU7950" s="6">
        <v>42102</v>
      </c>
      <c r="AV7950" s="6">
        <v>42102</v>
      </c>
      <c r="AW7950" t="s">
        <v>54</v>
      </c>
      <c r="AX7950" t="str">
        <f t="shared" si="648"/>
        <v>FOR</v>
      </c>
      <c r="AY7950" t="s">
        <v>55</v>
      </c>
    </row>
    <row r="7951" spans="1:51" hidden="1">
      <c r="A7951">
        <v>104492</v>
      </c>
      <c r="B7951" t="s">
        <v>1331</v>
      </c>
      <c r="C7951" t="str">
        <f t="shared" si="649"/>
        <v>05354730631</v>
      </c>
      <c r="D7951" t="str">
        <f t="shared" si="649"/>
        <v>05354730631</v>
      </c>
      <c r="E7951" t="s">
        <v>52</v>
      </c>
      <c r="F7951">
        <v>2014</v>
      </c>
      <c r="G7951">
        <v>1230</v>
      </c>
      <c r="H7951" s="1">
        <v>41752</v>
      </c>
      <c r="I7951" s="1">
        <v>41757</v>
      </c>
      <c r="J7951" s="1">
        <v>41757</v>
      </c>
      <c r="K7951" s="1">
        <v>41847</v>
      </c>
      <c r="N7951" s="5"/>
      <c r="O7951">
        <v>135.19999999999999</v>
      </c>
      <c r="P7951">
        <v>255</v>
      </c>
      <c r="Q7951" s="2">
        <v>34476</v>
      </c>
      <c r="R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 s="1">
        <v>42382</v>
      </c>
      <c r="AC7951" t="s">
        <v>53</v>
      </c>
      <c r="AD7951" t="s">
        <v>53</v>
      </c>
      <c r="AK7951">
        <v>0</v>
      </c>
      <c r="AU7951" s="6">
        <v>42102</v>
      </c>
      <c r="AV7951" s="6">
        <v>42102</v>
      </c>
      <c r="AW7951" t="s">
        <v>54</v>
      </c>
      <c r="AX7951" t="str">
        <f t="shared" si="648"/>
        <v>FOR</v>
      </c>
      <c r="AY7951" t="s">
        <v>55</v>
      </c>
    </row>
    <row r="7952" spans="1:51" hidden="1">
      <c r="A7952">
        <v>104492</v>
      </c>
      <c r="B7952" t="s">
        <v>1331</v>
      </c>
      <c r="C7952" t="str">
        <f t="shared" si="649"/>
        <v>05354730631</v>
      </c>
      <c r="D7952" t="str">
        <f t="shared" si="649"/>
        <v>05354730631</v>
      </c>
      <c r="E7952" t="s">
        <v>52</v>
      </c>
      <c r="F7952">
        <v>2014</v>
      </c>
      <c r="G7952">
        <v>1231</v>
      </c>
      <c r="H7952" s="1">
        <v>41752</v>
      </c>
      <c r="I7952" s="1">
        <v>41757</v>
      </c>
      <c r="J7952" s="1">
        <v>41757</v>
      </c>
      <c r="K7952" s="1">
        <v>41847</v>
      </c>
      <c r="N7952" s="5"/>
      <c r="O7952">
        <v>104</v>
      </c>
      <c r="P7952">
        <v>255</v>
      </c>
      <c r="Q7952" s="2">
        <v>26520</v>
      </c>
      <c r="R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 s="1">
        <v>42382</v>
      </c>
      <c r="AC7952" t="s">
        <v>53</v>
      </c>
      <c r="AD7952" t="s">
        <v>53</v>
      </c>
      <c r="AK7952">
        <v>0</v>
      </c>
      <c r="AU7952" s="6">
        <v>42102</v>
      </c>
      <c r="AV7952" s="6">
        <v>42102</v>
      </c>
      <c r="AW7952" t="s">
        <v>54</v>
      </c>
      <c r="AX7952" t="str">
        <f t="shared" si="648"/>
        <v>FOR</v>
      </c>
      <c r="AY7952" t="s">
        <v>55</v>
      </c>
    </row>
    <row r="7953" spans="1:51" hidden="1">
      <c r="A7953">
        <v>104492</v>
      </c>
      <c r="B7953" t="s">
        <v>1331</v>
      </c>
      <c r="C7953" t="str">
        <f t="shared" si="649"/>
        <v>05354730631</v>
      </c>
      <c r="D7953" t="str">
        <f t="shared" si="649"/>
        <v>05354730631</v>
      </c>
      <c r="E7953" t="s">
        <v>52</v>
      </c>
      <c r="F7953">
        <v>2014</v>
      </c>
      <c r="G7953">
        <v>1297</v>
      </c>
      <c r="H7953" s="1">
        <v>41757</v>
      </c>
      <c r="I7953" s="1">
        <v>41766</v>
      </c>
      <c r="J7953" s="1">
        <v>41766</v>
      </c>
      <c r="K7953" s="1">
        <v>41856</v>
      </c>
      <c r="N7953" s="5"/>
      <c r="O7953" s="2">
        <v>5673</v>
      </c>
      <c r="P7953">
        <v>206</v>
      </c>
      <c r="Q7953" s="2">
        <v>1168638</v>
      </c>
      <c r="R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 s="1">
        <v>42382</v>
      </c>
      <c r="AC7953" t="s">
        <v>53</v>
      </c>
      <c r="AD7953" t="s">
        <v>53</v>
      </c>
      <c r="AK7953">
        <v>0</v>
      </c>
      <c r="AU7953" s="6">
        <v>42062</v>
      </c>
      <c r="AV7953" s="6">
        <v>42062</v>
      </c>
      <c r="AW7953" t="s">
        <v>54</v>
      </c>
      <c r="AX7953" t="str">
        <f t="shared" si="648"/>
        <v>FOR</v>
      </c>
      <c r="AY7953" t="s">
        <v>55</v>
      </c>
    </row>
    <row r="7954" spans="1:51" hidden="1">
      <c r="A7954">
        <v>104492</v>
      </c>
      <c r="B7954" t="s">
        <v>1331</v>
      </c>
      <c r="C7954" t="str">
        <f t="shared" si="649"/>
        <v>05354730631</v>
      </c>
      <c r="D7954" t="str">
        <f t="shared" si="649"/>
        <v>05354730631</v>
      </c>
      <c r="E7954" t="s">
        <v>52</v>
      </c>
      <c r="F7954">
        <v>2014</v>
      </c>
      <c r="G7954">
        <v>1350</v>
      </c>
      <c r="H7954" s="1">
        <v>41759</v>
      </c>
      <c r="I7954" s="1">
        <v>41778</v>
      </c>
      <c r="J7954" s="1">
        <v>41778</v>
      </c>
      <c r="K7954" s="1">
        <v>41868</v>
      </c>
      <c r="N7954" s="5"/>
      <c r="O7954">
        <v>135.19999999999999</v>
      </c>
      <c r="P7954">
        <v>234</v>
      </c>
      <c r="Q7954" s="2">
        <v>31636.799999999999</v>
      </c>
      <c r="R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 s="1">
        <v>42382</v>
      </c>
      <c r="AC7954" t="s">
        <v>53</v>
      </c>
      <c r="AD7954" t="s">
        <v>53</v>
      </c>
      <c r="AK7954">
        <v>0</v>
      </c>
      <c r="AU7954" s="6">
        <v>42102</v>
      </c>
      <c r="AV7954" s="6">
        <v>42102</v>
      </c>
      <c r="AW7954" t="s">
        <v>54</v>
      </c>
      <c r="AX7954" t="str">
        <f t="shared" si="648"/>
        <v>FOR</v>
      </c>
      <c r="AY7954" t="s">
        <v>55</v>
      </c>
    </row>
    <row r="7955" spans="1:51" hidden="1">
      <c r="A7955">
        <v>104492</v>
      </c>
      <c r="B7955" t="s">
        <v>1331</v>
      </c>
      <c r="C7955" t="str">
        <f t="shared" si="649"/>
        <v>05354730631</v>
      </c>
      <c r="D7955" t="str">
        <f t="shared" si="649"/>
        <v>05354730631</v>
      </c>
      <c r="E7955" t="s">
        <v>52</v>
      </c>
      <c r="F7955">
        <v>2014</v>
      </c>
      <c r="G7955">
        <v>1351</v>
      </c>
      <c r="H7955" s="1">
        <v>41759</v>
      </c>
      <c r="I7955" s="1">
        <v>41778</v>
      </c>
      <c r="J7955" s="1">
        <v>41778</v>
      </c>
      <c r="K7955" s="1">
        <v>41868</v>
      </c>
      <c r="N7955" s="5"/>
      <c r="O7955">
        <v>104</v>
      </c>
      <c r="P7955">
        <v>234</v>
      </c>
      <c r="Q7955" s="2">
        <v>24336</v>
      </c>
      <c r="R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 s="1">
        <v>42382</v>
      </c>
      <c r="AC7955" t="s">
        <v>53</v>
      </c>
      <c r="AD7955" t="s">
        <v>53</v>
      </c>
      <c r="AK7955">
        <v>0</v>
      </c>
      <c r="AU7955" s="6">
        <v>42102</v>
      </c>
      <c r="AV7955" s="6">
        <v>42102</v>
      </c>
      <c r="AW7955" t="s">
        <v>54</v>
      </c>
      <c r="AX7955" t="str">
        <f t="shared" si="648"/>
        <v>FOR</v>
      </c>
      <c r="AY7955" t="s">
        <v>55</v>
      </c>
    </row>
    <row r="7956" spans="1:51" hidden="1">
      <c r="A7956">
        <v>104492</v>
      </c>
      <c r="B7956" t="s">
        <v>1331</v>
      </c>
      <c r="C7956" t="str">
        <f t="shared" si="649"/>
        <v>05354730631</v>
      </c>
      <c r="D7956" t="str">
        <f t="shared" si="649"/>
        <v>05354730631</v>
      </c>
      <c r="E7956" t="s">
        <v>52</v>
      </c>
      <c r="F7956">
        <v>2014</v>
      </c>
      <c r="G7956">
        <v>1352</v>
      </c>
      <c r="H7956" s="1">
        <v>41759</v>
      </c>
      <c r="I7956" s="1">
        <v>41778</v>
      </c>
      <c r="J7956" s="1">
        <v>41778</v>
      </c>
      <c r="K7956" s="1">
        <v>41868</v>
      </c>
      <c r="N7956" s="5"/>
      <c r="O7956">
        <v>104</v>
      </c>
      <c r="P7956">
        <v>234</v>
      </c>
      <c r="Q7956" s="2">
        <v>24336</v>
      </c>
      <c r="R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 s="1">
        <v>42382</v>
      </c>
      <c r="AC7956" t="s">
        <v>53</v>
      </c>
      <c r="AD7956" t="s">
        <v>53</v>
      </c>
      <c r="AK7956">
        <v>0</v>
      </c>
      <c r="AU7956" s="6">
        <v>42102</v>
      </c>
      <c r="AV7956" s="6">
        <v>42102</v>
      </c>
      <c r="AW7956" t="s">
        <v>54</v>
      </c>
      <c r="AX7956" t="str">
        <f t="shared" si="648"/>
        <v>FOR</v>
      </c>
      <c r="AY7956" t="s">
        <v>55</v>
      </c>
    </row>
    <row r="7957" spans="1:51" hidden="1">
      <c r="A7957">
        <v>104492</v>
      </c>
      <c r="B7957" t="s">
        <v>1331</v>
      </c>
      <c r="C7957" t="str">
        <f t="shared" si="649"/>
        <v>05354730631</v>
      </c>
      <c r="D7957" t="str">
        <f t="shared" si="649"/>
        <v>05354730631</v>
      </c>
      <c r="E7957" t="s">
        <v>52</v>
      </c>
      <c r="F7957">
        <v>2014</v>
      </c>
      <c r="G7957">
        <v>1353</v>
      </c>
      <c r="H7957" s="1">
        <v>41759</v>
      </c>
      <c r="I7957" s="1">
        <v>41778</v>
      </c>
      <c r="J7957" s="1">
        <v>41778</v>
      </c>
      <c r="K7957" s="1">
        <v>41868</v>
      </c>
      <c r="N7957" s="5"/>
      <c r="O7957">
        <v>135.19999999999999</v>
      </c>
      <c r="P7957">
        <v>234</v>
      </c>
      <c r="Q7957" s="2">
        <v>31636.799999999999</v>
      </c>
      <c r="R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 s="1">
        <v>42382</v>
      </c>
      <c r="AC7957" t="s">
        <v>53</v>
      </c>
      <c r="AD7957" t="s">
        <v>53</v>
      </c>
      <c r="AK7957">
        <v>0</v>
      </c>
      <c r="AU7957" s="6">
        <v>42102</v>
      </c>
      <c r="AV7957" s="6">
        <v>42102</v>
      </c>
      <c r="AW7957" t="s">
        <v>54</v>
      </c>
      <c r="AX7957" t="str">
        <f t="shared" si="648"/>
        <v>FOR</v>
      </c>
      <c r="AY7957" t="s">
        <v>55</v>
      </c>
    </row>
    <row r="7958" spans="1:51" hidden="1">
      <c r="A7958">
        <v>104492</v>
      </c>
      <c r="B7958" t="s">
        <v>1331</v>
      </c>
      <c r="C7958" t="str">
        <f t="shared" si="649"/>
        <v>05354730631</v>
      </c>
      <c r="D7958" t="str">
        <f t="shared" si="649"/>
        <v>05354730631</v>
      </c>
      <c r="E7958" t="s">
        <v>52</v>
      </c>
      <c r="F7958">
        <v>2014</v>
      </c>
      <c r="G7958">
        <v>1354</v>
      </c>
      <c r="H7958" s="1">
        <v>41759</v>
      </c>
      <c r="I7958" s="1">
        <v>41778</v>
      </c>
      <c r="J7958" s="1">
        <v>41778</v>
      </c>
      <c r="K7958" s="1">
        <v>41868</v>
      </c>
      <c r="N7958" s="5"/>
      <c r="O7958">
        <v>135.19999999999999</v>
      </c>
      <c r="P7958">
        <v>234</v>
      </c>
      <c r="Q7958" s="2">
        <v>31636.799999999999</v>
      </c>
      <c r="R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 s="1">
        <v>42382</v>
      </c>
      <c r="AC7958" t="s">
        <v>53</v>
      </c>
      <c r="AD7958" t="s">
        <v>53</v>
      </c>
      <c r="AK7958">
        <v>0</v>
      </c>
      <c r="AU7958" s="6">
        <v>42102</v>
      </c>
      <c r="AV7958" s="6">
        <v>42102</v>
      </c>
      <c r="AW7958" t="s">
        <v>54</v>
      </c>
      <c r="AX7958" t="str">
        <f t="shared" si="648"/>
        <v>FOR</v>
      </c>
      <c r="AY7958" t="s">
        <v>55</v>
      </c>
    </row>
    <row r="7959" spans="1:51" hidden="1">
      <c r="A7959">
        <v>104492</v>
      </c>
      <c r="B7959" t="s">
        <v>1331</v>
      </c>
      <c r="C7959" t="str">
        <f t="shared" si="649"/>
        <v>05354730631</v>
      </c>
      <c r="D7959" t="str">
        <f t="shared" si="649"/>
        <v>05354730631</v>
      </c>
      <c r="E7959" t="s">
        <v>52</v>
      </c>
      <c r="F7959">
        <v>2014</v>
      </c>
      <c r="G7959">
        <v>1355</v>
      </c>
      <c r="H7959" s="1">
        <v>41759</v>
      </c>
      <c r="I7959" s="1">
        <v>41778</v>
      </c>
      <c r="J7959" s="1">
        <v>41778</v>
      </c>
      <c r="K7959" s="1">
        <v>41868</v>
      </c>
      <c r="N7959" s="5"/>
      <c r="O7959">
        <v>135.19999999999999</v>
      </c>
      <c r="P7959">
        <v>234</v>
      </c>
      <c r="Q7959" s="2">
        <v>31636.799999999999</v>
      </c>
      <c r="R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 s="1">
        <v>42382</v>
      </c>
      <c r="AC7959" t="s">
        <v>53</v>
      </c>
      <c r="AD7959" t="s">
        <v>53</v>
      </c>
      <c r="AK7959">
        <v>0</v>
      </c>
      <c r="AU7959" s="6">
        <v>42102</v>
      </c>
      <c r="AV7959" s="6">
        <v>42102</v>
      </c>
      <c r="AW7959" t="s">
        <v>54</v>
      </c>
      <c r="AX7959" t="str">
        <f t="shared" si="648"/>
        <v>FOR</v>
      </c>
      <c r="AY7959" t="s">
        <v>55</v>
      </c>
    </row>
    <row r="7960" spans="1:51" hidden="1">
      <c r="A7960">
        <v>104492</v>
      </c>
      <c r="B7960" t="s">
        <v>1331</v>
      </c>
      <c r="C7960" t="str">
        <f t="shared" si="649"/>
        <v>05354730631</v>
      </c>
      <c r="D7960" t="str">
        <f t="shared" si="649"/>
        <v>05354730631</v>
      </c>
      <c r="E7960" t="s">
        <v>52</v>
      </c>
      <c r="F7960">
        <v>2014</v>
      </c>
      <c r="G7960">
        <v>1356</v>
      </c>
      <c r="H7960" s="1">
        <v>41759</v>
      </c>
      <c r="I7960" s="1">
        <v>41778</v>
      </c>
      <c r="J7960" s="1">
        <v>41778</v>
      </c>
      <c r="K7960" s="1">
        <v>41868</v>
      </c>
      <c r="N7960" s="5"/>
      <c r="O7960">
        <v>104</v>
      </c>
      <c r="P7960">
        <v>234</v>
      </c>
      <c r="Q7960" s="2">
        <v>24336</v>
      </c>
      <c r="R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 s="1">
        <v>42382</v>
      </c>
      <c r="AC7960" t="s">
        <v>53</v>
      </c>
      <c r="AD7960" t="s">
        <v>53</v>
      </c>
      <c r="AK7960">
        <v>0</v>
      </c>
      <c r="AU7960" s="6">
        <v>42102</v>
      </c>
      <c r="AV7960" s="6">
        <v>42102</v>
      </c>
      <c r="AW7960" t="s">
        <v>54</v>
      </c>
      <c r="AX7960" t="str">
        <f t="shared" si="648"/>
        <v>FOR</v>
      </c>
      <c r="AY7960" t="s">
        <v>55</v>
      </c>
    </row>
    <row r="7961" spans="1:51" hidden="1">
      <c r="A7961">
        <v>104492</v>
      </c>
      <c r="B7961" t="s">
        <v>1331</v>
      </c>
      <c r="C7961" t="str">
        <f t="shared" si="649"/>
        <v>05354730631</v>
      </c>
      <c r="D7961" t="str">
        <f t="shared" si="649"/>
        <v>05354730631</v>
      </c>
      <c r="E7961" t="s">
        <v>52</v>
      </c>
      <c r="F7961">
        <v>2014</v>
      </c>
      <c r="G7961">
        <v>1380</v>
      </c>
      <c r="H7961" s="1">
        <v>41759</v>
      </c>
      <c r="I7961" s="1">
        <v>41778</v>
      </c>
      <c r="J7961" s="1">
        <v>41778</v>
      </c>
      <c r="K7961" s="1">
        <v>41868</v>
      </c>
      <c r="N7961" s="5"/>
      <c r="O7961">
        <v>135.19999999999999</v>
      </c>
      <c r="P7961">
        <v>234</v>
      </c>
      <c r="Q7961" s="2">
        <v>31636.799999999999</v>
      </c>
      <c r="R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 s="1">
        <v>42382</v>
      </c>
      <c r="AC7961" t="s">
        <v>53</v>
      </c>
      <c r="AD7961" t="s">
        <v>53</v>
      </c>
      <c r="AK7961">
        <v>0</v>
      </c>
      <c r="AU7961" s="6">
        <v>42102</v>
      </c>
      <c r="AV7961" s="6">
        <v>42102</v>
      </c>
      <c r="AW7961" t="s">
        <v>54</v>
      </c>
      <c r="AX7961" t="str">
        <f t="shared" si="648"/>
        <v>FOR</v>
      </c>
      <c r="AY7961" t="s">
        <v>55</v>
      </c>
    </row>
    <row r="7962" spans="1:51" hidden="1">
      <c r="A7962">
        <v>104492</v>
      </c>
      <c r="B7962" t="s">
        <v>1331</v>
      </c>
      <c r="C7962" t="str">
        <f t="shared" si="649"/>
        <v>05354730631</v>
      </c>
      <c r="D7962" t="str">
        <f t="shared" si="649"/>
        <v>05354730631</v>
      </c>
      <c r="E7962" t="s">
        <v>52</v>
      </c>
      <c r="F7962">
        <v>2014</v>
      </c>
      <c r="G7962">
        <v>1381</v>
      </c>
      <c r="H7962" s="1">
        <v>41759</v>
      </c>
      <c r="I7962" s="1">
        <v>41778</v>
      </c>
      <c r="J7962" s="1">
        <v>41778</v>
      </c>
      <c r="K7962" s="1">
        <v>41868</v>
      </c>
      <c r="N7962" s="5"/>
      <c r="O7962">
        <v>135.19999999999999</v>
      </c>
      <c r="P7962">
        <v>234</v>
      </c>
      <c r="Q7962" s="2">
        <v>31636.799999999999</v>
      </c>
      <c r="R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 s="1">
        <v>42382</v>
      </c>
      <c r="AC7962" t="s">
        <v>53</v>
      </c>
      <c r="AD7962" t="s">
        <v>53</v>
      </c>
      <c r="AK7962">
        <v>0</v>
      </c>
      <c r="AU7962" s="6">
        <v>42102</v>
      </c>
      <c r="AV7962" s="6">
        <v>42102</v>
      </c>
      <c r="AW7962" t="s">
        <v>54</v>
      </c>
      <c r="AX7962" t="str">
        <f t="shared" si="648"/>
        <v>FOR</v>
      </c>
      <c r="AY7962" t="s">
        <v>55</v>
      </c>
    </row>
    <row r="7963" spans="1:51" hidden="1">
      <c r="A7963">
        <v>104492</v>
      </c>
      <c r="B7963" t="s">
        <v>1331</v>
      </c>
      <c r="C7963" t="str">
        <f t="shared" si="649"/>
        <v>05354730631</v>
      </c>
      <c r="D7963" t="str">
        <f t="shared" si="649"/>
        <v>05354730631</v>
      </c>
      <c r="E7963" t="s">
        <v>52</v>
      </c>
      <c r="F7963">
        <v>2014</v>
      </c>
      <c r="G7963">
        <v>1382</v>
      </c>
      <c r="H7963" s="1">
        <v>41759</v>
      </c>
      <c r="I7963" s="1">
        <v>41778</v>
      </c>
      <c r="J7963" s="1">
        <v>41778</v>
      </c>
      <c r="K7963" s="1">
        <v>41868</v>
      </c>
      <c r="N7963" s="5"/>
      <c r="O7963">
        <v>135.19999999999999</v>
      </c>
      <c r="P7963">
        <v>234</v>
      </c>
      <c r="Q7963" s="2">
        <v>31636.799999999999</v>
      </c>
      <c r="R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 s="1">
        <v>42382</v>
      </c>
      <c r="AC7963" t="s">
        <v>53</v>
      </c>
      <c r="AD7963" t="s">
        <v>53</v>
      </c>
      <c r="AK7963">
        <v>0</v>
      </c>
      <c r="AU7963" s="6">
        <v>42102</v>
      </c>
      <c r="AV7963" s="6">
        <v>42102</v>
      </c>
      <c r="AW7963" t="s">
        <v>54</v>
      </c>
      <c r="AX7963" t="str">
        <f t="shared" si="648"/>
        <v>FOR</v>
      </c>
      <c r="AY7963" t="s">
        <v>55</v>
      </c>
    </row>
    <row r="7964" spans="1:51" hidden="1">
      <c r="A7964">
        <v>104492</v>
      </c>
      <c r="B7964" t="s">
        <v>1331</v>
      </c>
      <c r="C7964" t="str">
        <f t="shared" si="649"/>
        <v>05354730631</v>
      </c>
      <c r="D7964" t="str">
        <f t="shared" si="649"/>
        <v>05354730631</v>
      </c>
      <c r="E7964" t="s">
        <v>52</v>
      </c>
      <c r="F7964">
        <v>2014</v>
      </c>
      <c r="G7964">
        <v>1383</v>
      </c>
      <c r="H7964" s="1">
        <v>41759</v>
      </c>
      <c r="I7964" s="1">
        <v>41778</v>
      </c>
      <c r="J7964" s="1">
        <v>41778</v>
      </c>
      <c r="K7964" s="1">
        <v>41868</v>
      </c>
      <c r="N7964" s="5"/>
      <c r="O7964">
        <v>135.19999999999999</v>
      </c>
      <c r="P7964">
        <v>234</v>
      </c>
      <c r="Q7964" s="2">
        <v>31636.799999999999</v>
      </c>
      <c r="R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 s="1">
        <v>42382</v>
      </c>
      <c r="AC7964" t="s">
        <v>53</v>
      </c>
      <c r="AD7964" t="s">
        <v>53</v>
      </c>
      <c r="AK7964">
        <v>0</v>
      </c>
      <c r="AU7964" s="6">
        <v>42102</v>
      </c>
      <c r="AV7964" s="6">
        <v>42102</v>
      </c>
      <c r="AW7964" t="s">
        <v>54</v>
      </c>
      <c r="AX7964" t="str">
        <f t="shared" si="648"/>
        <v>FOR</v>
      </c>
      <c r="AY7964" t="s">
        <v>55</v>
      </c>
    </row>
    <row r="7965" spans="1:51" hidden="1">
      <c r="A7965">
        <v>104492</v>
      </c>
      <c r="B7965" t="s">
        <v>1331</v>
      </c>
      <c r="C7965" t="str">
        <f t="shared" ref="C7965:D7984" si="650">"05354730631"</f>
        <v>05354730631</v>
      </c>
      <c r="D7965" t="str">
        <f t="shared" si="650"/>
        <v>05354730631</v>
      </c>
      <c r="E7965" t="s">
        <v>52</v>
      </c>
      <c r="F7965">
        <v>2014</v>
      </c>
      <c r="G7965">
        <v>1384</v>
      </c>
      <c r="H7965" s="1">
        <v>41759</v>
      </c>
      <c r="I7965" s="1">
        <v>41778</v>
      </c>
      <c r="J7965" s="1">
        <v>41778</v>
      </c>
      <c r="K7965" s="1">
        <v>41868</v>
      </c>
      <c r="N7965" s="5"/>
      <c r="O7965">
        <v>135.19999999999999</v>
      </c>
      <c r="P7965">
        <v>234</v>
      </c>
      <c r="Q7965" s="2">
        <v>31636.799999999999</v>
      </c>
      <c r="R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 s="1">
        <v>42382</v>
      </c>
      <c r="AC7965" t="s">
        <v>53</v>
      </c>
      <c r="AD7965" t="s">
        <v>53</v>
      </c>
      <c r="AK7965">
        <v>0</v>
      </c>
      <c r="AU7965" s="6">
        <v>42102</v>
      </c>
      <c r="AV7965" s="6">
        <v>42102</v>
      </c>
      <c r="AW7965" t="s">
        <v>54</v>
      </c>
      <c r="AX7965" t="str">
        <f t="shared" si="648"/>
        <v>FOR</v>
      </c>
      <c r="AY7965" t="s">
        <v>55</v>
      </c>
    </row>
    <row r="7966" spans="1:51" hidden="1">
      <c r="A7966">
        <v>104492</v>
      </c>
      <c r="B7966" t="s">
        <v>1331</v>
      </c>
      <c r="C7966" t="str">
        <f t="shared" si="650"/>
        <v>05354730631</v>
      </c>
      <c r="D7966" t="str">
        <f t="shared" si="650"/>
        <v>05354730631</v>
      </c>
      <c r="E7966" t="s">
        <v>52</v>
      </c>
      <c r="F7966">
        <v>2014</v>
      </c>
      <c r="G7966">
        <v>1385</v>
      </c>
      <c r="H7966" s="1">
        <v>41759</v>
      </c>
      <c r="I7966" s="1">
        <v>41778</v>
      </c>
      <c r="J7966" s="1">
        <v>41778</v>
      </c>
      <c r="K7966" s="1">
        <v>41868</v>
      </c>
      <c r="N7966" s="5"/>
      <c r="O7966">
        <v>104</v>
      </c>
      <c r="P7966">
        <v>234</v>
      </c>
      <c r="Q7966" s="2">
        <v>24336</v>
      </c>
      <c r="R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 s="1">
        <v>42382</v>
      </c>
      <c r="AC7966" t="s">
        <v>53</v>
      </c>
      <c r="AD7966" t="s">
        <v>53</v>
      </c>
      <c r="AK7966">
        <v>0</v>
      </c>
      <c r="AU7966" s="6">
        <v>42102</v>
      </c>
      <c r="AV7966" s="6">
        <v>42102</v>
      </c>
      <c r="AW7966" t="s">
        <v>54</v>
      </c>
      <c r="AX7966" t="str">
        <f t="shared" si="648"/>
        <v>FOR</v>
      </c>
      <c r="AY7966" t="s">
        <v>55</v>
      </c>
    </row>
    <row r="7967" spans="1:51" hidden="1">
      <c r="A7967">
        <v>104492</v>
      </c>
      <c r="B7967" t="s">
        <v>1331</v>
      </c>
      <c r="C7967" t="str">
        <f t="shared" si="650"/>
        <v>05354730631</v>
      </c>
      <c r="D7967" t="str">
        <f t="shared" si="650"/>
        <v>05354730631</v>
      </c>
      <c r="E7967" t="s">
        <v>52</v>
      </c>
      <c r="F7967">
        <v>2014</v>
      </c>
      <c r="G7967">
        <v>1386</v>
      </c>
      <c r="H7967" s="1">
        <v>41759</v>
      </c>
      <c r="I7967" s="1">
        <v>41778</v>
      </c>
      <c r="J7967" s="1">
        <v>41778</v>
      </c>
      <c r="K7967" s="1">
        <v>41868</v>
      </c>
      <c r="N7967" s="5"/>
      <c r="O7967">
        <v>104</v>
      </c>
      <c r="P7967">
        <v>234</v>
      </c>
      <c r="Q7967" s="2">
        <v>24336</v>
      </c>
      <c r="R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 s="1">
        <v>42382</v>
      </c>
      <c r="AC7967" t="s">
        <v>53</v>
      </c>
      <c r="AD7967" t="s">
        <v>53</v>
      </c>
      <c r="AK7967">
        <v>0</v>
      </c>
      <c r="AU7967" s="6">
        <v>42102</v>
      </c>
      <c r="AV7967" s="6">
        <v>42102</v>
      </c>
      <c r="AW7967" t="s">
        <v>54</v>
      </c>
      <c r="AX7967" t="str">
        <f t="shared" si="648"/>
        <v>FOR</v>
      </c>
      <c r="AY7967" t="s">
        <v>55</v>
      </c>
    </row>
    <row r="7968" spans="1:51" hidden="1">
      <c r="A7968">
        <v>104492</v>
      </c>
      <c r="B7968" t="s">
        <v>1331</v>
      </c>
      <c r="C7968" t="str">
        <f t="shared" si="650"/>
        <v>05354730631</v>
      </c>
      <c r="D7968" t="str">
        <f t="shared" si="650"/>
        <v>05354730631</v>
      </c>
      <c r="E7968" t="s">
        <v>52</v>
      </c>
      <c r="F7968">
        <v>2014</v>
      </c>
      <c r="G7968">
        <v>1421</v>
      </c>
      <c r="H7968" s="1">
        <v>41771</v>
      </c>
      <c r="I7968" s="1">
        <v>41782</v>
      </c>
      <c r="J7968" s="1">
        <v>41782</v>
      </c>
      <c r="K7968" s="1">
        <v>41872</v>
      </c>
      <c r="N7968" s="5"/>
      <c r="O7968">
        <v>135.19999999999999</v>
      </c>
      <c r="P7968">
        <v>260</v>
      </c>
      <c r="Q7968" s="2">
        <v>35152</v>
      </c>
      <c r="R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 s="1">
        <v>42382</v>
      </c>
      <c r="AC7968" t="s">
        <v>53</v>
      </c>
      <c r="AD7968" t="s">
        <v>53</v>
      </c>
      <c r="AK7968">
        <v>0</v>
      </c>
      <c r="AU7968" s="6">
        <v>42132</v>
      </c>
      <c r="AV7968" s="6">
        <v>42132</v>
      </c>
      <c r="AW7968" t="s">
        <v>54</v>
      </c>
      <c r="AX7968" t="str">
        <f t="shared" si="648"/>
        <v>FOR</v>
      </c>
      <c r="AY7968" t="s">
        <v>55</v>
      </c>
    </row>
    <row r="7969" spans="1:51" hidden="1">
      <c r="A7969">
        <v>104492</v>
      </c>
      <c r="B7969" t="s">
        <v>1331</v>
      </c>
      <c r="C7969" t="str">
        <f t="shared" si="650"/>
        <v>05354730631</v>
      </c>
      <c r="D7969" t="str">
        <f t="shared" si="650"/>
        <v>05354730631</v>
      </c>
      <c r="E7969" t="s">
        <v>52</v>
      </c>
      <c r="F7969">
        <v>2014</v>
      </c>
      <c r="G7969">
        <v>1422</v>
      </c>
      <c r="H7969" s="1">
        <v>41771</v>
      </c>
      <c r="I7969" s="1">
        <v>41782</v>
      </c>
      <c r="J7969" s="1">
        <v>41782</v>
      </c>
      <c r="K7969" s="1">
        <v>41872</v>
      </c>
      <c r="N7969" s="5"/>
      <c r="O7969">
        <v>135.19999999999999</v>
      </c>
      <c r="P7969">
        <v>260</v>
      </c>
      <c r="Q7969" s="2">
        <v>35152</v>
      </c>
      <c r="R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 s="1">
        <v>42382</v>
      </c>
      <c r="AC7969" t="s">
        <v>53</v>
      </c>
      <c r="AD7969" t="s">
        <v>53</v>
      </c>
      <c r="AK7969">
        <v>0</v>
      </c>
      <c r="AU7969" s="6">
        <v>42132</v>
      </c>
      <c r="AV7969" s="6">
        <v>42132</v>
      </c>
      <c r="AW7969" t="s">
        <v>54</v>
      </c>
      <c r="AX7969" t="str">
        <f t="shared" si="648"/>
        <v>FOR</v>
      </c>
      <c r="AY7969" t="s">
        <v>55</v>
      </c>
    </row>
    <row r="7970" spans="1:51" hidden="1">
      <c r="A7970">
        <v>104492</v>
      </c>
      <c r="B7970" t="s">
        <v>1331</v>
      </c>
      <c r="C7970" t="str">
        <f t="shared" si="650"/>
        <v>05354730631</v>
      </c>
      <c r="D7970" t="str">
        <f t="shared" si="650"/>
        <v>05354730631</v>
      </c>
      <c r="E7970" t="s">
        <v>52</v>
      </c>
      <c r="F7970">
        <v>2014</v>
      </c>
      <c r="G7970">
        <v>1423</v>
      </c>
      <c r="H7970" s="1">
        <v>41771</v>
      </c>
      <c r="I7970" s="1">
        <v>41782</v>
      </c>
      <c r="J7970" s="1">
        <v>41782</v>
      </c>
      <c r="K7970" s="1">
        <v>41872</v>
      </c>
      <c r="N7970" s="5"/>
      <c r="O7970">
        <v>104</v>
      </c>
      <c r="P7970">
        <v>260</v>
      </c>
      <c r="Q7970" s="2">
        <v>27040</v>
      </c>
      <c r="R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 s="1">
        <v>42382</v>
      </c>
      <c r="AC7970" t="s">
        <v>53</v>
      </c>
      <c r="AD7970" t="s">
        <v>53</v>
      </c>
      <c r="AK7970">
        <v>0</v>
      </c>
      <c r="AU7970" s="6">
        <v>42132</v>
      </c>
      <c r="AV7970" s="6">
        <v>42132</v>
      </c>
      <c r="AW7970" t="s">
        <v>54</v>
      </c>
      <c r="AX7970" t="str">
        <f t="shared" si="648"/>
        <v>FOR</v>
      </c>
      <c r="AY7970" t="s">
        <v>55</v>
      </c>
    </row>
    <row r="7971" spans="1:51" hidden="1">
      <c r="A7971">
        <v>104492</v>
      </c>
      <c r="B7971" t="s">
        <v>1331</v>
      </c>
      <c r="C7971" t="str">
        <f t="shared" si="650"/>
        <v>05354730631</v>
      </c>
      <c r="D7971" t="str">
        <f t="shared" si="650"/>
        <v>05354730631</v>
      </c>
      <c r="E7971" t="s">
        <v>52</v>
      </c>
      <c r="F7971">
        <v>2014</v>
      </c>
      <c r="G7971">
        <v>1424</v>
      </c>
      <c r="H7971" s="1">
        <v>41771</v>
      </c>
      <c r="I7971" s="1">
        <v>41782</v>
      </c>
      <c r="J7971" s="1">
        <v>41782</v>
      </c>
      <c r="K7971" s="1">
        <v>41872</v>
      </c>
      <c r="N7971" s="5"/>
      <c r="O7971">
        <v>135.19999999999999</v>
      </c>
      <c r="P7971">
        <v>260</v>
      </c>
      <c r="Q7971" s="2">
        <v>35152</v>
      </c>
      <c r="R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 s="1">
        <v>42382</v>
      </c>
      <c r="AC7971" t="s">
        <v>53</v>
      </c>
      <c r="AD7971" t="s">
        <v>53</v>
      </c>
      <c r="AK7971">
        <v>0</v>
      </c>
      <c r="AU7971" s="6">
        <v>42132</v>
      </c>
      <c r="AV7971" s="6">
        <v>42132</v>
      </c>
      <c r="AW7971" t="s">
        <v>54</v>
      </c>
      <c r="AX7971" t="str">
        <f t="shared" si="648"/>
        <v>FOR</v>
      </c>
      <c r="AY7971" t="s">
        <v>55</v>
      </c>
    </row>
    <row r="7972" spans="1:51" hidden="1">
      <c r="A7972">
        <v>104492</v>
      </c>
      <c r="B7972" t="s">
        <v>1331</v>
      </c>
      <c r="C7972" t="str">
        <f t="shared" si="650"/>
        <v>05354730631</v>
      </c>
      <c r="D7972" t="str">
        <f t="shared" si="650"/>
        <v>05354730631</v>
      </c>
      <c r="E7972" t="s">
        <v>52</v>
      </c>
      <c r="F7972">
        <v>2014</v>
      </c>
      <c r="G7972">
        <v>1541</v>
      </c>
      <c r="H7972" s="1">
        <v>41780</v>
      </c>
      <c r="I7972" s="1">
        <v>41789</v>
      </c>
      <c r="J7972" s="1">
        <v>41789</v>
      </c>
      <c r="K7972" s="1">
        <v>41879</v>
      </c>
      <c r="N7972" s="5"/>
      <c r="O7972" s="2">
        <v>1464</v>
      </c>
      <c r="P7972">
        <v>253</v>
      </c>
      <c r="Q7972" s="2">
        <v>370392</v>
      </c>
      <c r="R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 s="1">
        <v>42382</v>
      </c>
      <c r="AC7972" t="s">
        <v>53</v>
      </c>
      <c r="AD7972" t="s">
        <v>53</v>
      </c>
      <c r="AK7972">
        <v>0</v>
      </c>
      <c r="AU7972" s="6">
        <v>42132</v>
      </c>
      <c r="AV7972" s="6">
        <v>42132</v>
      </c>
      <c r="AW7972" t="s">
        <v>54</v>
      </c>
      <c r="AX7972" t="str">
        <f t="shared" si="648"/>
        <v>FOR</v>
      </c>
      <c r="AY7972" t="s">
        <v>55</v>
      </c>
    </row>
    <row r="7973" spans="1:51" hidden="1">
      <c r="A7973">
        <v>104492</v>
      </c>
      <c r="B7973" t="s">
        <v>1331</v>
      </c>
      <c r="C7973" t="str">
        <f t="shared" si="650"/>
        <v>05354730631</v>
      </c>
      <c r="D7973" t="str">
        <f t="shared" si="650"/>
        <v>05354730631</v>
      </c>
      <c r="E7973" t="s">
        <v>52</v>
      </c>
      <c r="F7973">
        <v>2014</v>
      </c>
      <c r="G7973">
        <v>1613</v>
      </c>
      <c r="H7973" s="1">
        <v>41786</v>
      </c>
      <c r="I7973" s="1">
        <v>42080</v>
      </c>
      <c r="J7973" s="1">
        <v>42080</v>
      </c>
      <c r="K7973" s="1">
        <v>42140</v>
      </c>
      <c r="N7973" s="5"/>
      <c r="O7973">
        <v>104</v>
      </c>
      <c r="P7973">
        <v>-8</v>
      </c>
      <c r="Q7973">
        <v>-832</v>
      </c>
      <c r="R7973">
        <v>0</v>
      </c>
      <c r="V7973">
        <v>0</v>
      </c>
      <c r="W7973">
        <v>0</v>
      </c>
      <c r="X7973">
        <v>0</v>
      </c>
      <c r="Y7973">
        <v>0</v>
      </c>
      <c r="Z7973">
        <v>104</v>
      </c>
      <c r="AA7973">
        <v>0</v>
      </c>
      <c r="AB7973" s="1">
        <v>42382</v>
      </c>
      <c r="AC7973" t="s">
        <v>53</v>
      </c>
      <c r="AD7973" t="s">
        <v>53</v>
      </c>
      <c r="AK7973">
        <v>0</v>
      </c>
      <c r="AU7973" s="6">
        <v>42132</v>
      </c>
      <c r="AV7973" s="6">
        <v>42132</v>
      </c>
      <c r="AW7973" t="s">
        <v>54</v>
      </c>
      <c r="AX7973" t="str">
        <f t="shared" si="648"/>
        <v>FOR</v>
      </c>
      <c r="AY7973" t="s">
        <v>55</v>
      </c>
    </row>
    <row r="7974" spans="1:51" hidden="1">
      <c r="A7974">
        <v>104492</v>
      </c>
      <c r="B7974" t="s">
        <v>1331</v>
      </c>
      <c r="C7974" t="str">
        <f t="shared" si="650"/>
        <v>05354730631</v>
      </c>
      <c r="D7974" t="str">
        <f t="shared" si="650"/>
        <v>05354730631</v>
      </c>
      <c r="E7974" t="s">
        <v>52</v>
      </c>
      <c r="F7974">
        <v>2014</v>
      </c>
      <c r="G7974">
        <v>1614</v>
      </c>
      <c r="H7974" s="1">
        <v>41786</v>
      </c>
      <c r="I7974" s="1">
        <v>42080</v>
      </c>
      <c r="J7974" s="1">
        <v>42080</v>
      </c>
      <c r="K7974" s="1">
        <v>42140</v>
      </c>
      <c r="N7974" s="5"/>
      <c r="O7974">
        <v>135.19999999999999</v>
      </c>
      <c r="P7974">
        <v>-8</v>
      </c>
      <c r="Q7974" s="2">
        <v>-1081.5999999999999</v>
      </c>
      <c r="R7974">
        <v>0</v>
      </c>
      <c r="V7974">
        <v>0</v>
      </c>
      <c r="W7974">
        <v>0</v>
      </c>
      <c r="X7974">
        <v>0</v>
      </c>
      <c r="Y7974">
        <v>0</v>
      </c>
      <c r="Z7974">
        <v>135.19999999999999</v>
      </c>
      <c r="AA7974">
        <v>0</v>
      </c>
      <c r="AB7974" s="1">
        <v>42382</v>
      </c>
      <c r="AC7974" t="s">
        <v>53</v>
      </c>
      <c r="AD7974" t="s">
        <v>53</v>
      </c>
      <c r="AK7974">
        <v>0</v>
      </c>
      <c r="AU7974" s="6">
        <v>42132</v>
      </c>
      <c r="AV7974" s="6">
        <v>42132</v>
      </c>
      <c r="AW7974" t="s">
        <v>54</v>
      </c>
      <c r="AX7974" t="str">
        <f t="shared" si="648"/>
        <v>FOR</v>
      </c>
      <c r="AY7974" t="s">
        <v>55</v>
      </c>
    </row>
    <row r="7975" spans="1:51" hidden="1">
      <c r="A7975">
        <v>104492</v>
      </c>
      <c r="B7975" t="s">
        <v>1331</v>
      </c>
      <c r="C7975" t="str">
        <f t="shared" si="650"/>
        <v>05354730631</v>
      </c>
      <c r="D7975" t="str">
        <f t="shared" si="650"/>
        <v>05354730631</v>
      </c>
      <c r="E7975" t="s">
        <v>52</v>
      </c>
      <c r="F7975">
        <v>2014</v>
      </c>
      <c r="G7975">
        <v>1615</v>
      </c>
      <c r="H7975" s="1">
        <v>41786</v>
      </c>
      <c r="I7975" s="1">
        <v>42080</v>
      </c>
      <c r="J7975" s="1">
        <v>42080</v>
      </c>
      <c r="K7975" s="1">
        <v>42140</v>
      </c>
      <c r="N7975" s="5"/>
      <c r="O7975">
        <v>104</v>
      </c>
      <c r="P7975">
        <v>-8</v>
      </c>
      <c r="Q7975">
        <v>-832</v>
      </c>
      <c r="R7975">
        <v>0</v>
      </c>
      <c r="V7975">
        <v>0</v>
      </c>
      <c r="W7975">
        <v>0</v>
      </c>
      <c r="X7975">
        <v>0</v>
      </c>
      <c r="Y7975">
        <v>0</v>
      </c>
      <c r="Z7975">
        <v>104</v>
      </c>
      <c r="AA7975">
        <v>0</v>
      </c>
      <c r="AB7975" s="1">
        <v>42382</v>
      </c>
      <c r="AC7975" t="s">
        <v>53</v>
      </c>
      <c r="AD7975" t="s">
        <v>53</v>
      </c>
      <c r="AK7975">
        <v>0</v>
      </c>
      <c r="AU7975" s="6">
        <v>42132</v>
      </c>
      <c r="AV7975" s="6">
        <v>42132</v>
      </c>
      <c r="AW7975" t="s">
        <v>54</v>
      </c>
      <c r="AX7975" t="str">
        <f t="shared" si="648"/>
        <v>FOR</v>
      </c>
      <c r="AY7975" t="s">
        <v>55</v>
      </c>
    </row>
    <row r="7976" spans="1:51" hidden="1">
      <c r="A7976">
        <v>104492</v>
      </c>
      <c r="B7976" t="s">
        <v>1331</v>
      </c>
      <c r="C7976" t="str">
        <f t="shared" si="650"/>
        <v>05354730631</v>
      </c>
      <c r="D7976" t="str">
        <f t="shared" si="650"/>
        <v>05354730631</v>
      </c>
      <c r="E7976" t="s">
        <v>52</v>
      </c>
      <c r="F7976">
        <v>2014</v>
      </c>
      <c r="G7976">
        <v>1616</v>
      </c>
      <c r="H7976" s="1">
        <v>41786</v>
      </c>
      <c r="I7976" s="1">
        <v>42080</v>
      </c>
      <c r="J7976" s="1">
        <v>42080</v>
      </c>
      <c r="K7976" s="1">
        <v>42140</v>
      </c>
      <c r="N7976" s="5"/>
      <c r="O7976">
        <v>104</v>
      </c>
      <c r="P7976">
        <v>-8</v>
      </c>
      <c r="Q7976">
        <v>-832</v>
      </c>
      <c r="R7976">
        <v>0</v>
      </c>
      <c r="V7976">
        <v>0</v>
      </c>
      <c r="W7976">
        <v>0</v>
      </c>
      <c r="X7976">
        <v>0</v>
      </c>
      <c r="Y7976">
        <v>0</v>
      </c>
      <c r="Z7976">
        <v>104</v>
      </c>
      <c r="AA7976">
        <v>0</v>
      </c>
      <c r="AB7976" s="1">
        <v>42382</v>
      </c>
      <c r="AC7976" t="s">
        <v>53</v>
      </c>
      <c r="AD7976" t="s">
        <v>53</v>
      </c>
      <c r="AK7976">
        <v>0</v>
      </c>
      <c r="AU7976" s="6">
        <v>42132</v>
      </c>
      <c r="AV7976" s="6">
        <v>42132</v>
      </c>
      <c r="AW7976" t="s">
        <v>54</v>
      </c>
      <c r="AX7976" t="str">
        <f t="shared" si="648"/>
        <v>FOR</v>
      </c>
      <c r="AY7976" t="s">
        <v>55</v>
      </c>
    </row>
    <row r="7977" spans="1:51" hidden="1">
      <c r="A7977">
        <v>104492</v>
      </c>
      <c r="B7977" t="s">
        <v>1331</v>
      </c>
      <c r="C7977" t="str">
        <f t="shared" si="650"/>
        <v>05354730631</v>
      </c>
      <c r="D7977" t="str">
        <f t="shared" si="650"/>
        <v>05354730631</v>
      </c>
      <c r="E7977" t="s">
        <v>52</v>
      </c>
      <c r="F7977">
        <v>2014</v>
      </c>
      <c r="G7977">
        <v>1617</v>
      </c>
      <c r="H7977" s="1">
        <v>41786</v>
      </c>
      <c r="I7977" s="1">
        <v>42080</v>
      </c>
      <c r="J7977" s="1">
        <v>42080</v>
      </c>
      <c r="K7977" s="1">
        <v>42140</v>
      </c>
      <c r="N7977" s="5"/>
      <c r="O7977">
        <v>104</v>
      </c>
      <c r="P7977">
        <v>-8</v>
      </c>
      <c r="Q7977">
        <v>-832</v>
      </c>
      <c r="R7977">
        <v>0</v>
      </c>
      <c r="V7977">
        <v>0</v>
      </c>
      <c r="W7977">
        <v>0</v>
      </c>
      <c r="X7977">
        <v>0</v>
      </c>
      <c r="Y7977">
        <v>0</v>
      </c>
      <c r="Z7977">
        <v>104</v>
      </c>
      <c r="AA7977">
        <v>0</v>
      </c>
      <c r="AB7977" s="1">
        <v>42382</v>
      </c>
      <c r="AC7977" t="s">
        <v>53</v>
      </c>
      <c r="AD7977" t="s">
        <v>53</v>
      </c>
      <c r="AK7977">
        <v>0</v>
      </c>
      <c r="AU7977" s="6">
        <v>42132</v>
      </c>
      <c r="AV7977" s="6">
        <v>42132</v>
      </c>
      <c r="AW7977" t="s">
        <v>54</v>
      </c>
      <c r="AX7977" t="str">
        <f t="shared" si="648"/>
        <v>FOR</v>
      </c>
      <c r="AY7977" t="s">
        <v>55</v>
      </c>
    </row>
    <row r="7978" spans="1:51" hidden="1">
      <c r="A7978">
        <v>104492</v>
      </c>
      <c r="B7978" t="s">
        <v>1331</v>
      </c>
      <c r="C7978" t="str">
        <f t="shared" si="650"/>
        <v>05354730631</v>
      </c>
      <c r="D7978" t="str">
        <f t="shared" si="650"/>
        <v>05354730631</v>
      </c>
      <c r="E7978" t="s">
        <v>52</v>
      </c>
      <c r="F7978">
        <v>2014</v>
      </c>
      <c r="G7978">
        <v>1618</v>
      </c>
      <c r="H7978" s="1">
        <v>41786</v>
      </c>
      <c r="I7978" s="1">
        <v>42080</v>
      </c>
      <c r="J7978" s="1">
        <v>42080</v>
      </c>
      <c r="K7978" s="1">
        <v>42140</v>
      </c>
      <c r="N7978" s="5"/>
      <c r="O7978">
        <v>104</v>
      </c>
      <c r="P7978">
        <v>-8</v>
      </c>
      <c r="Q7978">
        <v>-832</v>
      </c>
      <c r="R7978">
        <v>0</v>
      </c>
      <c r="V7978">
        <v>0</v>
      </c>
      <c r="W7978">
        <v>0</v>
      </c>
      <c r="X7978">
        <v>0</v>
      </c>
      <c r="Y7978">
        <v>0</v>
      </c>
      <c r="Z7978">
        <v>104</v>
      </c>
      <c r="AA7978">
        <v>0</v>
      </c>
      <c r="AB7978" s="1">
        <v>42382</v>
      </c>
      <c r="AC7978" t="s">
        <v>53</v>
      </c>
      <c r="AD7978" t="s">
        <v>53</v>
      </c>
      <c r="AK7978">
        <v>0</v>
      </c>
      <c r="AU7978" s="6">
        <v>42132</v>
      </c>
      <c r="AV7978" s="6">
        <v>42132</v>
      </c>
      <c r="AW7978" t="s">
        <v>54</v>
      </c>
      <c r="AX7978" t="str">
        <f t="shared" si="648"/>
        <v>FOR</v>
      </c>
      <c r="AY7978" t="s">
        <v>55</v>
      </c>
    </row>
    <row r="7979" spans="1:51" hidden="1">
      <c r="A7979">
        <v>104492</v>
      </c>
      <c r="B7979" t="s">
        <v>1331</v>
      </c>
      <c r="C7979" t="str">
        <f t="shared" si="650"/>
        <v>05354730631</v>
      </c>
      <c r="D7979" t="str">
        <f t="shared" si="650"/>
        <v>05354730631</v>
      </c>
      <c r="E7979" t="s">
        <v>52</v>
      </c>
      <c r="F7979">
        <v>2014</v>
      </c>
      <c r="G7979">
        <v>1619</v>
      </c>
      <c r="H7979" s="1">
        <v>41786</v>
      </c>
      <c r="I7979" s="1">
        <v>42080</v>
      </c>
      <c r="J7979" s="1">
        <v>42080</v>
      </c>
      <c r="K7979" s="1">
        <v>42140</v>
      </c>
      <c r="N7979" s="5"/>
      <c r="O7979">
        <v>104</v>
      </c>
      <c r="P7979">
        <v>-8</v>
      </c>
      <c r="Q7979">
        <v>-832</v>
      </c>
      <c r="R7979">
        <v>0</v>
      </c>
      <c r="V7979">
        <v>0</v>
      </c>
      <c r="W7979">
        <v>0</v>
      </c>
      <c r="X7979">
        <v>0</v>
      </c>
      <c r="Y7979">
        <v>0</v>
      </c>
      <c r="Z7979">
        <v>104</v>
      </c>
      <c r="AA7979">
        <v>0</v>
      </c>
      <c r="AB7979" s="1">
        <v>42382</v>
      </c>
      <c r="AC7979" t="s">
        <v>53</v>
      </c>
      <c r="AD7979" t="s">
        <v>53</v>
      </c>
      <c r="AK7979">
        <v>0</v>
      </c>
      <c r="AU7979" s="6">
        <v>42132</v>
      </c>
      <c r="AV7979" s="6">
        <v>42132</v>
      </c>
      <c r="AW7979" t="s">
        <v>54</v>
      </c>
      <c r="AX7979" t="str">
        <f t="shared" si="648"/>
        <v>FOR</v>
      </c>
      <c r="AY7979" t="s">
        <v>55</v>
      </c>
    </row>
    <row r="7980" spans="1:51" hidden="1">
      <c r="A7980">
        <v>104492</v>
      </c>
      <c r="B7980" t="s">
        <v>1331</v>
      </c>
      <c r="C7980" t="str">
        <f t="shared" si="650"/>
        <v>05354730631</v>
      </c>
      <c r="D7980" t="str">
        <f t="shared" si="650"/>
        <v>05354730631</v>
      </c>
      <c r="E7980" t="s">
        <v>52</v>
      </c>
      <c r="F7980">
        <v>2014</v>
      </c>
      <c r="G7980">
        <v>1620</v>
      </c>
      <c r="H7980" s="1">
        <v>41786</v>
      </c>
      <c r="I7980" s="1">
        <v>42080</v>
      </c>
      <c r="J7980" s="1">
        <v>42080</v>
      </c>
      <c r="K7980" s="1">
        <v>42140</v>
      </c>
      <c r="N7980" s="5"/>
      <c r="O7980">
        <v>135.19999999999999</v>
      </c>
      <c r="P7980">
        <v>-8</v>
      </c>
      <c r="Q7980" s="2">
        <v>-1081.5999999999999</v>
      </c>
      <c r="R7980">
        <v>0</v>
      </c>
      <c r="V7980">
        <v>0</v>
      </c>
      <c r="W7980">
        <v>0</v>
      </c>
      <c r="X7980">
        <v>0</v>
      </c>
      <c r="Y7980">
        <v>0</v>
      </c>
      <c r="Z7980">
        <v>135.19999999999999</v>
      </c>
      <c r="AA7980">
        <v>0</v>
      </c>
      <c r="AB7980" s="1">
        <v>42382</v>
      </c>
      <c r="AC7980" t="s">
        <v>53</v>
      </c>
      <c r="AD7980" t="s">
        <v>53</v>
      </c>
      <c r="AK7980">
        <v>0</v>
      </c>
      <c r="AU7980" s="6">
        <v>42132</v>
      </c>
      <c r="AV7980" s="6">
        <v>42132</v>
      </c>
      <c r="AW7980" t="s">
        <v>54</v>
      </c>
      <c r="AX7980" t="str">
        <f t="shared" si="648"/>
        <v>FOR</v>
      </c>
      <c r="AY7980" t="s">
        <v>55</v>
      </c>
    </row>
    <row r="7981" spans="1:51" hidden="1">
      <c r="A7981">
        <v>104492</v>
      </c>
      <c r="B7981" t="s">
        <v>1331</v>
      </c>
      <c r="C7981" t="str">
        <f t="shared" si="650"/>
        <v>05354730631</v>
      </c>
      <c r="D7981" t="str">
        <f t="shared" si="650"/>
        <v>05354730631</v>
      </c>
      <c r="E7981" t="s">
        <v>52</v>
      </c>
      <c r="F7981">
        <v>2014</v>
      </c>
      <c r="G7981">
        <v>1621</v>
      </c>
      <c r="H7981" s="1">
        <v>41786</v>
      </c>
      <c r="I7981" s="1">
        <v>42080</v>
      </c>
      <c r="J7981" s="1">
        <v>42080</v>
      </c>
      <c r="K7981" s="1">
        <v>42140</v>
      </c>
      <c r="N7981" s="5"/>
      <c r="O7981">
        <v>104</v>
      </c>
      <c r="P7981">
        <v>-8</v>
      </c>
      <c r="Q7981">
        <v>-832</v>
      </c>
      <c r="R7981">
        <v>0</v>
      </c>
      <c r="V7981">
        <v>0</v>
      </c>
      <c r="W7981">
        <v>0</v>
      </c>
      <c r="X7981">
        <v>0</v>
      </c>
      <c r="Y7981">
        <v>0</v>
      </c>
      <c r="Z7981">
        <v>104</v>
      </c>
      <c r="AA7981">
        <v>0</v>
      </c>
      <c r="AB7981" s="1">
        <v>42382</v>
      </c>
      <c r="AC7981" t="s">
        <v>53</v>
      </c>
      <c r="AD7981" t="s">
        <v>53</v>
      </c>
      <c r="AK7981">
        <v>0</v>
      </c>
      <c r="AU7981" s="6">
        <v>42132</v>
      </c>
      <c r="AV7981" s="6">
        <v>42132</v>
      </c>
      <c r="AW7981" t="s">
        <v>54</v>
      </c>
      <c r="AX7981" t="str">
        <f t="shared" si="648"/>
        <v>FOR</v>
      </c>
      <c r="AY7981" t="s">
        <v>55</v>
      </c>
    </row>
    <row r="7982" spans="1:51" hidden="1">
      <c r="A7982">
        <v>104492</v>
      </c>
      <c r="B7982" t="s">
        <v>1331</v>
      </c>
      <c r="C7982" t="str">
        <f t="shared" si="650"/>
        <v>05354730631</v>
      </c>
      <c r="D7982" t="str">
        <f t="shared" si="650"/>
        <v>05354730631</v>
      </c>
      <c r="E7982" t="s">
        <v>52</v>
      </c>
      <c r="F7982">
        <v>2014</v>
      </c>
      <c r="G7982">
        <v>1622</v>
      </c>
      <c r="H7982" s="1">
        <v>41786</v>
      </c>
      <c r="I7982" s="1">
        <v>42080</v>
      </c>
      <c r="J7982" s="1">
        <v>42080</v>
      </c>
      <c r="K7982" s="1">
        <v>42140</v>
      </c>
      <c r="N7982" s="5"/>
      <c r="O7982">
        <v>104</v>
      </c>
      <c r="P7982">
        <v>-8</v>
      </c>
      <c r="Q7982">
        <v>-832</v>
      </c>
      <c r="R7982">
        <v>0</v>
      </c>
      <c r="V7982">
        <v>0</v>
      </c>
      <c r="W7982">
        <v>0</v>
      </c>
      <c r="X7982">
        <v>0</v>
      </c>
      <c r="Y7982">
        <v>0</v>
      </c>
      <c r="Z7982">
        <v>104</v>
      </c>
      <c r="AA7982">
        <v>0</v>
      </c>
      <c r="AB7982" s="1">
        <v>42382</v>
      </c>
      <c r="AC7982" t="s">
        <v>53</v>
      </c>
      <c r="AD7982" t="s">
        <v>53</v>
      </c>
      <c r="AK7982">
        <v>0</v>
      </c>
      <c r="AU7982" s="6">
        <v>42132</v>
      </c>
      <c r="AV7982" s="6">
        <v>42132</v>
      </c>
      <c r="AW7982" t="s">
        <v>54</v>
      </c>
      <c r="AX7982" t="str">
        <f t="shared" si="648"/>
        <v>FOR</v>
      </c>
      <c r="AY7982" t="s">
        <v>55</v>
      </c>
    </row>
    <row r="7983" spans="1:51" hidden="1">
      <c r="A7983">
        <v>104492</v>
      </c>
      <c r="B7983" t="s">
        <v>1331</v>
      </c>
      <c r="C7983" t="str">
        <f t="shared" si="650"/>
        <v>05354730631</v>
      </c>
      <c r="D7983" t="str">
        <f t="shared" si="650"/>
        <v>05354730631</v>
      </c>
      <c r="E7983" t="s">
        <v>52</v>
      </c>
      <c r="F7983">
        <v>2014</v>
      </c>
      <c r="G7983">
        <v>1623</v>
      </c>
      <c r="H7983" s="1">
        <v>41786</v>
      </c>
      <c r="I7983" s="1">
        <v>42080</v>
      </c>
      <c r="J7983" s="1">
        <v>42080</v>
      </c>
      <c r="K7983" s="1">
        <v>42140</v>
      </c>
      <c r="N7983" s="5"/>
      <c r="O7983">
        <v>135.19999999999999</v>
      </c>
      <c r="P7983">
        <v>-8</v>
      </c>
      <c r="Q7983" s="2">
        <v>-1081.5999999999999</v>
      </c>
      <c r="R7983">
        <v>0</v>
      </c>
      <c r="V7983">
        <v>0</v>
      </c>
      <c r="W7983">
        <v>0</v>
      </c>
      <c r="X7983">
        <v>0</v>
      </c>
      <c r="Y7983">
        <v>0</v>
      </c>
      <c r="Z7983">
        <v>135.19999999999999</v>
      </c>
      <c r="AA7983">
        <v>0</v>
      </c>
      <c r="AB7983" s="1">
        <v>42382</v>
      </c>
      <c r="AC7983" t="s">
        <v>53</v>
      </c>
      <c r="AD7983" t="s">
        <v>53</v>
      </c>
      <c r="AK7983">
        <v>0</v>
      </c>
      <c r="AU7983" s="6">
        <v>42132</v>
      </c>
      <c r="AV7983" s="6">
        <v>42132</v>
      </c>
      <c r="AW7983" t="s">
        <v>54</v>
      </c>
      <c r="AX7983" t="str">
        <f t="shared" si="648"/>
        <v>FOR</v>
      </c>
      <c r="AY7983" t="s">
        <v>55</v>
      </c>
    </row>
    <row r="7984" spans="1:51" hidden="1">
      <c r="A7984">
        <v>104492</v>
      </c>
      <c r="B7984" t="s">
        <v>1331</v>
      </c>
      <c r="C7984" t="str">
        <f t="shared" si="650"/>
        <v>05354730631</v>
      </c>
      <c r="D7984" t="str">
        <f t="shared" si="650"/>
        <v>05354730631</v>
      </c>
      <c r="E7984" t="s">
        <v>52</v>
      </c>
      <c r="F7984">
        <v>2014</v>
      </c>
      <c r="G7984">
        <v>1624</v>
      </c>
      <c r="H7984" s="1">
        <v>41786</v>
      </c>
      <c r="I7984" s="1">
        <v>42080</v>
      </c>
      <c r="J7984" s="1">
        <v>42080</v>
      </c>
      <c r="K7984" s="1">
        <v>42140</v>
      </c>
      <c r="N7984" s="5"/>
      <c r="O7984">
        <v>104</v>
      </c>
      <c r="P7984">
        <v>-8</v>
      </c>
      <c r="Q7984">
        <v>-832</v>
      </c>
      <c r="R7984">
        <v>0</v>
      </c>
      <c r="V7984">
        <v>0</v>
      </c>
      <c r="W7984">
        <v>0</v>
      </c>
      <c r="X7984">
        <v>0</v>
      </c>
      <c r="Y7984">
        <v>0</v>
      </c>
      <c r="Z7984">
        <v>104</v>
      </c>
      <c r="AA7984">
        <v>0</v>
      </c>
      <c r="AB7984" s="1">
        <v>42382</v>
      </c>
      <c r="AC7984" t="s">
        <v>53</v>
      </c>
      <c r="AD7984" t="s">
        <v>53</v>
      </c>
      <c r="AK7984">
        <v>0</v>
      </c>
      <c r="AU7984" s="6">
        <v>42132</v>
      </c>
      <c r="AV7984" s="6">
        <v>42132</v>
      </c>
      <c r="AW7984" t="s">
        <v>54</v>
      </c>
      <c r="AX7984" t="str">
        <f t="shared" si="648"/>
        <v>FOR</v>
      </c>
      <c r="AY7984" t="s">
        <v>55</v>
      </c>
    </row>
    <row r="7985" spans="1:51" hidden="1">
      <c r="A7985">
        <v>104492</v>
      </c>
      <c r="B7985" t="s">
        <v>1331</v>
      </c>
      <c r="C7985" t="str">
        <f t="shared" ref="C7985:D8004" si="651">"05354730631"</f>
        <v>05354730631</v>
      </c>
      <c r="D7985" t="str">
        <f t="shared" si="651"/>
        <v>05354730631</v>
      </c>
      <c r="E7985" t="s">
        <v>52</v>
      </c>
      <c r="F7985">
        <v>2014</v>
      </c>
      <c r="G7985">
        <v>1625</v>
      </c>
      <c r="H7985" s="1">
        <v>41786</v>
      </c>
      <c r="I7985" s="1">
        <v>42080</v>
      </c>
      <c r="J7985" s="1">
        <v>42080</v>
      </c>
      <c r="K7985" s="1">
        <v>42140</v>
      </c>
      <c r="N7985" s="5"/>
      <c r="O7985">
        <v>104</v>
      </c>
      <c r="P7985">
        <v>-8</v>
      </c>
      <c r="Q7985">
        <v>-832</v>
      </c>
      <c r="R7985">
        <v>0</v>
      </c>
      <c r="V7985">
        <v>0</v>
      </c>
      <c r="W7985">
        <v>0</v>
      </c>
      <c r="X7985">
        <v>0</v>
      </c>
      <c r="Y7985">
        <v>0</v>
      </c>
      <c r="Z7985">
        <v>104</v>
      </c>
      <c r="AA7985">
        <v>0</v>
      </c>
      <c r="AB7985" s="1">
        <v>42382</v>
      </c>
      <c r="AC7985" t="s">
        <v>53</v>
      </c>
      <c r="AD7985" t="s">
        <v>53</v>
      </c>
      <c r="AK7985">
        <v>0</v>
      </c>
      <c r="AU7985" s="6">
        <v>42132</v>
      </c>
      <c r="AV7985" s="6">
        <v>42132</v>
      </c>
      <c r="AW7985" t="s">
        <v>54</v>
      </c>
      <c r="AX7985" t="str">
        <f t="shared" si="648"/>
        <v>FOR</v>
      </c>
      <c r="AY7985" t="s">
        <v>55</v>
      </c>
    </row>
    <row r="7986" spans="1:51" hidden="1">
      <c r="A7986">
        <v>104492</v>
      </c>
      <c r="B7986" t="s">
        <v>1331</v>
      </c>
      <c r="C7986" t="str">
        <f t="shared" si="651"/>
        <v>05354730631</v>
      </c>
      <c r="D7986" t="str">
        <f t="shared" si="651"/>
        <v>05354730631</v>
      </c>
      <c r="E7986" t="s">
        <v>52</v>
      </c>
      <c r="F7986">
        <v>2014</v>
      </c>
      <c r="G7986">
        <v>1626</v>
      </c>
      <c r="H7986" s="1">
        <v>41786</v>
      </c>
      <c r="I7986" s="1">
        <v>42080</v>
      </c>
      <c r="J7986" s="1">
        <v>42080</v>
      </c>
      <c r="K7986" s="1">
        <v>42140</v>
      </c>
      <c r="N7986" s="5"/>
      <c r="O7986">
        <v>135.19999999999999</v>
      </c>
      <c r="P7986">
        <v>-8</v>
      </c>
      <c r="Q7986" s="2">
        <v>-1081.5999999999999</v>
      </c>
      <c r="R7986">
        <v>0</v>
      </c>
      <c r="V7986">
        <v>0</v>
      </c>
      <c r="W7986">
        <v>0</v>
      </c>
      <c r="X7986">
        <v>0</v>
      </c>
      <c r="Y7986">
        <v>0</v>
      </c>
      <c r="Z7986">
        <v>135.19999999999999</v>
      </c>
      <c r="AA7986">
        <v>0</v>
      </c>
      <c r="AB7986" s="1">
        <v>42382</v>
      </c>
      <c r="AC7986" t="s">
        <v>53</v>
      </c>
      <c r="AD7986" t="s">
        <v>53</v>
      </c>
      <c r="AK7986">
        <v>0</v>
      </c>
      <c r="AU7986" s="6">
        <v>42132</v>
      </c>
      <c r="AV7986" s="6">
        <v>42132</v>
      </c>
      <c r="AW7986" t="s">
        <v>54</v>
      </c>
      <c r="AX7986" t="str">
        <f t="shared" si="648"/>
        <v>FOR</v>
      </c>
      <c r="AY7986" t="s">
        <v>55</v>
      </c>
    </row>
    <row r="7987" spans="1:51" hidden="1">
      <c r="A7987">
        <v>104492</v>
      </c>
      <c r="B7987" t="s">
        <v>1331</v>
      </c>
      <c r="C7987" t="str">
        <f t="shared" si="651"/>
        <v>05354730631</v>
      </c>
      <c r="D7987" t="str">
        <f t="shared" si="651"/>
        <v>05354730631</v>
      </c>
      <c r="E7987" t="s">
        <v>52</v>
      </c>
      <c r="F7987">
        <v>2014</v>
      </c>
      <c r="G7987">
        <v>1627</v>
      </c>
      <c r="H7987" s="1">
        <v>41786</v>
      </c>
      <c r="I7987" s="1">
        <v>42080</v>
      </c>
      <c r="J7987" s="1">
        <v>42080</v>
      </c>
      <c r="K7987" s="1">
        <v>42140</v>
      </c>
      <c r="N7987" s="5"/>
      <c r="O7987">
        <v>135.19999999999999</v>
      </c>
      <c r="P7987">
        <v>-8</v>
      </c>
      <c r="Q7987" s="2">
        <v>-1081.5999999999999</v>
      </c>
      <c r="R7987">
        <v>0</v>
      </c>
      <c r="V7987">
        <v>0</v>
      </c>
      <c r="W7987">
        <v>0</v>
      </c>
      <c r="X7987">
        <v>0</v>
      </c>
      <c r="Y7987">
        <v>0</v>
      </c>
      <c r="Z7987">
        <v>135.19999999999999</v>
      </c>
      <c r="AA7987">
        <v>0</v>
      </c>
      <c r="AB7987" s="1">
        <v>42382</v>
      </c>
      <c r="AC7987" t="s">
        <v>53</v>
      </c>
      <c r="AD7987" t="s">
        <v>53</v>
      </c>
      <c r="AK7987">
        <v>0</v>
      </c>
      <c r="AU7987" s="6">
        <v>42132</v>
      </c>
      <c r="AV7987" s="6">
        <v>42132</v>
      </c>
      <c r="AW7987" t="s">
        <v>54</v>
      </c>
      <c r="AX7987" t="str">
        <f t="shared" si="648"/>
        <v>FOR</v>
      </c>
      <c r="AY7987" t="s">
        <v>55</v>
      </c>
    </row>
    <row r="7988" spans="1:51" hidden="1">
      <c r="A7988">
        <v>104492</v>
      </c>
      <c r="B7988" t="s">
        <v>1331</v>
      </c>
      <c r="C7988" t="str">
        <f t="shared" si="651"/>
        <v>05354730631</v>
      </c>
      <c r="D7988" t="str">
        <f t="shared" si="651"/>
        <v>05354730631</v>
      </c>
      <c r="E7988" t="s">
        <v>52</v>
      </c>
      <c r="F7988">
        <v>2014</v>
      </c>
      <c r="G7988">
        <v>1686</v>
      </c>
      <c r="H7988" s="1">
        <v>41789</v>
      </c>
      <c r="I7988" s="1">
        <v>41796</v>
      </c>
      <c r="J7988" s="1">
        <v>41796</v>
      </c>
      <c r="K7988" s="1">
        <v>41886</v>
      </c>
      <c r="N7988" s="5"/>
      <c r="O7988">
        <v>135.19999999999999</v>
      </c>
      <c r="P7988">
        <v>246</v>
      </c>
      <c r="Q7988" s="2">
        <v>33259.199999999997</v>
      </c>
      <c r="R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 s="1">
        <v>42382</v>
      </c>
      <c r="AC7988" t="s">
        <v>53</v>
      </c>
      <c r="AD7988" t="s">
        <v>53</v>
      </c>
      <c r="AK7988">
        <v>0</v>
      </c>
      <c r="AU7988" s="6">
        <v>42132</v>
      </c>
      <c r="AV7988" s="6">
        <v>42132</v>
      </c>
      <c r="AW7988" t="s">
        <v>54</v>
      </c>
      <c r="AX7988" t="str">
        <f t="shared" si="648"/>
        <v>FOR</v>
      </c>
      <c r="AY7988" t="s">
        <v>55</v>
      </c>
    </row>
    <row r="7989" spans="1:51" hidden="1">
      <c r="A7989">
        <v>104492</v>
      </c>
      <c r="B7989" t="s">
        <v>1331</v>
      </c>
      <c r="C7989" t="str">
        <f t="shared" si="651"/>
        <v>05354730631</v>
      </c>
      <c r="D7989" t="str">
        <f t="shared" si="651"/>
        <v>05354730631</v>
      </c>
      <c r="E7989" t="s">
        <v>52</v>
      </c>
      <c r="F7989">
        <v>2014</v>
      </c>
      <c r="G7989">
        <v>1687</v>
      </c>
      <c r="H7989" s="1">
        <v>41789</v>
      </c>
      <c r="I7989" s="1">
        <v>41796</v>
      </c>
      <c r="J7989" s="1">
        <v>41796</v>
      </c>
      <c r="K7989" s="1">
        <v>41886</v>
      </c>
      <c r="N7989" s="5"/>
      <c r="O7989">
        <v>135.19999999999999</v>
      </c>
      <c r="P7989">
        <v>246</v>
      </c>
      <c r="Q7989" s="2">
        <v>33259.199999999997</v>
      </c>
      <c r="R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 s="1">
        <v>42382</v>
      </c>
      <c r="AC7989" t="s">
        <v>53</v>
      </c>
      <c r="AD7989" t="s">
        <v>53</v>
      </c>
      <c r="AK7989">
        <v>0</v>
      </c>
      <c r="AU7989" s="6">
        <v>42132</v>
      </c>
      <c r="AV7989" s="6">
        <v>42132</v>
      </c>
      <c r="AW7989" t="s">
        <v>54</v>
      </c>
      <c r="AX7989" t="str">
        <f t="shared" si="648"/>
        <v>FOR</v>
      </c>
      <c r="AY7989" t="s">
        <v>55</v>
      </c>
    </row>
    <row r="7990" spans="1:51" hidden="1">
      <c r="A7990">
        <v>104492</v>
      </c>
      <c r="B7990" t="s">
        <v>1331</v>
      </c>
      <c r="C7990" t="str">
        <f t="shared" si="651"/>
        <v>05354730631</v>
      </c>
      <c r="D7990" t="str">
        <f t="shared" si="651"/>
        <v>05354730631</v>
      </c>
      <c r="E7990" t="s">
        <v>52</v>
      </c>
      <c r="F7990">
        <v>2014</v>
      </c>
      <c r="G7990">
        <v>1688</v>
      </c>
      <c r="H7990" s="1">
        <v>41789</v>
      </c>
      <c r="I7990" s="1">
        <v>41796</v>
      </c>
      <c r="J7990" s="1">
        <v>41796</v>
      </c>
      <c r="K7990" s="1">
        <v>41886</v>
      </c>
      <c r="N7990" s="5"/>
      <c r="O7990">
        <v>135.19999999999999</v>
      </c>
      <c r="P7990">
        <v>246</v>
      </c>
      <c r="Q7990" s="2">
        <v>33259.199999999997</v>
      </c>
      <c r="R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 s="1">
        <v>42382</v>
      </c>
      <c r="AC7990" t="s">
        <v>53</v>
      </c>
      <c r="AD7990" t="s">
        <v>53</v>
      </c>
      <c r="AK7990">
        <v>0</v>
      </c>
      <c r="AU7990" s="6">
        <v>42132</v>
      </c>
      <c r="AV7990" s="6">
        <v>42132</v>
      </c>
      <c r="AW7990" t="s">
        <v>54</v>
      </c>
      <c r="AX7990" t="str">
        <f t="shared" si="648"/>
        <v>FOR</v>
      </c>
      <c r="AY7990" t="s">
        <v>55</v>
      </c>
    </row>
    <row r="7991" spans="1:51" hidden="1">
      <c r="A7991">
        <v>104492</v>
      </c>
      <c r="B7991" t="s">
        <v>1331</v>
      </c>
      <c r="C7991" t="str">
        <f t="shared" si="651"/>
        <v>05354730631</v>
      </c>
      <c r="D7991" t="str">
        <f t="shared" si="651"/>
        <v>05354730631</v>
      </c>
      <c r="E7991" t="s">
        <v>52</v>
      </c>
      <c r="F7991">
        <v>2014</v>
      </c>
      <c r="G7991">
        <v>1689</v>
      </c>
      <c r="H7991" s="1">
        <v>41789</v>
      </c>
      <c r="I7991" s="1">
        <v>41796</v>
      </c>
      <c r="J7991" s="1">
        <v>41796</v>
      </c>
      <c r="K7991" s="1">
        <v>41886</v>
      </c>
      <c r="N7991" s="5"/>
      <c r="O7991">
        <v>135.19999999999999</v>
      </c>
      <c r="P7991">
        <v>246</v>
      </c>
      <c r="Q7991" s="2">
        <v>33259.199999999997</v>
      </c>
      <c r="R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 s="1">
        <v>42382</v>
      </c>
      <c r="AC7991" t="s">
        <v>53</v>
      </c>
      <c r="AD7991" t="s">
        <v>53</v>
      </c>
      <c r="AK7991">
        <v>0</v>
      </c>
      <c r="AU7991" s="6">
        <v>42132</v>
      </c>
      <c r="AV7991" s="6">
        <v>42132</v>
      </c>
      <c r="AW7991" t="s">
        <v>54</v>
      </c>
      <c r="AX7991" t="str">
        <f t="shared" si="648"/>
        <v>FOR</v>
      </c>
      <c r="AY7991" t="s">
        <v>55</v>
      </c>
    </row>
    <row r="7992" spans="1:51" hidden="1">
      <c r="A7992">
        <v>104492</v>
      </c>
      <c r="B7992" t="s">
        <v>1331</v>
      </c>
      <c r="C7992" t="str">
        <f t="shared" si="651"/>
        <v>05354730631</v>
      </c>
      <c r="D7992" t="str">
        <f t="shared" si="651"/>
        <v>05354730631</v>
      </c>
      <c r="E7992" t="s">
        <v>52</v>
      </c>
      <c r="F7992">
        <v>2014</v>
      </c>
      <c r="G7992">
        <v>1735</v>
      </c>
      <c r="H7992" s="1">
        <v>41790</v>
      </c>
      <c r="I7992" s="1">
        <v>41803</v>
      </c>
      <c r="J7992" s="1">
        <v>41803</v>
      </c>
      <c r="K7992" s="1">
        <v>41893</v>
      </c>
      <c r="N7992" s="5"/>
      <c r="O7992">
        <v>135.19999999999999</v>
      </c>
      <c r="P7992">
        <v>239</v>
      </c>
      <c r="Q7992" s="2">
        <v>32312.799999999999</v>
      </c>
      <c r="R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 s="1">
        <v>42382</v>
      </c>
      <c r="AC7992" t="s">
        <v>53</v>
      </c>
      <c r="AD7992" t="s">
        <v>53</v>
      </c>
      <c r="AK7992">
        <v>0</v>
      </c>
      <c r="AU7992" s="6">
        <v>42132</v>
      </c>
      <c r="AV7992" s="6">
        <v>42132</v>
      </c>
      <c r="AW7992" t="s">
        <v>54</v>
      </c>
      <c r="AX7992" t="str">
        <f t="shared" si="648"/>
        <v>FOR</v>
      </c>
      <c r="AY7992" t="s">
        <v>55</v>
      </c>
    </row>
    <row r="7993" spans="1:51" hidden="1">
      <c r="A7993">
        <v>104492</v>
      </c>
      <c r="B7993" t="s">
        <v>1331</v>
      </c>
      <c r="C7993" t="str">
        <f t="shared" si="651"/>
        <v>05354730631</v>
      </c>
      <c r="D7993" t="str">
        <f t="shared" si="651"/>
        <v>05354730631</v>
      </c>
      <c r="E7993" t="s">
        <v>52</v>
      </c>
      <c r="F7993">
        <v>2014</v>
      </c>
      <c r="G7993">
        <v>1736</v>
      </c>
      <c r="H7993" s="1">
        <v>41790</v>
      </c>
      <c r="I7993" s="1">
        <v>41803</v>
      </c>
      <c r="J7993" s="1">
        <v>41803</v>
      </c>
      <c r="K7993" s="1">
        <v>41893</v>
      </c>
      <c r="N7993" s="5"/>
      <c r="O7993">
        <v>104</v>
      </c>
      <c r="P7993">
        <v>239</v>
      </c>
      <c r="Q7993" s="2">
        <v>24856</v>
      </c>
      <c r="R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 s="1">
        <v>42382</v>
      </c>
      <c r="AC7993" t="s">
        <v>53</v>
      </c>
      <c r="AD7993" t="s">
        <v>53</v>
      </c>
      <c r="AK7993">
        <v>0</v>
      </c>
      <c r="AU7993" s="6">
        <v>42132</v>
      </c>
      <c r="AV7993" s="6">
        <v>42132</v>
      </c>
      <c r="AW7993" t="s">
        <v>54</v>
      </c>
      <c r="AX7993" t="str">
        <f t="shared" si="648"/>
        <v>FOR</v>
      </c>
      <c r="AY7993" t="s">
        <v>55</v>
      </c>
    </row>
    <row r="7994" spans="1:51" hidden="1">
      <c r="A7994">
        <v>104492</v>
      </c>
      <c r="B7994" t="s">
        <v>1331</v>
      </c>
      <c r="C7994" t="str">
        <f t="shared" si="651"/>
        <v>05354730631</v>
      </c>
      <c r="D7994" t="str">
        <f t="shared" si="651"/>
        <v>05354730631</v>
      </c>
      <c r="E7994" t="s">
        <v>52</v>
      </c>
      <c r="F7994">
        <v>2014</v>
      </c>
      <c r="G7994">
        <v>1737</v>
      </c>
      <c r="H7994" s="1">
        <v>41790</v>
      </c>
      <c r="I7994" s="1">
        <v>41803</v>
      </c>
      <c r="J7994" s="1">
        <v>41803</v>
      </c>
      <c r="K7994" s="1">
        <v>41893</v>
      </c>
      <c r="N7994" s="5"/>
      <c r="O7994">
        <v>135.19999999999999</v>
      </c>
      <c r="P7994">
        <v>239</v>
      </c>
      <c r="Q7994" s="2">
        <v>32312.799999999999</v>
      </c>
      <c r="R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 s="1">
        <v>42382</v>
      </c>
      <c r="AC7994" t="s">
        <v>53</v>
      </c>
      <c r="AD7994" t="s">
        <v>53</v>
      </c>
      <c r="AK7994">
        <v>0</v>
      </c>
      <c r="AU7994" s="6">
        <v>42132</v>
      </c>
      <c r="AV7994" s="6">
        <v>42132</v>
      </c>
      <c r="AW7994" t="s">
        <v>54</v>
      </c>
      <c r="AX7994" t="str">
        <f t="shared" si="648"/>
        <v>FOR</v>
      </c>
      <c r="AY7994" t="s">
        <v>55</v>
      </c>
    </row>
    <row r="7995" spans="1:51" hidden="1">
      <c r="A7995">
        <v>104492</v>
      </c>
      <c r="B7995" t="s">
        <v>1331</v>
      </c>
      <c r="C7995" t="str">
        <f t="shared" si="651"/>
        <v>05354730631</v>
      </c>
      <c r="D7995" t="str">
        <f t="shared" si="651"/>
        <v>05354730631</v>
      </c>
      <c r="E7995" t="s">
        <v>52</v>
      </c>
      <c r="F7995">
        <v>2014</v>
      </c>
      <c r="G7995">
        <v>1738</v>
      </c>
      <c r="H7995" s="1">
        <v>41790</v>
      </c>
      <c r="I7995" s="1">
        <v>41803</v>
      </c>
      <c r="J7995" s="1">
        <v>41803</v>
      </c>
      <c r="K7995" s="1">
        <v>41893</v>
      </c>
      <c r="N7995" s="5"/>
      <c r="O7995">
        <v>135.19999999999999</v>
      </c>
      <c r="P7995">
        <v>239</v>
      </c>
      <c r="Q7995" s="2">
        <v>32312.799999999999</v>
      </c>
      <c r="R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 s="1">
        <v>42382</v>
      </c>
      <c r="AC7995" t="s">
        <v>53</v>
      </c>
      <c r="AD7995" t="s">
        <v>53</v>
      </c>
      <c r="AK7995">
        <v>0</v>
      </c>
      <c r="AU7995" s="6">
        <v>42132</v>
      </c>
      <c r="AV7995" s="6">
        <v>42132</v>
      </c>
      <c r="AW7995" t="s">
        <v>54</v>
      </c>
      <c r="AX7995" t="str">
        <f t="shared" si="648"/>
        <v>FOR</v>
      </c>
      <c r="AY7995" t="s">
        <v>55</v>
      </c>
    </row>
    <row r="7996" spans="1:51" hidden="1">
      <c r="A7996">
        <v>104492</v>
      </c>
      <c r="B7996" t="s">
        <v>1331</v>
      </c>
      <c r="C7996" t="str">
        <f t="shared" si="651"/>
        <v>05354730631</v>
      </c>
      <c r="D7996" t="str">
        <f t="shared" si="651"/>
        <v>05354730631</v>
      </c>
      <c r="E7996" t="s">
        <v>52</v>
      </c>
      <c r="F7996">
        <v>2014</v>
      </c>
      <c r="G7996">
        <v>1739</v>
      </c>
      <c r="H7996" s="1">
        <v>41790</v>
      </c>
      <c r="I7996" s="1">
        <v>41803</v>
      </c>
      <c r="J7996" s="1">
        <v>41803</v>
      </c>
      <c r="K7996" s="1">
        <v>41893</v>
      </c>
      <c r="N7996" s="5"/>
      <c r="O7996">
        <v>135.19999999999999</v>
      </c>
      <c r="P7996">
        <v>239</v>
      </c>
      <c r="Q7996" s="2">
        <v>32312.799999999999</v>
      </c>
      <c r="R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 s="1">
        <v>42382</v>
      </c>
      <c r="AC7996" t="s">
        <v>53</v>
      </c>
      <c r="AD7996" t="s">
        <v>53</v>
      </c>
      <c r="AK7996">
        <v>0</v>
      </c>
      <c r="AU7996" s="6">
        <v>42132</v>
      </c>
      <c r="AV7996" s="6">
        <v>42132</v>
      </c>
      <c r="AW7996" t="s">
        <v>54</v>
      </c>
      <c r="AX7996" t="str">
        <f t="shared" si="648"/>
        <v>FOR</v>
      </c>
      <c r="AY7996" t="s">
        <v>55</v>
      </c>
    </row>
    <row r="7997" spans="1:51" hidden="1">
      <c r="A7997">
        <v>104492</v>
      </c>
      <c r="B7997" t="s">
        <v>1331</v>
      </c>
      <c r="C7997" t="str">
        <f t="shared" si="651"/>
        <v>05354730631</v>
      </c>
      <c r="D7997" t="str">
        <f t="shared" si="651"/>
        <v>05354730631</v>
      </c>
      <c r="E7997" t="s">
        <v>52</v>
      </c>
      <c r="F7997">
        <v>2014</v>
      </c>
      <c r="G7997">
        <v>1740</v>
      </c>
      <c r="H7997" s="1">
        <v>41790</v>
      </c>
      <c r="I7997" s="1">
        <v>41803</v>
      </c>
      <c r="J7997" s="1">
        <v>41803</v>
      </c>
      <c r="K7997" s="1">
        <v>41893</v>
      </c>
      <c r="N7997" s="5"/>
      <c r="O7997">
        <v>135.19999999999999</v>
      </c>
      <c r="P7997">
        <v>239</v>
      </c>
      <c r="Q7997" s="2">
        <v>32312.799999999999</v>
      </c>
      <c r="R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 s="1">
        <v>42382</v>
      </c>
      <c r="AC7997" t="s">
        <v>53</v>
      </c>
      <c r="AD7997" t="s">
        <v>53</v>
      </c>
      <c r="AK7997">
        <v>0</v>
      </c>
      <c r="AU7997" s="6">
        <v>42132</v>
      </c>
      <c r="AV7997" s="6">
        <v>42132</v>
      </c>
      <c r="AW7997" t="s">
        <v>54</v>
      </c>
      <c r="AX7997" t="str">
        <f t="shared" si="648"/>
        <v>FOR</v>
      </c>
      <c r="AY7997" t="s">
        <v>55</v>
      </c>
    </row>
    <row r="7998" spans="1:51" hidden="1">
      <c r="A7998">
        <v>104492</v>
      </c>
      <c r="B7998" t="s">
        <v>1331</v>
      </c>
      <c r="C7998" t="str">
        <f t="shared" si="651"/>
        <v>05354730631</v>
      </c>
      <c r="D7998" t="str">
        <f t="shared" si="651"/>
        <v>05354730631</v>
      </c>
      <c r="E7998" t="s">
        <v>52</v>
      </c>
      <c r="F7998">
        <v>2014</v>
      </c>
      <c r="G7998">
        <v>1741</v>
      </c>
      <c r="H7998" s="1">
        <v>41790</v>
      </c>
      <c r="I7998" s="1">
        <v>41803</v>
      </c>
      <c r="J7998" s="1">
        <v>41803</v>
      </c>
      <c r="K7998" s="1">
        <v>41893</v>
      </c>
      <c r="N7998" s="5"/>
      <c r="O7998">
        <v>135.19999999999999</v>
      </c>
      <c r="P7998">
        <v>239</v>
      </c>
      <c r="Q7998" s="2">
        <v>32312.799999999999</v>
      </c>
      <c r="R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 s="1">
        <v>42382</v>
      </c>
      <c r="AC7998" t="s">
        <v>53</v>
      </c>
      <c r="AD7998" t="s">
        <v>53</v>
      </c>
      <c r="AK7998">
        <v>0</v>
      </c>
      <c r="AU7998" s="6">
        <v>42132</v>
      </c>
      <c r="AV7998" s="6">
        <v>42132</v>
      </c>
      <c r="AW7998" t="s">
        <v>54</v>
      </c>
      <c r="AX7998" t="str">
        <f t="shared" si="648"/>
        <v>FOR</v>
      </c>
      <c r="AY7998" t="s">
        <v>55</v>
      </c>
    </row>
    <row r="7999" spans="1:51" hidden="1">
      <c r="A7999">
        <v>104492</v>
      </c>
      <c r="B7999" t="s">
        <v>1331</v>
      </c>
      <c r="C7999" t="str">
        <f t="shared" si="651"/>
        <v>05354730631</v>
      </c>
      <c r="D7999" t="str">
        <f t="shared" si="651"/>
        <v>05354730631</v>
      </c>
      <c r="E7999" t="s">
        <v>52</v>
      </c>
      <c r="F7999">
        <v>2014</v>
      </c>
      <c r="G7999">
        <v>1764</v>
      </c>
      <c r="H7999" s="1">
        <v>41796</v>
      </c>
      <c r="I7999" s="1">
        <v>41807</v>
      </c>
      <c r="J7999" s="1">
        <v>41807</v>
      </c>
      <c r="K7999" s="1">
        <v>41897</v>
      </c>
      <c r="N7999" s="5"/>
      <c r="O7999">
        <v>366.71</v>
      </c>
      <c r="P7999">
        <v>261</v>
      </c>
      <c r="Q7999" s="2">
        <v>95711.31</v>
      </c>
      <c r="R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 s="1">
        <v>42382</v>
      </c>
      <c r="AC7999" t="s">
        <v>53</v>
      </c>
      <c r="AD7999" t="s">
        <v>53</v>
      </c>
      <c r="AK7999">
        <v>0</v>
      </c>
      <c r="AU7999" s="6">
        <v>42158</v>
      </c>
      <c r="AV7999" s="6">
        <v>42158</v>
      </c>
      <c r="AW7999" t="s">
        <v>54</v>
      </c>
      <c r="AX7999" t="str">
        <f t="shared" si="648"/>
        <v>FOR</v>
      </c>
      <c r="AY7999" t="s">
        <v>55</v>
      </c>
    </row>
    <row r="8000" spans="1:51" hidden="1">
      <c r="A8000">
        <v>104492</v>
      </c>
      <c r="B8000" t="s">
        <v>1331</v>
      </c>
      <c r="C8000" t="str">
        <f t="shared" si="651"/>
        <v>05354730631</v>
      </c>
      <c r="D8000" t="str">
        <f t="shared" si="651"/>
        <v>05354730631</v>
      </c>
      <c r="E8000" t="s">
        <v>52</v>
      </c>
      <c r="F8000">
        <v>2014</v>
      </c>
      <c r="G8000">
        <v>1765</v>
      </c>
      <c r="H8000" s="1">
        <v>41796</v>
      </c>
      <c r="I8000" s="1">
        <v>41807</v>
      </c>
      <c r="J8000" s="1">
        <v>41807</v>
      </c>
      <c r="K8000" s="1">
        <v>41897</v>
      </c>
      <c r="N8000" s="5"/>
      <c r="O8000" s="2">
        <v>2025.2</v>
      </c>
      <c r="P8000">
        <v>261</v>
      </c>
      <c r="Q8000" s="2">
        <v>528577.19999999995</v>
      </c>
      <c r="R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 s="1">
        <v>42382</v>
      </c>
      <c r="AC8000" t="s">
        <v>53</v>
      </c>
      <c r="AD8000" t="s">
        <v>53</v>
      </c>
      <c r="AK8000">
        <v>0</v>
      </c>
      <c r="AU8000" s="6">
        <v>42158</v>
      </c>
      <c r="AV8000" s="6">
        <v>42158</v>
      </c>
      <c r="AW8000" t="s">
        <v>54</v>
      </c>
      <c r="AX8000" t="str">
        <f t="shared" si="648"/>
        <v>FOR</v>
      </c>
      <c r="AY8000" t="s">
        <v>55</v>
      </c>
    </row>
    <row r="8001" spans="1:51" hidden="1">
      <c r="A8001">
        <v>104492</v>
      </c>
      <c r="B8001" t="s">
        <v>1331</v>
      </c>
      <c r="C8001" t="str">
        <f t="shared" si="651"/>
        <v>05354730631</v>
      </c>
      <c r="D8001" t="str">
        <f t="shared" si="651"/>
        <v>05354730631</v>
      </c>
      <c r="E8001" t="s">
        <v>52</v>
      </c>
      <c r="F8001">
        <v>2014</v>
      </c>
      <c r="G8001">
        <v>1806</v>
      </c>
      <c r="H8001" s="1">
        <v>41800</v>
      </c>
      <c r="I8001" s="1">
        <v>41803</v>
      </c>
      <c r="J8001" s="1">
        <v>41803</v>
      </c>
      <c r="K8001" s="1">
        <v>41893</v>
      </c>
      <c r="N8001" s="5"/>
      <c r="O8001">
        <v>135.19999999999999</v>
      </c>
      <c r="P8001">
        <v>265</v>
      </c>
      <c r="Q8001" s="2">
        <v>35828</v>
      </c>
      <c r="R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 s="1">
        <v>42382</v>
      </c>
      <c r="AC8001" t="s">
        <v>53</v>
      </c>
      <c r="AD8001" t="s">
        <v>53</v>
      </c>
      <c r="AK8001">
        <v>0</v>
      </c>
      <c r="AU8001" s="6">
        <v>42158</v>
      </c>
      <c r="AV8001" s="6">
        <v>42158</v>
      </c>
      <c r="AW8001" t="s">
        <v>54</v>
      </c>
      <c r="AX8001" t="str">
        <f t="shared" si="648"/>
        <v>FOR</v>
      </c>
      <c r="AY8001" t="s">
        <v>55</v>
      </c>
    </row>
    <row r="8002" spans="1:51" hidden="1">
      <c r="A8002">
        <v>104492</v>
      </c>
      <c r="B8002" t="s">
        <v>1331</v>
      </c>
      <c r="C8002" t="str">
        <f t="shared" si="651"/>
        <v>05354730631</v>
      </c>
      <c r="D8002" t="str">
        <f t="shared" si="651"/>
        <v>05354730631</v>
      </c>
      <c r="E8002" t="s">
        <v>52</v>
      </c>
      <c r="F8002">
        <v>2014</v>
      </c>
      <c r="G8002">
        <v>1807</v>
      </c>
      <c r="H8002" s="1">
        <v>41800</v>
      </c>
      <c r="I8002" s="1">
        <v>41803</v>
      </c>
      <c r="J8002" s="1">
        <v>41803</v>
      </c>
      <c r="K8002" s="1">
        <v>41893</v>
      </c>
      <c r="N8002" s="5"/>
      <c r="O8002">
        <v>135.19999999999999</v>
      </c>
      <c r="P8002">
        <v>265</v>
      </c>
      <c r="Q8002" s="2">
        <v>35828</v>
      </c>
      <c r="R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 s="1">
        <v>42382</v>
      </c>
      <c r="AC8002" t="s">
        <v>53</v>
      </c>
      <c r="AD8002" t="s">
        <v>53</v>
      </c>
      <c r="AK8002">
        <v>0</v>
      </c>
      <c r="AU8002" s="6">
        <v>42158</v>
      </c>
      <c r="AV8002" s="6">
        <v>42158</v>
      </c>
      <c r="AW8002" t="s">
        <v>54</v>
      </c>
      <c r="AX8002" t="str">
        <f t="shared" si="648"/>
        <v>FOR</v>
      </c>
      <c r="AY8002" t="s">
        <v>55</v>
      </c>
    </row>
    <row r="8003" spans="1:51" hidden="1">
      <c r="A8003">
        <v>104492</v>
      </c>
      <c r="B8003" t="s">
        <v>1331</v>
      </c>
      <c r="C8003" t="str">
        <f t="shared" si="651"/>
        <v>05354730631</v>
      </c>
      <c r="D8003" t="str">
        <f t="shared" si="651"/>
        <v>05354730631</v>
      </c>
      <c r="E8003" t="s">
        <v>52</v>
      </c>
      <c r="F8003">
        <v>2014</v>
      </c>
      <c r="G8003">
        <v>1808</v>
      </c>
      <c r="H8003" s="1">
        <v>41800</v>
      </c>
      <c r="I8003" s="1">
        <v>41803</v>
      </c>
      <c r="J8003" s="1">
        <v>41803</v>
      </c>
      <c r="K8003" s="1">
        <v>41893</v>
      </c>
      <c r="N8003" s="5"/>
      <c r="O8003">
        <v>135.19999999999999</v>
      </c>
      <c r="P8003">
        <v>265</v>
      </c>
      <c r="Q8003" s="2">
        <v>35828</v>
      </c>
      <c r="R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 s="1">
        <v>42382</v>
      </c>
      <c r="AC8003" t="s">
        <v>53</v>
      </c>
      <c r="AD8003" t="s">
        <v>53</v>
      </c>
      <c r="AK8003">
        <v>0</v>
      </c>
      <c r="AU8003" s="6">
        <v>42158</v>
      </c>
      <c r="AV8003" s="6">
        <v>42158</v>
      </c>
      <c r="AW8003" t="s">
        <v>54</v>
      </c>
      <c r="AX8003" t="str">
        <f t="shared" ref="AX8003:AX8066" si="652">"FOR"</f>
        <v>FOR</v>
      </c>
      <c r="AY8003" t="s">
        <v>55</v>
      </c>
    </row>
    <row r="8004" spans="1:51" hidden="1">
      <c r="A8004">
        <v>104492</v>
      </c>
      <c r="B8004" t="s">
        <v>1331</v>
      </c>
      <c r="C8004" t="str">
        <f t="shared" si="651"/>
        <v>05354730631</v>
      </c>
      <c r="D8004" t="str">
        <f t="shared" si="651"/>
        <v>05354730631</v>
      </c>
      <c r="E8004" t="s">
        <v>52</v>
      </c>
      <c r="F8004">
        <v>2014</v>
      </c>
      <c r="G8004">
        <v>1809</v>
      </c>
      <c r="H8004" s="1">
        <v>41800</v>
      </c>
      <c r="I8004" s="1">
        <v>41803</v>
      </c>
      <c r="J8004" s="1">
        <v>41803</v>
      </c>
      <c r="K8004" s="1">
        <v>41893</v>
      </c>
      <c r="N8004" s="5"/>
      <c r="O8004">
        <v>104</v>
      </c>
      <c r="P8004">
        <v>265</v>
      </c>
      <c r="Q8004" s="2">
        <v>27560</v>
      </c>
      <c r="R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 s="1">
        <v>42382</v>
      </c>
      <c r="AC8004" t="s">
        <v>53</v>
      </c>
      <c r="AD8004" t="s">
        <v>53</v>
      </c>
      <c r="AK8004">
        <v>0</v>
      </c>
      <c r="AU8004" s="6">
        <v>42158</v>
      </c>
      <c r="AV8004" s="6">
        <v>42158</v>
      </c>
      <c r="AW8004" t="s">
        <v>54</v>
      </c>
      <c r="AX8004" t="str">
        <f t="shared" si="652"/>
        <v>FOR</v>
      </c>
      <c r="AY8004" t="s">
        <v>55</v>
      </c>
    </row>
    <row r="8005" spans="1:51" hidden="1">
      <c r="A8005">
        <v>104492</v>
      </c>
      <c r="B8005" t="s">
        <v>1331</v>
      </c>
      <c r="C8005" t="str">
        <f t="shared" ref="C8005:D8024" si="653">"05354730631"</f>
        <v>05354730631</v>
      </c>
      <c r="D8005" t="str">
        <f t="shared" si="653"/>
        <v>05354730631</v>
      </c>
      <c r="E8005" t="s">
        <v>52</v>
      </c>
      <c r="F8005">
        <v>2014</v>
      </c>
      <c r="G8005">
        <v>1838</v>
      </c>
      <c r="H8005" s="1">
        <v>41802</v>
      </c>
      <c r="I8005" s="1">
        <v>41814</v>
      </c>
      <c r="J8005" s="1">
        <v>41814</v>
      </c>
      <c r="K8005" s="1">
        <v>41904</v>
      </c>
      <c r="N8005" s="5"/>
      <c r="O8005" s="2">
        <v>5673</v>
      </c>
      <c r="P8005">
        <v>228</v>
      </c>
      <c r="Q8005" s="2">
        <v>1293444</v>
      </c>
      <c r="R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 s="1">
        <v>42382</v>
      </c>
      <c r="AC8005" t="s">
        <v>53</v>
      </c>
      <c r="AD8005" t="s">
        <v>53</v>
      </c>
      <c r="AK8005">
        <v>0</v>
      </c>
      <c r="AU8005" s="6">
        <v>42132</v>
      </c>
      <c r="AV8005" s="6">
        <v>42132</v>
      </c>
      <c r="AW8005" t="s">
        <v>54</v>
      </c>
      <c r="AX8005" t="str">
        <f t="shared" si="652"/>
        <v>FOR</v>
      </c>
      <c r="AY8005" t="s">
        <v>55</v>
      </c>
    </row>
    <row r="8006" spans="1:51" hidden="1">
      <c r="A8006">
        <v>104492</v>
      </c>
      <c r="B8006" t="s">
        <v>1331</v>
      </c>
      <c r="C8006" t="str">
        <f t="shared" si="653"/>
        <v>05354730631</v>
      </c>
      <c r="D8006" t="str">
        <f t="shared" si="653"/>
        <v>05354730631</v>
      </c>
      <c r="E8006" t="s">
        <v>52</v>
      </c>
      <c r="F8006">
        <v>2014</v>
      </c>
      <c r="G8006">
        <v>1921</v>
      </c>
      <c r="H8006" s="1">
        <v>41809</v>
      </c>
      <c r="I8006" s="1">
        <v>41829</v>
      </c>
      <c r="J8006" s="1">
        <v>41829</v>
      </c>
      <c r="K8006" s="1">
        <v>41919</v>
      </c>
      <c r="N8006" s="5"/>
      <c r="O8006">
        <v>135.19999999999999</v>
      </c>
      <c r="P8006">
        <v>239</v>
      </c>
      <c r="Q8006" s="2">
        <v>32312.799999999999</v>
      </c>
      <c r="R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 s="1">
        <v>42382</v>
      </c>
      <c r="AC8006" t="s">
        <v>53</v>
      </c>
      <c r="AD8006" t="s">
        <v>53</v>
      </c>
      <c r="AK8006">
        <v>0</v>
      </c>
      <c r="AU8006" s="6">
        <v>42158</v>
      </c>
      <c r="AV8006" s="6">
        <v>42158</v>
      </c>
      <c r="AW8006" t="s">
        <v>54</v>
      </c>
      <c r="AX8006" t="str">
        <f t="shared" si="652"/>
        <v>FOR</v>
      </c>
      <c r="AY8006" t="s">
        <v>55</v>
      </c>
    </row>
    <row r="8007" spans="1:51" hidden="1">
      <c r="A8007">
        <v>104492</v>
      </c>
      <c r="B8007" t="s">
        <v>1331</v>
      </c>
      <c r="C8007" t="str">
        <f t="shared" si="653"/>
        <v>05354730631</v>
      </c>
      <c r="D8007" t="str">
        <f t="shared" si="653"/>
        <v>05354730631</v>
      </c>
      <c r="E8007" t="s">
        <v>52</v>
      </c>
      <c r="F8007">
        <v>2014</v>
      </c>
      <c r="G8007">
        <v>1922</v>
      </c>
      <c r="H8007" s="1">
        <v>41809</v>
      </c>
      <c r="I8007" s="1">
        <v>41829</v>
      </c>
      <c r="J8007" s="1">
        <v>41829</v>
      </c>
      <c r="K8007" s="1">
        <v>41919</v>
      </c>
      <c r="N8007" s="5"/>
      <c r="O8007">
        <v>135.19999999999999</v>
      </c>
      <c r="P8007">
        <v>239</v>
      </c>
      <c r="Q8007" s="2">
        <v>32312.799999999999</v>
      </c>
      <c r="R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 s="1">
        <v>42382</v>
      </c>
      <c r="AC8007" t="s">
        <v>53</v>
      </c>
      <c r="AD8007" t="s">
        <v>53</v>
      </c>
      <c r="AK8007">
        <v>0</v>
      </c>
      <c r="AU8007" s="6">
        <v>42158</v>
      </c>
      <c r="AV8007" s="6">
        <v>42158</v>
      </c>
      <c r="AW8007" t="s">
        <v>54</v>
      </c>
      <c r="AX8007" t="str">
        <f t="shared" si="652"/>
        <v>FOR</v>
      </c>
      <c r="AY8007" t="s">
        <v>55</v>
      </c>
    </row>
    <row r="8008" spans="1:51" hidden="1">
      <c r="A8008">
        <v>104492</v>
      </c>
      <c r="B8008" t="s">
        <v>1331</v>
      </c>
      <c r="C8008" t="str">
        <f t="shared" si="653"/>
        <v>05354730631</v>
      </c>
      <c r="D8008" t="str">
        <f t="shared" si="653"/>
        <v>05354730631</v>
      </c>
      <c r="E8008" t="s">
        <v>52</v>
      </c>
      <c r="F8008">
        <v>2014</v>
      </c>
      <c r="G8008">
        <v>1923</v>
      </c>
      <c r="H8008" s="1">
        <v>41809</v>
      </c>
      <c r="I8008" s="1">
        <v>41829</v>
      </c>
      <c r="J8008" s="1">
        <v>41829</v>
      </c>
      <c r="K8008" s="1">
        <v>41919</v>
      </c>
      <c r="N8008" s="5"/>
      <c r="O8008">
        <v>135.19999999999999</v>
      </c>
      <c r="P8008">
        <v>239</v>
      </c>
      <c r="Q8008" s="2">
        <v>32312.799999999999</v>
      </c>
      <c r="R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 s="1">
        <v>42382</v>
      </c>
      <c r="AC8008" t="s">
        <v>53</v>
      </c>
      <c r="AD8008" t="s">
        <v>53</v>
      </c>
      <c r="AK8008">
        <v>0</v>
      </c>
      <c r="AU8008" s="6">
        <v>42158</v>
      </c>
      <c r="AV8008" s="6">
        <v>42158</v>
      </c>
      <c r="AW8008" t="s">
        <v>54</v>
      </c>
      <c r="AX8008" t="str">
        <f t="shared" si="652"/>
        <v>FOR</v>
      </c>
      <c r="AY8008" t="s">
        <v>55</v>
      </c>
    </row>
    <row r="8009" spans="1:51" hidden="1">
      <c r="A8009">
        <v>104492</v>
      </c>
      <c r="B8009" t="s">
        <v>1331</v>
      </c>
      <c r="C8009" t="str">
        <f t="shared" si="653"/>
        <v>05354730631</v>
      </c>
      <c r="D8009" t="str">
        <f t="shared" si="653"/>
        <v>05354730631</v>
      </c>
      <c r="E8009" t="s">
        <v>52</v>
      </c>
      <c r="F8009">
        <v>2014</v>
      </c>
      <c r="G8009">
        <v>2147</v>
      </c>
      <c r="H8009" s="1">
        <v>41827</v>
      </c>
      <c r="I8009" s="1">
        <v>41834</v>
      </c>
      <c r="J8009" s="1">
        <v>41834</v>
      </c>
      <c r="K8009" s="1">
        <v>41924</v>
      </c>
      <c r="N8009" s="5"/>
      <c r="O8009">
        <v>135.19999999999999</v>
      </c>
      <c r="P8009">
        <v>264</v>
      </c>
      <c r="Q8009" s="2">
        <v>35692.800000000003</v>
      </c>
      <c r="R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 s="1">
        <v>42382</v>
      </c>
      <c r="AC8009" t="s">
        <v>53</v>
      </c>
      <c r="AD8009" t="s">
        <v>53</v>
      </c>
      <c r="AK8009">
        <v>0</v>
      </c>
      <c r="AU8009" s="6">
        <v>42188</v>
      </c>
      <c r="AV8009" s="6">
        <v>42188</v>
      </c>
      <c r="AW8009" t="s">
        <v>54</v>
      </c>
      <c r="AX8009" t="str">
        <f t="shared" si="652"/>
        <v>FOR</v>
      </c>
      <c r="AY8009" t="s">
        <v>55</v>
      </c>
    </row>
    <row r="8010" spans="1:51" hidden="1">
      <c r="A8010">
        <v>104492</v>
      </c>
      <c r="B8010" t="s">
        <v>1331</v>
      </c>
      <c r="C8010" t="str">
        <f t="shared" si="653"/>
        <v>05354730631</v>
      </c>
      <c r="D8010" t="str">
        <f t="shared" si="653"/>
        <v>05354730631</v>
      </c>
      <c r="E8010" t="s">
        <v>52</v>
      </c>
      <c r="F8010">
        <v>2014</v>
      </c>
      <c r="G8010">
        <v>2148</v>
      </c>
      <c r="H8010" s="1">
        <v>41827</v>
      </c>
      <c r="I8010" s="1">
        <v>41834</v>
      </c>
      <c r="J8010" s="1">
        <v>41834</v>
      </c>
      <c r="K8010" s="1">
        <v>41924</v>
      </c>
      <c r="N8010" s="5"/>
      <c r="O8010">
        <v>135.19999999999999</v>
      </c>
      <c r="P8010">
        <v>264</v>
      </c>
      <c r="Q8010" s="2">
        <v>35692.800000000003</v>
      </c>
      <c r="R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 s="1">
        <v>42382</v>
      </c>
      <c r="AC8010" t="s">
        <v>53</v>
      </c>
      <c r="AD8010" t="s">
        <v>53</v>
      </c>
      <c r="AK8010">
        <v>0</v>
      </c>
      <c r="AU8010" s="6">
        <v>42188</v>
      </c>
      <c r="AV8010" s="6">
        <v>42188</v>
      </c>
      <c r="AW8010" t="s">
        <v>54</v>
      </c>
      <c r="AX8010" t="str">
        <f t="shared" si="652"/>
        <v>FOR</v>
      </c>
      <c r="AY8010" t="s">
        <v>55</v>
      </c>
    </row>
    <row r="8011" spans="1:51" hidden="1">
      <c r="A8011">
        <v>104492</v>
      </c>
      <c r="B8011" t="s">
        <v>1331</v>
      </c>
      <c r="C8011" t="str">
        <f t="shared" si="653"/>
        <v>05354730631</v>
      </c>
      <c r="D8011" t="str">
        <f t="shared" si="653"/>
        <v>05354730631</v>
      </c>
      <c r="E8011" t="s">
        <v>52</v>
      </c>
      <c r="F8011">
        <v>2014</v>
      </c>
      <c r="G8011">
        <v>2197</v>
      </c>
      <c r="H8011" s="1">
        <v>41830</v>
      </c>
      <c r="I8011" s="1">
        <v>41841</v>
      </c>
      <c r="J8011" s="1">
        <v>41841</v>
      </c>
      <c r="K8011" s="1">
        <v>41931</v>
      </c>
      <c r="N8011" s="5"/>
      <c r="O8011">
        <v>135.19999999999999</v>
      </c>
      <c r="P8011">
        <v>257</v>
      </c>
      <c r="Q8011" s="2">
        <v>34746.400000000001</v>
      </c>
      <c r="R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 s="1">
        <v>42382</v>
      </c>
      <c r="AC8011" t="s">
        <v>53</v>
      </c>
      <c r="AD8011" t="s">
        <v>53</v>
      </c>
      <c r="AK8011">
        <v>0</v>
      </c>
      <c r="AU8011" s="6">
        <v>42188</v>
      </c>
      <c r="AV8011" s="6">
        <v>42188</v>
      </c>
      <c r="AW8011" t="s">
        <v>54</v>
      </c>
      <c r="AX8011" t="str">
        <f t="shared" si="652"/>
        <v>FOR</v>
      </c>
      <c r="AY8011" t="s">
        <v>55</v>
      </c>
    </row>
    <row r="8012" spans="1:51" hidden="1">
      <c r="A8012">
        <v>104492</v>
      </c>
      <c r="B8012" t="s">
        <v>1331</v>
      </c>
      <c r="C8012" t="str">
        <f t="shared" si="653"/>
        <v>05354730631</v>
      </c>
      <c r="D8012" t="str">
        <f t="shared" si="653"/>
        <v>05354730631</v>
      </c>
      <c r="E8012" t="s">
        <v>52</v>
      </c>
      <c r="F8012">
        <v>2014</v>
      </c>
      <c r="G8012">
        <v>2198</v>
      </c>
      <c r="H8012" s="1">
        <v>41830</v>
      </c>
      <c r="I8012" s="1">
        <v>41841</v>
      </c>
      <c r="J8012" s="1">
        <v>41841</v>
      </c>
      <c r="K8012" s="1">
        <v>41931</v>
      </c>
      <c r="N8012" s="5"/>
      <c r="O8012">
        <v>135.19999999999999</v>
      </c>
      <c r="P8012">
        <v>257</v>
      </c>
      <c r="Q8012" s="2">
        <v>34746.400000000001</v>
      </c>
      <c r="R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 s="1">
        <v>42382</v>
      </c>
      <c r="AC8012" t="s">
        <v>53</v>
      </c>
      <c r="AD8012" t="s">
        <v>53</v>
      </c>
      <c r="AK8012">
        <v>0</v>
      </c>
      <c r="AU8012" s="6">
        <v>42188</v>
      </c>
      <c r="AV8012" s="6">
        <v>42188</v>
      </c>
      <c r="AW8012" t="s">
        <v>54</v>
      </c>
      <c r="AX8012" t="str">
        <f t="shared" si="652"/>
        <v>FOR</v>
      </c>
      <c r="AY8012" t="s">
        <v>55</v>
      </c>
    </row>
    <row r="8013" spans="1:51" hidden="1">
      <c r="A8013">
        <v>104492</v>
      </c>
      <c r="B8013" t="s">
        <v>1331</v>
      </c>
      <c r="C8013" t="str">
        <f t="shared" si="653"/>
        <v>05354730631</v>
      </c>
      <c r="D8013" t="str">
        <f t="shared" si="653"/>
        <v>05354730631</v>
      </c>
      <c r="E8013" t="s">
        <v>52</v>
      </c>
      <c r="F8013">
        <v>2014</v>
      </c>
      <c r="G8013">
        <v>2199</v>
      </c>
      <c r="H8013" s="1">
        <v>41830</v>
      </c>
      <c r="I8013" s="1">
        <v>41841</v>
      </c>
      <c r="J8013" s="1">
        <v>41841</v>
      </c>
      <c r="K8013" s="1">
        <v>41931</v>
      </c>
      <c r="N8013" s="5"/>
      <c r="O8013">
        <v>104</v>
      </c>
      <c r="P8013">
        <v>257</v>
      </c>
      <c r="Q8013" s="2">
        <v>26728</v>
      </c>
      <c r="R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 s="1">
        <v>42382</v>
      </c>
      <c r="AC8013" t="s">
        <v>53</v>
      </c>
      <c r="AD8013" t="s">
        <v>53</v>
      </c>
      <c r="AK8013">
        <v>0</v>
      </c>
      <c r="AU8013" s="6">
        <v>42188</v>
      </c>
      <c r="AV8013" s="6">
        <v>42188</v>
      </c>
      <c r="AW8013" t="s">
        <v>54</v>
      </c>
      <c r="AX8013" t="str">
        <f t="shared" si="652"/>
        <v>FOR</v>
      </c>
      <c r="AY8013" t="s">
        <v>55</v>
      </c>
    </row>
    <row r="8014" spans="1:51" hidden="1">
      <c r="A8014">
        <v>104492</v>
      </c>
      <c r="B8014" t="s">
        <v>1331</v>
      </c>
      <c r="C8014" t="str">
        <f t="shared" si="653"/>
        <v>05354730631</v>
      </c>
      <c r="D8014" t="str">
        <f t="shared" si="653"/>
        <v>05354730631</v>
      </c>
      <c r="E8014" t="s">
        <v>52</v>
      </c>
      <c r="F8014">
        <v>2014</v>
      </c>
      <c r="G8014">
        <v>2200</v>
      </c>
      <c r="H8014" s="1">
        <v>41830</v>
      </c>
      <c r="I8014" s="1">
        <v>41841</v>
      </c>
      <c r="J8014" s="1">
        <v>41841</v>
      </c>
      <c r="K8014" s="1">
        <v>41931</v>
      </c>
      <c r="N8014" s="5"/>
      <c r="O8014">
        <v>104</v>
      </c>
      <c r="P8014">
        <v>257</v>
      </c>
      <c r="Q8014" s="2">
        <v>26728</v>
      </c>
      <c r="R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 s="1">
        <v>42382</v>
      </c>
      <c r="AC8014" t="s">
        <v>53</v>
      </c>
      <c r="AD8014" t="s">
        <v>53</v>
      </c>
      <c r="AK8014">
        <v>0</v>
      </c>
      <c r="AU8014" s="6">
        <v>42188</v>
      </c>
      <c r="AV8014" s="6">
        <v>42188</v>
      </c>
      <c r="AW8014" t="s">
        <v>54</v>
      </c>
      <c r="AX8014" t="str">
        <f t="shared" si="652"/>
        <v>FOR</v>
      </c>
      <c r="AY8014" t="s">
        <v>55</v>
      </c>
    </row>
    <row r="8015" spans="1:51" hidden="1">
      <c r="A8015">
        <v>104492</v>
      </c>
      <c r="B8015" t="s">
        <v>1331</v>
      </c>
      <c r="C8015" t="str">
        <f t="shared" si="653"/>
        <v>05354730631</v>
      </c>
      <c r="D8015" t="str">
        <f t="shared" si="653"/>
        <v>05354730631</v>
      </c>
      <c r="E8015" t="s">
        <v>52</v>
      </c>
      <c r="F8015">
        <v>2014</v>
      </c>
      <c r="G8015">
        <v>2201</v>
      </c>
      <c r="H8015" s="1">
        <v>41830</v>
      </c>
      <c r="I8015" s="1">
        <v>41841</v>
      </c>
      <c r="J8015" s="1">
        <v>41841</v>
      </c>
      <c r="K8015" s="1">
        <v>41931</v>
      </c>
      <c r="N8015" s="5"/>
      <c r="O8015">
        <v>104</v>
      </c>
      <c r="P8015">
        <v>257</v>
      </c>
      <c r="Q8015" s="2">
        <v>26728</v>
      </c>
      <c r="R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 s="1">
        <v>42382</v>
      </c>
      <c r="AC8015" t="s">
        <v>53</v>
      </c>
      <c r="AD8015" t="s">
        <v>53</v>
      </c>
      <c r="AK8015">
        <v>0</v>
      </c>
      <c r="AU8015" s="6">
        <v>42188</v>
      </c>
      <c r="AV8015" s="6">
        <v>42188</v>
      </c>
      <c r="AW8015" t="s">
        <v>54</v>
      </c>
      <c r="AX8015" t="str">
        <f t="shared" si="652"/>
        <v>FOR</v>
      </c>
      <c r="AY8015" t="s">
        <v>55</v>
      </c>
    </row>
    <row r="8016" spans="1:51" hidden="1">
      <c r="A8016">
        <v>104492</v>
      </c>
      <c r="B8016" t="s">
        <v>1331</v>
      </c>
      <c r="C8016" t="str">
        <f t="shared" si="653"/>
        <v>05354730631</v>
      </c>
      <c r="D8016" t="str">
        <f t="shared" si="653"/>
        <v>05354730631</v>
      </c>
      <c r="E8016" t="s">
        <v>52</v>
      </c>
      <c r="F8016">
        <v>2014</v>
      </c>
      <c r="G8016">
        <v>2202</v>
      </c>
      <c r="H8016" s="1">
        <v>41830</v>
      </c>
      <c r="I8016" s="1">
        <v>41841</v>
      </c>
      <c r="J8016" s="1">
        <v>41841</v>
      </c>
      <c r="K8016" s="1">
        <v>41931</v>
      </c>
      <c r="N8016" s="5"/>
      <c r="O8016">
        <v>104</v>
      </c>
      <c r="P8016">
        <v>257</v>
      </c>
      <c r="Q8016" s="2">
        <v>26728</v>
      </c>
      <c r="R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 s="1">
        <v>42382</v>
      </c>
      <c r="AC8016" t="s">
        <v>53</v>
      </c>
      <c r="AD8016" t="s">
        <v>53</v>
      </c>
      <c r="AK8016">
        <v>0</v>
      </c>
      <c r="AU8016" s="6">
        <v>42188</v>
      </c>
      <c r="AV8016" s="6">
        <v>42188</v>
      </c>
      <c r="AW8016" t="s">
        <v>54</v>
      </c>
      <c r="AX8016" t="str">
        <f t="shared" si="652"/>
        <v>FOR</v>
      </c>
      <c r="AY8016" t="s">
        <v>55</v>
      </c>
    </row>
    <row r="8017" spans="1:51" hidden="1">
      <c r="A8017">
        <v>104492</v>
      </c>
      <c r="B8017" t="s">
        <v>1331</v>
      </c>
      <c r="C8017" t="str">
        <f t="shared" si="653"/>
        <v>05354730631</v>
      </c>
      <c r="D8017" t="str">
        <f t="shared" si="653"/>
        <v>05354730631</v>
      </c>
      <c r="E8017" t="s">
        <v>52</v>
      </c>
      <c r="F8017">
        <v>2014</v>
      </c>
      <c r="G8017">
        <v>2203</v>
      </c>
      <c r="H8017" s="1">
        <v>41830</v>
      </c>
      <c r="I8017" s="1">
        <v>41841</v>
      </c>
      <c r="J8017" s="1">
        <v>41841</v>
      </c>
      <c r="K8017" s="1">
        <v>41931</v>
      </c>
      <c r="N8017" s="5"/>
      <c r="O8017">
        <v>104</v>
      </c>
      <c r="P8017">
        <v>257</v>
      </c>
      <c r="Q8017" s="2">
        <v>26728</v>
      </c>
      <c r="R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 s="1">
        <v>42382</v>
      </c>
      <c r="AC8017" t="s">
        <v>53</v>
      </c>
      <c r="AD8017" t="s">
        <v>53</v>
      </c>
      <c r="AK8017">
        <v>0</v>
      </c>
      <c r="AU8017" s="6">
        <v>42188</v>
      </c>
      <c r="AV8017" s="6">
        <v>42188</v>
      </c>
      <c r="AW8017" t="s">
        <v>54</v>
      </c>
      <c r="AX8017" t="str">
        <f t="shared" si="652"/>
        <v>FOR</v>
      </c>
      <c r="AY8017" t="s">
        <v>55</v>
      </c>
    </row>
    <row r="8018" spans="1:51" hidden="1">
      <c r="A8018">
        <v>104492</v>
      </c>
      <c r="B8018" t="s">
        <v>1331</v>
      </c>
      <c r="C8018" t="str">
        <f t="shared" si="653"/>
        <v>05354730631</v>
      </c>
      <c r="D8018" t="str">
        <f t="shared" si="653"/>
        <v>05354730631</v>
      </c>
      <c r="E8018" t="s">
        <v>52</v>
      </c>
      <c r="F8018">
        <v>2014</v>
      </c>
      <c r="G8018">
        <v>2204</v>
      </c>
      <c r="H8018" s="1">
        <v>41830</v>
      </c>
      <c r="I8018" s="1">
        <v>41841</v>
      </c>
      <c r="J8018" s="1">
        <v>41841</v>
      </c>
      <c r="K8018" s="1">
        <v>41931</v>
      </c>
      <c r="N8018" s="5"/>
      <c r="O8018">
        <v>104</v>
      </c>
      <c r="P8018">
        <v>257</v>
      </c>
      <c r="Q8018" s="2">
        <v>26728</v>
      </c>
      <c r="R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 s="1">
        <v>42382</v>
      </c>
      <c r="AC8018" t="s">
        <v>53</v>
      </c>
      <c r="AD8018" t="s">
        <v>53</v>
      </c>
      <c r="AK8018">
        <v>0</v>
      </c>
      <c r="AU8018" s="6">
        <v>42188</v>
      </c>
      <c r="AV8018" s="6">
        <v>42188</v>
      </c>
      <c r="AW8018" t="s">
        <v>54</v>
      </c>
      <c r="AX8018" t="str">
        <f t="shared" si="652"/>
        <v>FOR</v>
      </c>
      <c r="AY8018" t="s">
        <v>55</v>
      </c>
    </row>
    <row r="8019" spans="1:51" hidden="1">
      <c r="A8019">
        <v>104492</v>
      </c>
      <c r="B8019" t="s">
        <v>1331</v>
      </c>
      <c r="C8019" t="str">
        <f t="shared" si="653"/>
        <v>05354730631</v>
      </c>
      <c r="D8019" t="str">
        <f t="shared" si="653"/>
        <v>05354730631</v>
      </c>
      <c r="E8019" t="s">
        <v>52</v>
      </c>
      <c r="F8019">
        <v>2014</v>
      </c>
      <c r="G8019">
        <v>2205</v>
      </c>
      <c r="H8019" s="1">
        <v>41831</v>
      </c>
      <c r="I8019" s="1">
        <v>41841</v>
      </c>
      <c r="J8019" s="1">
        <v>41841</v>
      </c>
      <c r="K8019" s="1">
        <v>41931</v>
      </c>
      <c r="N8019" s="5"/>
      <c r="O8019">
        <v>104</v>
      </c>
      <c r="P8019">
        <v>257</v>
      </c>
      <c r="Q8019" s="2">
        <v>26728</v>
      </c>
      <c r="R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 s="1">
        <v>42382</v>
      </c>
      <c r="AC8019" t="s">
        <v>53</v>
      </c>
      <c r="AD8019" t="s">
        <v>53</v>
      </c>
      <c r="AK8019">
        <v>0</v>
      </c>
      <c r="AU8019" s="6">
        <v>42188</v>
      </c>
      <c r="AV8019" s="6">
        <v>42188</v>
      </c>
      <c r="AW8019" t="s">
        <v>54</v>
      </c>
      <c r="AX8019" t="str">
        <f t="shared" si="652"/>
        <v>FOR</v>
      </c>
      <c r="AY8019" t="s">
        <v>55</v>
      </c>
    </row>
    <row r="8020" spans="1:51" hidden="1">
      <c r="A8020">
        <v>104492</v>
      </c>
      <c r="B8020" t="s">
        <v>1331</v>
      </c>
      <c r="C8020" t="str">
        <f t="shared" si="653"/>
        <v>05354730631</v>
      </c>
      <c r="D8020" t="str">
        <f t="shared" si="653"/>
        <v>05354730631</v>
      </c>
      <c r="E8020" t="s">
        <v>52</v>
      </c>
      <c r="F8020">
        <v>2014</v>
      </c>
      <c r="G8020">
        <v>2206</v>
      </c>
      <c r="H8020" s="1">
        <v>41831</v>
      </c>
      <c r="I8020" s="1">
        <v>41841</v>
      </c>
      <c r="J8020" s="1">
        <v>41841</v>
      </c>
      <c r="K8020" s="1">
        <v>41931</v>
      </c>
      <c r="N8020" s="5"/>
      <c r="O8020">
        <v>104</v>
      </c>
      <c r="P8020">
        <v>257</v>
      </c>
      <c r="Q8020" s="2">
        <v>26728</v>
      </c>
      <c r="R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 s="1">
        <v>42382</v>
      </c>
      <c r="AC8020" t="s">
        <v>53</v>
      </c>
      <c r="AD8020" t="s">
        <v>53</v>
      </c>
      <c r="AK8020">
        <v>0</v>
      </c>
      <c r="AU8020" s="6">
        <v>42188</v>
      </c>
      <c r="AV8020" s="6">
        <v>42188</v>
      </c>
      <c r="AW8020" t="s">
        <v>54</v>
      </c>
      <c r="AX8020" t="str">
        <f t="shared" si="652"/>
        <v>FOR</v>
      </c>
      <c r="AY8020" t="s">
        <v>55</v>
      </c>
    </row>
    <row r="8021" spans="1:51" hidden="1">
      <c r="A8021">
        <v>104492</v>
      </c>
      <c r="B8021" t="s">
        <v>1331</v>
      </c>
      <c r="C8021" t="str">
        <f t="shared" si="653"/>
        <v>05354730631</v>
      </c>
      <c r="D8021" t="str">
        <f t="shared" si="653"/>
        <v>05354730631</v>
      </c>
      <c r="E8021" t="s">
        <v>52</v>
      </c>
      <c r="F8021">
        <v>2014</v>
      </c>
      <c r="G8021">
        <v>2207</v>
      </c>
      <c r="H8021" s="1">
        <v>41831</v>
      </c>
      <c r="I8021" s="1">
        <v>41841</v>
      </c>
      <c r="J8021" s="1">
        <v>41841</v>
      </c>
      <c r="K8021" s="1">
        <v>41931</v>
      </c>
      <c r="N8021" s="5"/>
      <c r="O8021">
        <v>104</v>
      </c>
      <c r="P8021">
        <v>257</v>
      </c>
      <c r="Q8021" s="2">
        <v>26728</v>
      </c>
      <c r="R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 s="1">
        <v>42382</v>
      </c>
      <c r="AC8021" t="s">
        <v>53</v>
      </c>
      <c r="AD8021" t="s">
        <v>53</v>
      </c>
      <c r="AK8021">
        <v>0</v>
      </c>
      <c r="AU8021" s="6">
        <v>42188</v>
      </c>
      <c r="AV8021" s="6">
        <v>42188</v>
      </c>
      <c r="AW8021" t="s">
        <v>54</v>
      </c>
      <c r="AX8021" t="str">
        <f t="shared" si="652"/>
        <v>FOR</v>
      </c>
      <c r="AY8021" t="s">
        <v>55</v>
      </c>
    </row>
    <row r="8022" spans="1:51" hidden="1">
      <c r="A8022">
        <v>104492</v>
      </c>
      <c r="B8022" t="s">
        <v>1331</v>
      </c>
      <c r="C8022" t="str">
        <f t="shared" si="653"/>
        <v>05354730631</v>
      </c>
      <c r="D8022" t="str">
        <f t="shared" si="653"/>
        <v>05354730631</v>
      </c>
      <c r="E8022" t="s">
        <v>52</v>
      </c>
      <c r="F8022">
        <v>2014</v>
      </c>
      <c r="G8022">
        <v>2208</v>
      </c>
      <c r="H8022" s="1">
        <v>41831</v>
      </c>
      <c r="I8022" s="1">
        <v>41841</v>
      </c>
      <c r="J8022" s="1">
        <v>41841</v>
      </c>
      <c r="K8022" s="1">
        <v>41931</v>
      </c>
      <c r="N8022" s="5"/>
      <c r="O8022">
        <v>104</v>
      </c>
      <c r="P8022">
        <v>257</v>
      </c>
      <c r="Q8022" s="2">
        <v>26728</v>
      </c>
      <c r="R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 s="1">
        <v>42382</v>
      </c>
      <c r="AC8022" t="s">
        <v>53</v>
      </c>
      <c r="AD8022" t="s">
        <v>53</v>
      </c>
      <c r="AK8022">
        <v>0</v>
      </c>
      <c r="AU8022" s="6">
        <v>42188</v>
      </c>
      <c r="AV8022" s="6">
        <v>42188</v>
      </c>
      <c r="AW8022" t="s">
        <v>54</v>
      </c>
      <c r="AX8022" t="str">
        <f t="shared" si="652"/>
        <v>FOR</v>
      </c>
      <c r="AY8022" t="s">
        <v>55</v>
      </c>
    </row>
    <row r="8023" spans="1:51" hidden="1">
      <c r="A8023">
        <v>104492</v>
      </c>
      <c r="B8023" t="s">
        <v>1331</v>
      </c>
      <c r="C8023" t="str">
        <f t="shared" si="653"/>
        <v>05354730631</v>
      </c>
      <c r="D8023" t="str">
        <f t="shared" si="653"/>
        <v>05354730631</v>
      </c>
      <c r="E8023" t="s">
        <v>52</v>
      </c>
      <c r="F8023">
        <v>2014</v>
      </c>
      <c r="G8023">
        <v>2209</v>
      </c>
      <c r="H8023" s="1">
        <v>41831</v>
      </c>
      <c r="I8023" s="1">
        <v>41841</v>
      </c>
      <c r="J8023" s="1">
        <v>41841</v>
      </c>
      <c r="K8023" s="1">
        <v>41931</v>
      </c>
      <c r="N8023" s="5"/>
      <c r="O8023" s="2">
        <v>5673</v>
      </c>
      <c r="P8023">
        <v>257</v>
      </c>
      <c r="Q8023" s="2">
        <v>1457961</v>
      </c>
      <c r="R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 s="1">
        <v>42382</v>
      </c>
      <c r="AC8023" t="s">
        <v>53</v>
      </c>
      <c r="AD8023" t="s">
        <v>53</v>
      </c>
      <c r="AK8023">
        <v>0</v>
      </c>
      <c r="AU8023" s="6">
        <v>42188</v>
      </c>
      <c r="AV8023" s="6">
        <v>42188</v>
      </c>
      <c r="AW8023" t="s">
        <v>54</v>
      </c>
      <c r="AX8023" t="str">
        <f t="shared" si="652"/>
        <v>FOR</v>
      </c>
      <c r="AY8023" t="s">
        <v>55</v>
      </c>
    </row>
    <row r="8024" spans="1:51" hidden="1">
      <c r="A8024">
        <v>104492</v>
      </c>
      <c r="B8024" t="s">
        <v>1331</v>
      </c>
      <c r="C8024" t="str">
        <f t="shared" si="653"/>
        <v>05354730631</v>
      </c>
      <c r="D8024" t="str">
        <f t="shared" si="653"/>
        <v>05354730631</v>
      </c>
      <c r="E8024" t="s">
        <v>52</v>
      </c>
      <c r="F8024">
        <v>2014</v>
      </c>
      <c r="G8024">
        <v>2221</v>
      </c>
      <c r="H8024" s="1">
        <v>41834</v>
      </c>
      <c r="I8024" s="1">
        <v>41841</v>
      </c>
      <c r="J8024" s="1">
        <v>41841</v>
      </c>
      <c r="K8024" s="1">
        <v>41931</v>
      </c>
      <c r="N8024" s="5"/>
      <c r="O8024" s="2">
        <v>2305.8000000000002</v>
      </c>
      <c r="P8024">
        <v>257</v>
      </c>
      <c r="Q8024" s="2">
        <v>592590.6</v>
      </c>
      <c r="R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 s="1">
        <v>42382</v>
      </c>
      <c r="AC8024" t="s">
        <v>53</v>
      </c>
      <c r="AD8024" t="s">
        <v>53</v>
      </c>
      <c r="AK8024">
        <v>0</v>
      </c>
      <c r="AU8024" s="6">
        <v>42188</v>
      </c>
      <c r="AV8024" s="6">
        <v>42188</v>
      </c>
      <c r="AW8024" t="s">
        <v>54</v>
      </c>
      <c r="AX8024" t="str">
        <f t="shared" si="652"/>
        <v>FOR</v>
      </c>
      <c r="AY8024" t="s">
        <v>55</v>
      </c>
    </row>
    <row r="8025" spans="1:51" hidden="1">
      <c r="A8025">
        <v>104492</v>
      </c>
      <c r="B8025" t="s">
        <v>1331</v>
      </c>
      <c r="C8025" t="str">
        <f t="shared" ref="C8025:D8044" si="654">"05354730631"</f>
        <v>05354730631</v>
      </c>
      <c r="D8025" t="str">
        <f t="shared" si="654"/>
        <v>05354730631</v>
      </c>
      <c r="E8025" t="s">
        <v>52</v>
      </c>
      <c r="F8025">
        <v>2014</v>
      </c>
      <c r="G8025">
        <v>2416</v>
      </c>
      <c r="H8025" s="1">
        <v>41848</v>
      </c>
      <c r="I8025" s="1">
        <v>41872</v>
      </c>
      <c r="J8025" s="1">
        <v>41872</v>
      </c>
      <c r="K8025" s="1">
        <v>41962</v>
      </c>
      <c r="N8025" s="5"/>
      <c r="O8025">
        <v>135.19999999999999</v>
      </c>
      <c r="P8025">
        <v>226</v>
      </c>
      <c r="Q8025" s="2">
        <v>30555.200000000001</v>
      </c>
      <c r="R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 s="1">
        <v>42382</v>
      </c>
      <c r="AC8025" t="s">
        <v>53</v>
      </c>
      <c r="AD8025" t="s">
        <v>53</v>
      </c>
      <c r="AK8025">
        <v>0</v>
      </c>
      <c r="AU8025" s="6">
        <v>42188</v>
      </c>
      <c r="AV8025" s="6">
        <v>42188</v>
      </c>
      <c r="AW8025" t="s">
        <v>54</v>
      </c>
      <c r="AX8025" t="str">
        <f t="shared" si="652"/>
        <v>FOR</v>
      </c>
      <c r="AY8025" t="s">
        <v>55</v>
      </c>
    </row>
    <row r="8026" spans="1:51" hidden="1">
      <c r="A8026">
        <v>104492</v>
      </c>
      <c r="B8026" t="s">
        <v>1331</v>
      </c>
      <c r="C8026" t="str">
        <f t="shared" si="654"/>
        <v>05354730631</v>
      </c>
      <c r="D8026" t="str">
        <f t="shared" si="654"/>
        <v>05354730631</v>
      </c>
      <c r="E8026" t="s">
        <v>52</v>
      </c>
      <c r="F8026">
        <v>2014</v>
      </c>
      <c r="G8026">
        <v>2417</v>
      </c>
      <c r="H8026" s="1">
        <v>41848</v>
      </c>
      <c r="I8026" s="1">
        <v>41872</v>
      </c>
      <c r="J8026" s="1">
        <v>41872</v>
      </c>
      <c r="K8026" s="1">
        <v>41962</v>
      </c>
      <c r="N8026" s="5"/>
      <c r="O8026">
        <v>135.19999999999999</v>
      </c>
      <c r="P8026">
        <v>226</v>
      </c>
      <c r="Q8026" s="2">
        <v>30555.200000000001</v>
      </c>
      <c r="R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 s="1">
        <v>42382</v>
      </c>
      <c r="AC8026" t="s">
        <v>53</v>
      </c>
      <c r="AD8026" t="s">
        <v>53</v>
      </c>
      <c r="AK8026">
        <v>0</v>
      </c>
      <c r="AU8026" s="6">
        <v>42188</v>
      </c>
      <c r="AV8026" s="6">
        <v>42188</v>
      </c>
      <c r="AW8026" t="s">
        <v>54</v>
      </c>
      <c r="AX8026" t="str">
        <f t="shared" si="652"/>
        <v>FOR</v>
      </c>
      <c r="AY8026" t="s">
        <v>55</v>
      </c>
    </row>
    <row r="8027" spans="1:51" hidden="1">
      <c r="A8027">
        <v>104492</v>
      </c>
      <c r="B8027" t="s">
        <v>1331</v>
      </c>
      <c r="C8027" t="str">
        <f t="shared" si="654"/>
        <v>05354730631</v>
      </c>
      <c r="D8027" t="str">
        <f t="shared" si="654"/>
        <v>05354730631</v>
      </c>
      <c r="E8027" t="s">
        <v>52</v>
      </c>
      <c r="F8027">
        <v>2014</v>
      </c>
      <c r="G8027">
        <v>2418</v>
      </c>
      <c r="H8027" s="1">
        <v>41848</v>
      </c>
      <c r="I8027" s="1">
        <v>41872</v>
      </c>
      <c r="J8027" s="1">
        <v>41872</v>
      </c>
      <c r="K8027" s="1">
        <v>41962</v>
      </c>
      <c r="N8027" s="5"/>
      <c r="O8027">
        <v>135.19999999999999</v>
      </c>
      <c r="P8027">
        <v>226</v>
      </c>
      <c r="Q8027" s="2">
        <v>30555.200000000001</v>
      </c>
      <c r="R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 s="1">
        <v>42382</v>
      </c>
      <c r="AC8027" t="s">
        <v>53</v>
      </c>
      <c r="AD8027" t="s">
        <v>53</v>
      </c>
      <c r="AK8027">
        <v>0</v>
      </c>
      <c r="AU8027" s="6">
        <v>42188</v>
      </c>
      <c r="AV8027" s="6">
        <v>42188</v>
      </c>
      <c r="AW8027" t="s">
        <v>54</v>
      </c>
      <c r="AX8027" t="str">
        <f t="shared" si="652"/>
        <v>FOR</v>
      </c>
      <c r="AY8027" t="s">
        <v>55</v>
      </c>
    </row>
    <row r="8028" spans="1:51" hidden="1">
      <c r="A8028">
        <v>104492</v>
      </c>
      <c r="B8028" t="s">
        <v>1331</v>
      </c>
      <c r="C8028" t="str">
        <f t="shared" si="654"/>
        <v>05354730631</v>
      </c>
      <c r="D8028" t="str">
        <f t="shared" si="654"/>
        <v>05354730631</v>
      </c>
      <c r="E8028" t="s">
        <v>52</v>
      </c>
      <c r="F8028">
        <v>2014</v>
      </c>
      <c r="G8028">
        <v>2469</v>
      </c>
      <c r="H8028" s="1">
        <v>41856</v>
      </c>
      <c r="I8028" s="1">
        <v>41873</v>
      </c>
      <c r="J8028" s="1">
        <v>41873</v>
      </c>
      <c r="K8028" s="1">
        <v>41963</v>
      </c>
      <c r="N8028" s="5"/>
      <c r="O8028" s="2">
        <v>5673</v>
      </c>
      <c r="P8028">
        <v>225</v>
      </c>
      <c r="Q8028" s="2">
        <v>1276425</v>
      </c>
      <c r="R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 s="1">
        <v>42382</v>
      </c>
      <c r="AC8028" t="s">
        <v>53</v>
      </c>
      <c r="AD8028" t="s">
        <v>53</v>
      </c>
      <c r="AK8028">
        <v>0</v>
      </c>
      <c r="AU8028" s="6">
        <v>42188</v>
      </c>
      <c r="AV8028" s="6">
        <v>42188</v>
      </c>
      <c r="AW8028" t="s">
        <v>54</v>
      </c>
      <c r="AX8028" t="str">
        <f t="shared" si="652"/>
        <v>FOR</v>
      </c>
      <c r="AY8028" t="s">
        <v>55</v>
      </c>
    </row>
    <row r="8029" spans="1:51" hidden="1">
      <c r="A8029">
        <v>104492</v>
      </c>
      <c r="B8029" t="s">
        <v>1331</v>
      </c>
      <c r="C8029" t="str">
        <f t="shared" si="654"/>
        <v>05354730631</v>
      </c>
      <c r="D8029" t="str">
        <f t="shared" si="654"/>
        <v>05354730631</v>
      </c>
      <c r="E8029" t="s">
        <v>52</v>
      </c>
      <c r="F8029">
        <v>2014</v>
      </c>
      <c r="G8029">
        <v>2497</v>
      </c>
      <c r="H8029" s="1">
        <v>41887</v>
      </c>
      <c r="I8029" s="1">
        <v>41914</v>
      </c>
      <c r="J8029" s="1">
        <v>41914</v>
      </c>
      <c r="K8029" s="1">
        <v>42004</v>
      </c>
      <c r="N8029" s="5"/>
      <c r="O8029" s="2">
        <v>2037.4</v>
      </c>
      <c r="P8029">
        <v>244</v>
      </c>
      <c r="Q8029" s="2">
        <v>497125.6</v>
      </c>
      <c r="R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 s="1">
        <v>42382</v>
      </c>
      <c r="AC8029" t="s">
        <v>53</v>
      </c>
      <c r="AD8029" t="s">
        <v>53</v>
      </c>
      <c r="AK8029">
        <v>0</v>
      </c>
      <c r="AU8029" s="6">
        <v>42248</v>
      </c>
      <c r="AV8029" s="6">
        <v>42248</v>
      </c>
      <c r="AW8029" t="s">
        <v>54</v>
      </c>
      <c r="AX8029" t="str">
        <f t="shared" si="652"/>
        <v>FOR</v>
      </c>
      <c r="AY8029" t="s">
        <v>55</v>
      </c>
    </row>
    <row r="8030" spans="1:51" hidden="1">
      <c r="A8030">
        <v>104492</v>
      </c>
      <c r="B8030" t="s">
        <v>1331</v>
      </c>
      <c r="C8030" t="str">
        <f t="shared" si="654"/>
        <v>05354730631</v>
      </c>
      <c r="D8030" t="str">
        <f t="shared" si="654"/>
        <v>05354730631</v>
      </c>
      <c r="E8030" t="s">
        <v>52</v>
      </c>
      <c r="F8030">
        <v>2014</v>
      </c>
      <c r="G8030">
        <v>2537</v>
      </c>
      <c r="H8030" s="1">
        <v>41893</v>
      </c>
      <c r="I8030" s="1">
        <v>41911</v>
      </c>
      <c r="J8030" s="1">
        <v>41911</v>
      </c>
      <c r="K8030" s="1">
        <v>42001</v>
      </c>
      <c r="N8030" s="5"/>
      <c r="O8030">
        <v>135.19999999999999</v>
      </c>
      <c r="P8030">
        <v>247</v>
      </c>
      <c r="Q8030" s="2">
        <v>33394.400000000001</v>
      </c>
      <c r="R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 s="1">
        <v>42382</v>
      </c>
      <c r="AC8030" t="s">
        <v>53</v>
      </c>
      <c r="AD8030" t="s">
        <v>53</v>
      </c>
      <c r="AK8030">
        <v>0</v>
      </c>
      <c r="AU8030" s="6">
        <v>42248</v>
      </c>
      <c r="AV8030" s="6">
        <v>42248</v>
      </c>
      <c r="AW8030" t="s">
        <v>54</v>
      </c>
      <c r="AX8030" t="str">
        <f t="shared" si="652"/>
        <v>FOR</v>
      </c>
      <c r="AY8030" t="s">
        <v>55</v>
      </c>
    </row>
    <row r="8031" spans="1:51" hidden="1">
      <c r="A8031">
        <v>104492</v>
      </c>
      <c r="B8031" t="s">
        <v>1331</v>
      </c>
      <c r="C8031" t="str">
        <f t="shared" si="654"/>
        <v>05354730631</v>
      </c>
      <c r="D8031" t="str">
        <f t="shared" si="654"/>
        <v>05354730631</v>
      </c>
      <c r="E8031" t="s">
        <v>52</v>
      </c>
      <c r="F8031">
        <v>2014</v>
      </c>
      <c r="G8031">
        <v>2538</v>
      </c>
      <c r="H8031" s="1">
        <v>41893</v>
      </c>
      <c r="I8031" s="1">
        <v>41911</v>
      </c>
      <c r="J8031" s="1">
        <v>41911</v>
      </c>
      <c r="K8031" s="1">
        <v>42001</v>
      </c>
      <c r="N8031" s="5"/>
      <c r="O8031">
        <v>104</v>
      </c>
      <c r="P8031">
        <v>247</v>
      </c>
      <c r="Q8031" s="2">
        <v>25688</v>
      </c>
      <c r="R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 s="1">
        <v>42382</v>
      </c>
      <c r="AC8031" t="s">
        <v>53</v>
      </c>
      <c r="AD8031" t="s">
        <v>53</v>
      </c>
      <c r="AK8031">
        <v>0</v>
      </c>
      <c r="AU8031" s="6">
        <v>42248</v>
      </c>
      <c r="AV8031" s="6">
        <v>42248</v>
      </c>
      <c r="AW8031" t="s">
        <v>54</v>
      </c>
      <c r="AX8031" t="str">
        <f t="shared" si="652"/>
        <v>FOR</v>
      </c>
      <c r="AY8031" t="s">
        <v>55</v>
      </c>
    </row>
    <row r="8032" spans="1:51" hidden="1">
      <c r="A8032">
        <v>104492</v>
      </c>
      <c r="B8032" t="s">
        <v>1331</v>
      </c>
      <c r="C8032" t="str">
        <f t="shared" si="654"/>
        <v>05354730631</v>
      </c>
      <c r="D8032" t="str">
        <f t="shared" si="654"/>
        <v>05354730631</v>
      </c>
      <c r="E8032" t="s">
        <v>52</v>
      </c>
      <c r="F8032">
        <v>2014</v>
      </c>
      <c r="G8032">
        <v>2539</v>
      </c>
      <c r="H8032" s="1">
        <v>41893</v>
      </c>
      <c r="I8032" s="1">
        <v>41911</v>
      </c>
      <c r="J8032" s="1">
        <v>41911</v>
      </c>
      <c r="K8032" s="1">
        <v>42001</v>
      </c>
      <c r="N8032" s="5"/>
      <c r="O8032">
        <v>104</v>
      </c>
      <c r="P8032">
        <v>247</v>
      </c>
      <c r="Q8032" s="2">
        <v>25688</v>
      </c>
      <c r="R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 s="1">
        <v>42382</v>
      </c>
      <c r="AC8032" t="s">
        <v>53</v>
      </c>
      <c r="AD8032" t="s">
        <v>53</v>
      </c>
      <c r="AK8032">
        <v>0</v>
      </c>
      <c r="AU8032" s="6">
        <v>42248</v>
      </c>
      <c r="AV8032" s="6">
        <v>42248</v>
      </c>
      <c r="AW8032" t="s">
        <v>54</v>
      </c>
      <c r="AX8032" t="str">
        <f t="shared" si="652"/>
        <v>FOR</v>
      </c>
      <c r="AY8032" t="s">
        <v>55</v>
      </c>
    </row>
    <row r="8033" spans="1:51" hidden="1">
      <c r="A8033">
        <v>104492</v>
      </c>
      <c r="B8033" t="s">
        <v>1331</v>
      </c>
      <c r="C8033" t="str">
        <f t="shared" si="654"/>
        <v>05354730631</v>
      </c>
      <c r="D8033" t="str">
        <f t="shared" si="654"/>
        <v>05354730631</v>
      </c>
      <c r="E8033" t="s">
        <v>52</v>
      </c>
      <c r="F8033">
        <v>2014</v>
      </c>
      <c r="G8033">
        <v>2566</v>
      </c>
      <c r="H8033" s="1">
        <v>41894</v>
      </c>
      <c r="I8033" s="1">
        <v>41914</v>
      </c>
      <c r="J8033" s="1">
        <v>41914</v>
      </c>
      <c r="K8033" s="1">
        <v>42004</v>
      </c>
      <c r="N8033" s="5"/>
      <c r="O8033">
        <v>104</v>
      </c>
      <c r="P8033">
        <v>244</v>
      </c>
      <c r="Q8033" s="2">
        <v>25376</v>
      </c>
      <c r="R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 s="1">
        <v>42382</v>
      </c>
      <c r="AC8033" t="s">
        <v>53</v>
      </c>
      <c r="AD8033" t="s">
        <v>53</v>
      </c>
      <c r="AK8033">
        <v>0</v>
      </c>
      <c r="AU8033" s="6">
        <v>42248</v>
      </c>
      <c r="AV8033" s="6">
        <v>42248</v>
      </c>
      <c r="AW8033" t="s">
        <v>54</v>
      </c>
      <c r="AX8033" t="str">
        <f t="shared" si="652"/>
        <v>FOR</v>
      </c>
      <c r="AY8033" t="s">
        <v>55</v>
      </c>
    </row>
    <row r="8034" spans="1:51" hidden="1">
      <c r="A8034">
        <v>104492</v>
      </c>
      <c r="B8034" t="s">
        <v>1331</v>
      </c>
      <c r="C8034" t="str">
        <f t="shared" si="654"/>
        <v>05354730631</v>
      </c>
      <c r="D8034" t="str">
        <f t="shared" si="654"/>
        <v>05354730631</v>
      </c>
      <c r="E8034" t="s">
        <v>52</v>
      </c>
      <c r="F8034">
        <v>2014</v>
      </c>
      <c r="G8034">
        <v>2586</v>
      </c>
      <c r="H8034" s="1">
        <v>41897</v>
      </c>
      <c r="I8034" s="1">
        <v>41914</v>
      </c>
      <c r="J8034" s="1">
        <v>41914</v>
      </c>
      <c r="K8034" s="1">
        <v>42004</v>
      </c>
      <c r="N8034" s="5"/>
      <c r="O8034">
        <v>104</v>
      </c>
      <c r="P8034">
        <v>244</v>
      </c>
      <c r="Q8034" s="2">
        <v>25376</v>
      </c>
      <c r="R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 s="1">
        <v>42382</v>
      </c>
      <c r="AC8034" t="s">
        <v>53</v>
      </c>
      <c r="AD8034" t="s">
        <v>53</v>
      </c>
      <c r="AK8034">
        <v>0</v>
      </c>
      <c r="AU8034" s="6">
        <v>42248</v>
      </c>
      <c r="AV8034" s="6">
        <v>42248</v>
      </c>
      <c r="AW8034" t="s">
        <v>54</v>
      </c>
      <c r="AX8034" t="str">
        <f t="shared" si="652"/>
        <v>FOR</v>
      </c>
      <c r="AY8034" t="s">
        <v>55</v>
      </c>
    </row>
    <row r="8035" spans="1:51" hidden="1">
      <c r="A8035">
        <v>104492</v>
      </c>
      <c r="B8035" t="s">
        <v>1331</v>
      </c>
      <c r="C8035" t="str">
        <f t="shared" si="654"/>
        <v>05354730631</v>
      </c>
      <c r="D8035" t="str">
        <f t="shared" si="654"/>
        <v>05354730631</v>
      </c>
      <c r="E8035" t="s">
        <v>52</v>
      </c>
      <c r="F8035">
        <v>2014</v>
      </c>
      <c r="G8035">
        <v>2725</v>
      </c>
      <c r="H8035" s="1">
        <v>41912</v>
      </c>
      <c r="I8035" s="1">
        <v>41921</v>
      </c>
      <c r="J8035" s="1">
        <v>41921</v>
      </c>
      <c r="K8035" s="1">
        <v>42011</v>
      </c>
      <c r="N8035" s="5"/>
      <c r="O8035">
        <v>135.19999999999999</v>
      </c>
      <c r="P8035">
        <v>237</v>
      </c>
      <c r="Q8035" s="2">
        <v>32042.400000000001</v>
      </c>
      <c r="R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 s="1">
        <v>42382</v>
      </c>
      <c r="AC8035" t="s">
        <v>53</v>
      </c>
      <c r="AD8035" t="s">
        <v>53</v>
      </c>
      <c r="AK8035">
        <v>0</v>
      </c>
      <c r="AU8035" s="6">
        <v>42248</v>
      </c>
      <c r="AV8035" s="6">
        <v>42248</v>
      </c>
      <c r="AW8035" t="s">
        <v>54</v>
      </c>
      <c r="AX8035" t="str">
        <f t="shared" si="652"/>
        <v>FOR</v>
      </c>
      <c r="AY8035" t="s">
        <v>55</v>
      </c>
    </row>
    <row r="8036" spans="1:51" hidden="1">
      <c r="A8036">
        <v>104492</v>
      </c>
      <c r="B8036" t="s">
        <v>1331</v>
      </c>
      <c r="C8036" t="str">
        <f t="shared" si="654"/>
        <v>05354730631</v>
      </c>
      <c r="D8036" t="str">
        <f t="shared" si="654"/>
        <v>05354730631</v>
      </c>
      <c r="E8036" t="s">
        <v>52</v>
      </c>
      <c r="F8036">
        <v>2014</v>
      </c>
      <c r="G8036">
        <v>2726</v>
      </c>
      <c r="H8036" s="1">
        <v>41912</v>
      </c>
      <c r="I8036" s="1">
        <v>41921</v>
      </c>
      <c r="J8036" s="1">
        <v>41921</v>
      </c>
      <c r="K8036" s="1">
        <v>42011</v>
      </c>
      <c r="N8036" s="5"/>
      <c r="O8036">
        <v>104</v>
      </c>
      <c r="P8036">
        <v>237</v>
      </c>
      <c r="Q8036" s="2">
        <v>24648</v>
      </c>
      <c r="R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 s="1">
        <v>42382</v>
      </c>
      <c r="AC8036" t="s">
        <v>53</v>
      </c>
      <c r="AD8036" t="s">
        <v>53</v>
      </c>
      <c r="AK8036">
        <v>0</v>
      </c>
      <c r="AU8036" s="6">
        <v>42248</v>
      </c>
      <c r="AV8036" s="6">
        <v>42248</v>
      </c>
      <c r="AW8036" t="s">
        <v>54</v>
      </c>
      <c r="AX8036" t="str">
        <f t="shared" si="652"/>
        <v>FOR</v>
      </c>
      <c r="AY8036" t="s">
        <v>55</v>
      </c>
    </row>
    <row r="8037" spans="1:51" hidden="1">
      <c r="A8037">
        <v>104492</v>
      </c>
      <c r="B8037" t="s">
        <v>1331</v>
      </c>
      <c r="C8037" t="str">
        <f t="shared" si="654"/>
        <v>05354730631</v>
      </c>
      <c r="D8037" t="str">
        <f t="shared" si="654"/>
        <v>05354730631</v>
      </c>
      <c r="E8037" t="s">
        <v>52</v>
      </c>
      <c r="F8037">
        <v>2014</v>
      </c>
      <c r="G8037">
        <v>2727</v>
      </c>
      <c r="H8037" s="1">
        <v>41912</v>
      </c>
      <c r="I8037" s="1">
        <v>41921</v>
      </c>
      <c r="J8037" s="1">
        <v>41921</v>
      </c>
      <c r="K8037" s="1">
        <v>42011</v>
      </c>
      <c r="N8037" s="5"/>
      <c r="O8037">
        <v>135.19999999999999</v>
      </c>
      <c r="P8037">
        <v>237</v>
      </c>
      <c r="Q8037" s="2">
        <v>32042.400000000001</v>
      </c>
      <c r="R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 s="1">
        <v>42382</v>
      </c>
      <c r="AC8037" t="s">
        <v>53</v>
      </c>
      <c r="AD8037" t="s">
        <v>53</v>
      </c>
      <c r="AK8037">
        <v>0</v>
      </c>
      <c r="AU8037" s="6">
        <v>42248</v>
      </c>
      <c r="AV8037" s="6">
        <v>42248</v>
      </c>
      <c r="AW8037" t="s">
        <v>54</v>
      </c>
      <c r="AX8037" t="str">
        <f t="shared" si="652"/>
        <v>FOR</v>
      </c>
      <c r="AY8037" t="s">
        <v>55</v>
      </c>
    </row>
    <row r="8038" spans="1:51" hidden="1">
      <c r="A8038">
        <v>104492</v>
      </c>
      <c r="B8038" t="s">
        <v>1331</v>
      </c>
      <c r="C8038" t="str">
        <f t="shared" si="654"/>
        <v>05354730631</v>
      </c>
      <c r="D8038" t="str">
        <f t="shared" si="654"/>
        <v>05354730631</v>
      </c>
      <c r="E8038" t="s">
        <v>52</v>
      </c>
      <c r="F8038">
        <v>2014</v>
      </c>
      <c r="G8038">
        <v>2728</v>
      </c>
      <c r="H8038" s="1">
        <v>41912</v>
      </c>
      <c r="I8038" s="1">
        <v>41921</v>
      </c>
      <c r="J8038" s="1">
        <v>41921</v>
      </c>
      <c r="K8038" s="1">
        <v>42011</v>
      </c>
      <c r="N8038" s="5"/>
      <c r="O8038">
        <v>104</v>
      </c>
      <c r="P8038">
        <v>237</v>
      </c>
      <c r="Q8038" s="2">
        <v>24648</v>
      </c>
      <c r="R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 s="1">
        <v>42382</v>
      </c>
      <c r="AC8038" t="s">
        <v>53</v>
      </c>
      <c r="AD8038" t="s">
        <v>53</v>
      </c>
      <c r="AK8038">
        <v>0</v>
      </c>
      <c r="AU8038" s="6">
        <v>42248</v>
      </c>
      <c r="AV8038" s="6">
        <v>42248</v>
      </c>
      <c r="AW8038" t="s">
        <v>54</v>
      </c>
      <c r="AX8038" t="str">
        <f t="shared" si="652"/>
        <v>FOR</v>
      </c>
      <c r="AY8038" t="s">
        <v>55</v>
      </c>
    </row>
    <row r="8039" spans="1:51" hidden="1">
      <c r="A8039">
        <v>104492</v>
      </c>
      <c r="B8039" t="s">
        <v>1331</v>
      </c>
      <c r="C8039" t="str">
        <f t="shared" si="654"/>
        <v>05354730631</v>
      </c>
      <c r="D8039" t="str">
        <f t="shared" si="654"/>
        <v>05354730631</v>
      </c>
      <c r="E8039" t="s">
        <v>52</v>
      </c>
      <c r="F8039">
        <v>2014</v>
      </c>
      <c r="G8039">
        <v>2729</v>
      </c>
      <c r="H8039" s="1">
        <v>41912</v>
      </c>
      <c r="I8039" s="1">
        <v>41921</v>
      </c>
      <c r="J8039" s="1">
        <v>41921</v>
      </c>
      <c r="K8039" s="1">
        <v>42011</v>
      </c>
      <c r="N8039" s="5"/>
      <c r="O8039">
        <v>104</v>
      </c>
      <c r="P8039">
        <v>237</v>
      </c>
      <c r="Q8039" s="2">
        <v>24648</v>
      </c>
      <c r="R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 s="1">
        <v>42382</v>
      </c>
      <c r="AC8039" t="s">
        <v>53</v>
      </c>
      <c r="AD8039" t="s">
        <v>53</v>
      </c>
      <c r="AK8039">
        <v>0</v>
      </c>
      <c r="AU8039" s="6">
        <v>42248</v>
      </c>
      <c r="AV8039" s="6">
        <v>42248</v>
      </c>
      <c r="AW8039" t="s">
        <v>54</v>
      </c>
      <c r="AX8039" t="str">
        <f t="shared" si="652"/>
        <v>FOR</v>
      </c>
      <c r="AY8039" t="s">
        <v>55</v>
      </c>
    </row>
    <row r="8040" spans="1:51" hidden="1">
      <c r="A8040">
        <v>104492</v>
      </c>
      <c r="B8040" t="s">
        <v>1331</v>
      </c>
      <c r="C8040" t="str">
        <f t="shared" si="654"/>
        <v>05354730631</v>
      </c>
      <c r="D8040" t="str">
        <f t="shared" si="654"/>
        <v>05354730631</v>
      </c>
      <c r="E8040" t="s">
        <v>52</v>
      </c>
      <c r="F8040">
        <v>2014</v>
      </c>
      <c r="G8040">
        <v>2730</v>
      </c>
      <c r="H8040" s="1">
        <v>41912</v>
      </c>
      <c r="I8040" s="1">
        <v>41921</v>
      </c>
      <c r="J8040" s="1">
        <v>41921</v>
      </c>
      <c r="K8040" s="1">
        <v>42011</v>
      </c>
      <c r="N8040" s="5"/>
      <c r="O8040">
        <v>104</v>
      </c>
      <c r="P8040">
        <v>237</v>
      </c>
      <c r="Q8040" s="2">
        <v>24648</v>
      </c>
      <c r="R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 s="1">
        <v>42382</v>
      </c>
      <c r="AC8040" t="s">
        <v>53</v>
      </c>
      <c r="AD8040" t="s">
        <v>53</v>
      </c>
      <c r="AK8040">
        <v>0</v>
      </c>
      <c r="AU8040" s="6">
        <v>42248</v>
      </c>
      <c r="AV8040" s="6">
        <v>42248</v>
      </c>
      <c r="AW8040" t="s">
        <v>54</v>
      </c>
      <c r="AX8040" t="str">
        <f t="shared" si="652"/>
        <v>FOR</v>
      </c>
      <c r="AY8040" t="s">
        <v>55</v>
      </c>
    </row>
    <row r="8041" spans="1:51" hidden="1">
      <c r="A8041">
        <v>104492</v>
      </c>
      <c r="B8041" t="s">
        <v>1331</v>
      </c>
      <c r="C8041" t="str">
        <f t="shared" si="654"/>
        <v>05354730631</v>
      </c>
      <c r="D8041" t="str">
        <f t="shared" si="654"/>
        <v>05354730631</v>
      </c>
      <c r="E8041" t="s">
        <v>52</v>
      </c>
      <c r="F8041">
        <v>2014</v>
      </c>
      <c r="G8041">
        <v>2731</v>
      </c>
      <c r="H8041" s="1">
        <v>41912</v>
      </c>
      <c r="I8041" s="1">
        <v>41921</v>
      </c>
      <c r="J8041" s="1">
        <v>41921</v>
      </c>
      <c r="K8041" s="1">
        <v>42011</v>
      </c>
      <c r="N8041" s="5"/>
      <c r="O8041">
        <v>104</v>
      </c>
      <c r="P8041">
        <v>237</v>
      </c>
      <c r="Q8041" s="2">
        <v>24648</v>
      </c>
      <c r="R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 s="1">
        <v>42382</v>
      </c>
      <c r="AC8041" t="s">
        <v>53</v>
      </c>
      <c r="AD8041" t="s">
        <v>53</v>
      </c>
      <c r="AK8041">
        <v>0</v>
      </c>
      <c r="AU8041" s="6">
        <v>42248</v>
      </c>
      <c r="AV8041" s="6">
        <v>42248</v>
      </c>
      <c r="AW8041" t="s">
        <v>54</v>
      </c>
      <c r="AX8041" t="str">
        <f t="shared" si="652"/>
        <v>FOR</v>
      </c>
      <c r="AY8041" t="s">
        <v>55</v>
      </c>
    </row>
    <row r="8042" spans="1:51" hidden="1">
      <c r="A8042">
        <v>104492</v>
      </c>
      <c r="B8042" t="s">
        <v>1331</v>
      </c>
      <c r="C8042" t="str">
        <f t="shared" si="654"/>
        <v>05354730631</v>
      </c>
      <c r="D8042" t="str">
        <f t="shared" si="654"/>
        <v>05354730631</v>
      </c>
      <c r="E8042" t="s">
        <v>52</v>
      </c>
      <c r="F8042">
        <v>2014</v>
      </c>
      <c r="G8042">
        <v>2732</v>
      </c>
      <c r="H8042" s="1">
        <v>41912</v>
      </c>
      <c r="I8042" s="1">
        <v>41921</v>
      </c>
      <c r="J8042" s="1">
        <v>41921</v>
      </c>
      <c r="K8042" s="1">
        <v>42011</v>
      </c>
      <c r="N8042" s="5"/>
      <c r="O8042">
        <v>135.19999999999999</v>
      </c>
      <c r="P8042">
        <v>237</v>
      </c>
      <c r="Q8042" s="2">
        <v>32042.400000000001</v>
      </c>
      <c r="R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 s="1">
        <v>42382</v>
      </c>
      <c r="AC8042" t="s">
        <v>53</v>
      </c>
      <c r="AD8042" t="s">
        <v>53</v>
      </c>
      <c r="AK8042">
        <v>0</v>
      </c>
      <c r="AU8042" s="6">
        <v>42248</v>
      </c>
      <c r="AV8042" s="6">
        <v>42248</v>
      </c>
      <c r="AW8042" t="s">
        <v>54</v>
      </c>
      <c r="AX8042" t="str">
        <f t="shared" si="652"/>
        <v>FOR</v>
      </c>
      <c r="AY8042" t="s">
        <v>55</v>
      </c>
    </row>
    <row r="8043" spans="1:51" hidden="1">
      <c r="A8043">
        <v>104492</v>
      </c>
      <c r="B8043" t="s">
        <v>1331</v>
      </c>
      <c r="C8043" t="str">
        <f t="shared" si="654"/>
        <v>05354730631</v>
      </c>
      <c r="D8043" t="str">
        <f t="shared" si="654"/>
        <v>05354730631</v>
      </c>
      <c r="E8043" t="s">
        <v>52</v>
      </c>
      <c r="F8043">
        <v>2014</v>
      </c>
      <c r="G8043">
        <v>2736</v>
      </c>
      <c r="H8043" s="1">
        <v>41912</v>
      </c>
      <c r="I8043" s="1">
        <v>41920</v>
      </c>
      <c r="J8043" s="1">
        <v>41920</v>
      </c>
      <c r="K8043" s="1">
        <v>42010</v>
      </c>
      <c r="N8043" s="5"/>
      <c r="O8043" s="2">
        <v>5673</v>
      </c>
      <c r="P8043">
        <v>238</v>
      </c>
      <c r="Q8043" s="2">
        <v>1350174</v>
      </c>
      <c r="R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 s="1">
        <v>42382</v>
      </c>
      <c r="AC8043" t="s">
        <v>53</v>
      </c>
      <c r="AD8043" t="s">
        <v>53</v>
      </c>
      <c r="AK8043">
        <v>0</v>
      </c>
      <c r="AU8043" s="6">
        <v>42248</v>
      </c>
      <c r="AV8043" s="6">
        <v>42248</v>
      </c>
      <c r="AW8043" t="s">
        <v>54</v>
      </c>
      <c r="AX8043" t="str">
        <f t="shared" si="652"/>
        <v>FOR</v>
      </c>
      <c r="AY8043" t="s">
        <v>55</v>
      </c>
    </row>
    <row r="8044" spans="1:51" hidden="1">
      <c r="A8044">
        <v>104492</v>
      </c>
      <c r="B8044" t="s">
        <v>1331</v>
      </c>
      <c r="C8044" t="str">
        <f t="shared" si="654"/>
        <v>05354730631</v>
      </c>
      <c r="D8044" t="str">
        <f t="shared" si="654"/>
        <v>05354730631</v>
      </c>
      <c r="E8044" t="s">
        <v>52</v>
      </c>
      <c r="F8044">
        <v>2014</v>
      </c>
      <c r="G8044">
        <v>2767</v>
      </c>
      <c r="H8044" s="1">
        <v>41912</v>
      </c>
      <c r="I8044" s="1">
        <v>41922</v>
      </c>
      <c r="J8044" s="1">
        <v>41922</v>
      </c>
      <c r="K8044" s="1">
        <v>42012</v>
      </c>
      <c r="N8044" s="5"/>
      <c r="O8044">
        <v>135.19999999999999</v>
      </c>
      <c r="P8044">
        <v>236</v>
      </c>
      <c r="Q8044" s="2">
        <v>31907.200000000001</v>
      </c>
      <c r="R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 s="1">
        <v>42382</v>
      </c>
      <c r="AC8044" t="s">
        <v>53</v>
      </c>
      <c r="AD8044" t="s">
        <v>53</v>
      </c>
      <c r="AK8044">
        <v>0</v>
      </c>
      <c r="AU8044" s="6">
        <v>42248</v>
      </c>
      <c r="AV8044" s="6">
        <v>42248</v>
      </c>
      <c r="AW8044" t="s">
        <v>54</v>
      </c>
      <c r="AX8044" t="str">
        <f t="shared" si="652"/>
        <v>FOR</v>
      </c>
      <c r="AY8044" t="s">
        <v>55</v>
      </c>
    </row>
    <row r="8045" spans="1:51" hidden="1">
      <c r="A8045">
        <v>104492</v>
      </c>
      <c r="B8045" t="s">
        <v>1331</v>
      </c>
      <c r="C8045" t="str">
        <f t="shared" ref="C8045:D8064" si="655">"05354730631"</f>
        <v>05354730631</v>
      </c>
      <c r="D8045" t="str">
        <f t="shared" si="655"/>
        <v>05354730631</v>
      </c>
      <c r="E8045" t="s">
        <v>52</v>
      </c>
      <c r="F8045">
        <v>2014</v>
      </c>
      <c r="G8045">
        <v>2768</v>
      </c>
      <c r="H8045" s="1">
        <v>41912</v>
      </c>
      <c r="I8045" s="1">
        <v>41922</v>
      </c>
      <c r="J8045" s="1">
        <v>41922</v>
      </c>
      <c r="K8045" s="1">
        <v>42012</v>
      </c>
      <c r="N8045" s="5"/>
      <c r="O8045">
        <v>135.19999999999999</v>
      </c>
      <c r="P8045">
        <v>236</v>
      </c>
      <c r="Q8045" s="2">
        <v>31907.200000000001</v>
      </c>
      <c r="R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 s="1">
        <v>42382</v>
      </c>
      <c r="AC8045" t="s">
        <v>53</v>
      </c>
      <c r="AD8045" t="s">
        <v>53</v>
      </c>
      <c r="AK8045">
        <v>0</v>
      </c>
      <c r="AU8045" s="6">
        <v>42248</v>
      </c>
      <c r="AV8045" s="6">
        <v>42248</v>
      </c>
      <c r="AW8045" t="s">
        <v>54</v>
      </c>
      <c r="AX8045" t="str">
        <f t="shared" si="652"/>
        <v>FOR</v>
      </c>
      <c r="AY8045" t="s">
        <v>55</v>
      </c>
    </row>
    <row r="8046" spans="1:51" hidden="1">
      <c r="A8046">
        <v>104492</v>
      </c>
      <c r="B8046" t="s">
        <v>1331</v>
      </c>
      <c r="C8046" t="str">
        <f t="shared" si="655"/>
        <v>05354730631</v>
      </c>
      <c r="D8046" t="str">
        <f t="shared" si="655"/>
        <v>05354730631</v>
      </c>
      <c r="E8046" t="s">
        <v>52</v>
      </c>
      <c r="F8046">
        <v>2014</v>
      </c>
      <c r="G8046">
        <v>2769</v>
      </c>
      <c r="H8046" s="1">
        <v>41912</v>
      </c>
      <c r="I8046" s="1">
        <v>41922</v>
      </c>
      <c r="J8046" s="1">
        <v>41922</v>
      </c>
      <c r="K8046" s="1">
        <v>42012</v>
      </c>
      <c r="N8046" s="5"/>
      <c r="O8046">
        <v>135.19999999999999</v>
      </c>
      <c r="P8046">
        <v>236</v>
      </c>
      <c r="Q8046" s="2">
        <v>31907.200000000001</v>
      </c>
      <c r="R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 s="1">
        <v>42382</v>
      </c>
      <c r="AC8046" t="s">
        <v>53</v>
      </c>
      <c r="AD8046" t="s">
        <v>53</v>
      </c>
      <c r="AK8046">
        <v>0</v>
      </c>
      <c r="AU8046" s="6">
        <v>42248</v>
      </c>
      <c r="AV8046" s="6">
        <v>42248</v>
      </c>
      <c r="AW8046" t="s">
        <v>54</v>
      </c>
      <c r="AX8046" t="str">
        <f t="shared" si="652"/>
        <v>FOR</v>
      </c>
      <c r="AY8046" t="s">
        <v>55</v>
      </c>
    </row>
    <row r="8047" spans="1:51" hidden="1">
      <c r="A8047">
        <v>104492</v>
      </c>
      <c r="B8047" t="s">
        <v>1331</v>
      </c>
      <c r="C8047" t="str">
        <f t="shared" si="655"/>
        <v>05354730631</v>
      </c>
      <c r="D8047" t="str">
        <f t="shared" si="655"/>
        <v>05354730631</v>
      </c>
      <c r="E8047" t="s">
        <v>52</v>
      </c>
      <c r="F8047">
        <v>2014</v>
      </c>
      <c r="G8047">
        <v>2770</v>
      </c>
      <c r="H8047" s="1">
        <v>41912</v>
      </c>
      <c r="I8047" s="1">
        <v>41922</v>
      </c>
      <c r="J8047" s="1">
        <v>41922</v>
      </c>
      <c r="K8047" s="1">
        <v>42012</v>
      </c>
      <c r="N8047" s="5"/>
      <c r="O8047">
        <v>135.19999999999999</v>
      </c>
      <c r="P8047">
        <v>236</v>
      </c>
      <c r="Q8047" s="2">
        <v>31907.200000000001</v>
      </c>
      <c r="R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 s="1">
        <v>42382</v>
      </c>
      <c r="AC8047" t="s">
        <v>53</v>
      </c>
      <c r="AD8047" t="s">
        <v>53</v>
      </c>
      <c r="AK8047">
        <v>0</v>
      </c>
      <c r="AU8047" s="6">
        <v>42248</v>
      </c>
      <c r="AV8047" s="6">
        <v>42248</v>
      </c>
      <c r="AW8047" t="s">
        <v>54</v>
      </c>
      <c r="AX8047" t="str">
        <f t="shared" si="652"/>
        <v>FOR</v>
      </c>
      <c r="AY8047" t="s">
        <v>55</v>
      </c>
    </row>
    <row r="8048" spans="1:51">
      <c r="A8048">
        <v>104492</v>
      </c>
      <c r="B8048" t="s">
        <v>1331</v>
      </c>
      <c r="C8048" t="str">
        <f t="shared" si="655"/>
        <v>05354730631</v>
      </c>
      <c r="D8048" t="str">
        <f t="shared" si="655"/>
        <v>05354730631</v>
      </c>
      <c r="E8048" t="s">
        <v>52</v>
      </c>
      <c r="F8048">
        <v>2014</v>
      </c>
      <c r="G8048">
        <v>2858</v>
      </c>
      <c r="H8048" s="1">
        <v>41922</v>
      </c>
      <c r="I8048" s="1">
        <v>41932</v>
      </c>
      <c r="J8048" s="1">
        <v>41932</v>
      </c>
      <c r="K8048" s="1">
        <v>41992</v>
      </c>
      <c r="L8048" s="7">
        <v>135.19999999999999</v>
      </c>
      <c r="M8048" s="5">
        <v>286</v>
      </c>
      <c r="N8048" s="7">
        <v>38667.199999999997</v>
      </c>
      <c r="O8048">
        <v>135.19999999999999</v>
      </c>
      <c r="P8048">
        <v>286</v>
      </c>
      <c r="Q8048" s="2">
        <v>38667.199999999997</v>
      </c>
      <c r="R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 s="1">
        <v>42382</v>
      </c>
      <c r="AC8048" t="s">
        <v>53</v>
      </c>
      <c r="AD8048" t="s">
        <v>53</v>
      </c>
      <c r="AK8048">
        <v>0</v>
      </c>
      <c r="AU8048" s="6">
        <v>42278</v>
      </c>
      <c r="AV8048" s="6">
        <v>42278</v>
      </c>
      <c r="AW8048" t="s">
        <v>54</v>
      </c>
      <c r="AX8048" t="str">
        <f t="shared" si="652"/>
        <v>FOR</v>
      </c>
      <c r="AY8048" t="s">
        <v>55</v>
      </c>
    </row>
    <row r="8049" spans="1:51">
      <c r="A8049">
        <v>104492</v>
      </c>
      <c r="B8049" t="s">
        <v>1331</v>
      </c>
      <c r="C8049" t="str">
        <f t="shared" si="655"/>
        <v>05354730631</v>
      </c>
      <c r="D8049" t="str">
        <f t="shared" si="655"/>
        <v>05354730631</v>
      </c>
      <c r="E8049" t="s">
        <v>52</v>
      </c>
      <c r="F8049">
        <v>2014</v>
      </c>
      <c r="G8049">
        <v>2859</v>
      </c>
      <c r="H8049" s="1">
        <v>41922</v>
      </c>
      <c r="I8049" s="1">
        <v>41932</v>
      </c>
      <c r="J8049" s="1">
        <v>41932</v>
      </c>
      <c r="K8049" s="1">
        <v>41992</v>
      </c>
      <c r="L8049" s="7">
        <v>104</v>
      </c>
      <c r="M8049" s="5">
        <v>286</v>
      </c>
      <c r="N8049" s="7">
        <v>29744</v>
      </c>
      <c r="O8049">
        <v>104</v>
      </c>
      <c r="P8049">
        <v>286</v>
      </c>
      <c r="Q8049" s="2">
        <v>29744</v>
      </c>
      <c r="R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 s="1">
        <v>42382</v>
      </c>
      <c r="AC8049" t="s">
        <v>53</v>
      </c>
      <c r="AD8049" t="s">
        <v>53</v>
      </c>
      <c r="AK8049">
        <v>0</v>
      </c>
      <c r="AU8049" s="6">
        <v>42278</v>
      </c>
      <c r="AV8049" s="6">
        <v>42278</v>
      </c>
      <c r="AW8049" t="s">
        <v>54</v>
      </c>
      <c r="AX8049" t="str">
        <f t="shared" si="652"/>
        <v>FOR</v>
      </c>
      <c r="AY8049" t="s">
        <v>55</v>
      </c>
    </row>
    <row r="8050" spans="1:51">
      <c r="A8050">
        <v>104492</v>
      </c>
      <c r="B8050" t="s">
        <v>1331</v>
      </c>
      <c r="C8050" t="str">
        <f t="shared" si="655"/>
        <v>05354730631</v>
      </c>
      <c r="D8050" t="str">
        <f t="shared" si="655"/>
        <v>05354730631</v>
      </c>
      <c r="E8050" t="s">
        <v>52</v>
      </c>
      <c r="F8050">
        <v>2014</v>
      </c>
      <c r="G8050">
        <v>2860</v>
      </c>
      <c r="H8050" s="1">
        <v>41922</v>
      </c>
      <c r="I8050" s="1">
        <v>41932</v>
      </c>
      <c r="J8050" s="1">
        <v>41932</v>
      </c>
      <c r="K8050" s="1">
        <v>41992</v>
      </c>
      <c r="L8050" s="7">
        <v>135.19999999999999</v>
      </c>
      <c r="M8050" s="5">
        <v>286</v>
      </c>
      <c r="N8050" s="7">
        <v>38667.199999999997</v>
      </c>
      <c r="O8050">
        <v>135.19999999999999</v>
      </c>
      <c r="P8050">
        <v>286</v>
      </c>
      <c r="Q8050" s="2">
        <v>38667.199999999997</v>
      </c>
      <c r="R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 s="1">
        <v>42382</v>
      </c>
      <c r="AC8050" t="s">
        <v>53</v>
      </c>
      <c r="AD8050" t="s">
        <v>53</v>
      </c>
      <c r="AK8050">
        <v>0</v>
      </c>
      <c r="AU8050" s="6">
        <v>42278</v>
      </c>
      <c r="AV8050" s="6">
        <v>42278</v>
      </c>
      <c r="AW8050" t="s">
        <v>54</v>
      </c>
      <c r="AX8050" t="str">
        <f t="shared" si="652"/>
        <v>FOR</v>
      </c>
      <c r="AY8050" t="s">
        <v>55</v>
      </c>
    </row>
    <row r="8051" spans="1:51">
      <c r="A8051">
        <v>104492</v>
      </c>
      <c r="B8051" t="s">
        <v>1331</v>
      </c>
      <c r="C8051" t="str">
        <f t="shared" si="655"/>
        <v>05354730631</v>
      </c>
      <c r="D8051" t="str">
        <f t="shared" si="655"/>
        <v>05354730631</v>
      </c>
      <c r="E8051" t="s">
        <v>52</v>
      </c>
      <c r="F8051">
        <v>2014</v>
      </c>
      <c r="G8051">
        <v>2861</v>
      </c>
      <c r="H8051" s="1">
        <v>41922</v>
      </c>
      <c r="I8051" s="1">
        <v>41932</v>
      </c>
      <c r="J8051" s="1">
        <v>41932</v>
      </c>
      <c r="K8051" s="1">
        <v>41992</v>
      </c>
      <c r="L8051" s="7">
        <v>135.19999999999999</v>
      </c>
      <c r="M8051" s="5">
        <v>286</v>
      </c>
      <c r="N8051" s="7">
        <v>38667.199999999997</v>
      </c>
      <c r="O8051">
        <v>135.19999999999999</v>
      </c>
      <c r="P8051">
        <v>286</v>
      </c>
      <c r="Q8051" s="2">
        <v>38667.199999999997</v>
      </c>
      <c r="R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 s="1">
        <v>42382</v>
      </c>
      <c r="AC8051" t="s">
        <v>53</v>
      </c>
      <c r="AD8051" t="s">
        <v>53</v>
      </c>
      <c r="AK8051">
        <v>0</v>
      </c>
      <c r="AU8051" s="6">
        <v>42278</v>
      </c>
      <c r="AV8051" s="6">
        <v>42278</v>
      </c>
      <c r="AW8051" t="s">
        <v>54</v>
      </c>
      <c r="AX8051" t="str">
        <f t="shared" si="652"/>
        <v>FOR</v>
      </c>
      <c r="AY8051" t="s">
        <v>55</v>
      </c>
    </row>
    <row r="8052" spans="1:51">
      <c r="A8052">
        <v>104492</v>
      </c>
      <c r="B8052" t="s">
        <v>1331</v>
      </c>
      <c r="C8052" t="str">
        <f t="shared" si="655"/>
        <v>05354730631</v>
      </c>
      <c r="D8052" t="str">
        <f t="shared" si="655"/>
        <v>05354730631</v>
      </c>
      <c r="E8052" t="s">
        <v>52</v>
      </c>
      <c r="F8052">
        <v>2014</v>
      </c>
      <c r="G8052">
        <v>2862</v>
      </c>
      <c r="H8052" s="1">
        <v>41922</v>
      </c>
      <c r="I8052" s="1">
        <v>41932</v>
      </c>
      <c r="J8052" s="1">
        <v>41932</v>
      </c>
      <c r="K8052" s="1">
        <v>41992</v>
      </c>
      <c r="L8052" s="7">
        <v>104</v>
      </c>
      <c r="M8052" s="5">
        <v>286</v>
      </c>
      <c r="N8052" s="7">
        <v>29744</v>
      </c>
      <c r="O8052">
        <v>104</v>
      </c>
      <c r="P8052">
        <v>286</v>
      </c>
      <c r="Q8052" s="2">
        <v>29744</v>
      </c>
      <c r="R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 s="1">
        <v>42382</v>
      </c>
      <c r="AC8052" t="s">
        <v>53</v>
      </c>
      <c r="AD8052" t="s">
        <v>53</v>
      </c>
      <c r="AK8052">
        <v>0</v>
      </c>
      <c r="AU8052" s="6">
        <v>42278</v>
      </c>
      <c r="AV8052" s="6">
        <v>42278</v>
      </c>
      <c r="AW8052" t="s">
        <v>54</v>
      </c>
      <c r="AX8052" t="str">
        <f t="shared" si="652"/>
        <v>FOR</v>
      </c>
      <c r="AY8052" t="s">
        <v>55</v>
      </c>
    </row>
    <row r="8053" spans="1:51">
      <c r="A8053">
        <v>104492</v>
      </c>
      <c r="B8053" t="s">
        <v>1331</v>
      </c>
      <c r="C8053" t="str">
        <f t="shared" si="655"/>
        <v>05354730631</v>
      </c>
      <c r="D8053" t="str">
        <f t="shared" si="655"/>
        <v>05354730631</v>
      </c>
      <c r="E8053" t="s">
        <v>52</v>
      </c>
      <c r="F8053">
        <v>2014</v>
      </c>
      <c r="G8053">
        <v>2863</v>
      </c>
      <c r="H8053" s="1">
        <v>41922</v>
      </c>
      <c r="I8053" s="1">
        <v>41932</v>
      </c>
      <c r="J8053" s="1">
        <v>41932</v>
      </c>
      <c r="K8053" s="1">
        <v>41992</v>
      </c>
      <c r="L8053" s="7">
        <v>104</v>
      </c>
      <c r="M8053" s="5">
        <v>286</v>
      </c>
      <c r="N8053" s="7">
        <v>29744</v>
      </c>
      <c r="O8053">
        <v>104</v>
      </c>
      <c r="P8053">
        <v>286</v>
      </c>
      <c r="Q8053" s="2">
        <v>29744</v>
      </c>
      <c r="R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 s="1">
        <v>42382</v>
      </c>
      <c r="AC8053" t="s">
        <v>53</v>
      </c>
      <c r="AD8053" t="s">
        <v>53</v>
      </c>
      <c r="AK8053">
        <v>0</v>
      </c>
      <c r="AU8053" s="6">
        <v>42278</v>
      </c>
      <c r="AV8053" s="6">
        <v>42278</v>
      </c>
      <c r="AW8053" t="s">
        <v>54</v>
      </c>
      <c r="AX8053" t="str">
        <f t="shared" si="652"/>
        <v>FOR</v>
      </c>
      <c r="AY8053" t="s">
        <v>55</v>
      </c>
    </row>
    <row r="8054" spans="1:51">
      <c r="A8054">
        <v>104492</v>
      </c>
      <c r="B8054" t="s">
        <v>1331</v>
      </c>
      <c r="C8054" t="str">
        <f t="shared" si="655"/>
        <v>05354730631</v>
      </c>
      <c r="D8054" t="str">
        <f t="shared" si="655"/>
        <v>05354730631</v>
      </c>
      <c r="E8054" t="s">
        <v>52</v>
      </c>
      <c r="F8054">
        <v>2014</v>
      </c>
      <c r="G8054">
        <v>2864</v>
      </c>
      <c r="H8054" s="1">
        <v>41922</v>
      </c>
      <c r="I8054" s="1">
        <v>41932</v>
      </c>
      <c r="J8054" s="1">
        <v>41932</v>
      </c>
      <c r="K8054" s="1">
        <v>41992</v>
      </c>
      <c r="L8054" s="7">
        <v>104</v>
      </c>
      <c r="M8054" s="5">
        <v>286</v>
      </c>
      <c r="N8054" s="7">
        <v>29744</v>
      </c>
      <c r="O8054">
        <v>104</v>
      </c>
      <c r="P8054">
        <v>286</v>
      </c>
      <c r="Q8054" s="2">
        <v>29744</v>
      </c>
      <c r="R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 s="1">
        <v>42382</v>
      </c>
      <c r="AC8054" t="s">
        <v>53</v>
      </c>
      <c r="AD8054" t="s">
        <v>53</v>
      </c>
      <c r="AK8054">
        <v>0</v>
      </c>
      <c r="AU8054" s="6">
        <v>42278</v>
      </c>
      <c r="AV8054" s="6">
        <v>42278</v>
      </c>
      <c r="AW8054" t="s">
        <v>54</v>
      </c>
      <c r="AX8054" t="str">
        <f t="shared" si="652"/>
        <v>FOR</v>
      </c>
      <c r="AY8054" t="s">
        <v>55</v>
      </c>
    </row>
    <row r="8055" spans="1:51">
      <c r="A8055">
        <v>104492</v>
      </c>
      <c r="B8055" t="s">
        <v>1331</v>
      </c>
      <c r="C8055" t="str">
        <f t="shared" si="655"/>
        <v>05354730631</v>
      </c>
      <c r="D8055" t="str">
        <f t="shared" si="655"/>
        <v>05354730631</v>
      </c>
      <c r="E8055" t="s">
        <v>52</v>
      </c>
      <c r="F8055">
        <v>2014</v>
      </c>
      <c r="G8055">
        <v>2865</v>
      </c>
      <c r="H8055" s="1">
        <v>41922</v>
      </c>
      <c r="I8055" s="1">
        <v>41932</v>
      </c>
      <c r="J8055" s="1">
        <v>41932</v>
      </c>
      <c r="K8055" s="1">
        <v>41992</v>
      </c>
      <c r="L8055" s="7">
        <v>104</v>
      </c>
      <c r="M8055" s="5">
        <v>286</v>
      </c>
      <c r="N8055" s="7">
        <v>29744</v>
      </c>
      <c r="O8055">
        <v>104</v>
      </c>
      <c r="P8055">
        <v>286</v>
      </c>
      <c r="Q8055" s="2">
        <v>29744</v>
      </c>
      <c r="R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 s="1">
        <v>42382</v>
      </c>
      <c r="AC8055" t="s">
        <v>53</v>
      </c>
      <c r="AD8055" t="s">
        <v>53</v>
      </c>
      <c r="AK8055">
        <v>0</v>
      </c>
      <c r="AU8055" s="6">
        <v>42278</v>
      </c>
      <c r="AV8055" s="6">
        <v>42278</v>
      </c>
      <c r="AW8055" t="s">
        <v>54</v>
      </c>
      <c r="AX8055" t="str">
        <f t="shared" si="652"/>
        <v>FOR</v>
      </c>
      <c r="AY8055" t="s">
        <v>55</v>
      </c>
    </row>
    <row r="8056" spans="1:51">
      <c r="A8056">
        <v>104492</v>
      </c>
      <c r="B8056" t="s">
        <v>1331</v>
      </c>
      <c r="C8056" t="str">
        <f t="shared" si="655"/>
        <v>05354730631</v>
      </c>
      <c r="D8056" t="str">
        <f t="shared" si="655"/>
        <v>05354730631</v>
      </c>
      <c r="E8056" t="s">
        <v>52</v>
      </c>
      <c r="F8056">
        <v>2014</v>
      </c>
      <c r="G8056">
        <v>2967</v>
      </c>
      <c r="H8056" s="1">
        <v>41933</v>
      </c>
      <c r="I8056" s="1">
        <v>41939</v>
      </c>
      <c r="J8056" s="1">
        <v>41939</v>
      </c>
      <c r="K8056" s="1">
        <v>41999</v>
      </c>
      <c r="L8056" s="7">
        <v>135.19999999999999</v>
      </c>
      <c r="M8056" s="5">
        <v>279</v>
      </c>
      <c r="N8056" s="7">
        <v>37720.800000000003</v>
      </c>
      <c r="O8056">
        <v>135.19999999999999</v>
      </c>
      <c r="P8056">
        <v>279</v>
      </c>
      <c r="Q8056" s="2">
        <v>37720.800000000003</v>
      </c>
      <c r="R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 s="1">
        <v>42382</v>
      </c>
      <c r="AC8056" t="s">
        <v>53</v>
      </c>
      <c r="AD8056" t="s">
        <v>53</v>
      </c>
      <c r="AK8056">
        <v>0</v>
      </c>
      <c r="AU8056" s="6">
        <v>42278</v>
      </c>
      <c r="AV8056" s="6">
        <v>42278</v>
      </c>
      <c r="AW8056" t="s">
        <v>54</v>
      </c>
      <c r="AX8056" t="str">
        <f t="shared" si="652"/>
        <v>FOR</v>
      </c>
      <c r="AY8056" t="s">
        <v>55</v>
      </c>
    </row>
    <row r="8057" spans="1:51">
      <c r="A8057">
        <v>104492</v>
      </c>
      <c r="B8057" t="s">
        <v>1331</v>
      </c>
      <c r="C8057" t="str">
        <f t="shared" si="655"/>
        <v>05354730631</v>
      </c>
      <c r="D8057" t="str">
        <f t="shared" si="655"/>
        <v>05354730631</v>
      </c>
      <c r="E8057" t="s">
        <v>52</v>
      </c>
      <c r="F8057">
        <v>2014</v>
      </c>
      <c r="G8057">
        <v>2968</v>
      </c>
      <c r="H8057" s="1">
        <v>41933</v>
      </c>
      <c r="I8057" s="1">
        <v>41939</v>
      </c>
      <c r="J8057" s="1">
        <v>41939</v>
      </c>
      <c r="K8057" s="1">
        <v>41999</v>
      </c>
      <c r="L8057" s="7">
        <v>104</v>
      </c>
      <c r="M8057" s="5">
        <v>279</v>
      </c>
      <c r="N8057" s="7">
        <v>29016</v>
      </c>
      <c r="O8057">
        <v>104</v>
      </c>
      <c r="P8057">
        <v>279</v>
      </c>
      <c r="Q8057" s="2">
        <v>29016</v>
      </c>
      <c r="R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 s="1">
        <v>42382</v>
      </c>
      <c r="AC8057" t="s">
        <v>53</v>
      </c>
      <c r="AD8057" t="s">
        <v>53</v>
      </c>
      <c r="AK8057">
        <v>0</v>
      </c>
      <c r="AU8057" s="6">
        <v>42278</v>
      </c>
      <c r="AV8057" s="6">
        <v>42278</v>
      </c>
      <c r="AW8057" t="s">
        <v>54</v>
      </c>
      <c r="AX8057" t="str">
        <f t="shared" si="652"/>
        <v>FOR</v>
      </c>
      <c r="AY8057" t="s">
        <v>55</v>
      </c>
    </row>
    <row r="8058" spans="1:51">
      <c r="A8058">
        <v>104492</v>
      </c>
      <c r="B8058" t="s">
        <v>1331</v>
      </c>
      <c r="C8058" t="str">
        <f t="shared" si="655"/>
        <v>05354730631</v>
      </c>
      <c r="D8058" t="str">
        <f t="shared" si="655"/>
        <v>05354730631</v>
      </c>
      <c r="E8058" t="s">
        <v>52</v>
      </c>
      <c r="F8058">
        <v>2014</v>
      </c>
      <c r="G8058">
        <v>2969</v>
      </c>
      <c r="H8058" s="1">
        <v>41933</v>
      </c>
      <c r="I8058" s="1">
        <v>41939</v>
      </c>
      <c r="J8058" s="1">
        <v>41939</v>
      </c>
      <c r="K8058" s="1">
        <v>41999</v>
      </c>
      <c r="L8058" s="7">
        <v>104</v>
      </c>
      <c r="M8058" s="5">
        <v>279</v>
      </c>
      <c r="N8058" s="7">
        <v>29016</v>
      </c>
      <c r="O8058">
        <v>104</v>
      </c>
      <c r="P8058">
        <v>279</v>
      </c>
      <c r="Q8058" s="2">
        <v>29016</v>
      </c>
      <c r="R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 s="1">
        <v>42382</v>
      </c>
      <c r="AC8058" t="s">
        <v>53</v>
      </c>
      <c r="AD8058" t="s">
        <v>53</v>
      </c>
      <c r="AK8058">
        <v>0</v>
      </c>
      <c r="AU8058" s="6">
        <v>42278</v>
      </c>
      <c r="AV8058" s="6">
        <v>42278</v>
      </c>
      <c r="AW8058" t="s">
        <v>54</v>
      </c>
      <c r="AX8058" t="str">
        <f t="shared" si="652"/>
        <v>FOR</v>
      </c>
      <c r="AY8058" t="s">
        <v>55</v>
      </c>
    </row>
    <row r="8059" spans="1:51">
      <c r="A8059">
        <v>104492</v>
      </c>
      <c r="B8059" t="s">
        <v>1331</v>
      </c>
      <c r="C8059" t="str">
        <f t="shared" si="655"/>
        <v>05354730631</v>
      </c>
      <c r="D8059" t="str">
        <f t="shared" si="655"/>
        <v>05354730631</v>
      </c>
      <c r="E8059" t="s">
        <v>52</v>
      </c>
      <c r="F8059">
        <v>2014</v>
      </c>
      <c r="G8059">
        <v>3052</v>
      </c>
      <c r="H8059" s="1">
        <v>41936</v>
      </c>
      <c r="I8059" s="1">
        <v>41946</v>
      </c>
      <c r="J8059" s="1">
        <v>41946</v>
      </c>
      <c r="K8059" s="1">
        <v>42006</v>
      </c>
      <c r="L8059" s="7">
        <v>640.5</v>
      </c>
      <c r="M8059" s="5">
        <v>272</v>
      </c>
      <c r="N8059" s="7">
        <v>174216</v>
      </c>
      <c r="O8059">
        <v>640.5</v>
      </c>
      <c r="P8059">
        <v>272</v>
      </c>
      <c r="Q8059" s="2">
        <v>174216</v>
      </c>
      <c r="R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 s="1">
        <v>42382</v>
      </c>
      <c r="AC8059" t="s">
        <v>53</v>
      </c>
      <c r="AD8059" t="s">
        <v>53</v>
      </c>
      <c r="AK8059">
        <v>0</v>
      </c>
      <c r="AU8059" s="6">
        <v>42278</v>
      </c>
      <c r="AV8059" s="6">
        <v>42278</v>
      </c>
      <c r="AW8059" t="s">
        <v>54</v>
      </c>
      <c r="AX8059" t="str">
        <f t="shared" si="652"/>
        <v>FOR</v>
      </c>
      <c r="AY8059" t="s">
        <v>55</v>
      </c>
    </row>
    <row r="8060" spans="1:51">
      <c r="A8060">
        <v>104492</v>
      </c>
      <c r="B8060" t="s">
        <v>1331</v>
      </c>
      <c r="C8060" t="str">
        <f t="shared" si="655"/>
        <v>05354730631</v>
      </c>
      <c r="D8060" t="str">
        <f t="shared" si="655"/>
        <v>05354730631</v>
      </c>
      <c r="E8060" t="s">
        <v>52</v>
      </c>
      <c r="F8060">
        <v>2014</v>
      </c>
      <c r="G8060">
        <v>3062</v>
      </c>
      <c r="H8060" s="1">
        <v>41939</v>
      </c>
      <c r="I8060" s="1">
        <v>41946</v>
      </c>
      <c r="J8060" s="1">
        <v>41946</v>
      </c>
      <c r="K8060" s="1">
        <v>42006</v>
      </c>
      <c r="L8060" s="7">
        <v>3184.2</v>
      </c>
      <c r="M8060" s="5">
        <v>272</v>
      </c>
      <c r="N8060" s="7">
        <v>866102.4</v>
      </c>
      <c r="O8060" s="2">
        <v>3184.2</v>
      </c>
      <c r="P8060">
        <v>272</v>
      </c>
      <c r="Q8060" s="2">
        <v>866102.4</v>
      </c>
      <c r="R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 s="1">
        <v>42382</v>
      </c>
      <c r="AC8060" t="s">
        <v>53</v>
      </c>
      <c r="AD8060" t="s">
        <v>53</v>
      </c>
      <c r="AK8060">
        <v>0</v>
      </c>
      <c r="AU8060" s="6">
        <v>42278</v>
      </c>
      <c r="AV8060" s="6">
        <v>42278</v>
      </c>
      <c r="AW8060" t="s">
        <v>54</v>
      </c>
      <c r="AX8060" t="str">
        <f t="shared" si="652"/>
        <v>FOR</v>
      </c>
      <c r="AY8060" t="s">
        <v>55</v>
      </c>
    </row>
    <row r="8061" spans="1:51">
      <c r="A8061">
        <v>104492</v>
      </c>
      <c r="B8061" t="s">
        <v>1331</v>
      </c>
      <c r="C8061" t="str">
        <f t="shared" si="655"/>
        <v>05354730631</v>
      </c>
      <c r="D8061" t="str">
        <f t="shared" si="655"/>
        <v>05354730631</v>
      </c>
      <c r="E8061" t="s">
        <v>52</v>
      </c>
      <c r="F8061">
        <v>2014</v>
      </c>
      <c r="G8061">
        <v>3065</v>
      </c>
      <c r="H8061" s="1">
        <v>41939</v>
      </c>
      <c r="I8061" s="1">
        <v>41949</v>
      </c>
      <c r="J8061" s="1">
        <v>41949</v>
      </c>
      <c r="K8061" s="1">
        <v>42009</v>
      </c>
      <c r="L8061" s="7">
        <v>5673</v>
      </c>
      <c r="M8061" s="5">
        <v>269</v>
      </c>
      <c r="N8061" s="7">
        <v>1526037</v>
      </c>
      <c r="O8061" s="2">
        <v>5673</v>
      </c>
      <c r="P8061">
        <v>269</v>
      </c>
      <c r="Q8061" s="2">
        <v>1526037</v>
      </c>
      <c r="R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 s="1">
        <v>42382</v>
      </c>
      <c r="AC8061" t="s">
        <v>53</v>
      </c>
      <c r="AD8061" t="s">
        <v>53</v>
      </c>
      <c r="AK8061">
        <v>0</v>
      </c>
      <c r="AU8061" s="6">
        <v>42278</v>
      </c>
      <c r="AV8061" s="6">
        <v>42278</v>
      </c>
      <c r="AW8061" t="s">
        <v>54</v>
      </c>
      <c r="AX8061" t="str">
        <f t="shared" si="652"/>
        <v>FOR</v>
      </c>
      <c r="AY8061" t="s">
        <v>55</v>
      </c>
    </row>
    <row r="8062" spans="1:51">
      <c r="A8062">
        <v>104492</v>
      </c>
      <c r="B8062" t="s">
        <v>1331</v>
      </c>
      <c r="C8062" t="str">
        <f t="shared" si="655"/>
        <v>05354730631</v>
      </c>
      <c r="D8062" t="str">
        <f t="shared" si="655"/>
        <v>05354730631</v>
      </c>
      <c r="E8062" t="s">
        <v>52</v>
      </c>
      <c r="F8062">
        <v>2014</v>
      </c>
      <c r="G8062">
        <v>3072</v>
      </c>
      <c r="H8062" s="1">
        <v>41939</v>
      </c>
      <c r="I8062" s="1">
        <v>41950</v>
      </c>
      <c r="J8062" s="1">
        <v>41950</v>
      </c>
      <c r="K8062" s="1">
        <v>42010</v>
      </c>
      <c r="L8062" s="7">
        <v>104</v>
      </c>
      <c r="M8062" s="5">
        <v>268</v>
      </c>
      <c r="N8062" s="7">
        <v>27872</v>
      </c>
      <c r="O8062">
        <v>104</v>
      </c>
      <c r="P8062">
        <v>268</v>
      </c>
      <c r="Q8062" s="2">
        <v>27872</v>
      </c>
      <c r="R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 s="1">
        <v>42382</v>
      </c>
      <c r="AC8062" t="s">
        <v>53</v>
      </c>
      <c r="AD8062" t="s">
        <v>53</v>
      </c>
      <c r="AK8062">
        <v>0</v>
      </c>
      <c r="AU8062" s="6">
        <v>42278</v>
      </c>
      <c r="AV8062" s="6">
        <v>42278</v>
      </c>
      <c r="AW8062" t="s">
        <v>54</v>
      </c>
      <c r="AX8062" t="str">
        <f t="shared" si="652"/>
        <v>FOR</v>
      </c>
      <c r="AY8062" t="s">
        <v>55</v>
      </c>
    </row>
    <row r="8063" spans="1:51">
      <c r="A8063">
        <v>104492</v>
      </c>
      <c r="B8063" t="s">
        <v>1331</v>
      </c>
      <c r="C8063" t="str">
        <f t="shared" si="655"/>
        <v>05354730631</v>
      </c>
      <c r="D8063" t="str">
        <f t="shared" si="655"/>
        <v>05354730631</v>
      </c>
      <c r="E8063" t="s">
        <v>52</v>
      </c>
      <c r="F8063">
        <v>2014</v>
      </c>
      <c r="G8063">
        <v>3073</v>
      </c>
      <c r="H8063" s="1">
        <v>41939</v>
      </c>
      <c r="I8063" s="1">
        <v>41950</v>
      </c>
      <c r="J8063" s="1">
        <v>41950</v>
      </c>
      <c r="K8063" s="1">
        <v>42010</v>
      </c>
      <c r="L8063" s="7">
        <v>135.19999999999999</v>
      </c>
      <c r="M8063" s="5">
        <v>268</v>
      </c>
      <c r="N8063" s="7">
        <v>36233.599999999999</v>
      </c>
      <c r="O8063">
        <v>135.19999999999999</v>
      </c>
      <c r="P8063">
        <v>268</v>
      </c>
      <c r="Q8063" s="2">
        <v>36233.599999999999</v>
      </c>
      <c r="R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 s="1">
        <v>42382</v>
      </c>
      <c r="AC8063" t="s">
        <v>53</v>
      </c>
      <c r="AD8063" t="s">
        <v>53</v>
      </c>
      <c r="AK8063">
        <v>0</v>
      </c>
      <c r="AU8063" s="6">
        <v>42278</v>
      </c>
      <c r="AV8063" s="6">
        <v>42278</v>
      </c>
      <c r="AW8063" t="s">
        <v>54</v>
      </c>
      <c r="AX8063" t="str">
        <f t="shared" si="652"/>
        <v>FOR</v>
      </c>
      <c r="AY8063" t="s">
        <v>55</v>
      </c>
    </row>
    <row r="8064" spans="1:51">
      <c r="A8064">
        <v>104492</v>
      </c>
      <c r="B8064" t="s">
        <v>1331</v>
      </c>
      <c r="C8064" t="str">
        <f t="shared" si="655"/>
        <v>05354730631</v>
      </c>
      <c r="D8064" t="str">
        <f t="shared" si="655"/>
        <v>05354730631</v>
      </c>
      <c r="E8064" t="s">
        <v>52</v>
      </c>
      <c r="F8064">
        <v>2014</v>
      </c>
      <c r="G8064">
        <v>3074</v>
      </c>
      <c r="H8064" s="1">
        <v>41940</v>
      </c>
      <c r="I8064" s="1">
        <v>41950</v>
      </c>
      <c r="J8064" s="1">
        <v>41950</v>
      </c>
      <c r="K8064" s="1">
        <v>42010</v>
      </c>
      <c r="L8064" s="7">
        <v>135.19999999999999</v>
      </c>
      <c r="M8064" s="5">
        <v>268</v>
      </c>
      <c r="N8064" s="7">
        <v>36233.599999999999</v>
      </c>
      <c r="O8064">
        <v>135.19999999999999</v>
      </c>
      <c r="P8064">
        <v>268</v>
      </c>
      <c r="Q8064" s="2">
        <v>36233.599999999999</v>
      </c>
      <c r="R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 s="1">
        <v>42382</v>
      </c>
      <c r="AC8064" t="s">
        <v>53</v>
      </c>
      <c r="AD8064" t="s">
        <v>53</v>
      </c>
      <c r="AK8064">
        <v>0</v>
      </c>
      <c r="AU8064" s="6">
        <v>42278</v>
      </c>
      <c r="AV8064" s="6">
        <v>42278</v>
      </c>
      <c r="AW8064" t="s">
        <v>54</v>
      </c>
      <c r="AX8064" t="str">
        <f t="shared" si="652"/>
        <v>FOR</v>
      </c>
      <c r="AY8064" t="s">
        <v>55</v>
      </c>
    </row>
    <row r="8065" spans="1:51">
      <c r="A8065">
        <v>104492</v>
      </c>
      <c r="B8065" t="s">
        <v>1331</v>
      </c>
      <c r="C8065" t="str">
        <f t="shared" ref="C8065:D8084" si="656">"05354730631"</f>
        <v>05354730631</v>
      </c>
      <c r="D8065" t="str">
        <f t="shared" si="656"/>
        <v>05354730631</v>
      </c>
      <c r="E8065" t="s">
        <v>52</v>
      </c>
      <c r="F8065">
        <v>2014</v>
      </c>
      <c r="G8065">
        <v>3120</v>
      </c>
      <c r="H8065" s="1">
        <v>41942</v>
      </c>
      <c r="I8065" s="1">
        <v>41950</v>
      </c>
      <c r="J8065" s="1">
        <v>41950</v>
      </c>
      <c r="K8065" s="1">
        <v>42010</v>
      </c>
      <c r="L8065" s="7">
        <v>104</v>
      </c>
      <c r="M8065" s="5">
        <v>268</v>
      </c>
      <c r="N8065" s="7">
        <v>27872</v>
      </c>
      <c r="O8065">
        <v>104</v>
      </c>
      <c r="P8065">
        <v>268</v>
      </c>
      <c r="Q8065" s="2">
        <v>27872</v>
      </c>
      <c r="R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 s="1">
        <v>42382</v>
      </c>
      <c r="AC8065" t="s">
        <v>53</v>
      </c>
      <c r="AD8065" t="s">
        <v>53</v>
      </c>
      <c r="AK8065">
        <v>0</v>
      </c>
      <c r="AU8065" s="6">
        <v>42278</v>
      </c>
      <c r="AV8065" s="6">
        <v>42278</v>
      </c>
      <c r="AW8065" t="s">
        <v>54</v>
      </c>
      <c r="AX8065" t="str">
        <f t="shared" si="652"/>
        <v>FOR</v>
      </c>
      <c r="AY8065" t="s">
        <v>55</v>
      </c>
    </row>
    <row r="8066" spans="1:51">
      <c r="A8066">
        <v>104492</v>
      </c>
      <c r="B8066" t="s">
        <v>1331</v>
      </c>
      <c r="C8066" t="str">
        <f t="shared" si="656"/>
        <v>05354730631</v>
      </c>
      <c r="D8066" t="str">
        <f t="shared" si="656"/>
        <v>05354730631</v>
      </c>
      <c r="E8066" t="s">
        <v>52</v>
      </c>
      <c r="F8066">
        <v>2014</v>
      </c>
      <c r="G8066">
        <v>3121</v>
      </c>
      <c r="H8066" s="1">
        <v>41942</v>
      </c>
      <c r="I8066" s="1">
        <v>41950</v>
      </c>
      <c r="J8066" s="1">
        <v>41950</v>
      </c>
      <c r="K8066" s="1">
        <v>42010</v>
      </c>
      <c r="L8066" s="7">
        <v>104</v>
      </c>
      <c r="M8066" s="5">
        <v>268</v>
      </c>
      <c r="N8066" s="7">
        <v>27872</v>
      </c>
      <c r="O8066">
        <v>104</v>
      </c>
      <c r="P8066">
        <v>268</v>
      </c>
      <c r="Q8066" s="2">
        <v>27872</v>
      </c>
      <c r="R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 s="1">
        <v>42382</v>
      </c>
      <c r="AC8066" t="s">
        <v>53</v>
      </c>
      <c r="AD8066" t="s">
        <v>53</v>
      </c>
      <c r="AK8066">
        <v>0</v>
      </c>
      <c r="AU8066" s="6">
        <v>42278</v>
      </c>
      <c r="AV8066" s="6">
        <v>42278</v>
      </c>
      <c r="AW8066" t="s">
        <v>54</v>
      </c>
      <c r="AX8066" t="str">
        <f t="shared" si="652"/>
        <v>FOR</v>
      </c>
      <c r="AY8066" t="s">
        <v>55</v>
      </c>
    </row>
    <row r="8067" spans="1:51">
      <c r="A8067">
        <v>104492</v>
      </c>
      <c r="B8067" t="s">
        <v>1331</v>
      </c>
      <c r="C8067" t="str">
        <f t="shared" si="656"/>
        <v>05354730631</v>
      </c>
      <c r="D8067" t="str">
        <f t="shared" si="656"/>
        <v>05354730631</v>
      </c>
      <c r="E8067" t="s">
        <v>52</v>
      </c>
      <c r="F8067">
        <v>2014</v>
      </c>
      <c r="G8067">
        <v>3122</v>
      </c>
      <c r="H8067" s="1">
        <v>41942</v>
      </c>
      <c r="I8067" s="1">
        <v>41950</v>
      </c>
      <c r="J8067" s="1">
        <v>41950</v>
      </c>
      <c r="K8067" s="1">
        <v>42010</v>
      </c>
      <c r="L8067" s="7">
        <v>135.19999999999999</v>
      </c>
      <c r="M8067" s="5">
        <v>268</v>
      </c>
      <c r="N8067" s="7">
        <v>36233.599999999999</v>
      </c>
      <c r="O8067">
        <v>135.19999999999999</v>
      </c>
      <c r="P8067">
        <v>268</v>
      </c>
      <c r="Q8067" s="2">
        <v>36233.599999999999</v>
      </c>
      <c r="R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 s="1">
        <v>42382</v>
      </c>
      <c r="AC8067" t="s">
        <v>53</v>
      </c>
      <c r="AD8067" t="s">
        <v>53</v>
      </c>
      <c r="AK8067">
        <v>0</v>
      </c>
      <c r="AU8067" s="6">
        <v>42278</v>
      </c>
      <c r="AV8067" s="6">
        <v>42278</v>
      </c>
      <c r="AW8067" t="s">
        <v>54</v>
      </c>
      <c r="AX8067" t="str">
        <f t="shared" ref="AX8067:AX8130" si="657">"FOR"</f>
        <v>FOR</v>
      </c>
      <c r="AY8067" t="s">
        <v>55</v>
      </c>
    </row>
    <row r="8068" spans="1:51">
      <c r="A8068">
        <v>104492</v>
      </c>
      <c r="B8068" t="s">
        <v>1331</v>
      </c>
      <c r="C8068" t="str">
        <f t="shared" si="656"/>
        <v>05354730631</v>
      </c>
      <c r="D8068" t="str">
        <f t="shared" si="656"/>
        <v>05354730631</v>
      </c>
      <c r="E8068" t="s">
        <v>52</v>
      </c>
      <c r="F8068">
        <v>2014</v>
      </c>
      <c r="G8068">
        <v>3150</v>
      </c>
      <c r="H8068" s="1">
        <v>41943</v>
      </c>
      <c r="I8068" s="1">
        <v>41964</v>
      </c>
      <c r="J8068" s="1">
        <v>41964</v>
      </c>
      <c r="K8068" s="1">
        <v>42024</v>
      </c>
      <c r="L8068" s="7">
        <v>135.19999999999999</v>
      </c>
      <c r="M8068" s="5">
        <v>254</v>
      </c>
      <c r="N8068" s="7">
        <v>34340.800000000003</v>
      </c>
      <c r="O8068">
        <v>135.19999999999999</v>
      </c>
      <c r="P8068">
        <v>254</v>
      </c>
      <c r="Q8068" s="2">
        <v>34340.800000000003</v>
      </c>
      <c r="R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 s="1">
        <v>42382</v>
      </c>
      <c r="AC8068" t="s">
        <v>53</v>
      </c>
      <c r="AD8068" t="s">
        <v>53</v>
      </c>
      <c r="AK8068">
        <v>0</v>
      </c>
      <c r="AU8068" s="6">
        <v>42278</v>
      </c>
      <c r="AV8068" s="6">
        <v>42278</v>
      </c>
      <c r="AW8068" t="s">
        <v>54</v>
      </c>
      <c r="AX8068" t="str">
        <f t="shared" si="657"/>
        <v>FOR</v>
      </c>
      <c r="AY8068" t="s">
        <v>55</v>
      </c>
    </row>
    <row r="8069" spans="1:51">
      <c r="A8069">
        <v>104492</v>
      </c>
      <c r="B8069" t="s">
        <v>1331</v>
      </c>
      <c r="C8069" t="str">
        <f t="shared" si="656"/>
        <v>05354730631</v>
      </c>
      <c r="D8069" t="str">
        <f t="shared" si="656"/>
        <v>05354730631</v>
      </c>
      <c r="E8069" t="s">
        <v>52</v>
      </c>
      <c r="F8069">
        <v>2014</v>
      </c>
      <c r="G8069">
        <v>3151</v>
      </c>
      <c r="H8069" s="1">
        <v>41943</v>
      </c>
      <c r="I8069" s="1">
        <v>41964</v>
      </c>
      <c r="J8069" s="1">
        <v>41964</v>
      </c>
      <c r="K8069" s="1">
        <v>42024</v>
      </c>
      <c r="L8069" s="7">
        <v>135.19999999999999</v>
      </c>
      <c r="M8069" s="5">
        <v>254</v>
      </c>
      <c r="N8069" s="7">
        <v>34340.800000000003</v>
      </c>
      <c r="O8069">
        <v>135.19999999999999</v>
      </c>
      <c r="P8069">
        <v>254</v>
      </c>
      <c r="Q8069" s="2">
        <v>34340.800000000003</v>
      </c>
      <c r="R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 s="1">
        <v>42382</v>
      </c>
      <c r="AC8069" t="s">
        <v>53</v>
      </c>
      <c r="AD8069" t="s">
        <v>53</v>
      </c>
      <c r="AK8069">
        <v>0</v>
      </c>
      <c r="AU8069" s="6">
        <v>42278</v>
      </c>
      <c r="AV8069" s="6">
        <v>42278</v>
      </c>
      <c r="AW8069" t="s">
        <v>54</v>
      </c>
      <c r="AX8069" t="str">
        <f t="shared" si="657"/>
        <v>FOR</v>
      </c>
      <c r="AY8069" t="s">
        <v>55</v>
      </c>
    </row>
    <row r="8070" spans="1:51">
      <c r="A8070">
        <v>104492</v>
      </c>
      <c r="B8070" t="s">
        <v>1331</v>
      </c>
      <c r="C8070" t="str">
        <f t="shared" si="656"/>
        <v>05354730631</v>
      </c>
      <c r="D8070" t="str">
        <f t="shared" si="656"/>
        <v>05354730631</v>
      </c>
      <c r="E8070" t="s">
        <v>52</v>
      </c>
      <c r="F8070">
        <v>2014</v>
      </c>
      <c r="G8070">
        <v>3310</v>
      </c>
      <c r="H8070" s="1">
        <v>41957</v>
      </c>
      <c r="I8070" s="1">
        <v>41971</v>
      </c>
      <c r="J8070" s="1">
        <v>41971</v>
      </c>
      <c r="K8070" s="1">
        <v>42031</v>
      </c>
      <c r="L8070" s="7">
        <v>3489.2</v>
      </c>
      <c r="M8070" s="5">
        <v>269</v>
      </c>
      <c r="N8070" s="7">
        <v>938594.8</v>
      </c>
      <c r="O8070" s="2">
        <v>3489.2</v>
      </c>
      <c r="P8070">
        <v>269</v>
      </c>
      <c r="Q8070" s="2">
        <v>938594.8</v>
      </c>
      <c r="R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 s="1">
        <v>42382</v>
      </c>
      <c r="AC8070" t="s">
        <v>53</v>
      </c>
      <c r="AD8070" t="s">
        <v>53</v>
      </c>
      <c r="AK8070">
        <v>0</v>
      </c>
      <c r="AU8070" s="6">
        <v>42300</v>
      </c>
      <c r="AV8070" s="6">
        <v>42300</v>
      </c>
      <c r="AW8070" t="s">
        <v>54</v>
      </c>
      <c r="AX8070" t="str">
        <f t="shared" si="657"/>
        <v>FOR</v>
      </c>
      <c r="AY8070" t="s">
        <v>55</v>
      </c>
    </row>
    <row r="8071" spans="1:51">
      <c r="A8071">
        <v>104492</v>
      </c>
      <c r="B8071" t="s">
        <v>1331</v>
      </c>
      <c r="C8071" t="str">
        <f t="shared" si="656"/>
        <v>05354730631</v>
      </c>
      <c r="D8071" t="str">
        <f t="shared" si="656"/>
        <v>05354730631</v>
      </c>
      <c r="E8071" t="s">
        <v>52</v>
      </c>
      <c r="F8071">
        <v>2014</v>
      </c>
      <c r="G8071">
        <v>3343</v>
      </c>
      <c r="H8071" s="1">
        <v>41961</v>
      </c>
      <c r="I8071" s="1">
        <v>41971</v>
      </c>
      <c r="J8071" s="1">
        <v>41971</v>
      </c>
      <c r="K8071" s="1">
        <v>42031</v>
      </c>
      <c r="L8071" s="7">
        <v>135.19999999999999</v>
      </c>
      <c r="M8071" s="5">
        <v>269</v>
      </c>
      <c r="N8071" s="7">
        <v>36368.800000000003</v>
      </c>
      <c r="O8071">
        <v>135.19999999999999</v>
      </c>
      <c r="P8071">
        <v>269</v>
      </c>
      <c r="Q8071" s="2">
        <v>36368.800000000003</v>
      </c>
      <c r="R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 s="1">
        <v>42382</v>
      </c>
      <c r="AC8071" t="s">
        <v>53</v>
      </c>
      <c r="AD8071" t="s">
        <v>53</v>
      </c>
      <c r="AK8071">
        <v>0</v>
      </c>
      <c r="AU8071" s="6">
        <v>42300</v>
      </c>
      <c r="AV8071" s="6">
        <v>42300</v>
      </c>
      <c r="AW8071" t="s">
        <v>54</v>
      </c>
      <c r="AX8071" t="str">
        <f t="shared" si="657"/>
        <v>FOR</v>
      </c>
      <c r="AY8071" t="s">
        <v>55</v>
      </c>
    </row>
    <row r="8072" spans="1:51">
      <c r="A8072">
        <v>104492</v>
      </c>
      <c r="B8072" t="s">
        <v>1331</v>
      </c>
      <c r="C8072" t="str">
        <f t="shared" si="656"/>
        <v>05354730631</v>
      </c>
      <c r="D8072" t="str">
        <f t="shared" si="656"/>
        <v>05354730631</v>
      </c>
      <c r="E8072" t="s">
        <v>52</v>
      </c>
      <c r="F8072">
        <v>2014</v>
      </c>
      <c r="G8072">
        <v>3344</v>
      </c>
      <c r="H8072" s="1">
        <v>41961</v>
      </c>
      <c r="I8072" s="1">
        <v>41971</v>
      </c>
      <c r="J8072" s="1">
        <v>41971</v>
      </c>
      <c r="K8072" s="1">
        <v>42030</v>
      </c>
      <c r="L8072" s="7">
        <v>135.19999999999999</v>
      </c>
      <c r="M8072" s="5">
        <v>270</v>
      </c>
      <c r="N8072" s="7">
        <v>36504</v>
      </c>
      <c r="O8072">
        <v>135.19999999999999</v>
      </c>
      <c r="P8072">
        <v>270</v>
      </c>
      <c r="Q8072" s="2">
        <v>36504</v>
      </c>
      <c r="R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 s="1">
        <v>42382</v>
      </c>
      <c r="AC8072" t="s">
        <v>53</v>
      </c>
      <c r="AD8072" t="s">
        <v>53</v>
      </c>
      <c r="AK8072">
        <v>0</v>
      </c>
      <c r="AU8072" s="6">
        <v>42300</v>
      </c>
      <c r="AV8072" s="6">
        <v>42300</v>
      </c>
      <c r="AW8072" t="s">
        <v>54</v>
      </c>
      <c r="AX8072" t="str">
        <f t="shared" si="657"/>
        <v>FOR</v>
      </c>
      <c r="AY8072" t="s">
        <v>55</v>
      </c>
    </row>
    <row r="8073" spans="1:51">
      <c r="A8073">
        <v>104492</v>
      </c>
      <c r="B8073" t="s">
        <v>1331</v>
      </c>
      <c r="C8073" t="str">
        <f t="shared" si="656"/>
        <v>05354730631</v>
      </c>
      <c r="D8073" t="str">
        <f t="shared" si="656"/>
        <v>05354730631</v>
      </c>
      <c r="E8073" t="s">
        <v>52</v>
      </c>
      <c r="F8073">
        <v>2014</v>
      </c>
      <c r="G8073">
        <v>3345</v>
      </c>
      <c r="H8073" s="1">
        <v>41961</v>
      </c>
      <c r="I8073" s="1">
        <v>41971</v>
      </c>
      <c r="J8073" s="1">
        <v>41971</v>
      </c>
      <c r="K8073" s="1">
        <v>42031</v>
      </c>
      <c r="L8073" s="7">
        <v>104</v>
      </c>
      <c r="M8073" s="5">
        <v>269</v>
      </c>
      <c r="N8073" s="7">
        <v>27976</v>
      </c>
      <c r="O8073">
        <v>104</v>
      </c>
      <c r="P8073">
        <v>269</v>
      </c>
      <c r="Q8073" s="2">
        <v>27976</v>
      </c>
      <c r="R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 s="1">
        <v>42382</v>
      </c>
      <c r="AC8073" t="s">
        <v>53</v>
      </c>
      <c r="AD8073" t="s">
        <v>53</v>
      </c>
      <c r="AK8073">
        <v>0</v>
      </c>
      <c r="AU8073" s="6">
        <v>42300</v>
      </c>
      <c r="AV8073" s="6">
        <v>42300</v>
      </c>
      <c r="AW8073" t="s">
        <v>54</v>
      </c>
      <c r="AX8073" t="str">
        <f t="shared" si="657"/>
        <v>FOR</v>
      </c>
      <c r="AY8073" t="s">
        <v>55</v>
      </c>
    </row>
    <row r="8074" spans="1:51">
      <c r="A8074">
        <v>104492</v>
      </c>
      <c r="B8074" t="s">
        <v>1331</v>
      </c>
      <c r="C8074" t="str">
        <f t="shared" si="656"/>
        <v>05354730631</v>
      </c>
      <c r="D8074" t="str">
        <f t="shared" si="656"/>
        <v>05354730631</v>
      </c>
      <c r="E8074" t="s">
        <v>52</v>
      </c>
      <c r="F8074">
        <v>2014</v>
      </c>
      <c r="G8074">
        <v>3390</v>
      </c>
      <c r="H8074" s="1">
        <v>41967</v>
      </c>
      <c r="I8074" s="1">
        <v>41971</v>
      </c>
      <c r="J8074" s="1">
        <v>41971</v>
      </c>
      <c r="K8074" s="1">
        <v>42031</v>
      </c>
      <c r="L8074" s="7">
        <v>104</v>
      </c>
      <c r="M8074" s="5">
        <v>269</v>
      </c>
      <c r="N8074" s="7">
        <v>27976</v>
      </c>
      <c r="O8074">
        <v>104</v>
      </c>
      <c r="P8074">
        <v>269</v>
      </c>
      <c r="Q8074" s="2">
        <v>27976</v>
      </c>
      <c r="R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 s="1">
        <v>42382</v>
      </c>
      <c r="AC8074" t="s">
        <v>53</v>
      </c>
      <c r="AD8074" t="s">
        <v>53</v>
      </c>
      <c r="AK8074">
        <v>0</v>
      </c>
      <c r="AU8074" s="6">
        <v>42300</v>
      </c>
      <c r="AV8074" s="6">
        <v>42300</v>
      </c>
      <c r="AW8074" t="s">
        <v>54</v>
      </c>
      <c r="AX8074" t="str">
        <f t="shared" si="657"/>
        <v>FOR</v>
      </c>
      <c r="AY8074" t="s">
        <v>55</v>
      </c>
    </row>
    <row r="8075" spans="1:51">
      <c r="A8075">
        <v>104492</v>
      </c>
      <c r="B8075" t="s">
        <v>1331</v>
      </c>
      <c r="C8075" t="str">
        <f t="shared" si="656"/>
        <v>05354730631</v>
      </c>
      <c r="D8075" t="str">
        <f t="shared" si="656"/>
        <v>05354730631</v>
      </c>
      <c r="E8075" t="s">
        <v>52</v>
      </c>
      <c r="F8075">
        <v>2014</v>
      </c>
      <c r="G8075">
        <v>3391</v>
      </c>
      <c r="H8075" s="1">
        <v>41967</v>
      </c>
      <c r="I8075" s="1">
        <v>41971</v>
      </c>
      <c r="J8075" s="1">
        <v>41971</v>
      </c>
      <c r="K8075" s="1">
        <v>42031</v>
      </c>
      <c r="L8075" s="7">
        <v>104</v>
      </c>
      <c r="M8075" s="5">
        <v>269</v>
      </c>
      <c r="N8075" s="7">
        <v>27976</v>
      </c>
      <c r="O8075">
        <v>104</v>
      </c>
      <c r="P8075">
        <v>269</v>
      </c>
      <c r="Q8075" s="2">
        <v>27976</v>
      </c>
      <c r="R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 s="1">
        <v>42382</v>
      </c>
      <c r="AC8075" t="s">
        <v>53</v>
      </c>
      <c r="AD8075" t="s">
        <v>53</v>
      </c>
      <c r="AK8075">
        <v>0</v>
      </c>
      <c r="AU8075" s="6">
        <v>42300</v>
      </c>
      <c r="AV8075" s="6">
        <v>42300</v>
      </c>
      <c r="AW8075" t="s">
        <v>54</v>
      </c>
      <c r="AX8075" t="str">
        <f t="shared" si="657"/>
        <v>FOR</v>
      </c>
      <c r="AY8075" t="s">
        <v>55</v>
      </c>
    </row>
    <row r="8076" spans="1:51">
      <c r="A8076">
        <v>104492</v>
      </c>
      <c r="B8076" t="s">
        <v>1331</v>
      </c>
      <c r="C8076" t="str">
        <f t="shared" si="656"/>
        <v>05354730631</v>
      </c>
      <c r="D8076" t="str">
        <f t="shared" si="656"/>
        <v>05354730631</v>
      </c>
      <c r="E8076" t="s">
        <v>52</v>
      </c>
      <c r="F8076">
        <v>2014</v>
      </c>
      <c r="G8076">
        <v>3548</v>
      </c>
      <c r="H8076" s="1">
        <v>41973</v>
      </c>
      <c r="I8076" s="1">
        <v>41988</v>
      </c>
      <c r="J8076" s="1">
        <v>41988</v>
      </c>
      <c r="K8076" s="1">
        <v>42048</v>
      </c>
      <c r="L8076" s="7">
        <v>104</v>
      </c>
      <c r="M8076" s="5">
        <v>252</v>
      </c>
      <c r="N8076" s="7">
        <v>26208</v>
      </c>
      <c r="O8076">
        <v>104</v>
      </c>
      <c r="P8076">
        <v>252</v>
      </c>
      <c r="Q8076" s="2">
        <v>26208</v>
      </c>
      <c r="R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 s="1">
        <v>42382</v>
      </c>
      <c r="AC8076" t="s">
        <v>53</v>
      </c>
      <c r="AD8076" t="s">
        <v>53</v>
      </c>
      <c r="AK8076">
        <v>0</v>
      </c>
      <c r="AU8076" s="6">
        <v>42300</v>
      </c>
      <c r="AV8076" s="6">
        <v>42300</v>
      </c>
      <c r="AW8076" t="s">
        <v>54</v>
      </c>
      <c r="AX8076" t="str">
        <f t="shared" si="657"/>
        <v>FOR</v>
      </c>
      <c r="AY8076" t="s">
        <v>55</v>
      </c>
    </row>
    <row r="8077" spans="1:51">
      <c r="A8077">
        <v>104492</v>
      </c>
      <c r="B8077" t="s">
        <v>1331</v>
      </c>
      <c r="C8077" t="str">
        <f t="shared" si="656"/>
        <v>05354730631</v>
      </c>
      <c r="D8077" t="str">
        <f t="shared" si="656"/>
        <v>05354730631</v>
      </c>
      <c r="E8077" t="s">
        <v>52</v>
      </c>
      <c r="F8077">
        <v>2014</v>
      </c>
      <c r="G8077">
        <v>3549</v>
      </c>
      <c r="H8077" s="1">
        <v>41973</v>
      </c>
      <c r="I8077" s="1">
        <v>41988</v>
      </c>
      <c r="J8077" s="1">
        <v>41988</v>
      </c>
      <c r="K8077" s="1">
        <v>42048</v>
      </c>
      <c r="L8077" s="7">
        <v>104</v>
      </c>
      <c r="M8077" s="5">
        <v>252</v>
      </c>
      <c r="N8077" s="7">
        <v>26208</v>
      </c>
      <c r="O8077">
        <v>104</v>
      </c>
      <c r="P8077">
        <v>252</v>
      </c>
      <c r="Q8077" s="2">
        <v>26208</v>
      </c>
      <c r="R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 s="1">
        <v>42382</v>
      </c>
      <c r="AC8077" t="s">
        <v>53</v>
      </c>
      <c r="AD8077" t="s">
        <v>53</v>
      </c>
      <c r="AK8077">
        <v>0</v>
      </c>
      <c r="AU8077" s="6">
        <v>42300</v>
      </c>
      <c r="AV8077" s="6">
        <v>42300</v>
      </c>
      <c r="AW8077" t="s">
        <v>54</v>
      </c>
      <c r="AX8077" t="str">
        <f t="shared" si="657"/>
        <v>FOR</v>
      </c>
      <c r="AY8077" t="s">
        <v>55</v>
      </c>
    </row>
    <row r="8078" spans="1:51">
      <c r="A8078">
        <v>104492</v>
      </c>
      <c r="B8078" t="s">
        <v>1331</v>
      </c>
      <c r="C8078" t="str">
        <f t="shared" si="656"/>
        <v>05354730631</v>
      </c>
      <c r="D8078" t="str">
        <f t="shared" si="656"/>
        <v>05354730631</v>
      </c>
      <c r="E8078" t="s">
        <v>52</v>
      </c>
      <c r="F8078">
        <v>2014</v>
      </c>
      <c r="G8078">
        <v>3550</v>
      </c>
      <c r="H8078" s="1">
        <v>41973</v>
      </c>
      <c r="I8078" s="1">
        <v>41988</v>
      </c>
      <c r="J8078" s="1">
        <v>41988</v>
      </c>
      <c r="K8078" s="1">
        <v>42048</v>
      </c>
      <c r="L8078" s="7">
        <v>135.19999999999999</v>
      </c>
      <c r="M8078" s="5">
        <v>252</v>
      </c>
      <c r="N8078" s="7">
        <v>34070.400000000001</v>
      </c>
      <c r="O8078">
        <v>135.19999999999999</v>
      </c>
      <c r="P8078">
        <v>252</v>
      </c>
      <c r="Q8078" s="2">
        <v>34070.400000000001</v>
      </c>
      <c r="R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 s="1">
        <v>42382</v>
      </c>
      <c r="AC8078" t="s">
        <v>53</v>
      </c>
      <c r="AD8078" t="s">
        <v>53</v>
      </c>
      <c r="AK8078">
        <v>0</v>
      </c>
      <c r="AU8078" s="6">
        <v>42300</v>
      </c>
      <c r="AV8078" s="6">
        <v>42300</v>
      </c>
      <c r="AW8078" t="s">
        <v>54</v>
      </c>
      <c r="AX8078" t="str">
        <f t="shared" si="657"/>
        <v>FOR</v>
      </c>
      <c r="AY8078" t="s">
        <v>55</v>
      </c>
    </row>
    <row r="8079" spans="1:51">
      <c r="A8079">
        <v>104492</v>
      </c>
      <c r="B8079" t="s">
        <v>1331</v>
      </c>
      <c r="C8079" t="str">
        <f t="shared" si="656"/>
        <v>05354730631</v>
      </c>
      <c r="D8079" t="str">
        <f t="shared" si="656"/>
        <v>05354730631</v>
      </c>
      <c r="E8079" t="s">
        <v>52</v>
      </c>
      <c r="F8079">
        <v>2014</v>
      </c>
      <c r="G8079">
        <v>3551</v>
      </c>
      <c r="H8079" s="1">
        <v>41973</v>
      </c>
      <c r="I8079" s="1">
        <v>41988</v>
      </c>
      <c r="J8079" s="1">
        <v>41988</v>
      </c>
      <c r="K8079" s="1">
        <v>42048</v>
      </c>
      <c r="L8079" s="7">
        <v>135.19999999999999</v>
      </c>
      <c r="M8079" s="5">
        <v>252</v>
      </c>
      <c r="N8079" s="7">
        <v>34070.400000000001</v>
      </c>
      <c r="O8079">
        <v>135.19999999999999</v>
      </c>
      <c r="P8079">
        <v>252</v>
      </c>
      <c r="Q8079" s="2">
        <v>34070.400000000001</v>
      </c>
      <c r="R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 s="1">
        <v>42382</v>
      </c>
      <c r="AC8079" t="s">
        <v>53</v>
      </c>
      <c r="AD8079" t="s">
        <v>53</v>
      </c>
      <c r="AK8079">
        <v>0</v>
      </c>
      <c r="AU8079" s="6">
        <v>42300</v>
      </c>
      <c r="AV8079" s="6">
        <v>42300</v>
      </c>
      <c r="AW8079" t="s">
        <v>54</v>
      </c>
      <c r="AX8079" t="str">
        <f t="shared" si="657"/>
        <v>FOR</v>
      </c>
      <c r="AY8079" t="s">
        <v>55</v>
      </c>
    </row>
    <row r="8080" spans="1:51">
      <c r="A8080">
        <v>104492</v>
      </c>
      <c r="B8080" t="s">
        <v>1331</v>
      </c>
      <c r="C8080" t="str">
        <f t="shared" si="656"/>
        <v>05354730631</v>
      </c>
      <c r="D8080" t="str">
        <f t="shared" si="656"/>
        <v>05354730631</v>
      </c>
      <c r="E8080" t="s">
        <v>52</v>
      </c>
      <c r="F8080">
        <v>2014</v>
      </c>
      <c r="G8080">
        <v>3552</v>
      </c>
      <c r="H8080" s="1">
        <v>41973</v>
      </c>
      <c r="I8080" s="1">
        <v>41988</v>
      </c>
      <c r="J8080" s="1">
        <v>41988</v>
      </c>
      <c r="K8080" s="1">
        <v>42048</v>
      </c>
      <c r="L8080" s="7">
        <v>104</v>
      </c>
      <c r="M8080" s="5">
        <v>252</v>
      </c>
      <c r="N8080" s="7">
        <v>26208</v>
      </c>
      <c r="O8080">
        <v>104</v>
      </c>
      <c r="P8080">
        <v>252</v>
      </c>
      <c r="Q8080" s="2">
        <v>26208</v>
      </c>
      <c r="R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 s="1">
        <v>42382</v>
      </c>
      <c r="AC8080" t="s">
        <v>53</v>
      </c>
      <c r="AD8080" t="s">
        <v>53</v>
      </c>
      <c r="AK8080">
        <v>0</v>
      </c>
      <c r="AU8080" s="6">
        <v>42300</v>
      </c>
      <c r="AV8080" s="6">
        <v>42300</v>
      </c>
      <c r="AW8080" t="s">
        <v>54</v>
      </c>
      <c r="AX8080" t="str">
        <f t="shared" si="657"/>
        <v>FOR</v>
      </c>
      <c r="AY8080" t="s">
        <v>55</v>
      </c>
    </row>
    <row r="8081" spans="1:51">
      <c r="A8081">
        <v>104492</v>
      </c>
      <c r="B8081" t="s">
        <v>1331</v>
      </c>
      <c r="C8081" t="str">
        <f t="shared" si="656"/>
        <v>05354730631</v>
      </c>
      <c r="D8081" t="str">
        <f t="shared" si="656"/>
        <v>05354730631</v>
      </c>
      <c r="E8081" t="s">
        <v>52</v>
      </c>
      <c r="F8081">
        <v>2014</v>
      </c>
      <c r="G8081">
        <v>3620</v>
      </c>
      <c r="H8081" s="1">
        <v>41983</v>
      </c>
      <c r="I8081" s="1">
        <v>42002</v>
      </c>
      <c r="J8081" s="1">
        <v>42002</v>
      </c>
      <c r="K8081" s="1">
        <v>42062</v>
      </c>
      <c r="L8081" s="7">
        <v>104</v>
      </c>
      <c r="M8081" s="5">
        <v>238</v>
      </c>
      <c r="N8081" s="7">
        <v>24752</v>
      </c>
      <c r="O8081">
        <v>104</v>
      </c>
      <c r="P8081">
        <v>238</v>
      </c>
      <c r="Q8081" s="2">
        <v>24752</v>
      </c>
      <c r="R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 s="1">
        <v>42382</v>
      </c>
      <c r="AC8081" t="s">
        <v>53</v>
      </c>
      <c r="AD8081" t="s">
        <v>53</v>
      </c>
      <c r="AK8081">
        <v>0</v>
      </c>
      <c r="AU8081" s="6">
        <v>42300</v>
      </c>
      <c r="AV8081" s="6">
        <v>42300</v>
      </c>
      <c r="AW8081" t="s">
        <v>54</v>
      </c>
      <c r="AX8081" t="str">
        <f t="shared" si="657"/>
        <v>FOR</v>
      </c>
      <c r="AY8081" t="s">
        <v>55</v>
      </c>
    </row>
    <row r="8082" spans="1:51">
      <c r="A8082">
        <v>104492</v>
      </c>
      <c r="B8082" t="s">
        <v>1331</v>
      </c>
      <c r="C8082" t="str">
        <f t="shared" si="656"/>
        <v>05354730631</v>
      </c>
      <c r="D8082" t="str">
        <f t="shared" si="656"/>
        <v>05354730631</v>
      </c>
      <c r="E8082" t="s">
        <v>52</v>
      </c>
      <c r="F8082">
        <v>2014</v>
      </c>
      <c r="G8082">
        <v>3621</v>
      </c>
      <c r="H8082" s="1">
        <v>41983</v>
      </c>
      <c r="I8082" s="1">
        <v>42002</v>
      </c>
      <c r="J8082" s="1">
        <v>42002</v>
      </c>
      <c r="K8082" s="1">
        <v>42062</v>
      </c>
      <c r="L8082" s="7">
        <v>104</v>
      </c>
      <c r="M8082" s="5">
        <v>238</v>
      </c>
      <c r="N8082" s="7">
        <v>24752</v>
      </c>
      <c r="O8082">
        <v>104</v>
      </c>
      <c r="P8082">
        <v>238</v>
      </c>
      <c r="Q8082" s="2">
        <v>24752</v>
      </c>
      <c r="R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 s="1">
        <v>42382</v>
      </c>
      <c r="AC8082" t="s">
        <v>53</v>
      </c>
      <c r="AD8082" t="s">
        <v>53</v>
      </c>
      <c r="AK8082">
        <v>0</v>
      </c>
      <c r="AU8082" s="6">
        <v>42300</v>
      </c>
      <c r="AV8082" s="6">
        <v>42300</v>
      </c>
      <c r="AW8082" t="s">
        <v>54</v>
      </c>
      <c r="AX8082" t="str">
        <f t="shared" si="657"/>
        <v>FOR</v>
      </c>
      <c r="AY8082" t="s">
        <v>55</v>
      </c>
    </row>
    <row r="8083" spans="1:51">
      <c r="A8083">
        <v>104492</v>
      </c>
      <c r="B8083" t="s">
        <v>1331</v>
      </c>
      <c r="C8083" t="str">
        <f t="shared" si="656"/>
        <v>05354730631</v>
      </c>
      <c r="D8083" t="str">
        <f t="shared" si="656"/>
        <v>05354730631</v>
      </c>
      <c r="E8083" t="s">
        <v>52</v>
      </c>
      <c r="F8083">
        <v>2014</v>
      </c>
      <c r="G8083">
        <v>3622</v>
      </c>
      <c r="H8083" s="1">
        <v>41983</v>
      </c>
      <c r="I8083" s="1">
        <v>42002</v>
      </c>
      <c r="J8083" s="1">
        <v>42002</v>
      </c>
      <c r="K8083" s="1">
        <v>42062</v>
      </c>
      <c r="L8083" s="7">
        <v>135.19999999999999</v>
      </c>
      <c r="M8083" s="5">
        <v>238</v>
      </c>
      <c r="N8083" s="7">
        <v>32177.599999999999</v>
      </c>
      <c r="O8083">
        <v>135.19999999999999</v>
      </c>
      <c r="P8083">
        <v>238</v>
      </c>
      <c r="Q8083" s="2">
        <v>32177.599999999999</v>
      </c>
      <c r="R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 s="1">
        <v>42382</v>
      </c>
      <c r="AC8083" t="s">
        <v>53</v>
      </c>
      <c r="AD8083" t="s">
        <v>53</v>
      </c>
      <c r="AK8083">
        <v>0</v>
      </c>
      <c r="AU8083" s="6">
        <v>42300</v>
      </c>
      <c r="AV8083" s="6">
        <v>42300</v>
      </c>
      <c r="AW8083" t="s">
        <v>54</v>
      </c>
      <c r="AX8083" t="str">
        <f t="shared" si="657"/>
        <v>FOR</v>
      </c>
      <c r="AY8083" t="s">
        <v>55</v>
      </c>
    </row>
    <row r="8084" spans="1:51">
      <c r="A8084">
        <v>104492</v>
      </c>
      <c r="B8084" t="s">
        <v>1331</v>
      </c>
      <c r="C8084" t="str">
        <f t="shared" si="656"/>
        <v>05354730631</v>
      </c>
      <c r="D8084" t="str">
        <f t="shared" si="656"/>
        <v>05354730631</v>
      </c>
      <c r="E8084" t="s">
        <v>52</v>
      </c>
      <c r="F8084">
        <v>2014</v>
      </c>
      <c r="G8084">
        <v>3623</v>
      </c>
      <c r="H8084" s="1">
        <v>41983</v>
      </c>
      <c r="I8084" s="1">
        <v>42002</v>
      </c>
      <c r="J8084" s="1">
        <v>42002</v>
      </c>
      <c r="K8084" s="1">
        <v>42062</v>
      </c>
      <c r="L8084" s="7">
        <v>104</v>
      </c>
      <c r="M8084" s="5">
        <v>238</v>
      </c>
      <c r="N8084" s="7">
        <v>24752</v>
      </c>
      <c r="O8084">
        <v>104</v>
      </c>
      <c r="P8084">
        <v>238</v>
      </c>
      <c r="Q8084" s="2">
        <v>24752</v>
      </c>
      <c r="R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 s="1">
        <v>42382</v>
      </c>
      <c r="AC8084" t="s">
        <v>53</v>
      </c>
      <c r="AD8084" t="s">
        <v>53</v>
      </c>
      <c r="AK8084">
        <v>0</v>
      </c>
      <c r="AU8084" s="6">
        <v>42300</v>
      </c>
      <c r="AV8084" s="6">
        <v>42300</v>
      </c>
      <c r="AW8084" t="s">
        <v>54</v>
      </c>
      <c r="AX8084" t="str">
        <f t="shared" si="657"/>
        <v>FOR</v>
      </c>
      <c r="AY8084" t="s">
        <v>55</v>
      </c>
    </row>
    <row r="8085" spans="1:51">
      <c r="A8085">
        <v>104492</v>
      </c>
      <c r="B8085" t="s">
        <v>1331</v>
      </c>
      <c r="C8085" t="str">
        <f t="shared" ref="C8085:D8104" si="658">"05354730631"</f>
        <v>05354730631</v>
      </c>
      <c r="D8085" t="str">
        <f t="shared" si="658"/>
        <v>05354730631</v>
      </c>
      <c r="E8085" t="s">
        <v>52</v>
      </c>
      <c r="F8085">
        <v>2014</v>
      </c>
      <c r="G8085">
        <v>3663</v>
      </c>
      <c r="H8085" s="1">
        <v>41984</v>
      </c>
      <c r="I8085" s="1">
        <v>42080</v>
      </c>
      <c r="J8085" s="1">
        <v>42080</v>
      </c>
      <c r="K8085" s="1">
        <v>42140</v>
      </c>
      <c r="L8085" s="7">
        <v>135.19999999999999</v>
      </c>
      <c r="M8085" s="5">
        <v>160</v>
      </c>
      <c r="N8085" s="7">
        <v>21632</v>
      </c>
      <c r="O8085">
        <v>135.19999999999999</v>
      </c>
      <c r="P8085">
        <v>160</v>
      </c>
      <c r="Q8085" s="2">
        <v>21632</v>
      </c>
      <c r="R8085">
        <v>0</v>
      </c>
      <c r="V8085">
        <v>0</v>
      </c>
      <c r="W8085">
        <v>0</v>
      </c>
      <c r="X8085">
        <v>0</v>
      </c>
      <c r="Y8085">
        <v>0</v>
      </c>
      <c r="Z8085">
        <v>135.19999999999999</v>
      </c>
      <c r="AA8085">
        <v>0</v>
      </c>
      <c r="AB8085" s="1">
        <v>42382</v>
      </c>
      <c r="AC8085" t="s">
        <v>53</v>
      </c>
      <c r="AD8085" t="s">
        <v>53</v>
      </c>
      <c r="AK8085">
        <v>0</v>
      </c>
      <c r="AU8085" s="6">
        <v>42300</v>
      </c>
      <c r="AV8085" s="6">
        <v>42300</v>
      </c>
      <c r="AW8085" t="s">
        <v>54</v>
      </c>
      <c r="AX8085" t="str">
        <f t="shared" si="657"/>
        <v>FOR</v>
      </c>
      <c r="AY8085" t="s">
        <v>55</v>
      </c>
    </row>
    <row r="8086" spans="1:51">
      <c r="A8086">
        <v>104492</v>
      </c>
      <c r="B8086" t="s">
        <v>1331</v>
      </c>
      <c r="C8086" t="str">
        <f t="shared" si="658"/>
        <v>05354730631</v>
      </c>
      <c r="D8086" t="str">
        <f t="shared" si="658"/>
        <v>05354730631</v>
      </c>
      <c r="E8086" t="s">
        <v>52</v>
      </c>
      <c r="F8086">
        <v>2014</v>
      </c>
      <c r="G8086">
        <v>3664</v>
      </c>
      <c r="H8086" s="1">
        <v>41984</v>
      </c>
      <c r="I8086" s="1">
        <v>42080</v>
      </c>
      <c r="J8086" s="1">
        <v>42080</v>
      </c>
      <c r="K8086" s="1">
        <v>42140</v>
      </c>
      <c r="L8086" s="7">
        <v>104</v>
      </c>
      <c r="M8086" s="5">
        <v>160</v>
      </c>
      <c r="N8086" s="7">
        <v>16640</v>
      </c>
      <c r="O8086">
        <v>104</v>
      </c>
      <c r="P8086">
        <v>160</v>
      </c>
      <c r="Q8086" s="2">
        <v>16640</v>
      </c>
      <c r="R8086">
        <v>0</v>
      </c>
      <c r="V8086">
        <v>0</v>
      </c>
      <c r="W8086">
        <v>0</v>
      </c>
      <c r="X8086">
        <v>0</v>
      </c>
      <c r="Y8086">
        <v>0</v>
      </c>
      <c r="Z8086">
        <v>104</v>
      </c>
      <c r="AA8086">
        <v>0</v>
      </c>
      <c r="AB8086" s="1">
        <v>42382</v>
      </c>
      <c r="AC8086" t="s">
        <v>53</v>
      </c>
      <c r="AD8086" t="s">
        <v>53</v>
      </c>
      <c r="AK8086">
        <v>0</v>
      </c>
      <c r="AU8086" s="6">
        <v>42300</v>
      </c>
      <c r="AV8086" s="6">
        <v>42300</v>
      </c>
      <c r="AW8086" t="s">
        <v>54</v>
      </c>
      <c r="AX8086" t="str">
        <f t="shared" si="657"/>
        <v>FOR</v>
      </c>
      <c r="AY8086" t="s">
        <v>55</v>
      </c>
    </row>
    <row r="8087" spans="1:51">
      <c r="A8087">
        <v>104492</v>
      </c>
      <c r="B8087" t="s">
        <v>1331</v>
      </c>
      <c r="C8087" t="str">
        <f t="shared" si="658"/>
        <v>05354730631</v>
      </c>
      <c r="D8087" t="str">
        <f t="shared" si="658"/>
        <v>05354730631</v>
      </c>
      <c r="E8087" t="s">
        <v>52</v>
      </c>
      <c r="F8087">
        <v>2014</v>
      </c>
      <c r="G8087">
        <v>3665</v>
      </c>
      <c r="H8087" s="1">
        <v>41984</v>
      </c>
      <c r="I8087" s="1">
        <v>42080</v>
      </c>
      <c r="J8087" s="1">
        <v>42080</v>
      </c>
      <c r="K8087" s="1">
        <v>42140</v>
      </c>
      <c r="L8087" s="7">
        <v>104</v>
      </c>
      <c r="M8087" s="5">
        <v>160</v>
      </c>
      <c r="N8087" s="7">
        <v>16640</v>
      </c>
      <c r="O8087">
        <v>104</v>
      </c>
      <c r="P8087">
        <v>160</v>
      </c>
      <c r="Q8087" s="2">
        <v>16640</v>
      </c>
      <c r="R8087">
        <v>0</v>
      </c>
      <c r="V8087">
        <v>0</v>
      </c>
      <c r="W8087">
        <v>0</v>
      </c>
      <c r="X8087">
        <v>0</v>
      </c>
      <c r="Y8087">
        <v>0</v>
      </c>
      <c r="Z8087">
        <v>104</v>
      </c>
      <c r="AA8087">
        <v>0</v>
      </c>
      <c r="AB8087" s="1">
        <v>42382</v>
      </c>
      <c r="AC8087" t="s">
        <v>53</v>
      </c>
      <c r="AD8087" t="s">
        <v>53</v>
      </c>
      <c r="AK8087">
        <v>0</v>
      </c>
      <c r="AU8087" s="6">
        <v>42300</v>
      </c>
      <c r="AV8087" s="6">
        <v>42300</v>
      </c>
      <c r="AW8087" t="s">
        <v>54</v>
      </c>
      <c r="AX8087" t="str">
        <f t="shared" si="657"/>
        <v>FOR</v>
      </c>
      <c r="AY8087" t="s">
        <v>55</v>
      </c>
    </row>
    <row r="8088" spans="1:51">
      <c r="A8088">
        <v>104492</v>
      </c>
      <c r="B8088" t="s">
        <v>1331</v>
      </c>
      <c r="C8088" t="str">
        <f t="shared" si="658"/>
        <v>05354730631</v>
      </c>
      <c r="D8088" t="str">
        <f t="shared" si="658"/>
        <v>05354730631</v>
      </c>
      <c r="E8088" t="s">
        <v>52</v>
      </c>
      <c r="F8088">
        <v>2014</v>
      </c>
      <c r="G8088">
        <v>3666</v>
      </c>
      <c r="H8088" s="1">
        <v>41984</v>
      </c>
      <c r="I8088" s="1">
        <v>42080</v>
      </c>
      <c r="J8088" s="1">
        <v>42080</v>
      </c>
      <c r="K8088" s="1">
        <v>42140</v>
      </c>
      <c r="L8088" s="7">
        <v>104</v>
      </c>
      <c r="M8088" s="5">
        <v>160</v>
      </c>
      <c r="N8088" s="7">
        <v>16640</v>
      </c>
      <c r="O8088">
        <v>104</v>
      </c>
      <c r="P8088">
        <v>160</v>
      </c>
      <c r="Q8088" s="2">
        <v>16640</v>
      </c>
      <c r="R8088">
        <v>0</v>
      </c>
      <c r="V8088">
        <v>0</v>
      </c>
      <c r="W8088">
        <v>0</v>
      </c>
      <c r="X8088">
        <v>0</v>
      </c>
      <c r="Y8088">
        <v>0</v>
      </c>
      <c r="Z8088">
        <v>104</v>
      </c>
      <c r="AA8088">
        <v>0</v>
      </c>
      <c r="AB8088" s="1">
        <v>42382</v>
      </c>
      <c r="AC8088" t="s">
        <v>53</v>
      </c>
      <c r="AD8088" t="s">
        <v>53</v>
      </c>
      <c r="AK8088">
        <v>0</v>
      </c>
      <c r="AU8088" s="6">
        <v>42300</v>
      </c>
      <c r="AV8088" s="6">
        <v>42300</v>
      </c>
      <c r="AW8088" t="s">
        <v>54</v>
      </c>
      <c r="AX8088" t="str">
        <f t="shared" si="657"/>
        <v>FOR</v>
      </c>
      <c r="AY8088" t="s">
        <v>55</v>
      </c>
    </row>
    <row r="8089" spans="1:51">
      <c r="A8089">
        <v>104492</v>
      </c>
      <c r="B8089" t="s">
        <v>1331</v>
      </c>
      <c r="C8089" t="str">
        <f t="shared" si="658"/>
        <v>05354730631</v>
      </c>
      <c r="D8089" t="str">
        <f t="shared" si="658"/>
        <v>05354730631</v>
      </c>
      <c r="E8089" t="s">
        <v>52</v>
      </c>
      <c r="F8089">
        <v>2014</v>
      </c>
      <c r="G8089">
        <v>3753</v>
      </c>
      <c r="H8089" s="1">
        <v>41995</v>
      </c>
      <c r="I8089" s="1">
        <v>42002</v>
      </c>
      <c r="J8089" s="1">
        <v>42002</v>
      </c>
      <c r="K8089" s="1">
        <v>42062</v>
      </c>
      <c r="L8089" s="7">
        <v>104</v>
      </c>
      <c r="M8089" s="5">
        <v>238</v>
      </c>
      <c r="N8089" s="7">
        <v>24752</v>
      </c>
      <c r="O8089">
        <v>104</v>
      </c>
      <c r="P8089">
        <v>238</v>
      </c>
      <c r="Q8089" s="2">
        <v>24752</v>
      </c>
      <c r="R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 s="1">
        <v>42382</v>
      </c>
      <c r="AC8089" t="s">
        <v>53</v>
      </c>
      <c r="AD8089" t="s">
        <v>53</v>
      </c>
      <c r="AK8089">
        <v>0</v>
      </c>
      <c r="AU8089" s="6">
        <v>42300</v>
      </c>
      <c r="AV8089" s="6">
        <v>42300</v>
      </c>
      <c r="AW8089" t="s">
        <v>54</v>
      </c>
      <c r="AX8089" t="str">
        <f t="shared" si="657"/>
        <v>FOR</v>
      </c>
      <c r="AY8089" t="s">
        <v>55</v>
      </c>
    </row>
    <row r="8090" spans="1:51">
      <c r="A8090">
        <v>104492</v>
      </c>
      <c r="B8090" t="s">
        <v>1331</v>
      </c>
      <c r="C8090" t="str">
        <f t="shared" si="658"/>
        <v>05354730631</v>
      </c>
      <c r="D8090" t="str">
        <f t="shared" si="658"/>
        <v>05354730631</v>
      </c>
      <c r="E8090" t="s">
        <v>52</v>
      </c>
      <c r="F8090">
        <v>2014</v>
      </c>
      <c r="G8090">
        <v>3754</v>
      </c>
      <c r="H8090" s="1">
        <v>41995</v>
      </c>
      <c r="I8090" s="1">
        <v>42002</v>
      </c>
      <c r="J8090" s="1">
        <v>42002</v>
      </c>
      <c r="K8090" s="1">
        <v>42062</v>
      </c>
      <c r="L8090" s="7">
        <v>104</v>
      </c>
      <c r="M8090" s="5">
        <v>238</v>
      </c>
      <c r="N8090" s="7">
        <v>24752</v>
      </c>
      <c r="O8090">
        <v>104</v>
      </c>
      <c r="P8090">
        <v>238</v>
      </c>
      <c r="Q8090" s="2">
        <v>24752</v>
      </c>
      <c r="R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 s="1">
        <v>42382</v>
      </c>
      <c r="AC8090" t="s">
        <v>53</v>
      </c>
      <c r="AD8090" t="s">
        <v>53</v>
      </c>
      <c r="AK8090">
        <v>0</v>
      </c>
      <c r="AU8090" s="6">
        <v>42300</v>
      </c>
      <c r="AV8090" s="6">
        <v>42300</v>
      </c>
      <c r="AW8090" t="s">
        <v>54</v>
      </c>
      <c r="AX8090" t="str">
        <f t="shared" si="657"/>
        <v>FOR</v>
      </c>
      <c r="AY8090" t="s">
        <v>55</v>
      </c>
    </row>
    <row r="8091" spans="1:51">
      <c r="A8091">
        <v>104492</v>
      </c>
      <c r="B8091" t="s">
        <v>1331</v>
      </c>
      <c r="C8091" t="str">
        <f t="shared" si="658"/>
        <v>05354730631</v>
      </c>
      <c r="D8091" t="str">
        <f t="shared" si="658"/>
        <v>05354730631</v>
      </c>
      <c r="E8091" t="s">
        <v>52</v>
      </c>
      <c r="F8091">
        <v>2014</v>
      </c>
      <c r="G8091">
        <v>3755</v>
      </c>
      <c r="H8091" s="1">
        <v>41995</v>
      </c>
      <c r="I8091" s="1">
        <v>42002</v>
      </c>
      <c r="J8091" s="1">
        <v>42002</v>
      </c>
      <c r="K8091" s="1">
        <v>42062</v>
      </c>
      <c r="L8091" s="7">
        <v>135.19999999999999</v>
      </c>
      <c r="M8091" s="5">
        <v>238</v>
      </c>
      <c r="N8091" s="7">
        <v>32177.599999999999</v>
      </c>
      <c r="O8091">
        <v>135.19999999999999</v>
      </c>
      <c r="P8091">
        <v>238</v>
      </c>
      <c r="Q8091" s="2">
        <v>32177.599999999999</v>
      </c>
      <c r="R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 s="1">
        <v>42382</v>
      </c>
      <c r="AC8091" t="s">
        <v>53</v>
      </c>
      <c r="AD8091" t="s">
        <v>53</v>
      </c>
      <c r="AK8091">
        <v>0</v>
      </c>
      <c r="AU8091" s="6">
        <v>42300</v>
      </c>
      <c r="AV8091" s="6">
        <v>42300</v>
      </c>
      <c r="AW8091" t="s">
        <v>54</v>
      </c>
      <c r="AX8091" t="str">
        <f t="shared" si="657"/>
        <v>FOR</v>
      </c>
      <c r="AY8091" t="s">
        <v>55</v>
      </c>
    </row>
    <row r="8092" spans="1:51">
      <c r="A8092">
        <v>104492</v>
      </c>
      <c r="B8092" t="s">
        <v>1331</v>
      </c>
      <c r="C8092" t="str">
        <f t="shared" si="658"/>
        <v>05354730631</v>
      </c>
      <c r="D8092" t="str">
        <f t="shared" si="658"/>
        <v>05354730631</v>
      </c>
      <c r="E8092" t="s">
        <v>52</v>
      </c>
      <c r="F8092">
        <v>2014</v>
      </c>
      <c r="G8092">
        <v>3756</v>
      </c>
      <c r="H8092" s="1">
        <v>41995</v>
      </c>
      <c r="I8092" s="1">
        <v>42002</v>
      </c>
      <c r="J8092" s="1">
        <v>42002</v>
      </c>
      <c r="K8092" s="1">
        <v>42062</v>
      </c>
      <c r="L8092" s="7">
        <v>135.19999999999999</v>
      </c>
      <c r="M8092" s="5">
        <v>238</v>
      </c>
      <c r="N8092" s="7">
        <v>32177.599999999999</v>
      </c>
      <c r="O8092">
        <v>135.19999999999999</v>
      </c>
      <c r="P8092">
        <v>238</v>
      </c>
      <c r="Q8092" s="2">
        <v>32177.599999999999</v>
      </c>
      <c r="R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 s="1">
        <v>42382</v>
      </c>
      <c r="AC8092" t="s">
        <v>53</v>
      </c>
      <c r="AD8092" t="s">
        <v>53</v>
      </c>
      <c r="AK8092">
        <v>0</v>
      </c>
      <c r="AU8092" s="6">
        <v>42300</v>
      </c>
      <c r="AV8092" s="6">
        <v>42300</v>
      </c>
      <c r="AW8092" t="s">
        <v>54</v>
      </c>
      <c r="AX8092" t="str">
        <f t="shared" si="657"/>
        <v>FOR</v>
      </c>
      <c r="AY8092" t="s">
        <v>55</v>
      </c>
    </row>
    <row r="8093" spans="1:51">
      <c r="A8093">
        <v>104492</v>
      </c>
      <c r="B8093" t="s">
        <v>1331</v>
      </c>
      <c r="C8093" t="str">
        <f t="shared" si="658"/>
        <v>05354730631</v>
      </c>
      <c r="D8093" t="str">
        <f t="shared" si="658"/>
        <v>05354730631</v>
      </c>
      <c r="E8093" t="s">
        <v>52</v>
      </c>
      <c r="F8093">
        <v>2014</v>
      </c>
      <c r="G8093">
        <v>3792</v>
      </c>
      <c r="H8093" s="1">
        <v>41996</v>
      </c>
      <c r="I8093" s="1">
        <v>42018</v>
      </c>
      <c r="J8093" s="1">
        <v>42018</v>
      </c>
      <c r="K8093" s="1">
        <v>42078</v>
      </c>
      <c r="L8093" s="7">
        <v>104</v>
      </c>
      <c r="M8093" s="5">
        <v>222</v>
      </c>
      <c r="N8093" s="7">
        <v>23088</v>
      </c>
      <c r="O8093">
        <v>104</v>
      </c>
      <c r="P8093">
        <v>222</v>
      </c>
      <c r="Q8093" s="2">
        <v>23088</v>
      </c>
      <c r="R8093">
        <v>0</v>
      </c>
      <c r="V8093">
        <v>0</v>
      </c>
      <c r="W8093">
        <v>0</v>
      </c>
      <c r="X8093">
        <v>0</v>
      </c>
      <c r="Y8093">
        <v>0</v>
      </c>
      <c r="Z8093">
        <v>104</v>
      </c>
      <c r="AA8093">
        <v>0</v>
      </c>
      <c r="AB8093" s="1">
        <v>42382</v>
      </c>
      <c r="AC8093" t="s">
        <v>53</v>
      </c>
      <c r="AD8093" t="s">
        <v>53</v>
      </c>
      <c r="AK8093">
        <v>0</v>
      </c>
      <c r="AU8093" s="6">
        <v>42300</v>
      </c>
      <c r="AV8093" s="6">
        <v>42300</v>
      </c>
      <c r="AW8093" t="s">
        <v>54</v>
      </c>
      <c r="AX8093" t="str">
        <f t="shared" si="657"/>
        <v>FOR</v>
      </c>
      <c r="AY8093" t="s">
        <v>55</v>
      </c>
    </row>
    <row r="8094" spans="1:51">
      <c r="A8094">
        <v>104492</v>
      </c>
      <c r="B8094" t="s">
        <v>1331</v>
      </c>
      <c r="C8094" t="str">
        <f t="shared" si="658"/>
        <v>05354730631</v>
      </c>
      <c r="D8094" t="str">
        <f t="shared" si="658"/>
        <v>05354730631</v>
      </c>
      <c r="E8094" t="s">
        <v>52</v>
      </c>
      <c r="F8094">
        <v>2014</v>
      </c>
      <c r="G8094">
        <v>3843</v>
      </c>
      <c r="H8094" s="1">
        <v>42004</v>
      </c>
      <c r="I8094" s="1">
        <v>42004</v>
      </c>
      <c r="J8094" s="1">
        <v>42004</v>
      </c>
      <c r="K8094" s="1">
        <v>42064</v>
      </c>
      <c r="L8094" s="7">
        <v>104</v>
      </c>
      <c r="M8094" s="5">
        <v>236</v>
      </c>
      <c r="N8094" s="7">
        <v>24544</v>
      </c>
      <c r="O8094">
        <v>104</v>
      </c>
      <c r="P8094">
        <v>236</v>
      </c>
      <c r="Q8094" s="2">
        <v>24544</v>
      </c>
      <c r="R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 s="1">
        <v>42382</v>
      </c>
      <c r="AC8094" t="s">
        <v>53</v>
      </c>
      <c r="AD8094" t="s">
        <v>53</v>
      </c>
      <c r="AK8094">
        <v>0</v>
      </c>
      <c r="AU8094" s="6">
        <v>42300</v>
      </c>
      <c r="AV8094" s="6">
        <v>42300</v>
      </c>
      <c r="AW8094" t="s">
        <v>54</v>
      </c>
      <c r="AX8094" t="str">
        <f t="shared" si="657"/>
        <v>FOR</v>
      </c>
      <c r="AY8094" t="s">
        <v>55</v>
      </c>
    </row>
    <row r="8095" spans="1:51">
      <c r="A8095">
        <v>104492</v>
      </c>
      <c r="B8095" t="s">
        <v>1331</v>
      </c>
      <c r="C8095" t="str">
        <f t="shared" si="658"/>
        <v>05354730631</v>
      </c>
      <c r="D8095" t="str">
        <f t="shared" si="658"/>
        <v>05354730631</v>
      </c>
      <c r="E8095" t="s">
        <v>52</v>
      </c>
      <c r="F8095">
        <v>2015</v>
      </c>
      <c r="G8095">
        <v>121</v>
      </c>
      <c r="H8095" s="1">
        <v>42025</v>
      </c>
      <c r="I8095" s="1">
        <v>42037</v>
      </c>
      <c r="J8095" s="1">
        <v>42037</v>
      </c>
      <c r="K8095" s="1">
        <v>42097</v>
      </c>
      <c r="L8095" s="7">
        <v>100</v>
      </c>
      <c r="M8095" s="5">
        <v>242</v>
      </c>
      <c r="N8095" s="7">
        <v>24200</v>
      </c>
      <c r="O8095">
        <v>100</v>
      </c>
      <c r="P8095">
        <v>242</v>
      </c>
      <c r="Q8095" s="2">
        <v>24200</v>
      </c>
      <c r="R8095">
        <v>4</v>
      </c>
      <c r="V8095">
        <v>0</v>
      </c>
      <c r="W8095">
        <v>0</v>
      </c>
      <c r="X8095">
        <v>0</v>
      </c>
      <c r="Y8095">
        <v>104</v>
      </c>
      <c r="Z8095">
        <v>104</v>
      </c>
      <c r="AA8095">
        <v>104</v>
      </c>
      <c r="AB8095" s="1">
        <v>42382</v>
      </c>
      <c r="AC8095" t="s">
        <v>53</v>
      </c>
      <c r="AD8095" t="s">
        <v>53</v>
      </c>
      <c r="AK8095">
        <v>4</v>
      </c>
      <c r="AU8095" s="6">
        <v>42339</v>
      </c>
      <c r="AV8095" s="6">
        <v>42339</v>
      </c>
      <c r="AW8095" t="s">
        <v>54</v>
      </c>
      <c r="AX8095" t="str">
        <f t="shared" si="657"/>
        <v>FOR</v>
      </c>
      <c r="AY8095" t="s">
        <v>55</v>
      </c>
    </row>
    <row r="8096" spans="1:51">
      <c r="A8096">
        <v>104492</v>
      </c>
      <c r="B8096" t="s">
        <v>1331</v>
      </c>
      <c r="C8096" t="str">
        <f t="shared" si="658"/>
        <v>05354730631</v>
      </c>
      <c r="D8096" t="str">
        <f t="shared" si="658"/>
        <v>05354730631</v>
      </c>
      <c r="E8096" t="s">
        <v>52</v>
      </c>
      <c r="F8096">
        <v>2015</v>
      </c>
      <c r="G8096">
        <v>122</v>
      </c>
      <c r="H8096" s="1">
        <v>42025</v>
      </c>
      <c r="I8096" s="1">
        <v>42037</v>
      </c>
      <c r="J8096" s="1">
        <v>42037</v>
      </c>
      <c r="K8096" s="1">
        <v>42097</v>
      </c>
      <c r="L8096" s="7">
        <v>100</v>
      </c>
      <c r="M8096" s="5">
        <v>242</v>
      </c>
      <c r="N8096" s="7">
        <v>24200</v>
      </c>
      <c r="O8096">
        <v>100</v>
      </c>
      <c r="P8096">
        <v>242</v>
      </c>
      <c r="Q8096" s="2">
        <v>24200</v>
      </c>
      <c r="R8096">
        <v>4</v>
      </c>
      <c r="V8096">
        <v>0</v>
      </c>
      <c r="W8096">
        <v>0</v>
      </c>
      <c r="X8096">
        <v>0</v>
      </c>
      <c r="Y8096">
        <v>104</v>
      </c>
      <c r="Z8096">
        <v>104</v>
      </c>
      <c r="AA8096">
        <v>104</v>
      </c>
      <c r="AB8096" s="1">
        <v>42382</v>
      </c>
      <c r="AC8096" t="s">
        <v>53</v>
      </c>
      <c r="AD8096" t="s">
        <v>53</v>
      </c>
      <c r="AK8096">
        <v>4</v>
      </c>
      <c r="AU8096" s="6">
        <v>42339</v>
      </c>
      <c r="AV8096" s="6">
        <v>42339</v>
      </c>
      <c r="AW8096" t="s">
        <v>54</v>
      </c>
      <c r="AX8096" t="str">
        <f t="shared" si="657"/>
        <v>FOR</v>
      </c>
      <c r="AY8096" t="s">
        <v>55</v>
      </c>
    </row>
    <row r="8097" spans="1:51">
      <c r="A8097">
        <v>104492</v>
      </c>
      <c r="B8097" t="s">
        <v>1331</v>
      </c>
      <c r="C8097" t="str">
        <f t="shared" si="658"/>
        <v>05354730631</v>
      </c>
      <c r="D8097" t="str">
        <f t="shared" si="658"/>
        <v>05354730631</v>
      </c>
      <c r="E8097" t="s">
        <v>52</v>
      </c>
      <c r="F8097">
        <v>2015</v>
      </c>
      <c r="G8097">
        <v>136</v>
      </c>
      <c r="H8097" s="1">
        <v>42026</v>
      </c>
      <c r="I8097" s="1">
        <v>42037</v>
      </c>
      <c r="J8097" s="1">
        <v>42037</v>
      </c>
      <c r="K8097" s="1">
        <v>42097</v>
      </c>
      <c r="L8097" s="7">
        <v>525</v>
      </c>
      <c r="M8097" s="5">
        <v>242</v>
      </c>
      <c r="N8097" s="7">
        <v>127050</v>
      </c>
      <c r="O8097">
        <v>525</v>
      </c>
      <c r="P8097">
        <v>242</v>
      </c>
      <c r="Q8097" s="2">
        <v>127050</v>
      </c>
      <c r="R8097">
        <v>115.5</v>
      </c>
      <c r="V8097">
        <v>0</v>
      </c>
      <c r="W8097">
        <v>0</v>
      </c>
      <c r="X8097">
        <v>0</v>
      </c>
      <c r="Y8097">
        <v>640.5</v>
      </c>
      <c r="Z8097">
        <v>640.5</v>
      </c>
      <c r="AA8097">
        <v>640.5</v>
      </c>
      <c r="AB8097" s="1">
        <v>42382</v>
      </c>
      <c r="AC8097" t="s">
        <v>53</v>
      </c>
      <c r="AD8097" t="s">
        <v>53</v>
      </c>
      <c r="AK8097">
        <v>115.5</v>
      </c>
      <c r="AU8097" s="6">
        <v>42339</v>
      </c>
      <c r="AV8097" s="6">
        <v>42339</v>
      </c>
      <c r="AW8097" t="s">
        <v>54</v>
      </c>
      <c r="AX8097" t="str">
        <f t="shared" si="657"/>
        <v>FOR</v>
      </c>
      <c r="AY8097" t="s">
        <v>55</v>
      </c>
    </row>
    <row r="8098" spans="1:51">
      <c r="A8098">
        <v>104492</v>
      </c>
      <c r="B8098" t="s">
        <v>1331</v>
      </c>
      <c r="C8098" t="str">
        <f t="shared" si="658"/>
        <v>05354730631</v>
      </c>
      <c r="D8098" t="str">
        <f t="shared" si="658"/>
        <v>05354730631</v>
      </c>
      <c r="E8098" t="s">
        <v>52</v>
      </c>
      <c r="F8098">
        <v>2015</v>
      </c>
      <c r="G8098">
        <v>141</v>
      </c>
      <c r="H8098" s="1">
        <v>42026</v>
      </c>
      <c r="I8098" s="1">
        <v>42037</v>
      </c>
      <c r="J8098" s="1">
        <v>42037</v>
      </c>
      <c r="K8098" s="1">
        <v>42097</v>
      </c>
      <c r="L8098" s="7">
        <v>100</v>
      </c>
      <c r="M8098" s="5">
        <v>242</v>
      </c>
      <c r="N8098" s="7">
        <v>24200</v>
      </c>
      <c r="O8098">
        <v>100</v>
      </c>
      <c r="P8098">
        <v>242</v>
      </c>
      <c r="Q8098" s="2">
        <v>24200</v>
      </c>
      <c r="R8098">
        <v>4</v>
      </c>
      <c r="V8098">
        <v>0</v>
      </c>
      <c r="W8098">
        <v>0</v>
      </c>
      <c r="X8098">
        <v>0</v>
      </c>
      <c r="Y8098">
        <v>104</v>
      </c>
      <c r="Z8098">
        <v>104</v>
      </c>
      <c r="AA8098">
        <v>104</v>
      </c>
      <c r="AB8098" s="1">
        <v>42382</v>
      </c>
      <c r="AC8098" t="s">
        <v>53</v>
      </c>
      <c r="AD8098" t="s">
        <v>53</v>
      </c>
      <c r="AK8098">
        <v>4</v>
      </c>
      <c r="AU8098" s="6">
        <v>42339</v>
      </c>
      <c r="AV8098" s="6">
        <v>42339</v>
      </c>
      <c r="AW8098" t="s">
        <v>54</v>
      </c>
      <c r="AX8098" t="str">
        <f t="shared" si="657"/>
        <v>FOR</v>
      </c>
      <c r="AY8098" t="s">
        <v>55</v>
      </c>
    </row>
    <row r="8099" spans="1:51">
      <c r="A8099">
        <v>104492</v>
      </c>
      <c r="B8099" t="s">
        <v>1331</v>
      </c>
      <c r="C8099" t="str">
        <f t="shared" si="658"/>
        <v>05354730631</v>
      </c>
      <c r="D8099" t="str">
        <f t="shared" si="658"/>
        <v>05354730631</v>
      </c>
      <c r="E8099" t="s">
        <v>52</v>
      </c>
      <c r="F8099">
        <v>2015</v>
      </c>
      <c r="G8099">
        <v>186</v>
      </c>
      <c r="H8099" s="1">
        <v>42032</v>
      </c>
      <c r="I8099" s="1">
        <v>42044</v>
      </c>
      <c r="J8099" s="1">
        <v>42044</v>
      </c>
      <c r="K8099" s="1">
        <v>42104</v>
      </c>
      <c r="L8099" s="7">
        <v>1200</v>
      </c>
      <c r="M8099" s="5">
        <v>235</v>
      </c>
      <c r="N8099" s="7">
        <v>282000</v>
      </c>
      <c r="O8099" s="2">
        <v>1200</v>
      </c>
      <c r="P8099">
        <v>235</v>
      </c>
      <c r="Q8099" s="2">
        <v>282000</v>
      </c>
      <c r="R8099">
        <v>264</v>
      </c>
      <c r="V8099">
        <v>0</v>
      </c>
      <c r="W8099">
        <v>0</v>
      </c>
      <c r="X8099">
        <v>0</v>
      </c>
      <c r="Y8099" s="2">
        <v>1464</v>
      </c>
      <c r="Z8099" s="2">
        <v>1464</v>
      </c>
      <c r="AA8099" s="2">
        <v>1464</v>
      </c>
      <c r="AB8099" s="1">
        <v>42382</v>
      </c>
      <c r="AC8099" t="s">
        <v>53</v>
      </c>
      <c r="AD8099" t="s">
        <v>53</v>
      </c>
      <c r="AK8099">
        <v>264</v>
      </c>
      <c r="AU8099" s="6">
        <v>42339</v>
      </c>
      <c r="AV8099" s="6">
        <v>42339</v>
      </c>
      <c r="AW8099" t="s">
        <v>54</v>
      </c>
      <c r="AX8099" t="str">
        <f t="shared" si="657"/>
        <v>FOR</v>
      </c>
      <c r="AY8099" t="s">
        <v>55</v>
      </c>
    </row>
    <row r="8100" spans="1:51">
      <c r="A8100">
        <v>104492</v>
      </c>
      <c r="B8100" t="s">
        <v>1331</v>
      </c>
      <c r="C8100" t="str">
        <f t="shared" si="658"/>
        <v>05354730631</v>
      </c>
      <c r="D8100" t="str">
        <f t="shared" si="658"/>
        <v>05354730631</v>
      </c>
      <c r="E8100" t="s">
        <v>52</v>
      </c>
      <c r="F8100">
        <v>2015</v>
      </c>
      <c r="G8100">
        <v>466</v>
      </c>
      <c r="H8100" s="1">
        <v>42058</v>
      </c>
      <c r="I8100" s="1">
        <v>42069</v>
      </c>
      <c r="J8100" s="1">
        <v>42069</v>
      </c>
      <c r="K8100" s="1">
        <v>42129</v>
      </c>
      <c r="L8100" s="7">
        <v>525</v>
      </c>
      <c r="M8100" s="5">
        <v>210</v>
      </c>
      <c r="N8100" s="7">
        <v>110250</v>
      </c>
      <c r="O8100">
        <v>525</v>
      </c>
      <c r="P8100">
        <v>210</v>
      </c>
      <c r="Q8100" s="2">
        <v>110250</v>
      </c>
      <c r="R8100">
        <v>115.5</v>
      </c>
      <c r="V8100">
        <v>0</v>
      </c>
      <c r="W8100">
        <v>0</v>
      </c>
      <c r="X8100">
        <v>0</v>
      </c>
      <c r="Y8100">
        <v>640.5</v>
      </c>
      <c r="Z8100">
        <v>640.5</v>
      </c>
      <c r="AA8100">
        <v>640.5</v>
      </c>
      <c r="AB8100" s="1">
        <v>42382</v>
      </c>
      <c r="AC8100" t="s">
        <v>53</v>
      </c>
      <c r="AD8100" t="s">
        <v>53</v>
      </c>
      <c r="AK8100">
        <v>115.5</v>
      </c>
      <c r="AU8100" s="6">
        <v>42339</v>
      </c>
      <c r="AV8100" s="6">
        <v>42339</v>
      </c>
      <c r="AW8100" t="s">
        <v>54</v>
      </c>
      <c r="AX8100" t="str">
        <f t="shared" si="657"/>
        <v>FOR</v>
      </c>
      <c r="AY8100" t="s">
        <v>55</v>
      </c>
    </row>
    <row r="8101" spans="1:51">
      <c r="A8101">
        <v>104492</v>
      </c>
      <c r="B8101" t="s">
        <v>1331</v>
      </c>
      <c r="C8101" t="str">
        <f t="shared" si="658"/>
        <v>05354730631</v>
      </c>
      <c r="D8101" t="str">
        <f t="shared" si="658"/>
        <v>05354730631</v>
      </c>
      <c r="E8101" t="s">
        <v>52</v>
      </c>
      <c r="F8101">
        <v>2015</v>
      </c>
      <c r="G8101">
        <v>540</v>
      </c>
      <c r="H8101" s="1">
        <v>42063</v>
      </c>
      <c r="I8101" s="1">
        <v>42074</v>
      </c>
      <c r="J8101" s="1">
        <v>42074</v>
      </c>
      <c r="K8101" s="1">
        <v>42134</v>
      </c>
      <c r="L8101" s="7">
        <v>100</v>
      </c>
      <c r="M8101" s="5">
        <v>205</v>
      </c>
      <c r="N8101" s="7">
        <v>20500</v>
      </c>
      <c r="O8101">
        <v>100</v>
      </c>
      <c r="P8101">
        <v>205</v>
      </c>
      <c r="Q8101" s="2">
        <v>20500</v>
      </c>
      <c r="R8101">
        <v>4</v>
      </c>
      <c r="V8101">
        <v>0</v>
      </c>
      <c r="W8101">
        <v>0</v>
      </c>
      <c r="X8101">
        <v>0</v>
      </c>
      <c r="Y8101">
        <v>104</v>
      </c>
      <c r="Z8101">
        <v>104</v>
      </c>
      <c r="AA8101">
        <v>104</v>
      </c>
      <c r="AB8101" s="1">
        <v>42382</v>
      </c>
      <c r="AC8101" t="s">
        <v>53</v>
      </c>
      <c r="AD8101" t="s">
        <v>53</v>
      </c>
      <c r="AK8101">
        <v>4</v>
      </c>
      <c r="AU8101" s="6">
        <v>42339</v>
      </c>
      <c r="AV8101" s="6">
        <v>42339</v>
      </c>
      <c r="AW8101" t="s">
        <v>54</v>
      </c>
      <c r="AX8101" t="str">
        <f t="shared" si="657"/>
        <v>FOR</v>
      </c>
      <c r="AY8101" t="s">
        <v>55</v>
      </c>
    </row>
    <row r="8102" spans="1:51">
      <c r="A8102">
        <v>104492</v>
      </c>
      <c r="B8102" t="s">
        <v>1331</v>
      </c>
      <c r="C8102" t="str">
        <f t="shared" si="658"/>
        <v>05354730631</v>
      </c>
      <c r="D8102" t="str">
        <f t="shared" si="658"/>
        <v>05354730631</v>
      </c>
      <c r="E8102" t="s">
        <v>52</v>
      </c>
      <c r="F8102">
        <v>2015</v>
      </c>
      <c r="G8102">
        <v>541</v>
      </c>
      <c r="H8102" s="1">
        <v>42063</v>
      </c>
      <c r="I8102" s="1">
        <v>42074</v>
      </c>
      <c r="J8102" s="1">
        <v>42074</v>
      </c>
      <c r="K8102" s="1">
        <v>42134</v>
      </c>
      <c r="L8102" s="7">
        <v>130</v>
      </c>
      <c r="M8102" s="5">
        <v>205</v>
      </c>
      <c r="N8102" s="7">
        <v>26650</v>
      </c>
      <c r="O8102">
        <v>130</v>
      </c>
      <c r="P8102">
        <v>205</v>
      </c>
      <c r="Q8102" s="2">
        <v>26650</v>
      </c>
      <c r="R8102">
        <v>5.2</v>
      </c>
      <c r="V8102">
        <v>0</v>
      </c>
      <c r="W8102">
        <v>0</v>
      </c>
      <c r="X8102">
        <v>0</v>
      </c>
      <c r="Y8102">
        <v>135.19999999999999</v>
      </c>
      <c r="Z8102">
        <v>135.19999999999999</v>
      </c>
      <c r="AA8102">
        <v>135.19999999999999</v>
      </c>
      <c r="AB8102" s="1">
        <v>42382</v>
      </c>
      <c r="AC8102" t="s">
        <v>53</v>
      </c>
      <c r="AD8102" t="s">
        <v>53</v>
      </c>
      <c r="AK8102">
        <v>5.2</v>
      </c>
      <c r="AU8102" s="6">
        <v>42339</v>
      </c>
      <c r="AV8102" s="6">
        <v>42339</v>
      </c>
      <c r="AW8102" t="s">
        <v>54</v>
      </c>
      <c r="AX8102" t="str">
        <f t="shared" si="657"/>
        <v>FOR</v>
      </c>
      <c r="AY8102" t="s">
        <v>55</v>
      </c>
    </row>
    <row r="8103" spans="1:51">
      <c r="A8103">
        <v>104492</v>
      </c>
      <c r="B8103" t="s">
        <v>1331</v>
      </c>
      <c r="C8103" t="str">
        <f t="shared" si="658"/>
        <v>05354730631</v>
      </c>
      <c r="D8103" t="str">
        <f t="shared" si="658"/>
        <v>05354730631</v>
      </c>
      <c r="E8103" t="s">
        <v>52</v>
      </c>
      <c r="F8103">
        <v>2015</v>
      </c>
      <c r="G8103">
        <v>542</v>
      </c>
      <c r="H8103" s="1">
        <v>42063</v>
      </c>
      <c r="I8103" s="1">
        <v>42074</v>
      </c>
      <c r="J8103" s="1">
        <v>42074</v>
      </c>
      <c r="K8103" s="1">
        <v>42134</v>
      </c>
      <c r="L8103" s="7">
        <v>100</v>
      </c>
      <c r="M8103" s="5">
        <v>205</v>
      </c>
      <c r="N8103" s="7">
        <v>20500</v>
      </c>
      <c r="O8103">
        <v>100</v>
      </c>
      <c r="P8103">
        <v>205</v>
      </c>
      <c r="Q8103" s="2">
        <v>20500</v>
      </c>
      <c r="R8103">
        <v>4</v>
      </c>
      <c r="V8103">
        <v>0</v>
      </c>
      <c r="W8103">
        <v>0</v>
      </c>
      <c r="X8103">
        <v>0</v>
      </c>
      <c r="Y8103">
        <v>104</v>
      </c>
      <c r="Z8103">
        <v>104</v>
      </c>
      <c r="AA8103">
        <v>104</v>
      </c>
      <c r="AB8103" s="1">
        <v>42382</v>
      </c>
      <c r="AC8103" t="s">
        <v>53</v>
      </c>
      <c r="AD8103" t="s">
        <v>53</v>
      </c>
      <c r="AK8103">
        <v>4</v>
      </c>
      <c r="AU8103" s="6">
        <v>42339</v>
      </c>
      <c r="AV8103" s="6">
        <v>42339</v>
      </c>
      <c r="AW8103" t="s">
        <v>54</v>
      </c>
      <c r="AX8103" t="str">
        <f t="shared" si="657"/>
        <v>FOR</v>
      </c>
      <c r="AY8103" t="s">
        <v>55</v>
      </c>
    </row>
    <row r="8104" spans="1:51">
      <c r="A8104">
        <v>104492</v>
      </c>
      <c r="B8104" t="s">
        <v>1331</v>
      </c>
      <c r="C8104" t="str">
        <f t="shared" si="658"/>
        <v>05354730631</v>
      </c>
      <c r="D8104" t="str">
        <f t="shared" si="658"/>
        <v>05354730631</v>
      </c>
      <c r="E8104" t="s">
        <v>52</v>
      </c>
      <c r="F8104">
        <v>2015</v>
      </c>
      <c r="G8104">
        <v>598</v>
      </c>
      <c r="H8104" s="1">
        <v>42073</v>
      </c>
      <c r="I8104" s="1">
        <v>42074</v>
      </c>
      <c r="J8104" s="1">
        <v>42074</v>
      </c>
      <c r="K8104" s="1">
        <v>42134</v>
      </c>
      <c r="L8104" s="7">
        <v>100</v>
      </c>
      <c r="M8104" s="5">
        <v>205</v>
      </c>
      <c r="N8104" s="7">
        <v>20500</v>
      </c>
      <c r="O8104">
        <v>100</v>
      </c>
      <c r="P8104">
        <v>205</v>
      </c>
      <c r="Q8104" s="2">
        <v>20500</v>
      </c>
      <c r="R8104">
        <v>4</v>
      </c>
      <c r="V8104">
        <v>0</v>
      </c>
      <c r="W8104">
        <v>0</v>
      </c>
      <c r="X8104">
        <v>0</v>
      </c>
      <c r="Y8104">
        <v>104</v>
      </c>
      <c r="Z8104">
        <v>104</v>
      </c>
      <c r="AA8104">
        <v>104</v>
      </c>
      <c r="AB8104" s="1">
        <v>42382</v>
      </c>
      <c r="AC8104" t="s">
        <v>53</v>
      </c>
      <c r="AD8104" t="s">
        <v>53</v>
      </c>
      <c r="AK8104">
        <v>4</v>
      </c>
      <c r="AU8104" s="6">
        <v>42339</v>
      </c>
      <c r="AV8104" s="6">
        <v>42339</v>
      </c>
      <c r="AW8104" t="s">
        <v>54</v>
      </c>
      <c r="AX8104" t="str">
        <f t="shared" si="657"/>
        <v>FOR</v>
      </c>
      <c r="AY8104" t="s">
        <v>55</v>
      </c>
    </row>
    <row r="8105" spans="1:51">
      <c r="A8105">
        <v>104492</v>
      </c>
      <c r="B8105" t="s">
        <v>1331</v>
      </c>
      <c r="C8105" t="str">
        <f t="shared" ref="C8105:D8113" si="659">"05354730631"</f>
        <v>05354730631</v>
      </c>
      <c r="D8105" t="str">
        <f t="shared" si="659"/>
        <v>05354730631</v>
      </c>
      <c r="E8105" t="s">
        <v>52</v>
      </c>
      <c r="F8105">
        <v>2015</v>
      </c>
      <c r="G8105">
        <v>599</v>
      </c>
      <c r="H8105" s="1">
        <v>42073</v>
      </c>
      <c r="I8105" s="1">
        <v>42074</v>
      </c>
      <c r="J8105" s="1">
        <v>42074</v>
      </c>
      <c r="K8105" s="1">
        <v>42134</v>
      </c>
      <c r="L8105" s="7">
        <v>100</v>
      </c>
      <c r="M8105" s="5">
        <v>205</v>
      </c>
      <c r="N8105" s="7">
        <v>20500</v>
      </c>
      <c r="O8105">
        <v>100</v>
      </c>
      <c r="P8105">
        <v>205</v>
      </c>
      <c r="Q8105" s="2">
        <v>20500</v>
      </c>
      <c r="R8105">
        <v>4</v>
      </c>
      <c r="V8105">
        <v>0</v>
      </c>
      <c r="W8105">
        <v>0</v>
      </c>
      <c r="X8105">
        <v>0</v>
      </c>
      <c r="Y8105">
        <v>104</v>
      </c>
      <c r="Z8105">
        <v>104</v>
      </c>
      <c r="AA8105">
        <v>104</v>
      </c>
      <c r="AB8105" s="1">
        <v>42382</v>
      </c>
      <c r="AC8105" t="s">
        <v>53</v>
      </c>
      <c r="AD8105" t="s">
        <v>53</v>
      </c>
      <c r="AK8105">
        <v>4</v>
      </c>
      <c r="AU8105" s="6">
        <v>42339</v>
      </c>
      <c r="AV8105" s="6">
        <v>42339</v>
      </c>
      <c r="AW8105" t="s">
        <v>54</v>
      </c>
      <c r="AX8105" t="str">
        <f t="shared" si="657"/>
        <v>FOR</v>
      </c>
      <c r="AY8105" t="s">
        <v>55</v>
      </c>
    </row>
    <row r="8106" spans="1:51">
      <c r="A8106">
        <v>104492</v>
      </c>
      <c r="B8106" t="s">
        <v>1331</v>
      </c>
      <c r="C8106" t="str">
        <f t="shared" si="659"/>
        <v>05354730631</v>
      </c>
      <c r="D8106" t="str">
        <f t="shared" si="659"/>
        <v>05354730631</v>
      </c>
      <c r="E8106" t="s">
        <v>52</v>
      </c>
      <c r="F8106">
        <v>2015</v>
      </c>
      <c r="G8106">
        <v>600</v>
      </c>
      <c r="H8106" s="1">
        <v>42073</v>
      </c>
      <c r="I8106" s="1">
        <v>42074</v>
      </c>
      <c r="J8106" s="1">
        <v>42074</v>
      </c>
      <c r="K8106" s="1">
        <v>42134</v>
      </c>
      <c r="L8106" s="7">
        <v>100</v>
      </c>
      <c r="M8106" s="5">
        <v>205</v>
      </c>
      <c r="N8106" s="7">
        <v>20500</v>
      </c>
      <c r="O8106">
        <v>100</v>
      </c>
      <c r="P8106">
        <v>205</v>
      </c>
      <c r="Q8106" s="2">
        <v>20500</v>
      </c>
      <c r="R8106">
        <v>4</v>
      </c>
      <c r="V8106">
        <v>0</v>
      </c>
      <c r="W8106">
        <v>0</v>
      </c>
      <c r="X8106">
        <v>0</v>
      </c>
      <c r="Y8106">
        <v>104</v>
      </c>
      <c r="Z8106">
        <v>104</v>
      </c>
      <c r="AA8106">
        <v>104</v>
      </c>
      <c r="AB8106" s="1">
        <v>42382</v>
      </c>
      <c r="AC8106" t="s">
        <v>53</v>
      </c>
      <c r="AD8106" t="s">
        <v>53</v>
      </c>
      <c r="AK8106">
        <v>4</v>
      </c>
      <c r="AU8106" s="6">
        <v>42339</v>
      </c>
      <c r="AV8106" s="6">
        <v>42339</v>
      </c>
      <c r="AW8106" t="s">
        <v>54</v>
      </c>
      <c r="AX8106" t="str">
        <f t="shared" si="657"/>
        <v>FOR</v>
      </c>
      <c r="AY8106" t="s">
        <v>55</v>
      </c>
    </row>
    <row r="8107" spans="1:51">
      <c r="A8107">
        <v>104492</v>
      </c>
      <c r="B8107" t="s">
        <v>1331</v>
      </c>
      <c r="C8107" t="str">
        <f t="shared" si="659"/>
        <v>05354730631</v>
      </c>
      <c r="D8107" t="str">
        <f t="shared" si="659"/>
        <v>05354730631</v>
      </c>
      <c r="E8107" t="s">
        <v>52</v>
      </c>
      <c r="F8107">
        <v>2015</v>
      </c>
      <c r="G8107">
        <v>710</v>
      </c>
      <c r="H8107" s="1">
        <v>42083</v>
      </c>
      <c r="I8107" s="1">
        <v>42087</v>
      </c>
      <c r="J8107" s="1">
        <v>42087</v>
      </c>
      <c r="K8107" s="1">
        <v>42147</v>
      </c>
      <c r="L8107" s="7">
        <v>100</v>
      </c>
      <c r="M8107" s="5">
        <v>192</v>
      </c>
      <c r="N8107" s="7">
        <v>19200</v>
      </c>
      <c r="O8107">
        <v>100</v>
      </c>
      <c r="P8107">
        <v>192</v>
      </c>
      <c r="Q8107" s="2">
        <v>19200</v>
      </c>
      <c r="R8107">
        <v>4</v>
      </c>
      <c r="V8107">
        <v>0</v>
      </c>
      <c r="W8107">
        <v>0</v>
      </c>
      <c r="X8107">
        <v>0</v>
      </c>
      <c r="Y8107">
        <v>104</v>
      </c>
      <c r="Z8107">
        <v>104</v>
      </c>
      <c r="AA8107">
        <v>104</v>
      </c>
      <c r="AB8107" s="1">
        <v>42382</v>
      </c>
      <c r="AC8107" t="s">
        <v>53</v>
      </c>
      <c r="AD8107" t="s">
        <v>53</v>
      </c>
      <c r="AK8107">
        <v>4</v>
      </c>
      <c r="AU8107" s="6">
        <v>42339</v>
      </c>
      <c r="AV8107" s="6">
        <v>42339</v>
      </c>
      <c r="AW8107" t="s">
        <v>54</v>
      </c>
      <c r="AX8107" t="str">
        <f t="shared" si="657"/>
        <v>FOR</v>
      </c>
      <c r="AY8107" t="s">
        <v>55</v>
      </c>
    </row>
    <row r="8108" spans="1:51">
      <c r="A8108">
        <v>104492</v>
      </c>
      <c r="B8108" t="s">
        <v>1331</v>
      </c>
      <c r="C8108" t="str">
        <f t="shared" si="659"/>
        <v>05354730631</v>
      </c>
      <c r="D8108" t="str">
        <f t="shared" si="659"/>
        <v>05354730631</v>
      </c>
      <c r="E8108" t="s">
        <v>52</v>
      </c>
      <c r="F8108">
        <v>2015</v>
      </c>
      <c r="G8108">
        <v>711</v>
      </c>
      <c r="H8108" s="1">
        <v>42083</v>
      </c>
      <c r="I8108" s="1">
        <v>42087</v>
      </c>
      <c r="J8108" s="1">
        <v>42087</v>
      </c>
      <c r="K8108" s="1">
        <v>42147</v>
      </c>
      <c r="L8108" s="7">
        <v>100</v>
      </c>
      <c r="M8108" s="5">
        <v>192</v>
      </c>
      <c r="N8108" s="7">
        <v>19200</v>
      </c>
      <c r="O8108">
        <v>100</v>
      </c>
      <c r="P8108">
        <v>192</v>
      </c>
      <c r="Q8108" s="2">
        <v>19200</v>
      </c>
      <c r="R8108">
        <v>4</v>
      </c>
      <c r="V8108">
        <v>0</v>
      </c>
      <c r="W8108">
        <v>0</v>
      </c>
      <c r="X8108">
        <v>0</v>
      </c>
      <c r="Y8108">
        <v>104</v>
      </c>
      <c r="Z8108">
        <v>104</v>
      </c>
      <c r="AA8108">
        <v>104</v>
      </c>
      <c r="AB8108" s="1">
        <v>42382</v>
      </c>
      <c r="AC8108" t="s">
        <v>53</v>
      </c>
      <c r="AD8108" t="s">
        <v>53</v>
      </c>
      <c r="AK8108">
        <v>4</v>
      </c>
      <c r="AU8108" s="6">
        <v>42339</v>
      </c>
      <c r="AV8108" s="6">
        <v>42339</v>
      </c>
      <c r="AW8108" t="s">
        <v>54</v>
      </c>
      <c r="AX8108" t="str">
        <f t="shared" si="657"/>
        <v>FOR</v>
      </c>
      <c r="AY8108" t="s">
        <v>55</v>
      </c>
    </row>
    <row r="8109" spans="1:51">
      <c r="A8109">
        <v>104492</v>
      </c>
      <c r="B8109" t="s">
        <v>1331</v>
      </c>
      <c r="C8109" t="str">
        <f t="shared" si="659"/>
        <v>05354730631</v>
      </c>
      <c r="D8109" t="str">
        <f t="shared" si="659"/>
        <v>05354730631</v>
      </c>
      <c r="E8109" t="s">
        <v>52</v>
      </c>
      <c r="F8109">
        <v>2015</v>
      </c>
      <c r="G8109">
        <v>825</v>
      </c>
      <c r="H8109" s="1">
        <v>42093</v>
      </c>
      <c r="I8109" s="1">
        <v>42097</v>
      </c>
      <c r="J8109" s="1">
        <v>42097</v>
      </c>
      <c r="K8109" s="1">
        <v>42157</v>
      </c>
      <c r="L8109" s="7">
        <v>100</v>
      </c>
      <c r="M8109" s="5">
        <v>182</v>
      </c>
      <c r="N8109" s="7">
        <v>18200</v>
      </c>
      <c r="O8109">
        <v>100</v>
      </c>
      <c r="P8109">
        <v>182</v>
      </c>
      <c r="Q8109" s="2">
        <v>18200</v>
      </c>
      <c r="R8109">
        <v>4</v>
      </c>
      <c r="V8109">
        <v>0</v>
      </c>
      <c r="W8109">
        <v>0</v>
      </c>
      <c r="X8109">
        <v>0</v>
      </c>
      <c r="Y8109">
        <v>104</v>
      </c>
      <c r="Z8109">
        <v>104</v>
      </c>
      <c r="AA8109">
        <v>104</v>
      </c>
      <c r="AB8109" s="1">
        <v>42382</v>
      </c>
      <c r="AC8109" t="s">
        <v>53</v>
      </c>
      <c r="AD8109" t="s">
        <v>53</v>
      </c>
      <c r="AK8109">
        <v>4</v>
      </c>
      <c r="AU8109" s="6">
        <v>42339</v>
      </c>
      <c r="AV8109" s="6">
        <v>42339</v>
      </c>
      <c r="AW8109" t="s">
        <v>54</v>
      </c>
      <c r="AX8109" t="str">
        <f t="shared" si="657"/>
        <v>FOR</v>
      </c>
      <c r="AY8109" t="s">
        <v>55</v>
      </c>
    </row>
    <row r="8110" spans="1:51">
      <c r="A8110">
        <v>104492</v>
      </c>
      <c r="B8110" t="s">
        <v>1331</v>
      </c>
      <c r="C8110" t="str">
        <f t="shared" si="659"/>
        <v>05354730631</v>
      </c>
      <c r="D8110" t="str">
        <f t="shared" si="659"/>
        <v>05354730631</v>
      </c>
      <c r="E8110" t="s">
        <v>52</v>
      </c>
      <c r="F8110">
        <v>2015</v>
      </c>
      <c r="G8110">
        <v>826</v>
      </c>
      <c r="H8110" s="1">
        <v>42093</v>
      </c>
      <c r="I8110" s="1">
        <v>42097</v>
      </c>
      <c r="J8110" s="1">
        <v>42097</v>
      </c>
      <c r="K8110" s="1">
        <v>42157</v>
      </c>
      <c r="L8110" s="7">
        <v>100</v>
      </c>
      <c r="M8110" s="5">
        <v>182</v>
      </c>
      <c r="N8110" s="7">
        <v>18200</v>
      </c>
      <c r="O8110">
        <v>100</v>
      </c>
      <c r="P8110">
        <v>182</v>
      </c>
      <c r="Q8110" s="2">
        <v>18200</v>
      </c>
      <c r="R8110">
        <v>4</v>
      </c>
      <c r="V8110">
        <v>0</v>
      </c>
      <c r="W8110">
        <v>0</v>
      </c>
      <c r="X8110">
        <v>0</v>
      </c>
      <c r="Y8110">
        <v>104</v>
      </c>
      <c r="Z8110">
        <v>104</v>
      </c>
      <c r="AA8110">
        <v>104</v>
      </c>
      <c r="AB8110" s="1">
        <v>42382</v>
      </c>
      <c r="AC8110" t="s">
        <v>53</v>
      </c>
      <c r="AD8110" t="s">
        <v>53</v>
      </c>
      <c r="AK8110">
        <v>4</v>
      </c>
      <c r="AU8110" s="6">
        <v>42339</v>
      </c>
      <c r="AV8110" s="6">
        <v>42339</v>
      </c>
      <c r="AW8110" t="s">
        <v>54</v>
      </c>
      <c r="AX8110" t="str">
        <f t="shared" si="657"/>
        <v>FOR</v>
      </c>
      <c r="AY8110" t="s">
        <v>55</v>
      </c>
    </row>
    <row r="8111" spans="1:51">
      <c r="A8111">
        <v>104492</v>
      </c>
      <c r="B8111" t="s">
        <v>1331</v>
      </c>
      <c r="C8111" t="str">
        <f t="shared" si="659"/>
        <v>05354730631</v>
      </c>
      <c r="D8111" t="str">
        <f t="shared" si="659"/>
        <v>05354730631</v>
      </c>
      <c r="E8111" t="s">
        <v>52</v>
      </c>
      <c r="F8111">
        <v>2015</v>
      </c>
      <c r="G8111">
        <v>827</v>
      </c>
      <c r="H8111" s="1">
        <v>42093</v>
      </c>
      <c r="I8111" s="1">
        <v>42097</v>
      </c>
      <c r="J8111" s="1">
        <v>42097</v>
      </c>
      <c r="K8111" s="1">
        <v>42157</v>
      </c>
      <c r="L8111" s="7">
        <v>130</v>
      </c>
      <c r="M8111" s="5">
        <v>182</v>
      </c>
      <c r="N8111" s="7">
        <v>23660</v>
      </c>
      <c r="O8111">
        <v>130</v>
      </c>
      <c r="P8111">
        <v>182</v>
      </c>
      <c r="Q8111" s="2">
        <v>23660</v>
      </c>
      <c r="R8111">
        <v>5.2</v>
      </c>
      <c r="V8111">
        <v>0</v>
      </c>
      <c r="W8111">
        <v>0</v>
      </c>
      <c r="X8111">
        <v>0</v>
      </c>
      <c r="Y8111">
        <v>135.19999999999999</v>
      </c>
      <c r="Z8111">
        <v>135.19999999999999</v>
      </c>
      <c r="AA8111">
        <v>135.19999999999999</v>
      </c>
      <c r="AB8111" s="1">
        <v>42382</v>
      </c>
      <c r="AC8111" t="s">
        <v>53</v>
      </c>
      <c r="AD8111" t="s">
        <v>53</v>
      </c>
      <c r="AK8111">
        <v>5.2</v>
      </c>
      <c r="AU8111" s="6">
        <v>42339</v>
      </c>
      <c r="AV8111" s="6">
        <v>42339</v>
      </c>
      <c r="AW8111" t="s">
        <v>54</v>
      </c>
      <c r="AX8111" t="str">
        <f t="shared" si="657"/>
        <v>FOR</v>
      </c>
      <c r="AY8111" t="s">
        <v>55</v>
      </c>
    </row>
    <row r="8112" spans="1:51">
      <c r="A8112">
        <v>104492</v>
      </c>
      <c r="B8112" t="s">
        <v>1331</v>
      </c>
      <c r="C8112" t="str">
        <f t="shared" si="659"/>
        <v>05354730631</v>
      </c>
      <c r="D8112" t="str">
        <f t="shared" si="659"/>
        <v>05354730631</v>
      </c>
      <c r="E8112" t="s">
        <v>52</v>
      </c>
      <c r="F8112">
        <v>2015</v>
      </c>
      <c r="G8112" t="s">
        <v>1332</v>
      </c>
      <c r="H8112" s="1">
        <v>42094</v>
      </c>
      <c r="I8112" s="1">
        <v>42128</v>
      </c>
      <c r="J8112" s="1">
        <v>42107</v>
      </c>
      <c r="K8112" s="1">
        <v>42167</v>
      </c>
      <c r="L8112" s="7">
        <v>130</v>
      </c>
      <c r="M8112" s="5">
        <v>172</v>
      </c>
      <c r="N8112" s="7">
        <v>22360</v>
      </c>
      <c r="O8112">
        <v>130</v>
      </c>
      <c r="P8112">
        <v>172</v>
      </c>
      <c r="Q8112" s="2">
        <v>22360</v>
      </c>
      <c r="R8112">
        <v>5.2</v>
      </c>
      <c r="V8112">
        <v>0</v>
      </c>
      <c r="W8112">
        <v>0</v>
      </c>
      <c r="X8112">
        <v>0</v>
      </c>
      <c r="Y8112">
        <v>135.19999999999999</v>
      </c>
      <c r="Z8112">
        <v>135.19999999999999</v>
      </c>
      <c r="AA8112">
        <v>135.19999999999999</v>
      </c>
      <c r="AB8112" s="1">
        <v>42382</v>
      </c>
      <c r="AC8112" t="s">
        <v>53</v>
      </c>
      <c r="AD8112" t="s">
        <v>53</v>
      </c>
      <c r="AK8112">
        <v>5.2</v>
      </c>
      <c r="AU8112" s="6">
        <v>42339</v>
      </c>
      <c r="AV8112" s="6">
        <v>42339</v>
      </c>
      <c r="AW8112" t="s">
        <v>54</v>
      </c>
      <c r="AX8112" t="str">
        <f t="shared" si="657"/>
        <v>FOR</v>
      </c>
      <c r="AY8112" t="s">
        <v>55</v>
      </c>
    </row>
    <row r="8113" spans="1:51">
      <c r="A8113">
        <v>104492</v>
      </c>
      <c r="B8113" t="s">
        <v>1331</v>
      </c>
      <c r="C8113" t="str">
        <f t="shared" si="659"/>
        <v>05354730631</v>
      </c>
      <c r="D8113" t="str">
        <f t="shared" si="659"/>
        <v>05354730631</v>
      </c>
      <c r="E8113" t="s">
        <v>52</v>
      </c>
      <c r="F8113">
        <v>2015</v>
      </c>
      <c r="G8113" t="s">
        <v>1333</v>
      </c>
      <c r="H8113" s="1">
        <v>42094</v>
      </c>
      <c r="I8113" s="1">
        <v>42128</v>
      </c>
      <c r="J8113" s="1">
        <v>42107</v>
      </c>
      <c r="K8113" s="1">
        <v>42167</v>
      </c>
      <c r="L8113" s="7">
        <v>1775</v>
      </c>
      <c r="M8113" s="5">
        <v>172</v>
      </c>
      <c r="N8113" s="7">
        <v>305300</v>
      </c>
      <c r="O8113" s="2">
        <v>1775</v>
      </c>
      <c r="P8113">
        <v>172</v>
      </c>
      <c r="Q8113" s="2">
        <v>305300</v>
      </c>
      <c r="R8113">
        <v>390.5</v>
      </c>
      <c r="V8113">
        <v>0</v>
      </c>
      <c r="W8113">
        <v>0</v>
      </c>
      <c r="X8113">
        <v>0</v>
      </c>
      <c r="Y8113" s="2">
        <v>2165.5</v>
      </c>
      <c r="Z8113" s="2">
        <v>2165.5</v>
      </c>
      <c r="AA8113" s="2">
        <v>2165.5</v>
      </c>
      <c r="AB8113" s="1">
        <v>42382</v>
      </c>
      <c r="AC8113" t="s">
        <v>53</v>
      </c>
      <c r="AD8113" t="s">
        <v>53</v>
      </c>
      <c r="AK8113">
        <v>390.5</v>
      </c>
      <c r="AU8113" s="6">
        <v>42339</v>
      </c>
      <c r="AV8113" s="6">
        <v>42339</v>
      </c>
      <c r="AW8113" t="s">
        <v>54</v>
      </c>
      <c r="AX8113" t="str">
        <f t="shared" si="657"/>
        <v>FOR</v>
      </c>
      <c r="AY8113" t="s">
        <v>55</v>
      </c>
    </row>
    <row r="8114" spans="1:51" hidden="1">
      <c r="A8114">
        <v>104498</v>
      </c>
      <c r="B8114" t="s">
        <v>1334</v>
      </c>
      <c r="C8114" t="str">
        <f>"07305510633"</f>
        <v>07305510633</v>
      </c>
      <c r="D8114" t="str">
        <f>"07305510633"</f>
        <v>07305510633</v>
      </c>
      <c r="E8114" t="s">
        <v>52</v>
      </c>
      <c r="F8114">
        <v>2014</v>
      </c>
      <c r="G8114">
        <v>105</v>
      </c>
      <c r="H8114" s="1">
        <v>41778</v>
      </c>
      <c r="I8114" s="1">
        <v>41789</v>
      </c>
      <c r="J8114" s="1">
        <v>41789</v>
      </c>
      <c r="K8114" s="1">
        <v>41879</v>
      </c>
      <c r="N8114" s="5"/>
      <c r="O8114" s="2">
        <v>12369.97</v>
      </c>
      <c r="P8114">
        <v>155</v>
      </c>
      <c r="Q8114" s="2">
        <v>1917345.35</v>
      </c>
      <c r="R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 s="1">
        <v>42382</v>
      </c>
      <c r="AC8114" t="s">
        <v>53</v>
      </c>
      <c r="AD8114" t="s">
        <v>53</v>
      </c>
      <c r="AK8114">
        <v>0</v>
      </c>
      <c r="AU8114" s="6">
        <v>42034</v>
      </c>
      <c r="AV8114" s="6">
        <v>42034</v>
      </c>
      <c r="AW8114" t="s">
        <v>54</v>
      </c>
      <c r="AX8114" t="str">
        <f t="shared" si="657"/>
        <v>FOR</v>
      </c>
      <c r="AY8114" t="s">
        <v>55</v>
      </c>
    </row>
    <row r="8115" spans="1:51" hidden="1">
      <c r="A8115">
        <v>104527</v>
      </c>
      <c r="B8115" t="s">
        <v>1335</v>
      </c>
      <c r="C8115" t="str">
        <f>"04465331215"</f>
        <v>04465331215</v>
      </c>
      <c r="D8115" t="str">
        <f>"04465331215"</f>
        <v>04465331215</v>
      </c>
      <c r="E8115" t="s">
        <v>52</v>
      </c>
      <c r="F8115">
        <v>2014</v>
      </c>
      <c r="G8115">
        <v>57</v>
      </c>
      <c r="H8115" s="1">
        <v>41722</v>
      </c>
      <c r="I8115" s="1">
        <v>41733</v>
      </c>
      <c r="J8115" s="1">
        <v>41733</v>
      </c>
      <c r="K8115" s="1">
        <v>41823</v>
      </c>
      <c r="N8115" s="5"/>
      <c r="O8115" s="2">
        <v>1878.8</v>
      </c>
      <c r="P8115">
        <v>307</v>
      </c>
      <c r="Q8115" s="2">
        <v>576791.6</v>
      </c>
      <c r="R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 s="1">
        <v>42382</v>
      </c>
      <c r="AC8115" t="s">
        <v>53</v>
      </c>
      <c r="AD8115" t="s">
        <v>53</v>
      </c>
      <c r="AK8115">
        <v>0</v>
      </c>
      <c r="AU8115" s="6">
        <v>42130</v>
      </c>
      <c r="AV8115" s="6">
        <v>42130</v>
      </c>
      <c r="AW8115" t="s">
        <v>54</v>
      </c>
      <c r="AX8115" t="str">
        <f t="shared" si="657"/>
        <v>FOR</v>
      </c>
      <c r="AY8115" t="s">
        <v>55</v>
      </c>
    </row>
    <row r="8116" spans="1:51" hidden="1">
      <c r="A8116">
        <v>104538</v>
      </c>
      <c r="B8116" t="s">
        <v>1336</v>
      </c>
      <c r="C8116" t="str">
        <f>"00660040528"</f>
        <v>00660040528</v>
      </c>
      <c r="D8116" t="str">
        <f>"00660040528"</f>
        <v>00660040528</v>
      </c>
      <c r="E8116" t="s">
        <v>52</v>
      </c>
      <c r="F8116">
        <v>2014</v>
      </c>
      <c r="G8116">
        <v>224</v>
      </c>
      <c r="H8116" s="1">
        <v>41698</v>
      </c>
      <c r="I8116" s="1">
        <v>41731</v>
      </c>
      <c r="J8116" s="1">
        <v>41731</v>
      </c>
      <c r="K8116" s="1">
        <v>41821</v>
      </c>
      <c r="N8116" s="5"/>
      <c r="O8116" s="2">
        <v>4544.5</v>
      </c>
      <c r="P8116">
        <v>275</v>
      </c>
      <c r="Q8116" s="2">
        <v>1249737.5</v>
      </c>
      <c r="R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 s="1">
        <v>42382</v>
      </c>
      <c r="AC8116" t="s">
        <v>53</v>
      </c>
      <c r="AD8116" t="s">
        <v>53</v>
      </c>
      <c r="AK8116">
        <v>0</v>
      </c>
      <c r="AU8116" s="6">
        <v>42096</v>
      </c>
      <c r="AV8116" s="6">
        <v>42096</v>
      </c>
      <c r="AW8116" t="s">
        <v>54</v>
      </c>
      <c r="AX8116" t="str">
        <f t="shared" si="657"/>
        <v>FOR</v>
      </c>
      <c r="AY8116" t="s">
        <v>55</v>
      </c>
    </row>
    <row r="8117" spans="1:51">
      <c r="A8117">
        <v>104538</v>
      </c>
      <c r="B8117" t="s">
        <v>1336</v>
      </c>
      <c r="C8117" t="str">
        <f>"00660040528"</f>
        <v>00660040528</v>
      </c>
      <c r="D8117" t="str">
        <f>"00660040528"</f>
        <v>00660040528</v>
      </c>
      <c r="E8117" t="s">
        <v>52</v>
      </c>
      <c r="F8117">
        <v>2015</v>
      </c>
      <c r="G8117">
        <v>164</v>
      </c>
      <c r="H8117" s="1">
        <v>42185</v>
      </c>
      <c r="I8117" s="1">
        <v>42192</v>
      </c>
      <c r="J8117" s="1">
        <v>42192</v>
      </c>
      <c r="K8117" s="1">
        <v>42252</v>
      </c>
      <c r="L8117" s="7">
        <v>530</v>
      </c>
      <c r="M8117" s="5">
        <v>32</v>
      </c>
      <c r="N8117" s="7">
        <v>16960</v>
      </c>
      <c r="O8117">
        <v>530</v>
      </c>
      <c r="P8117">
        <v>32</v>
      </c>
      <c r="Q8117" s="2">
        <v>16960</v>
      </c>
      <c r="R8117">
        <v>116.6</v>
      </c>
      <c r="V8117">
        <v>0</v>
      </c>
      <c r="W8117">
        <v>0</v>
      </c>
      <c r="X8117">
        <v>0</v>
      </c>
      <c r="Y8117">
        <v>646.6</v>
      </c>
      <c r="Z8117">
        <v>646.6</v>
      </c>
      <c r="AA8117">
        <v>646.6</v>
      </c>
      <c r="AB8117" s="1">
        <v>42382</v>
      </c>
      <c r="AC8117" t="s">
        <v>53</v>
      </c>
      <c r="AD8117" t="s">
        <v>53</v>
      </c>
      <c r="AH8117">
        <v>116.6</v>
      </c>
      <c r="AK8117">
        <v>0</v>
      </c>
      <c r="AU8117" s="6">
        <v>42284</v>
      </c>
      <c r="AV8117" s="6">
        <v>42284</v>
      </c>
      <c r="AW8117" t="s">
        <v>54</v>
      </c>
      <c r="AX8117" t="str">
        <f t="shared" si="657"/>
        <v>FOR</v>
      </c>
      <c r="AY8117" t="s">
        <v>55</v>
      </c>
    </row>
    <row r="8118" spans="1:51" hidden="1">
      <c r="A8118">
        <v>104545</v>
      </c>
      <c r="B8118" t="s">
        <v>1337</v>
      </c>
      <c r="C8118" t="str">
        <f t="shared" ref="C8118:D8120" si="660">"02615000367"</f>
        <v>02615000367</v>
      </c>
      <c r="D8118" t="str">
        <f t="shared" si="660"/>
        <v>02615000367</v>
      </c>
      <c r="E8118" t="s">
        <v>52</v>
      </c>
      <c r="F8118">
        <v>2013</v>
      </c>
      <c r="G8118">
        <v>2780</v>
      </c>
      <c r="H8118" s="1">
        <v>41527</v>
      </c>
      <c r="I8118" s="1">
        <v>41551</v>
      </c>
      <c r="J8118" s="1">
        <v>41551</v>
      </c>
      <c r="K8118" s="1">
        <v>41641</v>
      </c>
      <c r="N8118" s="5"/>
      <c r="O8118">
        <v>428.34</v>
      </c>
      <c r="P8118">
        <v>433</v>
      </c>
      <c r="Q8118" s="2">
        <v>185471.22</v>
      </c>
      <c r="R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 s="1">
        <v>42382</v>
      </c>
      <c r="AC8118" t="s">
        <v>53</v>
      </c>
      <c r="AD8118" t="s">
        <v>53</v>
      </c>
      <c r="AK8118">
        <v>0</v>
      </c>
      <c r="AU8118" s="6">
        <v>42074</v>
      </c>
      <c r="AV8118" s="6">
        <v>42074</v>
      </c>
      <c r="AW8118" t="s">
        <v>54</v>
      </c>
      <c r="AX8118" t="str">
        <f t="shared" si="657"/>
        <v>FOR</v>
      </c>
      <c r="AY8118" t="s">
        <v>55</v>
      </c>
    </row>
    <row r="8119" spans="1:51" hidden="1">
      <c r="A8119">
        <v>104545</v>
      </c>
      <c r="B8119" t="s">
        <v>1337</v>
      </c>
      <c r="C8119" t="str">
        <f t="shared" si="660"/>
        <v>02615000367</v>
      </c>
      <c r="D8119" t="str">
        <f t="shared" si="660"/>
        <v>02615000367</v>
      </c>
      <c r="E8119" t="s">
        <v>52</v>
      </c>
      <c r="F8119">
        <v>2014</v>
      </c>
      <c r="G8119">
        <v>820</v>
      </c>
      <c r="H8119" s="1">
        <v>41729</v>
      </c>
      <c r="I8119" s="1">
        <v>41757</v>
      </c>
      <c r="J8119" s="1">
        <v>41757</v>
      </c>
      <c r="K8119" s="1">
        <v>41847</v>
      </c>
      <c r="N8119" s="5"/>
      <c r="O8119">
        <v>287.92</v>
      </c>
      <c r="P8119">
        <v>227</v>
      </c>
      <c r="Q8119" s="2">
        <v>65357.84</v>
      </c>
      <c r="R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 s="1">
        <v>42382</v>
      </c>
      <c r="AC8119" t="s">
        <v>53</v>
      </c>
      <c r="AD8119" t="s">
        <v>53</v>
      </c>
      <c r="AK8119">
        <v>0</v>
      </c>
      <c r="AU8119" s="6">
        <v>42074</v>
      </c>
      <c r="AV8119" s="6">
        <v>42074</v>
      </c>
      <c r="AW8119" t="s">
        <v>54</v>
      </c>
      <c r="AX8119" t="str">
        <f t="shared" si="657"/>
        <v>FOR</v>
      </c>
      <c r="AY8119" t="s">
        <v>55</v>
      </c>
    </row>
    <row r="8120" spans="1:51" hidden="1">
      <c r="A8120">
        <v>104545</v>
      </c>
      <c r="B8120" t="s">
        <v>1337</v>
      </c>
      <c r="C8120" t="str">
        <f t="shared" si="660"/>
        <v>02615000367</v>
      </c>
      <c r="D8120" t="str">
        <f t="shared" si="660"/>
        <v>02615000367</v>
      </c>
      <c r="E8120" t="s">
        <v>52</v>
      </c>
      <c r="F8120">
        <v>2014</v>
      </c>
      <c r="G8120">
        <v>2091</v>
      </c>
      <c r="H8120" s="1">
        <v>41831</v>
      </c>
      <c r="I8120" s="1">
        <v>41852</v>
      </c>
      <c r="J8120" s="1">
        <v>41852</v>
      </c>
      <c r="K8120" s="1">
        <v>41942</v>
      </c>
      <c r="N8120" s="5"/>
      <c r="O8120">
        <v>431.88</v>
      </c>
      <c r="P8120">
        <v>307</v>
      </c>
      <c r="Q8120" s="2">
        <v>132587.16</v>
      </c>
      <c r="R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 s="1">
        <v>42382</v>
      </c>
      <c r="AC8120" t="s">
        <v>53</v>
      </c>
      <c r="AD8120" t="s">
        <v>53</v>
      </c>
      <c r="AK8120">
        <v>0</v>
      </c>
      <c r="AU8120" s="6">
        <v>42249</v>
      </c>
      <c r="AV8120" s="6">
        <v>42249</v>
      </c>
      <c r="AW8120" t="s">
        <v>54</v>
      </c>
      <c r="AX8120" t="str">
        <f t="shared" si="657"/>
        <v>FOR</v>
      </c>
      <c r="AY8120" t="s">
        <v>55</v>
      </c>
    </row>
    <row r="8121" spans="1:51" hidden="1">
      <c r="A8121">
        <v>104560</v>
      </c>
      <c r="B8121" t="s">
        <v>1338</v>
      </c>
      <c r="C8121" t="str">
        <f t="shared" ref="C8121:D8140" si="661">"02504501210"</f>
        <v>02504501210</v>
      </c>
      <c r="D8121" t="str">
        <f t="shared" si="661"/>
        <v>02504501210</v>
      </c>
      <c r="E8121" t="s">
        <v>52</v>
      </c>
      <c r="F8121">
        <v>2014</v>
      </c>
      <c r="G8121">
        <v>76</v>
      </c>
      <c r="H8121" s="1">
        <v>41820</v>
      </c>
      <c r="I8121" s="1">
        <v>41827</v>
      </c>
      <c r="J8121" s="1">
        <v>41827</v>
      </c>
      <c r="K8121" s="1">
        <v>41917</v>
      </c>
      <c r="N8121" s="5"/>
      <c r="O8121" s="2">
        <v>1927.6</v>
      </c>
      <c r="P8121">
        <v>102</v>
      </c>
      <c r="Q8121" s="2">
        <v>196615.2</v>
      </c>
      <c r="R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 s="1">
        <v>42382</v>
      </c>
      <c r="AC8121" t="s">
        <v>53</v>
      </c>
      <c r="AD8121" t="s">
        <v>53</v>
      </c>
      <c r="AK8121">
        <v>0</v>
      </c>
      <c r="AU8121" s="6">
        <v>42019</v>
      </c>
      <c r="AV8121" s="6">
        <v>42019</v>
      </c>
      <c r="AW8121" t="s">
        <v>54</v>
      </c>
      <c r="AX8121" t="str">
        <f t="shared" si="657"/>
        <v>FOR</v>
      </c>
      <c r="AY8121" t="s">
        <v>55</v>
      </c>
    </row>
    <row r="8122" spans="1:51" hidden="1">
      <c r="A8122">
        <v>104560</v>
      </c>
      <c r="B8122" t="s">
        <v>1338</v>
      </c>
      <c r="C8122" t="str">
        <f t="shared" si="661"/>
        <v>02504501210</v>
      </c>
      <c r="D8122" t="str">
        <f t="shared" si="661"/>
        <v>02504501210</v>
      </c>
      <c r="E8122" t="s">
        <v>52</v>
      </c>
      <c r="F8122">
        <v>2014</v>
      </c>
      <c r="G8122">
        <v>77</v>
      </c>
      <c r="H8122" s="1">
        <v>41820</v>
      </c>
      <c r="I8122" s="1">
        <v>41827</v>
      </c>
      <c r="J8122" s="1">
        <v>41827</v>
      </c>
      <c r="K8122" s="1">
        <v>41917</v>
      </c>
      <c r="N8122" s="5"/>
      <c r="O8122">
        <v>486.78</v>
      </c>
      <c r="P8122">
        <v>102</v>
      </c>
      <c r="Q8122" s="2">
        <v>49651.56</v>
      </c>
      <c r="R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 s="1">
        <v>42382</v>
      </c>
      <c r="AC8122" t="s">
        <v>53</v>
      </c>
      <c r="AD8122" t="s">
        <v>53</v>
      </c>
      <c r="AK8122">
        <v>0</v>
      </c>
      <c r="AU8122" s="6">
        <v>42019</v>
      </c>
      <c r="AV8122" s="6">
        <v>42019</v>
      </c>
      <c r="AW8122" t="s">
        <v>54</v>
      </c>
      <c r="AX8122" t="str">
        <f t="shared" si="657"/>
        <v>FOR</v>
      </c>
      <c r="AY8122" t="s">
        <v>55</v>
      </c>
    </row>
    <row r="8123" spans="1:51" hidden="1">
      <c r="A8123">
        <v>104560</v>
      </c>
      <c r="B8123" t="s">
        <v>1338</v>
      </c>
      <c r="C8123" t="str">
        <f t="shared" si="661"/>
        <v>02504501210</v>
      </c>
      <c r="D8123" t="str">
        <f t="shared" si="661"/>
        <v>02504501210</v>
      </c>
      <c r="E8123" t="s">
        <v>52</v>
      </c>
      <c r="F8123">
        <v>2014</v>
      </c>
      <c r="G8123">
        <v>78</v>
      </c>
      <c r="H8123" s="1">
        <v>41820</v>
      </c>
      <c r="I8123" s="1">
        <v>41953</v>
      </c>
      <c r="J8123" s="1">
        <v>41953</v>
      </c>
      <c r="K8123" s="1">
        <v>42013</v>
      </c>
      <c r="N8123" s="5"/>
      <c r="O8123">
        <v>176.9</v>
      </c>
      <c r="P8123">
        <v>6</v>
      </c>
      <c r="Q8123" s="2">
        <v>1061.4000000000001</v>
      </c>
      <c r="R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 s="1">
        <v>42382</v>
      </c>
      <c r="AC8123" t="s">
        <v>53</v>
      </c>
      <c r="AD8123" t="s">
        <v>53</v>
      </c>
      <c r="AK8123">
        <v>0</v>
      </c>
      <c r="AU8123" s="6">
        <v>42019</v>
      </c>
      <c r="AV8123" s="6">
        <v>42019</v>
      </c>
      <c r="AW8123" t="s">
        <v>54</v>
      </c>
      <c r="AX8123" t="str">
        <f t="shared" si="657"/>
        <v>FOR</v>
      </c>
      <c r="AY8123" t="s">
        <v>55</v>
      </c>
    </row>
    <row r="8124" spans="1:51" hidden="1">
      <c r="A8124">
        <v>104560</v>
      </c>
      <c r="B8124" t="s">
        <v>1338</v>
      </c>
      <c r="C8124" t="str">
        <f t="shared" si="661"/>
        <v>02504501210</v>
      </c>
      <c r="D8124" t="str">
        <f t="shared" si="661"/>
        <v>02504501210</v>
      </c>
      <c r="E8124" t="s">
        <v>52</v>
      </c>
      <c r="F8124">
        <v>2014</v>
      </c>
      <c r="G8124">
        <v>79</v>
      </c>
      <c r="H8124" s="1">
        <v>41820</v>
      </c>
      <c r="I8124" s="1">
        <v>41828</v>
      </c>
      <c r="J8124" s="1">
        <v>41828</v>
      </c>
      <c r="K8124" s="1">
        <v>41918</v>
      </c>
      <c r="N8124" s="5"/>
      <c r="O8124" s="2">
        <v>1525.05</v>
      </c>
      <c r="P8124">
        <v>101</v>
      </c>
      <c r="Q8124" s="2">
        <v>154030.04999999999</v>
      </c>
      <c r="R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 s="1">
        <v>42382</v>
      </c>
      <c r="AC8124" t="s">
        <v>53</v>
      </c>
      <c r="AD8124" t="s">
        <v>53</v>
      </c>
      <c r="AK8124">
        <v>0</v>
      </c>
      <c r="AU8124" s="6">
        <v>42019</v>
      </c>
      <c r="AV8124" s="6">
        <v>42019</v>
      </c>
      <c r="AW8124" t="s">
        <v>54</v>
      </c>
      <c r="AX8124" t="str">
        <f t="shared" si="657"/>
        <v>FOR</v>
      </c>
      <c r="AY8124" t="s">
        <v>55</v>
      </c>
    </row>
    <row r="8125" spans="1:51" hidden="1">
      <c r="A8125">
        <v>104560</v>
      </c>
      <c r="B8125" t="s">
        <v>1338</v>
      </c>
      <c r="C8125" t="str">
        <f t="shared" si="661"/>
        <v>02504501210</v>
      </c>
      <c r="D8125" t="str">
        <f t="shared" si="661"/>
        <v>02504501210</v>
      </c>
      <c r="E8125" t="s">
        <v>52</v>
      </c>
      <c r="F8125">
        <v>2014</v>
      </c>
      <c r="G8125">
        <v>80</v>
      </c>
      <c r="H8125" s="1">
        <v>41820</v>
      </c>
      <c r="I8125" s="1">
        <v>41828</v>
      </c>
      <c r="J8125" s="1">
        <v>41828</v>
      </c>
      <c r="K8125" s="1">
        <v>41918</v>
      </c>
      <c r="N8125" s="5"/>
      <c r="O8125" s="2">
        <v>1525.05</v>
      </c>
      <c r="P8125">
        <v>101</v>
      </c>
      <c r="Q8125" s="2">
        <v>154030.04999999999</v>
      </c>
      <c r="R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 s="1">
        <v>42382</v>
      </c>
      <c r="AC8125" t="s">
        <v>53</v>
      </c>
      <c r="AD8125" t="s">
        <v>53</v>
      </c>
      <c r="AK8125">
        <v>0</v>
      </c>
      <c r="AU8125" s="6">
        <v>42019</v>
      </c>
      <c r="AV8125" s="6">
        <v>42019</v>
      </c>
      <c r="AW8125" t="s">
        <v>54</v>
      </c>
      <c r="AX8125" t="str">
        <f t="shared" si="657"/>
        <v>FOR</v>
      </c>
      <c r="AY8125" t="s">
        <v>55</v>
      </c>
    </row>
    <row r="8126" spans="1:51" hidden="1">
      <c r="A8126">
        <v>104560</v>
      </c>
      <c r="B8126" t="s">
        <v>1338</v>
      </c>
      <c r="C8126" t="str">
        <f t="shared" si="661"/>
        <v>02504501210</v>
      </c>
      <c r="D8126" t="str">
        <f t="shared" si="661"/>
        <v>02504501210</v>
      </c>
      <c r="E8126" t="s">
        <v>52</v>
      </c>
      <c r="F8126">
        <v>2014</v>
      </c>
      <c r="G8126">
        <v>81</v>
      </c>
      <c r="H8126" s="1">
        <v>41820</v>
      </c>
      <c r="I8126" s="1">
        <v>41827</v>
      </c>
      <c r="J8126" s="1">
        <v>41827</v>
      </c>
      <c r="K8126" s="1">
        <v>41917</v>
      </c>
      <c r="N8126" s="5"/>
      <c r="O8126" s="2">
        <v>6250.06</v>
      </c>
      <c r="P8126">
        <v>102</v>
      </c>
      <c r="Q8126" s="2">
        <v>637506.12</v>
      </c>
      <c r="R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 s="1">
        <v>42382</v>
      </c>
      <c r="AC8126" t="s">
        <v>53</v>
      </c>
      <c r="AD8126" t="s">
        <v>53</v>
      </c>
      <c r="AK8126">
        <v>0</v>
      </c>
      <c r="AU8126" s="6">
        <v>42019</v>
      </c>
      <c r="AV8126" s="6">
        <v>42019</v>
      </c>
      <c r="AW8126" t="s">
        <v>54</v>
      </c>
      <c r="AX8126" t="str">
        <f t="shared" si="657"/>
        <v>FOR</v>
      </c>
      <c r="AY8126" t="s">
        <v>55</v>
      </c>
    </row>
    <row r="8127" spans="1:51" hidden="1">
      <c r="A8127">
        <v>104560</v>
      </c>
      <c r="B8127" t="s">
        <v>1338</v>
      </c>
      <c r="C8127" t="str">
        <f t="shared" si="661"/>
        <v>02504501210</v>
      </c>
      <c r="D8127" t="str">
        <f t="shared" si="661"/>
        <v>02504501210</v>
      </c>
      <c r="E8127" t="s">
        <v>52</v>
      </c>
      <c r="F8127">
        <v>2014</v>
      </c>
      <c r="G8127">
        <v>82</v>
      </c>
      <c r="H8127" s="1">
        <v>41820</v>
      </c>
      <c r="I8127" s="1">
        <v>41827</v>
      </c>
      <c r="J8127" s="1">
        <v>41827</v>
      </c>
      <c r="K8127" s="1">
        <v>41917</v>
      </c>
      <c r="N8127" s="5"/>
      <c r="O8127" s="2">
        <v>7198</v>
      </c>
      <c r="P8127">
        <v>102</v>
      </c>
      <c r="Q8127" s="2">
        <v>734196</v>
      </c>
      <c r="R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 s="1">
        <v>42382</v>
      </c>
      <c r="AC8127" t="s">
        <v>53</v>
      </c>
      <c r="AD8127" t="s">
        <v>53</v>
      </c>
      <c r="AK8127">
        <v>0</v>
      </c>
      <c r="AU8127" s="6">
        <v>42019</v>
      </c>
      <c r="AV8127" s="6">
        <v>42019</v>
      </c>
      <c r="AW8127" t="s">
        <v>54</v>
      </c>
      <c r="AX8127" t="str">
        <f t="shared" si="657"/>
        <v>FOR</v>
      </c>
      <c r="AY8127" t="s">
        <v>55</v>
      </c>
    </row>
    <row r="8128" spans="1:51" hidden="1">
      <c r="A8128">
        <v>104560</v>
      </c>
      <c r="B8128" t="s">
        <v>1338</v>
      </c>
      <c r="C8128" t="str">
        <f t="shared" si="661"/>
        <v>02504501210</v>
      </c>
      <c r="D8128" t="str">
        <f t="shared" si="661"/>
        <v>02504501210</v>
      </c>
      <c r="E8128" t="s">
        <v>52</v>
      </c>
      <c r="F8128">
        <v>2014</v>
      </c>
      <c r="G8128">
        <v>83</v>
      </c>
      <c r="H8128" s="1">
        <v>41820</v>
      </c>
      <c r="I8128" s="1">
        <v>41827</v>
      </c>
      <c r="J8128" s="1">
        <v>41827</v>
      </c>
      <c r="K8128" s="1">
        <v>41917</v>
      </c>
      <c r="N8128" s="5"/>
      <c r="O8128" s="2">
        <v>4367.6000000000004</v>
      </c>
      <c r="P8128">
        <v>102</v>
      </c>
      <c r="Q8128" s="2">
        <v>445495.2</v>
      </c>
      <c r="R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 s="1">
        <v>42382</v>
      </c>
      <c r="AC8128" t="s">
        <v>53</v>
      </c>
      <c r="AD8128" t="s">
        <v>53</v>
      </c>
      <c r="AK8128">
        <v>0</v>
      </c>
      <c r="AU8128" s="6">
        <v>42019</v>
      </c>
      <c r="AV8128" s="6">
        <v>42019</v>
      </c>
      <c r="AW8128" t="s">
        <v>54</v>
      </c>
      <c r="AX8128" t="str">
        <f t="shared" si="657"/>
        <v>FOR</v>
      </c>
      <c r="AY8128" t="s">
        <v>55</v>
      </c>
    </row>
    <row r="8129" spans="1:51" hidden="1">
      <c r="A8129">
        <v>104560</v>
      </c>
      <c r="B8129" t="s">
        <v>1338</v>
      </c>
      <c r="C8129" t="str">
        <f t="shared" si="661"/>
        <v>02504501210</v>
      </c>
      <c r="D8129" t="str">
        <f t="shared" si="661"/>
        <v>02504501210</v>
      </c>
      <c r="E8129" t="s">
        <v>52</v>
      </c>
      <c r="F8129">
        <v>2014</v>
      </c>
      <c r="G8129">
        <v>84</v>
      </c>
      <c r="H8129" s="1">
        <v>41820</v>
      </c>
      <c r="I8129" s="1">
        <v>41827</v>
      </c>
      <c r="J8129" s="1">
        <v>41827</v>
      </c>
      <c r="K8129" s="1">
        <v>41917</v>
      </c>
      <c r="N8129" s="5"/>
      <c r="O8129" s="2">
        <v>1789.33</v>
      </c>
      <c r="P8129">
        <v>102</v>
      </c>
      <c r="Q8129" s="2">
        <v>182511.66</v>
      </c>
      <c r="R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 s="1">
        <v>42382</v>
      </c>
      <c r="AC8129" t="s">
        <v>53</v>
      </c>
      <c r="AD8129" t="s">
        <v>53</v>
      </c>
      <c r="AK8129">
        <v>0</v>
      </c>
      <c r="AU8129" s="6">
        <v>42019</v>
      </c>
      <c r="AV8129" s="6">
        <v>42019</v>
      </c>
      <c r="AW8129" t="s">
        <v>54</v>
      </c>
      <c r="AX8129" t="str">
        <f t="shared" si="657"/>
        <v>FOR</v>
      </c>
      <c r="AY8129" t="s">
        <v>55</v>
      </c>
    </row>
    <row r="8130" spans="1:51" hidden="1">
      <c r="A8130">
        <v>104560</v>
      </c>
      <c r="B8130" t="s">
        <v>1338</v>
      </c>
      <c r="C8130" t="str">
        <f t="shared" si="661"/>
        <v>02504501210</v>
      </c>
      <c r="D8130" t="str">
        <f t="shared" si="661"/>
        <v>02504501210</v>
      </c>
      <c r="E8130" t="s">
        <v>52</v>
      </c>
      <c r="F8130">
        <v>2014</v>
      </c>
      <c r="G8130">
        <v>91</v>
      </c>
      <c r="H8130" s="1">
        <v>41851</v>
      </c>
      <c r="I8130" s="1">
        <v>41852</v>
      </c>
      <c r="J8130" s="1">
        <v>41852</v>
      </c>
      <c r="K8130" s="1">
        <v>41942</v>
      </c>
      <c r="N8130" s="5"/>
      <c r="O8130" s="2">
        <v>1927.6</v>
      </c>
      <c r="P8130">
        <v>97</v>
      </c>
      <c r="Q8130" s="2">
        <v>186977.2</v>
      </c>
      <c r="R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 s="1">
        <v>42382</v>
      </c>
      <c r="AC8130" t="s">
        <v>53</v>
      </c>
      <c r="AD8130" t="s">
        <v>53</v>
      </c>
      <c r="AK8130">
        <v>0</v>
      </c>
      <c r="AU8130" s="6">
        <v>42039</v>
      </c>
      <c r="AV8130" s="6">
        <v>42039</v>
      </c>
      <c r="AW8130" t="s">
        <v>54</v>
      </c>
      <c r="AX8130" t="str">
        <f t="shared" si="657"/>
        <v>FOR</v>
      </c>
      <c r="AY8130" t="s">
        <v>55</v>
      </c>
    </row>
    <row r="8131" spans="1:51" hidden="1">
      <c r="A8131">
        <v>104560</v>
      </c>
      <c r="B8131" t="s">
        <v>1338</v>
      </c>
      <c r="C8131" t="str">
        <f t="shared" si="661"/>
        <v>02504501210</v>
      </c>
      <c r="D8131" t="str">
        <f t="shared" si="661"/>
        <v>02504501210</v>
      </c>
      <c r="E8131" t="s">
        <v>52</v>
      </c>
      <c r="F8131">
        <v>2014</v>
      </c>
      <c r="G8131">
        <v>92</v>
      </c>
      <c r="H8131" s="1">
        <v>41851</v>
      </c>
      <c r="I8131" s="1">
        <v>41852</v>
      </c>
      <c r="J8131" s="1">
        <v>41852</v>
      </c>
      <c r="K8131" s="1">
        <v>41942</v>
      </c>
      <c r="N8131" s="5"/>
      <c r="O8131">
        <v>486.78</v>
      </c>
      <c r="P8131">
        <v>97</v>
      </c>
      <c r="Q8131" s="2">
        <v>47217.66</v>
      </c>
      <c r="R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 s="1">
        <v>42382</v>
      </c>
      <c r="AC8131" t="s">
        <v>53</v>
      </c>
      <c r="AD8131" t="s">
        <v>53</v>
      </c>
      <c r="AK8131">
        <v>0</v>
      </c>
      <c r="AU8131" s="6">
        <v>42039</v>
      </c>
      <c r="AV8131" s="6">
        <v>42039</v>
      </c>
      <c r="AW8131" t="s">
        <v>54</v>
      </c>
      <c r="AX8131" t="str">
        <f t="shared" ref="AX8131:AX8194" si="662">"FOR"</f>
        <v>FOR</v>
      </c>
      <c r="AY8131" t="s">
        <v>55</v>
      </c>
    </row>
    <row r="8132" spans="1:51" hidden="1">
      <c r="A8132">
        <v>104560</v>
      </c>
      <c r="B8132" t="s">
        <v>1338</v>
      </c>
      <c r="C8132" t="str">
        <f t="shared" si="661"/>
        <v>02504501210</v>
      </c>
      <c r="D8132" t="str">
        <f t="shared" si="661"/>
        <v>02504501210</v>
      </c>
      <c r="E8132" t="s">
        <v>52</v>
      </c>
      <c r="F8132">
        <v>2014</v>
      </c>
      <c r="G8132">
        <v>93</v>
      </c>
      <c r="H8132" s="1">
        <v>41851</v>
      </c>
      <c r="I8132" s="1">
        <v>41953</v>
      </c>
      <c r="J8132" s="1">
        <v>41953</v>
      </c>
      <c r="K8132" s="1">
        <v>42013</v>
      </c>
      <c r="N8132" s="5"/>
      <c r="O8132" s="2">
        <v>1415.2</v>
      </c>
      <c r="P8132">
        <v>26</v>
      </c>
      <c r="Q8132" s="2">
        <v>36795.199999999997</v>
      </c>
      <c r="R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 s="1">
        <v>42382</v>
      </c>
      <c r="AC8132" t="s">
        <v>53</v>
      </c>
      <c r="AD8132" t="s">
        <v>53</v>
      </c>
      <c r="AK8132">
        <v>0</v>
      </c>
      <c r="AU8132" s="6">
        <v>42039</v>
      </c>
      <c r="AV8132" s="6">
        <v>42039</v>
      </c>
      <c r="AW8132" t="s">
        <v>54</v>
      </c>
      <c r="AX8132" t="str">
        <f t="shared" si="662"/>
        <v>FOR</v>
      </c>
      <c r="AY8132" t="s">
        <v>55</v>
      </c>
    </row>
    <row r="8133" spans="1:51" hidden="1">
      <c r="A8133">
        <v>104560</v>
      </c>
      <c r="B8133" t="s">
        <v>1338</v>
      </c>
      <c r="C8133" t="str">
        <f t="shared" si="661"/>
        <v>02504501210</v>
      </c>
      <c r="D8133" t="str">
        <f t="shared" si="661"/>
        <v>02504501210</v>
      </c>
      <c r="E8133" t="s">
        <v>52</v>
      </c>
      <c r="F8133">
        <v>2014</v>
      </c>
      <c r="G8133">
        <v>94</v>
      </c>
      <c r="H8133" s="1">
        <v>41851</v>
      </c>
      <c r="I8133" s="1">
        <v>41852</v>
      </c>
      <c r="J8133" s="1">
        <v>41852</v>
      </c>
      <c r="K8133" s="1">
        <v>41942</v>
      </c>
      <c r="N8133" s="5"/>
      <c r="O8133" s="2">
        <v>1525.05</v>
      </c>
      <c r="P8133">
        <v>97</v>
      </c>
      <c r="Q8133" s="2">
        <v>147929.85</v>
      </c>
      <c r="R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 s="1">
        <v>42382</v>
      </c>
      <c r="AC8133" t="s">
        <v>53</v>
      </c>
      <c r="AD8133" t="s">
        <v>53</v>
      </c>
      <c r="AK8133">
        <v>0</v>
      </c>
      <c r="AU8133" s="6">
        <v>42039</v>
      </c>
      <c r="AV8133" s="6">
        <v>42039</v>
      </c>
      <c r="AW8133" t="s">
        <v>54</v>
      </c>
      <c r="AX8133" t="str">
        <f t="shared" si="662"/>
        <v>FOR</v>
      </c>
      <c r="AY8133" t="s">
        <v>55</v>
      </c>
    </row>
    <row r="8134" spans="1:51" hidden="1">
      <c r="A8134">
        <v>104560</v>
      </c>
      <c r="B8134" t="s">
        <v>1338</v>
      </c>
      <c r="C8134" t="str">
        <f t="shared" si="661"/>
        <v>02504501210</v>
      </c>
      <c r="D8134" t="str">
        <f t="shared" si="661"/>
        <v>02504501210</v>
      </c>
      <c r="E8134" t="s">
        <v>52</v>
      </c>
      <c r="F8134">
        <v>2014</v>
      </c>
      <c r="G8134">
        <v>95</v>
      </c>
      <c r="H8134" s="1">
        <v>41851</v>
      </c>
      <c r="I8134" s="1">
        <v>41872</v>
      </c>
      <c r="J8134" s="1">
        <v>41872</v>
      </c>
      <c r="K8134" s="1">
        <v>41962</v>
      </c>
      <c r="N8134" s="5"/>
      <c r="O8134">
        <v>488</v>
      </c>
      <c r="P8134">
        <v>77</v>
      </c>
      <c r="Q8134" s="2">
        <v>37576</v>
      </c>
      <c r="R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 s="1">
        <v>42382</v>
      </c>
      <c r="AC8134" t="s">
        <v>53</v>
      </c>
      <c r="AD8134" t="s">
        <v>53</v>
      </c>
      <c r="AK8134">
        <v>0</v>
      </c>
      <c r="AU8134" s="6">
        <v>42039</v>
      </c>
      <c r="AV8134" s="6">
        <v>42039</v>
      </c>
      <c r="AW8134" t="s">
        <v>54</v>
      </c>
      <c r="AX8134" t="str">
        <f t="shared" si="662"/>
        <v>FOR</v>
      </c>
      <c r="AY8134" t="s">
        <v>55</v>
      </c>
    </row>
    <row r="8135" spans="1:51" hidden="1">
      <c r="A8135">
        <v>104560</v>
      </c>
      <c r="B8135" t="s">
        <v>1338</v>
      </c>
      <c r="C8135" t="str">
        <f t="shared" si="661"/>
        <v>02504501210</v>
      </c>
      <c r="D8135" t="str">
        <f t="shared" si="661"/>
        <v>02504501210</v>
      </c>
      <c r="E8135" t="s">
        <v>52</v>
      </c>
      <c r="F8135">
        <v>2014</v>
      </c>
      <c r="G8135">
        <v>96</v>
      </c>
      <c r="H8135" s="1">
        <v>41851</v>
      </c>
      <c r="I8135" s="1">
        <v>41872</v>
      </c>
      <c r="J8135" s="1">
        <v>41872</v>
      </c>
      <c r="K8135" s="1">
        <v>41962</v>
      </c>
      <c r="N8135" s="5"/>
      <c r="O8135" s="2">
        <v>1098</v>
      </c>
      <c r="P8135">
        <v>77</v>
      </c>
      <c r="Q8135" s="2">
        <v>84546</v>
      </c>
      <c r="R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 s="1">
        <v>42382</v>
      </c>
      <c r="AC8135" t="s">
        <v>53</v>
      </c>
      <c r="AD8135" t="s">
        <v>53</v>
      </c>
      <c r="AK8135">
        <v>0</v>
      </c>
      <c r="AU8135" s="6">
        <v>42039</v>
      </c>
      <c r="AV8135" s="6">
        <v>42039</v>
      </c>
      <c r="AW8135" t="s">
        <v>54</v>
      </c>
      <c r="AX8135" t="str">
        <f t="shared" si="662"/>
        <v>FOR</v>
      </c>
      <c r="AY8135" t="s">
        <v>55</v>
      </c>
    </row>
    <row r="8136" spans="1:51" hidden="1">
      <c r="A8136">
        <v>104560</v>
      </c>
      <c r="B8136" t="s">
        <v>1338</v>
      </c>
      <c r="C8136" t="str">
        <f t="shared" si="661"/>
        <v>02504501210</v>
      </c>
      <c r="D8136" t="str">
        <f t="shared" si="661"/>
        <v>02504501210</v>
      </c>
      <c r="E8136" t="s">
        <v>52</v>
      </c>
      <c r="F8136">
        <v>2014</v>
      </c>
      <c r="G8136">
        <v>97</v>
      </c>
      <c r="H8136" s="1">
        <v>41851</v>
      </c>
      <c r="I8136" s="1">
        <v>41953</v>
      </c>
      <c r="J8136" s="1">
        <v>41953</v>
      </c>
      <c r="K8136" s="1">
        <v>42013</v>
      </c>
      <c r="N8136" s="5"/>
      <c r="O8136">
        <v>292.8</v>
      </c>
      <c r="P8136">
        <v>26</v>
      </c>
      <c r="Q8136" s="2">
        <v>7612.8</v>
      </c>
      <c r="R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 s="1">
        <v>42382</v>
      </c>
      <c r="AC8136" t="s">
        <v>53</v>
      </c>
      <c r="AD8136" t="s">
        <v>53</v>
      </c>
      <c r="AK8136">
        <v>0</v>
      </c>
      <c r="AU8136" s="6">
        <v>42039</v>
      </c>
      <c r="AV8136" s="6">
        <v>42039</v>
      </c>
      <c r="AW8136" t="s">
        <v>54</v>
      </c>
      <c r="AX8136" t="str">
        <f t="shared" si="662"/>
        <v>FOR</v>
      </c>
      <c r="AY8136" t="s">
        <v>55</v>
      </c>
    </row>
    <row r="8137" spans="1:51" hidden="1">
      <c r="A8137">
        <v>104560</v>
      </c>
      <c r="B8137" t="s">
        <v>1338</v>
      </c>
      <c r="C8137" t="str">
        <f t="shared" si="661"/>
        <v>02504501210</v>
      </c>
      <c r="D8137" t="str">
        <f t="shared" si="661"/>
        <v>02504501210</v>
      </c>
      <c r="E8137" t="s">
        <v>52</v>
      </c>
      <c r="F8137">
        <v>2014</v>
      </c>
      <c r="G8137">
        <v>104</v>
      </c>
      <c r="H8137" s="1">
        <v>41851</v>
      </c>
      <c r="I8137" s="1">
        <v>41872</v>
      </c>
      <c r="J8137" s="1">
        <v>41872</v>
      </c>
      <c r="K8137" s="1">
        <v>41962</v>
      </c>
      <c r="N8137" s="5"/>
      <c r="O8137" s="2">
        <v>1403</v>
      </c>
      <c r="P8137">
        <v>77</v>
      </c>
      <c r="Q8137" s="2">
        <v>108031</v>
      </c>
      <c r="R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 s="1">
        <v>42382</v>
      </c>
      <c r="AC8137" t="s">
        <v>53</v>
      </c>
      <c r="AD8137" t="s">
        <v>53</v>
      </c>
      <c r="AK8137">
        <v>0</v>
      </c>
      <c r="AU8137" s="6">
        <v>42039</v>
      </c>
      <c r="AV8137" s="6">
        <v>42039</v>
      </c>
      <c r="AW8137" t="s">
        <v>54</v>
      </c>
      <c r="AX8137" t="str">
        <f t="shared" si="662"/>
        <v>FOR</v>
      </c>
      <c r="AY8137" t="s">
        <v>55</v>
      </c>
    </row>
    <row r="8138" spans="1:51" hidden="1">
      <c r="A8138">
        <v>104560</v>
      </c>
      <c r="B8138" t="s">
        <v>1338</v>
      </c>
      <c r="C8138" t="str">
        <f t="shared" si="661"/>
        <v>02504501210</v>
      </c>
      <c r="D8138" t="str">
        <f t="shared" si="661"/>
        <v>02504501210</v>
      </c>
      <c r="E8138" t="s">
        <v>52</v>
      </c>
      <c r="F8138">
        <v>2014</v>
      </c>
      <c r="G8138">
        <v>106</v>
      </c>
      <c r="H8138" s="1">
        <v>41881</v>
      </c>
      <c r="I8138" s="1">
        <v>41886</v>
      </c>
      <c r="J8138" s="1">
        <v>41886</v>
      </c>
      <c r="K8138" s="1">
        <v>41976</v>
      </c>
      <c r="N8138" s="5"/>
      <c r="O8138" s="2">
        <v>1927.6</v>
      </c>
      <c r="P8138">
        <v>63</v>
      </c>
      <c r="Q8138" s="2">
        <v>121438.8</v>
      </c>
      <c r="R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 s="1">
        <v>42382</v>
      </c>
      <c r="AC8138" t="s">
        <v>53</v>
      </c>
      <c r="AD8138" t="s">
        <v>53</v>
      </c>
      <c r="AK8138">
        <v>0</v>
      </c>
      <c r="AU8138" s="6">
        <v>42039</v>
      </c>
      <c r="AV8138" s="6">
        <v>42039</v>
      </c>
      <c r="AW8138" t="s">
        <v>54</v>
      </c>
      <c r="AX8138" t="str">
        <f t="shared" si="662"/>
        <v>FOR</v>
      </c>
      <c r="AY8138" t="s">
        <v>55</v>
      </c>
    </row>
    <row r="8139" spans="1:51" hidden="1">
      <c r="A8139">
        <v>104560</v>
      </c>
      <c r="B8139" t="s">
        <v>1338</v>
      </c>
      <c r="C8139" t="str">
        <f t="shared" si="661"/>
        <v>02504501210</v>
      </c>
      <c r="D8139" t="str">
        <f t="shared" si="661"/>
        <v>02504501210</v>
      </c>
      <c r="E8139" t="s">
        <v>52</v>
      </c>
      <c r="F8139">
        <v>2014</v>
      </c>
      <c r="G8139">
        <v>107</v>
      </c>
      <c r="H8139" s="1">
        <v>41881</v>
      </c>
      <c r="I8139" s="1">
        <v>41886</v>
      </c>
      <c r="J8139" s="1">
        <v>41886</v>
      </c>
      <c r="K8139" s="1">
        <v>41976</v>
      </c>
      <c r="N8139" s="5"/>
      <c r="O8139">
        <v>486.78</v>
      </c>
      <c r="P8139">
        <v>63</v>
      </c>
      <c r="Q8139" s="2">
        <v>30667.14</v>
      </c>
      <c r="R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 s="1">
        <v>42382</v>
      </c>
      <c r="AC8139" t="s">
        <v>53</v>
      </c>
      <c r="AD8139" t="s">
        <v>53</v>
      </c>
      <c r="AK8139">
        <v>0</v>
      </c>
      <c r="AU8139" s="6">
        <v>42039</v>
      </c>
      <c r="AV8139" s="6">
        <v>42039</v>
      </c>
      <c r="AW8139" t="s">
        <v>54</v>
      </c>
      <c r="AX8139" t="str">
        <f t="shared" si="662"/>
        <v>FOR</v>
      </c>
      <c r="AY8139" t="s">
        <v>55</v>
      </c>
    </row>
    <row r="8140" spans="1:51" hidden="1">
      <c r="A8140">
        <v>104560</v>
      </c>
      <c r="B8140" t="s">
        <v>1338</v>
      </c>
      <c r="C8140" t="str">
        <f t="shared" si="661"/>
        <v>02504501210</v>
      </c>
      <c r="D8140" t="str">
        <f t="shared" si="661"/>
        <v>02504501210</v>
      </c>
      <c r="E8140" t="s">
        <v>52</v>
      </c>
      <c r="F8140">
        <v>2014</v>
      </c>
      <c r="G8140">
        <v>108</v>
      </c>
      <c r="H8140" s="1">
        <v>41881</v>
      </c>
      <c r="I8140" s="1">
        <v>41886</v>
      </c>
      <c r="J8140" s="1">
        <v>41886</v>
      </c>
      <c r="K8140" s="1">
        <v>41976</v>
      </c>
      <c r="N8140" s="5"/>
      <c r="O8140" s="2">
        <v>1525.05</v>
      </c>
      <c r="P8140">
        <v>63</v>
      </c>
      <c r="Q8140" s="2">
        <v>96078.15</v>
      </c>
      <c r="R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 s="1">
        <v>42382</v>
      </c>
      <c r="AC8140" t="s">
        <v>53</v>
      </c>
      <c r="AD8140" t="s">
        <v>53</v>
      </c>
      <c r="AK8140">
        <v>0</v>
      </c>
      <c r="AU8140" s="6">
        <v>42039</v>
      </c>
      <c r="AV8140" s="6">
        <v>42039</v>
      </c>
      <c r="AW8140" t="s">
        <v>54</v>
      </c>
      <c r="AX8140" t="str">
        <f t="shared" si="662"/>
        <v>FOR</v>
      </c>
      <c r="AY8140" t="s">
        <v>55</v>
      </c>
    </row>
    <row r="8141" spans="1:51" hidden="1">
      <c r="A8141">
        <v>104560</v>
      </c>
      <c r="B8141" t="s">
        <v>1338</v>
      </c>
      <c r="C8141" t="str">
        <f t="shared" ref="C8141:D8160" si="663">"02504501210"</f>
        <v>02504501210</v>
      </c>
      <c r="D8141" t="str">
        <f t="shared" si="663"/>
        <v>02504501210</v>
      </c>
      <c r="E8141" t="s">
        <v>52</v>
      </c>
      <c r="F8141">
        <v>2014</v>
      </c>
      <c r="G8141">
        <v>112</v>
      </c>
      <c r="H8141" s="1">
        <v>41881</v>
      </c>
      <c r="I8141" s="1">
        <v>41886</v>
      </c>
      <c r="J8141" s="1">
        <v>41886</v>
      </c>
      <c r="K8141" s="1">
        <v>41976</v>
      </c>
      <c r="N8141" s="5"/>
      <c r="O8141">
        <v>610</v>
      </c>
      <c r="P8141">
        <v>63</v>
      </c>
      <c r="Q8141" s="2">
        <v>38430</v>
      </c>
      <c r="R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 s="1">
        <v>42382</v>
      </c>
      <c r="AC8141" t="s">
        <v>53</v>
      </c>
      <c r="AD8141" t="s">
        <v>53</v>
      </c>
      <c r="AK8141">
        <v>0</v>
      </c>
      <c r="AU8141" s="6">
        <v>42039</v>
      </c>
      <c r="AV8141" s="6">
        <v>42039</v>
      </c>
      <c r="AW8141" t="s">
        <v>54</v>
      </c>
      <c r="AX8141" t="str">
        <f t="shared" si="662"/>
        <v>FOR</v>
      </c>
      <c r="AY8141" t="s">
        <v>55</v>
      </c>
    </row>
    <row r="8142" spans="1:51" hidden="1">
      <c r="A8142">
        <v>104560</v>
      </c>
      <c r="B8142" t="s">
        <v>1338</v>
      </c>
      <c r="C8142" t="str">
        <f t="shared" si="663"/>
        <v>02504501210</v>
      </c>
      <c r="D8142" t="str">
        <f t="shared" si="663"/>
        <v>02504501210</v>
      </c>
      <c r="E8142" t="s">
        <v>52</v>
      </c>
      <c r="F8142">
        <v>2014</v>
      </c>
      <c r="G8142">
        <v>118</v>
      </c>
      <c r="H8142" s="1">
        <v>41912</v>
      </c>
      <c r="I8142" s="1">
        <v>41913</v>
      </c>
      <c r="J8142" s="1">
        <v>41913</v>
      </c>
      <c r="K8142" s="1">
        <v>42003</v>
      </c>
      <c r="N8142" s="5"/>
      <c r="O8142" s="2">
        <v>1927.6</v>
      </c>
      <c r="P8142">
        <v>59</v>
      </c>
      <c r="Q8142" s="2">
        <v>113728.4</v>
      </c>
      <c r="R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 s="1">
        <v>42382</v>
      </c>
      <c r="AC8142" t="s">
        <v>53</v>
      </c>
      <c r="AD8142" t="s">
        <v>53</v>
      </c>
      <c r="AK8142">
        <v>0</v>
      </c>
      <c r="AU8142" s="6">
        <v>42062</v>
      </c>
      <c r="AV8142" s="6">
        <v>42062</v>
      </c>
      <c r="AW8142" t="s">
        <v>54</v>
      </c>
      <c r="AX8142" t="str">
        <f t="shared" si="662"/>
        <v>FOR</v>
      </c>
      <c r="AY8142" t="s">
        <v>55</v>
      </c>
    </row>
    <row r="8143" spans="1:51" hidden="1">
      <c r="A8143">
        <v>104560</v>
      </c>
      <c r="B8143" t="s">
        <v>1338</v>
      </c>
      <c r="C8143" t="str">
        <f t="shared" si="663"/>
        <v>02504501210</v>
      </c>
      <c r="D8143" t="str">
        <f t="shared" si="663"/>
        <v>02504501210</v>
      </c>
      <c r="E8143" t="s">
        <v>52</v>
      </c>
      <c r="F8143">
        <v>2014</v>
      </c>
      <c r="G8143">
        <v>119</v>
      </c>
      <c r="H8143" s="1">
        <v>41912</v>
      </c>
      <c r="I8143" s="1">
        <v>41913</v>
      </c>
      <c r="J8143" s="1">
        <v>41913</v>
      </c>
      <c r="K8143" s="1">
        <v>42003</v>
      </c>
      <c r="N8143" s="5"/>
      <c r="O8143">
        <v>486.78</v>
      </c>
      <c r="P8143">
        <v>59</v>
      </c>
      <c r="Q8143" s="2">
        <v>28720.02</v>
      </c>
      <c r="R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 s="1">
        <v>42382</v>
      </c>
      <c r="AC8143" t="s">
        <v>53</v>
      </c>
      <c r="AD8143" t="s">
        <v>53</v>
      </c>
      <c r="AK8143">
        <v>0</v>
      </c>
      <c r="AU8143" s="6">
        <v>42062</v>
      </c>
      <c r="AV8143" s="6">
        <v>42062</v>
      </c>
      <c r="AW8143" t="s">
        <v>54</v>
      </c>
      <c r="AX8143" t="str">
        <f t="shared" si="662"/>
        <v>FOR</v>
      </c>
      <c r="AY8143" t="s">
        <v>55</v>
      </c>
    </row>
    <row r="8144" spans="1:51" hidden="1">
      <c r="A8144">
        <v>104560</v>
      </c>
      <c r="B8144" t="s">
        <v>1338</v>
      </c>
      <c r="C8144" t="str">
        <f t="shared" si="663"/>
        <v>02504501210</v>
      </c>
      <c r="D8144" t="str">
        <f t="shared" si="663"/>
        <v>02504501210</v>
      </c>
      <c r="E8144" t="s">
        <v>52</v>
      </c>
      <c r="F8144">
        <v>2014</v>
      </c>
      <c r="G8144">
        <v>120</v>
      </c>
      <c r="H8144" s="1">
        <v>41912</v>
      </c>
      <c r="I8144" s="1">
        <v>41913</v>
      </c>
      <c r="J8144" s="1">
        <v>41913</v>
      </c>
      <c r="K8144" s="1">
        <v>42003</v>
      </c>
      <c r="N8144" s="5"/>
      <c r="O8144" s="2">
        <v>1525.05</v>
      </c>
      <c r="P8144">
        <v>59</v>
      </c>
      <c r="Q8144" s="2">
        <v>89977.95</v>
      </c>
      <c r="R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 s="1">
        <v>42382</v>
      </c>
      <c r="AC8144" t="s">
        <v>53</v>
      </c>
      <c r="AD8144" t="s">
        <v>53</v>
      </c>
      <c r="AK8144">
        <v>0</v>
      </c>
      <c r="AU8144" s="6">
        <v>42062</v>
      </c>
      <c r="AV8144" s="6">
        <v>42062</v>
      </c>
      <c r="AW8144" t="s">
        <v>54</v>
      </c>
      <c r="AX8144" t="str">
        <f t="shared" si="662"/>
        <v>FOR</v>
      </c>
      <c r="AY8144" t="s">
        <v>55</v>
      </c>
    </row>
    <row r="8145" spans="1:51" hidden="1">
      <c r="A8145">
        <v>104560</v>
      </c>
      <c r="B8145" t="s">
        <v>1338</v>
      </c>
      <c r="C8145" t="str">
        <f t="shared" si="663"/>
        <v>02504501210</v>
      </c>
      <c r="D8145" t="str">
        <f t="shared" si="663"/>
        <v>02504501210</v>
      </c>
      <c r="E8145" t="s">
        <v>52</v>
      </c>
      <c r="F8145">
        <v>2014</v>
      </c>
      <c r="G8145">
        <v>121</v>
      </c>
      <c r="H8145" s="1">
        <v>41912</v>
      </c>
      <c r="I8145" s="1">
        <v>41913</v>
      </c>
      <c r="J8145" s="1">
        <v>41913</v>
      </c>
      <c r="K8145" s="1">
        <v>42003</v>
      </c>
      <c r="N8145" s="5"/>
      <c r="O8145" s="2">
        <v>1220</v>
      </c>
      <c r="P8145">
        <v>59</v>
      </c>
      <c r="Q8145" s="2">
        <v>71980</v>
      </c>
      <c r="R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 s="1">
        <v>42382</v>
      </c>
      <c r="AC8145" t="s">
        <v>53</v>
      </c>
      <c r="AD8145" t="s">
        <v>53</v>
      </c>
      <c r="AK8145">
        <v>0</v>
      </c>
      <c r="AU8145" s="6">
        <v>42062</v>
      </c>
      <c r="AV8145" s="6">
        <v>42062</v>
      </c>
      <c r="AW8145" t="s">
        <v>54</v>
      </c>
      <c r="AX8145" t="str">
        <f t="shared" si="662"/>
        <v>FOR</v>
      </c>
      <c r="AY8145" t="s">
        <v>55</v>
      </c>
    </row>
    <row r="8146" spans="1:51" hidden="1">
      <c r="A8146">
        <v>104560</v>
      </c>
      <c r="B8146" t="s">
        <v>1338</v>
      </c>
      <c r="C8146" t="str">
        <f t="shared" si="663"/>
        <v>02504501210</v>
      </c>
      <c r="D8146" t="str">
        <f t="shared" si="663"/>
        <v>02504501210</v>
      </c>
      <c r="E8146" t="s">
        <v>52</v>
      </c>
      <c r="F8146">
        <v>2014</v>
      </c>
      <c r="G8146">
        <v>129</v>
      </c>
      <c r="H8146" s="1">
        <v>41943</v>
      </c>
      <c r="I8146" s="1">
        <v>41962</v>
      </c>
      <c r="J8146" s="1">
        <v>41962</v>
      </c>
      <c r="K8146" s="1">
        <v>42022</v>
      </c>
      <c r="N8146" s="5"/>
      <c r="O8146" s="2">
        <v>1927.6</v>
      </c>
      <c r="P8146">
        <v>40</v>
      </c>
      <c r="Q8146" s="2">
        <v>77104</v>
      </c>
      <c r="R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 s="1">
        <v>42382</v>
      </c>
      <c r="AC8146" t="s">
        <v>53</v>
      </c>
      <c r="AD8146" t="s">
        <v>53</v>
      </c>
      <c r="AK8146">
        <v>0</v>
      </c>
      <c r="AU8146" s="6">
        <v>42062</v>
      </c>
      <c r="AV8146" s="6">
        <v>42062</v>
      </c>
      <c r="AW8146" t="s">
        <v>54</v>
      </c>
      <c r="AX8146" t="str">
        <f t="shared" si="662"/>
        <v>FOR</v>
      </c>
      <c r="AY8146" t="s">
        <v>55</v>
      </c>
    </row>
    <row r="8147" spans="1:51" hidden="1">
      <c r="A8147">
        <v>104560</v>
      </c>
      <c r="B8147" t="s">
        <v>1338</v>
      </c>
      <c r="C8147" t="str">
        <f t="shared" si="663"/>
        <v>02504501210</v>
      </c>
      <c r="D8147" t="str">
        <f t="shared" si="663"/>
        <v>02504501210</v>
      </c>
      <c r="E8147" t="s">
        <v>52</v>
      </c>
      <c r="F8147">
        <v>2014</v>
      </c>
      <c r="G8147">
        <v>130</v>
      </c>
      <c r="H8147" s="1">
        <v>41943</v>
      </c>
      <c r="I8147" s="1">
        <v>41962</v>
      </c>
      <c r="J8147" s="1">
        <v>41962</v>
      </c>
      <c r="K8147" s="1">
        <v>42022</v>
      </c>
      <c r="N8147" s="5"/>
      <c r="O8147">
        <v>486.78</v>
      </c>
      <c r="P8147">
        <v>40</v>
      </c>
      <c r="Q8147" s="2">
        <v>19471.2</v>
      </c>
      <c r="R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 s="1">
        <v>42382</v>
      </c>
      <c r="AC8147" t="s">
        <v>53</v>
      </c>
      <c r="AD8147" t="s">
        <v>53</v>
      </c>
      <c r="AK8147">
        <v>0</v>
      </c>
      <c r="AU8147" s="6">
        <v>42062</v>
      </c>
      <c r="AV8147" s="6">
        <v>42062</v>
      </c>
      <c r="AW8147" t="s">
        <v>54</v>
      </c>
      <c r="AX8147" t="str">
        <f t="shared" si="662"/>
        <v>FOR</v>
      </c>
      <c r="AY8147" t="s">
        <v>55</v>
      </c>
    </row>
    <row r="8148" spans="1:51" hidden="1">
      <c r="A8148">
        <v>104560</v>
      </c>
      <c r="B8148" t="s">
        <v>1338</v>
      </c>
      <c r="C8148" t="str">
        <f t="shared" si="663"/>
        <v>02504501210</v>
      </c>
      <c r="D8148" t="str">
        <f t="shared" si="663"/>
        <v>02504501210</v>
      </c>
      <c r="E8148" t="s">
        <v>52</v>
      </c>
      <c r="F8148">
        <v>2014</v>
      </c>
      <c r="G8148">
        <v>131</v>
      </c>
      <c r="H8148" s="1">
        <v>41943</v>
      </c>
      <c r="I8148" s="1">
        <v>41962</v>
      </c>
      <c r="J8148" s="1">
        <v>41962</v>
      </c>
      <c r="K8148" s="1">
        <v>42022</v>
      </c>
      <c r="N8148" s="5"/>
      <c r="O8148" s="2">
        <v>1525.05</v>
      </c>
      <c r="P8148">
        <v>40</v>
      </c>
      <c r="Q8148" s="2">
        <v>61002</v>
      </c>
      <c r="R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 s="1">
        <v>42382</v>
      </c>
      <c r="AC8148" t="s">
        <v>53</v>
      </c>
      <c r="AD8148" t="s">
        <v>53</v>
      </c>
      <c r="AK8148">
        <v>0</v>
      </c>
      <c r="AU8148" s="6">
        <v>42062</v>
      </c>
      <c r="AV8148" s="6">
        <v>42062</v>
      </c>
      <c r="AW8148" t="s">
        <v>54</v>
      </c>
      <c r="AX8148" t="str">
        <f t="shared" si="662"/>
        <v>FOR</v>
      </c>
      <c r="AY8148" t="s">
        <v>55</v>
      </c>
    </row>
    <row r="8149" spans="1:51" hidden="1">
      <c r="A8149">
        <v>104560</v>
      </c>
      <c r="B8149" t="s">
        <v>1338</v>
      </c>
      <c r="C8149" t="str">
        <f t="shared" si="663"/>
        <v>02504501210</v>
      </c>
      <c r="D8149" t="str">
        <f t="shared" si="663"/>
        <v>02504501210</v>
      </c>
      <c r="E8149" t="s">
        <v>52</v>
      </c>
      <c r="F8149">
        <v>2014</v>
      </c>
      <c r="G8149">
        <v>132</v>
      </c>
      <c r="H8149" s="1">
        <v>41943</v>
      </c>
      <c r="I8149" s="1">
        <v>41962</v>
      </c>
      <c r="J8149" s="1">
        <v>41962</v>
      </c>
      <c r="K8149" s="1">
        <v>42022</v>
      </c>
      <c r="N8149" s="5"/>
      <c r="O8149" s="2">
        <v>2013</v>
      </c>
      <c r="P8149">
        <v>40</v>
      </c>
      <c r="Q8149" s="2">
        <v>80520</v>
      </c>
      <c r="R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 s="1">
        <v>42382</v>
      </c>
      <c r="AC8149" t="s">
        <v>53</v>
      </c>
      <c r="AD8149" t="s">
        <v>53</v>
      </c>
      <c r="AK8149">
        <v>0</v>
      </c>
      <c r="AU8149" s="6">
        <v>42062</v>
      </c>
      <c r="AV8149" s="6">
        <v>42062</v>
      </c>
      <c r="AW8149" t="s">
        <v>54</v>
      </c>
      <c r="AX8149" t="str">
        <f t="shared" si="662"/>
        <v>FOR</v>
      </c>
      <c r="AY8149" t="s">
        <v>55</v>
      </c>
    </row>
    <row r="8150" spans="1:51" hidden="1">
      <c r="A8150">
        <v>104560</v>
      </c>
      <c r="B8150" t="s">
        <v>1338</v>
      </c>
      <c r="C8150" t="str">
        <f t="shared" si="663"/>
        <v>02504501210</v>
      </c>
      <c r="D8150" t="str">
        <f t="shared" si="663"/>
        <v>02504501210</v>
      </c>
      <c r="E8150" t="s">
        <v>52</v>
      </c>
      <c r="F8150">
        <v>2014</v>
      </c>
      <c r="G8150">
        <v>133</v>
      </c>
      <c r="H8150" s="1">
        <v>41943</v>
      </c>
      <c r="I8150" s="1">
        <v>42073</v>
      </c>
      <c r="J8150" s="1">
        <v>42073</v>
      </c>
      <c r="K8150" s="1">
        <v>42133</v>
      </c>
      <c r="N8150" s="5"/>
      <c r="O8150" s="2">
        <v>1415.2</v>
      </c>
      <c r="P8150">
        <v>-39</v>
      </c>
      <c r="Q8150" s="2">
        <v>-55192.800000000003</v>
      </c>
      <c r="R8150">
        <v>0</v>
      </c>
      <c r="V8150">
        <v>0</v>
      </c>
      <c r="W8150">
        <v>0</v>
      </c>
      <c r="X8150">
        <v>0</v>
      </c>
      <c r="Y8150" s="2">
        <v>1415.2</v>
      </c>
      <c r="Z8150" s="2">
        <v>1415.2</v>
      </c>
      <c r="AA8150">
        <v>0</v>
      </c>
      <c r="AB8150" s="1">
        <v>42382</v>
      </c>
      <c r="AC8150" t="s">
        <v>53</v>
      </c>
      <c r="AD8150" t="s">
        <v>53</v>
      </c>
      <c r="AK8150">
        <v>0</v>
      </c>
      <c r="AU8150" s="6">
        <v>42094</v>
      </c>
      <c r="AV8150" s="6">
        <v>42094</v>
      </c>
      <c r="AW8150" t="s">
        <v>54</v>
      </c>
      <c r="AX8150" t="str">
        <f t="shared" si="662"/>
        <v>FOR</v>
      </c>
      <c r="AY8150" t="s">
        <v>55</v>
      </c>
    </row>
    <row r="8151" spans="1:51" hidden="1">
      <c r="A8151">
        <v>104560</v>
      </c>
      <c r="B8151" t="s">
        <v>1338</v>
      </c>
      <c r="C8151" t="str">
        <f t="shared" si="663"/>
        <v>02504501210</v>
      </c>
      <c r="D8151" t="str">
        <f t="shared" si="663"/>
        <v>02504501210</v>
      </c>
      <c r="E8151" t="s">
        <v>52</v>
      </c>
      <c r="F8151">
        <v>2014</v>
      </c>
      <c r="G8151">
        <v>134</v>
      </c>
      <c r="H8151" s="1">
        <v>41943</v>
      </c>
      <c r="I8151" s="1">
        <v>41962</v>
      </c>
      <c r="J8151" s="1">
        <v>41962</v>
      </c>
      <c r="K8151" s="1">
        <v>42022</v>
      </c>
      <c r="N8151" s="5"/>
      <c r="O8151">
        <v>894.66</v>
      </c>
      <c r="P8151">
        <v>40</v>
      </c>
      <c r="Q8151" s="2">
        <v>35786.400000000001</v>
      </c>
      <c r="R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 s="1">
        <v>42382</v>
      </c>
      <c r="AC8151" t="s">
        <v>53</v>
      </c>
      <c r="AD8151" t="s">
        <v>53</v>
      </c>
      <c r="AK8151">
        <v>0</v>
      </c>
      <c r="AU8151" s="6">
        <v>42062</v>
      </c>
      <c r="AV8151" s="6">
        <v>42062</v>
      </c>
      <c r="AW8151" t="s">
        <v>54</v>
      </c>
      <c r="AX8151" t="str">
        <f t="shared" si="662"/>
        <v>FOR</v>
      </c>
      <c r="AY8151" t="s">
        <v>55</v>
      </c>
    </row>
    <row r="8152" spans="1:51" hidden="1">
      <c r="A8152">
        <v>104560</v>
      </c>
      <c r="B8152" t="s">
        <v>1338</v>
      </c>
      <c r="C8152" t="str">
        <f t="shared" si="663"/>
        <v>02504501210</v>
      </c>
      <c r="D8152" t="str">
        <f t="shared" si="663"/>
        <v>02504501210</v>
      </c>
      <c r="E8152" t="s">
        <v>52</v>
      </c>
      <c r="F8152">
        <v>2014</v>
      </c>
      <c r="G8152">
        <v>135</v>
      </c>
      <c r="H8152" s="1">
        <v>41943</v>
      </c>
      <c r="I8152" s="1">
        <v>41962</v>
      </c>
      <c r="J8152" s="1">
        <v>41962</v>
      </c>
      <c r="K8152" s="1">
        <v>42022</v>
      </c>
      <c r="N8152" s="5"/>
      <c r="O8152" s="2">
        <v>2781.6</v>
      </c>
      <c r="P8152">
        <v>40</v>
      </c>
      <c r="Q8152" s="2">
        <v>111264</v>
      </c>
      <c r="R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 s="1">
        <v>42382</v>
      </c>
      <c r="AC8152" t="s">
        <v>53</v>
      </c>
      <c r="AD8152" t="s">
        <v>53</v>
      </c>
      <c r="AK8152">
        <v>0</v>
      </c>
      <c r="AU8152" s="6">
        <v>42062</v>
      </c>
      <c r="AV8152" s="6">
        <v>42062</v>
      </c>
      <c r="AW8152" t="s">
        <v>54</v>
      </c>
      <c r="AX8152" t="str">
        <f t="shared" si="662"/>
        <v>FOR</v>
      </c>
      <c r="AY8152" t="s">
        <v>55</v>
      </c>
    </row>
    <row r="8153" spans="1:51" hidden="1">
      <c r="A8153">
        <v>104560</v>
      </c>
      <c r="B8153" t="s">
        <v>1338</v>
      </c>
      <c r="C8153" t="str">
        <f t="shared" si="663"/>
        <v>02504501210</v>
      </c>
      <c r="D8153" t="str">
        <f t="shared" si="663"/>
        <v>02504501210</v>
      </c>
      <c r="E8153" t="s">
        <v>52</v>
      </c>
      <c r="F8153">
        <v>2014</v>
      </c>
      <c r="G8153">
        <v>146</v>
      </c>
      <c r="H8153" s="1">
        <v>41972</v>
      </c>
      <c r="I8153" s="1">
        <v>41974</v>
      </c>
      <c r="J8153" s="1">
        <v>41974</v>
      </c>
      <c r="K8153" s="1">
        <v>42034</v>
      </c>
      <c r="N8153" s="5"/>
      <c r="O8153" s="2">
        <v>1342</v>
      </c>
      <c r="P8153">
        <v>60</v>
      </c>
      <c r="Q8153" s="2">
        <v>80520</v>
      </c>
      <c r="R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 s="1">
        <v>42382</v>
      </c>
      <c r="AC8153" t="s">
        <v>53</v>
      </c>
      <c r="AD8153" t="s">
        <v>53</v>
      </c>
      <c r="AK8153">
        <v>0</v>
      </c>
      <c r="AU8153" s="6">
        <v>42094</v>
      </c>
      <c r="AV8153" s="6">
        <v>42094</v>
      </c>
      <c r="AW8153" t="s">
        <v>54</v>
      </c>
      <c r="AX8153" t="str">
        <f t="shared" si="662"/>
        <v>FOR</v>
      </c>
      <c r="AY8153" t="s">
        <v>55</v>
      </c>
    </row>
    <row r="8154" spans="1:51" hidden="1">
      <c r="A8154">
        <v>104560</v>
      </c>
      <c r="B8154" t="s">
        <v>1338</v>
      </c>
      <c r="C8154" t="str">
        <f t="shared" si="663"/>
        <v>02504501210</v>
      </c>
      <c r="D8154" t="str">
        <f t="shared" si="663"/>
        <v>02504501210</v>
      </c>
      <c r="E8154" t="s">
        <v>52</v>
      </c>
      <c r="F8154">
        <v>2014</v>
      </c>
      <c r="G8154">
        <v>147</v>
      </c>
      <c r="H8154" s="1">
        <v>41972</v>
      </c>
      <c r="I8154" s="1">
        <v>41974</v>
      </c>
      <c r="J8154" s="1">
        <v>41974</v>
      </c>
      <c r="K8154" s="1">
        <v>42034</v>
      </c>
      <c r="N8154" s="5"/>
      <c r="O8154" s="2">
        <v>1927.6</v>
      </c>
      <c r="P8154">
        <v>60</v>
      </c>
      <c r="Q8154" s="2">
        <v>115656</v>
      </c>
      <c r="R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 s="1">
        <v>42382</v>
      </c>
      <c r="AC8154" t="s">
        <v>53</v>
      </c>
      <c r="AD8154" t="s">
        <v>53</v>
      </c>
      <c r="AK8154">
        <v>0</v>
      </c>
      <c r="AU8154" s="6">
        <v>42094</v>
      </c>
      <c r="AV8154" s="6">
        <v>42094</v>
      </c>
      <c r="AW8154" t="s">
        <v>54</v>
      </c>
      <c r="AX8154" t="str">
        <f t="shared" si="662"/>
        <v>FOR</v>
      </c>
      <c r="AY8154" t="s">
        <v>55</v>
      </c>
    </row>
    <row r="8155" spans="1:51" hidden="1">
      <c r="A8155">
        <v>104560</v>
      </c>
      <c r="B8155" t="s">
        <v>1338</v>
      </c>
      <c r="C8155" t="str">
        <f t="shared" si="663"/>
        <v>02504501210</v>
      </c>
      <c r="D8155" t="str">
        <f t="shared" si="663"/>
        <v>02504501210</v>
      </c>
      <c r="E8155" t="s">
        <v>52</v>
      </c>
      <c r="F8155">
        <v>2014</v>
      </c>
      <c r="G8155">
        <v>148</v>
      </c>
      <c r="H8155" s="1">
        <v>41972</v>
      </c>
      <c r="I8155" s="1">
        <v>41974</v>
      </c>
      <c r="J8155" s="1">
        <v>41974</v>
      </c>
      <c r="K8155" s="1">
        <v>42034</v>
      </c>
      <c r="N8155" s="5"/>
      <c r="O8155">
        <v>486.78</v>
      </c>
      <c r="P8155">
        <v>60</v>
      </c>
      <c r="Q8155" s="2">
        <v>29206.799999999999</v>
      </c>
      <c r="R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 s="1">
        <v>42382</v>
      </c>
      <c r="AC8155" t="s">
        <v>53</v>
      </c>
      <c r="AD8155" t="s">
        <v>53</v>
      </c>
      <c r="AK8155">
        <v>0</v>
      </c>
      <c r="AU8155" s="6">
        <v>42094</v>
      </c>
      <c r="AV8155" s="6">
        <v>42094</v>
      </c>
      <c r="AW8155" t="s">
        <v>54</v>
      </c>
      <c r="AX8155" t="str">
        <f t="shared" si="662"/>
        <v>FOR</v>
      </c>
      <c r="AY8155" t="s">
        <v>55</v>
      </c>
    </row>
    <row r="8156" spans="1:51" hidden="1">
      <c r="A8156">
        <v>104560</v>
      </c>
      <c r="B8156" t="s">
        <v>1338</v>
      </c>
      <c r="C8156" t="str">
        <f t="shared" si="663"/>
        <v>02504501210</v>
      </c>
      <c r="D8156" t="str">
        <f t="shared" si="663"/>
        <v>02504501210</v>
      </c>
      <c r="E8156" t="s">
        <v>52</v>
      </c>
      <c r="F8156">
        <v>2014</v>
      </c>
      <c r="G8156">
        <v>149</v>
      </c>
      <c r="H8156" s="1">
        <v>41972</v>
      </c>
      <c r="I8156" s="1">
        <v>41974</v>
      </c>
      <c r="J8156" s="1">
        <v>41974</v>
      </c>
      <c r="K8156" s="1">
        <v>42034</v>
      </c>
      <c r="N8156" s="5"/>
      <c r="O8156" s="2">
        <v>1525.05</v>
      </c>
      <c r="P8156">
        <v>60</v>
      </c>
      <c r="Q8156" s="2">
        <v>91503</v>
      </c>
      <c r="R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 s="1">
        <v>42382</v>
      </c>
      <c r="AC8156" t="s">
        <v>53</v>
      </c>
      <c r="AD8156" t="s">
        <v>53</v>
      </c>
      <c r="AK8156">
        <v>0</v>
      </c>
      <c r="AU8156" s="6">
        <v>42094</v>
      </c>
      <c r="AV8156" s="6">
        <v>42094</v>
      </c>
      <c r="AW8156" t="s">
        <v>54</v>
      </c>
      <c r="AX8156" t="str">
        <f t="shared" si="662"/>
        <v>FOR</v>
      </c>
      <c r="AY8156" t="s">
        <v>55</v>
      </c>
    </row>
    <row r="8157" spans="1:51" hidden="1">
      <c r="A8157">
        <v>104560</v>
      </c>
      <c r="B8157" t="s">
        <v>1338</v>
      </c>
      <c r="C8157" t="str">
        <f t="shared" si="663"/>
        <v>02504501210</v>
      </c>
      <c r="D8157" t="str">
        <f t="shared" si="663"/>
        <v>02504501210</v>
      </c>
      <c r="E8157" t="s">
        <v>52</v>
      </c>
      <c r="F8157">
        <v>2014</v>
      </c>
      <c r="G8157">
        <v>150</v>
      </c>
      <c r="H8157" s="1">
        <v>41972</v>
      </c>
      <c r="I8157" s="1">
        <v>41975</v>
      </c>
      <c r="J8157" s="1">
        <v>41975</v>
      </c>
      <c r="K8157" s="1">
        <v>42035</v>
      </c>
      <c r="N8157" s="5"/>
      <c r="O8157" s="2">
        <v>1708</v>
      </c>
      <c r="P8157">
        <v>59</v>
      </c>
      <c r="Q8157" s="2">
        <v>100772</v>
      </c>
      <c r="R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 s="1">
        <v>42382</v>
      </c>
      <c r="AC8157" t="s">
        <v>53</v>
      </c>
      <c r="AD8157" t="s">
        <v>53</v>
      </c>
      <c r="AK8157">
        <v>0</v>
      </c>
      <c r="AU8157" s="6">
        <v>42094</v>
      </c>
      <c r="AV8157" s="6">
        <v>42094</v>
      </c>
      <c r="AW8157" t="s">
        <v>54</v>
      </c>
      <c r="AX8157" t="str">
        <f t="shared" si="662"/>
        <v>FOR</v>
      </c>
      <c r="AY8157" t="s">
        <v>55</v>
      </c>
    </row>
    <row r="8158" spans="1:51" hidden="1">
      <c r="A8158">
        <v>104560</v>
      </c>
      <c r="B8158" t="s">
        <v>1338</v>
      </c>
      <c r="C8158" t="str">
        <f t="shared" si="663"/>
        <v>02504501210</v>
      </c>
      <c r="D8158" t="str">
        <f t="shared" si="663"/>
        <v>02504501210</v>
      </c>
      <c r="E8158" t="s">
        <v>52</v>
      </c>
      <c r="F8158">
        <v>2014</v>
      </c>
      <c r="G8158">
        <v>151</v>
      </c>
      <c r="H8158" s="1">
        <v>41972</v>
      </c>
      <c r="I8158" s="1">
        <v>42073</v>
      </c>
      <c r="J8158" s="1">
        <v>42073</v>
      </c>
      <c r="K8158" s="1">
        <v>42133</v>
      </c>
      <c r="N8158" s="5"/>
      <c r="O8158">
        <v>176.9</v>
      </c>
      <c r="P8158">
        <v>-39</v>
      </c>
      <c r="Q8158" s="2">
        <v>-6899.1</v>
      </c>
      <c r="R8158">
        <v>0</v>
      </c>
      <c r="V8158">
        <v>0</v>
      </c>
      <c r="W8158">
        <v>0</v>
      </c>
      <c r="X8158">
        <v>0</v>
      </c>
      <c r="Y8158">
        <v>176.9</v>
      </c>
      <c r="Z8158">
        <v>176.9</v>
      </c>
      <c r="AA8158">
        <v>0</v>
      </c>
      <c r="AB8158" s="1">
        <v>42382</v>
      </c>
      <c r="AC8158" t="s">
        <v>53</v>
      </c>
      <c r="AD8158" t="s">
        <v>53</v>
      </c>
      <c r="AK8158">
        <v>0</v>
      </c>
      <c r="AU8158" s="6">
        <v>42094</v>
      </c>
      <c r="AV8158" s="6">
        <v>42094</v>
      </c>
      <c r="AW8158" t="s">
        <v>54</v>
      </c>
      <c r="AX8158" t="str">
        <f t="shared" si="662"/>
        <v>FOR</v>
      </c>
      <c r="AY8158" t="s">
        <v>55</v>
      </c>
    </row>
    <row r="8159" spans="1:51" hidden="1">
      <c r="A8159">
        <v>104560</v>
      </c>
      <c r="B8159" t="s">
        <v>1338</v>
      </c>
      <c r="C8159" t="str">
        <f t="shared" si="663"/>
        <v>02504501210</v>
      </c>
      <c r="D8159" t="str">
        <f t="shared" si="663"/>
        <v>02504501210</v>
      </c>
      <c r="E8159" t="s">
        <v>52</v>
      </c>
      <c r="F8159">
        <v>2014</v>
      </c>
      <c r="G8159">
        <v>167</v>
      </c>
      <c r="H8159" s="1">
        <v>42003</v>
      </c>
      <c r="I8159" s="1">
        <v>42004</v>
      </c>
      <c r="J8159" s="1">
        <v>42004</v>
      </c>
      <c r="K8159" s="1">
        <v>42064</v>
      </c>
      <c r="N8159" s="5"/>
      <c r="O8159" s="2">
        <v>1927.6</v>
      </c>
      <c r="P8159">
        <v>60</v>
      </c>
      <c r="Q8159" s="2">
        <v>115656</v>
      </c>
      <c r="R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 s="1">
        <v>42382</v>
      </c>
      <c r="AC8159" t="s">
        <v>53</v>
      </c>
      <c r="AD8159" t="s">
        <v>53</v>
      </c>
      <c r="AK8159">
        <v>0</v>
      </c>
      <c r="AU8159" s="6">
        <v>42124</v>
      </c>
      <c r="AV8159" s="6">
        <v>42124</v>
      </c>
      <c r="AW8159" t="s">
        <v>54</v>
      </c>
      <c r="AX8159" t="str">
        <f t="shared" si="662"/>
        <v>FOR</v>
      </c>
      <c r="AY8159" t="s">
        <v>55</v>
      </c>
    </row>
    <row r="8160" spans="1:51" hidden="1">
      <c r="A8160">
        <v>104560</v>
      </c>
      <c r="B8160" t="s">
        <v>1338</v>
      </c>
      <c r="C8160" t="str">
        <f t="shared" si="663"/>
        <v>02504501210</v>
      </c>
      <c r="D8160" t="str">
        <f t="shared" si="663"/>
        <v>02504501210</v>
      </c>
      <c r="E8160" t="s">
        <v>52</v>
      </c>
      <c r="F8160">
        <v>2014</v>
      </c>
      <c r="G8160">
        <v>168</v>
      </c>
      <c r="H8160" s="1">
        <v>42003</v>
      </c>
      <c r="I8160" s="1">
        <v>42004</v>
      </c>
      <c r="J8160" s="1">
        <v>42004</v>
      </c>
      <c r="K8160" s="1">
        <v>42064</v>
      </c>
      <c r="N8160" s="5"/>
      <c r="O8160">
        <v>486.78</v>
      </c>
      <c r="P8160">
        <v>60</v>
      </c>
      <c r="Q8160" s="2">
        <v>29206.799999999999</v>
      </c>
      <c r="R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 s="1">
        <v>42382</v>
      </c>
      <c r="AC8160" t="s">
        <v>53</v>
      </c>
      <c r="AD8160" t="s">
        <v>53</v>
      </c>
      <c r="AK8160">
        <v>0</v>
      </c>
      <c r="AU8160" s="6">
        <v>42124</v>
      </c>
      <c r="AV8160" s="6">
        <v>42124</v>
      </c>
      <c r="AW8160" t="s">
        <v>54</v>
      </c>
      <c r="AX8160" t="str">
        <f t="shared" si="662"/>
        <v>FOR</v>
      </c>
      <c r="AY8160" t="s">
        <v>55</v>
      </c>
    </row>
    <row r="8161" spans="1:51" hidden="1">
      <c r="A8161">
        <v>104560</v>
      </c>
      <c r="B8161" t="s">
        <v>1338</v>
      </c>
      <c r="C8161" t="str">
        <f t="shared" ref="C8161:D8180" si="664">"02504501210"</f>
        <v>02504501210</v>
      </c>
      <c r="D8161" t="str">
        <f t="shared" si="664"/>
        <v>02504501210</v>
      </c>
      <c r="E8161" t="s">
        <v>52</v>
      </c>
      <c r="F8161">
        <v>2014</v>
      </c>
      <c r="G8161">
        <v>169</v>
      </c>
      <c r="H8161" s="1">
        <v>42003</v>
      </c>
      <c r="I8161" s="1">
        <v>42004</v>
      </c>
      <c r="J8161" s="1">
        <v>42004</v>
      </c>
      <c r="K8161" s="1">
        <v>42064</v>
      </c>
      <c r="N8161" s="5"/>
      <c r="O8161" s="2">
        <v>1525.05</v>
      </c>
      <c r="P8161">
        <v>60</v>
      </c>
      <c r="Q8161" s="2">
        <v>91503</v>
      </c>
      <c r="R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 s="1">
        <v>42382</v>
      </c>
      <c r="AC8161" t="s">
        <v>53</v>
      </c>
      <c r="AD8161" t="s">
        <v>53</v>
      </c>
      <c r="AK8161">
        <v>0</v>
      </c>
      <c r="AU8161" s="6">
        <v>42124</v>
      </c>
      <c r="AV8161" s="6">
        <v>42124</v>
      </c>
      <c r="AW8161" t="s">
        <v>54</v>
      </c>
      <c r="AX8161" t="str">
        <f t="shared" si="662"/>
        <v>FOR</v>
      </c>
      <c r="AY8161" t="s">
        <v>55</v>
      </c>
    </row>
    <row r="8162" spans="1:51" hidden="1">
      <c r="A8162">
        <v>104560</v>
      </c>
      <c r="B8162" t="s">
        <v>1338</v>
      </c>
      <c r="C8162" t="str">
        <f t="shared" si="664"/>
        <v>02504501210</v>
      </c>
      <c r="D8162" t="str">
        <f t="shared" si="664"/>
        <v>02504501210</v>
      </c>
      <c r="E8162" t="s">
        <v>52</v>
      </c>
      <c r="F8162">
        <v>2014</v>
      </c>
      <c r="G8162">
        <v>170</v>
      </c>
      <c r="H8162" s="1">
        <v>42003</v>
      </c>
      <c r="I8162" s="1">
        <v>42088</v>
      </c>
      <c r="J8162" s="1">
        <v>42088</v>
      </c>
      <c r="K8162" s="1">
        <v>42148</v>
      </c>
      <c r="N8162" s="5"/>
      <c r="O8162">
        <v>176.9</v>
      </c>
      <c r="P8162">
        <v>-24</v>
      </c>
      <c r="Q8162" s="2">
        <v>-4245.6000000000004</v>
      </c>
      <c r="R8162">
        <v>0</v>
      </c>
      <c r="V8162">
        <v>0</v>
      </c>
      <c r="W8162">
        <v>0</v>
      </c>
      <c r="X8162">
        <v>0</v>
      </c>
      <c r="Y8162">
        <v>0</v>
      </c>
      <c r="Z8162">
        <v>176.9</v>
      </c>
      <c r="AA8162">
        <v>0</v>
      </c>
      <c r="AB8162" s="1">
        <v>42382</v>
      </c>
      <c r="AC8162" t="s">
        <v>53</v>
      </c>
      <c r="AD8162" t="s">
        <v>53</v>
      </c>
      <c r="AK8162">
        <v>0</v>
      </c>
      <c r="AU8162" s="6">
        <v>42124</v>
      </c>
      <c r="AV8162" s="6">
        <v>42124</v>
      </c>
      <c r="AW8162" t="s">
        <v>54</v>
      </c>
      <c r="AX8162" t="str">
        <f t="shared" si="662"/>
        <v>FOR</v>
      </c>
      <c r="AY8162" t="s">
        <v>55</v>
      </c>
    </row>
    <row r="8163" spans="1:51" hidden="1">
      <c r="A8163">
        <v>104560</v>
      </c>
      <c r="B8163" t="s">
        <v>1338</v>
      </c>
      <c r="C8163" t="str">
        <f t="shared" si="664"/>
        <v>02504501210</v>
      </c>
      <c r="D8163" t="str">
        <f t="shared" si="664"/>
        <v>02504501210</v>
      </c>
      <c r="E8163" t="s">
        <v>52</v>
      </c>
      <c r="F8163">
        <v>2014</v>
      </c>
      <c r="G8163">
        <v>171</v>
      </c>
      <c r="H8163" s="1">
        <v>42003</v>
      </c>
      <c r="I8163" s="1">
        <v>42004</v>
      </c>
      <c r="J8163" s="1">
        <v>42004</v>
      </c>
      <c r="K8163" s="1">
        <v>42064</v>
      </c>
      <c r="N8163" s="5"/>
      <c r="O8163">
        <v>915</v>
      </c>
      <c r="P8163">
        <v>60</v>
      </c>
      <c r="Q8163" s="2">
        <v>54900</v>
      </c>
      <c r="R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 s="1">
        <v>42382</v>
      </c>
      <c r="AC8163" t="s">
        <v>53</v>
      </c>
      <c r="AD8163" t="s">
        <v>53</v>
      </c>
      <c r="AK8163">
        <v>0</v>
      </c>
      <c r="AU8163" s="6">
        <v>42124</v>
      </c>
      <c r="AV8163" s="6">
        <v>42124</v>
      </c>
      <c r="AW8163" t="s">
        <v>54</v>
      </c>
      <c r="AX8163" t="str">
        <f t="shared" si="662"/>
        <v>FOR</v>
      </c>
      <c r="AY8163" t="s">
        <v>55</v>
      </c>
    </row>
    <row r="8164" spans="1:51" hidden="1">
      <c r="A8164">
        <v>104560</v>
      </c>
      <c r="B8164" t="s">
        <v>1338</v>
      </c>
      <c r="C8164" t="str">
        <f t="shared" si="664"/>
        <v>02504501210</v>
      </c>
      <c r="D8164" t="str">
        <f t="shared" si="664"/>
        <v>02504501210</v>
      </c>
      <c r="E8164" t="s">
        <v>52</v>
      </c>
      <c r="F8164">
        <v>2014</v>
      </c>
      <c r="G8164">
        <v>172</v>
      </c>
      <c r="H8164" s="1">
        <v>42003</v>
      </c>
      <c r="I8164" s="1">
        <v>42088</v>
      </c>
      <c r="J8164" s="1">
        <v>42088</v>
      </c>
      <c r="K8164" s="1">
        <v>42148</v>
      </c>
      <c r="N8164" s="5"/>
      <c r="O8164">
        <v>256.2</v>
      </c>
      <c r="P8164">
        <v>-24</v>
      </c>
      <c r="Q8164" s="2">
        <v>-6148.8</v>
      </c>
      <c r="R8164">
        <v>0</v>
      </c>
      <c r="V8164">
        <v>0</v>
      </c>
      <c r="W8164">
        <v>0</v>
      </c>
      <c r="X8164">
        <v>0</v>
      </c>
      <c r="Y8164">
        <v>0</v>
      </c>
      <c r="Z8164">
        <v>256.2</v>
      </c>
      <c r="AA8164">
        <v>0</v>
      </c>
      <c r="AB8164" s="1">
        <v>42382</v>
      </c>
      <c r="AC8164" t="s">
        <v>53</v>
      </c>
      <c r="AD8164" t="s">
        <v>53</v>
      </c>
      <c r="AK8164">
        <v>0</v>
      </c>
      <c r="AU8164" s="6">
        <v>42124</v>
      </c>
      <c r="AV8164" s="6">
        <v>42124</v>
      </c>
      <c r="AW8164" t="s">
        <v>54</v>
      </c>
      <c r="AX8164" t="str">
        <f t="shared" si="662"/>
        <v>FOR</v>
      </c>
      <c r="AY8164" t="s">
        <v>55</v>
      </c>
    </row>
    <row r="8165" spans="1:51" hidden="1">
      <c r="A8165">
        <v>104560</v>
      </c>
      <c r="B8165" t="s">
        <v>1338</v>
      </c>
      <c r="C8165" t="str">
        <f t="shared" si="664"/>
        <v>02504501210</v>
      </c>
      <c r="D8165" t="str">
        <f t="shared" si="664"/>
        <v>02504501210</v>
      </c>
      <c r="E8165" t="s">
        <v>52</v>
      </c>
      <c r="F8165">
        <v>2014</v>
      </c>
      <c r="G8165">
        <v>173</v>
      </c>
      <c r="H8165" s="1">
        <v>42003</v>
      </c>
      <c r="I8165" s="1">
        <v>42004</v>
      </c>
      <c r="J8165" s="1">
        <v>42004</v>
      </c>
      <c r="K8165" s="1">
        <v>42064</v>
      </c>
      <c r="N8165" s="5"/>
      <c r="O8165" s="2">
        <v>7320</v>
      </c>
      <c r="P8165">
        <v>60</v>
      </c>
      <c r="Q8165" s="2">
        <v>439200</v>
      </c>
      <c r="R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 s="1">
        <v>42382</v>
      </c>
      <c r="AC8165" t="s">
        <v>53</v>
      </c>
      <c r="AD8165" t="s">
        <v>53</v>
      </c>
      <c r="AK8165">
        <v>0</v>
      </c>
      <c r="AU8165" s="6">
        <v>42124</v>
      </c>
      <c r="AV8165" s="6">
        <v>42124</v>
      </c>
      <c r="AW8165" t="s">
        <v>54</v>
      </c>
      <c r="AX8165" t="str">
        <f t="shared" si="662"/>
        <v>FOR</v>
      </c>
      <c r="AY8165" t="s">
        <v>55</v>
      </c>
    </row>
    <row r="8166" spans="1:51" hidden="1">
      <c r="A8166">
        <v>104560</v>
      </c>
      <c r="B8166" t="s">
        <v>1338</v>
      </c>
      <c r="C8166" t="str">
        <f t="shared" si="664"/>
        <v>02504501210</v>
      </c>
      <c r="D8166" t="str">
        <f t="shared" si="664"/>
        <v>02504501210</v>
      </c>
      <c r="E8166" t="s">
        <v>52</v>
      </c>
      <c r="F8166">
        <v>2015</v>
      </c>
      <c r="G8166">
        <v>4</v>
      </c>
      <c r="H8166" s="1">
        <v>42035</v>
      </c>
      <c r="I8166" s="1">
        <v>42088</v>
      </c>
      <c r="J8166" s="1">
        <v>42088</v>
      </c>
      <c r="K8166" s="1">
        <v>42148</v>
      </c>
      <c r="N8166" s="5"/>
      <c r="O8166" s="2">
        <v>1580</v>
      </c>
      <c r="P8166">
        <v>15</v>
      </c>
      <c r="Q8166" s="2">
        <v>23700</v>
      </c>
      <c r="R8166">
        <v>0</v>
      </c>
      <c r="V8166">
        <v>0</v>
      </c>
      <c r="W8166">
        <v>0</v>
      </c>
      <c r="X8166">
        <v>0</v>
      </c>
      <c r="Y8166" s="2">
        <v>1927.6</v>
      </c>
      <c r="Z8166" s="2">
        <v>1927.6</v>
      </c>
      <c r="AA8166" s="2">
        <v>1927.6</v>
      </c>
      <c r="AB8166" s="1">
        <v>42382</v>
      </c>
      <c r="AC8166" t="s">
        <v>53</v>
      </c>
      <c r="AD8166" t="s">
        <v>53</v>
      </c>
      <c r="AK8166">
        <v>0</v>
      </c>
      <c r="AU8166" s="6">
        <v>42163</v>
      </c>
      <c r="AV8166" s="6">
        <v>42163</v>
      </c>
      <c r="AW8166" t="s">
        <v>54</v>
      </c>
      <c r="AX8166" t="str">
        <f t="shared" si="662"/>
        <v>FOR</v>
      </c>
      <c r="AY8166" t="s">
        <v>55</v>
      </c>
    </row>
    <row r="8167" spans="1:51" hidden="1">
      <c r="A8167">
        <v>104560</v>
      </c>
      <c r="B8167" t="s">
        <v>1338</v>
      </c>
      <c r="C8167" t="str">
        <f t="shared" si="664"/>
        <v>02504501210</v>
      </c>
      <c r="D8167" t="str">
        <f t="shared" si="664"/>
        <v>02504501210</v>
      </c>
      <c r="E8167" t="s">
        <v>52</v>
      </c>
      <c r="F8167">
        <v>2015</v>
      </c>
      <c r="G8167">
        <v>5</v>
      </c>
      <c r="H8167" s="1">
        <v>42035</v>
      </c>
      <c r="I8167" s="1">
        <v>42088</v>
      </c>
      <c r="J8167" s="1">
        <v>42088</v>
      </c>
      <c r="K8167" s="1">
        <v>42148</v>
      </c>
      <c r="N8167" s="5"/>
      <c r="O8167">
        <v>399</v>
      </c>
      <c r="P8167">
        <v>15</v>
      </c>
      <c r="Q8167" s="2">
        <v>5985</v>
      </c>
      <c r="R8167">
        <v>0</v>
      </c>
      <c r="V8167">
        <v>0</v>
      </c>
      <c r="W8167">
        <v>0</v>
      </c>
      <c r="X8167">
        <v>0</v>
      </c>
      <c r="Y8167">
        <v>486.78</v>
      </c>
      <c r="Z8167">
        <v>486.78</v>
      </c>
      <c r="AA8167">
        <v>486.78</v>
      </c>
      <c r="AB8167" s="1">
        <v>42382</v>
      </c>
      <c r="AC8167" t="s">
        <v>53</v>
      </c>
      <c r="AD8167" t="s">
        <v>53</v>
      </c>
      <c r="AK8167">
        <v>0</v>
      </c>
      <c r="AU8167" s="6">
        <v>42163</v>
      </c>
      <c r="AV8167" s="6">
        <v>42163</v>
      </c>
      <c r="AW8167" t="s">
        <v>54</v>
      </c>
      <c r="AX8167" t="str">
        <f t="shared" si="662"/>
        <v>FOR</v>
      </c>
      <c r="AY8167" t="s">
        <v>55</v>
      </c>
    </row>
    <row r="8168" spans="1:51" hidden="1">
      <c r="A8168">
        <v>104560</v>
      </c>
      <c r="B8168" t="s">
        <v>1338</v>
      </c>
      <c r="C8168" t="str">
        <f t="shared" si="664"/>
        <v>02504501210</v>
      </c>
      <c r="D8168" t="str">
        <f t="shared" si="664"/>
        <v>02504501210</v>
      </c>
      <c r="E8168" t="s">
        <v>52</v>
      </c>
      <c r="F8168">
        <v>2015</v>
      </c>
      <c r="G8168">
        <v>6</v>
      </c>
      <c r="H8168" s="1">
        <v>42035</v>
      </c>
      <c r="I8168" s="1">
        <v>42088</v>
      </c>
      <c r="J8168" s="1">
        <v>42088</v>
      </c>
      <c r="K8168" s="1">
        <v>42148</v>
      </c>
      <c r="N8168" s="5"/>
      <c r="O8168" s="2">
        <v>1250.04</v>
      </c>
      <c r="P8168">
        <v>15</v>
      </c>
      <c r="Q8168" s="2">
        <v>18750.599999999999</v>
      </c>
      <c r="R8168">
        <v>0</v>
      </c>
      <c r="V8168">
        <v>0</v>
      </c>
      <c r="W8168">
        <v>0</v>
      </c>
      <c r="X8168">
        <v>0</v>
      </c>
      <c r="Y8168" s="2">
        <v>1525.05</v>
      </c>
      <c r="Z8168" s="2">
        <v>1525.05</v>
      </c>
      <c r="AA8168" s="2">
        <v>1525.05</v>
      </c>
      <c r="AB8168" s="1">
        <v>42382</v>
      </c>
      <c r="AC8168" t="s">
        <v>53</v>
      </c>
      <c r="AD8168" t="s">
        <v>53</v>
      </c>
      <c r="AK8168">
        <v>0</v>
      </c>
      <c r="AU8168" s="6">
        <v>42163</v>
      </c>
      <c r="AV8168" s="6">
        <v>42163</v>
      </c>
      <c r="AW8168" t="s">
        <v>54</v>
      </c>
      <c r="AX8168" t="str">
        <f t="shared" si="662"/>
        <v>FOR</v>
      </c>
      <c r="AY8168" t="s">
        <v>55</v>
      </c>
    </row>
    <row r="8169" spans="1:51" hidden="1">
      <c r="A8169">
        <v>104560</v>
      </c>
      <c r="B8169" t="s">
        <v>1338</v>
      </c>
      <c r="C8169" t="str">
        <f t="shared" si="664"/>
        <v>02504501210</v>
      </c>
      <c r="D8169" t="str">
        <f t="shared" si="664"/>
        <v>02504501210</v>
      </c>
      <c r="E8169" t="s">
        <v>52</v>
      </c>
      <c r="F8169">
        <v>2015</v>
      </c>
      <c r="G8169">
        <v>7</v>
      </c>
      <c r="H8169" s="1">
        <v>42035</v>
      </c>
      <c r="I8169" s="1">
        <v>42200</v>
      </c>
      <c r="J8169" s="1">
        <v>42200</v>
      </c>
      <c r="K8169" s="1">
        <v>42260</v>
      </c>
      <c r="N8169" s="5"/>
      <c r="O8169">
        <v>290</v>
      </c>
      <c r="P8169">
        <v>-48</v>
      </c>
      <c r="Q8169" s="2">
        <v>-13920</v>
      </c>
      <c r="R8169">
        <v>0</v>
      </c>
      <c r="V8169">
        <v>0</v>
      </c>
      <c r="W8169">
        <v>0</v>
      </c>
      <c r="X8169">
        <v>0</v>
      </c>
      <c r="Y8169">
        <v>353.8</v>
      </c>
      <c r="Z8169">
        <v>353.8</v>
      </c>
      <c r="AA8169">
        <v>353.8</v>
      </c>
      <c r="AB8169" s="1">
        <v>42382</v>
      </c>
      <c r="AC8169" t="s">
        <v>53</v>
      </c>
      <c r="AD8169" t="s">
        <v>53</v>
      </c>
      <c r="AK8169">
        <v>0</v>
      </c>
      <c r="AU8169" s="6">
        <v>42212</v>
      </c>
      <c r="AV8169" s="6">
        <v>42212</v>
      </c>
      <c r="AW8169" t="s">
        <v>54</v>
      </c>
      <c r="AX8169" t="str">
        <f t="shared" si="662"/>
        <v>FOR</v>
      </c>
      <c r="AY8169" t="s">
        <v>55</v>
      </c>
    </row>
    <row r="8170" spans="1:51" hidden="1">
      <c r="A8170">
        <v>104560</v>
      </c>
      <c r="B8170" t="s">
        <v>1338</v>
      </c>
      <c r="C8170" t="str">
        <f t="shared" si="664"/>
        <v>02504501210</v>
      </c>
      <c r="D8170" t="str">
        <f t="shared" si="664"/>
        <v>02504501210</v>
      </c>
      <c r="E8170" t="s">
        <v>52</v>
      </c>
      <c r="F8170">
        <v>2015</v>
      </c>
      <c r="G8170">
        <v>8</v>
      </c>
      <c r="H8170" s="1">
        <v>42035</v>
      </c>
      <c r="I8170" s="1">
        <v>42039</v>
      </c>
      <c r="J8170" s="1">
        <v>42039</v>
      </c>
      <c r="K8170" s="1">
        <v>42099</v>
      </c>
      <c r="N8170" s="5"/>
      <c r="O8170">
        <v>733.33</v>
      </c>
      <c r="P8170">
        <v>64</v>
      </c>
      <c r="Q8170" s="2">
        <v>46933.120000000003</v>
      </c>
      <c r="R8170">
        <v>0</v>
      </c>
      <c r="V8170">
        <v>0</v>
      </c>
      <c r="W8170">
        <v>0</v>
      </c>
      <c r="X8170">
        <v>0</v>
      </c>
      <c r="Y8170">
        <v>894.66</v>
      </c>
      <c r="Z8170">
        <v>894.66</v>
      </c>
      <c r="AA8170">
        <v>894.66</v>
      </c>
      <c r="AB8170" s="1">
        <v>42382</v>
      </c>
      <c r="AC8170" t="s">
        <v>53</v>
      </c>
      <c r="AD8170" t="s">
        <v>53</v>
      </c>
      <c r="AK8170">
        <v>0</v>
      </c>
      <c r="AU8170" s="6">
        <v>42163</v>
      </c>
      <c r="AV8170" s="6">
        <v>42163</v>
      </c>
      <c r="AW8170" t="s">
        <v>54</v>
      </c>
      <c r="AX8170" t="str">
        <f t="shared" si="662"/>
        <v>FOR</v>
      </c>
      <c r="AY8170" t="s">
        <v>55</v>
      </c>
    </row>
    <row r="8171" spans="1:51" hidden="1">
      <c r="A8171">
        <v>104560</v>
      </c>
      <c r="B8171" t="s">
        <v>1338</v>
      </c>
      <c r="C8171" t="str">
        <f t="shared" si="664"/>
        <v>02504501210</v>
      </c>
      <c r="D8171" t="str">
        <f t="shared" si="664"/>
        <v>02504501210</v>
      </c>
      <c r="E8171" t="s">
        <v>52</v>
      </c>
      <c r="F8171">
        <v>2015</v>
      </c>
      <c r="G8171">
        <v>9</v>
      </c>
      <c r="H8171" s="1">
        <v>42035</v>
      </c>
      <c r="I8171" s="1">
        <v>42088</v>
      </c>
      <c r="J8171" s="1">
        <v>42088</v>
      </c>
      <c r="K8171" s="1">
        <v>42148</v>
      </c>
      <c r="N8171" s="5"/>
      <c r="O8171">
        <v>400</v>
      </c>
      <c r="P8171">
        <v>15</v>
      </c>
      <c r="Q8171" s="2">
        <v>6000</v>
      </c>
      <c r="R8171">
        <v>0</v>
      </c>
      <c r="V8171">
        <v>0</v>
      </c>
      <c r="W8171">
        <v>0</v>
      </c>
      <c r="X8171">
        <v>0</v>
      </c>
      <c r="Y8171">
        <v>488</v>
      </c>
      <c r="Z8171">
        <v>488</v>
      </c>
      <c r="AA8171">
        <v>488</v>
      </c>
      <c r="AB8171" s="1">
        <v>42382</v>
      </c>
      <c r="AC8171" t="s">
        <v>53</v>
      </c>
      <c r="AD8171" t="s">
        <v>53</v>
      </c>
      <c r="AK8171">
        <v>0</v>
      </c>
      <c r="AU8171" s="6">
        <v>42163</v>
      </c>
      <c r="AV8171" s="6">
        <v>42163</v>
      </c>
      <c r="AW8171" t="s">
        <v>54</v>
      </c>
      <c r="AX8171" t="str">
        <f t="shared" si="662"/>
        <v>FOR</v>
      </c>
      <c r="AY8171" t="s">
        <v>55</v>
      </c>
    </row>
    <row r="8172" spans="1:51" hidden="1">
      <c r="A8172">
        <v>104560</v>
      </c>
      <c r="B8172" t="s">
        <v>1338</v>
      </c>
      <c r="C8172" t="str">
        <f t="shared" si="664"/>
        <v>02504501210</v>
      </c>
      <c r="D8172" t="str">
        <f t="shared" si="664"/>
        <v>02504501210</v>
      </c>
      <c r="E8172" t="s">
        <v>52</v>
      </c>
      <c r="F8172">
        <v>2015</v>
      </c>
      <c r="G8172">
        <v>19</v>
      </c>
      <c r="H8172" s="1">
        <v>42063</v>
      </c>
      <c r="I8172" s="1">
        <v>42115</v>
      </c>
      <c r="J8172" s="1">
        <v>42115</v>
      </c>
      <c r="K8172" s="1">
        <v>42175</v>
      </c>
      <c r="N8172" s="5"/>
      <c r="O8172" s="2">
        <v>1580</v>
      </c>
      <c r="P8172">
        <v>13</v>
      </c>
      <c r="Q8172" s="2">
        <v>20540</v>
      </c>
      <c r="R8172">
        <v>0</v>
      </c>
      <c r="V8172">
        <v>0</v>
      </c>
      <c r="W8172">
        <v>0</v>
      </c>
      <c r="X8172">
        <v>0</v>
      </c>
      <c r="Y8172" s="2">
        <v>1927.6</v>
      </c>
      <c r="Z8172" s="2">
        <v>1927.6</v>
      </c>
      <c r="AA8172" s="2">
        <v>1927.6</v>
      </c>
      <c r="AB8172" s="1">
        <v>42382</v>
      </c>
      <c r="AC8172" t="s">
        <v>53</v>
      </c>
      <c r="AD8172" t="s">
        <v>53</v>
      </c>
      <c r="AK8172">
        <v>0</v>
      </c>
      <c r="AU8172" s="6">
        <v>42188</v>
      </c>
      <c r="AV8172" s="6">
        <v>42188</v>
      </c>
      <c r="AW8172" t="s">
        <v>54</v>
      </c>
      <c r="AX8172" t="str">
        <f t="shared" si="662"/>
        <v>FOR</v>
      </c>
      <c r="AY8172" t="s">
        <v>55</v>
      </c>
    </row>
    <row r="8173" spans="1:51" hidden="1">
      <c r="A8173">
        <v>104560</v>
      </c>
      <c r="B8173" t="s">
        <v>1338</v>
      </c>
      <c r="C8173" t="str">
        <f t="shared" si="664"/>
        <v>02504501210</v>
      </c>
      <c r="D8173" t="str">
        <f t="shared" si="664"/>
        <v>02504501210</v>
      </c>
      <c r="E8173" t="s">
        <v>52</v>
      </c>
      <c r="F8173">
        <v>2015</v>
      </c>
      <c r="G8173">
        <v>20</v>
      </c>
      <c r="H8173" s="1">
        <v>42063</v>
      </c>
      <c r="I8173" s="1">
        <v>42088</v>
      </c>
      <c r="J8173" s="1">
        <v>42088</v>
      </c>
      <c r="K8173" s="1">
        <v>42148</v>
      </c>
      <c r="N8173" s="5"/>
      <c r="O8173">
        <v>399</v>
      </c>
      <c r="P8173">
        <v>40</v>
      </c>
      <c r="Q8173" s="2">
        <v>15960</v>
      </c>
      <c r="R8173">
        <v>0</v>
      </c>
      <c r="V8173">
        <v>0</v>
      </c>
      <c r="W8173">
        <v>0</v>
      </c>
      <c r="X8173">
        <v>0</v>
      </c>
      <c r="Y8173">
        <v>486.78</v>
      </c>
      <c r="Z8173">
        <v>486.78</v>
      </c>
      <c r="AA8173">
        <v>486.78</v>
      </c>
      <c r="AB8173" s="1">
        <v>42382</v>
      </c>
      <c r="AC8173" t="s">
        <v>53</v>
      </c>
      <c r="AD8173" t="s">
        <v>53</v>
      </c>
      <c r="AK8173">
        <v>0</v>
      </c>
      <c r="AU8173" s="6">
        <v>42188</v>
      </c>
      <c r="AV8173" s="6">
        <v>42188</v>
      </c>
      <c r="AW8173" t="s">
        <v>54</v>
      </c>
      <c r="AX8173" t="str">
        <f t="shared" si="662"/>
        <v>FOR</v>
      </c>
      <c r="AY8173" t="s">
        <v>55</v>
      </c>
    </row>
    <row r="8174" spans="1:51" hidden="1">
      <c r="A8174">
        <v>104560</v>
      </c>
      <c r="B8174" t="s">
        <v>1338</v>
      </c>
      <c r="C8174" t="str">
        <f t="shared" si="664"/>
        <v>02504501210</v>
      </c>
      <c r="D8174" t="str">
        <f t="shared" si="664"/>
        <v>02504501210</v>
      </c>
      <c r="E8174" t="s">
        <v>52</v>
      </c>
      <c r="F8174">
        <v>2015</v>
      </c>
      <c r="G8174">
        <v>21</v>
      </c>
      <c r="H8174" s="1">
        <v>42063</v>
      </c>
      <c r="I8174" s="1">
        <v>42088</v>
      </c>
      <c r="J8174" s="1">
        <v>42088</v>
      </c>
      <c r="K8174" s="1">
        <v>42148</v>
      </c>
      <c r="N8174" s="5"/>
      <c r="O8174" s="2">
        <v>1250.04</v>
      </c>
      <c r="P8174">
        <v>40</v>
      </c>
      <c r="Q8174" s="2">
        <v>50001.599999999999</v>
      </c>
      <c r="R8174">
        <v>0</v>
      </c>
      <c r="V8174">
        <v>0</v>
      </c>
      <c r="W8174">
        <v>0</v>
      </c>
      <c r="X8174">
        <v>0</v>
      </c>
      <c r="Y8174" s="2">
        <v>1525.05</v>
      </c>
      <c r="Z8174" s="2">
        <v>1525.05</v>
      </c>
      <c r="AA8174" s="2">
        <v>1525.05</v>
      </c>
      <c r="AB8174" s="1">
        <v>42382</v>
      </c>
      <c r="AC8174" t="s">
        <v>53</v>
      </c>
      <c r="AD8174" t="s">
        <v>53</v>
      </c>
      <c r="AK8174">
        <v>0</v>
      </c>
      <c r="AU8174" s="6">
        <v>42188</v>
      </c>
      <c r="AV8174" s="6">
        <v>42188</v>
      </c>
      <c r="AW8174" t="s">
        <v>54</v>
      </c>
      <c r="AX8174" t="str">
        <f t="shared" si="662"/>
        <v>FOR</v>
      </c>
      <c r="AY8174" t="s">
        <v>55</v>
      </c>
    </row>
    <row r="8175" spans="1:51" hidden="1">
      <c r="A8175">
        <v>104560</v>
      </c>
      <c r="B8175" t="s">
        <v>1338</v>
      </c>
      <c r="C8175" t="str">
        <f t="shared" si="664"/>
        <v>02504501210</v>
      </c>
      <c r="D8175" t="str">
        <f t="shared" si="664"/>
        <v>02504501210</v>
      </c>
      <c r="E8175" t="s">
        <v>52</v>
      </c>
      <c r="F8175">
        <v>2015</v>
      </c>
      <c r="G8175">
        <v>22</v>
      </c>
      <c r="H8175" s="1">
        <v>42063</v>
      </c>
      <c r="I8175" s="1">
        <v>42200</v>
      </c>
      <c r="J8175" s="1">
        <v>42200</v>
      </c>
      <c r="K8175" s="1">
        <v>42260</v>
      </c>
      <c r="N8175" s="5"/>
      <c r="O8175" s="2">
        <v>1740</v>
      </c>
      <c r="P8175">
        <v>-48</v>
      </c>
      <c r="Q8175" s="2">
        <v>-83520</v>
      </c>
      <c r="R8175">
        <v>0</v>
      </c>
      <c r="V8175">
        <v>0</v>
      </c>
      <c r="W8175">
        <v>0</v>
      </c>
      <c r="X8175">
        <v>0</v>
      </c>
      <c r="Y8175" s="2">
        <v>2122.8000000000002</v>
      </c>
      <c r="Z8175" s="2">
        <v>2122.8000000000002</v>
      </c>
      <c r="AA8175" s="2">
        <v>2122.8000000000002</v>
      </c>
      <c r="AB8175" s="1">
        <v>42382</v>
      </c>
      <c r="AC8175" t="s">
        <v>53</v>
      </c>
      <c r="AD8175" t="s">
        <v>53</v>
      </c>
      <c r="AK8175">
        <v>0</v>
      </c>
      <c r="AU8175" s="6">
        <v>42212</v>
      </c>
      <c r="AV8175" s="6">
        <v>42212</v>
      </c>
      <c r="AW8175" t="s">
        <v>54</v>
      </c>
      <c r="AX8175" t="str">
        <f t="shared" si="662"/>
        <v>FOR</v>
      </c>
      <c r="AY8175" t="s">
        <v>55</v>
      </c>
    </row>
    <row r="8176" spans="1:51" hidden="1">
      <c r="A8176">
        <v>104560</v>
      </c>
      <c r="B8176" t="s">
        <v>1338</v>
      </c>
      <c r="C8176" t="str">
        <f t="shared" si="664"/>
        <v>02504501210</v>
      </c>
      <c r="D8176" t="str">
        <f t="shared" si="664"/>
        <v>02504501210</v>
      </c>
      <c r="E8176" t="s">
        <v>52</v>
      </c>
      <c r="F8176">
        <v>2015</v>
      </c>
      <c r="G8176">
        <v>23</v>
      </c>
      <c r="H8176" s="1">
        <v>42063</v>
      </c>
      <c r="I8176" s="1">
        <v>42097</v>
      </c>
      <c r="J8176" s="1">
        <v>42097</v>
      </c>
      <c r="K8176" s="1">
        <v>42157</v>
      </c>
      <c r="N8176" s="5"/>
      <c r="O8176" s="2">
        <v>4450</v>
      </c>
      <c r="P8176">
        <v>31</v>
      </c>
      <c r="Q8176" s="2">
        <v>137950</v>
      </c>
      <c r="R8176">
        <v>0</v>
      </c>
      <c r="V8176">
        <v>0</v>
      </c>
      <c r="W8176">
        <v>0</v>
      </c>
      <c r="X8176">
        <v>0</v>
      </c>
      <c r="Y8176" s="2">
        <v>5429</v>
      </c>
      <c r="Z8176" s="2">
        <v>5429</v>
      </c>
      <c r="AA8176" s="2">
        <v>5429</v>
      </c>
      <c r="AB8176" s="1">
        <v>42382</v>
      </c>
      <c r="AC8176" t="s">
        <v>53</v>
      </c>
      <c r="AD8176" t="s">
        <v>53</v>
      </c>
      <c r="AK8176">
        <v>0</v>
      </c>
      <c r="AU8176" s="6">
        <v>42188</v>
      </c>
      <c r="AV8176" s="6">
        <v>42188</v>
      </c>
      <c r="AW8176" t="s">
        <v>54</v>
      </c>
      <c r="AX8176" t="str">
        <f t="shared" si="662"/>
        <v>FOR</v>
      </c>
      <c r="AY8176" t="s">
        <v>55</v>
      </c>
    </row>
    <row r="8177" spans="1:51" hidden="1">
      <c r="A8177">
        <v>104560</v>
      </c>
      <c r="B8177" t="s">
        <v>1338</v>
      </c>
      <c r="C8177" t="str">
        <f t="shared" si="664"/>
        <v>02504501210</v>
      </c>
      <c r="D8177" t="str">
        <f t="shared" si="664"/>
        <v>02504501210</v>
      </c>
      <c r="E8177" t="s">
        <v>52</v>
      </c>
      <c r="F8177">
        <v>2015</v>
      </c>
      <c r="G8177">
        <v>34</v>
      </c>
      <c r="H8177" s="1">
        <v>42093</v>
      </c>
      <c r="I8177" s="1">
        <v>42115</v>
      </c>
      <c r="J8177" s="1">
        <v>42115</v>
      </c>
      <c r="K8177" s="1">
        <v>42175</v>
      </c>
      <c r="N8177" s="5"/>
      <c r="O8177" s="2">
        <v>1580</v>
      </c>
      <c r="P8177">
        <v>13</v>
      </c>
      <c r="Q8177" s="2">
        <v>20540</v>
      </c>
      <c r="R8177">
        <v>0</v>
      </c>
      <c r="V8177">
        <v>0</v>
      </c>
      <c r="W8177">
        <v>0</v>
      </c>
      <c r="X8177">
        <v>0</v>
      </c>
      <c r="Y8177" s="2">
        <v>1927.6</v>
      </c>
      <c r="Z8177" s="2">
        <v>1927.6</v>
      </c>
      <c r="AA8177" s="2">
        <v>1927.6</v>
      </c>
      <c r="AB8177" s="1">
        <v>42382</v>
      </c>
      <c r="AC8177" t="s">
        <v>53</v>
      </c>
      <c r="AD8177" t="s">
        <v>53</v>
      </c>
      <c r="AK8177">
        <v>0</v>
      </c>
      <c r="AU8177" s="6">
        <v>42188</v>
      </c>
      <c r="AV8177" s="6">
        <v>42188</v>
      </c>
      <c r="AW8177" t="s">
        <v>54</v>
      </c>
      <c r="AX8177" t="str">
        <f t="shared" si="662"/>
        <v>FOR</v>
      </c>
      <c r="AY8177" t="s">
        <v>55</v>
      </c>
    </row>
    <row r="8178" spans="1:51" hidden="1">
      <c r="A8178">
        <v>104560</v>
      </c>
      <c r="B8178" t="s">
        <v>1338</v>
      </c>
      <c r="C8178" t="str">
        <f t="shared" si="664"/>
        <v>02504501210</v>
      </c>
      <c r="D8178" t="str">
        <f t="shared" si="664"/>
        <v>02504501210</v>
      </c>
      <c r="E8178" t="s">
        <v>52</v>
      </c>
      <c r="F8178">
        <v>2015</v>
      </c>
      <c r="G8178">
        <v>35</v>
      </c>
      <c r="H8178" s="1">
        <v>42093</v>
      </c>
      <c r="I8178" s="1">
        <v>42095</v>
      </c>
      <c r="J8178" s="1">
        <v>42095</v>
      </c>
      <c r="K8178" s="1">
        <v>42155</v>
      </c>
      <c r="N8178" s="5"/>
      <c r="O8178">
        <v>399</v>
      </c>
      <c r="P8178">
        <v>33</v>
      </c>
      <c r="Q8178" s="2">
        <v>13167</v>
      </c>
      <c r="R8178">
        <v>0</v>
      </c>
      <c r="V8178">
        <v>0</v>
      </c>
      <c r="W8178">
        <v>0</v>
      </c>
      <c r="X8178">
        <v>0</v>
      </c>
      <c r="Y8178">
        <v>486.78</v>
      </c>
      <c r="Z8178">
        <v>486.78</v>
      </c>
      <c r="AA8178">
        <v>486.78</v>
      </c>
      <c r="AB8178" s="1">
        <v>42382</v>
      </c>
      <c r="AC8178" t="s">
        <v>53</v>
      </c>
      <c r="AD8178" t="s">
        <v>53</v>
      </c>
      <c r="AK8178">
        <v>0</v>
      </c>
      <c r="AU8178" s="6">
        <v>42188</v>
      </c>
      <c r="AV8178" s="6">
        <v>42188</v>
      </c>
      <c r="AW8178" t="s">
        <v>54</v>
      </c>
      <c r="AX8178" t="str">
        <f t="shared" si="662"/>
        <v>FOR</v>
      </c>
      <c r="AY8178" t="s">
        <v>55</v>
      </c>
    </row>
    <row r="8179" spans="1:51" hidden="1">
      <c r="A8179">
        <v>104560</v>
      </c>
      <c r="B8179" t="s">
        <v>1338</v>
      </c>
      <c r="C8179" t="str">
        <f t="shared" si="664"/>
        <v>02504501210</v>
      </c>
      <c r="D8179" t="str">
        <f t="shared" si="664"/>
        <v>02504501210</v>
      </c>
      <c r="E8179" t="s">
        <v>52</v>
      </c>
      <c r="F8179">
        <v>2015</v>
      </c>
      <c r="G8179">
        <v>36</v>
      </c>
      <c r="H8179" s="1">
        <v>42093</v>
      </c>
      <c r="I8179" s="1">
        <v>42095</v>
      </c>
      <c r="J8179" s="1">
        <v>42095</v>
      </c>
      <c r="K8179" s="1">
        <v>42155</v>
      </c>
      <c r="N8179" s="5"/>
      <c r="O8179" s="2">
        <v>1250.04</v>
      </c>
      <c r="P8179">
        <v>33</v>
      </c>
      <c r="Q8179" s="2">
        <v>41251.32</v>
      </c>
      <c r="R8179">
        <v>0</v>
      </c>
      <c r="V8179">
        <v>0</v>
      </c>
      <c r="W8179">
        <v>0</v>
      </c>
      <c r="X8179">
        <v>0</v>
      </c>
      <c r="Y8179" s="2">
        <v>1525.05</v>
      </c>
      <c r="Z8179" s="2">
        <v>1525.05</v>
      </c>
      <c r="AA8179" s="2">
        <v>1525.05</v>
      </c>
      <c r="AB8179" s="1">
        <v>42382</v>
      </c>
      <c r="AC8179" t="s">
        <v>53</v>
      </c>
      <c r="AD8179" t="s">
        <v>53</v>
      </c>
      <c r="AK8179">
        <v>0</v>
      </c>
      <c r="AU8179" s="6">
        <v>42188</v>
      </c>
      <c r="AV8179" s="6">
        <v>42188</v>
      </c>
      <c r="AW8179" t="s">
        <v>54</v>
      </c>
      <c r="AX8179" t="str">
        <f t="shared" si="662"/>
        <v>FOR</v>
      </c>
      <c r="AY8179" t="s">
        <v>55</v>
      </c>
    </row>
    <row r="8180" spans="1:51" hidden="1">
      <c r="A8180">
        <v>104560</v>
      </c>
      <c r="B8180" t="s">
        <v>1338</v>
      </c>
      <c r="C8180" t="str">
        <f t="shared" si="664"/>
        <v>02504501210</v>
      </c>
      <c r="D8180" t="str">
        <f t="shared" si="664"/>
        <v>02504501210</v>
      </c>
      <c r="E8180" t="s">
        <v>52</v>
      </c>
      <c r="F8180">
        <v>2015</v>
      </c>
      <c r="G8180">
        <v>37</v>
      </c>
      <c r="H8180" s="1">
        <v>42093</v>
      </c>
      <c r="I8180" s="1">
        <v>42095</v>
      </c>
      <c r="J8180" s="1">
        <v>42095</v>
      </c>
      <c r="K8180" s="1">
        <v>42155</v>
      </c>
      <c r="N8180" s="5"/>
      <c r="O8180" s="2">
        <v>1466.66</v>
      </c>
      <c r="P8180">
        <v>33</v>
      </c>
      <c r="Q8180" s="2">
        <v>48399.78</v>
      </c>
      <c r="R8180">
        <v>0</v>
      </c>
      <c r="V8180">
        <v>0</v>
      </c>
      <c r="W8180">
        <v>0</v>
      </c>
      <c r="X8180">
        <v>0</v>
      </c>
      <c r="Y8180" s="2">
        <v>1789.33</v>
      </c>
      <c r="Z8180" s="2">
        <v>1789.33</v>
      </c>
      <c r="AA8180" s="2">
        <v>1789.33</v>
      </c>
      <c r="AB8180" s="1">
        <v>42382</v>
      </c>
      <c r="AC8180" t="s">
        <v>53</v>
      </c>
      <c r="AD8180" t="s">
        <v>53</v>
      </c>
      <c r="AK8180">
        <v>0</v>
      </c>
      <c r="AU8180" s="6">
        <v>42188</v>
      </c>
      <c r="AV8180" s="6">
        <v>42188</v>
      </c>
      <c r="AW8180" t="s">
        <v>54</v>
      </c>
      <c r="AX8180" t="str">
        <f t="shared" si="662"/>
        <v>FOR</v>
      </c>
      <c r="AY8180" t="s">
        <v>55</v>
      </c>
    </row>
    <row r="8181" spans="1:51" hidden="1">
      <c r="A8181">
        <v>104560</v>
      </c>
      <c r="B8181" t="s">
        <v>1338</v>
      </c>
      <c r="C8181" t="str">
        <f t="shared" ref="C8181:D8200" si="665">"02504501210"</f>
        <v>02504501210</v>
      </c>
      <c r="D8181" t="str">
        <f t="shared" si="665"/>
        <v>02504501210</v>
      </c>
      <c r="E8181" t="s">
        <v>52</v>
      </c>
      <c r="F8181">
        <v>2015</v>
      </c>
      <c r="G8181">
        <v>45</v>
      </c>
      <c r="H8181" s="1">
        <v>42121</v>
      </c>
      <c r="I8181" s="1">
        <v>42123</v>
      </c>
      <c r="J8181" s="1">
        <v>42123</v>
      </c>
      <c r="K8181" s="1">
        <v>42183</v>
      </c>
      <c r="N8181" s="5"/>
      <c r="O8181" s="2">
        <v>1125</v>
      </c>
      <c r="P8181">
        <v>29</v>
      </c>
      <c r="Q8181" s="2">
        <v>32625</v>
      </c>
      <c r="R8181">
        <v>0</v>
      </c>
      <c r="V8181">
        <v>0</v>
      </c>
      <c r="W8181">
        <v>0</v>
      </c>
      <c r="X8181">
        <v>0</v>
      </c>
      <c r="Y8181" s="2">
        <v>1372.5</v>
      </c>
      <c r="Z8181" s="2">
        <v>1372.5</v>
      </c>
      <c r="AA8181" s="2">
        <v>1372.5</v>
      </c>
      <c r="AB8181" s="1">
        <v>42382</v>
      </c>
      <c r="AC8181" t="s">
        <v>53</v>
      </c>
      <c r="AD8181" t="s">
        <v>53</v>
      </c>
      <c r="AK8181">
        <v>0</v>
      </c>
      <c r="AU8181" s="6">
        <v>42212</v>
      </c>
      <c r="AV8181" s="6">
        <v>42212</v>
      </c>
      <c r="AW8181" t="s">
        <v>54</v>
      </c>
      <c r="AX8181" t="str">
        <f t="shared" si="662"/>
        <v>FOR</v>
      </c>
      <c r="AY8181" t="s">
        <v>55</v>
      </c>
    </row>
    <row r="8182" spans="1:51" hidden="1">
      <c r="A8182">
        <v>104560</v>
      </c>
      <c r="B8182" t="s">
        <v>1338</v>
      </c>
      <c r="C8182" t="str">
        <f t="shared" si="665"/>
        <v>02504501210</v>
      </c>
      <c r="D8182" t="str">
        <f t="shared" si="665"/>
        <v>02504501210</v>
      </c>
      <c r="E8182" t="s">
        <v>52</v>
      </c>
      <c r="F8182">
        <v>2015</v>
      </c>
      <c r="G8182">
        <v>47</v>
      </c>
      <c r="H8182" s="1">
        <v>42124</v>
      </c>
      <c r="I8182" s="1">
        <v>42124</v>
      </c>
      <c r="J8182" s="1">
        <v>42124</v>
      </c>
      <c r="K8182" s="1">
        <v>42184</v>
      </c>
      <c r="N8182" s="5"/>
      <c r="O8182" s="2">
        <v>1580</v>
      </c>
      <c r="P8182">
        <v>28</v>
      </c>
      <c r="Q8182" s="2">
        <v>44240</v>
      </c>
      <c r="R8182">
        <v>0</v>
      </c>
      <c r="V8182">
        <v>0</v>
      </c>
      <c r="W8182">
        <v>0</v>
      </c>
      <c r="X8182">
        <v>0</v>
      </c>
      <c r="Y8182" s="2">
        <v>1927.6</v>
      </c>
      <c r="Z8182" s="2">
        <v>1927.6</v>
      </c>
      <c r="AA8182" s="2">
        <v>1927.6</v>
      </c>
      <c r="AB8182" s="1">
        <v>42382</v>
      </c>
      <c r="AC8182" t="s">
        <v>53</v>
      </c>
      <c r="AD8182" t="s">
        <v>53</v>
      </c>
      <c r="AK8182">
        <v>0</v>
      </c>
      <c r="AU8182" s="6">
        <v>42212</v>
      </c>
      <c r="AV8182" s="6">
        <v>42212</v>
      </c>
      <c r="AW8182" t="s">
        <v>54</v>
      </c>
      <c r="AX8182" t="str">
        <f t="shared" si="662"/>
        <v>FOR</v>
      </c>
      <c r="AY8182" t="s">
        <v>55</v>
      </c>
    </row>
    <row r="8183" spans="1:51" hidden="1">
      <c r="A8183">
        <v>104560</v>
      </c>
      <c r="B8183" t="s">
        <v>1338</v>
      </c>
      <c r="C8183" t="str">
        <f t="shared" si="665"/>
        <v>02504501210</v>
      </c>
      <c r="D8183" t="str">
        <f t="shared" si="665"/>
        <v>02504501210</v>
      </c>
      <c r="E8183" t="s">
        <v>52</v>
      </c>
      <c r="F8183">
        <v>2015</v>
      </c>
      <c r="G8183">
        <v>48</v>
      </c>
      <c r="H8183" s="1">
        <v>42124</v>
      </c>
      <c r="I8183" s="1">
        <v>42124</v>
      </c>
      <c r="J8183" s="1">
        <v>42124</v>
      </c>
      <c r="K8183" s="1">
        <v>42184</v>
      </c>
      <c r="N8183" s="5"/>
      <c r="O8183">
        <v>399</v>
      </c>
      <c r="P8183">
        <v>28</v>
      </c>
      <c r="Q8183" s="2">
        <v>11172</v>
      </c>
      <c r="R8183">
        <v>0</v>
      </c>
      <c r="V8183">
        <v>0</v>
      </c>
      <c r="W8183">
        <v>0</v>
      </c>
      <c r="X8183">
        <v>0</v>
      </c>
      <c r="Y8183">
        <v>486.78</v>
      </c>
      <c r="Z8183">
        <v>486.78</v>
      </c>
      <c r="AA8183">
        <v>486.78</v>
      </c>
      <c r="AB8183" s="1">
        <v>42382</v>
      </c>
      <c r="AC8183" t="s">
        <v>53</v>
      </c>
      <c r="AD8183" t="s">
        <v>53</v>
      </c>
      <c r="AK8183">
        <v>0</v>
      </c>
      <c r="AU8183" s="6">
        <v>42212</v>
      </c>
      <c r="AV8183" s="6">
        <v>42212</v>
      </c>
      <c r="AW8183" t="s">
        <v>54</v>
      </c>
      <c r="AX8183" t="str">
        <f t="shared" si="662"/>
        <v>FOR</v>
      </c>
      <c r="AY8183" t="s">
        <v>55</v>
      </c>
    </row>
    <row r="8184" spans="1:51" hidden="1">
      <c r="A8184">
        <v>104560</v>
      </c>
      <c r="B8184" t="s">
        <v>1338</v>
      </c>
      <c r="C8184" t="str">
        <f t="shared" si="665"/>
        <v>02504501210</v>
      </c>
      <c r="D8184" t="str">
        <f t="shared" si="665"/>
        <v>02504501210</v>
      </c>
      <c r="E8184" t="s">
        <v>52</v>
      </c>
      <c r="F8184">
        <v>2015</v>
      </c>
      <c r="G8184">
        <v>49</v>
      </c>
      <c r="H8184" s="1">
        <v>42124</v>
      </c>
      <c r="I8184" s="1">
        <v>42124</v>
      </c>
      <c r="J8184" s="1">
        <v>42124</v>
      </c>
      <c r="K8184" s="1">
        <v>42184</v>
      </c>
      <c r="N8184" s="5"/>
      <c r="O8184" s="2">
        <v>1250.04</v>
      </c>
      <c r="P8184">
        <v>28</v>
      </c>
      <c r="Q8184" s="2">
        <v>35001.120000000003</v>
      </c>
      <c r="R8184">
        <v>0</v>
      </c>
      <c r="V8184">
        <v>0</v>
      </c>
      <c r="W8184">
        <v>0</v>
      </c>
      <c r="X8184">
        <v>0</v>
      </c>
      <c r="Y8184" s="2">
        <v>1525.05</v>
      </c>
      <c r="Z8184" s="2">
        <v>1525.05</v>
      </c>
      <c r="AA8184" s="2">
        <v>1525.05</v>
      </c>
      <c r="AB8184" s="1">
        <v>42382</v>
      </c>
      <c r="AC8184" t="s">
        <v>53</v>
      </c>
      <c r="AD8184" t="s">
        <v>53</v>
      </c>
      <c r="AK8184">
        <v>0</v>
      </c>
      <c r="AU8184" s="6">
        <v>42212</v>
      </c>
      <c r="AV8184" s="6">
        <v>42212</v>
      </c>
      <c r="AW8184" t="s">
        <v>54</v>
      </c>
      <c r="AX8184" t="str">
        <f t="shared" si="662"/>
        <v>FOR</v>
      </c>
      <c r="AY8184" t="s">
        <v>55</v>
      </c>
    </row>
    <row r="8185" spans="1:51" hidden="1">
      <c r="A8185">
        <v>104560</v>
      </c>
      <c r="B8185" t="s">
        <v>1338</v>
      </c>
      <c r="C8185" t="str">
        <f t="shared" si="665"/>
        <v>02504501210</v>
      </c>
      <c r="D8185" t="str">
        <f t="shared" si="665"/>
        <v>02504501210</v>
      </c>
      <c r="E8185" t="s">
        <v>52</v>
      </c>
      <c r="F8185">
        <v>2015</v>
      </c>
      <c r="G8185">
        <v>59</v>
      </c>
      <c r="H8185" s="1">
        <v>42154</v>
      </c>
      <c r="I8185" s="1">
        <v>42164</v>
      </c>
      <c r="J8185" s="1">
        <v>42158</v>
      </c>
      <c r="K8185" s="1">
        <v>42218</v>
      </c>
      <c r="N8185" s="5"/>
      <c r="O8185" s="2">
        <v>1580</v>
      </c>
      <c r="P8185">
        <v>33</v>
      </c>
      <c r="Q8185" s="2">
        <v>52140</v>
      </c>
      <c r="R8185">
        <v>0</v>
      </c>
      <c r="V8185">
        <v>0</v>
      </c>
      <c r="W8185">
        <v>0</v>
      </c>
      <c r="X8185">
        <v>0</v>
      </c>
      <c r="Y8185" s="2">
        <v>1927.6</v>
      </c>
      <c r="Z8185" s="2">
        <v>1927.6</v>
      </c>
      <c r="AA8185" s="2">
        <v>1927.6</v>
      </c>
      <c r="AB8185" s="1">
        <v>42382</v>
      </c>
      <c r="AC8185" t="s">
        <v>53</v>
      </c>
      <c r="AD8185" t="s">
        <v>53</v>
      </c>
      <c r="AK8185">
        <v>0</v>
      </c>
      <c r="AU8185" s="6">
        <v>42251</v>
      </c>
      <c r="AV8185" s="6">
        <v>42251</v>
      </c>
      <c r="AW8185" t="s">
        <v>54</v>
      </c>
      <c r="AX8185" t="str">
        <f t="shared" si="662"/>
        <v>FOR</v>
      </c>
      <c r="AY8185" t="s">
        <v>55</v>
      </c>
    </row>
    <row r="8186" spans="1:51" hidden="1">
      <c r="A8186">
        <v>104560</v>
      </c>
      <c r="B8186" t="s">
        <v>1338</v>
      </c>
      <c r="C8186" t="str">
        <f t="shared" si="665"/>
        <v>02504501210</v>
      </c>
      <c r="D8186" t="str">
        <f t="shared" si="665"/>
        <v>02504501210</v>
      </c>
      <c r="E8186" t="s">
        <v>52</v>
      </c>
      <c r="F8186">
        <v>2015</v>
      </c>
      <c r="G8186">
        <v>60</v>
      </c>
      <c r="H8186" s="1">
        <v>42154</v>
      </c>
      <c r="I8186" s="1">
        <v>42164</v>
      </c>
      <c r="J8186" s="1">
        <v>42158</v>
      </c>
      <c r="K8186" s="1">
        <v>42218</v>
      </c>
      <c r="N8186" s="5"/>
      <c r="O8186">
        <v>399</v>
      </c>
      <c r="P8186">
        <v>33</v>
      </c>
      <c r="Q8186" s="2">
        <v>13167</v>
      </c>
      <c r="R8186">
        <v>0</v>
      </c>
      <c r="V8186">
        <v>0</v>
      </c>
      <c r="W8186">
        <v>0</v>
      </c>
      <c r="X8186">
        <v>0</v>
      </c>
      <c r="Y8186">
        <v>486.78</v>
      </c>
      <c r="Z8186">
        <v>486.78</v>
      </c>
      <c r="AA8186">
        <v>486.78</v>
      </c>
      <c r="AB8186" s="1">
        <v>42382</v>
      </c>
      <c r="AC8186" t="s">
        <v>53</v>
      </c>
      <c r="AD8186" t="s">
        <v>53</v>
      </c>
      <c r="AK8186">
        <v>0</v>
      </c>
      <c r="AU8186" s="6">
        <v>42251</v>
      </c>
      <c r="AV8186" s="6">
        <v>42251</v>
      </c>
      <c r="AW8186" t="s">
        <v>54</v>
      </c>
      <c r="AX8186" t="str">
        <f t="shared" si="662"/>
        <v>FOR</v>
      </c>
      <c r="AY8186" t="s">
        <v>55</v>
      </c>
    </row>
    <row r="8187" spans="1:51" hidden="1">
      <c r="A8187">
        <v>104560</v>
      </c>
      <c r="B8187" t="s">
        <v>1338</v>
      </c>
      <c r="C8187" t="str">
        <f t="shared" si="665"/>
        <v>02504501210</v>
      </c>
      <c r="D8187" t="str">
        <f t="shared" si="665"/>
        <v>02504501210</v>
      </c>
      <c r="E8187" t="s">
        <v>52</v>
      </c>
      <c r="F8187">
        <v>2015</v>
      </c>
      <c r="G8187">
        <v>61</v>
      </c>
      <c r="H8187" s="1">
        <v>42154</v>
      </c>
      <c r="I8187" s="1">
        <v>42165</v>
      </c>
      <c r="J8187" s="1">
        <v>42158</v>
      </c>
      <c r="K8187" s="1">
        <v>42218</v>
      </c>
      <c r="N8187" s="5"/>
      <c r="O8187" s="2">
        <v>1250</v>
      </c>
      <c r="P8187">
        <v>33</v>
      </c>
      <c r="Q8187" s="2">
        <v>41250</v>
      </c>
      <c r="R8187">
        <v>0</v>
      </c>
      <c r="V8187">
        <v>0</v>
      </c>
      <c r="W8187">
        <v>0</v>
      </c>
      <c r="X8187">
        <v>0</v>
      </c>
      <c r="Y8187" s="2">
        <v>1525</v>
      </c>
      <c r="Z8187" s="2">
        <v>1525</v>
      </c>
      <c r="AA8187" s="2">
        <v>1525</v>
      </c>
      <c r="AB8187" s="1">
        <v>42382</v>
      </c>
      <c r="AC8187" t="s">
        <v>53</v>
      </c>
      <c r="AD8187" t="s">
        <v>53</v>
      </c>
      <c r="AK8187">
        <v>0</v>
      </c>
      <c r="AU8187" s="6">
        <v>42251</v>
      </c>
      <c r="AV8187" s="6">
        <v>42251</v>
      </c>
      <c r="AW8187" t="s">
        <v>54</v>
      </c>
      <c r="AX8187" t="str">
        <f t="shared" si="662"/>
        <v>FOR</v>
      </c>
      <c r="AY8187" t="s">
        <v>55</v>
      </c>
    </row>
    <row r="8188" spans="1:51" hidden="1">
      <c r="A8188">
        <v>104560</v>
      </c>
      <c r="B8188" t="s">
        <v>1338</v>
      </c>
      <c r="C8188" t="str">
        <f t="shared" si="665"/>
        <v>02504501210</v>
      </c>
      <c r="D8188" t="str">
        <f t="shared" si="665"/>
        <v>02504501210</v>
      </c>
      <c r="E8188" t="s">
        <v>52</v>
      </c>
      <c r="F8188">
        <v>2015</v>
      </c>
      <c r="G8188">
        <v>62</v>
      </c>
      <c r="H8188" s="1">
        <v>42154</v>
      </c>
      <c r="I8188" s="1">
        <v>42164</v>
      </c>
      <c r="J8188" s="1">
        <v>42158</v>
      </c>
      <c r="K8188" s="1">
        <v>42218</v>
      </c>
      <c r="N8188" s="5"/>
      <c r="O8188">
        <v>725</v>
      </c>
      <c r="P8188">
        <v>33</v>
      </c>
      <c r="Q8188" s="2">
        <v>23925</v>
      </c>
      <c r="R8188">
        <v>0</v>
      </c>
      <c r="V8188">
        <v>0</v>
      </c>
      <c r="W8188">
        <v>0</v>
      </c>
      <c r="X8188">
        <v>0</v>
      </c>
      <c r="Y8188">
        <v>884.5</v>
      </c>
      <c r="Z8188">
        <v>884.5</v>
      </c>
      <c r="AA8188">
        <v>884.5</v>
      </c>
      <c r="AB8188" s="1">
        <v>42382</v>
      </c>
      <c r="AC8188" t="s">
        <v>53</v>
      </c>
      <c r="AD8188" t="s">
        <v>53</v>
      </c>
      <c r="AK8188">
        <v>0</v>
      </c>
      <c r="AU8188" s="6">
        <v>42251</v>
      </c>
      <c r="AV8188" s="6">
        <v>42251</v>
      </c>
      <c r="AW8188" t="s">
        <v>54</v>
      </c>
      <c r="AX8188" t="str">
        <f t="shared" si="662"/>
        <v>FOR</v>
      </c>
      <c r="AY8188" t="s">
        <v>55</v>
      </c>
    </row>
    <row r="8189" spans="1:51" hidden="1">
      <c r="A8189">
        <v>104560</v>
      </c>
      <c r="B8189" t="s">
        <v>1338</v>
      </c>
      <c r="C8189" t="str">
        <f t="shared" si="665"/>
        <v>02504501210</v>
      </c>
      <c r="D8189" t="str">
        <f t="shared" si="665"/>
        <v>02504501210</v>
      </c>
      <c r="E8189" t="s">
        <v>52</v>
      </c>
      <c r="F8189">
        <v>2015</v>
      </c>
      <c r="G8189">
        <v>63</v>
      </c>
      <c r="H8189" s="1">
        <v>42154</v>
      </c>
      <c r="I8189" s="1">
        <v>42164</v>
      </c>
      <c r="J8189" s="1">
        <v>42158</v>
      </c>
      <c r="K8189" s="1">
        <v>42218</v>
      </c>
      <c r="N8189" s="5"/>
      <c r="O8189">
        <v>100</v>
      </c>
      <c r="P8189">
        <v>-34</v>
      </c>
      <c r="Q8189" s="2">
        <v>-3400</v>
      </c>
      <c r="R8189">
        <v>22</v>
      </c>
      <c r="V8189">
        <v>0</v>
      </c>
      <c r="W8189">
        <v>0</v>
      </c>
      <c r="X8189">
        <v>0</v>
      </c>
      <c r="Y8189">
        <v>122</v>
      </c>
      <c r="Z8189">
        <v>122</v>
      </c>
      <c r="AA8189">
        <v>122</v>
      </c>
      <c r="AB8189" s="1">
        <v>42382</v>
      </c>
      <c r="AC8189" t="s">
        <v>53</v>
      </c>
      <c r="AD8189" t="s">
        <v>53</v>
      </c>
      <c r="AI8189">
        <v>22</v>
      </c>
      <c r="AK8189">
        <v>0</v>
      </c>
      <c r="AU8189" s="6">
        <v>42184</v>
      </c>
      <c r="AV8189" s="6">
        <v>42184</v>
      </c>
      <c r="AW8189" t="s">
        <v>54</v>
      </c>
      <c r="AX8189" t="str">
        <f t="shared" si="662"/>
        <v>FOR</v>
      </c>
      <c r="AY8189" t="s">
        <v>55</v>
      </c>
    </row>
    <row r="8190" spans="1:51" hidden="1">
      <c r="A8190">
        <v>104560</v>
      </c>
      <c r="B8190" t="s">
        <v>1338</v>
      </c>
      <c r="C8190" t="str">
        <f t="shared" si="665"/>
        <v>02504501210</v>
      </c>
      <c r="D8190" t="str">
        <f t="shared" si="665"/>
        <v>02504501210</v>
      </c>
      <c r="E8190" t="s">
        <v>52</v>
      </c>
      <c r="F8190">
        <v>2015</v>
      </c>
      <c r="G8190">
        <v>73</v>
      </c>
      <c r="H8190" s="1">
        <v>42185</v>
      </c>
      <c r="I8190" s="1">
        <v>42188</v>
      </c>
      <c r="J8190" s="1">
        <v>42187</v>
      </c>
      <c r="K8190" s="1">
        <v>42247</v>
      </c>
      <c r="N8190" s="5"/>
      <c r="O8190" s="2">
        <v>1580</v>
      </c>
      <c r="P8190">
        <v>4</v>
      </c>
      <c r="Q8190" s="2">
        <v>6320</v>
      </c>
      <c r="R8190">
        <v>0</v>
      </c>
      <c r="V8190">
        <v>0</v>
      </c>
      <c r="W8190">
        <v>0</v>
      </c>
      <c r="X8190">
        <v>0</v>
      </c>
      <c r="Y8190" s="2">
        <v>1927.6</v>
      </c>
      <c r="Z8190" s="2">
        <v>1927.6</v>
      </c>
      <c r="AA8190" s="2">
        <v>1927.6</v>
      </c>
      <c r="AB8190" s="1">
        <v>42382</v>
      </c>
      <c r="AC8190" t="s">
        <v>53</v>
      </c>
      <c r="AD8190" t="s">
        <v>53</v>
      </c>
      <c r="AK8190">
        <v>0</v>
      </c>
      <c r="AU8190" s="6">
        <v>42251</v>
      </c>
      <c r="AV8190" s="6">
        <v>42251</v>
      </c>
      <c r="AW8190" t="s">
        <v>54</v>
      </c>
      <c r="AX8190" t="str">
        <f t="shared" si="662"/>
        <v>FOR</v>
      </c>
      <c r="AY8190" t="s">
        <v>55</v>
      </c>
    </row>
    <row r="8191" spans="1:51" hidden="1">
      <c r="A8191">
        <v>104560</v>
      </c>
      <c r="B8191" t="s">
        <v>1338</v>
      </c>
      <c r="C8191" t="str">
        <f t="shared" si="665"/>
        <v>02504501210</v>
      </c>
      <c r="D8191" t="str">
        <f t="shared" si="665"/>
        <v>02504501210</v>
      </c>
      <c r="E8191" t="s">
        <v>52</v>
      </c>
      <c r="F8191">
        <v>2015</v>
      </c>
      <c r="G8191">
        <v>74</v>
      </c>
      <c r="H8191" s="1">
        <v>42185</v>
      </c>
      <c r="I8191" s="1">
        <v>42188</v>
      </c>
      <c r="J8191" s="1">
        <v>42187</v>
      </c>
      <c r="K8191" s="1">
        <v>42247</v>
      </c>
      <c r="N8191" s="5"/>
      <c r="O8191">
        <v>399</v>
      </c>
      <c r="P8191">
        <v>4</v>
      </c>
      <c r="Q8191" s="2">
        <v>1596</v>
      </c>
      <c r="R8191">
        <v>0</v>
      </c>
      <c r="V8191">
        <v>0</v>
      </c>
      <c r="W8191">
        <v>0</v>
      </c>
      <c r="X8191">
        <v>0</v>
      </c>
      <c r="Y8191">
        <v>486.78</v>
      </c>
      <c r="Z8191">
        <v>486.78</v>
      </c>
      <c r="AA8191">
        <v>486.78</v>
      </c>
      <c r="AB8191" s="1">
        <v>42382</v>
      </c>
      <c r="AC8191" t="s">
        <v>53</v>
      </c>
      <c r="AD8191" t="s">
        <v>53</v>
      </c>
      <c r="AK8191">
        <v>0</v>
      </c>
      <c r="AU8191" s="6">
        <v>42251</v>
      </c>
      <c r="AV8191" s="6">
        <v>42251</v>
      </c>
      <c r="AW8191" t="s">
        <v>54</v>
      </c>
      <c r="AX8191" t="str">
        <f t="shared" si="662"/>
        <v>FOR</v>
      </c>
      <c r="AY8191" t="s">
        <v>55</v>
      </c>
    </row>
    <row r="8192" spans="1:51" hidden="1">
      <c r="A8192">
        <v>104560</v>
      </c>
      <c r="B8192" t="s">
        <v>1338</v>
      </c>
      <c r="C8192" t="str">
        <f t="shared" si="665"/>
        <v>02504501210</v>
      </c>
      <c r="D8192" t="str">
        <f t="shared" si="665"/>
        <v>02504501210</v>
      </c>
      <c r="E8192" t="s">
        <v>52</v>
      </c>
      <c r="F8192">
        <v>2015</v>
      </c>
      <c r="G8192">
        <v>75</v>
      </c>
      <c r="H8192" s="1">
        <v>42185</v>
      </c>
      <c r="I8192" s="1">
        <v>42188</v>
      </c>
      <c r="J8192" s="1">
        <v>42187</v>
      </c>
      <c r="K8192" s="1">
        <v>42247</v>
      </c>
      <c r="N8192" s="5"/>
      <c r="O8192" s="2">
        <v>1250</v>
      </c>
      <c r="P8192">
        <v>4</v>
      </c>
      <c r="Q8192" s="2">
        <v>5000</v>
      </c>
      <c r="R8192">
        <v>0</v>
      </c>
      <c r="V8192">
        <v>0</v>
      </c>
      <c r="W8192">
        <v>0</v>
      </c>
      <c r="X8192">
        <v>0</v>
      </c>
      <c r="Y8192" s="2">
        <v>1525</v>
      </c>
      <c r="Z8192" s="2">
        <v>1525</v>
      </c>
      <c r="AA8192" s="2">
        <v>1525</v>
      </c>
      <c r="AB8192" s="1">
        <v>42382</v>
      </c>
      <c r="AC8192" t="s">
        <v>53</v>
      </c>
      <c r="AD8192" t="s">
        <v>53</v>
      </c>
      <c r="AK8192">
        <v>0</v>
      </c>
      <c r="AU8192" s="6">
        <v>42251</v>
      </c>
      <c r="AV8192" s="6">
        <v>42251</v>
      </c>
      <c r="AW8192" t="s">
        <v>54</v>
      </c>
      <c r="AX8192" t="str">
        <f t="shared" si="662"/>
        <v>FOR</v>
      </c>
      <c r="AY8192" t="s">
        <v>55</v>
      </c>
    </row>
    <row r="8193" spans="1:51" hidden="1">
      <c r="A8193">
        <v>104560</v>
      </c>
      <c r="B8193" t="s">
        <v>1338</v>
      </c>
      <c r="C8193" t="str">
        <f t="shared" si="665"/>
        <v>02504501210</v>
      </c>
      <c r="D8193" t="str">
        <f t="shared" si="665"/>
        <v>02504501210</v>
      </c>
      <c r="E8193" t="s">
        <v>52</v>
      </c>
      <c r="F8193">
        <v>2015</v>
      </c>
      <c r="G8193">
        <v>76</v>
      </c>
      <c r="H8193" s="1">
        <v>42185</v>
      </c>
      <c r="I8193" s="1">
        <v>42188</v>
      </c>
      <c r="J8193" s="1">
        <v>42187</v>
      </c>
      <c r="K8193" s="1">
        <v>42247</v>
      </c>
      <c r="N8193" s="5"/>
      <c r="O8193">
        <v>580</v>
      </c>
      <c r="P8193">
        <v>4</v>
      </c>
      <c r="Q8193" s="2">
        <v>2320</v>
      </c>
      <c r="R8193">
        <v>0</v>
      </c>
      <c r="V8193">
        <v>0</v>
      </c>
      <c r="W8193">
        <v>0</v>
      </c>
      <c r="X8193">
        <v>0</v>
      </c>
      <c r="Y8193">
        <v>707.6</v>
      </c>
      <c r="Z8193">
        <v>707.6</v>
      </c>
      <c r="AA8193">
        <v>707.6</v>
      </c>
      <c r="AB8193" s="1">
        <v>42382</v>
      </c>
      <c r="AC8193" t="s">
        <v>53</v>
      </c>
      <c r="AD8193" t="s">
        <v>53</v>
      </c>
      <c r="AK8193">
        <v>0</v>
      </c>
      <c r="AU8193" s="6">
        <v>42251</v>
      </c>
      <c r="AV8193" s="6">
        <v>42251</v>
      </c>
      <c r="AW8193" t="s">
        <v>54</v>
      </c>
      <c r="AX8193" t="str">
        <f t="shared" si="662"/>
        <v>FOR</v>
      </c>
      <c r="AY8193" t="s">
        <v>55</v>
      </c>
    </row>
    <row r="8194" spans="1:51" hidden="1">
      <c r="A8194">
        <v>104560</v>
      </c>
      <c r="B8194" t="s">
        <v>1338</v>
      </c>
      <c r="C8194" t="str">
        <f t="shared" si="665"/>
        <v>02504501210</v>
      </c>
      <c r="D8194" t="str">
        <f t="shared" si="665"/>
        <v>02504501210</v>
      </c>
      <c r="E8194" t="s">
        <v>52</v>
      </c>
      <c r="F8194">
        <v>2015</v>
      </c>
      <c r="G8194">
        <v>77</v>
      </c>
      <c r="H8194" s="1">
        <v>42185</v>
      </c>
      <c r="I8194" s="1">
        <v>42188</v>
      </c>
      <c r="J8194" s="1">
        <v>42187</v>
      </c>
      <c r="K8194" s="1">
        <v>42247</v>
      </c>
      <c r="N8194" s="5"/>
      <c r="O8194" s="2">
        <v>1466.66</v>
      </c>
      <c r="P8194">
        <v>4</v>
      </c>
      <c r="Q8194" s="2">
        <v>5866.64</v>
      </c>
      <c r="R8194">
        <v>0</v>
      </c>
      <c r="V8194">
        <v>0</v>
      </c>
      <c r="W8194">
        <v>0</v>
      </c>
      <c r="X8194">
        <v>0</v>
      </c>
      <c r="Y8194" s="2">
        <v>1789.33</v>
      </c>
      <c r="Z8194" s="2">
        <v>1789.33</v>
      </c>
      <c r="AA8194" s="2">
        <v>1789.33</v>
      </c>
      <c r="AB8194" s="1">
        <v>42382</v>
      </c>
      <c r="AC8194" t="s">
        <v>53</v>
      </c>
      <c r="AD8194" t="s">
        <v>53</v>
      </c>
      <c r="AK8194">
        <v>0</v>
      </c>
      <c r="AU8194" s="6">
        <v>42251</v>
      </c>
      <c r="AV8194" s="6">
        <v>42251</v>
      </c>
      <c r="AW8194" t="s">
        <v>54</v>
      </c>
      <c r="AX8194" t="str">
        <f t="shared" si="662"/>
        <v>FOR</v>
      </c>
      <c r="AY8194" t="s">
        <v>55</v>
      </c>
    </row>
    <row r="8195" spans="1:51" hidden="1">
      <c r="A8195">
        <v>104560</v>
      </c>
      <c r="B8195" t="s">
        <v>1338</v>
      </c>
      <c r="C8195" t="str">
        <f t="shared" si="665"/>
        <v>02504501210</v>
      </c>
      <c r="D8195" t="str">
        <f t="shared" si="665"/>
        <v>02504501210</v>
      </c>
      <c r="E8195" t="s">
        <v>52</v>
      </c>
      <c r="F8195">
        <v>2015</v>
      </c>
      <c r="G8195">
        <v>78</v>
      </c>
      <c r="H8195" s="1">
        <v>42185</v>
      </c>
      <c r="I8195" s="1">
        <v>42191</v>
      </c>
      <c r="J8195" s="1">
        <v>42187</v>
      </c>
      <c r="K8195" s="1">
        <v>42247</v>
      </c>
      <c r="N8195" s="5"/>
      <c r="O8195">
        <v>280</v>
      </c>
      <c r="P8195">
        <v>4</v>
      </c>
      <c r="Q8195" s="2">
        <v>1120</v>
      </c>
      <c r="R8195">
        <v>0</v>
      </c>
      <c r="V8195">
        <v>0</v>
      </c>
      <c r="W8195">
        <v>0</v>
      </c>
      <c r="X8195">
        <v>0</v>
      </c>
      <c r="Y8195">
        <v>341.6</v>
      </c>
      <c r="Z8195">
        <v>341.6</v>
      </c>
      <c r="AA8195">
        <v>341.6</v>
      </c>
      <c r="AB8195" s="1">
        <v>42382</v>
      </c>
      <c r="AC8195" t="s">
        <v>53</v>
      </c>
      <c r="AD8195" t="s">
        <v>53</v>
      </c>
      <c r="AK8195">
        <v>0</v>
      </c>
      <c r="AU8195" s="6">
        <v>42251</v>
      </c>
      <c r="AV8195" s="6">
        <v>42251</v>
      </c>
      <c r="AW8195" t="s">
        <v>54</v>
      </c>
      <c r="AX8195" t="str">
        <f t="shared" ref="AX8195:AX8258" si="666">"FOR"</f>
        <v>FOR</v>
      </c>
      <c r="AY8195" t="s">
        <v>55</v>
      </c>
    </row>
    <row r="8196" spans="1:51" hidden="1">
      <c r="A8196">
        <v>104560</v>
      </c>
      <c r="B8196" t="s">
        <v>1338</v>
      </c>
      <c r="C8196" t="str">
        <f t="shared" si="665"/>
        <v>02504501210</v>
      </c>
      <c r="D8196" t="str">
        <f t="shared" si="665"/>
        <v>02504501210</v>
      </c>
      <c r="E8196" t="s">
        <v>52</v>
      </c>
      <c r="F8196">
        <v>2015</v>
      </c>
      <c r="G8196">
        <v>86</v>
      </c>
      <c r="H8196" s="1">
        <v>42216</v>
      </c>
      <c r="I8196" s="1">
        <v>42227</v>
      </c>
      <c r="J8196" s="1">
        <v>42216</v>
      </c>
      <c r="K8196" s="1">
        <v>42276</v>
      </c>
      <c r="N8196" s="5"/>
      <c r="O8196" s="2">
        <v>1580</v>
      </c>
      <c r="P8196">
        <v>1</v>
      </c>
      <c r="Q8196" s="2">
        <v>1580</v>
      </c>
      <c r="R8196">
        <v>0</v>
      </c>
      <c r="V8196">
        <v>0</v>
      </c>
      <c r="W8196">
        <v>0</v>
      </c>
      <c r="X8196">
        <v>0</v>
      </c>
      <c r="Y8196" s="2">
        <v>1927.6</v>
      </c>
      <c r="Z8196" s="2">
        <v>1927.6</v>
      </c>
      <c r="AA8196" s="2">
        <v>1927.6</v>
      </c>
      <c r="AB8196" s="1">
        <v>42382</v>
      </c>
      <c r="AC8196" t="s">
        <v>53</v>
      </c>
      <c r="AD8196" t="s">
        <v>53</v>
      </c>
      <c r="AK8196">
        <v>0</v>
      </c>
      <c r="AU8196" s="6">
        <v>42277</v>
      </c>
      <c r="AV8196" s="6">
        <v>42277</v>
      </c>
      <c r="AW8196" t="s">
        <v>54</v>
      </c>
      <c r="AX8196" t="str">
        <f t="shared" si="666"/>
        <v>FOR</v>
      </c>
      <c r="AY8196" t="s">
        <v>55</v>
      </c>
    </row>
    <row r="8197" spans="1:51" hidden="1">
      <c r="A8197">
        <v>104560</v>
      </c>
      <c r="B8197" t="s">
        <v>1338</v>
      </c>
      <c r="C8197" t="str">
        <f t="shared" si="665"/>
        <v>02504501210</v>
      </c>
      <c r="D8197" t="str">
        <f t="shared" si="665"/>
        <v>02504501210</v>
      </c>
      <c r="E8197" t="s">
        <v>52</v>
      </c>
      <c r="F8197">
        <v>2015</v>
      </c>
      <c r="G8197">
        <v>87</v>
      </c>
      <c r="H8197" s="1">
        <v>42216</v>
      </c>
      <c r="I8197" s="1">
        <v>42227</v>
      </c>
      <c r="J8197" s="1">
        <v>42216</v>
      </c>
      <c r="K8197" s="1">
        <v>42276</v>
      </c>
      <c r="N8197" s="5"/>
      <c r="O8197">
        <v>399</v>
      </c>
      <c r="P8197">
        <v>1</v>
      </c>
      <c r="Q8197">
        <v>399</v>
      </c>
      <c r="R8197">
        <v>0</v>
      </c>
      <c r="V8197">
        <v>0</v>
      </c>
      <c r="W8197">
        <v>0</v>
      </c>
      <c r="X8197">
        <v>0</v>
      </c>
      <c r="Y8197">
        <v>486.78</v>
      </c>
      <c r="Z8197">
        <v>486.78</v>
      </c>
      <c r="AA8197">
        <v>486.78</v>
      </c>
      <c r="AB8197" s="1">
        <v>42382</v>
      </c>
      <c r="AC8197" t="s">
        <v>53</v>
      </c>
      <c r="AD8197" t="s">
        <v>53</v>
      </c>
      <c r="AK8197">
        <v>0</v>
      </c>
      <c r="AU8197" s="6">
        <v>42277</v>
      </c>
      <c r="AV8197" s="6">
        <v>42277</v>
      </c>
      <c r="AW8197" t="s">
        <v>54</v>
      </c>
      <c r="AX8197" t="str">
        <f t="shared" si="666"/>
        <v>FOR</v>
      </c>
      <c r="AY8197" t="s">
        <v>55</v>
      </c>
    </row>
    <row r="8198" spans="1:51" hidden="1">
      <c r="A8198">
        <v>104560</v>
      </c>
      <c r="B8198" t="s">
        <v>1338</v>
      </c>
      <c r="C8198" t="str">
        <f t="shared" si="665"/>
        <v>02504501210</v>
      </c>
      <c r="D8198" t="str">
        <f t="shared" si="665"/>
        <v>02504501210</v>
      </c>
      <c r="E8198" t="s">
        <v>52</v>
      </c>
      <c r="F8198">
        <v>2015</v>
      </c>
      <c r="G8198">
        <v>88</v>
      </c>
      <c r="H8198" s="1">
        <v>42216</v>
      </c>
      <c r="I8198" s="1">
        <v>42227</v>
      </c>
      <c r="J8198" s="1">
        <v>42216</v>
      </c>
      <c r="K8198" s="1">
        <v>42276</v>
      </c>
      <c r="N8198" s="5"/>
      <c r="O8198" s="2">
        <v>1250</v>
      </c>
      <c r="P8198">
        <v>1</v>
      </c>
      <c r="Q8198" s="2">
        <v>1250</v>
      </c>
      <c r="R8198">
        <v>0</v>
      </c>
      <c r="V8198">
        <v>0</v>
      </c>
      <c r="W8198">
        <v>0</v>
      </c>
      <c r="X8198">
        <v>0</v>
      </c>
      <c r="Y8198" s="2">
        <v>1525</v>
      </c>
      <c r="Z8198" s="2">
        <v>1525</v>
      </c>
      <c r="AA8198" s="2">
        <v>1525</v>
      </c>
      <c r="AB8198" s="1">
        <v>42382</v>
      </c>
      <c r="AC8198" t="s">
        <v>53</v>
      </c>
      <c r="AD8198" t="s">
        <v>53</v>
      </c>
      <c r="AK8198">
        <v>0</v>
      </c>
      <c r="AU8198" s="6">
        <v>42277</v>
      </c>
      <c r="AV8198" s="6">
        <v>42277</v>
      </c>
      <c r="AW8198" t="s">
        <v>54</v>
      </c>
      <c r="AX8198" t="str">
        <f t="shared" si="666"/>
        <v>FOR</v>
      </c>
      <c r="AY8198" t="s">
        <v>55</v>
      </c>
    </row>
    <row r="8199" spans="1:51" hidden="1">
      <c r="A8199">
        <v>104560</v>
      </c>
      <c r="B8199" t="s">
        <v>1338</v>
      </c>
      <c r="C8199" t="str">
        <f t="shared" si="665"/>
        <v>02504501210</v>
      </c>
      <c r="D8199" t="str">
        <f t="shared" si="665"/>
        <v>02504501210</v>
      </c>
      <c r="E8199" t="s">
        <v>52</v>
      </c>
      <c r="F8199">
        <v>2015</v>
      </c>
      <c r="G8199">
        <v>89</v>
      </c>
      <c r="H8199" s="1">
        <v>42216</v>
      </c>
      <c r="I8199" s="1">
        <v>42230</v>
      </c>
      <c r="J8199" s="1">
        <v>42228</v>
      </c>
      <c r="K8199" s="1">
        <v>42288</v>
      </c>
      <c r="N8199" s="5"/>
      <c r="O8199">
        <v>290</v>
      </c>
      <c r="P8199">
        <v>-11</v>
      </c>
      <c r="Q8199" s="2">
        <v>-3190</v>
      </c>
      <c r="R8199">
        <v>0</v>
      </c>
      <c r="V8199">
        <v>0</v>
      </c>
      <c r="W8199">
        <v>0</v>
      </c>
      <c r="X8199">
        <v>0</v>
      </c>
      <c r="Y8199">
        <v>353.8</v>
      </c>
      <c r="Z8199">
        <v>353.8</v>
      </c>
      <c r="AA8199">
        <v>353.8</v>
      </c>
      <c r="AB8199" s="1">
        <v>42382</v>
      </c>
      <c r="AC8199" t="s">
        <v>53</v>
      </c>
      <c r="AD8199" t="s">
        <v>53</v>
      </c>
      <c r="AK8199">
        <v>0</v>
      </c>
      <c r="AU8199" s="6">
        <v>42277</v>
      </c>
      <c r="AV8199" s="6">
        <v>42277</v>
      </c>
      <c r="AW8199" t="s">
        <v>54</v>
      </c>
      <c r="AX8199" t="str">
        <f t="shared" si="666"/>
        <v>FOR</v>
      </c>
      <c r="AY8199" t="s">
        <v>55</v>
      </c>
    </row>
    <row r="8200" spans="1:51" hidden="1">
      <c r="A8200">
        <v>104560</v>
      </c>
      <c r="B8200" t="s">
        <v>1338</v>
      </c>
      <c r="C8200" t="str">
        <f t="shared" si="665"/>
        <v>02504501210</v>
      </c>
      <c r="D8200" t="str">
        <f t="shared" si="665"/>
        <v>02504501210</v>
      </c>
      <c r="E8200" t="s">
        <v>52</v>
      </c>
      <c r="F8200">
        <v>2015</v>
      </c>
      <c r="G8200">
        <v>90</v>
      </c>
      <c r="H8200" s="1">
        <v>42216</v>
      </c>
      <c r="I8200" s="1">
        <v>42227</v>
      </c>
      <c r="J8200" s="1">
        <v>42216</v>
      </c>
      <c r="K8200" s="1">
        <v>42276</v>
      </c>
      <c r="N8200" s="5"/>
      <c r="O8200">
        <v>350</v>
      </c>
      <c r="P8200">
        <v>1</v>
      </c>
      <c r="Q8200">
        <v>350</v>
      </c>
      <c r="R8200">
        <v>0</v>
      </c>
      <c r="V8200">
        <v>0</v>
      </c>
      <c r="W8200">
        <v>0</v>
      </c>
      <c r="X8200">
        <v>0</v>
      </c>
      <c r="Y8200">
        <v>427</v>
      </c>
      <c r="Z8200">
        <v>427</v>
      </c>
      <c r="AA8200">
        <v>427</v>
      </c>
      <c r="AB8200" s="1">
        <v>42382</v>
      </c>
      <c r="AC8200" t="s">
        <v>53</v>
      </c>
      <c r="AD8200" t="s">
        <v>53</v>
      </c>
      <c r="AK8200">
        <v>0</v>
      </c>
      <c r="AU8200" s="6">
        <v>42277</v>
      </c>
      <c r="AV8200" s="6">
        <v>42277</v>
      </c>
      <c r="AW8200" t="s">
        <v>54</v>
      </c>
      <c r="AX8200" t="str">
        <f t="shared" si="666"/>
        <v>FOR</v>
      </c>
      <c r="AY8200" t="s">
        <v>55</v>
      </c>
    </row>
    <row r="8201" spans="1:51" hidden="1">
      <c r="A8201">
        <v>104560</v>
      </c>
      <c r="B8201" t="s">
        <v>1338</v>
      </c>
      <c r="C8201" t="str">
        <f t="shared" ref="C8201:D8219" si="667">"02504501210"</f>
        <v>02504501210</v>
      </c>
      <c r="D8201" t="str">
        <f t="shared" si="667"/>
        <v>02504501210</v>
      </c>
      <c r="E8201" t="s">
        <v>52</v>
      </c>
      <c r="F8201">
        <v>2015</v>
      </c>
      <c r="G8201">
        <v>91</v>
      </c>
      <c r="H8201" s="1">
        <v>42216</v>
      </c>
      <c r="I8201" s="1">
        <v>42227</v>
      </c>
      <c r="J8201" s="1">
        <v>42216</v>
      </c>
      <c r="K8201" s="1">
        <v>42276</v>
      </c>
      <c r="N8201" s="5"/>
      <c r="O8201">
        <v>375</v>
      </c>
      <c r="P8201">
        <v>1</v>
      </c>
      <c r="Q8201">
        <v>375</v>
      </c>
      <c r="R8201">
        <v>0</v>
      </c>
      <c r="V8201">
        <v>0</v>
      </c>
      <c r="W8201">
        <v>0</v>
      </c>
      <c r="X8201">
        <v>0</v>
      </c>
      <c r="Y8201">
        <v>457.5</v>
      </c>
      <c r="Z8201">
        <v>457.5</v>
      </c>
      <c r="AA8201">
        <v>457.5</v>
      </c>
      <c r="AB8201" s="1">
        <v>42382</v>
      </c>
      <c r="AC8201" t="s">
        <v>53</v>
      </c>
      <c r="AD8201" t="s">
        <v>53</v>
      </c>
      <c r="AK8201">
        <v>0</v>
      </c>
      <c r="AU8201" s="6">
        <v>42277</v>
      </c>
      <c r="AV8201" s="6">
        <v>42277</v>
      </c>
      <c r="AW8201" t="s">
        <v>54</v>
      </c>
      <c r="AX8201" t="str">
        <f t="shared" si="666"/>
        <v>FOR</v>
      </c>
      <c r="AY8201" t="s">
        <v>55</v>
      </c>
    </row>
    <row r="8202" spans="1:51" hidden="1">
      <c r="A8202">
        <v>104560</v>
      </c>
      <c r="B8202" t="s">
        <v>1338</v>
      </c>
      <c r="C8202" t="str">
        <f t="shared" si="667"/>
        <v>02504501210</v>
      </c>
      <c r="D8202" t="str">
        <f t="shared" si="667"/>
        <v>02504501210</v>
      </c>
      <c r="E8202" t="s">
        <v>52</v>
      </c>
      <c r="F8202">
        <v>2015</v>
      </c>
      <c r="G8202">
        <v>92</v>
      </c>
      <c r="H8202" s="1">
        <v>42216</v>
      </c>
      <c r="I8202" s="1">
        <v>42227</v>
      </c>
      <c r="J8202" s="1">
        <v>42216</v>
      </c>
      <c r="K8202" s="1">
        <v>42276</v>
      </c>
      <c r="N8202" s="5"/>
      <c r="O8202">
        <v>400</v>
      </c>
      <c r="P8202">
        <v>1</v>
      </c>
      <c r="Q8202">
        <v>400</v>
      </c>
      <c r="R8202">
        <v>0</v>
      </c>
      <c r="V8202">
        <v>0</v>
      </c>
      <c r="W8202">
        <v>0</v>
      </c>
      <c r="X8202">
        <v>0</v>
      </c>
      <c r="Y8202">
        <v>488</v>
      </c>
      <c r="Z8202">
        <v>488</v>
      </c>
      <c r="AA8202">
        <v>488</v>
      </c>
      <c r="AB8202" s="1">
        <v>42382</v>
      </c>
      <c r="AC8202" t="s">
        <v>53</v>
      </c>
      <c r="AD8202" t="s">
        <v>53</v>
      </c>
      <c r="AK8202">
        <v>0</v>
      </c>
      <c r="AU8202" s="6">
        <v>42277</v>
      </c>
      <c r="AV8202" s="6">
        <v>42277</v>
      </c>
      <c r="AW8202" t="s">
        <v>54</v>
      </c>
      <c r="AX8202" t="str">
        <f t="shared" si="666"/>
        <v>FOR</v>
      </c>
      <c r="AY8202" t="s">
        <v>55</v>
      </c>
    </row>
    <row r="8203" spans="1:51" hidden="1">
      <c r="A8203">
        <v>104560</v>
      </c>
      <c r="B8203" t="s">
        <v>1338</v>
      </c>
      <c r="C8203" t="str">
        <f t="shared" si="667"/>
        <v>02504501210</v>
      </c>
      <c r="D8203" t="str">
        <f t="shared" si="667"/>
        <v>02504501210</v>
      </c>
      <c r="E8203" t="s">
        <v>52</v>
      </c>
      <c r="F8203">
        <v>2015</v>
      </c>
      <c r="G8203">
        <v>93</v>
      </c>
      <c r="H8203" s="1">
        <v>42216</v>
      </c>
      <c r="I8203" s="1">
        <v>42227</v>
      </c>
      <c r="J8203" s="1">
        <v>42227</v>
      </c>
      <c r="K8203" s="1">
        <v>42287</v>
      </c>
      <c r="N8203" s="5"/>
      <c r="O8203" s="2">
        <v>5123</v>
      </c>
      <c r="P8203">
        <v>-10</v>
      </c>
      <c r="Q8203" s="2">
        <v>-51230</v>
      </c>
      <c r="R8203">
        <v>0</v>
      </c>
      <c r="V8203">
        <v>0</v>
      </c>
      <c r="W8203">
        <v>0</v>
      </c>
      <c r="X8203">
        <v>0</v>
      </c>
      <c r="Y8203" s="2">
        <v>6250.06</v>
      </c>
      <c r="Z8203" s="2">
        <v>6250.06</v>
      </c>
      <c r="AA8203" s="2">
        <v>6250.06</v>
      </c>
      <c r="AB8203" s="1">
        <v>42382</v>
      </c>
      <c r="AC8203" t="s">
        <v>53</v>
      </c>
      <c r="AD8203" t="s">
        <v>53</v>
      </c>
      <c r="AK8203">
        <v>0</v>
      </c>
      <c r="AU8203" s="6">
        <v>42277</v>
      </c>
      <c r="AV8203" s="6">
        <v>42277</v>
      </c>
      <c r="AW8203" t="s">
        <v>54</v>
      </c>
      <c r="AX8203" t="str">
        <f t="shared" si="666"/>
        <v>FOR</v>
      </c>
      <c r="AY8203" t="s">
        <v>55</v>
      </c>
    </row>
    <row r="8204" spans="1:51">
      <c r="A8204">
        <v>104560</v>
      </c>
      <c r="B8204" t="s">
        <v>1338</v>
      </c>
      <c r="C8204" t="str">
        <f t="shared" si="667"/>
        <v>02504501210</v>
      </c>
      <c r="D8204" t="str">
        <f t="shared" si="667"/>
        <v>02504501210</v>
      </c>
      <c r="E8204" t="s">
        <v>52</v>
      </c>
      <c r="F8204">
        <v>2015</v>
      </c>
      <c r="G8204">
        <v>102</v>
      </c>
      <c r="H8204" s="1">
        <v>42247</v>
      </c>
      <c r="I8204" s="1">
        <v>42248</v>
      </c>
      <c r="J8204" s="1">
        <v>42247</v>
      </c>
      <c r="K8204" s="1">
        <v>42307</v>
      </c>
      <c r="L8204" s="7">
        <v>1580</v>
      </c>
      <c r="M8204" s="5">
        <v>-7</v>
      </c>
      <c r="N8204" s="7">
        <v>-11060</v>
      </c>
      <c r="O8204" s="2">
        <v>1580</v>
      </c>
      <c r="P8204">
        <v>-7</v>
      </c>
      <c r="Q8204" s="2">
        <v>-11060</v>
      </c>
      <c r="R8204">
        <v>0</v>
      </c>
      <c r="V8204">
        <v>0</v>
      </c>
      <c r="W8204">
        <v>0</v>
      </c>
      <c r="X8204">
        <v>0</v>
      </c>
      <c r="Y8204" s="2">
        <v>1927.6</v>
      </c>
      <c r="Z8204" s="2">
        <v>1927.6</v>
      </c>
      <c r="AA8204" s="2">
        <v>1927.6</v>
      </c>
      <c r="AB8204" s="1">
        <v>42382</v>
      </c>
      <c r="AC8204" t="s">
        <v>53</v>
      </c>
      <c r="AD8204" t="s">
        <v>53</v>
      </c>
      <c r="AK8204">
        <v>0</v>
      </c>
      <c r="AU8204" s="6">
        <v>42300</v>
      </c>
      <c r="AV8204" s="6">
        <v>42300</v>
      </c>
      <c r="AW8204" t="s">
        <v>54</v>
      </c>
      <c r="AX8204" t="str">
        <f t="shared" si="666"/>
        <v>FOR</v>
      </c>
      <c r="AY8204" t="s">
        <v>55</v>
      </c>
    </row>
    <row r="8205" spans="1:51">
      <c r="A8205">
        <v>104560</v>
      </c>
      <c r="B8205" t="s">
        <v>1338</v>
      </c>
      <c r="C8205" t="str">
        <f t="shared" si="667"/>
        <v>02504501210</v>
      </c>
      <c r="D8205" t="str">
        <f t="shared" si="667"/>
        <v>02504501210</v>
      </c>
      <c r="E8205" t="s">
        <v>52</v>
      </c>
      <c r="F8205">
        <v>2015</v>
      </c>
      <c r="G8205">
        <v>103</v>
      </c>
      <c r="H8205" s="1">
        <v>42247</v>
      </c>
      <c r="I8205" s="1">
        <v>42248</v>
      </c>
      <c r="J8205" s="1">
        <v>42247</v>
      </c>
      <c r="K8205" s="1">
        <v>42307</v>
      </c>
      <c r="L8205" s="7">
        <v>399</v>
      </c>
      <c r="M8205" s="5">
        <v>-7</v>
      </c>
      <c r="N8205" s="7">
        <v>-2793</v>
      </c>
      <c r="O8205">
        <v>399</v>
      </c>
      <c r="P8205">
        <v>-7</v>
      </c>
      <c r="Q8205" s="2">
        <v>-2793</v>
      </c>
      <c r="R8205">
        <v>0</v>
      </c>
      <c r="V8205">
        <v>0</v>
      </c>
      <c r="W8205">
        <v>0</v>
      </c>
      <c r="X8205">
        <v>0</v>
      </c>
      <c r="Y8205">
        <v>486.78</v>
      </c>
      <c r="Z8205">
        <v>486.78</v>
      </c>
      <c r="AA8205">
        <v>486.78</v>
      </c>
      <c r="AB8205" s="1">
        <v>42382</v>
      </c>
      <c r="AC8205" t="s">
        <v>53</v>
      </c>
      <c r="AD8205" t="s">
        <v>53</v>
      </c>
      <c r="AK8205">
        <v>0</v>
      </c>
      <c r="AU8205" s="6">
        <v>42300</v>
      </c>
      <c r="AV8205" s="6">
        <v>42300</v>
      </c>
      <c r="AW8205" t="s">
        <v>54</v>
      </c>
      <c r="AX8205" t="str">
        <f t="shared" si="666"/>
        <v>FOR</v>
      </c>
      <c r="AY8205" t="s">
        <v>55</v>
      </c>
    </row>
    <row r="8206" spans="1:51">
      <c r="A8206">
        <v>104560</v>
      </c>
      <c r="B8206" t="s">
        <v>1338</v>
      </c>
      <c r="C8206" t="str">
        <f t="shared" si="667"/>
        <v>02504501210</v>
      </c>
      <c r="D8206" t="str">
        <f t="shared" si="667"/>
        <v>02504501210</v>
      </c>
      <c r="E8206" t="s">
        <v>52</v>
      </c>
      <c r="F8206">
        <v>2015</v>
      </c>
      <c r="G8206">
        <v>104</v>
      </c>
      <c r="H8206" s="1">
        <v>42247</v>
      </c>
      <c r="I8206" s="1">
        <v>42248</v>
      </c>
      <c r="J8206" s="1">
        <v>42247</v>
      </c>
      <c r="K8206" s="1">
        <v>42307</v>
      </c>
      <c r="L8206" s="7">
        <v>1250</v>
      </c>
      <c r="M8206" s="5">
        <v>-7</v>
      </c>
      <c r="N8206" s="7">
        <v>-8750</v>
      </c>
      <c r="O8206" s="2">
        <v>1250</v>
      </c>
      <c r="P8206">
        <v>-7</v>
      </c>
      <c r="Q8206" s="2">
        <v>-8750</v>
      </c>
      <c r="R8206">
        <v>0</v>
      </c>
      <c r="V8206">
        <v>0</v>
      </c>
      <c r="W8206">
        <v>0</v>
      </c>
      <c r="X8206">
        <v>0</v>
      </c>
      <c r="Y8206" s="2">
        <v>1525</v>
      </c>
      <c r="Z8206" s="2">
        <v>1525</v>
      </c>
      <c r="AA8206" s="2">
        <v>1525</v>
      </c>
      <c r="AB8206" s="1">
        <v>42382</v>
      </c>
      <c r="AC8206" t="s">
        <v>53</v>
      </c>
      <c r="AD8206" t="s">
        <v>53</v>
      </c>
      <c r="AK8206">
        <v>0</v>
      </c>
      <c r="AU8206" s="6">
        <v>42300</v>
      </c>
      <c r="AV8206" s="6">
        <v>42300</v>
      </c>
      <c r="AW8206" t="s">
        <v>54</v>
      </c>
      <c r="AX8206" t="str">
        <f t="shared" si="666"/>
        <v>FOR</v>
      </c>
      <c r="AY8206" t="s">
        <v>55</v>
      </c>
    </row>
    <row r="8207" spans="1:51">
      <c r="A8207">
        <v>104560</v>
      </c>
      <c r="B8207" t="s">
        <v>1338</v>
      </c>
      <c r="C8207" t="str">
        <f t="shared" si="667"/>
        <v>02504501210</v>
      </c>
      <c r="D8207" t="str">
        <f t="shared" si="667"/>
        <v>02504501210</v>
      </c>
      <c r="E8207" t="s">
        <v>52</v>
      </c>
      <c r="F8207">
        <v>2015</v>
      </c>
      <c r="G8207">
        <v>105</v>
      </c>
      <c r="H8207" s="1">
        <v>42247</v>
      </c>
      <c r="I8207" s="1">
        <v>42248</v>
      </c>
      <c r="J8207" s="1">
        <v>42247</v>
      </c>
      <c r="K8207" s="1">
        <v>42307</v>
      </c>
      <c r="L8207" s="7">
        <v>6900</v>
      </c>
      <c r="M8207" s="5">
        <v>-7</v>
      </c>
      <c r="N8207" s="7">
        <v>-48300</v>
      </c>
      <c r="O8207" s="2">
        <v>6900</v>
      </c>
      <c r="P8207">
        <v>-7</v>
      </c>
      <c r="Q8207" s="2">
        <v>-48300</v>
      </c>
      <c r="R8207">
        <v>0</v>
      </c>
      <c r="V8207">
        <v>0</v>
      </c>
      <c r="W8207">
        <v>0</v>
      </c>
      <c r="X8207">
        <v>0</v>
      </c>
      <c r="Y8207" s="2">
        <v>8418</v>
      </c>
      <c r="Z8207" s="2">
        <v>8418</v>
      </c>
      <c r="AA8207" s="2">
        <v>8418</v>
      </c>
      <c r="AB8207" s="1">
        <v>42382</v>
      </c>
      <c r="AC8207" t="s">
        <v>53</v>
      </c>
      <c r="AD8207" t="s">
        <v>53</v>
      </c>
      <c r="AK8207">
        <v>0</v>
      </c>
      <c r="AU8207" s="6">
        <v>42300</v>
      </c>
      <c r="AV8207" s="6">
        <v>42300</v>
      </c>
      <c r="AW8207" t="s">
        <v>54</v>
      </c>
      <c r="AX8207" t="str">
        <f t="shared" si="666"/>
        <v>FOR</v>
      </c>
      <c r="AY8207" t="s">
        <v>55</v>
      </c>
    </row>
    <row r="8208" spans="1:51">
      <c r="A8208">
        <v>104560</v>
      </c>
      <c r="B8208" t="s">
        <v>1338</v>
      </c>
      <c r="C8208" t="str">
        <f t="shared" si="667"/>
        <v>02504501210</v>
      </c>
      <c r="D8208" t="str">
        <f t="shared" si="667"/>
        <v>02504501210</v>
      </c>
      <c r="E8208" t="s">
        <v>52</v>
      </c>
      <c r="F8208">
        <v>2015</v>
      </c>
      <c r="G8208">
        <v>114</v>
      </c>
      <c r="H8208" s="1">
        <v>42277</v>
      </c>
      <c r="I8208" s="1">
        <v>42279</v>
      </c>
      <c r="J8208" s="1">
        <v>42278</v>
      </c>
      <c r="K8208" s="1">
        <v>42338</v>
      </c>
      <c r="L8208" s="7">
        <v>1580</v>
      </c>
      <c r="M8208" s="5">
        <v>1</v>
      </c>
      <c r="N8208" s="7">
        <v>1580</v>
      </c>
      <c r="O8208" s="2">
        <v>1580</v>
      </c>
      <c r="P8208">
        <v>1</v>
      </c>
      <c r="Q8208" s="2">
        <v>1580</v>
      </c>
      <c r="R8208">
        <v>347.6</v>
      </c>
      <c r="V8208">
        <v>0</v>
      </c>
      <c r="W8208" s="2">
        <v>1927.6</v>
      </c>
      <c r="X8208">
        <v>0</v>
      </c>
      <c r="Y8208" s="2">
        <v>1927.6</v>
      </c>
      <c r="Z8208" s="2">
        <v>1927.6</v>
      </c>
      <c r="AA8208" s="2">
        <v>1927.6</v>
      </c>
      <c r="AB8208" s="1">
        <v>42382</v>
      </c>
      <c r="AC8208" t="s">
        <v>53</v>
      </c>
      <c r="AD8208" t="s">
        <v>53</v>
      </c>
      <c r="AF8208">
        <v>347.6</v>
      </c>
      <c r="AK8208">
        <v>0</v>
      </c>
      <c r="AU8208" s="6">
        <v>42339</v>
      </c>
      <c r="AV8208" s="6">
        <v>42339</v>
      </c>
      <c r="AW8208" t="s">
        <v>54</v>
      </c>
      <c r="AX8208" t="str">
        <f t="shared" si="666"/>
        <v>FOR</v>
      </c>
      <c r="AY8208" t="s">
        <v>55</v>
      </c>
    </row>
    <row r="8209" spans="1:51">
      <c r="A8209">
        <v>104560</v>
      </c>
      <c r="B8209" t="s">
        <v>1338</v>
      </c>
      <c r="C8209" t="str">
        <f t="shared" si="667"/>
        <v>02504501210</v>
      </c>
      <c r="D8209" t="str">
        <f t="shared" si="667"/>
        <v>02504501210</v>
      </c>
      <c r="E8209" t="s">
        <v>52</v>
      </c>
      <c r="F8209">
        <v>2015</v>
      </c>
      <c r="G8209">
        <v>115</v>
      </c>
      <c r="H8209" s="1">
        <v>42277</v>
      </c>
      <c r="I8209" s="1">
        <v>42279</v>
      </c>
      <c r="J8209" s="1">
        <v>42278</v>
      </c>
      <c r="K8209" s="1">
        <v>42338</v>
      </c>
      <c r="L8209" s="7">
        <v>399</v>
      </c>
      <c r="M8209" s="5">
        <v>1</v>
      </c>
      <c r="N8209" s="7">
        <v>399</v>
      </c>
      <c r="O8209">
        <v>399</v>
      </c>
      <c r="P8209">
        <v>1</v>
      </c>
      <c r="Q8209">
        <v>399</v>
      </c>
      <c r="R8209">
        <v>87.78</v>
      </c>
      <c r="V8209">
        <v>0</v>
      </c>
      <c r="W8209">
        <v>486.78</v>
      </c>
      <c r="X8209">
        <v>0</v>
      </c>
      <c r="Y8209">
        <v>486.78</v>
      </c>
      <c r="Z8209">
        <v>486.78</v>
      </c>
      <c r="AA8209">
        <v>486.78</v>
      </c>
      <c r="AB8209" s="1">
        <v>42382</v>
      </c>
      <c r="AC8209" t="s">
        <v>53</v>
      </c>
      <c r="AD8209" t="s">
        <v>53</v>
      </c>
      <c r="AF8209">
        <v>87.78</v>
      </c>
      <c r="AK8209">
        <v>0</v>
      </c>
      <c r="AU8209" s="6">
        <v>42339</v>
      </c>
      <c r="AV8209" s="6">
        <v>42339</v>
      </c>
      <c r="AW8209" t="s">
        <v>54</v>
      </c>
      <c r="AX8209" t="str">
        <f t="shared" si="666"/>
        <v>FOR</v>
      </c>
      <c r="AY8209" t="s">
        <v>55</v>
      </c>
    </row>
    <row r="8210" spans="1:51">
      <c r="A8210">
        <v>104560</v>
      </c>
      <c r="B8210" t="s">
        <v>1338</v>
      </c>
      <c r="C8210" t="str">
        <f t="shared" si="667"/>
        <v>02504501210</v>
      </c>
      <c r="D8210" t="str">
        <f t="shared" si="667"/>
        <v>02504501210</v>
      </c>
      <c r="E8210" t="s">
        <v>52</v>
      </c>
      <c r="F8210">
        <v>2015</v>
      </c>
      <c r="G8210">
        <v>116</v>
      </c>
      <c r="H8210" s="1">
        <v>42277</v>
      </c>
      <c r="I8210" s="1">
        <v>42279</v>
      </c>
      <c r="J8210" s="1">
        <v>42278</v>
      </c>
      <c r="K8210" s="1">
        <v>42338</v>
      </c>
      <c r="L8210" s="7">
        <v>1250</v>
      </c>
      <c r="M8210" s="5">
        <v>1</v>
      </c>
      <c r="N8210" s="7">
        <v>1250</v>
      </c>
      <c r="O8210" s="2">
        <v>1250</v>
      </c>
      <c r="P8210">
        <v>1</v>
      </c>
      <c r="Q8210" s="2">
        <v>1250</v>
      </c>
      <c r="R8210">
        <v>275</v>
      </c>
      <c r="V8210">
        <v>0</v>
      </c>
      <c r="W8210" s="2">
        <v>1525</v>
      </c>
      <c r="X8210">
        <v>0</v>
      </c>
      <c r="Y8210" s="2">
        <v>1525</v>
      </c>
      <c r="Z8210" s="2">
        <v>1525</v>
      </c>
      <c r="AA8210" s="2">
        <v>1525</v>
      </c>
      <c r="AB8210" s="1">
        <v>42382</v>
      </c>
      <c r="AC8210" t="s">
        <v>53</v>
      </c>
      <c r="AD8210" t="s">
        <v>53</v>
      </c>
      <c r="AF8210">
        <v>275</v>
      </c>
      <c r="AK8210">
        <v>0</v>
      </c>
      <c r="AU8210" s="6">
        <v>42339</v>
      </c>
      <c r="AV8210" s="6">
        <v>42339</v>
      </c>
      <c r="AW8210" t="s">
        <v>54</v>
      </c>
      <c r="AX8210" t="str">
        <f t="shared" si="666"/>
        <v>FOR</v>
      </c>
      <c r="AY8210" t="s">
        <v>55</v>
      </c>
    </row>
    <row r="8211" spans="1:51">
      <c r="A8211">
        <v>104560</v>
      </c>
      <c r="B8211" t="s">
        <v>1338</v>
      </c>
      <c r="C8211" t="str">
        <f t="shared" si="667"/>
        <v>02504501210</v>
      </c>
      <c r="D8211" t="str">
        <f t="shared" si="667"/>
        <v>02504501210</v>
      </c>
      <c r="E8211" t="s">
        <v>52</v>
      </c>
      <c r="F8211">
        <v>2015</v>
      </c>
      <c r="G8211">
        <v>117</v>
      </c>
      <c r="H8211" s="1">
        <v>42277</v>
      </c>
      <c r="I8211" s="1">
        <v>42279</v>
      </c>
      <c r="J8211" s="1">
        <v>42278</v>
      </c>
      <c r="K8211" s="1">
        <v>42338</v>
      </c>
      <c r="L8211" s="7">
        <v>580</v>
      </c>
      <c r="M8211" s="5">
        <v>1</v>
      </c>
      <c r="N8211" s="7">
        <v>580</v>
      </c>
      <c r="O8211">
        <v>580</v>
      </c>
      <c r="P8211">
        <v>1</v>
      </c>
      <c r="Q8211">
        <v>580</v>
      </c>
      <c r="R8211">
        <v>127.6</v>
      </c>
      <c r="V8211">
        <v>0</v>
      </c>
      <c r="W8211">
        <v>707.6</v>
      </c>
      <c r="X8211">
        <v>0</v>
      </c>
      <c r="Y8211">
        <v>707.6</v>
      </c>
      <c r="Z8211">
        <v>707.6</v>
      </c>
      <c r="AA8211">
        <v>707.6</v>
      </c>
      <c r="AB8211" s="1">
        <v>42382</v>
      </c>
      <c r="AC8211" t="s">
        <v>53</v>
      </c>
      <c r="AD8211" t="s">
        <v>53</v>
      </c>
      <c r="AF8211">
        <v>127.6</v>
      </c>
      <c r="AK8211">
        <v>0</v>
      </c>
      <c r="AU8211" s="6">
        <v>42339</v>
      </c>
      <c r="AV8211" s="6">
        <v>42339</v>
      </c>
      <c r="AW8211" t="s">
        <v>54</v>
      </c>
      <c r="AX8211" t="str">
        <f t="shared" si="666"/>
        <v>FOR</v>
      </c>
      <c r="AY8211" t="s">
        <v>55</v>
      </c>
    </row>
    <row r="8212" spans="1:51">
      <c r="A8212">
        <v>104560</v>
      </c>
      <c r="B8212" t="s">
        <v>1338</v>
      </c>
      <c r="C8212" t="str">
        <f t="shared" si="667"/>
        <v>02504501210</v>
      </c>
      <c r="D8212" t="str">
        <f t="shared" si="667"/>
        <v>02504501210</v>
      </c>
      <c r="E8212" t="s">
        <v>52</v>
      </c>
      <c r="F8212">
        <v>2015</v>
      </c>
      <c r="G8212">
        <v>118</v>
      </c>
      <c r="H8212" s="1">
        <v>42277</v>
      </c>
      <c r="I8212" s="1">
        <v>42279</v>
      </c>
      <c r="J8212" s="1">
        <v>42278</v>
      </c>
      <c r="K8212" s="1">
        <v>42338</v>
      </c>
      <c r="L8212" s="7">
        <v>330</v>
      </c>
      <c r="M8212" s="5">
        <v>1</v>
      </c>
      <c r="N8212" s="7">
        <v>330</v>
      </c>
      <c r="O8212">
        <v>330</v>
      </c>
      <c r="P8212">
        <v>1</v>
      </c>
      <c r="Q8212">
        <v>330</v>
      </c>
      <c r="R8212">
        <v>72.599999999999994</v>
      </c>
      <c r="V8212">
        <v>0</v>
      </c>
      <c r="W8212">
        <v>402.6</v>
      </c>
      <c r="X8212">
        <v>0</v>
      </c>
      <c r="Y8212">
        <v>402.6</v>
      </c>
      <c r="Z8212">
        <v>402.6</v>
      </c>
      <c r="AA8212">
        <v>402.6</v>
      </c>
      <c r="AB8212" s="1">
        <v>42382</v>
      </c>
      <c r="AC8212" t="s">
        <v>53</v>
      </c>
      <c r="AD8212" t="s">
        <v>53</v>
      </c>
      <c r="AF8212">
        <v>72.599999999999994</v>
      </c>
      <c r="AK8212">
        <v>0</v>
      </c>
      <c r="AU8212" s="6">
        <v>42339</v>
      </c>
      <c r="AV8212" s="6">
        <v>42339</v>
      </c>
      <c r="AW8212" t="s">
        <v>54</v>
      </c>
      <c r="AX8212" t="str">
        <f t="shared" si="666"/>
        <v>FOR</v>
      </c>
      <c r="AY8212" t="s">
        <v>55</v>
      </c>
    </row>
    <row r="8213" spans="1:51">
      <c r="A8213">
        <v>104560</v>
      </c>
      <c r="B8213" t="s">
        <v>1338</v>
      </c>
      <c r="C8213" t="str">
        <f t="shared" si="667"/>
        <v>02504501210</v>
      </c>
      <c r="D8213" t="str">
        <f t="shared" si="667"/>
        <v>02504501210</v>
      </c>
      <c r="E8213" t="s">
        <v>52</v>
      </c>
      <c r="F8213">
        <v>2015</v>
      </c>
      <c r="G8213">
        <v>119</v>
      </c>
      <c r="H8213" s="1">
        <v>42277</v>
      </c>
      <c r="I8213" s="1">
        <v>42279</v>
      </c>
      <c r="J8213" s="1">
        <v>42278</v>
      </c>
      <c r="K8213" s="1">
        <v>42338</v>
      </c>
      <c r="L8213" s="7">
        <v>350</v>
      </c>
      <c r="M8213" s="5">
        <v>1</v>
      </c>
      <c r="N8213" s="7">
        <v>350</v>
      </c>
      <c r="O8213">
        <v>350</v>
      </c>
      <c r="P8213">
        <v>1</v>
      </c>
      <c r="Q8213">
        <v>350</v>
      </c>
      <c r="R8213">
        <v>77</v>
      </c>
      <c r="V8213">
        <v>0</v>
      </c>
      <c r="W8213">
        <v>427</v>
      </c>
      <c r="X8213">
        <v>0</v>
      </c>
      <c r="Y8213">
        <v>427</v>
      </c>
      <c r="Z8213">
        <v>427</v>
      </c>
      <c r="AA8213">
        <v>427</v>
      </c>
      <c r="AB8213" s="1">
        <v>42382</v>
      </c>
      <c r="AC8213" t="s">
        <v>53</v>
      </c>
      <c r="AD8213" t="s">
        <v>53</v>
      </c>
      <c r="AF8213">
        <v>77</v>
      </c>
      <c r="AK8213">
        <v>0</v>
      </c>
      <c r="AU8213" s="6">
        <v>42339</v>
      </c>
      <c r="AV8213" s="6">
        <v>42339</v>
      </c>
      <c r="AW8213" t="s">
        <v>54</v>
      </c>
      <c r="AX8213" t="str">
        <f t="shared" si="666"/>
        <v>FOR</v>
      </c>
      <c r="AY8213" t="s">
        <v>55</v>
      </c>
    </row>
    <row r="8214" spans="1:51">
      <c r="A8214">
        <v>104560</v>
      </c>
      <c r="B8214" t="s">
        <v>1338</v>
      </c>
      <c r="C8214" t="str">
        <f t="shared" si="667"/>
        <v>02504501210</v>
      </c>
      <c r="D8214" t="str">
        <f t="shared" si="667"/>
        <v>02504501210</v>
      </c>
      <c r="E8214" t="s">
        <v>52</v>
      </c>
      <c r="F8214">
        <v>2015</v>
      </c>
      <c r="G8214">
        <v>132</v>
      </c>
      <c r="H8214" s="1">
        <v>42308</v>
      </c>
      <c r="I8214" s="1">
        <v>42312</v>
      </c>
      <c r="J8214" s="1">
        <v>42311</v>
      </c>
      <c r="K8214" s="1">
        <v>42371</v>
      </c>
      <c r="L8214" s="7">
        <v>1580</v>
      </c>
      <c r="M8214" s="5">
        <v>-15</v>
      </c>
      <c r="N8214" s="7">
        <v>-23700</v>
      </c>
      <c r="O8214" s="2">
        <v>1580</v>
      </c>
      <c r="P8214">
        <v>-15</v>
      </c>
      <c r="Q8214" s="2">
        <v>-23700</v>
      </c>
      <c r="R8214">
        <v>347.6</v>
      </c>
      <c r="V8214" s="2">
        <v>1927.6</v>
      </c>
      <c r="W8214" s="2">
        <v>1927.6</v>
      </c>
      <c r="X8214" s="2">
        <v>1927.6</v>
      </c>
      <c r="Y8214" s="2">
        <v>1927.6</v>
      </c>
      <c r="Z8214" s="2">
        <v>1927.6</v>
      </c>
      <c r="AA8214" s="2">
        <v>1927.6</v>
      </c>
      <c r="AB8214" s="1">
        <v>42382</v>
      </c>
      <c r="AC8214" t="s">
        <v>53</v>
      </c>
      <c r="AD8214" t="s">
        <v>53</v>
      </c>
      <c r="AK8214">
        <v>0</v>
      </c>
      <c r="AM8214">
        <v>347.6</v>
      </c>
      <c r="AU8214" s="6">
        <v>42356</v>
      </c>
      <c r="AV8214" s="6">
        <v>42356</v>
      </c>
      <c r="AW8214" t="s">
        <v>54</v>
      </c>
      <c r="AX8214" t="str">
        <f t="shared" si="666"/>
        <v>FOR</v>
      </c>
      <c r="AY8214" t="s">
        <v>55</v>
      </c>
    </row>
    <row r="8215" spans="1:51">
      <c r="A8215">
        <v>104560</v>
      </c>
      <c r="B8215" t="s">
        <v>1338</v>
      </c>
      <c r="C8215" t="str">
        <f t="shared" si="667"/>
        <v>02504501210</v>
      </c>
      <c r="D8215" t="str">
        <f t="shared" si="667"/>
        <v>02504501210</v>
      </c>
      <c r="E8215" t="s">
        <v>52</v>
      </c>
      <c r="F8215">
        <v>2015</v>
      </c>
      <c r="G8215">
        <v>133</v>
      </c>
      <c r="H8215" s="1">
        <v>42308</v>
      </c>
      <c r="I8215" s="1">
        <v>42312</v>
      </c>
      <c r="J8215" s="1">
        <v>42311</v>
      </c>
      <c r="K8215" s="1">
        <v>42371</v>
      </c>
      <c r="L8215" s="7">
        <v>399</v>
      </c>
      <c r="M8215" s="5">
        <v>-15</v>
      </c>
      <c r="N8215" s="7">
        <v>-5985</v>
      </c>
      <c r="O8215">
        <v>399</v>
      </c>
      <c r="P8215">
        <v>-15</v>
      </c>
      <c r="Q8215" s="2">
        <v>-5985</v>
      </c>
      <c r="R8215">
        <v>87.78</v>
      </c>
      <c r="V8215">
        <v>486.78</v>
      </c>
      <c r="W8215">
        <v>486.78</v>
      </c>
      <c r="X8215">
        <v>486.78</v>
      </c>
      <c r="Y8215">
        <v>486.78</v>
      </c>
      <c r="Z8215">
        <v>486.78</v>
      </c>
      <c r="AA8215">
        <v>486.78</v>
      </c>
      <c r="AB8215" s="1">
        <v>42382</v>
      </c>
      <c r="AC8215" t="s">
        <v>53</v>
      </c>
      <c r="AD8215" t="s">
        <v>53</v>
      </c>
      <c r="AK8215">
        <v>0</v>
      </c>
      <c r="AM8215">
        <v>87.78</v>
      </c>
      <c r="AU8215" s="6">
        <v>42356</v>
      </c>
      <c r="AV8215" s="6">
        <v>42356</v>
      </c>
      <c r="AW8215" t="s">
        <v>54</v>
      </c>
      <c r="AX8215" t="str">
        <f t="shared" si="666"/>
        <v>FOR</v>
      </c>
      <c r="AY8215" t="s">
        <v>55</v>
      </c>
    </row>
    <row r="8216" spans="1:51">
      <c r="A8216">
        <v>104560</v>
      </c>
      <c r="B8216" t="s">
        <v>1338</v>
      </c>
      <c r="C8216" t="str">
        <f t="shared" si="667"/>
        <v>02504501210</v>
      </c>
      <c r="D8216" t="str">
        <f t="shared" si="667"/>
        <v>02504501210</v>
      </c>
      <c r="E8216" t="s">
        <v>52</v>
      </c>
      <c r="F8216">
        <v>2015</v>
      </c>
      <c r="G8216">
        <v>134</v>
      </c>
      <c r="H8216" s="1">
        <v>42308</v>
      </c>
      <c r="I8216" s="1">
        <v>42312</v>
      </c>
      <c r="J8216" s="1">
        <v>42311</v>
      </c>
      <c r="K8216" s="1">
        <v>42371</v>
      </c>
      <c r="L8216" s="7">
        <v>1250</v>
      </c>
      <c r="M8216" s="5">
        <v>-15</v>
      </c>
      <c r="N8216" s="7">
        <v>-18750</v>
      </c>
      <c r="O8216" s="2">
        <v>1250</v>
      </c>
      <c r="P8216">
        <v>-15</v>
      </c>
      <c r="Q8216" s="2">
        <v>-18750</v>
      </c>
      <c r="R8216">
        <v>275</v>
      </c>
      <c r="V8216" s="2">
        <v>1525</v>
      </c>
      <c r="W8216" s="2">
        <v>1525</v>
      </c>
      <c r="X8216" s="2">
        <v>1525</v>
      </c>
      <c r="Y8216" s="2">
        <v>1525</v>
      </c>
      <c r="Z8216" s="2">
        <v>1525</v>
      </c>
      <c r="AA8216" s="2">
        <v>1525</v>
      </c>
      <c r="AB8216" s="1">
        <v>42382</v>
      </c>
      <c r="AC8216" t="s">
        <v>53</v>
      </c>
      <c r="AD8216" t="s">
        <v>53</v>
      </c>
      <c r="AK8216">
        <v>0</v>
      </c>
      <c r="AM8216">
        <v>275</v>
      </c>
      <c r="AU8216" s="6">
        <v>42356</v>
      </c>
      <c r="AV8216" s="6">
        <v>42356</v>
      </c>
      <c r="AW8216" t="s">
        <v>54</v>
      </c>
      <c r="AX8216" t="str">
        <f t="shared" si="666"/>
        <v>FOR</v>
      </c>
      <c r="AY8216" t="s">
        <v>55</v>
      </c>
    </row>
    <row r="8217" spans="1:51">
      <c r="A8217">
        <v>104560</v>
      </c>
      <c r="B8217" t="s">
        <v>1338</v>
      </c>
      <c r="C8217" t="str">
        <f t="shared" si="667"/>
        <v>02504501210</v>
      </c>
      <c r="D8217" t="str">
        <f t="shared" si="667"/>
        <v>02504501210</v>
      </c>
      <c r="E8217" t="s">
        <v>52</v>
      </c>
      <c r="F8217">
        <v>2015</v>
      </c>
      <c r="G8217">
        <v>135</v>
      </c>
      <c r="H8217" s="1">
        <v>42308</v>
      </c>
      <c r="I8217" s="1">
        <v>42314</v>
      </c>
      <c r="J8217" s="1">
        <v>42313</v>
      </c>
      <c r="K8217" s="1">
        <v>42373</v>
      </c>
      <c r="L8217" s="7">
        <v>580</v>
      </c>
      <c r="M8217" s="5">
        <v>-17</v>
      </c>
      <c r="N8217" s="7">
        <v>-9860</v>
      </c>
      <c r="O8217">
        <v>580</v>
      </c>
      <c r="P8217">
        <v>-17</v>
      </c>
      <c r="Q8217" s="2">
        <v>-9860</v>
      </c>
      <c r="R8217">
        <v>127.6</v>
      </c>
      <c r="V8217">
        <v>707.6</v>
      </c>
      <c r="W8217">
        <v>707.6</v>
      </c>
      <c r="X8217">
        <v>707.6</v>
      </c>
      <c r="Y8217">
        <v>707.6</v>
      </c>
      <c r="Z8217">
        <v>707.6</v>
      </c>
      <c r="AA8217">
        <v>707.6</v>
      </c>
      <c r="AB8217" s="1">
        <v>42382</v>
      </c>
      <c r="AC8217" t="s">
        <v>53</v>
      </c>
      <c r="AD8217" t="s">
        <v>53</v>
      </c>
      <c r="AK8217">
        <v>0</v>
      </c>
      <c r="AM8217">
        <v>127.6</v>
      </c>
      <c r="AU8217" s="6">
        <v>42356</v>
      </c>
      <c r="AV8217" s="6">
        <v>42356</v>
      </c>
      <c r="AW8217" t="s">
        <v>54</v>
      </c>
      <c r="AX8217" t="str">
        <f t="shared" si="666"/>
        <v>FOR</v>
      </c>
      <c r="AY8217" t="s">
        <v>55</v>
      </c>
    </row>
    <row r="8218" spans="1:51">
      <c r="A8218">
        <v>104560</v>
      </c>
      <c r="B8218" t="s">
        <v>1338</v>
      </c>
      <c r="C8218" t="str">
        <f t="shared" si="667"/>
        <v>02504501210</v>
      </c>
      <c r="D8218" t="str">
        <f t="shared" si="667"/>
        <v>02504501210</v>
      </c>
      <c r="E8218" t="s">
        <v>52</v>
      </c>
      <c r="F8218">
        <v>2015</v>
      </c>
      <c r="G8218">
        <v>136</v>
      </c>
      <c r="H8218" s="1">
        <v>42308</v>
      </c>
      <c r="I8218" s="1">
        <v>42312</v>
      </c>
      <c r="J8218" s="1">
        <v>42311</v>
      </c>
      <c r="K8218" s="1">
        <v>42371</v>
      </c>
      <c r="L8218" s="7">
        <v>1350</v>
      </c>
      <c r="M8218" s="5">
        <v>-15</v>
      </c>
      <c r="N8218" s="7">
        <v>-20250</v>
      </c>
      <c r="O8218" s="2">
        <v>1350</v>
      </c>
      <c r="P8218">
        <v>-15</v>
      </c>
      <c r="Q8218" s="2">
        <v>-20250</v>
      </c>
      <c r="R8218">
        <v>297</v>
      </c>
      <c r="V8218" s="2">
        <v>1647</v>
      </c>
      <c r="W8218" s="2">
        <v>1647</v>
      </c>
      <c r="X8218" s="2">
        <v>1647</v>
      </c>
      <c r="Y8218" s="2">
        <v>1647</v>
      </c>
      <c r="Z8218" s="2">
        <v>1647</v>
      </c>
      <c r="AA8218" s="2">
        <v>1647</v>
      </c>
      <c r="AB8218" s="1">
        <v>42382</v>
      </c>
      <c r="AC8218" t="s">
        <v>53</v>
      </c>
      <c r="AD8218" t="s">
        <v>53</v>
      </c>
      <c r="AK8218">
        <v>0</v>
      </c>
      <c r="AM8218">
        <v>297</v>
      </c>
      <c r="AU8218" s="6">
        <v>42356</v>
      </c>
      <c r="AV8218" s="6">
        <v>42356</v>
      </c>
      <c r="AW8218" t="s">
        <v>54</v>
      </c>
      <c r="AX8218" t="str">
        <f t="shared" si="666"/>
        <v>FOR</v>
      </c>
      <c r="AY8218" t="s">
        <v>55</v>
      </c>
    </row>
    <row r="8219" spans="1:51">
      <c r="A8219">
        <v>104560</v>
      </c>
      <c r="B8219" t="s">
        <v>1338</v>
      </c>
      <c r="C8219" t="str">
        <f t="shared" si="667"/>
        <v>02504501210</v>
      </c>
      <c r="D8219" t="str">
        <f t="shared" si="667"/>
        <v>02504501210</v>
      </c>
      <c r="E8219" t="s">
        <v>52</v>
      </c>
      <c r="F8219">
        <v>2015</v>
      </c>
      <c r="G8219">
        <v>137</v>
      </c>
      <c r="H8219" s="1">
        <v>42308</v>
      </c>
      <c r="I8219" s="1">
        <v>42314</v>
      </c>
      <c r="J8219" s="1">
        <v>42313</v>
      </c>
      <c r="K8219" s="1">
        <v>42373</v>
      </c>
      <c r="L8219" s="7">
        <v>733.33</v>
      </c>
      <c r="M8219" s="5">
        <v>-17</v>
      </c>
      <c r="N8219" s="7">
        <v>-12466.61</v>
      </c>
      <c r="O8219">
        <v>733.33</v>
      </c>
      <c r="P8219">
        <v>-17</v>
      </c>
      <c r="Q8219" s="2">
        <v>-12466.61</v>
      </c>
      <c r="R8219">
        <v>161.33000000000001</v>
      </c>
      <c r="V8219">
        <v>894.66</v>
      </c>
      <c r="W8219">
        <v>894.66</v>
      </c>
      <c r="X8219">
        <v>894.66</v>
      </c>
      <c r="Y8219">
        <v>894.66</v>
      </c>
      <c r="Z8219">
        <v>894.66</v>
      </c>
      <c r="AA8219">
        <v>894.66</v>
      </c>
      <c r="AB8219" s="1">
        <v>42382</v>
      </c>
      <c r="AC8219" t="s">
        <v>53</v>
      </c>
      <c r="AD8219" t="s">
        <v>53</v>
      </c>
      <c r="AK8219">
        <v>0</v>
      </c>
      <c r="AM8219">
        <v>161.33000000000001</v>
      </c>
      <c r="AU8219" s="6">
        <v>42356</v>
      </c>
      <c r="AV8219" s="6">
        <v>42356</v>
      </c>
      <c r="AW8219" t="s">
        <v>54</v>
      </c>
      <c r="AX8219" t="str">
        <f t="shared" si="666"/>
        <v>FOR</v>
      </c>
      <c r="AY8219" t="s">
        <v>55</v>
      </c>
    </row>
    <row r="8220" spans="1:51" hidden="1">
      <c r="A8220">
        <v>104563</v>
      </c>
      <c r="B8220" t="s">
        <v>1339</v>
      </c>
      <c r="C8220" t="str">
        <f t="shared" ref="C8220:D8239" si="668">"02298700010"</f>
        <v>02298700010</v>
      </c>
      <c r="D8220" t="str">
        <f t="shared" si="668"/>
        <v>02298700010</v>
      </c>
      <c r="E8220" t="s">
        <v>52</v>
      </c>
      <c r="F8220">
        <v>2012</v>
      </c>
      <c r="G8220">
        <v>32705896</v>
      </c>
      <c r="H8220" s="1">
        <v>41274</v>
      </c>
      <c r="I8220" s="1">
        <v>41296</v>
      </c>
      <c r="J8220" s="1">
        <v>41296</v>
      </c>
      <c r="K8220" s="1">
        <v>41386</v>
      </c>
      <c r="N8220" s="5"/>
      <c r="O8220">
        <v>183.47</v>
      </c>
      <c r="P8220">
        <v>648</v>
      </c>
      <c r="Q8220" s="2">
        <v>118888.56</v>
      </c>
      <c r="R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 s="1">
        <v>42382</v>
      </c>
      <c r="AC8220" t="s">
        <v>53</v>
      </c>
      <c r="AD8220" t="s">
        <v>53</v>
      </c>
      <c r="AK8220">
        <v>0</v>
      </c>
      <c r="AU8220" s="6">
        <v>42034</v>
      </c>
      <c r="AV8220" s="6">
        <v>42034</v>
      </c>
      <c r="AW8220" t="s">
        <v>54</v>
      </c>
      <c r="AX8220" t="str">
        <f t="shared" si="666"/>
        <v>FOR</v>
      </c>
      <c r="AY8220" t="s">
        <v>55</v>
      </c>
    </row>
    <row r="8221" spans="1:51" hidden="1">
      <c r="A8221">
        <v>104563</v>
      </c>
      <c r="B8221" t="s">
        <v>1339</v>
      </c>
      <c r="C8221" t="str">
        <f t="shared" si="668"/>
        <v>02298700010</v>
      </c>
      <c r="D8221" t="str">
        <f t="shared" si="668"/>
        <v>02298700010</v>
      </c>
      <c r="E8221" t="s">
        <v>52</v>
      </c>
      <c r="F8221">
        <v>2012</v>
      </c>
      <c r="G8221">
        <v>32705899</v>
      </c>
      <c r="H8221" s="1">
        <v>41274</v>
      </c>
      <c r="I8221" s="1">
        <v>41296</v>
      </c>
      <c r="J8221" s="1">
        <v>41296</v>
      </c>
      <c r="K8221" s="1">
        <v>41386</v>
      </c>
      <c r="N8221" s="5"/>
      <c r="O8221">
        <v>106.48</v>
      </c>
      <c r="P8221">
        <v>648</v>
      </c>
      <c r="Q8221" s="2">
        <v>68999.039999999994</v>
      </c>
      <c r="R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 s="1">
        <v>42382</v>
      </c>
      <c r="AC8221" t="s">
        <v>53</v>
      </c>
      <c r="AD8221" t="s">
        <v>53</v>
      </c>
      <c r="AK8221">
        <v>0</v>
      </c>
      <c r="AU8221" s="6">
        <v>42034</v>
      </c>
      <c r="AV8221" s="6">
        <v>42034</v>
      </c>
      <c r="AW8221" t="s">
        <v>54</v>
      </c>
      <c r="AX8221" t="str">
        <f t="shared" si="666"/>
        <v>FOR</v>
      </c>
      <c r="AY8221" t="s">
        <v>55</v>
      </c>
    </row>
    <row r="8222" spans="1:51" hidden="1">
      <c r="A8222">
        <v>104563</v>
      </c>
      <c r="B8222" t="s">
        <v>1339</v>
      </c>
      <c r="C8222" t="str">
        <f t="shared" si="668"/>
        <v>02298700010</v>
      </c>
      <c r="D8222" t="str">
        <f t="shared" si="668"/>
        <v>02298700010</v>
      </c>
      <c r="E8222" t="s">
        <v>52</v>
      </c>
      <c r="F8222">
        <v>2012</v>
      </c>
      <c r="G8222">
        <v>32705901</v>
      </c>
      <c r="H8222" s="1">
        <v>41274</v>
      </c>
      <c r="I8222" s="1">
        <v>41296</v>
      </c>
      <c r="J8222" s="1">
        <v>41296</v>
      </c>
      <c r="K8222" s="1">
        <v>41386</v>
      </c>
      <c r="N8222" s="5"/>
      <c r="O8222">
        <v>106.48</v>
      </c>
      <c r="P8222">
        <v>648</v>
      </c>
      <c r="Q8222" s="2">
        <v>68999.039999999994</v>
      </c>
      <c r="R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 s="1">
        <v>42382</v>
      </c>
      <c r="AC8222" t="s">
        <v>53</v>
      </c>
      <c r="AD8222" t="s">
        <v>53</v>
      </c>
      <c r="AK8222">
        <v>0</v>
      </c>
      <c r="AU8222" s="6">
        <v>42034</v>
      </c>
      <c r="AV8222" s="6">
        <v>42034</v>
      </c>
      <c r="AW8222" t="s">
        <v>54</v>
      </c>
      <c r="AX8222" t="str">
        <f t="shared" si="666"/>
        <v>FOR</v>
      </c>
      <c r="AY8222" t="s">
        <v>55</v>
      </c>
    </row>
    <row r="8223" spans="1:51" hidden="1">
      <c r="A8223">
        <v>104563</v>
      </c>
      <c r="B8223" t="s">
        <v>1339</v>
      </c>
      <c r="C8223" t="str">
        <f t="shared" si="668"/>
        <v>02298700010</v>
      </c>
      <c r="D8223" t="str">
        <f t="shared" si="668"/>
        <v>02298700010</v>
      </c>
      <c r="E8223" t="s">
        <v>52</v>
      </c>
      <c r="F8223">
        <v>2014</v>
      </c>
      <c r="G8223">
        <v>34690004</v>
      </c>
      <c r="H8223" s="1">
        <v>41654</v>
      </c>
      <c r="I8223" s="1">
        <v>41698</v>
      </c>
      <c r="J8223" s="1">
        <v>41698</v>
      </c>
      <c r="K8223" s="1">
        <v>41788</v>
      </c>
      <c r="N8223" s="5"/>
      <c r="O8223">
        <v>16.260000000000002</v>
      </c>
      <c r="P8223">
        <v>230</v>
      </c>
      <c r="Q8223" s="2">
        <v>3739.8</v>
      </c>
      <c r="R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 s="1">
        <v>42382</v>
      </c>
      <c r="AC8223" t="s">
        <v>53</v>
      </c>
      <c r="AD8223" t="s">
        <v>53</v>
      </c>
      <c r="AK8223">
        <v>0</v>
      </c>
      <c r="AU8223" s="6">
        <v>42018</v>
      </c>
      <c r="AV8223" s="6">
        <v>42018</v>
      </c>
      <c r="AW8223" t="s">
        <v>54</v>
      </c>
      <c r="AX8223" t="str">
        <f t="shared" si="666"/>
        <v>FOR</v>
      </c>
      <c r="AY8223" t="s">
        <v>55</v>
      </c>
    </row>
    <row r="8224" spans="1:51" hidden="1">
      <c r="A8224">
        <v>104563</v>
      </c>
      <c r="B8224" t="s">
        <v>1339</v>
      </c>
      <c r="C8224" t="str">
        <f t="shared" si="668"/>
        <v>02298700010</v>
      </c>
      <c r="D8224" t="str">
        <f t="shared" si="668"/>
        <v>02298700010</v>
      </c>
      <c r="E8224" t="s">
        <v>52</v>
      </c>
      <c r="F8224">
        <v>2014</v>
      </c>
      <c r="G8224">
        <v>34691209</v>
      </c>
      <c r="H8224" s="1">
        <v>41729</v>
      </c>
      <c r="I8224" s="1">
        <v>41744</v>
      </c>
      <c r="J8224" s="1">
        <v>41744</v>
      </c>
      <c r="K8224" s="1">
        <v>41834</v>
      </c>
      <c r="N8224" s="5"/>
      <c r="O8224">
        <v>107.36</v>
      </c>
      <c r="P8224">
        <v>184</v>
      </c>
      <c r="Q8224" s="2">
        <v>19754.240000000002</v>
      </c>
      <c r="R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 s="1">
        <v>42382</v>
      </c>
      <c r="AC8224" t="s">
        <v>53</v>
      </c>
      <c r="AD8224" t="s">
        <v>53</v>
      </c>
      <c r="AK8224">
        <v>0</v>
      </c>
      <c r="AU8224" s="6">
        <v>42018</v>
      </c>
      <c r="AV8224" s="6">
        <v>42018</v>
      </c>
      <c r="AW8224" t="s">
        <v>54</v>
      </c>
      <c r="AX8224" t="str">
        <f t="shared" si="666"/>
        <v>FOR</v>
      </c>
      <c r="AY8224" t="s">
        <v>55</v>
      </c>
    </row>
    <row r="8225" spans="1:51" hidden="1">
      <c r="A8225">
        <v>104563</v>
      </c>
      <c r="B8225" t="s">
        <v>1339</v>
      </c>
      <c r="C8225" t="str">
        <f t="shared" si="668"/>
        <v>02298700010</v>
      </c>
      <c r="D8225" t="str">
        <f t="shared" si="668"/>
        <v>02298700010</v>
      </c>
      <c r="E8225" t="s">
        <v>52</v>
      </c>
      <c r="F8225">
        <v>2014</v>
      </c>
      <c r="G8225">
        <v>34691210</v>
      </c>
      <c r="H8225" s="1">
        <v>41729</v>
      </c>
      <c r="I8225" s="1">
        <v>41744</v>
      </c>
      <c r="J8225" s="1">
        <v>41744</v>
      </c>
      <c r="K8225" s="1">
        <v>41834</v>
      </c>
      <c r="N8225" s="5"/>
      <c r="O8225">
        <v>107.36</v>
      </c>
      <c r="P8225">
        <v>184</v>
      </c>
      <c r="Q8225" s="2">
        <v>19754.240000000002</v>
      </c>
      <c r="R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 s="1">
        <v>42382</v>
      </c>
      <c r="AC8225" t="s">
        <v>53</v>
      </c>
      <c r="AD8225" t="s">
        <v>53</v>
      </c>
      <c r="AK8225">
        <v>0</v>
      </c>
      <c r="AU8225" s="6">
        <v>42018</v>
      </c>
      <c r="AV8225" s="6">
        <v>42018</v>
      </c>
      <c r="AW8225" t="s">
        <v>54</v>
      </c>
      <c r="AX8225" t="str">
        <f t="shared" si="666"/>
        <v>FOR</v>
      </c>
      <c r="AY8225" t="s">
        <v>55</v>
      </c>
    </row>
    <row r="8226" spans="1:51" hidden="1">
      <c r="A8226">
        <v>104563</v>
      </c>
      <c r="B8226" t="s">
        <v>1339</v>
      </c>
      <c r="C8226" t="str">
        <f t="shared" si="668"/>
        <v>02298700010</v>
      </c>
      <c r="D8226" t="str">
        <f t="shared" si="668"/>
        <v>02298700010</v>
      </c>
      <c r="E8226" t="s">
        <v>52</v>
      </c>
      <c r="F8226">
        <v>2014</v>
      </c>
      <c r="G8226">
        <v>34691211</v>
      </c>
      <c r="H8226" s="1">
        <v>41729</v>
      </c>
      <c r="I8226" s="1">
        <v>41744</v>
      </c>
      <c r="J8226" s="1">
        <v>41744</v>
      </c>
      <c r="K8226" s="1">
        <v>41834</v>
      </c>
      <c r="N8226" s="5"/>
      <c r="O8226">
        <v>107.36</v>
      </c>
      <c r="P8226">
        <v>184</v>
      </c>
      <c r="Q8226" s="2">
        <v>19754.240000000002</v>
      </c>
      <c r="R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 s="1">
        <v>42382</v>
      </c>
      <c r="AC8226" t="s">
        <v>53</v>
      </c>
      <c r="AD8226" t="s">
        <v>53</v>
      </c>
      <c r="AK8226">
        <v>0</v>
      </c>
      <c r="AU8226" s="6">
        <v>42018</v>
      </c>
      <c r="AV8226" s="6">
        <v>42018</v>
      </c>
      <c r="AW8226" t="s">
        <v>54</v>
      </c>
      <c r="AX8226" t="str">
        <f t="shared" si="666"/>
        <v>FOR</v>
      </c>
      <c r="AY8226" t="s">
        <v>55</v>
      </c>
    </row>
    <row r="8227" spans="1:51" hidden="1">
      <c r="A8227">
        <v>104563</v>
      </c>
      <c r="B8227" t="s">
        <v>1339</v>
      </c>
      <c r="C8227" t="str">
        <f t="shared" si="668"/>
        <v>02298700010</v>
      </c>
      <c r="D8227" t="str">
        <f t="shared" si="668"/>
        <v>02298700010</v>
      </c>
      <c r="E8227" t="s">
        <v>52</v>
      </c>
      <c r="F8227">
        <v>2014</v>
      </c>
      <c r="G8227">
        <v>34691212</v>
      </c>
      <c r="H8227" s="1">
        <v>41729</v>
      </c>
      <c r="I8227" s="1">
        <v>41744</v>
      </c>
      <c r="J8227" s="1">
        <v>41744</v>
      </c>
      <c r="K8227" s="1">
        <v>41834</v>
      </c>
      <c r="N8227" s="5"/>
      <c r="O8227">
        <v>107.36</v>
      </c>
      <c r="P8227">
        <v>184</v>
      </c>
      <c r="Q8227" s="2">
        <v>19754.240000000002</v>
      </c>
      <c r="R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 s="1">
        <v>42382</v>
      </c>
      <c r="AC8227" t="s">
        <v>53</v>
      </c>
      <c r="AD8227" t="s">
        <v>53</v>
      </c>
      <c r="AK8227">
        <v>0</v>
      </c>
      <c r="AU8227" s="6">
        <v>42018</v>
      </c>
      <c r="AV8227" s="6">
        <v>42018</v>
      </c>
      <c r="AW8227" t="s">
        <v>54</v>
      </c>
      <c r="AX8227" t="str">
        <f t="shared" si="666"/>
        <v>FOR</v>
      </c>
      <c r="AY8227" t="s">
        <v>55</v>
      </c>
    </row>
    <row r="8228" spans="1:51" hidden="1">
      <c r="A8228">
        <v>104563</v>
      </c>
      <c r="B8228" t="s">
        <v>1339</v>
      </c>
      <c r="C8228" t="str">
        <f t="shared" si="668"/>
        <v>02298700010</v>
      </c>
      <c r="D8228" t="str">
        <f t="shared" si="668"/>
        <v>02298700010</v>
      </c>
      <c r="E8228" t="s">
        <v>52</v>
      </c>
      <c r="F8228">
        <v>2014</v>
      </c>
      <c r="G8228">
        <v>34691213</v>
      </c>
      <c r="H8228" s="1">
        <v>41729</v>
      </c>
      <c r="I8228" s="1">
        <v>41744</v>
      </c>
      <c r="J8228" s="1">
        <v>41744</v>
      </c>
      <c r="K8228" s="1">
        <v>41834</v>
      </c>
      <c r="N8228" s="5"/>
      <c r="O8228">
        <v>107.36</v>
      </c>
      <c r="P8228">
        <v>184</v>
      </c>
      <c r="Q8228" s="2">
        <v>19754.240000000002</v>
      </c>
      <c r="R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 s="1">
        <v>42382</v>
      </c>
      <c r="AC8228" t="s">
        <v>53</v>
      </c>
      <c r="AD8228" t="s">
        <v>53</v>
      </c>
      <c r="AK8228">
        <v>0</v>
      </c>
      <c r="AU8228" s="6">
        <v>42018</v>
      </c>
      <c r="AV8228" s="6">
        <v>42018</v>
      </c>
      <c r="AW8228" t="s">
        <v>54</v>
      </c>
      <c r="AX8228" t="str">
        <f t="shared" si="666"/>
        <v>FOR</v>
      </c>
      <c r="AY8228" t="s">
        <v>55</v>
      </c>
    </row>
    <row r="8229" spans="1:51" hidden="1">
      <c r="A8229">
        <v>104563</v>
      </c>
      <c r="B8229" t="s">
        <v>1339</v>
      </c>
      <c r="C8229" t="str">
        <f t="shared" si="668"/>
        <v>02298700010</v>
      </c>
      <c r="D8229" t="str">
        <f t="shared" si="668"/>
        <v>02298700010</v>
      </c>
      <c r="E8229" t="s">
        <v>52</v>
      </c>
      <c r="F8229">
        <v>2014</v>
      </c>
      <c r="G8229">
        <v>34691214</v>
      </c>
      <c r="H8229" s="1">
        <v>41729</v>
      </c>
      <c r="I8229" s="1">
        <v>41744</v>
      </c>
      <c r="J8229" s="1">
        <v>41744</v>
      </c>
      <c r="K8229" s="1">
        <v>41834</v>
      </c>
      <c r="N8229" s="5"/>
      <c r="O8229">
        <v>322.08</v>
      </c>
      <c r="P8229">
        <v>184</v>
      </c>
      <c r="Q8229" s="2">
        <v>59262.720000000001</v>
      </c>
      <c r="R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 s="1">
        <v>42382</v>
      </c>
      <c r="AC8229" t="s">
        <v>53</v>
      </c>
      <c r="AD8229" t="s">
        <v>53</v>
      </c>
      <c r="AK8229">
        <v>0</v>
      </c>
      <c r="AU8229" s="6">
        <v>42018</v>
      </c>
      <c r="AV8229" s="6">
        <v>42018</v>
      </c>
      <c r="AW8229" t="s">
        <v>54</v>
      </c>
      <c r="AX8229" t="str">
        <f t="shared" si="666"/>
        <v>FOR</v>
      </c>
      <c r="AY8229" t="s">
        <v>55</v>
      </c>
    </row>
    <row r="8230" spans="1:51" hidden="1">
      <c r="A8230">
        <v>104563</v>
      </c>
      <c r="B8230" t="s">
        <v>1339</v>
      </c>
      <c r="C8230" t="str">
        <f t="shared" si="668"/>
        <v>02298700010</v>
      </c>
      <c r="D8230" t="str">
        <f t="shared" si="668"/>
        <v>02298700010</v>
      </c>
      <c r="E8230" t="s">
        <v>52</v>
      </c>
      <c r="F8230">
        <v>2014</v>
      </c>
      <c r="G8230">
        <v>34691215</v>
      </c>
      <c r="H8230" s="1">
        <v>41729</v>
      </c>
      <c r="I8230" s="1">
        <v>41744</v>
      </c>
      <c r="J8230" s="1">
        <v>41744</v>
      </c>
      <c r="K8230" s="1">
        <v>41834</v>
      </c>
      <c r="N8230" s="5"/>
      <c r="O8230">
        <v>574.95000000000005</v>
      </c>
      <c r="P8230">
        <v>184</v>
      </c>
      <c r="Q8230" s="2">
        <v>105790.8</v>
      </c>
      <c r="R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 s="1">
        <v>42382</v>
      </c>
      <c r="AC8230" t="s">
        <v>53</v>
      </c>
      <c r="AD8230" t="s">
        <v>53</v>
      </c>
      <c r="AK8230">
        <v>0</v>
      </c>
      <c r="AU8230" s="6">
        <v>42018</v>
      </c>
      <c r="AV8230" s="6">
        <v>42018</v>
      </c>
      <c r="AW8230" t="s">
        <v>54</v>
      </c>
      <c r="AX8230" t="str">
        <f t="shared" si="666"/>
        <v>FOR</v>
      </c>
      <c r="AY8230" t="s">
        <v>55</v>
      </c>
    </row>
    <row r="8231" spans="1:51" hidden="1">
      <c r="A8231">
        <v>104563</v>
      </c>
      <c r="B8231" t="s">
        <v>1339</v>
      </c>
      <c r="C8231" t="str">
        <f t="shared" si="668"/>
        <v>02298700010</v>
      </c>
      <c r="D8231" t="str">
        <f t="shared" si="668"/>
        <v>02298700010</v>
      </c>
      <c r="E8231" t="s">
        <v>52</v>
      </c>
      <c r="F8231">
        <v>2014</v>
      </c>
      <c r="G8231">
        <v>34691216</v>
      </c>
      <c r="H8231" s="1">
        <v>41729</v>
      </c>
      <c r="I8231" s="1">
        <v>41744</v>
      </c>
      <c r="J8231" s="1">
        <v>41744</v>
      </c>
      <c r="K8231" s="1">
        <v>41834</v>
      </c>
      <c r="N8231" s="5"/>
      <c r="O8231">
        <v>191.65</v>
      </c>
      <c r="P8231">
        <v>184</v>
      </c>
      <c r="Q8231" s="2">
        <v>35263.599999999999</v>
      </c>
      <c r="R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 s="1">
        <v>42382</v>
      </c>
      <c r="AC8231" t="s">
        <v>53</v>
      </c>
      <c r="AD8231" t="s">
        <v>53</v>
      </c>
      <c r="AK8231">
        <v>0</v>
      </c>
      <c r="AU8231" s="6">
        <v>42018</v>
      </c>
      <c r="AV8231" s="6">
        <v>42018</v>
      </c>
      <c r="AW8231" t="s">
        <v>54</v>
      </c>
      <c r="AX8231" t="str">
        <f t="shared" si="666"/>
        <v>FOR</v>
      </c>
      <c r="AY8231" t="s">
        <v>55</v>
      </c>
    </row>
    <row r="8232" spans="1:51" hidden="1">
      <c r="A8232">
        <v>104563</v>
      </c>
      <c r="B8232" t="s">
        <v>1339</v>
      </c>
      <c r="C8232" t="str">
        <f t="shared" si="668"/>
        <v>02298700010</v>
      </c>
      <c r="D8232" t="str">
        <f t="shared" si="668"/>
        <v>02298700010</v>
      </c>
      <c r="E8232" t="s">
        <v>52</v>
      </c>
      <c r="F8232">
        <v>2014</v>
      </c>
      <c r="G8232">
        <v>34691217</v>
      </c>
      <c r="H8232" s="1">
        <v>41729</v>
      </c>
      <c r="I8232" s="1">
        <v>41744</v>
      </c>
      <c r="J8232" s="1">
        <v>41744</v>
      </c>
      <c r="K8232" s="1">
        <v>41834</v>
      </c>
      <c r="N8232" s="5"/>
      <c r="O8232">
        <v>383.3</v>
      </c>
      <c r="P8232">
        <v>184</v>
      </c>
      <c r="Q8232" s="2">
        <v>70527.199999999997</v>
      </c>
      <c r="R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 s="1">
        <v>42382</v>
      </c>
      <c r="AC8232" t="s">
        <v>53</v>
      </c>
      <c r="AD8232" t="s">
        <v>53</v>
      </c>
      <c r="AK8232">
        <v>0</v>
      </c>
      <c r="AU8232" s="6">
        <v>42018</v>
      </c>
      <c r="AV8232" s="6">
        <v>42018</v>
      </c>
      <c r="AW8232" t="s">
        <v>54</v>
      </c>
      <c r="AX8232" t="str">
        <f t="shared" si="666"/>
        <v>FOR</v>
      </c>
      <c r="AY8232" t="s">
        <v>55</v>
      </c>
    </row>
    <row r="8233" spans="1:51" hidden="1">
      <c r="A8233">
        <v>104563</v>
      </c>
      <c r="B8233" t="s">
        <v>1339</v>
      </c>
      <c r="C8233" t="str">
        <f t="shared" si="668"/>
        <v>02298700010</v>
      </c>
      <c r="D8233" t="str">
        <f t="shared" si="668"/>
        <v>02298700010</v>
      </c>
      <c r="E8233" t="s">
        <v>52</v>
      </c>
      <c r="F8233">
        <v>2014</v>
      </c>
      <c r="G8233">
        <v>34693735</v>
      </c>
      <c r="H8233" s="1">
        <v>41758</v>
      </c>
      <c r="I8233" s="1">
        <v>41778</v>
      </c>
      <c r="J8233" s="1">
        <v>41778</v>
      </c>
      <c r="K8233" s="1">
        <v>41868</v>
      </c>
      <c r="N8233" s="5"/>
      <c r="O8233">
        <v>185.31</v>
      </c>
      <c r="P8233">
        <v>150</v>
      </c>
      <c r="Q8233" s="2">
        <v>27796.5</v>
      </c>
      <c r="R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 s="1">
        <v>42382</v>
      </c>
      <c r="AC8233" t="s">
        <v>53</v>
      </c>
      <c r="AD8233" t="s">
        <v>53</v>
      </c>
      <c r="AK8233">
        <v>0</v>
      </c>
      <c r="AU8233" s="6">
        <v>42018</v>
      </c>
      <c r="AV8233" s="6">
        <v>42018</v>
      </c>
      <c r="AW8233" t="s">
        <v>54</v>
      </c>
      <c r="AX8233" t="str">
        <f t="shared" si="666"/>
        <v>FOR</v>
      </c>
      <c r="AY8233" t="s">
        <v>55</v>
      </c>
    </row>
    <row r="8234" spans="1:51" hidden="1">
      <c r="A8234">
        <v>104563</v>
      </c>
      <c r="B8234" t="s">
        <v>1339</v>
      </c>
      <c r="C8234" t="str">
        <f t="shared" si="668"/>
        <v>02298700010</v>
      </c>
      <c r="D8234" t="str">
        <f t="shared" si="668"/>
        <v>02298700010</v>
      </c>
      <c r="E8234" t="s">
        <v>52</v>
      </c>
      <c r="F8234">
        <v>2014</v>
      </c>
      <c r="G8234">
        <v>34694096</v>
      </c>
      <c r="H8234" s="1">
        <v>41788</v>
      </c>
      <c r="I8234" s="1">
        <v>41816</v>
      </c>
      <c r="J8234" s="1">
        <v>41816</v>
      </c>
      <c r="K8234" s="1">
        <v>41906</v>
      </c>
      <c r="N8234" s="5"/>
      <c r="O8234" s="2">
        <v>14372.82</v>
      </c>
      <c r="P8234">
        <v>252</v>
      </c>
      <c r="Q8234" s="2">
        <v>3621950.64</v>
      </c>
      <c r="R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 s="1">
        <v>42382</v>
      </c>
      <c r="AC8234" t="s">
        <v>53</v>
      </c>
      <c r="AD8234" t="s">
        <v>53</v>
      </c>
      <c r="AK8234">
        <v>0</v>
      </c>
      <c r="AU8234" s="6">
        <v>42158</v>
      </c>
      <c r="AV8234" s="6">
        <v>42158</v>
      </c>
      <c r="AW8234" t="s">
        <v>54</v>
      </c>
      <c r="AX8234" t="str">
        <f t="shared" si="666"/>
        <v>FOR</v>
      </c>
      <c r="AY8234" t="s">
        <v>55</v>
      </c>
    </row>
    <row r="8235" spans="1:51" hidden="1">
      <c r="A8235">
        <v>104563</v>
      </c>
      <c r="B8235" t="s">
        <v>1339</v>
      </c>
      <c r="C8235" t="str">
        <f t="shared" si="668"/>
        <v>02298700010</v>
      </c>
      <c r="D8235" t="str">
        <f t="shared" si="668"/>
        <v>02298700010</v>
      </c>
      <c r="E8235" t="s">
        <v>52</v>
      </c>
      <c r="F8235">
        <v>2014</v>
      </c>
      <c r="G8235">
        <v>34694245</v>
      </c>
      <c r="H8235" s="1">
        <v>41794</v>
      </c>
      <c r="I8235" s="1">
        <v>41880</v>
      </c>
      <c r="J8235" s="1">
        <v>41880</v>
      </c>
      <c r="K8235" s="1">
        <v>41970</v>
      </c>
      <c r="N8235" s="5"/>
      <c r="O8235">
        <v>76.349999999999994</v>
      </c>
      <c r="P8235">
        <v>188</v>
      </c>
      <c r="Q8235" s="2">
        <v>14353.8</v>
      </c>
      <c r="R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 s="1">
        <v>42382</v>
      </c>
      <c r="AC8235" t="s">
        <v>53</v>
      </c>
      <c r="AD8235" t="s">
        <v>53</v>
      </c>
      <c r="AK8235">
        <v>0</v>
      </c>
      <c r="AU8235" s="6">
        <v>42158</v>
      </c>
      <c r="AV8235" s="6">
        <v>42158</v>
      </c>
      <c r="AW8235" t="s">
        <v>54</v>
      </c>
      <c r="AX8235" t="str">
        <f t="shared" si="666"/>
        <v>FOR</v>
      </c>
      <c r="AY8235" t="s">
        <v>55</v>
      </c>
    </row>
    <row r="8236" spans="1:51" hidden="1">
      <c r="A8236">
        <v>104563</v>
      </c>
      <c r="B8236" t="s">
        <v>1339</v>
      </c>
      <c r="C8236" t="str">
        <f t="shared" si="668"/>
        <v>02298700010</v>
      </c>
      <c r="D8236" t="str">
        <f t="shared" si="668"/>
        <v>02298700010</v>
      </c>
      <c r="E8236" t="s">
        <v>52</v>
      </c>
      <c r="F8236">
        <v>2014</v>
      </c>
      <c r="G8236">
        <v>34694246</v>
      </c>
      <c r="H8236" s="1">
        <v>41794</v>
      </c>
      <c r="I8236" s="1">
        <v>41880</v>
      </c>
      <c r="J8236" s="1">
        <v>41880</v>
      </c>
      <c r="K8236" s="1">
        <v>41970</v>
      </c>
      <c r="N8236" s="5"/>
      <c r="O8236">
        <v>76.349999999999994</v>
      </c>
      <c r="P8236">
        <v>188</v>
      </c>
      <c r="Q8236" s="2">
        <v>14353.8</v>
      </c>
      <c r="R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 s="1">
        <v>42382</v>
      </c>
      <c r="AC8236" t="s">
        <v>53</v>
      </c>
      <c r="AD8236" t="s">
        <v>53</v>
      </c>
      <c r="AK8236">
        <v>0</v>
      </c>
      <c r="AU8236" s="6">
        <v>42158</v>
      </c>
      <c r="AV8236" s="6">
        <v>42158</v>
      </c>
      <c r="AW8236" t="s">
        <v>54</v>
      </c>
      <c r="AX8236" t="str">
        <f t="shared" si="666"/>
        <v>FOR</v>
      </c>
      <c r="AY8236" t="s">
        <v>55</v>
      </c>
    </row>
    <row r="8237" spans="1:51" hidden="1">
      <c r="A8237">
        <v>104563</v>
      </c>
      <c r="B8237" t="s">
        <v>1339</v>
      </c>
      <c r="C8237" t="str">
        <f t="shared" si="668"/>
        <v>02298700010</v>
      </c>
      <c r="D8237" t="str">
        <f t="shared" si="668"/>
        <v>02298700010</v>
      </c>
      <c r="E8237" t="s">
        <v>52</v>
      </c>
      <c r="F8237">
        <v>2014</v>
      </c>
      <c r="G8237">
        <v>34694460</v>
      </c>
      <c r="H8237" s="1">
        <v>41820</v>
      </c>
      <c r="I8237" s="1">
        <v>41880</v>
      </c>
      <c r="J8237" s="1">
        <v>41880</v>
      </c>
      <c r="K8237" s="1">
        <v>41970</v>
      </c>
      <c r="N8237" s="5"/>
      <c r="O8237">
        <v>107.36</v>
      </c>
      <c r="P8237">
        <v>188</v>
      </c>
      <c r="Q8237" s="2">
        <v>20183.68</v>
      </c>
      <c r="R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 s="1">
        <v>42382</v>
      </c>
      <c r="AC8237" t="s">
        <v>53</v>
      </c>
      <c r="AD8237" t="s">
        <v>53</v>
      </c>
      <c r="AK8237">
        <v>0</v>
      </c>
      <c r="AU8237" s="6">
        <v>42158</v>
      </c>
      <c r="AV8237" s="6">
        <v>42158</v>
      </c>
      <c r="AW8237" t="s">
        <v>54</v>
      </c>
      <c r="AX8237" t="str">
        <f t="shared" si="666"/>
        <v>FOR</v>
      </c>
      <c r="AY8237" t="s">
        <v>55</v>
      </c>
    </row>
    <row r="8238" spans="1:51" hidden="1">
      <c r="A8238">
        <v>104563</v>
      </c>
      <c r="B8238" t="s">
        <v>1339</v>
      </c>
      <c r="C8238" t="str">
        <f t="shared" si="668"/>
        <v>02298700010</v>
      </c>
      <c r="D8238" t="str">
        <f t="shared" si="668"/>
        <v>02298700010</v>
      </c>
      <c r="E8238" t="s">
        <v>52</v>
      </c>
      <c r="F8238">
        <v>2014</v>
      </c>
      <c r="G8238">
        <v>34694461</v>
      </c>
      <c r="H8238" s="1">
        <v>41820</v>
      </c>
      <c r="I8238" s="1">
        <v>41880</v>
      </c>
      <c r="J8238" s="1">
        <v>41880</v>
      </c>
      <c r="K8238" s="1">
        <v>41970</v>
      </c>
      <c r="N8238" s="5"/>
      <c r="O8238">
        <v>107.36</v>
      </c>
      <c r="P8238">
        <v>188</v>
      </c>
      <c r="Q8238" s="2">
        <v>20183.68</v>
      </c>
      <c r="R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 s="1">
        <v>42382</v>
      </c>
      <c r="AC8238" t="s">
        <v>53</v>
      </c>
      <c r="AD8238" t="s">
        <v>53</v>
      </c>
      <c r="AK8238">
        <v>0</v>
      </c>
      <c r="AU8238" s="6">
        <v>42158</v>
      </c>
      <c r="AV8238" s="6">
        <v>42158</v>
      </c>
      <c r="AW8238" t="s">
        <v>54</v>
      </c>
      <c r="AX8238" t="str">
        <f t="shared" si="666"/>
        <v>FOR</v>
      </c>
      <c r="AY8238" t="s">
        <v>55</v>
      </c>
    </row>
    <row r="8239" spans="1:51" hidden="1">
      <c r="A8239">
        <v>104563</v>
      </c>
      <c r="B8239" t="s">
        <v>1339</v>
      </c>
      <c r="C8239" t="str">
        <f t="shared" si="668"/>
        <v>02298700010</v>
      </c>
      <c r="D8239" t="str">
        <f t="shared" si="668"/>
        <v>02298700010</v>
      </c>
      <c r="E8239" t="s">
        <v>52</v>
      </c>
      <c r="F8239">
        <v>2014</v>
      </c>
      <c r="G8239">
        <v>34694462</v>
      </c>
      <c r="H8239" s="1">
        <v>41820</v>
      </c>
      <c r="I8239" s="1">
        <v>41880</v>
      </c>
      <c r="J8239" s="1">
        <v>41880</v>
      </c>
      <c r="K8239" s="1">
        <v>41970</v>
      </c>
      <c r="N8239" s="5"/>
      <c r="O8239">
        <v>107.36</v>
      </c>
      <c r="P8239">
        <v>188</v>
      </c>
      <c r="Q8239" s="2">
        <v>20183.68</v>
      </c>
      <c r="R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 s="1">
        <v>42382</v>
      </c>
      <c r="AC8239" t="s">
        <v>53</v>
      </c>
      <c r="AD8239" t="s">
        <v>53</v>
      </c>
      <c r="AK8239">
        <v>0</v>
      </c>
      <c r="AU8239" s="6">
        <v>42158</v>
      </c>
      <c r="AV8239" s="6">
        <v>42158</v>
      </c>
      <c r="AW8239" t="s">
        <v>54</v>
      </c>
      <c r="AX8239" t="str">
        <f t="shared" si="666"/>
        <v>FOR</v>
      </c>
      <c r="AY8239" t="s">
        <v>55</v>
      </c>
    </row>
    <row r="8240" spans="1:51" hidden="1">
      <c r="A8240">
        <v>104563</v>
      </c>
      <c r="B8240" t="s">
        <v>1339</v>
      </c>
      <c r="C8240" t="str">
        <f t="shared" ref="C8240:D8255" si="669">"02298700010"</f>
        <v>02298700010</v>
      </c>
      <c r="D8240" t="str">
        <f t="shared" si="669"/>
        <v>02298700010</v>
      </c>
      <c r="E8240" t="s">
        <v>52</v>
      </c>
      <c r="F8240">
        <v>2014</v>
      </c>
      <c r="G8240">
        <v>34694463</v>
      </c>
      <c r="H8240" s="1">
        <v>41820</v>
      </c>
      <c r="I8240" s="1">
        <v>41880</v>
      </c>
      <c r="J8240" s="1">
        <v>41880</v>
      </c>
      <c r="K8240" s="1">
        <v>41970</v>
      </c>
      <c r="N8240" s="5"/>
      <c r="O8240">
        <v>322.08</v>
      </c>
      <c r="P8240">
        <v>188</v>
      </c>
      <c r="Q8240" s="2">
        <v>60551.040000000001</v>
      </c>
      <c r="R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 s="1">
        <v>42382</v>
      </c>
      <c r="AC8240" t="s">
        <v>53</v>
      </c>
      <c r="AD8240" t="s">
        <v>53</v>
      </c>
      <c r="AK8240">
        <v>0</v>
      </c>
      <c r="AU8240" s="6">
        <v>42158</v>
      </c>
      <c r="AV8240" s="6">
        <v>42158</v>
      </c>
      <c r="AW8240" t="s">
        <v>54</v>
      </c>
      <c r="AX8240" t="str">
        <f t="shared" si="666"/>
        <v>FOR</v>
      </c>
      <c r="AY8240" t="s">
        <v>55</v>
      </c>
    </row>
    <row r="8241" spans="1:51" hidden="1">
      <c r="A8241">
        <v>104563</v>
      </c>
      <c r="B8241" t="s">
        <v>1339</v>
      </c>
      <c r="C8241" t="str">
        <f t="shared" si="669"/>
        <v>02298700010</v>
      </c>
      <c r="D8241" t="str">
        <f t="shared" si="669"/>
        <v>02298700010</v>
      </c>
      <c r="E8241" t="s">
        <v>52</v>
      </c>
      <c r="F8241">
        <v>2014</v>
      </c>
      <c r="G8241">
        <v>34694464</v>
      </c>
      <c r="H8241" s="1">
        <v>41820</v>
      </c>
      <c r="I8241" s="1">
        <v>41880</v>
      </c>
      <c r="J8241" s="1">
        <v>41880</v>
      </c>
      <c r="K8241" s="1">
        <v>41970</v>
      </c>
      <c r="N8241" s="5"/>
      <c r="O8241">
        <v>191.65</v>
      </c>
      <c r="P8241">
        <v>188</v>
      </c>
      <c r="Q8241" s="2">
        <v>36030.199999999997</v>
      </c>
      <c r="R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 s="1">
        <v>42382</v>
      </c>
      <c r="AC8241" t="s">
        <v>53</v>
      </c>
      <c r="AD8241" t="s">
        <v>53</v>
      </c>
      <c r="AK8241">
        <v>0</v>
      </c>
      <c r="AU8241" s="6">
        <v>42158</v>
      </c>
      <c r="AV8241" s="6">
        <v>42158</v>
      </c>
      <c r="AW8241" t="s">
        <v>54</v>
      </c>
      <c r="AX8241" t="str">
        <f t="shared" si="666"/>
        <v>FOR</v>
      </c>
      <c r="AY8241" t="s">
        <v>55</v>
      </c>
    </row>
    <row r="8242" spans="1:51" hidden="1">
      <c r="A8242">
        <v>104563</v>
      </c>
      <c r="B8242" t="s">
        <v>1339</v>
      </c>
      <c r="C8242" t="str">
        <f t="shared" si="669"/>
        <v>02298700010</v>
      </c>
      <c r="D8242" t="str">
        <f t="shared" si="669"/>
        <v>02298700010</v>
      </c>
      <c r="E8242" t="s">
        <v>52</v>
      </c>
      <c r="F8242">
        <v>2014</v>
      </c>
      <c r="G8242">
        <v>34694465</v>
      </c>
      <c r="H8242" s="1">
        <v>41820</v>
      </c>
      <c r="I8242" s="1">
        <v>41880</v>
      </c>
      <c r="J8242" s="1">
        <v>41880</v>
      </c>
      <c r="K8242" s="1">
        <v>41970</v>
      </c>
      <c r="N8242" s="5"/>
      <c r="O8242">
        <v>383.3</v>
      </c>
      <c r="P8242">
        <v>188</v>
      </c>
      <c r="Q8242" s="2">
        <v>72060.399999999994</v>
      </c>
      <c r="R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 s="1">
        <v>42382</v>
      </c>
      <c r="AC8242" t="s">
        <v>53</v>
      </c>
      <c r="AD8242" t="s">
        <v>53</v>
      </c>
      <c r="AK8242">
        <v>0</v>
      </c>
      <c r="AU8242" s="6">
        <v>42158</v>
      </c>
      <c r="AV8242" s="6">
        <v>42158</v>
      </c>
      <c r="AW8242" t="s">
        <v>54</v>
      </c>
      <c r="AX8242" t="str">
        <f t="shared" si="666"/>
        <v>FOR</v>
      </c>
      <c r="AY8242" t="s">
        <v>55</v>
      </c>
    </row>
    <row r="8243" spans="1:51" hidden="1">
      <c r="A8243">
        <v>104563</v>
      </c>
      <c r="B8243" t="s">
        <v>1339</v>
      </c>
      <c r="C8243" t="str">
        <f t="shared" si="669"/>
        <v>02298700010</v>
      </c>
      <c r="D8243" t="str">
        <f t="shared" si="669"/>
        <v>02298700010</v>
      </c>
      <c r="E8243" t="s">
        <v>52</v>
      </c>
      <c r="F8243">
        <v>2014</v>
      </c>
      <c r="G8243">
        <v>34696731</v>
      </c>
      <c r="H8243" s="1">
        <v>41845</v>
      </c>
      <c r="I8243" s="1">
        <v>41880</v>
      </c>
      <c r="J8243" s="1">
        <v>41880</v>
      </c>
      <c r="K8243" s="1">
        <v>41970</v>
      </c>
      <c r="N8243" s="5"/>
      <c r="O8243">
        <v>53.25</v>
      </c>
      <c r="P8243">
        <v>188</v>
      </c>
      <c r="Q8243" s="2">
        <v>10011</v>
      </c>
      <c r="R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 s="1">
        <v>42382</v>
      </c>
      <c r="AC8243" t="s">
        <v>53</v>
      </c>
      <c r="AD8243" t="s">
        <v>53</v>
      </c>
      <c r="AK8243">
        <v>0</v>
      </c>
      <c r="AU8243" s="6">
        <v>42158</v>
      </c>
      <c r="AV8243" s="6">
        <v>42158</v>
      </c>
      <c r="AW8243" t="s">
        <v>54</v>
      </c>
      <c r="AX8243" t="str">
        <f t="shared" si="666"/>
        <v>FOR</v>
      </c>
      <c r="AY8243" t="s">
        <v>55</v>
      </c>
    </row>
    <row r="8244" spans="1:51" hidden="1">
      <c r="A8244">
        <v>104563</v>
      </c>
      <c r="B8244" t="s">
        <v>1339</v>
      </c>
      <c r="C8244" t="str">
        <f t="shared" si="669"/>
        <v>02298700010</v>
      </c>
      <c r="D8244" t="str">
        <f t="shared" si="669"/>
        <v>02298700010</v>
      </c>
      <c r="E8244" t="s">
        <v>52</v>
      </c>
      <c r="F8244">
        <v>2014</v>
      </c>
      <c r="G8244">
        <v>34696929</v>
      </c>
      <c r="H8244" s="1">
        <v>41885</v>
      </c>
      <c r="I8244" s="1">
        <v>41899</v>
      </c>
      <c r="J8244" s="1">
        <v>41899</v>
      </c>
      <c r="K8244" s="1">
        <v>41989</v>
      </c>
      <c r="N8244" s="5"/>
      <c r="O8244">
        <v>75.150000000000006</v>
      </c>
      <c r="P8244">
        <v>260</v>
      </c>
      <c r="Q8244" s="2">
        <v>19539</v>
      </c>
      <c r="R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 s="1">
        <v>42382</v>
      </c>
      <c r="AC8244" t="s">
        <v>53</v>
      </c>
      <c r="AD8244" t="s">
        <v>53</v>
      </c>
      <c r="AK8244">
        <v>0</v>
      </c>
      <c r="AU8244" s="6">
        <v>42249</v>
      </c>
      <c r="AV8244" s="6">
        <v>42249</v>
      </c>
      <c r="AW8244" t="s">
        <v>54</v>
      </c>
      <c r="AX8244" t="str">
        <f t="shared" si="666"/>
        <v>FOR</v>
      </c>
      <c r="AY8244" t="s">
        <v>55</v>
      </c>
    </row>
    <row r="8245" spans="1:51" hidden="1">
      <c r="A8245">
        <v>104563</v>
      </c>
      <c r="B8245" t="s">
        <v>1339</v>
      </c>
      <c r="C8245" t="str">
        <f t="shared" si="669"/>
        <v>02298700010</v>
      </c>
      <c r="D8245" t="str">
        <f t="shared" si="669"/>
        <v>02298700010</v>
      </c>
      <c r="E8245" t="s">
        <v>52</v>
      </c>
      <c r="F8245">
        <v>2014</v>
      </c>
      <c r="G8245">
        <v>34697329</v>
      </c>
      <c r="H8245" s="1">
        <v>41912</v>
      </c>
      <c r="I8245" s="1">
        <v>41929</v>
      </c>
      <c r="J8245" s="1">
        <v>41929</v>
      </c>
      <c r="K8245" s="1">
        <v>41989</v>
      </c>
      <c r="N8245" s="5"/>
      <c r="O8245">
        <v>107.36</v>
      </c>
      <c r="P8245">
        <v>260</v>
      </c>
      <c r="Q8245" s="2">
        <v>27913.599999999999</v>
      </c>
      <c r="R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 s="1">
        <v>42382</v>
      </c>
      <c r="AC8245" t="s">
        <v>53</v>
      </c>
      <c r="AD8245" t="s">
        <v>53</v>
      </c>
      <c r="AK8245">
        <v>0</v>
      </c>
      <c r="AU8245" s="6">
        <v>42249</v>
      </c>
      <c r="AV8245" s="6">
        <v>42249</v>
      </c>
      <c r="AW8245" t="s">
        <v>54</v>
      </c>
      <c r="AX8245" t="str">
        <f t="shared" si="666"/>
        <v>FOR</v>
      </c>
      <c r="AY8245" t="s">
        <v>55</v>
      </c>
    </row>
    <row r="8246" spans="1:51" hidden="1">
      <c r="A8246">
        <v>104563</v>
      </c>
      <c r="B8246" t="s">
        <v>1339</v>
      </c>
      <c r="C8246" t="str">
        <f t="shared" si="669"/>
        <v>02298700010</v>
      </c>
      <c r="D8246" t="str">
        <f t="shared" si="669"/>
        <v>02298700010</v>
      </c>
      <c r="E8246" t="s">
        <v>52</v>
      </c>
      <c r="F8246">
        <v>2014</v>
      </c>
      <c r="G8246">
        <v>34697330</v>
      </c>
      <c r="H8246" s="1">
        <v>41912</v>
      </c>
      <c r="I8246" s="1">
        <v>41929</v>
      </c>
      <c r="J8246" s="1">
        <v>41929</v>
      </c>
      <c r="K8246" s="1">
        <v>41989</v>
      </c>
      <c r="N8246" s="5"/>
      <c r="O8246">
        <v>107.36</v>
      </c>
      <c r="P8246">
        <v>260</v>
      </c>
      <c r="Q8246" s="2">
        <v>27913.599999999999</v>
      </c>
      <c r="R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 s="1">
        <v>42382</v>
      </c>
      <c r="AC8246" t="s">
        <v>53</v>
      </c>
      <c r="AD8246" t="s">
        <v>53</v>
      </c>
      <c r="AK8246">
        <v>0</v>
      </c>
      <c r="AU8246" s="6">
        <v>42249</v>
      </c>
      <c r="AV8246" s="6">
        <v>42249</v>
      </c>
      <c r="AW8246" t="s">
        <v>54</v>
      </c>
      <c r="AX8246" t="str">
        <f t="shared" si="666"/>
        <v>FOR</v>
      </c>
      <c r="AY8246" t="s">
        <v>55</v>
      </c>
    </row>
    <row r="8247" spans="1:51" hidden="1">
      <c r="A8247">
        <v>104563</v>
      </c>
      <c r="B8247" t="s">
        <v>1339</v>
      </c>
      <c r="C8247" t="str">
        <f t="shared" si="669"/>
        <v>02298700010</v>
      </c>
      <c r="D8247" t="str">
        <f t="shared" si="669"/>
        <v>02298700010</v>
      </c>
      <c r="E8247" t="s">
        <v>52</v>
      </c>
      <c r="F8247">
        <v>2014</v>
      </c>
      <c r="G8247">
        <v>34697331</v>
      </c>
      <c r="H8247" s="1">
        <v>41912</v>
      </c>
      <c r="I8247" s="1">
        <v>41929</v>
      </c>
      <c r="J8247" s="1">
        <v>41929</v>
      </c>
      <c r="K8247" s="1">
        <v>41989</v>
      </c>
      <c r="N8247" s="5"/>
      <c r="O8247">
        <v>322.08</v>
      </c>
      <c r="P8247">
        <v>260</v>
      </c>
      <c r="Q8247" s="2">
        <v>83740.800000000003</v>
      </c>
      <c r="R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 s="1">
        <v>42382</v>
      </c>
      <c r="AC8247" t="s">
        <v>53</v>
      </c>
      <c r="AD8247" t="s">
        <v>53</v>
      </c>
      <c r="AK8247">
        <v>0</v>
      </c>
      <c r="AU8247" s="6">
        <v>42249</v>
      </c>
      <c r="AV8247" s="6">
        <v>42249</v>
      </c>
      <c r="AW8247" t="s">
        <v>54</v>
      </c>
      <c r="AX8247" t="str">
        <f t="shared" si="666"/>
        <v>FOR</v>
      </c>
      <c r="AY8247" t="s">
        <v>55</v>
      </c>
    </row>
    <row r="8248" spans="1:51" hidden="1">
      <c r="A8248">
        <v>104563</v>
      </c>
      <c r="B8248" t="s">
        <v>1339</v>
      </c>
      <c r="C8248" t="str">
        <f t="shared" si="669"/>
        <v>02298700010</v>
      </c>
      <c r="D8248" t="str">
        <f t="shared" si="669"/>
        <v>02298700010</v>
      </c>
      <c r="E8248" t="s">
        <v>52</v>
      </c>
      <c r="F8248">
        <v>2014</v>
      </c>
      <c r="G8248">
        <v>34697332</v>
      </c>
      <c r="H8248" s="1">
        <v>41912</v>
      </c>
      <c r="I8248" s="1">
        <v>41929</v>
      </c>
      <c r="J8248" s="1">
        <v>41929</v>
      </c>
      <c r="K8248" s="1">
        <v>41989</v>
      </c>
      <c r="N8248" s="5"/>
      <c r="O8248">
        <v>383.3</v>
      </c>
      <c r="P8248">
        <v>260</v>
      </c>
      <c r="Q8248" s="2">
        <v>99658</v>
      </c>
      <c r="R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 s="1">
        <v>42382</v>
      </c>
      <c r="AC8248" t="s">
        <v>53</v>
      </c>
      <c r="AD8248" t="s">
        <v>53</v>
      </c>
      <c r="AK8248">
        <v>0</v>
      </c>
      <c r="AU8248" s="6">
        <v>42249</v>
      </c>
      <c r="AV8248" s="6">
        <v>42249</v>
      </c>
      <c r="AW8248" t="s">
        <v>54</v>
      </c>
      <c r="AX8248" t="str">
        <f t="shared" si="666"/>
        <v>FOR</v>
      </c>
      <c r="AY8248" t="s">
        <v>55</v>
      </c>
    </row>
    <row r="8249" spans="1:51">
      <c r="A8249">
        <v>104563</v>
      </c>
      <c r="B8249" t="s">
        <v>1339</v>
      </c>
      <c r="C8249" t="str">
        <f t="shared" si="669"/>
        <v>02298700010</v>
      </c>
      <c r="D8249" t="str">
        <f t="shared" si="669"/>
        <v>02298700010</v>
      </c>
      <c r="E8249" t="s">
        <v>52</v>
      </c>
      <c r="F8249">
        <v>2014</v>
      </c>
      <c r="G8249">
        <v>34700087</v>
      </c>
      <c r="H8249" s="1">
        <v>41999</v>
      </c>
      <c r="I8249" s="1">
        <v>42024</v>
      </c>
      <c r="J8249" s="1">
        <v>42024</v>
      </c>
      <c r="K8249" s="1">
        <v>42084</v>
      </c>
      <c r="L8249" s="7">
        <v>366.27</v>
      </c>
      <c r="M8249" s="5">
        <v>216</v>
      </c>
      <c r="N8249" s="7">
        <v>79114.320000000007</v>
      </c>
      <c r="O8249">
        <v>366.27</v>
      </c>
      <c r="P8249">
        <v>216</v>
      </c>
      <c r="Q8249" s="2">
        <v>79114.320000000007</v>
      </c>
      <c r="R8249">
        <v>0</v>
      </c>
      <c r="V8249">
        <v>0</v>
      </c>
      <c r="W8249">
        <v>0</v>
      </c>
      <c r="X8249">
        <v>0</v>
      </c>
      <c r="Y8249">
        <v>0</v>
      </c>
      <c r="Z8249">
        <v>366.27</v>
      </c>
      <c r="AA8249">
        <v>0</v>
      </c>
      <c r="AB8249" s="1">
        <v>42382</v>
      </c>
      <c r="AC8249" t="s">
        <v>53</v>
      </c>
      <c r="AD8249" t="s">
        <v>53</v>
      </c>
      <c r="AK8249">
        <v>0</v>
      </c>
      <c r="AU8249" s="6">
        <v>42300</v>
      </c>
      <c r="AV8249" s="6">
        <v>42300</v>
      </c>
      <c r="AW8249" t="s">
        <v>54</v>
      </c>
      <c r="AX8249" t="str">
        <f t="shared" si="666"/>
        <v>FOR</v>
      </c>
      <c r="AY8249" t="s">
        <v>55</v>
      </c>
    </row>
    <row r="8250" spans="1:51">
      <c r="A8250">
        <v>104563</v>
      </c>
      <c r="B8250" t="s">
        <v>1339</v>
      </c>
      <c r="C8250" t="str">
        <f t="shared" si="669"/>
        <v>02298700010</v>
      </c>
      <c r="D8250" t="str">
        <f t="shared" si="669"/>
        <v>02298700010</v>
      </c>
      <c r="E8250" t="s">
        <v>52</v>
      </c>
      <c r="F8250">
        <v>2014</v>
      </c>
      <c r="G8250">
        <v>34700181</v>
      </c>
      <c r="H8250" s="1">
        <v>42004</v>
      </c>
      <c r="I8250" s="1">
        <v>42019</v>
      </c>
      <c r="J8250" s="1">
        <v>42019</v>
      </c>
      <c r="K8250" s="1">
        <v>42079</v>
      </c>
      <c r="L8250" s="7">
        <v>107.36</v>
      </c>
      <c r="M8250" s="5">
        <v>221</v>
      </c>
      <c r="N8250" s="7">
        <v>23726.560000000001</v>
      </c>
      <c r="O8250">
        <v>107.36</v>
      </c>
      <c r="P8250">
        <v>221</v>
      </c>
      <c r="Q8250" s="2">
        <v>23726.560000000001</v>
      </c>
      <c r="R8250">
        <v>0</v>
      </c>
      <c r="V8250">
        <v>0</v>
      </c>
      <c r="W8250">
        <v>0</v>
      </c>
      <c r="X8250">
        <v>0</v>
      </c>
      <c r="Y8250">
        <v>0</v>
      </c>
      <c r="Z8250">
        <v>107.36</v>
      </c>
      <c r="AA8250">
        <v>0</v>
      </c>
      <c r="AB8250" s="1">
        <v>42382</v>
      </c>
      <c r="AC8250" t="s">
        <v>53</v>
      </c>
      <c r="AD8250" t="s">
        <v>53</v>
      </c>
      <c r="AK8250">
        <v>0</v>
      </c>
      <c r="AU8250" s="6">
        <v>42300</v>
      </c>
      <c r="AV8250" s="6">
        <v>42300</v>
      </c>
      <c r="AW8250" t="s">
        <v>54</v>
      </c>
      <c r="AX8250" t="str">
        <f t="shared" si="666"/>
        <v>FOR</v>
      </c>
      <c r="AY8250" t="s">
        <v>55</v>
      </c>
    </row>
    <row r="8251" spans="1:51">
      <c r="A8251">
        <v>104563</v>
      </c>
      <c r="B8251" t="s">
        <v>1339</v>
      </c>
      <c r="C8251" t="str">
        <f t="shared" si="669"/>
        <v>02298700010</v>
      </c>
      <c r="D8251" t="str">
        <f t="shared" si="669"/>
        <v>02298700010</v>
      </c>
      <c r="E8251" t="s">
        <v>52</v>
      </c>
      <c r="F8251">
        <v>2014</v>
      </c>
      <c r="G8251">
        <v>34700182</v>
      </c>
      <c r="H8251" s="1">
        <v>42004</v>
      </c>
      <c r="I8251" s="1">
        <v>42019</v>
      </c>
      <c r="J8251" s="1">
        <v>42019</v>
      </c>
      <c r="K8251" s="1">
        <v>42079</v>
      </c>
      <c r="L8251" s="7">
        <v>107.36</v>
      </c>
      <c r="M8251" s="5">
        <v>221</v>
      </c>
      <c r="N8251" s="7">
        <v>23726.560000000001</v>
      </c>
      <c r="O8251">
        <v>107.36</v>
      </c>
      <c r="P8251">
        <v>221</v>
      </c>
      <c r="Q8251" s="2">
        <v>23726.560000000001</v>
      </c>
      <c r="R8251">
        <v>0</v>
      </c>
      <c r="V8251">
        <v>0</v>
      </c>
      <c r="W8251">
        <v>0</v>
      </c>
      <c r="X8251">
        <v>0</v>
      </c>
      <c r="Y8251">
        <v>0</v>
      </c>
      <c r="Z8251">
        <v>107.36</v>
      </c>
      <c r="AA8251">
        <v>0</v>
      </c>
      <c r="AB8251" s="1">
        <v>42382</v>
      </c>
      <c r="AC8251" t="s">
        <v>53</v>
      </c>
      <c r="AD8251" t="s">
        <v>53</v>
      </c>
      <c r="AK8251">
        <v>0</v>
      </c>
      <c r="AU8251" s="6">
        <v>42300</v>
      </c>
      <c r="AV8251" s="6">
        <v>42300</v>
      </c>
      <c r="AW8251" t="s">
        <v>54</v>
      </c>
      <c r="AX8251" t="str">
        <f t="shared" si="666"/>
        <v>FOR</v>
      </c>
      <c r="AY8251" t="s">
        <v>55</v>
      </c>
    </row>
    <row r="8252" spans="1:51">
      <c r="A8252">
        <v>104563</v>
      </c>
      <c r="B8252" t="s">
        <v>1339</v>
      </c>
      <c r="C8252" t="str">
        <f t="shared" si="669"/>
        <v>02298700010</v>
      </c>
      <c r="D8252" t="str">
        <f t="shared" si="669"/>
        <v>02298700010</v>
      </c>
      <c r="E8252" t="s">
        <v>52</v>
      </c>
      <c r="F8252">
        <v>2014</v>
      </c>
      <c r="G8252">
        <v>34700183</v>
      </c>
      <c r="H8252" s="1">
        <v>42004</v>
      </c>
      <c r="I8252" s="1">
        <v>42024</v>
      </c>
      <c r="J8252" s="1">
        <v>42024</v>
      </c>
      <c r="K8252" s="1">
        <v>42084</v>
      </c>
      <c r="L8252" s="7">
        <v>322.08</v>
      </c>
      <c r="M8252" s="5">
        <v>216</v>
      </c>
      <c r="N8252" s="7">
        <v>69569.279999999999</v>
      </c>
      <c r="O8252">
        <v>322.08</v>
      </c>
      <c r="P8252">
        <v>216</v>
      </c>
      <c r="Q8252" s="2">
        <v>69569.279999999999</v>
      </c>
      <c r="R8252">
        <v>0</v>
      </c>
      <c r="V8252">
        <v>0</v>
      </c>
      <c r="W8252">
        <v>0</v>
      </c>
      <c r="X8252">
        <v>0</v>
      </c>
      <c r="Y8252">
        <v>0</v>
      </c>
      <c r="Z8252">
        <v>322.08</v>
      </c>
      <c r="AA8252">
        <v>0</v>
      </c>
      <c r="AB8252" s="1">
        <v>42382</v>
      </c>
      <c r="AC8252" t="s">
        <v>53</v>
      </c>
      <c r="AD8252" t="s">
        <v>53</v>
      </c>
      <c r="AK8252">
        <v>0</v>
      </c>
      <c r="AU8252" s="6">
        <v>42300</v>
      </c>
      <c r="AV8252" s="6">
        <v>42300</v>
      </c>
      <c r="AW8252" t="s">
        <v>54</v>
      </c>
      <c r="AX8252" t="str">
        <f t="shared" si="666"/>
        <v>FOR</v>
      </c>
      <c r="AY8252" t="s">
        <v>55</v>
      </c>
    </row>
    <row r="8253" spans="1:51">
      <c r="A8253">
        <v>104563</v>
      </c>
      <c r="B8253" t="s">
        <v>1339</v>
      </c>
      <c r="C8253" t="str">
        <f t="shared" si="669"/>
        <v>02298700010</v>
      </c>
      <c r="D8253" t="str">
        <f t="shared" si="669"/>
        <v>02298700010</v>
      </c>
      <c r="E8253" t="s">
        <v>52</v>
      </c>
      <c r="F8253">
        <v>2015</v>
      </c>
      <c r="G8253">
        <v>35690020</v>
      </c>
      <c r="H8253" s="1">
        <v>42019</v>
      </c>
      <c r="I8253" s="1">
        <v>42037</v>
      </c>
      <c r="J8253" s="1">
        <v>42037</v>
      </c>
      <c r="K8253" s="1">
        <v>42097</v>
      </c>
      <c r="L8253" s="7">
        <v>207.4</v>
      </c>
      <c r="M8253" s="5">
        <v>243</v>
      </c>
      <c r="N8253" s="7">
        <v>50398.2</v>
      </c>
      <c r="O8253">
        <v>207.4</v>
      </c>
      <c r="P8253">
        <v>243</v>
      </c>
      <c r="Q8253" s="2">
        <v>50398.2</v>
      </c>
      <c r="R8253">
        <v>45.63</v>
      </c>
      <c r="V8253">
        <v>0</v>
      </c>
      <c r="W8253">
        <v>0</v>
      </c>
      <c r="X8253">
        <v>0</v>
      </c>
      <c r="Y8253">
        <v>0</v>
      </c>
      <c r="Z8253">
        <v>253.03</v>
      </c>
      <c r="AA8253">
        <v>253.03</v>
      </c>
      <c r="AB8253" s="1">
        <v>42382</v>
      </c>
      <c r="AC8253" t="s">
        <v>53</v>
      </c>
      <c r="AD8253" t="s">
        <v>53</v>
      </c>
      <c r="AK8253">
        <v>45.63</v>
      </c>
      <c r="AU8253" s="6">
        <v>42340</v>
      </c>
      <c r="AV8253" s="6">
        <v>42340</v>
      </c>
      <c r="AW8253" t="s">
        <v>54</v>
      </c>
      <c r="AX8253" t="str">
        <f t="shared" si="666"/>
        <v>FOR</v>
      </c>
      <c r="AY8253" t="s">
        <v>55</v>
      </c>
    </row>
    <row r="8254" spans="1:51">
      <c r="A8254">
        <v>104563</v>
      </c>
      <c r="B8254" t="s">
        <v>1339</v>
      </c>
      <c r="C8254" t="str">
        <f t="shared" si="669"/>
        <v>02298700010</v>
      </c>
      <c r="D8254" t="str">
        <f t="shared" si="669"/>
        <v>02298700010</v>
      </c>
      <c r="E8254" t="s">
        <v>52</v>
      </c>
      <c r="F8254">
        <v>2015</v>
      </c>
      <c r="G8254">
        <v>35690021</v>
      </c>
      <c r="H8254" s="1">
        <v>42019</v>
      </c>
      <c r="I8254" s="1">
        <v>42037</v>
      </c>
      <c r="J8254" s="1">
        <v>42037</v>
      </c>
      <c r="K8254" s="1">
        <v>42097</v>
      </c>
      <c r="L8254" s="7">
        <v>306</v>
      </c>
      <c r="M8254" s="5">
        <v>243</v>
      </c>
      <c r="N8254" s="7">
        <v>74358</v>
      </c>
      <c r="O8254">
        <v>306</v>
      </c>
      <c r="P8254">
        <v>243</v>
      </c>
      <c r="Q8254" s="2">
        <v>74358</v>
      </c>
      <c r="R8254">
        <v>67.319999999999993</v>
      </c>
      <c r="V8254">
        <v>0</v>
      </c>
      <c r="W8254">
        <v>0</v>
      </c>
      <c r="X8254">
        <v>0</v>
      </c>
      <c r="Y8254">
        <v>0</v>
      </c>
      <c r="Z8254">
        <v>373.32</v>
      </c>
      <c r="AA8254">
        <v>373.32</v>
      </c>
      <c r="AB8254" s="1">
        <v>42382</v>
      </c>
      <c r="AC8254" t="s">
        <v>53</v>
      </c>
      <c r="AD8254" t="s">
        <v>53</v>
      </c>
      <c r="AK8254">
        <v>67.319999999999993</v>
      </c>
      <c r="AU8254" s="6">
        <v>42340</v>
      </c>
      <c r="AV8254" s="6">
        <v>42340</v>
      </c>
      <c r="AW8254" t="s">
        <v>54</v>
      </c>
      <c r="AX8254" t="str">
        <f t="shared" si="666"/>
        <v>FOR</v>
      </c>
      <c r="AY8254" t="s">
        <v>55</v>
      </c>
    </row>
    <row r="8255" spans="1:51">
      <c r="A8255">
        <v>104563</v>
      </c>
      <c r="B8255" t="s">
        <v>1339</v>
      </c>
      <c r="C8255" t="str">
        <f t="shared" si="669"/>
        <v>02298700010</v>
      </c>
      <c r="D8255" t="str">
        <f t="shared" si="669"/>
        <v>02298700010</v>
      </c>
      <c r="E8255" t="s">
        <v>52</v>
      </c>
      <c r="F8255">
        <v>2015</v>
      </c>
      <c r="G8255">
        <v>35690034</v>
      </c>
      <c r="H8255" s="1">
        <v>42019</v>
      </c>
      <c r="I8255" s="1">
        <v>42037</v>
      </c>
      <c r="J8255" s="1">
        <v>42037</v>
      </c>
      <c r="K8255" s="1">
        <v>42097</v>
      </c>
      <c r="L8255" s="7">
        <v>306</v>
      </c>
      <c r="M8255" s="5">
        <v>243</v>
      </c>
      <c r="N8255" s="7">
        <v>74358</v>
      </c>
      <c r="O8255">
        <v>306</v>
      </c>
      <c r="P8255">
        <v>243</v>
      </c>
      <c r="Q8255" s="2">
        <v>74358</v>
      </c>
      <c r="R8255">
        <v>67.319999999999993</v>
      </c>
      <c r="V8255">
        <v>0</v>
      </c>
      <c r="W8255">
        <v>0</v>
      </c>
      <c r="X8255">
        <v>0</v>
      </c>
      <c r="Y8255">
        <v>0</v>
      </c>
      <c r="Z8255">
        <v>373.32</v>
      </c>
      <c r="AA8255">
        <v>373.32</v>
      </c>
      <c r="AB8255" s="1">
        <v>42382</v>
      </c>
      <c r="AC8255" t="s">
        <v>53</v>
      </c>
      <c r="AD8255" t="s">
        <v>53</v>
      </c>
      <c r="AK8255">
        <v>67.319999999999993</v>
      </c>
      <c r="AU8255" s="6">
        <v>42340</v>
      </c>
      <c r="AV8255" s="6">
        <v>42340</v>
      </c>
      <c r="AW8255" t="s">
        <v>54</v>
      </c>
      <c r="AX8255" t="str">
        <f t="shared" si="666"/>
        <v>FOR</v>
      </c>
      <c r="AY8255" t="s">
        <v>55</v>
      </c>
    </row>
    <row r="8256" spans="1:51" hidden="1">
      <c r="A8256">
        <v>104566</v>
      </c>
      <c r="B8256" t="s">
        <v>1340</v>
      </c>
      <c r="C8256" t="str">
        <f>"05704111003"</f>
        <v>05704111003</v>
      </c>
      <c r="D8256" t="str">
        <f>"05704111003"</f>
        <v>05704111003</v>
      </c>
      <c r="E8256" t="s">
        <v>52</v>
      </c>
      <c r="F8256">
        <v>2014</v>
      </c>
      <c r="G8256">
        <v>140489</v>
      </c>
      <c r="H8256" s="1">
        <v>41943</v>
      </c>
      <c r="I8256" s="1">
        <v>41971</v>
      </c>
      <c r="J8256" s="1">
        <v>41971</v>
      </c>
      <c r="K8256" s="1">
        <v>42031</v>
      </c>
      <c r="N8256" s="5"/>
      <c r="O8256" s="2">
        <v>2181.5</v>
      </c>
      <c r="P8256">
        <v>218</v>
      </c>
      <c r="Q8256" s="2">
        <v>475567</v>
      </c>
      <c r="R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 s="1">
        <v>42382</v>
      </c>
      <c r="AC8256" t="s">
        <v>53</v>
      </c>
      <c r="AD8256" t="s">
        <v>53</v>
      </c>
      <c r="AK8256">
        <v>0</v>
      </c>
      <c r="AU8256" s="6">
        <v>42249</v>
      </c>
      <c r="AV8256" s="6">
        <v>42249</v>
      </c>
      <c r="AW8256" t="s">
        <v>54</v>
      </c>
      <c r="AX8256" t="str">
        <f t="shared" si="666"/>
        <v>FOR</v>
      </c>
      <c r="AY8256" t="s">
        <v>55</v>
      </c>
    </row>
    <row r="8257" spans="1:51" hidden="1">
      <c r="A8257">
        <v>104566</v>
      </c>
      <c r="B8257" t="s">
        <v>1340</v>
      </c>
      <c r="C8257" t="str">
        <f>"05704111003"</f>
        <v>05704111003</v>
      </c>
      <c r="D8257" t="str">
        <f>"05704111003"</f>
        <v>05704111003</v>
      </c>
      <c r="E8257" t="s">
        <v>52</v>
      </c>
      <c r="F8257">
        <v>2014</v>
      </c>
      <c r="G8257">
        <v>140490</v>
      </c>
      <c r="H8257" s="1">
        <v>41943</v>
      </c>
      <c r="I8257" s="1">
        <v>41971</v>
      </c>
      <c r="J8257" s="1">
        <v>41971</v>
      </c>
      <c r="K8257" s="1">
        <v>42031</v>
      </c>
      <c r="N8257" s="5"/>
      <c r="O8257" s="2">
        <v>2181.5</v>
      </c>
      <c r="P8257">
        <v>218</v>
      </c>
      <c r="Q8257" s="2">
        <v>475567</v>
      </c>
      <c r="R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 s="1">
        <v>42382</v>
      </c>
      <c r="AC8257" t="s">
        <v>53</v>
      </c>
      <c r="AD8257" t="s">
        <v>53</v>
      </c>
      <c r="AK8257">
        <v>0</v>
      </c>
      <c r="AU8257" s="6">
        <v>42249</v>
      </c>
      <c r="AV8257" s="6">
        <v>42249</v>
      </c>
      <c r="AW8257" t="s">
        <v>54</v>
      </c>
      <c r="AX8257" t="str">
        <f t="shared" si="666"/>
        <v>FOR</v>
      </c>
      <c r="AY8257" t="s">
        <v>55</v>
      </c>
    </row>
    <row r="8258" spans="1:51" hidden="1">
      <c r="A8258">
        <v>104590</v>
      </c>
      <c r="B8258" t="s">
        <v>1341</v>
      </c>
      <c r="C8258" t="str">
        <f t="shared" ref="C8258:D8262" si="670">"04337640280"</f>
        <v>04337640280</v>
      </c>
      <c r="D8258" t="str">
        <f t="shared" si="670"/>
        <v>04337640280</v>
      </c>
      <c r="E8258" t="s">
        <v>52</v>
      </c>
      <c r="F8258">
        <v>2013</v>
      </c>
      <c r="G8258">
        <v>5214</v>
      </c>
      <c r="H8258" s="1">
        <v>41618</v>
      </c>
      <c r="I8258" s="1">
        <v>41631</v>
      </c>
      <c r="J8258" s="1">
        <v>41631</v>
      </c>
      <c r="K8258" s="1">
        <v>41721</v>
      </c>
      <c r="N8258" s="5"/>
      <c r="O8258" s="2">
        <v>1663.47</v>
      </c>
      <c r="P8258">
        <v>298</v>
      </c>
      <c r="Q8258" s="2">
        <v>495714.06</v>
      </c>
      <c r="R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 s="1">
        <v>42382</v>
      </c>
      <c r="AC8258" t="s">
        <v>53</v>
      </c>
      <c r="AD8258" t="s">
        <v>53</v>
      </c>
      <c r="AK8258">
        <v>0</v>
      </c>
      <c r="AU8258" s="6">
        <v>42019</v>
      </c>
      <c r="AV8258" s="6">
        <v>42019</v>
      </c>
      <c r="AW8258" t="s">
        <v>54</v>
      </c>
      <c r="AX8258" t="str">
        <f t="shared" si="666"/>
        <v>FOR</v>
      </c>
      <c r="AY8258" t="s">
        <v>55</v>
      </c>
    </row>
    <row r="8259" spans="1:51" hidden="1">
      <c r="A8259">
        <v>104590</v>
      </c>
      <c r="B8259" t="s">
        <v>1341</v>
      </c>
      <c r="C8259" t="str">
        <f t="shared" si="670"/>
        <v>04337640280</v>
      </c>
      <c r="D8259" t="str">
        <f t="shared" si="670"/>
        <v>04337640280</v>
      </c>
      <c r="E8259" t="s">
        <v>52</v>
      </c>
      <c r="F8259">
        <v>2014</v>
      </c>
      <c r="G8259">
        <v>2408</v>
      </c>
      <c r="H8259" s="1">
        <v>41801</v>
      </c>
      <c r="I8259" s="1">
        <v>41816</v>
      </c>
      <c r="J8259" s="1">
        <v>41816</v>
      </c>
      <c r="K8259" s="1">
        <v>41906</v>
      </c>
      <c r="N8259" s="5"/>
      <c r="O8259" s="2">
        <v>1663.47</v>
      </c>
      <c r="P8259">
        <v>225</v>
      </c>
      <c r="Q8259" s="2">
        <v>374280.75</v>
      </c>
      <c r="R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 s="1">
        <v>42382</v>
      </c>
      <c r="AC8259" t="s">
        <v>53</v>
      </c>
      <c r="AD8259" t="s">
        <v>53</v>
      </c>
      <c r="AK8259">
        <v>0</v>
      </c>
      <c r="AU8259" s="6">
        <v>42131</v>
      </c>
      <c r="AV8259" s="6">
        <v>42131</v>
      </c>
      <c r="AW8259" t="s">
        <v>54</v>
      </c>
      <c r="AX8259" t="str">
        <f t="shared" ref="AX8259:AX8322" si="671">"FOR"</f>
        <v>FOR</v>
      </c>
      <c r="AY8259" t="s">
        <v>55</v>
      </c>
    </row>
    <row r="8260" spans="1:51">
      <c r="A8260">
        <v>104590</v>
      </c>
      <c r="B8260" t="s">
        <v>1341</v>
      </c>
      <c r="C8260" t="str">
        <f t="shared" si="670"/>
        <v>04337640280</v>
      </c>
      <c r="D8260" t="str">
        <f t="shared" si="670"/>
        <v>04337640280</v>
      </c>
      <c r="E8260" t="s">
        <v>52</v>
      </c>
      <c r="F8260">
        <v>2014</v>
      </c>
      <c r="G8260">
        <v>5420</v>
      </c>
      <c r="H8260" s="1">
        <v>41988</v>
      </c>
      <c r="I8260" s="1">
        <v>42002</v>
      </c>
      <c r="J8260" s="1">
        <v>42002</v>
      </c>
      <c r="K8260" s="1">
        <v>42062</v>
      </c>
      <c r="L8260" s="7">
        <v>1663.47</v>
      </c>
      <c r="M8260" s="5">
        <v>238</v>
      </c>
      <c r="N8260" s="7">
        <v>395905.86</v>
      </c>
      <c r="O8260" s="2">
        <v>1663.47</v>
      </c>
      <c r="P8260">
        <v>238</v>
      </c>
      <c r="Q8260" s="2">
        <v>395905.86</v>
      </c>
      <c r="R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 s="1">
        <v>42382</v>
      </c>
      <c r="AC8260" t="s">
        <v>53</v>
      </c>
      <c r="AD8260" t="s">
        <v>53</v>
      </c>
      <c r="AK8260">
        <v>0</v>
      </c>
      <c r="AU8260" s="6">
        <v>42300</v>
      </c>
      <c r="AV8260" s="6">
        <v>42300</v>
      </c>
      <c r="AW8260" t="s">
        <v>54</v>
      </c>
      <c r="AX8260" t="str">
        <f t="shared" si="671"/>
        <v>FOR</v>
      </c>
      <c r="AY8260" t="s">
        <v>55</v>
      </c>
    </row>
    <row r="8261" spans="1:51" hidden="1">
      <c r="A8261">
        <v>104590</v>
      </c>
      <c r="B8261" t="s">
        <v>1341</v>
      </c>
      <c r="C8261" t="str">
        <f t="shared" si="670"/>
        <v>04337640280</v>
      </c>
      <c r="D8261" t="str">
        <f t="shared" si="670"/>
        <v>04337640280</v>
      </c>
      <c r="E8261" t="s">
        <v>52</v>
      </c>
      <c r="F8261">
        <v>2014</v>
      </c>
      <c r="G8261" t="s">
        <v>1342</v>
      </c>
      <c r="H8261" s="1">
        <v>41662</v>
      </c>
      <c r="I8261" s="1">
        <v>41675</v>
      </c>
      <c r="J8261" s="1">
        <v>41675</v>
      </c>
      <c r="K8261" s="1">
        <v>41765</v>
      </c>
      <c r="N8261" s="5"/>
      <c r="O8261" s="2">
        <v>1342</v>
      </c>
      <c r="P8261">
        <v>254</v>
      </c>
      <c r="Q8261" s="2">
        <v>340868</v>
      </c>
      <c r="R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 s="1">
        <v>42382</v>
      </c>
      <c r="AC8261" t="s">
        <v>53</v>
      </c>
      <c r="AD8261" t="s">
        <v>53</v>
      </c>
      <c r="AK8261">
        <v>0</v>
      </c>
      <c r="AU8261" s="6">
        <v>42019</v>
      </c>
      <c r="AV8261" s="6">
        <v>42019</v>
      </c>
      <c r="AW8261" t="s">
        <v>54</v>
      </c>
      <c r="AX8261" t="str">
        <f t="shared" si="671"/>
        <v>FOR</v>
      </c>
      <c r="AY8261" t="s">
        <v>55</v>
      </c>
    </row>
    <row r="8262" spans="1:51">
      <c r="A8262">
        <v>104590</v>
      </c>
      <c r="B8262" t="s">
        <v>1341</v>
      </c>
      <c r="C8262" t="str">
        <f t="shared" si="670"/>
        <v>04337640280</v>
      </c>
      <c r="D8262" t="str">
        <f t="shared" si="670"/>
        <v>04337640280</v>
      </c>
      <c r="E8262" t="s">
        <v>52</v>
      </c>
      <c r="F8262">
        <v>2015</v>
      </c>
      <c r="G8262" t="s">
        <v>1343</v>
      </c>
      <c r="H8262" s="1">
        <v>42020</v>
      </c>
      <c r="I8262" s="1">
        <v>42047</v>
      </c>
      <c r="J8262" s="1">
        <v>42047</v>
      </c>
      <c r="K8262" s="1">
        <v>42107</v>
      </c>
      <c r="L8262" s="7">
        <v>1100</v>
      </c>
      <c r="M8262" s="5">
        <v>248</v>
      </c>
      <c r="N8262" s="7">
        <v>272800</v>
      </c>
      <c r="O8262" s="2">
        <v>1100</v>
      </c>
      <c r="P8262">
        <v>248</v>
      </c>
      <c r="Q8262" s="2">
        <v>272800</v>
      </c>
      <c r="R8262">
        <v>242</v>
      </c>
      <c r="V8262">
        <v>0</v>
      </c>
      <c r="W8262">
        <v>0</v>
      </c>
      <c r="X8262">
        <v>0</v>
      </c>
      <c r="Y8262" s="2">
        <v>1342</v>
      </c>
      <c r="Z8262" s="2">
        <v>1342</v>
      </c>
      <c r="AA8262" s="2">
        <v>1342</v>
      </c>
      <c r="AB8262" s="1">
        <v>42382</v>
      </c>
      <c r="AC8262" t="s">
        <v>53</v>
      </c>
      <c r="AD8262" t="s">
        <v>53</v>
      </c>
      <c r="AK8262">
        <v>242</v>
      </c>
      <c r="AU8262" s="6">
        <v>42355</v>
      </c>
      <c r="AV8262" s="6">
        <v>42355</v>
      </c>
      <c r="AW8262" t="s">
        <v>54</v>
      </c>
      <c r="AX8262" t="str">
        <f t="shared" si="671"/>
        <v>FOR</v>
      </c>
      <c r="AY8262" t="s">
        <v>55</v>
      </c>
    </row>
    <row r="8263" spans="1:51" hidden="1">
      <c r="A8263">
        <v>104591</v>
      </c>
      <c r="B8263" t="s">
        <v>1344</v>
      </c>
      <c r="C8263" t="str">
        <f t="shared" ref="C8263:D8265" si="672">"00941660151"</f>
        <v>00941660151</v>
      </c>
      <c r="D8263" t="str">
        <f t="shared" si="672"/>
        <v>00941660151</v>
      </c>
      <c r="E8263" t="s">
        <v>52</v>
      </c>
      <c r="F8263">
        <v>2014</v>
      </c>
      <c r="G8263">
        <v>2858</v>
      </c>
      <c r="H8263" s="1">
        <v>41835</v>
      </c>
      <c r="I8263" s="1">
        <v>41849</v>
      </c>
      <c r="J8263" s="1">
        <v>41849</v>
      </c>
      <c r="K8263" s="1">
        <v>41939</v>
      </c>
      <c r="N8263" s="5"/>
      <c r="O8263">
        <v>215.11</v>
      </c>
      <c r="P8263">
        <v>95</v>
      </c>
      <c r="Q8263" s="2">
        <v>20435.45</v>
      </c>
      <c r="R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 s="1">
        <v>42382</v>
      </c>
      <c r="AC8263" t="s">
        <v>53</v>
      </c>
      <c r="AD8263" t="s">
        <v>53</v>
      </c>
      <c r="AK8263">
        <v>0</v>
      </c>
      <c r="AU8263" s="6">
        <v>42034</v>
      </c>
      <c r="AV8263" s="6">
        <v>42034</v>
      </c>
      <c r="AW8263" t="s">
        <v>54</v>
      </c>
      <c r="AX8263" t="str">
        <f t="shared" si="671"/>
        <v>FOR</v>
      </c>
      <c r="AY8263" t="s">
        <v>55</v>
      </c>
    </row>
    <row r="8264" spans="1:51" hidden="1">
      <c r="A8264">
        <v>104591</v>
      </c>
      <c r="B8264" t="s">
        <v>1344</v>
      </c>
      <c r="C8264" t="str">
        <f t="shared" si="672"/>
        <v>00941660151</v>
      </c>
      <c r="D8264" t="str">
        <f t="shared" si="672"/>
        <v>00941660151</v>
      </c>
      <c r="E8264" t="s">
        <v>52</v>
      </c>
      <c r="F8264">
        <v>2015</v>
      </c>
      <c r="G8264">
        <v>75</v>
      </c>
      <c r="H8264" s="1">
        <v>42035</v>
      </c>
      <c r="I8264" s="1">
        <v>42047</v>
      </c>
      <c r="J8264" s="1">
        <v>42047</v>
      </c>
      <c r="K8264" s="1">
        <v>42107</v>
      </c>
      <c r="N8264" s="5"/>
      <c r="O8264">
        <v>176.32</v>
      </c>
      <c r="P8264">
        <v>23</v>
      </c>
      <c r="Q8264" s="2">
        <v>4055.36</v>
      </c>
      <c r="R8264">
        <v>0</v>
      </c>
      <c r="V8264">
        <v>0</v>
      </c>
      <c r="W8264">
        <v>0</v>
      </c>
      <c r="X8264">
        <v>0</v>
      </c>
      <c r="Y8264">
        <v>215.11</v>
      </c>
      <c r="Z8264">
        <v>215.11</v>
      </c>
      <c r="AA8264">
        <v>215.11</v>
      </c>
      <c r="AB8264" s="1">
        <v>42382</v>
      </c>
      <c r="AC8264" t="s">
        <v>53</v>
      </c>
      <c r="AD8264" t="s">
        <v>53</v>
      </c>
      <c r="AK8264">
        <v>0</v>
      </c>
      <c r="AU8264" s="6">
        <v>42130</v>
      </c>
      <c r="AV8264" s="6">
        <v>42130</v>
      </c>
      <c r="AW8264" t="s">
        <v>54</v>
      </c>
      <c r="AX8264" t="str">
        <f t="shared" si="671"/>
        <v>FOR</v>
      </c>
      <c r="AY8264" t="s">
        <v>55</v>
      </c>
    </row>
    <row r="8265" spans="1:51" hidden="1">
      <c r="A8265">
        <v>104591</v>
      </c>
      <c r="B8265" t="s">
        <v>1344</v>
      </c>
      <c r="C8265" t="str">
        <f t="shared" si="672"/>
        <v>00941660151</v>
      </c>
      <c r="D8265" t="str">
        <f t="shared" si="672"/>
        <v>00941660151</v>
      </c>
      <c r="E8265" t="s">
        <v>52</v>
      </c>
      <c r="F8265">
        <v>2015</v>
      </c>
      <c r="G8265" t="s">
        <v>1345</v>
      </c>
      <c r="H8265" s="1">
        <v>42094</v>
      </c>
      <c r="I8265" s="1">
        <v>42107</v>
      </c>
      <c r="J8265" s="1">
        <v>42103</v>
      </c>
      <c r="K8265" s="1">
        <v>42163</v>
      </c>
      <c r="N8265" s="5"/>
      <c r="O8265">
        <v>705.28</v>
      </c>
      <c r="P8265">
        <v>113</v>
      </c>
      <c r="Q8265" s="2">
        <v>79696.639999999999</v>
      </c>
      <c r="R8265">
        <v>0</v>
      </c>
      <c r="V8265">
        <v>0</v>
      </c>
      <c r="W8265">
        <v>0</v>
      </c>
      <c r="X8265">
        <v>0</v>
      </c>
      <c r="Y8265">
        <v>860.44</v>
      </c>
      <c r="Z8265">
        <v>860.44</v>
      </c>
      <c r="AA8265">
        <v>860.44</v>
      </c>
      <c r="AB8265" s="1">
        <v>42382</v>
      </c>
      <c r="AC8265" t="s">
        <v>53</v>
      </c>
      <c r="AD8265" t="s">
        <v>53</v>
      </c>
      <c r="AK8265">
        <v>0</v>
      </c>
      <c r="AU8265" s="6">
        <v>42276</v>
      </c>
      <c r="AV8265" s="6">
        <v>42276</v>
      </c>
      <c r="AW8265" t="s">
        <v>54</v>
      </c>
      <c r="AX8265" t="str">
        <f t="shared" si="671"/>
        <v>FOR</v>
      </c>
      <c r="AY8265" t="s">
        <v>55</v>
      </c>
    </row>
    <row r="8266" spans="1:51" hidden="1">
      <c r="A8266">
        <v>104592</v>
      </c>
      <c r="B8266" t="s">
        <v>1346</v>
      </c>
      <c r="C8266" t="str">
        <f t="shared" ref="C8266:C8298" si="673">"01911071007"</f>
        <v>01911071007</v>
      </c>
      <c r="D8266" t="str">
        <f t="shared" ref="D8266:D8298" si="674">"07931650589"</f>
        <v>07931650589</v>
      </c>
      <c r="E8266" t="s">
        <v>52</v>
      </c>
      <c r="F8266">
        <v>2014</v>
      </c>
      <c r="G8266">
        <v>1401420</v>
      </c>
      <c r="H8266" s="1">
        <v>41660</v>
      </c>
      <c r="I8266" s="1">
        <v>41667</v>
      </c>
      <c r="J8266" s="1">
        <v>41667</v>
      </c>
      <c r="K8266" s="1">
        <v>41757</v>
      </c>
      <c r="N8266" s="5"/>
      <c r="O8266" s="2">
        <v>3416</v>
      </c>
      <c r="P8266">
        <v>267</v>
      </c>
      <c r="Q8266" s="2">
        <v>912072</v>
      </c>
      <c r="R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 s="1">
        <v>42382</v>
      </c>
      <c r="AC8266" t="s">
        <v>53</v>
      </c>
      <c r="AD8266" t="s">
        <v>53</v>
      </c>
      <c r="AK8266">
        <v>0</v>
      </c>
      <c r="AU8266" s="6">
        <v>42024</v>
      </c>
      <c r="AV8266" s="6">
        <v>42024</v>
      </c>
      <c r="AW8266" t="s">
        <v>54</v>
      </c>
      <c r="AX8266" t="str">
        <f t="shared" si="671"/>
        <v>FOR</v>
      </c>
      <c r="AY8266" t="s">
        <v>55</v>
      </c>
    </row>
    <row r="8267" spans="1:51" hidden="1">
      <c r="A8267">
        <v>104592</v>
      </c>
      <c r="B8267" t="s">
        <v>1346</v>
      </c>
      <c r="C8267" t="str">
        <f t="shared" si="673"/>
        <v>01911071007</v>
      </c>
      <c r="D8267" t="str">
        <f t="shared" si="674"/>
        <v>07931650589</v>
      </c>
      <c r="E8267" t="s">
        <v>52</v>
      </c>
      <c r="F8267">
        <v>2014</v>
      </c>
      <c r="G8267">
        <v>1401421</v>
      </c>
      <c r="H8267" s="1">
        <v>41660</v>
      </c>
      <c r="I8267" s="1">
        <v>41667</v>
      </c>
      <c r="J8267" s="1">
        <v>41667</v>
      </c>
      <c r="K8267" s="1">
        <v>41757</v>
      </c>
      <c r="N8267" s="5"/>
      <c r="O8267">
        <v>124.02</v>
      </c>
      <c r="P8267">
        <v>267</v>
      </c>
      <c r="Q8267" s="2">
        <v>33113.339999999997</v>
      </c>
      <c r="R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 s="1">
        <v>42382</v>
      </c>
      <c r="AC8267" t="s">
        <v>53</v>
      </c>
      <c r="AD8267" t="s">
        <v>53</v>
      </c>
      <c r="AK8267">
        <v>0</v>
      </c>
      <c r="AU8267" s="6">
        <v>42024</v>
      </c>
      <c r="AV8267" s="6">
        <v>42024</v>
      </c>
      <c r="AW8267" t="s">
        <v>54</v>
      </c>
      <c r="AX8267" t="str">
        <f t="shared" si="671"/>
        <v>FOR</v>
      </c>
      <c r="AY8267" t="s">
        <v>55</v>
      </c>
    </row>
    <row r="8268" spans="1:51" hidden="1">
      <c r="A8268">
        <v>104592</v>
      </c>
      <c r="B8268" t="s">
        <v>1346</v>
      </c>
      <c r="C8268" t="str">
        <f t="shared" si="673"/>
        <v>01911071007</v>
      </c>
      <c r="D8268" t="str">
        <f t="shared" si="674"/>
        <v>07931650589</v>
      </c>
      <c r="E8268" t="s">
        <v>52</v>
      </c>
      <c r="F8268">
        <v>2014</v>
      </c>
      <c r="G8268">
        <v>1401938</v>
      </c>
      <c r="H8268" s="1">
        <v>41666</v>
      </c>
      <c r="I8268" s="1">
        <v>41673</v>
      </c>
      <c r="J8268" s="1">
        <v>41673</v>
      </c>
      <c r="K8268" s="1">
        <v>41763</v>
      </c>
      <c r="N8268" s="5"/>
      <c r="O8268" s="2">
        <v>3498.77</v>
      </c>
      <c r="P8268">
        <v>261</v>
      </c>
      <c r="Q8268" s="2">
        <v>913178.97</v>
      </c>
      <c r="R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 s="1">
        <v>42382</v>
      </c>
      <c r="AC8268" t="s">
        <v>53</v>
      </c>
      <c r="AD8268" t="s">
        <v>53</v>
      </c>
      <c r="AK8268">
        <v>0</v>
      </c>
      <c r="AU8268" s="6">
        <v>42024</v>
      </c>
      <c r="AV8268" s="6">
        <v>42024</v>
      </c>
      <c r="AW8268" t="s">
        <v>54</v>
      </c>
      <c r="AX8268" t="str">
        <f t="shared" si="671"/>
        <v>FOR</v>
      </c>
      <c r="AY8268" t="s">
        <v>55</v>
      </c>
    </row>
    <row r="8269" spans="1:51" hidden="1">
      <c r="A8269">
        <v>104592</v>
      </c>
      <c r="B8269" t="s">
        <v>1346</v>
      </c>
      <c r="C8269" t="str">
        <f t="shared" si="673"/>
        <v>01911071007</v>
      </c>
      <c r="D8269" t="str">
        <f t="shared" si="674"/>
        <v>07931650589</v>
      </c>
      <c r="E8269" t="s">
        <v>52</v>
      </c>
      <c r="F8269">
        <v>2014</v>
      </c>
      <c r="G8269">
        <v>1402630</v>
      </c>
      <c r="H8269" s="1">
        <v>41674</v>
      </c>
      <c r="I8269" s="1">
        <v>41684</v>
      </c>
      <c r="J8269" s="1">
        <v>41684</v>
      </c>
      <c r="K8269" s="1">
        <v>41774</v>
      </c>
      <c r="N8269" s="5"/>
      <c r="O8269" s="2">
        <v>5699.3</v>
      </c>
      <c r="P8269">
        <v>263</v>
      </c>
      <c r="Q8269" s="2">
        <v>1498915.9</v>
      </c>
      <c r="R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 s="1">
        <v>42382</v>
      </c>
      <c r="AC8269" t="s">
        <v>53</v>
      </c>
      <c r="AD8269" t="s">
        <v>53</v>
      </c>
      <c r="AK8269">
        <v>0</v>
      </c>
      <c r="AU8269" s="6">
        <v>42037</v>
      </c>
      <c r="AV8269" s="6">
        <v>42037</v>
      </c>
      <c r="AW8269" t="s">
        <v>54</v>
      </c>
      <c r="AX8269" t="str">
        <f t="shared" si="671"/>
        <v>FOR</v>
      </c>
      <c r="AY8269" t="s">
        <v>55</v>
      </c>
    </row>
    <row r="8270" spans="1:51" hidden="1">
      <c r="A8270">
        <v>104592</v>
      </c>
      <c r="B8270" t="s">
        <v>1346</v>
      </c>
      <c r="C8270" t="str">
        <f t="shared" si="673"/>
        <v>01911071007</v>
      </c>
      <c r="D8270" t="str">
        <f t="shared" si="674"/>
        <v>07931650589</v>
      </c>
      <c r="E8270" t="s">
        <v>52</v>
      </c>
      <c r="F8270">
        <v>2014</v>
      </c>
      <c r="G8270">
        <v>1403034</v>
      </c>
      <c r="H8270" s="1">
        <v>41677</v>
      </c>
      <c r="I8270" s="1">
        <v>41689</v>
      </c>
      <c r="J8270" s="1">
        <v>41689</v>
      </c>
      <c r="K8270" s="1">
        <v>41779</v>
      </c>
      <c r="N8270" s="5"/>
      <c r="O8270" s="2">
        <v>5109</v>
      </c>
      <c r="P8270">
        <v>258</v>
      </c>
      <c r="Q8270" s="2">
        <v>1318122</v>
      </c>
      <c r="R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 s="1">
        <v>42382</v>
      </c>
      <c r="AC8270" t="s">
        <v>53</v>
      </c>
      <c r="AD8270" t="s">
        <v>53</v>
      </c>
      <c r="AK8270">
        <v>0</v>
      </c>
      <c r="AU8270" s="6">
        <v>42037</v>
      </c>
      <c r="AV8270" s="6">
        <v>42037</v>
      </c>
      <c r="AW8270" t="s">
        <v>54</v>
      </c>
      <c r="AX8270" t="str">
        <f t="shared" si="671"/>
        <v>FOR</v>
      </c>
      <c r="AY8270" t="s">
        <v>55</v>
      </c>
    </row>
    <row r="8271" spans="1:51" hidden="1">
      <c r="A8271">
        <v>104592</v>
      </c>
      <c r="B8271" t="s">
        <v>1346</v>
      </c>
      <c r="C8271" t="str">
        <f t="shared" si="673"/>
        <v>01911071007</v>
      </c>
      <c r="D8271" t="str">
        <f t="shared" si="674"/>
        <v>07931650589</v>
      </c>
      <c r="E8271" t="s">
        <v>52</v>
      </c>
      <c r="F8271">
        <v>2014</v>
      </c>
      <c r="G8271">
        <v>1403500</v>
      </c>
      <c r="H8271" s="1">
        <v>41683</v>
      </c>
      <c r="I8271" s="1">
        <v>41695</v>
      </c>
      <c r="J8271" s="1">
        <v>41695</v>
      </c>
      <c r="K8271" s="1">
        <v>41785</v>
      </c>
      <c r="N8271" s="5"/>
      <c r="O8271" s="2">
        <v>3498.77</v>
      </c>
      <c r="P8271">
        <v>252</v>
      </c>
      <c r="Q8271" s="2">
        <v>881690.04</v>
      </c>
      <c r="R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 s="1">
        <v>42382</v>
      </c>
      <c r="AC8271" t="s">
        <v>53</v>
      </c>
      <c r="AD8271" t="s">
        <v>53</v>
      </c>
      <c r="AK8271">
        <v>0</v>
      </c>
      <c r="AU8271" s="6">
        <v>42037</v>
      </c>
      <c r="AV8271" s="6">
        <v>42037</v>
      </c>
      <c r="AW8271" t="s">
        <v>54</v>
      </c>
      <c r="AX8271" t="str">
        <f t="shared" si="671"/>
        <v>FOR</v>
      </c>
      <c r="AY8271" t="s">
        <v>55</v>
      </c>
    </row>
    <row r="8272" spans="1:51" hidden="1">
      <c r="A8272">
        <v>104592</v>
      </c>
      <c r="B8272" t="s">
        <v>1346</v>
      </c>
      <c r="C8272" t="str">
        <f t="shared" si="673"/>
        <v>01911071007</v>
      </c>
      <c r="D8272" t="str">
        <f t="shared" si="674"/>
        <v>07931650589</v>
      </c>
      <c r="E8272" t="s">
        <v>52</v>
      </c>
      <c r="F8272">
        <v>2014</v>
      </c>
      <c r="G8272">
        <v>1405120</v>
      </c>
      <c r="H8272" s="1">
        <v>41702</v>
      </c>
      <c r="I8272" s="1">
        <v>41711</v>
      </c>
      <c r="J8272" s="1">
        <v>41711</v>
      </c>
      <c r="K8272" s="1">
        <v>41801</v>
      </c>
      <c r="N8272" s="5"/>
      <c r="O8272" s="2">
        <v>1915.4</v>
      </c>
      <c r="P8272">
        <v>260</v>
      </c>
      <c r="Q8272" s="2">
        <v>498004</v>
      </c>
      <c r="R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 s="1">
        <v>42382</v>
      </c>
      <c r="AC8272" t="s">
        <v>53</v>
      </c>
      <c r="AD8272" t="s">
        <v>53</v>
      </c>
      <c r="AK8272">
        <v>0</v>
      </c>
      <c r="AU8272" s="6">
        <v>42061</v>
      </c>
      <c r="AV8272" s="6">
        <v>42061</v>
      </c>
      <c r="AW8272" t="s">
        <v>54</v>
      </c>
      <c r="AX8272" t="str">
        <f t="shared" si="671"/>
        <v>FOR</v>
      </c>
      <c r="AY8272" t="s">
        <v>55</v>
      </c>
    </row>
    <row r="8273" spans="1:51" hidden="1">
      <c r="A8273">
        <v>104592</v>
      </c>
      <c r="B8273" t="s">
        <v>1346</v>
      </c>
      <c r="C8273" t="str">
        <f t="shared" si="673"/>
        <v>01911071007</v>
      </c>
      <c r="D8273" t="str">
        <f t="shared" si="674"/>
        <v>07931650589</v>
      </c>
      <c r="E8273" t="s">
        <v>52</v>
      </c>
      <c r="F8273">
        <v>2014</v>
      </c>
      <c r="G8273">
        <v>1405694</v>
      </c>
      <c r="H8273" s="1">
        <v>41709</v>
      </c>
      <c r="I8273" s="1">
        <v>41715</v>
      </c>
      <c r="J8273" s="1">
        <v>41715</v>
      </c>
      <c r="K8273" s="1">
        <v>41805</v>
      </c>
      <c r="N8273" s="5"/>
      <c r="O8273" s="2">
        <v>7599.07</v>
      </c>
      <c r="P8273">
        <v>256</v>
      </c>
      <c r="Q8273" s="2">
        <v>1945361.92</v>
      </c>
      <c r="R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 s="1">
        <v>42382</v>
      </c>
      <c r="AC8273" t="s">
        <v>53</v>
      </c>
      <c r="AD8273" t="s">
        <v>53</v>
      </c>
      <c r="AK8273">
        <v>0</v>
      </c>
      <c r="AU8273" s="6">
        <v>42061</v>
      </c>
      <c r="AV8273" s="6">
        <v>42061</v>
      </c>
      <c r="AW8273" t="s">
        <v>54</v>
      </c>
      <c r="AX8273" t="str">
        <f t="shared" si="671"/>
        <v>FOR</v>
      </c>
      <c r="AY8273" t="s">
        <v>55</v>
      </c>
    </row>
    <row r="8274" spans="1:51" hidden="1">
      <c r="A8274">
        <v>104592</v>
      </c>
      <c r="B8274" t="s">
        <v>1346</v>
      </c>
      <c r="C8274" t="str">
        <f t="shared" si="673"/>
        <v>01911071007</v>
      </c>
      <c r="D8274" t="str">
        <f t="shared" si="674"/>
        <v>07931650589</v>
      </c>
      <c r="E8274" t="s">
        <v>52</v>
      </c>
      <c r="F8274">
        <v>2014</v>
      </c>
      <c r="G8274">
        <v>1408347</v>
      </c>
      <c r="H8274" s="1">
        <v>41738</v>
      </c>
      <c r="I8274" s="1">
        <v>41745</v>
      </c>
      <c r="J8274" s="1">
        <v>41745</v>
      </c>
      <c r="K8274" s="1">
        <v>41835</v>
      </c>
      <c r="N8274" s="5"/>
      <c r="O8274" s="2">
        <v>3498.77</v>
      </c>
      <c r="P8274">
        <v>226</v>
      </c>
      <c r="Q8274" s="2">
        <v>790722.02</v>
      </c>
      <c r="R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 s="1">
        <v>42382</v>
      </c>
      <c r="AC8274" t="s">
        <v>53</v>
      </c>
      <c r="AD8274" t="s">
        <v>53</v>
      </c>
      <c r="AK8274">
        <v>0</v>
      </c>
      <c r="AU8274" s="6">
        <v>42061</v>
      </c>
      <c r="AV8274" s="6">
        <v>42061</v>
      </c>
      <c r="AW8274" t="s">
        <v>54</v>
      </c>
      <c r="AX8274" t="str">
        <f t="shared" si="671"/>
        <v>FOR</v>
      </c>
      <c r="AY8274" t="s">
        <v>55</v>
      </c>
    </row>
    <row r="8275" spans="1:51" hidden="1">
      <c r="A8275">
        <v>104592</v>
      </c>
      <c r="B8275" t="s">
        <v>1346</v>
      </c>
      <c r="C8275" t="str">
        <f t="shared" si="673"/>
        <v>01911071007</v>
      </c>
      <c r="D8275" t="str">
        <f t="shared" si="674"/>
        <v>07931650589</v>
      </c>
      <c r="E8275" t="s">
        <v>52</v>
      </c>
      <c r="F8275">
        <v>2014</v>
      </c>
      <c r="G8275">
        <v>1408866</v>
      </c>
      <c r="H8275" s="1">
        <v>41744</v>
      </c>
      <c r="I8275" s="1">
        <v>41757</v>
      </c>
      <c r="J8275" s="1">
        <v>41757</v>
      </c>
      <c r="K8275" s="1">
        <v>41847</v>
      </c>
      <c r="N8275" s="5"/>
      <c r="O8275">
        <v>536.79999999999995</v>
      </c>
      <c r="P8275">
        <v>214</v>
      </c>
      <c r="Q8275" s="2">
        <v>114875.2</v>
      </c>
      <c r="R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 s="1">
        <v>42382</v>
      </c>
      <c r="AC8275" t="s">
        <v>53</v>
      </c>
      <c r="AD8275" t="s">
        <v>53</v>
      </c>
      <c r="AK8275">
        <v>0</v>
      </c>
      <c r="AU8275" s="6">
        <v>42061</v>
      </c>
      <c r="AV8275" s="6">
        <v>42061</v>
      </c>
      <c r="AW8275" t="s">
        <v>54</v>
      </c>
      <c r="AX8275" t="str">
        <f t="shared" si="671"/>
        <v>FOR</v>
      </c>
      <c r="AY8275" t="s">
        <v>55</v>
      </c>
    </row>
    <row r="8276" spans="1:51" hidden="1">
      <c r="A8276">
        <v>104592</v>
      </c>
      <c r="B8276" t="s">
        <v>1346</v>
      </c>
      <c r="C8276" t="str">
        <f t="shared" si="673"/>
        <v>01911071007</v>
      </c>
      <c r="D8276" t="str">
        <f t="shared" si="674"/>
        <v>07931650589</v>
      </c>
      <c r="E8276" t="s">
        <v>52</v>
      </c>
      <c r="F8276">
        <v>2014</v>
      </c>
      <c r="G8276">
        <v>1409378</v>
      </c>
      <c r="H8276" s="1">
        <v>41751</v>
      </c>
      <c r="I8276" s="1">
        <v>41758</v>
      </c>
      <c r="J8276" s="1">
        <v>41758</v>
      </c>
      <c r="K8276" s="1">
        <v>41848</v>
      </c>
      <c r="N8276" s="5"/>
      <c r="O8276">
        <v>610</v>
      </c>
      <c r="P8276">
        <v>213</v>
      </c>
      <c r="Q8276" s="2">
        <v>129930</v>
      </c>
      <c r="R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 s="1">
        <v>42382</v>
      </c>
      <c r="AC8276" t="s">
        <v>53</v>
      </c>
      <c r="AD8276" t="s">
        <v>53</v>
      </c>
      <c r="AK8276">
        <v>0</v>
      </c>
      <c r="AU8276" s="6">
        <v>42061</v>
      </c>
      <c r="AV8276" s="6">
        <v>42061</v>
      </c>
      <c r="AW8276" t="s">
        <v>54</v>
      </c>
      <c r="AX8276" t="str">
        <f t="shared" si="671"/>
        <v>FOR</v>
      </c>
      <c r="AY8276" t="s">
        <v>55</v>
      </c>
    </row>
    <row r="8277" spans="1:51" hidden="1">
      <c r="A8277">
        <v>104592</v>
      </c>
      <c r="B8277" t="s">
        <v>1346</v>
      </c>
      <c r="C8277" t="str">
        <f t="shared" si="673"/>
        <v>01911071007</v>
      </c>
      <c r="D8277" t="str">
        <f t="shared" si="674"/>
        <v>07931650589</v>
      </c>
      <c r="E8277" t="s">
        <v>52</v>
      </c>
      <c r="F8277">
        <v>2014</v>
      </c>
      <c r="G8277">
        <v>1411493</v>
      </c>
      <c r="H8277" s="1">
        <v>41780</v>
      </c>
      <c r="I8277" s="1">
        <v>41789</v>
      </c>
      <c r="J8277" s="1">
        <v>41789</v>
      </c>
      <c r="K8277" s="1">
        <v>41879</v>
      </c>
      <c r="N8277" s="5"/>
      <c r="O8277" s="2">
        <v>1749.38</v>
      </c>
      <c r="P8277">
        <v>252</v>
      </c>
      <c r="Q8277" s="2">
        <v>440843.76</v>
      </c>
      <c r="R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 s="1">
        <v>42382</v>
      </c>
      <c r="AC8277" t="s">
        <v>53</v>
      </c>
      <c r="AD8277" t="s">
        <v>53</v>
      </c>
      <c r="AK8277">
        <v>0</v>
      </c>
      <c r="AU8277" s="6">
        <v>42131</v>
      </c>
      <c r="AV8277" s="6">
        <v>42131</v>
      </c>
      <c r="AW8277" t="s">
        <v>54</v>
      </c>
      <c r="AX8277" t="str">
        <f t="shared" si="671"/>
        <v>FOR</v>
      </c>
      <c r="AY8277" t="s">
        <v>55</v>
      </c>
    </row>
    <row r="8278" spans="1:51" hidden="1">
      <c r="A8278">
        <v>104592</v>
      </c>
      <c r="B8278" t="s">
        <v>1346</v>
      </c>
      <c r="C8278" t="str">
        <f t="shared" si="673"/>
        <v>01911071007</v>
      </c>
      <c r="D8278" t="str">
        <f t="shared" si="674"/>
        <v>07931650589</v>
      </c>
      <c r="E8278" t="s">
        <v>52</v>
      </c>
      <c r="F8278">
        <v>2014</v>
      </c>
      <c r="G8278">
        <v>1413163</v>
      </c>
      <c r="H8278" s="1">
        <v>41802</v>
      </c>
      <c r="I8278" s="1">
        <v>41809</v>
      </c>
      <c r="J8278" s="1">
        <v>41809</v>
      </c>
      <c r="K8278" s="1">
        <v>41899</v>
      </c>
      <c r="N8278" s="5"/>
      <c r="O8278" s="2">
        <v>7448.68</v>
      </c>
      <c r="P8278">
        <v>259</v>
      </c>
      <c r="Q8278" s="2">
        <v>1929208.12</v>
      </c>
      <c r="R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 s="1">
        <v>42382</v>
      </c>
      <c r="AC8278" t="s">
        <v>53</v>
      </c>
      <c r="AD8278" t="s">
        <v>53</v>
      </c>
      <c r="AK8278">
        <v>0</v>
      </c>
      <c r="AU8278" s="6">
        <v>42158</v>
      </c>
      <c r="AV8278" s="6">
        <v>42158</v>
      </c>
      <c r="AW8278" t="s">
        <v>54</v>
      </c>
      <c r="AX8278" t="str">
        <f t="shared" si="671"/>
        <v>FOR</v>
      </c>
      <c r="AY8278" t="s">
        <v>55</v>
      </c>
    </row>
    <row r="8279" spans="1:51" hidden="1">
      <c r="A8279">
        <v>104592</v>
      </c>
      <c r="B8279" t="s">
        <v>1346</v>
      </c>
      <c r="C8279" t="str">
        <f t="shared" si="673"/>
        <v>01911071007</v>
      </c>
      <c r="D8279" t="str">
        <f t="shared" si="674"/>
        <v>07931650589</v>
      </c>
      <c r="E8279" t="s">
        <v>52</v>
      </c>
      <c r="F8279">
        <v>2014</v>
      </c>
      <c r="G8279">
        <v>1413741</v>
      </c>
      <c r="H8279" s="1">
        <v>41809</v>
      </c>
      <c r="I8279" s="1">
        <v>41816</v>
      </c>
      <c r="J8279" s="1">
        <v>41816</v>
      </c>
      <c r="K8279" s="1">
        <v>41906</v>
      </c>
      <c r="N8279" s="5"/>
      <c r="O8279" s="2">
        <v>1915.4</v>
      </c>
      <c r="P8279">
        <v>252</v>
      </c>
      <c r="Q8279" s="2">
        <v>482680.8</v>
      </c>
      <c r="R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 s="1">
        <v>42382</v>
      </c>
      <c r="AC8279" t="s">
        <v>53</v>
      </c>
      <c r="AD8279" t="s">
        <v>53</v>
      </c>
      <c r="AK8279">
        <v>0</v>
      </c>
      <c r="AU8279" s="6">
        <v>42158</v>
      </c>
      <c r="AV8279" s="6">
        <v>42158</v>
      </c>
      <c r="AW8279" t="s">
        <v>54</v>
      </c>
      <c r="AX8279" t="str">
        <f t="shared" si="671"/>
        <v>FOR</v>
      </c>
      <c r="AY8279" t="s">
        <v>55</v>
      </c>
    </row>
    <row r="8280" spans="1:51" hidden="1">
      <c r="A8280">
        <v>104592</v>
      </c>
      <c r="B8280" t="s">
        <v>1346</v>
      </c>
      <c r="C8280" t="str">
        <f t="shared" si="673"/>
        <v>01911071007</v>
      </c>
      <c r="D8280" t="str">
        <f t="shared" si="674"/>
        <v>07931650589</v>
      </c>
      <c r="E8280" t="s">
        <v>52</v>
      </c>
      <c r="F8280">
        <v>2014</v>
      </c>
      <c r="G8280">
        <v>1414326</v>
      </c>
      <c r="H8280" s="1">
        <v>41816</v>
      </c>
      <c r="I8280" s="1">
        <v>41827</v>
      </c>
      <c r="J8280" s="1">
        <v>41827</v>
      </c>
      <c r="K8280" s="1">
        <v>41917</v>
      </c>
      <c r="N8280" s="5"/>
      <c r="O8280">
        <v>585.6</v>
      </c>
      <c r="P8280">
        <v>241</v>
      </c>
      <c r="Q8280" s="2">
        <v>141129.60000000001</v>
      </c>
      <c r="R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 s="1">
        <v>42382</v>
      </c>
      <c r="AC8280" t="s">
        <v>53</v>
      </c>
      <c r="AD8280" t="s">
        <v>53</v>
      </c>
      <c r="AK8280">
        <v>0</v>
      </c>
      <c r="AU8280" s="6">
        <v>42158</v>
      </c>
      <c r="AV8280" s="6">
        <v>42158</v>
      </c>
      <c r="AW8280" t="s">
        <v>54</v>
      </c>
      <c r="AX8280" t="str">
        <f t="shared" si="671"/>
        <v>FOR</v>
      </c>
      <c r="AY8280" t="s">
        <v>55</v>
      </c>
    </row>
    <row r="8281" spans="1:51" hidden="1">
      <c r="A8281">
        <v>104592</v>
      </c>
      <c r="B8281" t="s">
        <v>1346</v>
      </c>
      <c r="C8281" t="str">
        <f t="shared" si="673"/>
        <v>01911071007</v>
      </c>
      <c r="D8281" t="str">
        <f t="shared" si="674"/>
        <v>07931650589</v>
      </c>
      <c r="E8281" t="s">
        <v>52</v>
      </c>
      <c r="F8281">
        <v>2014</v>
      </c>
      <c r="G8281">
        <v>1414327</v>
      </c>
      <c r="H8281" s="1">
        <v>41816</v>
      </c>
      <c r="I8281" s="1">
        <v>41827</v>
      </c>
      <c r="J8281" s="1">
        <v>41827</v>
      </c>
      <c r="K8281" s="1">
        <v>41917</v>
      </c>
      <c r="N8281" s="5"/>
      <c r="O8281">
        <v>610.61</v>
      </c>
      <c r="P8281">
        <v>241</v>
      </c>
      <c r="Q8281" s="2">
        <v>147157.01</v>
      </c>
      <c r="R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 s="1">
        <v>42382</v>
      </c>
      <c r="AC8281" t="s">
        <v>53</v>
      </c>
      <c r="AD8281" t="s">
        <v>53</v>
      </c>
      <c r="AK8281">
        <v>0</v>
      </c>
      <c r="AU8281" s="6">
        <v>42158</v>
      </c>
      <c r="AV8281" s="6">
        <v>42158</v>
      </c>
      <c r="AW8281" t="s">
        <v>54</v>
      </c>
      <c r="AX8281" t="str">
        <f t="shared" si="671"/>
        <v>FOR</v>
      </c>
      <c r="AY8281" t="s">
        <v>55</v>
      </c>
    </row>
    <row r="8282" spans="1:51" hidden="1">
      <c r="A8282">
        <v>104592</v>
      </c>
      <c r="B8282" t="s">
        <v>1346</v>
      </c>
      <c r="C8282" t="str">
        <f t="shared" si="673"/>
        <v>01911071007</v>
      </c>
      <c r="D8282" t="str">
        <f t="shared" si="674"/>
        <v>07931650589</v>
      </c>
      <c r="E8282" t="s">
        <v>52</v>
      </c>
      <c r="F8282">
        <v>2014</v>
      </c>
      <c r="G8282">
        <v>1415616</v>
      </c>
      <c r="H8282" s="1">
        <v>41831</v>
      </c>
      <c r="I8282" s="1">
        <v>41837</v>
      </c>
      <c r="J8282" s="1">
        <v>41837</v>
      </c>
      <c r="K8282" s="1">
        <v>41927</v>
      </c>
      <c r="N8282" s="5"/>
      <c r="O8282" s="2">
        <v>2799.01</v>
      </c>
      <c r="P8282">
        <v>257</v>
      </c>
      <c r="Q8282" s="2">
        <v>719345.57</v>
      </c>
      <c r="R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 s="1">
        <v>42382</v>
      </c>
      <c r="AC8282" t="s">
        <v>53</v>
      </c>
      <c r="AD8282" t="s">
        <v>53</v>
      </c>
      <c r="AK8282">
        <v>0</v>
      </c>
      <c r="AU8282" s="6">
        <v>42184</v>
      </c>
      <c r="AV8282" s="6">
        <v>42184</v>
      </c>
      <c r="AW8282" t="s">
        <v>54</v>
      </c>
      <c r="AX8282" t="str">
        <f t="shared" si="671"/>
        <v>FOR</v>
      </c>
      <c r="AY8282" t="s">
        <v>55</v>
      </c>
    </row>
    <row r="8283" spans="1:51" hidden="1">
      <c r="A8283">
        <v>104592</v>
      </c>
      <c r="B8283" t="s">
        <v>1346</v>
      </c>
      <c r="C8283" t="str">
        <f t="shared" si="673"/>
        <v>01911071007</v>
      </c>
      <c r="D8283" t="str">
        <f t="shared" si="674"/>
        <v>07931650589</v>
      </c>
      <c r="E8283" t="s">
        <v>52</v>
      </c>
      <c r="F8283">
        <v>2014</v>
      </c>
      <c r="G8283">
        <v>1416870</v>
      </c>
      <c r="H8283" s="1">
        <v>41848</v>
      </c>
      <c r="I8283" s="1">
        <v>41852</v>
      </c>
      <c r="J8283" s="1">
        <v>41852</v>
      </c>
      <c r="K8283" s="1">
        <v>41942</v>
      </c>
      <c r="N8283" s="5"/>
      <c r="O8283" s="2">
        <v>1352</v>
      </c>
      <c r="P8283">
        <v>242</v>
      </c>
      <c r="Q8283" s="2">
        <v>327184</v>
      </c>
      <c r="R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 s="1">
        <v>42382</v>
      </c>
      <c r="AC8283" t="s">
        <v>53</v>
      </c>
      <c r="AD8283" t="s">
        <v>53</v>
      </c>
      <c r="AK8283">
        <v>0</v>
      </c>
      <c r="AU8283" s="6">
        <v>42184</v>
      </c>
      <c r="AV8283" s="6">
        <v>42184</v>
      </c>
      <c r="AW8283" t="s">
        <v>54</v>
      </c>
      <c r="AX8283" t="str">
        <f t="shared" si="671"/>
        <v>FOR</v>
      </c>
      <c r="AY8283" t="s">
        <v>55</v>
      </c>
    </row>
    <row r="8284" spans="1:51" hidden="1">
      <c r="A8284">
        <v>104592</v>
      </c>
      <c r="B8284" t="s">
        <v>1346</v>
      </c>
      <c r="C8284" t="str">
        <f t="shared" si="673"/>
        <v>01911071007</v>
      </c>
      <c r="D8284" t="str">
        <f t="shared" si="674"/>
        <v>07931650589</v>
      </c>
      <c r="E8284" t="s">
        <v>52</v>
      </c>
      <c r="F8284">
        <v>2014</v>
      </c>
      <c r="G8284">
        <v>1416871</v>
      </c>
      <c r="H8284" s="1">
        <v>41848</v>
      </c>
      <c r="I8284" s="1">
        <v>41852</v>
      </c>
      <c r="J8284" s="1">
        <v>41852</v>
      </c>
      <c r="K8284" s="1">
        <v>41942</v>
      </c>
      <c r="N8284" s="5"/>
      <c r="O8284" s="2">
        <v>11097.84</v>
      </c>
      <c r="P8284">
        <v>242</v>
      </c>
      <c r="Q8284" s="2">
        <v>2685677.28</v>
      </c>
      <c r="R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 s="1">
        <v>42382</v>
      </c>
      <c r="AC8284" t="s">
        <v>53</v>
      </c>
      <c r="AD8284" t="s">
        <v>53</v>
      </c>
      <c r="AK8284">
        <v>0</v>
      </c>
      <c r="AU8284" s="6">
        <v>42184</v>
      </c>
      <c r="AV8284" s="6">
        <v>42184</v>
      </c>
      <c r="AW8284" t="s">
        <v>54</v>
      </c>
      <c r="AX8284" t="str">
        <f t="shared" si="671"/>
        <v>FOR</v>
      </c>
      <c r="AY8284" t="s">
        <v>55</v>
      </c>
    </row>
    <row r="8285" spans="1:51" hidden="1">
      <c r="A8285">
        <v>104592</v>
      </c>
      <c r="B8285" t="s">
        <v>1346</v>
      </c>
      <c r="C8285" t="str">
        <f t="shared" si="673"/>
        <v>01911071007</v>
      </c>
      <c r="D8285" t="str">
        <f t="shared" si="674"/>
        <v>07931650589</v>
      </c>
      <c r="E8285" t="s">
        <v>52</v>
      </c>
      <c r="F8285">
        <v>2014</v>
      </c>
      <c r="G8285">
        <v>1417381</v>
      </c>
      <c r="H8285" s="1">
        <v>41855</v>
      </c>
      <c r="I8285" s="1">
        <v>41873</v>
      </c>
      <c r="J8285" s="1">
        <v>41873</v>
      </c>
      <c r="K8285" s="1">
        <v>41963</v>
      </c>
      <c r="N8285" s="5"/>
      <c r="O8285" s="2">
        <v>1809.39</v>
      </c>
      <c r="P8285">
        <v>221</v>
      </c>
      <c r="Q8285" s="2">
        <v>399875.19</v>
      </c>
      <c r="R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 s="1">
        <v>42382</v>
      </c>
      <c r="AC8285" t="s">
        <v>53</v>
      </c>
      <c r="AD8285" t="s">
        <v>53</v>
      </c>
      <c r="AK8285">
        <v>0</v>
      </c>
      <c r="AU8285" s="6">
        <v>42184</v>
      </c>
      <c r="AV8285" s="6">
        <v>42184</v>
      </c>
      <c r="AW8285" t="s">
        <v>54</v>
      </c>
      <c r="AX8285" t="str">
        <f t="shared" si="671"/>
        <v>FOR</v>
      </c>
      <c r="AY8285" t="s">
        <v>55</v>
      </c>
    </row>
    <row r="8286" spans="1:51" hidden="1">
      <c r="A8286">
        <v>104592</v>
      </c>
      <c r="B8286" t="s">
        <v>1346</v>
      </c>
      <c r="C8286" t="str">
        <f t="shared" si="673"/>
        <v>01911071007</v>
      </c>
      <c r="D8286" t="str">
        <f t="shared" si="674"/>
        <v>07931650589</v>
      </c>
      <c r="E8286" t="s">
        <v>52</v>
      </c>
      <c r="F8286">
        <v>2014</v>
      </c>
      <c r="G8286">
        <v>1418253</v>
      </c>
      <c r="H8286" s="1">
        <v>41876</v>
      </c>
      <c r="I8286" s="1">
        <v>41883</v>
      </c>
      <c r="J8286" s="1">
        <v>41883</v>
      </c>
      <c r="K8286" s="1">
        <v>41973</v>
      </c>
      <c r="N8286" s="5"/>
      <c r="O8286" s="2">
        <v>9047.69</v>
      </c>
      <c r="P8286">
        <v>211</v>
      </c>
      <c r="Q8286" s="2">
        <v>1909062.59</v>
      </c>
      <c r="R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 s="1">
        <v>42382</v>
      </c>
      <c r="AC8286" t="s">
        <v>53</v>
      </c>
      <c r="AD8286" t="s">
        <v>53</v>
      </c>
      <c r="AK8286">
        <v>0</v>
      </c>
      <c r="AU8286" s="6">
        <v>42184</v>
      </c>
      <c r="AV8286" s="6">
        <v>42184</v>
      </c>
      <c r="AW8286" t="s">
        <v>54</v>
      </c>
      <c r="AX8286" t="str">
        <f t="shared" si="671"/>
        <v>FOR</v>
      </c>
      <c r="AY8286" t="s">
        <v>55</v>
      </c>
    </row>
    <row r="8287" spans="1:51" hidden="1">
      <c r="A8287">
        <v>104592</v>
      </c>
      <c r="B8287" t="s">
        <v>1346</v>
      </c>
      <c r="C8287" t="str">
        <f t="shared" si="673"/>
        <v>01911071007</v>
      </c>
      <c r="D8287" t="str">
        <f t="shared" si="674"/>
        <v>07931650589</v>
      </c>
      <c r="E8287" t="s">
        <v>52</v>
      </c>
      <c r="F8287">
        <v>2014</v>
      </c>
      <c r="G8287">
        <v>1420043</v>
      </c>
      <c r="H8287" s="1">
        <v>41904</v>
      </c>
      <c r="I8287" s="1">
        <v>41914</v>
      </c>
      <c r="J8287" s="1">
        <v>41914</v>
      </c>
      <c r="K8287" s="1">
        <v>42004</v>
      </c>
      <c r="N8287" s="5"/>
      <c r="O8287" s="2">
        <v>9198.07</v>
      </c>
      <c r="P8287">
        <v>245</v>
      </c>
      <c r="Q8287" s="2">
        <v>2253527.15</v>
      </c>
      <c r="R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 s="1">
        <v>42382</v>
      </c>
      <c r="AC8287" t="s">
        <v>53</v>
      </c>
      <c r="AD8287" t="s">
        <v>53</v>
      </c>
      <c r="AK8287">
        <v>0</v>
      </c>
      <c r="AU8287" s="6">
        <v>42249</v>
      </c>
      <c r="AV8287" s="6">
        <v>42249</v>
      </c>
      <c r="AW8287" t="s">
        <v>54</v>
      </c>
      <c r="AX8287" t="str">
        <f t="shared" si="671"/>
        <v>FOR</v>
      </c>
      <c r="AY8287" t="s">
        <v>55</v>
      </c>
    </row>
    <row r="8288" spans="1:51">
      <c r="A8288">
        <v>104592</v>
      </c>
      <c r="B8288" t="s">
        <v>1346</v>
      </c>
      <c r="C8288" t="str">
        <f t="shared" si="673"/>
        <v>01911071007</v>
      </c>
      <c r="D8288" t="str">
        <f t="shared" si="674"/>
        <v>07931650589</v>
      </c>
      <c r="E8288" t="s">
        <v>52</v>
      </c>
      <c r="F8288">
        <v>2014</v>
      </c>
      <c r="G8288">
        <v>1422006</v>
      </c>
      <c r="H8288" s="1">
        <v>41928</v>
      </c>
      <c r="I8288" s="1">
        <v>41936</v>
      </c>
      <c r="J8288" s="1">
        <v>41936</v>
      </c>
      <c r="K8288" s="1">
        <v>41996</v>
      </c>
      <c r="L8288" s="7">
        <v>1809.39</v>
      </c>
      <c r="M8288" s="5">
        <v>286</v>
      </c>
      <c r="N8288" s="7">
        <v>517485.54</v>
      </c>
      <c r="O8288" s="2">
        <v>1809.39</v>
      </c>
      <c r="P8288">
        <v>286</v>
      </c>
      <c r="Q8288" s="2">
        <v>517485.54</v>
      </c>
      <c r="R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 s="1">
        <v>42382</v>
      </c>
      <c r="AC8288" t="s">
        <v>53</v>
      </c>
      <c r="AD8288" t="s">
        <v>53</v>
      </c>
      <c r="AK8288">
        <v>0</v>
      </c>
      <c r="AU8288" s="6">
        <v>42282</v>
      </c>
      <c r="AV8288" s="6">
        <v>42282</v>
      </c>
      <c r="AW8288" t="s">
        <v>54</v>
      </c>
      <c r="AX8288" t="str">
        <f t="shared" si="671"/>
        <v>FOR</v>
      </c>
      <c r="AY8288" t="s">
        <v>55</v>
      </c>
    </row>
    <row r="8289" spans="1:51">
      <c r="A8289">
        <v>104592</v>
      </c>
      <c r="B8289" t="s">
        <v>1346</v>
      </c>
      <c r="C8289" t="str">
        <f t="shared" si="673"/>
        <v>01911071007</v>
      </c>
      <c r="D8289" t="str">
        <f t="shared" si="674"/>
        <v>07931650589</v>
      </c>
      <c r="E8289" t="s">
        <v>52</v>
      </c>
      <c r="F8289">
        <v>2014</v>
      </c>
      <c r="G8289">
        <v>1424108</v>
      </c>
      <c r="H8289" s="1">
        <v>41955</v>
      </c>
      <c r="I8289" s="1">
        <v>41964</v>
      </c>
      <c r="J8289" s="1">
        <v>41964</v>
      </c>
      <c r="K8289" s="1">
        <v>42024</v>
      </c>
      <c r="L8289" s="7">
        <v>7298.31</v>
      </c>
      <c r="M8289" s="5">
        <v>281</v>
      </c>
      <c r="N8289" s="7">
        <v>2050825.11</v>
      </c>
      <c r="O8289" s="2">
        <v>7298.31</v>
      </c>
      <c r="P8289">
        <v>281</v>
      </c>
      <c r="Q8289" s="2">
        <v>2050825.11</v>
      </c>
      <c r="R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 s="1">
        <v>42382</v>
      </c>
      <c r="AC8289" t="s">
        <v>53</v>
      </c>
      <c r="AD8289" t="s">
        <v>53</v>
      </c>
      <c r="AK8289">
        <v>0</v>
      </c>
      <c r="AU8289" s="6">
        <v>42305</v>
      </c>
      <c r="AV8289" s="6">
        <v>42305</v>
      </c>
      <c r="AW8289" t="s">
        <v>54</v>
      </c>
      <c r="AX8289" t="str">
        <f t="shared" si="671"/>
        <v>FOR</v>
      </c>
      <c r="AY8289" t="s">
        <v>55</v>
      </c>
    </row>
    <row r="8290" spans="1:51">
      <c r="A8290">
        <v>104592</v>
      </c>
      <c r="B8290" t="s">
        <v>1346</v>
      </c>
      <c r="C8290" t="str">
        <f t="shared" si="673"/>
        <v>01911071007</v>
      </c>
      <c r="D8290" t="str">
        <f t="shared" si="674"/>
        <v>07931650589</v>
      </c>
      <c r="E8290" t="s">
        <v>52</v>
      </c>
      <c r="F8290">
        <v>2014</v>
      </c>
      <c r="G8290">
        <v>1424221</v>
      </c>
      <c r="H8290" s="1">
        <v>41956</v>
      </c>
      <c r="I8290" s="1">
        <v>41964</v>
      </c>
      <c r="J8290" s="1">
        <v>41964</v>
      </c>
      <c r="K8290" s="1">
        <v>42024</v>
      </c>
      <c r="L8290" s="7">
        <v>3416</v>
      </c>
      <c r="M8290" s="5">
        <v>281</v>
      </c>
      <c r="N8290" s="7">
        <v>959896</v>
      </c>
      <c r="O8290" s="2">
        <v>3416</v>
      </c>
      <c r="P8290">
        <v>281</v>
      </c>
      <c r="Q8290" s="2">
        <v>959896</v>
      </c>
      <c r="R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 s="1">
        <v>42382</v>
      </c>
      <c r="AC8290" t="s">
        <v>53</v>
      </c>
      <c r="AD8290" t="s">
        <v>53</v>
      </c>
      <c r="AK8290">
        <v>0</v>
      </c>
      <c r="AU8290" s="6">
        <v>42305</v>
      </c>
      <c r="AV8290" s="6">
        <v>42305</v>
      </c>
      <c r="AW8290" t="s">
        <v>54</v>
      </c>
      <c r="AX8290" t="str">
        <f t="shared" si="671"/>
        <v>FOR</v>
      </c>
      <c r="AY8290" t="s">
        <v>55</v>
      </c>
    </row>
    <row r="8291" spans="1:51">
      <c r="A8291">
        <v>104592</v>
      </c>
      <c r="B8291" t="s">
        <v>1346</v>
      </c>
      <c r="C8291" t="str">
        <f t="shared" si="673"/>
        <v>01911071007</v>
      </c>
      <c r="D8291" t="str">
        <f t="shared" si="674"/>
        <v>07931650589</v>
      </c>
      <c r="E8291" t="s">
        <v>52</v>
      </c>
      <c r="F8291">
        <v>2014</v>
      </c>
      <c r="G8291">
        <v>1424552</v>
      </c>
      <c r="H8291" s="1">
        <v>41961</v>
      </c>
      <c r="I8291" s="1">
        <v>41970</v>
      </c>
      <c r="J8291" s="1">
        <v>41970</v>
      </c>
      <c r="K8291" s="1">
        <v>42030</v>
      </c>
      <c r="L8291" s="7">
        <v>1352</v>
      </c>
      <c r="M8291" s="5">
        <v>275</v>
      </c>
      <c r="N8291" s="7">
        <v>371800</v>
      </c>
      <c r="O8291" s="2">
        <v>1352</v>
      </c>
      <c r="P8291">
        <v>275</v>
      </c>
      <c r="Q8291" s="2">
        <v>371800</v>
      </c>
      <c r="R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 s="1">
        <v>42382</v>
      </c>
      <c r="AC8291" t="s">
        <v>53</v>
      </c>
      <c r="AD8291" t="s">
        <v>53</v>
      </c>
      <c r="AK8291">
        <v>0</v>
      </c>
      <c r="AU8291" s="6">
        <v>42305</v>
      </c>
      <c r="AV8291" s="6">
        <v>42305</v>
      </c>
      <c r="AW8291" t="s">
        <v>54</v>
      </c>
      <c r="AX8291" t="str">
        <f t="shared" si="671"/>
        <v>FOR</v>
      </c>
      <c r="AY8291" t="s">
        <v>55</v>
      </c>
    </row>
    <row r="8292" spans="1:51">
      <c r="A8292">
        <v>104592</v>
      </c>
      <c r="B8292" t="s">
        <v>1346</v>
      </c>
      <c r="C8292" t="str">
        <f t="shared" si="673"/>
        <v>01911071007</v>
      </c>
      <c r="D8292" t="str">
        <f t="shared" si="674"/>
        <v>07931650589</v>
      </c>
      <c r="E8292" t="s">
        <v>52</v>
      </c>
      <c r="F8292">
        <v>2014</v>
      </c>
      <c r="G8292">
        <v>1424553</v>
      </c>
      <c r="H8292" s="1">
        <v>41961</v>
      </c>
      <c r="I8292" s="1">
        <v>41970</v>
      </c>
      <c r="J8292" s="1">
        <v>41970</v>
      </c>
      <c r="K8292" s="1">
        <v>42030</v>
      </c>
      <c r="L8292" s="7">
        <v>1352</v>
      </c>
      <c r="M8292" s="5">
        <v>275</v>
      </c>
      <c r="N8292" s="7">
        <v>371800</v>
      </c>
      <c r="O8292" s="2">
        <v>1352</v>
      </c>
      <c r="P8292">
        <v>275</v>
      </c>
      <c r="Q8292" s="2">
        <v>371800</v>
      </c>
      <c r="R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 s="1">
        <v>42382</v>
      </c>
      <c r="AC8292" t="s">
        <v>53</v>
      </c>
      <c r="AD8292" t="s">
        <v>53</v>
      </c>
      <c r="AK8292">
        <v>0</v>
      </c>
      <c r="AU8292" s="6">
        <v>42305</v>
      </c>
      <c r="AV8292" s="6">
        <v>42305</v>
      </c>
      <c r="AW8292" t="s">
        <v>54</v>
      </c>
      <c r="AX8292" t="str">
        <f t="shared" si="671"/>
        <v>FOR</v>
      </c>
      <c r="AY8292" t="s">
        <v>55</v>
      </c>
    </row>
    <row r="8293" spans="1:51">
      <c r="A8293">
        <v>104592</v>
      </c>
      <c r="B8293" t="s">
        <v>1346</v>
      </c>
      <c r="C8293" t="str">
        <f t="shared" si="673"/>
        <v>01911071007</v>
      </c>
      <c r="D8293" t="str">
        <f t="shared" si="674"/>
        <v>07931650589</v>
      </c>
      <c r="E8293" t="s">
        <v>52</v>
      </c>
      <c r="F8293">
        <v>2014</v>
      </c>
      <c r="G8293">
        <v>1425107</v>
      </c>
      <c r="H8293" s="1">
        <v>41968</v>
      </c>
      <c r="I8293" s="1">
        <v>41976</v>
      </c>
      <c r="J8293" s="1">
        <v>41976</v>
      </c>
      <c r="K8293" s="1">
        <v>42036</v>
      </c>
      <c r="L8293" s="7">
        <v>3400.8</v>
      </c>
      <c r="M8293" s="5">
        <v>269</v>
      </c>
      <c r="N8293" s="7">
        <v>914815.2</v>
      </c>
      <c r="O8293" s="2">
        <v>3400.8</v>
      </c>
      <c r="P8293">
        <v>269</v>
      </c>
      <c r="Q8293" s="2">
        <v>914815.2</v>
      </c>
      <c r="R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 s="1">
        <v>42382</v>
      </c>
      <c r="AC8293" t="s">
        <v>53</v>
      </c>
      <c r="AD8293" t="s">
        <v>53</v>
      </c>
      <c r="AK8293">
        <v>0</v>
      </c>
      <c r="AU8293" s="6">
        <v>42305</v>
      </c>
      <c r="AV8293" s="6">
        <v>42305</v>
      </c>
      <c r="AW8293" t="s">
        <v>54</v>
      </c>
      <c r="AX8293" t="str">
        <f t="shared" si="671"/>
        <v>FOR</v>
      </c>
      <c r="AY8293" t="s">
        <v>55</v>
      </c>
    </row>
    <row r="8294" spans="1:51">
      <c r="A8294">
        <v>104592</v>
      </c>
      <c r="B8294" t="s">
        <v>1346</v>
      </c>
      <c r="C8294" t="str">
        <f t="shared" si="673"/>
        <v>01911071007</v>
      </c>
      <c r="D8294" t="str">
        <f t="shared" si="674"/>
        <v>07931650589</v>
      </c>
      <c r="E8294" t="s">
        <v>52</v>
      </c>
      <c r="F8294">
        <v>2014</v>
      </c>
      <c r="G8294">
        <v>1425854</v>
      </c>
      <c r="H8294" s="1">
        <v>41977</v>
      </c>
      <c r="I8294" s="1">
        <v>41990</v>
      </c>
      <c r="J8294" s="1">
        <v>41990</v>
      </c>
      <c r="K8294" s="1">
        <v>42050</v>
      </c>
      <c r="L8294" s="7">
        <v>574.62</v>
      </c>
      <c r="M8294" s="5">
        <v>291</v>
      </c>
      <c r="N8294" s="7">
        <v>167214.42000000001</v>
      </c>
      <c r="O8294">
        <v>574.62</v>
      </c>
      <c r="P8294">
        <v>291</v>
      </c>
      <c r="Q8294" s="2">
        <v>167214.42000000001</v>
      </c>
      <c r="R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 s="1">
        <v>42382</v>
      </c>
      <c r="AC8294" t="s">
        <v>53</v>
      </c>
      <c r="AD8294" t="s">
        <v>53</v>
      </c>
      <c r="AK8294">
        <v>0</v>
      </c>
      <c r="AU8294" s="6">
        <v>42341</v>
      </c>
      <c r="AV8294" s="6">
        <v>42341</v>
      </c>
      <c r="AW8294" t="s">
        <v>54</v>
      </c>
      <c r="AX8294" t="str">
        <f t="shared" si="671"/>
        <v>FOR</v>
      </c>
      <c r="AY8294" t="s">
        <v>55</v>
      </c>
    </row>
    <row r="8295" spans="1:51">
      <c r="A8295">
        <v>104592</v>
      </c>
      <c r="B8295" t="s">
        <v>1346</v>
      </c>
      <c r="C8295" t="str">
        <f t="shared" si="673"/>
        <v>01911071007</v>
      </c>
      <c r="D8295" t="str">
        <f t="shared" si="674"/>
        <v>07931650589</v>
      </c>
      <c r="E8295" t="s">
        <v>52</v>
      </c>
      <c r="F8295">
        <v>2014</v>
      </c>
      <c r="G8295">
        <v>1426428</v>
      </c>
      <c r="H8295" s="1">
        <v>41988</v>
      </c>
      <c r="I8295" s="1">
        <v>41995</v>
      </c>
      <c r="J8295" s="1">
        <v>41995</v>
      </c>
      <c r="K8295" s="1">
        <v>42055</v>
      </c>
      <c r="L8295" s="7">
        <v>3649.15</v>
      </c>
      <c r="M8295" s="5">
        <v>286</v>
      </c>
      <c r="N8295" s="7">
        <v>1043656.9</v>
      </c>
      <c r="O8295" s="2">
        <v>3649.15</v>
      </c>
      <c r="P8295">
        <v>286</v>
      </c>
      <c r="Q8295" s="2">
        <v>1043656.9</v>
      </c>
      <c r="R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 s="1">
        <v>42382</v>
      </c>
      <c r="AC8295" t="s">
        <v>53</v>
      </c>
      <c r="AD8295" t="s">
        <v>53</v>
      </c>
      <c r="AK8295">
        <v>0</v>
      </c>
      <c r="AU8295" s="6">
        <v>42341</v>
      </c>
      <c r="AV8295" s="6">
        <v>42341</v>
      </c>
      <c r="AW8295" t="s">
        <v>54</v>
      </c>
      <c r="AX8295" t="str">
        <f t="shared" si="671"/>
        <v>FOR</v>
      </c>
      <c r="AY8295" t="s">
        <v>55</v>
      </c>
    </row>
    <row r="8296" spans="1:51">
      <c r="A8296">
        <v>104592</v>
      </c>
      <c r="B8296" t="s">
        <v>1346</v>
      </c>
      <c r="C8296" t="str">
        <f t="shared" si="673"/>
        <v>01911071007</v>
      </c>
      <c r="D8296" t="str">
        <f t="shared" si="674"/>
        <v>07931650589</v>
      </c>
      <c r="E8296" t="s">
        <v>52</v>
      </c>
      <c r="F8296">
        <v>2015</v>
      </c>
      <c r="G8296">
        <v>1500911</v>
      </c>
      <c r="H8296" s="1">
        <v>42020</v>
      </c>
      <c r="I8296" s="1">
        <v>42031</v>
      </c>
      <c r="J8296" s="1">
        <v>42031</v>
      </c>
      <c r="K8296" s="1">
        <v>42091</v>
      </c>
      <c r="L8296" s="7">
        <v>7017.6</v>
      </c>
      <c r="M8296" s="5">
        <v>264</v>
      </c>
      <c r="N8296" s="7">
        <v>1852646.3999999999</v>
      </c>
      <c r="O8296" s="2">
        <v>7017.6</v>
      </c>
      <c r="P8296">
        <v>264</v>
      </c>
      <c r="Q8296" s="2">
        <v>1852646.3999999999</v>
      </c>
      <c r="R8296">
        <v>280.70999999999998</v>
      </c>
      <c r="V8296">
        <v>0</v>
      </c>
      <c r="W8296">
        <v>0</v>
      </c>
      <c r="X8296">
        <v>0</v>
      </c>
      <c r="Y8296" s="2">
        <v>7298.31</v>
      </c>
      <c r="Z8296" s="2">
        <v>7298.31</v>
      </c>
      <c r="AA8296" s="2">
        <v>7298.31</v>
      </c>
      <c r="AB8296" s="1">
        <v>42382</v>
      </c>
      <c r="AC8296" t="s">
        <v>53</v>
      </c>
      <c r="AD8296" t="s">
        <v>53</v>
      </c>
      <c r="AK8296">
        <v>280.70999999999998</v>
      </c>
      <c r="AU8296" s="6">
        <v>42355</v>
      </c>
      <c r="AV8296" s="6">
        <v>42355</v>
      </c>
      <c r="AW8296" t="s">
        <v>54</v>
      </c>
      <c r="AX8296" t="str">
        <f t="shared" si="671"/>
        <v>FOR</v>
      </c>
      <c r="AY8296" t="s">
        <v>55</v>
      </c>
    </row>
    <row r="8297" spans="1:51">
      <c r="A8297">
        <v>104592</v>
      </c>
      <c r="B8297" t="s">
        <v>1346</v>
      </c>
      <c r="C8297" t="str">
        <f t="shared" si="673"/>
        <v>01911071007</v>
      </c>
      <c r="D8297" t="str">
        <f t="shared" si="674"/>
        <v>07931650589</v>
      </c>
      <c r="E8297" t="s">
        <v>52</v>
      </c>
      <c r="F8297">
        <v>2015</v>
      </c>
      <c r="G8297">
        <v>1501482</v>
      </c>
      <c r="H8297" s="1">
        <v>42027</v>
      </c>
      <c r="I8297" s="1">
        <v>42039</v>
      </c>
      <c r="J8297" s="1">
        <v>42039</v>
      </c>
      <c r="K8297" s="1">
        <v>42099</v>
      </c>
      <c r="L8297" s="7">
        <v>360.2</v>
      </c>
      <c r="M8297" s="5">
        <v>256</v>
      </c>
      <c r="N8297" s="7">
        <v>92211.199999999997</v>
      </c>
      <c r="O8297">
        <v>360.2</v>
      </c>
      <c r="P8297">
        <v>256</v>
      </c>
      <c r="Q8297" s="2">
        <v>92211.199999999997</v>
      </c>
      <c r="R8297">
        <v>14.41</v>
      </c>
      <c r="V8297">
        <v>0</v>
      </c>
      <c r="W8297">
        <v>0</v>
      </c>
      <c r="X8297">
        <v>0</v>
      </c>
      <c r="Y8297">
        <v>374.61</v>
      </c>
      <c r="Z8297">
        <v>374.61</v>
      </c>
      <c r="AA8297">
        <v>374.61</v>
      </c>
      <c r="AB8297" s="1">
        <v>42382</v>
      </c>
      <c r="AC8297" t="s">
        <v>53</v>
      </c>
      <c r="AD8297" t="s">
        <v>53</v>
      </c>
      <c r="AK8297">
        <v>14.41</v>
      </c>
      <c r="AU8297" s="6">
        <v>42355</v>
      </c>
      <c r="AV8297" s="6">
        <v>42355</v>
      </c>
      <c r="AW8297" t="s">
        <v>54</v>
      </c>
      <c r="AX8297" t="str">
        <f t="shared" si="671"/>
        <v>FOR</v>
      </c>
      <c r="AY8297" t="s">
        <v>55</v>
      </c>
    </row>
    <row r="8298" spans="1:51">
      <c r="A8298">
        <v>104592</v>
      </c>
      <c r="B8298" t="s">
        <v>1346</v>
      </c>
      <c r="C8298" t="str">
        <f t="shared" si="673"/>
        <v>01911071007</v>
      </c>
      <c r="D8298" t="str">
        <f t="shared" si="674"/>
        <v>07931650589</v>
      </c>
      <c r="E8298" t="s">
        <v>52</v>
      </c>
      <c r="F8298">
        <v>2015</v>
      </c>
      <c r="G8298">
        <v>1501931</v>
      </c>
      <c r="H8298" s="1">
        <v>42033</v>
      </c>
      <c r="I8298" s="1">
        <v>42045</v>
      </c>
      <c r="J8298" s="1">
        <v>42045</v>
      </c>
      <c r="K8298" s="1">
        <v>42105</v>
      </c>
      <c r="L8298" s="7">
        <v>2609.6999999999998</v>
      </c>
      <c r="M8298" s="5">
        <v>250</v>
      </c>
      <c r="N8298" s="7">
        <v>652425</v>
      </c>
      <c r="O8298" s="2">
        <v>2609.6999999999998</v>
      </c>
      <c r="P8298">
        <v>250</v>
      </c>
      <c r="Q8298" s="2">
        <v>652425</v>
      </c>
      <c r="R8298">
        <v>104.39</v>
      </c>
      <c r="V8298">
        <v>0</v>
      </c>
      <c r="W8298">
        <v>0</v>
      </c>
      <c r="X8298">
        <v>0</v>
      </c>
      <c r="Y8298" s="2">
        <v>2714.09</v>
      </c>
      <c r="Z8298" s="2">
        <v>2714.09</v>
      </c>
      <c r="AA8298" s="2">
        <v>2714.09</v>
      </c>
      <c r="AB8298" s="1">
        <v>42382</v>
      </c>
      <c r="AC8298" t="s">
        <v>53</v>
      </c>
      <c r="AD8298" t="s">
        <v>53</v>
      </c>
      <c r="AK8298">
        <v>104.39</v>
      </c>
      <c r="AU8298" s="6">
        <v>42355</v>
      </c>
      <c r="AV8298" s="6">
        <v>42355</v>
      </c>
      <c r="AW8298" t="s">
        <v>54</v>
      </c>
      <c r="AX8298" t="str">
        <f t="shared" si="671"/>
        <v>FOR</v>
      </c>
      <c r="AY8298" t="s">
        <v>55</v>
      </c>
    </row>
    <row r="8299" spans="1:51" hidden="1">
      <c r="A8299">
        <v>104595</v>
      </c>
      <c r="B8299" t="s">
        <v>1347</v>
      </c>
      <c r="C8299" t="str">
        <f t="shared" ref="C8299:D8301" si="675">"01149250159"</f>
        <v>01149250159</v>
      </c>
      <c r="D8299" t="str">
        <f t="shared" si="675"/>
        <v>01149250159</v>
      </c>
      <c r="E8299" t="s">
        <v>52</v>
      </c>
      <c r="F8299">
        <v>2014</v>
      </c>
      <c r="G8299">
        <v>1164</v>
      </c>
      <c r="H8299" s="1">
        <v>41711</v>
      </c>
      <c r="I8299" s="1">
        <v>41724</v>
      </c>
      <c r="J8299" s="1">
        <v>41724</v>
      </c>
      <c r="K8299" s="1">
        <v>41814</v>
      </c>
      <c r="N8299" s="5"/>
      <c r="O8299" s="2">
        <v>1171.2</v>
      </c>
      <c r="P8299">
        <v>287</v>
      </c>
      <c r="Q8299" s="2">
        <v>336134.40000000002</v>
      </c>
      <c r="R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 s="1">
        <v>42382</v>
      </c>
      <c r="AC8299" t="s">
        <v>53</v>
      </c>
      <c r="AD8299" t="s">
        <v>53</v>
      </c>
      <c r="AK8299">
        <v>0</v>
      </c>
      <c r="AU8299" s="6">
        <v>42101</v>
      </c>
      <c r="AV8299" s="6">
        <v>42101</v>
      </c>
      <c r="AW8299" t="s">
        <v>54</v>
      </c>
      <c r="AX8299" t="str">
        <f t="shared" si="671"/>
        <v>FOR</v>
      </c>
      <c r="AY8299" t="s">
        <v>55</v>
      </c>
    </row>
    <row r="8300" spans="1:51" hidden="1">
      <c r="A8300">
        <v>104595</v>
      </c>
      <c r="B8300" t="s">
        <v>1347</v>
      </c>
      <c r="C8300" t="str">
        <f t="shared" si="675"/>
        <v>01149250159</v>
      </c>
      <c r="D8300" t="str">
        <f t="shared" si="675"/>
        <v>01149250159</v>
      </c>
      <c r="E8300" t="s">
        <v>52</v>
      </c>
      <c r="F8300">
        <v>2014</v>
      </c>
      <c r="G8300">
        <v>4817</v>
      </c>
      <c r="H8300" s="1">
        <v>41893</v>
      </c>
      <c r="I8300" s="1">
        <v>41914</v>
      </c>
      <c r="J8300" s="1">
        <v>41914</v>
      </c>
      <c r="K8300" s="1">
        <v>42004</v>
      </c>
      <c r="N8300" s="5"/>
      <c r="O8300">
        <v>501.42</v>
      </c>
      <c r="P8300">
        <v>245</v>
      </c>
      <c r="Q8300" s="2">
        <v>122847.9</v>
      </c>
      <c r="R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 s="1">
        <v>42382</v>
      </c>
      <c r="AC8300" t="s">
        <v>53</v>
      </c>
      <c r="AD8300" t="s">
        <v>53</v>
      </c>
      <c r="AK8300">
        <v>0</v>
      </c>
      <c r="AU8300" s="6">
        <v>42249</v>
      </c>
      <c r="AV8300" s="6">
        <v>42249</v>
      </c>
      <c r="AW8300" t="s">
        <v>54</v>
      </c>
      <c r="AX8300" t="str">
        <f t="shared" si="671"/>
        <v>FOR</v>
      </c>
      <c r="AY8300" t="s">
        <v>55</v>
      </c>
    </row>
    <row r="8301" spans="1:51">
      <c r="A8301">
        <v>104595</v>
      </c>
      <c r="B8301" t="s">
        <v>1347</v>
      </c>
      <c r="C8301" t="str">
        <f t="shared" si="675"/>
        <v>01149250159</v>
      </c>
      <c r="D8301" t="str">
        <f t="shared" si="675"/>
        <v>01149250159</v>
      </c>
      <c r="E8301" t="s">
        <v>52</v>
      </c>
      <c r="F8301">
        <v>2014</v>
      </c>
      <c r="G8301">
        <v>5346</v>
      </c>
      <c r="H8301" s="1">
        <v>41922</v>
      </c>
      <c r="I8301" s="1">
        <v>41932</v>
      </c>
      <c r="J8301" s="1">
        <v>41932</v>
      </c>
      <c r="K8301" s="1">
        <v>41992</v>
      </c>
      <c r="L8301" s="7">
        <v>647.82000000000005</v>
      </c>
      <c r="M8301" s="5">
        <v>291</v>
      </c>
      <c r="N8301" s="7">
        <v>188515.62</v>
      </c>
      <c r="O8301">
        <v>647.82000000000005</v>
      </c>
      <c r="P8301">
        <v>291</v>
      </c>
      <c r="Q8301" s="2">
        <v>188515.62</v>
      </c>
      <c r="R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 s="1">
        <v>42382</v>
      </c>
      <c r="AC8301" t="s">
        <v>53</v>
      </c>
      <c r="AD8301" t="s">
        <v>53</v>
      </c>
      <c r="AK8301">
        <v>0</v>
      </c>
      <c r="AU8301" s="6">
        <v>42283</v>
      </c>
      <c r="AV8301" s="6">
        <v>42283</v>
      </c>
      <c r="AW8301" t="s">
        <v>54</v>
      </c>
      <c r="AX8301" t="str">
        <f t="shared" si="671"/>
        <v>FOR</v>
      </c>
      <c r="AY8301" t="s">
        <v>55</v>
      </c>
    </row>
    <row r="8302" spans="1:51" hidden="1">
      <c r="A8302">
        <v>104601</v>
      </c>
      <c r="B8302" t="s">
        <v>1348</v>
      </c>
      <c r="C8302" t="str">
        <f t="shared" ref="C8302:D8313" si="676">"05791560633"</f>
        <v>05791560633</v>
      </c>
      <c r="D8302" t="str">
        <f t="shared" si="676"/>
        <v>05791560633</v>
      </c>
      <c r="E8302" t="s">
        <v>52</v>
      </c>
      <c r="F8302">
        <v>2014</v>
      </c>
      <c r="G8302">
        <v>2197</v>
      </c>
      <c r="H8302" s="1">
        <v>41820</v>
      </c>
      <c r="I8302" s="1">
        <v>41946</v>
      </c>
      <c r="J8302" s="1">
        <v>41946</v>
      </c>
      <c r="K8302" s="1">
        <v>42006</v>
      </c>
      <c r="N8302" s="5"/>
      <c r="O8302">
        <v>219.6</v>
      </c>
      <c r="P8302">
        <v>153</v>
      </c>
      <c r="Q8302" s="2">
        <v>33598.800000000003</v>
      </c>
      <c r="R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 s="1">
        <v>42382</v>
      </c>
      <c r="AC8302" t="s">
        <v>53</v>
      </c>
      <c r="AD8302" t="s">
        <v>53</v>
      </c>
      <c r="AK8302">
        <v>0</v>
      </c>
      <c r="AU8302" s="6">
        <v>42159</v>
      </c>
      <c r="AV8302" s="6">
        <v>42159</v>
      </c>
      <c r="AW8302" t="s">
        <v>54</v>
      </c>
      <c r="AX8302" t="str">
        <f t="shared" si="671"/>
        <v>FOR</v>
      </c>
      <c r="AY8302" t="s">
        <v>55</v>
      </c>
    </row>
    <row r="8303" spans="1:51" hidden="1">
      <c r="A8303">
        <v>104601</v>
      </c>
      <c r="B8303" t="s">
        <v>1348</v>
      </c>
      <c r="C8303" t="str">
        <f t="shared" si="676"/>
        <v>05791560633</v>
      </c>
      <c r="D8303" t="str">
        <f t="shared" si="676"/>
        <v>05791560633</v>
      </c>
      <c r="E8303" t="s">
        <v>52</v>
      </c>
      <c r="F8303">
        <v>2014</v>
      </c>
      <c r="G8303">
        <v>2560</v>
      </c>
      <c r="H8303" s="1">
        <v>41851</v>
      </c>
      <c r="I8303" s="1">
        <v>41946</v>
      </c>
      <c r="J8303" s="1">
        <v>41946</v>
      </c>
      <c r="K8303" s="1">
        <v>42006</v>
      </c>
      <c r="N8303" s="5"/>
      <c r="O8303">
        <v>366</v>
      </c>
      <c r="P8303">
        <v>182</v>
      </c>
      <c r="Q8303" s="2">
        <v>66612</v>
      </c>
      <c r="R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 s="1">
        <v>42382</v>
      </c>
      <c r="AC8303" t="s">
        <v>53</v>
      </c>
      <c r="AD8303" t="s">
        <v>53</v>
      </c>
      <c r="AK8303">
        <v>0</v>
      </c>
      <c r="AU8303" s="6">
        <v>42188</v>
      </c>
      <c r="AV8303" s="6">
        <v>42188</v>
      </c>
      <c r="AW8303" t="s">
        <v>54</v>
      </c>
      <c r="AX8303" t="str">
        <f t="shared" si="671"/>
        <v>FOR</v>
      </c>
      <c r="AY8303" t="s">
        <v>55</v>
      </c>
    </row>
    <row r="8304" spans="1:51" hidden="1">
      <c r="A8304">
        <v>104601</v>
      </c>
      <c r="B8304" t="s">
        <v>1348</v>
      </c>
      <c r="C8304" t="str">
        <f t="shared" si="676"/>
        <v>05791560633</v>
      </c>
      <c r="D8304" t="str">
        <f t="shared" si="676"/>
        <v>05791560633</v>
      </c>
      <c r="E8304" t="s">
        <v>52</v>
      </c>
      <c r="F8304">
        <v>2014</v>
      </c>
      <c r="G8304">
        <v>2605</v>
      </c>
      <c r="H8304" s="1">
        <v>41851</v>
      </c>
      <c r="I8304" s="1">
        <v>41946</v>
      </c>
      <c r="J8304" s="1">
        <v>41946</v>
      </c>
      <c r="K8304" s="1">
        <v>42006</v>
      </c>
      <c r="N8304" s="5"/>
      <c r="O8304">
        <v>780.68</v>
      </c>
      <c r="P8304">
        <v>182</v>
      </c>
      <c r="Q8304" s="2">
        <v>142083.76</v>
      </c>
      <c r="R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 s="1">
        <v>42382</v>
      </c>
      <c r="AC8304" t="s">
        <v>53</v>
      </c>
      <c r="AD8304" t="s">
        <v>53</v>
      </c>
      <c r="AK8304">
        <v>0</v>
      </c>
      <c r="AU8304" s="6">
        <v>42188</v>
      </c>
      <c r="AV8304" s="6">
        <v>42188</v>
      </c>
      <c r="AW8304" t="s">
        <v>54</v>
      </c>
      <c r="AX8304" t="str">
        <f t="shared" si="671"/>
        <v>FOR</v>
      </c>
      <c r="AY8304" t="s">
        <v>55</v>
      </c>
    </row>
    <row r="8305" spans="1:51" hidden="1">
      <c r="A8305">
        <v>104601</v>
      </c>
      <c r="B8305" t="s">
        <v>1348</v>
      </c>
      <c r="C8305" t="str">
        <f t="shared" si="676"/>
        <v>05791560633</v>
      </c>
      <c r="D8305" t="str">
        <f t="shared" si="676"/>
        <v>05791560633</v>
      </c>
      <c r="E8305" t="s">
        <v>52</v>
      </c>
      <c r="F8305">
        <v>2014</v>
      </c>
      <c r="G8305">
        <v>2859</v>
      </c>
      <c r="H8305" s="1">
        <v>41898</v>
      </c>
      <c r="I8305" s="1">
        <v>41946</v>
      </c>
      <c r="J8305" s="1">
        <v>41946</v>
      </c>
      <c r="K8305" s="1">
        <v>42006</v>
      </c>
      <c r="N8305" s="5"/>
      <c r="O8305">
        <v>224.48</v>
      </c>
      <c r="P8305">
        <v>182</v>
      </c>
      <c r="Q8305" s="2">
        <v>40855.360000000001</v>
      </c>
      <c r="R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 s="1">
        <v>42382</v>
      </c>
      <c r="AC8305" t="s">
        <v>53</v>
      </c>
      <c r="AD8305" t="s">
        <v>53</v>
      </c>
      <c r="AK8305">
        <v>0</v>
      </c>
      <c r="AU8305" s="6">
        <v>42188</v>
      </c>
      <c r="AV8305" s="6">
        <v>42188</v>
      </c>
      <c r="AW8305" t="s">
        <v>54</v>
      </c>
      <c r="AX8305" t="str">
        <f t="shared" si="671"/>
        <v>FOR</v>
      </c>
      <c r="AY8305" t="s">
        <v>55</v>
      </c>
    </row>
    <row r="8306" spans="1:51" hidden="1">
      <c r="A8306">
        <v>104601</v>
      </c>
      <c r="B8306" t="s">
        <v>1348</v>
      </c>
      <c r="C8306" t="str">
        <f t="shared" si="676"/>
        <v>05791560633</v>
      </c>
      <c r="D8306" t="str">
        <f t="shared" si="676"/>
        <v>05791560633</v>
      </c>
      <c r="E8306" t="s">
        <v>52</v>
      </c>
      <c r="F8306">
        <v>2014</v>
      </c>
      <c r="G8306">
        <v>2862</v>
      </c>
      <c r="H8306" s="1">
        <v>41898</v>
      </c>
      <c r="I8306" s="1">
        <v>41946</v>
      </c>
      <c r="J8306" s="1">
        <v>41946</v>
      </c>
      <c r="K8306" s="1">
        <v>42006</v>
      </c>
      <c r="N8306" s="5"/>
      <c r="O8306">
        <v>224.48</v>
      </c>
      <c r="P8306">
        <v>182</v>
      </c>
      <c r="Q8306" s="2">
        <v>40855.360000000001</v>
      </c>
      <c r="R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 s="1">
        <v>42382</v>
      </c>
      <c r="AC8306" t="s">
        <v>53</v>
      </c>
      <c r="AD8306" t="s">
        <v>53</v>
      </c>
      <c r="AK8306">
        <v>0</v>
      </c>
      <c r="AU8306" s="6">
        <v>42188</v>
      </c>
      <c r="AV8306" s="6">
        <v>42188</v>
      </c>
      <c r="AW8306" t="s">
        <v>54</v>
      </c>
      <c r="AX8306" t="str">
        <f t="shared" si="671"/>
        <v>FOR</v>
      </c>
      <c r="AY8306" t="s">
        <v>55</v>
      </c>
    </row>
    <row r="8307" spans="1:51">
      <c r="A8307">
        <v>104601</v>
      </c>
      <c r="B8307" t="s">
        <v>1348</v>
      </c>
      <c r="C8307" t="str">
        <f t="shared" si="676"/>
        <v>05791560633</v>
      </c>
      <c r="D8307" t="str">
        <f t="shared" si="676"/>
        <v>05791560633</v>
      </c>
      <c r="E8307" t="s">
        <v>52</v>
      </c>
      <c r="F8307">
        <v>2014</v>
      </c>
      <c r="G8307">
        <v>3574</v>
      </c>
      <c r="H8307" s="1">
        <v>41961</v>
      </c>
      <c r="I8307" s="1">
        <v>42040</v>
      </c>
      <c r="J8307" s="1">
        <v>42040</v>
      </c>
      <c r="K8307" s="1">
        <v>42100</v>
      </c>
      <c r="L8307" s="7">
        <v>157.38</v>
      </c>
      <c r="M8307" s="5">
        <v>204</v>
      </c>
      <c r="N8307" s="7">
        <v>32105.52</v>
      </c>
      <c r="O8307">
        <v>157.38</v>
      </c>
      <c r="P8307">
        <v>204</v>
      </c>
      <c r="Q8307" s="2">
        <v>32105.52</v>
      </c>
      <c r="R8307">
        <v>0</v>
      </c>
      <c r="V8307">
        <v>0</v>
      </c>
      <c r="W8307">
        <v>0</v>
      </c>
      <c r="X8307">
        <v>0</v>
      </c>
      <c r="Y8307">
        <v>0</v>
      </c>
      <c r="Z8307">
        <v>157.38</v>
      </c>
      <c r="AA8307">
        <v>0</v>
      </c>
      <c r="AB8307" s="1">
        <v>42382</v>
      </c>
      <c r="AC8307" t="s">
        <v>53</v>
      </c>
      <c r="AD8307" t="s">
        <v>53</v>
      </c>
      <c r="AK8307">
        <v>0</v>
      </c>
      <c r="AU8307" s="6">
        <v>42304</v>
      </c>
      <c r="AV8307" s="6">
        <v>42304</v>
      </c>
      <c r="AW8307" t="s">
        <v>54</v>
      </c>
      <c r="AX8307" t="str">
        <f t="shared" si="671"/>
        <v>FOR</v>
      </c>
      <c r="AY8307" t="s">
        <v>55</v>
      </c>
    </row>
    <row r="8308" spans="1:51">
      <c r="A8308">
        <v>104601</v>
      </c>
      <c r="B8308" t="s">
        <v>1348</v>
      </c>
      <c r="C8308" t="str">
        <f t="shared" si="676"/>
        <v>05791560633</v>
      </c>
      <c r="D8308" t="str">
        <f t="shared" si="676"/>
        <v>05791560633</v>
      </c>
      <c r="E8308" t="s">
        <v>52</v>
      </c>
      <c r="F8308">
        <v>2014</v>
      </c>
      <c r="G8308">
        <v>3727</v>
      </c>
      <c r="H8308" s="1">
        <v>41973</v>
      </c>
      <c r="I8308" s="1">
        <v>42040</v>
      </c>
      <c r="J8308" s="1">
        <v>42040</v>
      </c>
      <c r="K8308" s="1">
        <v>42100</v>
      </c>
      <c r="L8308" s="7">
        <v>465.43</v>
      </c>
      <c r="M8308" s="5">
        <v>204</v>
      </c>
      <c r="N8308" s="7">
        <v>94947.72</v>
      </c>
      <c r="O8308">
        <v>465.43</v>
      </c>
      <c r="P8308">
        <v>204</v>
      </c>
      <c r="Q8308" s="2">
        <v>94947.72</v>
      </c>
      <c r="R8308">
        <v>0</v>
      </c>
      <c r="V8308">
        <v>0</v>
      </c>
      <c r="W8308">
        <v>0</v>
      </c>
      <c r="X8308">
        <v>0</v>
      </c>
      <c r="Y8308">
        <v>0</v>
      </c>
      <c r="Z8308">
        <v>465.43</v>
      </c>
      <c r="AA8308">
        <v>0</v>
      </c>
      <c r="AB8308" s="1">
        <v>42382</v>
      </c>
      <c r="AC8308" t="s">
        <v>53</v>
      </c>
      <c r="AD8308" t="s">
        <v>53</v>
      </c>
      <c r="AK8308">
        <v>0</v>
      </c>
      <c r="AU8308" s="6">
        <v>42304</v>
      </c>
      <c r="AV8308" s="6">
        <v>42304</v>
      </c>
      <c r="AW8308" t="s">
        <v>54</v>
      </c>
      <c r="AX8308" t="str">
        <f t="shared" si="671"/>
        <v>FOR</v>
      </c>
      <c r="AY8308" t="s">
        <v>55</v>
      </c>
    </row>
    <row r="8309" spans="1:51">
      <c r="A8309">
        <v>104601</v>
      </c>
      <c r="B8309" t="s">
        <v>1348</v>
      </c>
      <c r="C8309" t="str">
        <f t="shared" si="676"/>
        <v>05791560633</v>
      </c>
      <c r="D8309" t="str">
        <f t="shared" si="676"/>
        <v>05791560633</v>
      </c>
      <c r="E8309" t="s">
        <v>52</v>
      </c>
      <c r="F8309">
        <v>2015</v>
      </c>
      <c r="G8309">
        <v>232</v>
      </c>
      <c r="H8309" s="1">
        <v>42035</v>
      </c>
      <c r="I8309" s="1">
        <v>42040</v>
      </c>
      <c r="J8309" s="1">
        <v>42040</v>
      </c>
      <c r="K8309" s="1">
        <v>42100</v>
      </c>
      <c r="L8309" s="7">
        <v>2069.4</v>
      </c>
      <c r="M8309" s="5">
        <v>204</v>
      </c>
      <c r="N8309" s="7">
        <v>422157.6</v>
      </c>
      <c r="O8309" s="2">
        <v>2069.4</v>
      </c>
      <c r="P8309">
        <v>204</v>
      </c>
      <c r="Q8309" s="2">
        <v>422157.6</v>
      </c>
      <c r="R8309">
        <v>0</v>
      </c>
      <c r="V8309">
        <v>0</v>
      </c>
      <c r="W8309">
        <v>0</v>
      </c>
      <c r="X8309">
        <v>0</v>
      </c>
      <c r="Y8309" s="2">
        <v>2524.67</v>
      </c>
      <c r="Z8309" s="2">
        <v>2524.67</v>
      </c>
      <c r="AA8309" s="2">
        <v>2524.67</v>
      </c>
      <c r="AB8309" s="1">
        <v>42382</v>
      </c>
      <c r="AC8309" t="s">
        <v>53</v>
      </c>
      <c r="AD8309" t="s">
        <v>53</v>
      </c>
      <c r="AK8309">
        <v>0</v>
      </c>
      <c r="AU8309" s="6">
        <v>42304</v>
      </c>
      <c r="AV8309" s="6">
        <v>42304</v>
      </c>
      <c r="AW8309" t="s">
        <v>54</v>
      </c>
      <c r="AX8309" t="str">
        <f t="shared" si="671"/>
        <v>FOR</v>
      </c>
      <c r="AY8309" t="s">
        <v>55</v>
      </c>
    </row>
    <row r="8310" spans="1:51">
      <c r="A8310">
        <v>104601</v>
      </c>
      <c r="B8310" t="s">
        <v>1348</v>
      </c>
      <c r="C8310" t="str">
        <f t="shared" si="676"/>
        <v>05791560633</v>
      </c>
      <c r="D8310" t="str">
        <f t="shared" si="676"/>
        <v>05791560633</v>
      </c>
      <c r="E8310" t="s">
        <v>52</v>
      </c>
      <c r="F8310">
        <v>2015</v>
      </c>
      <c r="G8310" t="s">
        <v>1349</v>
      </c>
      <c r="H8310" s="1">
        <v>42153</v>
      </c>
      <c r="I8310" s="1">
        <v>42167</v>
      </c>
      <c r="J8310" s="1">
        <v>42158</v>
      </c>
      <c r="K8310" s="1">
        <v>42218</v>
      </c>
      <c r="L8310" s="7">
        <v>51.6</v>
      </c>
      <c r="M8310" s="5">
        <v>122</v>
      </c>
      <c r="N8310" s="7">
        <v>6295.2</v>
      </c>
      <c r="O8310">
        <v>51.6</v>
      </c>
      <c r="P8310">
        <v>122</v>
      </c>
      <c r="Q8310" s="2">
        <v>6295.2</v>
      </c>
      <c r="R8310">
        <v>11.35</v>
      </c>
      <c r="V8310">
        <v>0</v>
      </c>
      <c r="W8310">
        <v>0</v>
      </c>
      <c r="X8310">
        <v>0</v>
      </c>
      <c r="Y8310">
        <v>62.95</v>
      </c>
      <c r="Z8310">
        <v>62.95</v>
      </c>
      <c r="AA8310">
        <v>62.95</v>
      </c>
      <c r="AB8310" s="1">
        <v>42382</v>
      </c>
      <c r="AC8310" t="s">
        <v>53</v>
      </c>
      <c r="AD8310" t="s">
        <v>53</v>
      </c>
      <c r="AI8310">
        <v>11.35</v>
      </c>
      <c r="AK8310">
        <v>0</v>
      </c>
      <c r="AU8310" s="6">
        <v>42340</v>
      </c>
      <c r="AV8310" s="6">
        <v>42340</v>
      </c>
      <c r="AW8310" t="s">
        <v>54</v>
      </c>
      <c r="AX8310" t="str">
        <f t="shared" si="671"/>
        <v>FOR</v>
      </c>
      <c r="AY8310" t="s">
        <v>55</v>
      </c>
    </row>
    <row r="8311" spans="1:51">
      <c r="A8311">
        <v>104601</v>
      </c>
      <c r="B8311" t="s">
        <v>1348</v>
      </c>
      <c r="C8311" t="str">
        <f t="shared" si="676"/>
        <v>05791560633</v>
      </c>
      <c r="D8311" t="str">
        <f t="shared" si="676"/>
        <v>05791560633</v>
      </c>
      <c r="E8311" t="s">
        <v>52</v>
      </c>
      <c r="F8311">
        <v>2015</v>
      </c>
      <c r="G8311" t="s">
        <v>1350</v>
      </c>
      <c r="H8311" s="1">
        <v>42153</v>
      </c>
      <c r="I8311" s="1">
        <v>42167</v>
      </c>
      <c r="J8311" s="1">
        <v>42158</v>
      </c>
      <c r="K8311" s="1">
        <v>42218</v>
      </c>
      <c r="L8311" s="7">
        <v>944.8</v>
      </c>
      <c r="M8311" s="5">
        <v>122</v>
      </c>
      <c r="N8311" s="7">
        <v>115265.60000000001</v>
      </c>
      <c r="O8311">
        <v>944.8</v>
      </c>
      <c r="P8311">
        <v>122</v>
      </c>
      <c r="Q8311" s="2">
        <v>115265.60000000001</v>
      </c>
      <c r="R8311">
        <v>207.86</v>
      </c>
      <c r="V8311">
        <v>0</v>
      </c>
      <c r="W8311">
        <v>0</v>
      </c>
      <c r="X8311">
        <v>0</v>
      </c>
      <c r="Y8311" s="2">
        <v>1152.6600000000001</v>
      </c>
      <c r="Z8311" s="2">
        <v>1152.6600000000001</v>
      </c>
      <c r="AA8311" s="2">
        <v>1152.6600000000001</v>
      </c>
      <c r="AB8311" s="1">
        <v>42382</v>
      </c>
      <c r="AC8311" t="s">
        <v>53</v>
      </c>
      <c r="AD8311" t="s">
        <v>53</v>
      </c>
      <c r="AI8311">
        <v>207.86</v>
      </c>
      <c r="AK8311">
        <v>0</v>
      </c>
      <c r="AU8311" s="6">
        <v>42340</v>
      </c>
      <c r="AV8311" s="6">
        <v>42340</v>
      </c>
      <c r="AW8311" t="s">
        <v>54</v>
      </c>
      <c r="AX8311" t="str">
        <f t="shared" si="671"/>
        <v>FOR</v>
      </c>
      <c r="AY8311" t="s">
        <v>55</v>
      </c>
    </row>
    <row r="8312" spans="1:51">
      <c r="A8312">
        <v>104601</v>
      </c>
      <c r="B8312" t="s">
        <v>1348</v>
      </c>
      <c r="C8312" t="str">
        <f t="shared" si="676"/>
        <v>05791560633</v>
      </c>
      <c r="D8312" t="str">
        <f t="shared" si="676"/>
        <v>05791560633</v>
      </c>
      <c r="E8312" t="s">
        <v>52</v>
      </c>
      <c r="F8312">
        <v>2015</v>
      </c>
      <c r="G8312" t="s">
        <v>1351</v>
      </c>
      <c r="H8312" s="1">
        <v>42206</v>
      </c>
      <c r="I8312" s="1">
        <v>42209</v>
      </c>
      <c r="J8312" s="1">
        <v>42207</v>
      </c>
      <c r="K8312" s="1">
        <v>42267</v>
      </c>
      <c r="L8312" s="7">
        <v>1333.2</v>
      </c>
      <c r="M8312" s="5">
        <v>73</v>
      </c>
      <c r="N8312" s="7">
        <v>97323.6</v>
      </c>
      <c r="O8312" s="2">
        <v>1333.2</v>
      </c>
      <c r="P8312">
        <v>73</v>
      </c>
      <c r="Q8312" s="2">
        <v>97323.6</v>
      </c>
      <c r="R8312">
        <v>293.3</v>
      </c>
      <c r="V8312">
        <v>0</v>
      </c>
      <c r="W8312">
        <v>0</v>
      </c>
      <c r="X8312">
        <v>0</v>
      </c>
      <c r="Y8312" s="2">
        <v>1626.5</v>
      </c>
      <c r="Z8312" s="2">
        <v>1626.5</v>
      </c>
      <c r="AA8312" s="2">
        <v>1626.5</v>
      </c>
      <c r="AB8312" s="1">
        <v>42382</v>
      </c>
      <c r="AC8312" t="s">
        <v>53</v>
      </c>
      <c r="AD8312" t="s">
        <v>53</v>
      </c>
      <c r="AH8312">
        <v>293.3</v>
      </c>
      <c r="AK8312">
        <v>0</v>
      </c>
      <c r="AU8312" s="6">
        <v>42340</v>
      </c>
      <c r="AV8312" s="6">
        <v>42340</v>
      </c>
      <c r="AW8312" t="s">
        <v>54</v>
      </c>
      <c r="AX8312" t="str">
        <f t="shared" si="671"/>
        <v>FOR</v>
      </c>
      <c r="AY8312" t="s">
        <v>55</v>
      </c>
    </row>
    <row r="8313" spans="1:51">
      <c r="A8313">
        <v>104601</v>
      </c>
      <c r="B8313" t="s">
        <v>1348</v>
      </c>
      <c r="C8313" t="str">
        <f t="shared" si="676"/>
        <v>05791560633</v>
      </c>
      <c r="D8313" t="str">
        <f t="shared" si="676"/>
        <v>05791560633</v>
      </c>
      <c r="E8313" t="s">
        <v>52</v>
      </c>
      <c r="F8313">
        <v>2015</v>
      </c>
      <c r="G8313" t="s">
        <v>1352</v>
      </c>
      <c r="H8313" s="1">
        <v>42213</v>
      </c>
      <c r="I8313" s="1">
        <v>42216</v>
      </c>
      <c r="J8313" s="1">
        <v>42215</v>
      </c>
      <c r="K8313" s="1">
        <v>42275</v>
      </c>
      <c r="L8313" s="7">
        <v>173.2</v>
      </c>
      <c r="M8313" s="5">
        <v>65</v>
      </c>
      <c r="N8313" s="7">
        <v>11258</v>
      </c>
      <c r="O8313">
        <v>173.2</v>
      </c>
      <c r="P8313">
        <v>65</v>
      </c>
      <c r="Q8313" s="2">
        <v>11258</v>
      </c>
      <c r="R8313">
        <v>38.1</v>
      </c>
      <c r="V8313">
        <v>0</v>
      </c>
      <c r="W8313">
        <v>0</v>
      </c>
      <c r="X8313">
        <v>0</v>
      </c>
      <c r="Y8313">
        <v>211.3</v>
      </c>
      <c r="Z8313">
        <v>211.3</v>
      </c>
      <c r="AA8313">
        <v>211.3</v>
      </c>
      <c r="AB8313" s="1">
        <v>42382</v>
      </c>
      <c r="AC8313" t="s">
        <v>53</v>
      </c>
      <c r="AD8313" t="s">
        <v>53</v>
      </c>
      <c r="AH8313">
        <v>38.1</v>
      </c>
      <c r="AK8313">
        <v>0</v>
      </c>
      <c r="AU8313" s="6">
        <v>42340</v>
      </c>
      <c r="AV8313" s="6">
        <v>42340</v>
      </c>
      <c r="AW8313" t="s">
        <v>54</v>
      </c>
      <c r="AX8313" t="str">
        <f t="shared" si="671"/>
        <v>FOR</v>
      </c>
      <c r="AY8313" t="s">
        <v>55</v>
      </c>
    </row>
    <row r="8314" spans="1:51" hidden="1">
      <c r="A8314">
        <v>104614</v>
      </c>
      <c r="B8314" t="s">
        <v>1353</v>
      </c>
      <c r="C8314" t="str">
        <f>"03992220966"</f>
        <v>03992220966</v>
      </c>
      <c r="D8314" t="str">
        <f>"03992220966"</f>
        <v>03992220966</v>
      </c>
      <c r="E8314" t="s">
        <v>52</v>
      </c>
      <c r="F8314">
        <v>2014</v>
      </c>
      <c r="G8314">
        <v>59004063</v>
      </c>
      <c r="H8314" s="1">
        <v>41912</v>
      </c>
      <c r="I8314" s="1">
        <v>41932</v>
      </c>
      <c r="J8314" s="1">
        <v>41932</v>
      </c>
      <c r="K8314" s="1">
        <v>41992</v>
      </c>
      <c r="N8314" s="5"/>
      <c r="O8314" s="2">
        <v>23668</v>
      </c>
      <c r="P8314">
        <v>258</v>
      </c>
      <c r="Q8314" s="2">
        <v>6106344</v>
      </c>
      <c r="R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 s="1">
        <v>42382</v>
      </c>
      <c r="AC8314" t="s">
        <v>53</v>
      </c>
      <c r="AD8314" t="s">
        <v>53</v>
      </c>
      <c r="AK8314">
        <v>0</v>
      </c>
      <c r="AU8314" s="6">
        <v>42250</v>
      </c>
      <c r="AV8314" s="6">
        <v>42250</v>
      </c>
      <c r="AW8314" t="s">
        <v>54</v>
      </c>
      <c r="AX8314" t="str">
        <f t="shared" si="671"/>
        <v>FOR</v>
      </c>
      <c r="AY8314" t="s">
        <v>55</v>
      </c>
    </row>
    <row r="8315" spans="1:51" hidden="1">
      <c r="A8315">
        <v>104647</v>
      </c>
      <c r="B8315" t="s">
        <v>1354</v>
      </c>
      <c r="C8315" t="str">
        <f t="shared" ref="C8315:D8335" si="677">"03531280968"</f>
        <v>03531280968</v>
      </c>
      <c r="D8315" t="str">
        <f t="shared" si="677"/>
        <v>03531280968</v>
      </c>
      <c r="E8315" t="s">
        <v>52</v>
      </c>
      <c r="F8315">
        <v>2013</v>
      </c>
      <c r="G8315">
        <v>13000958</v>
      </c>
      <c r="H8315" s="1">
        <v>41452</v>
      </c>
      <c r="I8315" s="1">
        <v>41474</v>
      </c>
      <c r="J8315" s="1">
        <v>41474</v>
      </c>
      <c r="K8315" s="1">
        <v>41564</v>
      </c>
      <c r="N8315" s="5"/>
      <c r="O8315">
        <v>398.64</v>
      </c>
      <c r="P8315">
        <v>460</v>
      </c>
      <c r="Q8315" s="2">
        <v>183374.4</v>
      </c>
      <c r="R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 s="1">
        <v>42382</v>
      </c>
      <c r="AC8315" t="s">
        <v>53</v>
      </c>
      <c r="AD8315" t="s">
        <v>53</v>
      </c>
      <c r="AK8315">
        <v>0</v>
      </c>
      <c r="AU8315" s="6">
        <v>42024</v>
      </c>
      <c r="AV8315" s="6">
        <v>42024</v>
      </c>
      <c r="AW8315" t="s">
        <v>54</v>
      </c>
      <c r="AX8315" t="str">
        <f t="shared" si="671"/>
        <v>FOR</v>
      </c>
      <c r="AY8315" t="s">
        <v>55</v>
      </c>
    </row>
    <row r="8316" spans="1:51" hidden="1">
      <c r="A8316">
        <v>104647</v>
      </c>
      <c r="B8316" t="s">
        <v>1354</v>
      </c>
      <c r="C8316" t="str">
        <f t="shared" si="677"/>
        <v>03531280968</v>
      </c>
      <c r="D8316" t="str">
        <f t="shared" si="677"/>
        <v>03531280968</v>
      </c>
      <c r="E8316" t="s">
        <v>52</v>
      </c>
      <c r="F8316">
        <v>2013</v>
      </c>
      <c r="G8316">
        <v>14013425</v>
      </c>
      <c r="H8316" s="1">
        <v>41703</v>
      </c>
      <c r="I8316" s="1">
        <v>41724</v>
      </c>
      <c r="J8316" s="1">
        <v>41724</v>
      </c>
      <c r="K8316" s="1">
        <v>41814</v>
      </c>
      <c r="N8316" s="5"/>
      <c r="O8316">
        <v>-54.91</v>
      </c>
      <c r="P8316">
        <v>210</v>
      </c>
      <c r="Q8316" s="2">
        <v>-11531.1</v>
      </c>
      <c r="R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 s="1">
        <v>42382</v>
      </c>
      <c r="AC8316" t="s">
        <v>53</v>
      </c>
      <c r="AD8316" t="s">
        <v>53</v>
      </c>
      <c r="AK8316">
        <v>0</v>
      </c>
      <c r="AU8316" s="6">
        <v>42024</v>
      </c>
      <c r="AV8316" s="6">
        <v>42024</v>
      </c>
      <c r="AW8316" t="s">
        <v>54</v>
      </c>
      <c r="AX8316" t="str">
        <f t="shared" si="671"/>
        <v>FOR</v>
      </c>
      <c r="AY8316" t="s">
        <v>55</v>
      </c>
    </row>
    <row r="8317" spans="1:51" hidden="1">
      <c r="A8317">
        <v>104647</v>
      </c>
      <c r="B8317" t="s">
        <v>1354</v>
      </c>
      <c r="C8317" t="str">
        <f t="shared" si="677"/>
        <v>03531280968</v>
      </c>
      <c r="D8317" t="str">
        <f t="shared" si="677"/>
        <v>03531280968</v>
      </c>
      <c r="E8317" t="s">
        <v>52</v>
      </c>
      <c r="F8317">
        <v>2014</v>
      </c>
      <c r="G8317">
        <v>14000370</v>
      </c>
      <c r="H8317" s="1">
        <v>41705</v>
      </c>
      <c r="I8317" s="1">
        <v>41724</v>
      </c>
      <c r="J8317" s="1">
        <v>41724</v>
      </c>
      <c r="K8317" s="1">
        <v>41814</v>
      </c>
      <c r="N8317" s="5"/>
      <c r="O8317">
        <v>216.48</v>
      </c>
      <c r="P8317">
        <v>435</v>
      </c>
      <c r="Q8317" s="2">
        <v>94168.8</v>
      </c>
      <c r="R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 s="1">
        <v>42382</v>
      </c>
      <c r="AC8317" t="s">
        <v>53</v>
      </c>
      <c r="AD8317" t="s">
        <v>53</v>
      </c>
      <c r="AK8317">
        <v>0</v>
      </c>
      <c r="AU8317" s="6">
        <v>42249</v>
      </c>
      <c r="AV8317" s="6">
        <v>42249</v>
      </c>
      <c r="AW8317" t="s">
        <v>54</v>
      </c>
      <c r="AX8317" t="str">
        <f t="shared" si="671"/>
        <v>FOR</v>
      </c>
      <c r="AY8317" t="s">
        <v>55</v>
      </c>
    </row>
    <row r="8318" spans="1:51" hidden="1">
      <c r="A8318">
        <v>104647</v>
      </c>
      <c r="B8318" t="s">
        <v>1354</v>
      </c>
      <c r="C8318" t="str">
        <f t="shared" si="677"/>
        <v>03531280968</v>
      </c>
      <c r="D8318" t="str">
        <f t="shared" si="677"/>
        <v>03531280968</v>
      </c>
      <c r="E8318" t="s">
        <v>52</v>
      </c>
      <c r="F8318">
        <v>2014</v>
      </c>
      <c r="G8318">
        <v>14000553</v>
      </c>
      <c r="H8318" s="1">
        <v>41739</v>
      </c>
      <c r="I8318" s="1">
        <v>41771</v>
      </c>
      <c r="J8318" s="1">
        <v>41771</v>
      </c>
      <c r="K8318" s="1">
        <v>41861</v>
      </c>
      <c r="N8318" s="5"/>
      <c r="O8318">
        <v>135.69999999999999</v>
      </c>
      <c r="P8318">
        <v>388</v>
      </c>
      <c r="Q8318" s="2">
        <v>52651.6</v>
      </c>
      <c r="R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 s="1">
        <v>42382</v>
      </c>
      <c r="AC8318" t="s">
        <v>53</v>
      </c>
      <c r="AD8318" t="s">
        <v>53</v>
      </c>
      <c r="AK8318">
        <v>0</v>
      </c>
      <c r="AU8318" s="6">
        <v>42249</v>
      </c>
      <c r="AV8318" s="6">
        <v>42249</v>
      </c>
      <c r="AW8318" t="s">
        <v>54</v>
      </c>
      <c r="AX8318" t="str">
        <f t="shared" si="671"/>
        <v>FOR</v>
      </c>
      <c r="AY8318" t="s">
        <v>55</v>
      </c>
    </row>
    <row r="8319" spans="1:51" hidden="1">
      <c r="A8319">
        <v>104647</v>
      </c>
      <c r="B8319" t="s">
        <v>1354</v>
      </c>
      <c r="C8319" t="str">
        <f t="shared" si="677"/>
        <v>03531280968</v>
      </c>
      <c r="D8319" t="str">
        <f t="shared" si="677"/>
        <v>03531280968</v>
      </c>
      <c r="E8319" t="s">
        <v>52</v>
      </c>
      <c r="F8319">
        <v>2014</v>
      </c>
      <c r="G8319">
        <v>14000601</v>
      </c>
      <c r="H8319" s="1">
        <v>41745</v>
      </c>
      <c r="I8319" s="1">
        <v>41771</v>
      </c>
      <c r="J8319" s="1">
        <v>41771</v>
      </c>
      <c r="K8319" s="1">
        <v>41861</v>
      </c>
      <c r="N8319" s="5"/>
      <c r="O8319">
        <v>383.06</v>
      </c>
      <c r="P8319">
        <v>388</v>
      </c>
      <c r="Q8319" s="2">
        <v>148627.28</v>
      </c>
      <c r="R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 s="1">
        <v>42382</v>
      </c>
      <c r="AC8319" t="s">
        <v>53</v>
      </c>
      <c r="AD8319" t="s">
        <v>53</v>
      </c>
      <c r="AK8319">
        <v>0</v>
      </c>
      <c r="AU8319" s="6">
        <v>42249</v>
      </c>
      <c r="AV8319" s="6">
        <v>42249</v>
      </c>
      <c r="AW8319" t="s">
        <v>54</v>
      </c>
      <c r="AX8319" t="str">
        <f t="shared" si="671"/>
        <v>FOR</v>
      </c>
      <c r="AY8319" t="s">
        <v>55</v>
      </c>
    </row>
    <row r="8320" spans="1:51" hidden="1">
      <c r="A8320">
        <v>104647</v>
      </c>
      <c r="B8320" t="s">
        <v>1354</v>
      </c>
      <c r="C8320" t="str">
        <f t="shared" si="677"/>
        <v>03531280968</v>
      </c>
      <c r="D8320" t="str">
        <f t="shared" si="677"/>
        <v>03531280968</v>
      </c>
      <c r="E8320" t="s">
        <v>52</v>
      </c>
      <c r="F8320">
        <v>2014</v>
      </c>
      <c r="G8320">
        <v>14000712</v>
      </c>
      <c r="H8320" s="1">
        <v>41767</v>
      </c>
      <c r="I8320" s="1">
        <v>41788</v>
      </c>
      <c r="J8320" s="1">
        <v>41788</v>
      </c>
      <c r="K8320" s="1">
        <v>41878</v>
      </c>
      <c r="N8320" s="5"/>
      <c r="O8320">
        <v>213.31</v>
      </c>
      <c r="P8320">
        <v>371</v>
      </c>
      <c r="Q8320" s="2">
        <v>79138.009999999995</v>
      </c>
      <c r="R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 s="1">
        <v>42382</v>
      </c>
      <c r="AC8320" t="s">
        <v>53</v>
      </c>
      <c r="AD8320" t="s">
        <v>53</v>
      </c>
      <c r="AK8320">
        <v>0</v>
      </c>
      <c r="AU8320" s="6">
        <v>42249</v>
      </c>
      <c r="AV8320" s="6">
        <v>42249</v>
      </c>
      <c r="AW8320" t="s">
        <v>54</v>
      </c>
      <c r="AX8320" t="str">
        <f t="shared" si="671"/>
        <v>FOR</v>
      </c>
      <c r="AY8320" t="s">
        <v>55</v>
      </c>
    </row>
    <row r="8321" spans="1:51" hidden="1">
      <c r="A8321">
        <v>104647</v>
      </c>
      <c r="B8321" t="s">
        <v>1354</v>
      </c>
      <c r="C8321" t="str">
        <f t="shared" si="677"/>
        <v>03531280968</v>
      </c>
      <c r="D8321" t="str">
        <f t="shared" si="677"/>
        <v>03531280968</v>
      </c>
      <c r="E8321" t="s">
        <v>52</v>
      </c>
      <c r="F8321">
        <v>2014</v>
      </c>
      <c r="G8321">
        <v>14000813</v>
      </c>
      <c r="H8321" s="1">
        <v>41785</v>
      </c>
      <c r="I8321" s="1">
        <v>41808</v>
      </c>
      <c r="J8321" s="1">
        <v>41808</v>
      </c>
      <c r="K8321" s="1">
        <v>41898</v>
      </c>
      <c r="N8321" s="5"/>
      <c r="O8321">
        <v>184.27</v>
      </c>
      <c r="P8321">
        <v>351</v>
      </c>
      <c r="Q8321" s="2">
        <v>64678.77</v>
      </c>
      <c r="R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 s="1">
        <v>42382</v>
      </c>
      <c r="AC8321" t="s">
        <v>53</v>
      </c>
      <c r="AD8321" t="s">
        <v>53</v>
      </c>
      <c r="AK8321">
        <v>0</v>
      </c>
      <c r="AU8321" s="6">
        <v>42249</v>
      </c>
      <c r="AV8321" s="6">
        <v>42249</v>
      </c>
      <c r="AW8321" t="s">
        <v>54</v>
      </c>
      <c r="AX8321" t="str">
        <f t="shared" si="671"/>
        <v>FOR</v>
      </c>
      <c r="AY8321" t="s">
        <v>55</v>
      </c>
    </row>
    <row r="8322" spans="1:51" hidden="1">
      <c r="A8322">
        <v>104647</v>
      </c>
      <c r="B8322" t="s">
        <v>1354</v>
      </c>
      <c r="C8322" t="str">
        <f t="shared" si="677"/>
        <v>03531280968</v>
      </c>
      <c r="D8322" t="str">
        <f t="shared" si="677"/>
        <v>03531280968</v>
      </c>
      <c r="E8322" t="s">
        <v>52</v>
      </c>
      <c r="F8322">
        <v>2014</v>
      </c>
      <c r="G8322">
        <v>14000996</v>
      </c>
      <c r="H8322" s="1">
        <v>41810</v>
      </c>
      <c r="I8322" s="1">
        <v>41830</v>
      </c>
      <c r="J8322" s="1">
        <v>41830</v>
      </c>
      <c r="K8322" s="1">
        <v>41920</v>
      </c>
      <c r="N8322" s="5"/>
      <c r="O8322">
        <v>190.61</v>
      </c>
      <c r="P8322">
        <v>329</v>
      </c>
      <c r="Q8322" s="2">
        <v>62710.69</v>
      </c>
      <c r="R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 s="1">
        <v>42382</v>
      </c>
      <c r="AC8322" t="s">
        <v>53</v>
      </c>
      <c r="AD8322" t="s">
        <v>53</v>
      </c>
      <c r="AK8322">
        <v>0</v>
      </c>
      <c r="AU8322" s="6">
        <v>42249</v>
      </c>
      <c r="AV8322" s="6">
        <v>42249</v>
      </c>
      <c r="AW8322" t="s">
        <v>54</v>
      </c>
      <c r="AX8322" t="str">
        <f t="shared" si="671"/>
        <v>FOR</v>
      </c>
      <c r="AY8322" t="s">
        <v>55</v>
      </c>
    </row>
    <row r="8323" spans="1:51" hidden="1">
      <c r="A8323">
        <v>104647</v>
      </c>
      <c r="B8323" t="s">
        <v>1354</v>
      </c>
      <c r="C8323" t="str">
        <f t="shared" si="677"/>
        <v>03531280968</v>
      </c>
      <c r="D8323" t="str">
        <f t="shared" si="677"/>
        <v>03531280968</v>
      </c>
      <c r="E8323" t="s">
        <v>52</v>
      </c>
      <c r="F8323">
        <v>2014</v>
      </c>
      <c r="G8323">
        <v>14001146</v>
      </c>
      <c r="H8323" s="1">
        <v>41836</v>
      </c>
      <c r="I8323" s="1">
        <v>41849</v>
      </c>
      <c r="J8323" s="1">
        <v>41849</v>
      </c>
      <c r="K8323" s="1">
        <v>41939</v>
      </c>
      <c r="N8323" s="5"/>
      <c r="O8323">
        <v>294.10000000000002</v>
      </c>
      <c r="P8323">
        <v>310</v>
      </c>
      <c r="Q8323" s="2">
        <v>91171</v>
      </c>
      <c r="R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 s="1">
        <v>42382</v>
      </c>
      <c r="AC8323" t="s">
        <v>53</v>
      </c>
      <c r="AD8323" t="s">
        <v>53</v>
      </c>
      <c r="AK8323">
        <v>0</v>
      </c>
      <c r="AU8323" s="6">
        <v>42249</v>
      </c>
      <c r="AV8323" s="6">
        <v>42249</v>
      </c>
      <c r="AW8323" t="s">
        <v>54</v>
      </c>
      <c r="AX8323" t="str">
        <f t="shared" ref="AX8323:AX8386" si="678">"FOR"</f>
        <v>FOR</v>
      </c>
      <c r="AY8323" t="s">
        <v>55</v>
      </c>
    </row>
    <row r="8324" spans="1:51" hidden="1">
      <c r="A8324">
        <v>104647</v>
      </c>
      <c r="B8324" t="s">
        <v>1354</v>
      </c>
      <c r="C8324" t="str">
        <f t="shared" si="677"/>
        <v>03531280968</v>
      </c>
      <c r="D8324" t="str">
        <f t="shared" si="677"/>
        <v>03531280968</v>
      </c>
      <c r="E8324" t="s">
        <v>52</v>
      </c>
      <c r="F8324">
        <v>2014</v>
      </c>
      <c r="G8324">
        <v>14001255</v>
      </c>
      <c r="H8324" s="1">
        <v>41852</v>
      </c>
      <c r="I8324" s="1">
        <v>41878</v>
      </c>
      <c r="J8324" s="1">
        <v>41878</v>
      </c>
      <c r="K8324" s="1">
        <v>41968</v>
      </c>
      <c r="N8324" s="5"/>
      <c r="O8324">
        <v>440</v>
      </c>
      <c r="P8324">
        <v>281</v>
      </c>
      <c r="Q8324" s="2">
        <v>123640</v>
      </c>
      <c r="R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 s="1">
        <v>42382</v>
      </c>
      <c r="AC8324" t="s">
        <v>53</v>
      </c>
      <c r="AD8324" t="s">
        <v>53</v>
      </c>
      <c r="AK8324">
        <v>0</v>
      </c>
      <c r="AU8324" s="6">
        <v>42249</v>
      </c>
      <c r="AV8324" s="6">
        <v>42249</v>
      </c>
      <c r="AW8324" t="s">
        <v>54</v>
      </c>
      <c r="AX8324" t="str">
        <f t="shared" si="678"/>
        <v>FOR</v>
      </c>
      <c r="AY8324" t="s">
        <v>55</v>
      </c>
    </row>
    <row r="8325" spans="1:51" hidden="1">
      <c r="A8325">
        <v>104647</v>
      </c>
      <c r="B8325" t="s">
        <v>1354</v>
      </c>
      <c r="C8325" t="str">
        <f t="shared" si="677"/>
        <v>03531280968</v>
      </c>
      <c r="D8325" t="str">
        <f t="shared" si="677"/>
        <v>03531280968</v>
      </c>
      <c r="E8325" t="s">
        <v>52</v>
      </c>
      <c r="F8325">
        <v>2014</v>
      </c>
      <c r="G8325">
        <v>14001370</v>
      </c>
      <c r="H8325" s="1">
        <v>41885</v>
      </c>
      <c r="I8325" s="1">
        <v>41904</v>
      </c>
      <c r="J8325" s="1">
        <v>41904</v>
      </c>
      <c r="K8325" s="1">
        <v>41994</v>
      </c>
      <c r="N8325" s="5"/>
      <c r="O8325">
        <v>242.35</v>
      </c>
      <c r="P8325">
        <v>255</v>
      </c>
      <c r="Q8325" s="2">
        <v>61799.25</v>
      </c>
      <c r="R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 s="1">
        <v>42382</v>
      </c>
      <c r="AC8325" t="s">
        <v>53</v>
      </c>
      <c r="AD8325" t="s">
        <v>53</v>
      </c>
      <c r="AK8325">
        <v>0</v>
      </c>
      <c r="AU8325" s="6">
        <v>42249</v>
      </c>
      <c r="AV8325" s="6">
        <v>42249</v>
      </c>
      <c r="AW8325" t="s">
        <v>54</v>
      </c>
      <c r="AX8325" t="str">
        <f t="shared" si="678"/>
        <v>FOR</v>
      </c>
      <c r="AY8325" t="s">
        <v>55</v>
      </c>
    </row>
    <row r="8326" spans="1:51" hidden="1">
      <c r="A8326">
        <v>104647</v>
      </c>
      <c r="B8326" t="s">
        <v>1354</v>
      </c>
      <c r="C8326" t="str">
        <f t="shared" si="677"/>
        <v>03531280968</v>
      </c>
      <c r="D8326" t="str">
        <f t="shared" si="677"/>
        <v>03531280968</v>
      </c>
      <c r="E8326" t="s">
        <v>52</v>
      </c>
      <c r="F8326">
        <v>2014</v>
      </c>
      <c r="G8326">
        <v>14001406</v>
      </c>
      <c r="H8326" s="1">
        <v>41897</v>
      </c>
      <c r="I8326" s="1">
        <v>41911</v>
      </c>
      <c r="J8326" s="1">
        <v>41911</v>
      </c>
      <c r="K8326" s="1">
        <v>42001</v>
      </c>
      <c r="N8326" s="5"/>
      <c r="O8326">
        <v>262.68</v>
      </c>
      <c r="P8326">
        <v>248</v>
      </c>
      <c r="Q8326" s="2">
        <v>65144.639999999999</v>
      </c>
      <c r="R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 s="1">
        <v>42382</v>
      </c>
      <c r="AC8326" t="s">
        <v>53</v>
      </c>
      <c r="AD8326" t="s">
        <v>53</v>
      </c>
      <c r="AK8326">
        <v>0</v>
      </c>
      <c r="AU8326" s="6">
        <v>42249</v>
      </c>
      <c r="AV8326" s="6">
        <v>42249</v>
      </c>
      <c r="AW8326" t="s">
        <v>54</v>
      </c>
      <c r="AX8326" t="str">
        <f t="shared" si="678"/>
        <v>FOR</v>
      </c>
      <c r="AY8326" t="s">
        <v>55</v>
      </c>
    </row>
    <row r="8327" spans="1:51">
      <c r="A8327">
        <v>104647</v>
      </c>
      <c r="B8327" t="s">
        <v>1354</v>
      </c>
      <c r="C8327" t="str">
        <f t="shared" si="677"/>
        <v>03531280968</v>
      </c>
      <c r="D8327" t="str">
        <f t="shared" si="677"/>
        <v>03531280968</v>
      </c>
      <c r="E8327" t="s">
        <v>52</v>
      </c>
      <c r="F8327">
        <v>2014</v>
      </c>
      <c r="G8327">
        <v>14001516</v>
      </c>
      <c r="H8327" s="1">
        <v>41913</v>
      </c>
      <c r="I8327" s="1">
        <v>41932</v>
      </c>
      <c r="J8327" s="1">
        <v>41932</v>
      </c>
      <c r="K8327" s="1">
        <v>41992</v>
      </c>
      <c r="L8327" s="7">
        <v>294.10000000000002</v>
      </c>
      <c r="M8327" s="5">
        <v>290</v>
      </c>
      <c r="N8327" s="7">
        <v>85289</v>
      </c>
      <c r="O8327">
        <v>294.10000000000002</v>
      </c>
      <c r="P8327">
        <v>290</v>
      </c>
      <c r="Q8327" s="2">
        <v>85289</v>
      </c>
      <c r="R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 s="1">
        <v>42382</v>
      </c>
      <c r="AC8327" t="s">
        <v>53</v>
      </c>
      <c r="AD8327" t="s">
        <v>53</v>
      </c>
      <c r="AK8327">
        <v>0</v>
      </c>
      <c r="AU8327" s="6">
        <v>42282</v>
      </c>
      <c r="AV8327" s="6">
        <v>42282</v>
      </c>
      <c r="AW8327" t="s">
        <v>54</v>
      </c>
      <c r="AX8327" t="str">
        <f t="shared" si="678"/>
        <v>FOR</v>
      </c>
      <c r="AY8327" t="s">
        <v>55</v>
      </c>
    </row>
    <row r="8328" spans="1:51">
      <c r="A8328">
        <v>104647</v>
      </c>
      <c r="B8328" t="s">
        <v>1354</v>
      </c>
      <c r="C8328" t="str">
        <f t="shared" si="677"/>
        <v>03531280968</v>
      </c>
      <c r="D8328" t="str">
        <f t="shared" si="677"/>
        <v>03531280968</v>
      </c>
      <c r="E8328" t="s">
        <v>52</v>
      </c>
      <c r="F8328">
        <v>2014</v>
      </c>
      <c r="G8328">
        <v>14001556</v>
      </c>
      <c r="H8328" s="1">
        <v>41918</v>
      </c>
      <c r="I8328" s="1">
        <v>41932</v>
      </c>
      <c r="J8328" s="1">
        <v>41932</v>
      </c>
      <c r="K8328" s="1">
        <v>41992</v>
      </c>
      <c r="L8328" s="7">
        <v>109.82</v>
      </c>
      <c r="M8328" s="5">
        <v>290</v>
      </c>
      <c r="N8328" s="7">
        <v>31847.8</v>
      </c>
      <c r="O8328">
        <v>109.82</v>
      </c>
      <c r="P8328">
        <v>290</v>
      </c>
      <c r="Q8328" s="2">
        <v>31847.8</v>
      </c>
      <c r="R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 s="1">
        <v>42382</v>
      </c>
      <c r="AC8328" t="s">
        <v>53</v>
      </c>
      <c r="AD8328" t="s">
        <v>53</v>
      </c>
      <c r="AK8328">
        <v>0</v>
      </c>
      <c r="AU8328" s="6">
        <v>42282</v>
      </c>
      <c r="AV8328" s="6">
        <v>42282</v>
      </c>
      <c r="AW8328" t="s">
        <v>54</v>
      </c>
      <c r="AX8328" t="str">
        <f t="shared" si="678"/>
        <v>FOR</v>
      </c>
      <c r="AY8328" t="s">
        <v>55</v>
      </c>
    </row>
    <row r="8329" spans="1:51">
      <c r="A8329">
        <v>104647</v>
      </c>
      <c r="B8329" t="s">
        <v>1354</v>
      </c>
      <c r="C8329" t="str">
        <f t="shared" si="677"/>
        <v>03531280968</v>
      </c>
      <c r="D8329" t="str">
        <f t="shared" si="677"/>
        <v>03531280968</v>
      </c>
      <c r="E8329" t="s">
        <v>52</v>
      </c>
      <c r="F8329">
        <v>2015</v>
      </c>
      <c r="G8329">
        <v>15000097</v>
      </c>
      <c r="H8329" s="1">
        <v>42025</v>
      </c>
      <c r="I8329" s="1">
        <v>42047</v>
      </c>
      <c r="J8329" s="1">
        <v>42047</v>
      </c>
      <c r="K8329" s="1">
        <v>42107</v>
      </c>
      <c r="L8329" s="7">
        <v>99.84</v>
      </c>
      <c r="M8329" s="5">
        <v>175</v>
      </c>
      <c r="N8329" s="7">
        <v>17472</v>
      </c>
      <c r="O8329">
        <v>99.84</v>
      </c>
      <c r="P8329">
        <v>175</v>
      </c>
      <c r="Q8329" s="2">
        <v>17472</v>
      </c>
      <c r="R8329">
        <v>0</v>
      </c>
      <c r="V8329">
        <v>0</v>
      </c>
      <c r="W8329">
        <v>0</v>
      </c>
      <c r="X8329">
        <v>0</v>
      </c>
      <c r="Y8329">
        <v>109.82</v>
      </c>
      <c r="Z8329">
        <v>109.82</v>
      </c>
      <c r="AA8329">
        <v>109.82</v>
      </c>
      <c r="AB8329" s="1">
        <v>42382</v>
      </c>
      <c r="AC8329" t="s">
        <v>53</v>
      </c>
      <c r="AD8329" t="s">
        <v>53</v>
      </c>
      <c r="AK8329">
        <v>0</v>
      </c>
      <c r="AU8329" s="6">
        <v>42282</v>
      </c>
      <c r="AV8329" s="6">
        <v>42282</v>
      </c>
      <c r="AW8329" t="s">
        <v>54</v>
      </c>
      <c r="AX8329" t="str">
        <f t="shared" si="678"/>
        <v>FOR</v>
      </c>
      <c r="AY8329" t="s">
        <v>55</v>
      </c>
    </row>
    <row r="8330" spans="1:51">
      <c r="A8330">
        <v>104647</v>
      </c>
      <c r="B8330" t="s">
        <v>1354</v>
      </c>
      <c r="C8330" t="str">
        <f t="shared" si="677"/>
        <v>03531280968</v>
      </c>
      <c r="D8330" t="str">
        <f t="shared" si="677"/>
        <v>03531280968</v>
      </c>
      <c r="E8330" t="s">
        <v>52</v>
      </c>
      <c r="F8330">
        <v>2015</v>
      </c>
      <c r="G8330">
        <v>15000327</v>
      </c>
      <c r="H8330" s="1">
        <v>42058</v>
      </c>
      <c r="I8330" s="1">
        <v>42072</v>
      </c>
      <c r="J8330" s="1">
        <v>42072</v>
      </c>
      <c r="K8330" s="1">
        <v>42132</v>
      </c>
      <c r="L8330" s="7">
        <v>73.44</v>
      </c>
      <c r="M8330" s="5">
        <v>150</v>
      </c>
      <c r="N8330" s="7">
        <v>11016</v>
      </c>
      <c r="O8330">
        <v>73.44</v>
      </c>
      <c r="P8330">
        <v>150</v>
      </c>
      <c r="Q8330" s="2">
        <v>11016</v>
      </c>
      <c r="R8330">
        <v>0</v>
      </c>
      <c r="V8330">
        <v>0</v>
      </c>
      <c r="W8330">
        <v>0</v>
      </c>
      <c r="X8330">
        <v>0</v>
      </c>
      <c r="Y8330">
        <v>80.78</v>
      </c>
      <c r="Z8330">
        <v>80.78</v>
      </c>
      <c r="AA8330">
        <v>80.78</v>
      </c>
      <c r="AB8330" s="1">
        <v>42382</v>
      </c>
      <c r="AC8330" t="s">
        <v>53</v>
      </c>
      <c r="AD8330" t="s">
        <v>53</v>
      </c>
      <c r="AK8330">
        <v>0</v>
      </c>
      <c r="AU8330" s="6">
        <v>42282</v>
      </c>
      <c r="AV8330" s="6">
        <v>42282</v>
      </c>
      <c r="AW8330" t="s">
        <v>54</v>
      </c>
      <c r="AX8330" t="str">
        <f t="shared" si="678"/>
        <v>FOR</v>
      </c>
      <c r="AY8330" t="s">
        <v>55</v>
      </c>
    </row>
    <row r="8331" spans="1:51">
      <c r="A8331">
        <v>104647</v>
      </c>
      <c r="B8331" t="s">
        <v>1354</v>
      </c>
      <c r="C8331" t="str">
        <f t="shared" si="677"/>
        <v>03531280968</v>
      </c>
      <c r="D8331" t="str">
        <f t="shared" si="677"/>
        <v>03531280968</v>
      </c>
      <c r="E8331" t="s">
        <v>52</v>
      </c>
      <c r="F8331">
        <v>2015</v>
      </c>
      <c r="G8331">
        <v>15000524</v>
      </c>
      <c r="H8331" s="1">
        <v>42088</v>
      </c>
      <c r="I8331" s="1">
        <v>42110</v>
      </c>
      <c r="J8331" s="1">
        <v>42110</v>
      </c>
      <c r="K8331" s="1">
        <v>42170</v>
      </c>
      <c r="L8331" s="7">
        <v>193.92</v>
      </c>
      <c r="M8331" s="5">
        <v>112</v>
      </c>
      <c r="N8331" s="7">
        <v>21719.040000000001</v>
      </c>
      <c r="O8331">
        <v>193.92</v>
      </c>
      <c r="P8331">
        <v>112</v>
      </c>
      <c r="Q8331" s="2">
        <v>21719.040000000001</v>
      </c>
      <c r="R8331">
        <v>0</v>
      </c>
      <c r="V8331">
        <v>0</v>
      </c>
      <c r="W8331">
        <v>0</v>
      </c>
      <c r="X8331">
        <v>0</v>
      </c>
      <c r="Y8331">
        <v>213.31</v>
      </c>
      <c r="Z8331">
        <v>213.31</v>
      </c>
      <c r="AA8331">
        <v>213.31</v>
      </c>
      <c r="AB8331" s="1">
        <v>42382</v>
      </c>
      <c r="AC8331" t="s">
        <v>53</v>
      </c>
      <c r="AD8331" t="s">
        <v>53</v>
      </c>
      <c r="AK8331">
        <v>0</v>
      </c>
      <c r="AU8331" s="6">
        <v>42282</v>
      </c>
      <c r="AV8331" s="6">
        <v>42282</v>
      </c>
      <c r="AW8331" t="s">
        <v>54</v>
      </c>
      <c r="AX8331" t="str">
        <f t="shared" si="678"/>
        <v>FOR</v>
      </c>
      <c r="AY8331" t="s">
        <v>55</v>
      </c>
    </row>
    <row r="8332" spans="1:51">
      <c r="A8332">
        <v>104647</v>
      </c>
      <c r="B8332" t="s">
        <v>1354</v>
      </c>
      <c r="C8332" t="str">
        <f t="shared" si="677"/>
        <v>03531280968</v>
      </c>
      <c r="D8332" t="str">
        <f t="shared" si="677"/>
        <v>03531280968</v>
      </c>
      <c r="E8332" t="s">
        <v>52</v>
      </c>
      <c r="F8332">
        <v>2015</v>
      </c>
      <c r="G8332" t="s">
        <v>1355</v>
      </c>
      <c r="H8332" s="1">
        <v>42109</v>
      </c>
      <c r="I8332" s="1">
        <v>42142</v>
      </c>
      <c r="J8332" s="1">
        <v>42137</v>
      </c>
      <c r="K8332" s="1">
        <v>42197</v>
      </c>
      <c r="L8332" s="7">
        <v>159.19999999999999</v>
      </c>
      <c r="M8332" s="5">
        <v>85</v>
      </c>
      <c r="N8332" s="7">
        <v>13532</v>
      </c>
      <c r="O8332">
        <v>159.19999999999999</v>
      </c>
      <c r="P8332">
        <v>85</v>
      </c>
      <c r="Q8332" s="2">
        <v>13532</v>
      </c>
      <c r="R8332">
        <v>0</v>
      </c>
      <c r="V8332">
        <v>0</v>
      </c>
      <c r="W8332">
        <v>0</v>
      </c>
      <c r="X8332">
        <v>0</v>
      </c>
      <c r="Y8332">
        <v>175.12</v>
      </c>
      <c r="Z8332">
        <v>175.12</v>
      </c>
      <c r="AA8332">
        <v>175.12</v>
      </c>
      <c r="AB8332" s="1">
        <v>42382</v>
      </c>
      <c r="AC8332" t="s">
        <v>53</v>
      </c>
      <c r="AD8332" t="s">
        <v>53</v>
      </c>
      <c r="AK8332">
        <v>0</v>
      </c>
      <c r="AU8332" s="6">
        <v>42282</v>
      </c>
      <c r="AV8332" s="6">
        <v>42282</v>
      </c>
      <c r="AW8332" t="s">
        <v>54</v>
      </c>
      <c r="AX8332" t="str">
        <f t="shared" si="678"/>
        <v>FOR</v>
      </c>
      <c r="AY8332" t="s">
        <v>55</v>
      </c>
    </row>
    <row r="8333" spans="1:51">
      <c r="A8333">
        <v>104647</v>
      </c>
      <c r="B8333" t="s">
        <v>1354</v>
      </c>
      <c r="C8333" t="str">
        <f t="shared" si="677"/>
        <v>03531280968</v>
      </c>
      <c r="D8333" t="str">
        <f t="shared" si="677"/>
        <v>03531280968</v>
      </c>
      <c r="E8333" t="s">
        <v>52</v>
      </c>
      <c r="F8333">
        <v>2015</v>
      </c>
      <c r="G8333" t="s">
        <v>1356</v>
      </c>
      <c r="H8333" s="1">
        <v>42116</v>
      </c>
      <c r="I8333" s="1">
        <v>42135</v>
      </c>
      <c r="J8333" s="1">
        <v>42131</v>
      </c>
      <c r="K8333" s="1">
        <v>42191</v>
      </c>
      <c r="L8333" s="7">
        <v>26.4</v>
      </c>
      <c r="M8333" s="5">
        <v>91</v>
      </c>
      <c r="N8333" s="7">
        <v>2402.4</v>
      </c>
      <c r="O8333">
        <v>26.4</v>
      </c>
      <c r="P8333">
        <v>91</v>
      </c>
      <c r="Q8333" s="2">
        <v>2402.4</v>
      </c>
      <c r="R8333">
        <v>0</v>
      </c>
      <c r="V8333">
        <v>0</v>
      </c>
      <c r="W8333">
        <v>0</v>
      </c>
      <c r="X8333">
        <v>0</v>
      </c>
      <c r="Y8333">
        <v>29.04</v>
      </c>
      <c r="Z8333">
        <v>29.04</v>
      </c>
      <c r="AA8333">
        <v>29.04</v>
      </c>
      <c r="AB8333" s="1">
        <v>42382</v>
      </c>
      <c r="AC8333" t="s">
        <v>53</v>
      </c>
      <c r="AD8333" t="s">
        <v>53</v>
      </c>
      <c r="AK8333">
        <v>0</v>
      </c>
      <c r="AU8333" s="6">
        <v>42282</v>
      </c>
      <c r="AV8333" s="6">
        <v>42282</v>
      </c>
      <c r="AW8333" t="s">
        <v>54</v>
      </c>
      <c r="AX8333" t="str">
        <f t="shared" si="678"/>
        <v>FOR</v>
      </c>
      <c r="AY8333" t="s">
        <v>55</v>
      </c>
    </row>
    <row r="8334" spans="1:51">
      <c r="A8334">
        <v>104647</v>
      </c>
      <c r="B8334" t="s">
        <v>1354</v>
      </c>
      <c r="C8334" t="str">
        <f t="shared" si="677"/>
        <v>03531280968</v>
      </c>
      <c r="D8334" t="str">
        <f t="shared" si="677"/>
        <v>03531280968</v>
      </c>
      <c r="E8334" t="s">
        <v>52</v>
      </c>
      <c r="F8334">
        <v>2015</v>
      </c>
      <c r="G8334" t="s">
        <v>1357</v>
      </c>
      <c r="H8334" s="1">
        <v>42152</v>
      </c>
      <c r="I8334" s="1">
        <v>42163</v>
      </c>
      <c r="J8334" s="1">
        <v>42158</v>
      </c>
      <c r="K8334" s="1">
        <v>42218</v>
      </c>
      <c r="L8334" s="7">
        <v>254.16</v>
      </c>
      <c r="M8334" s="5">
        <v>64</v>
      </c>
      <c r="N8334" s="7">
        <v>16266.24</v>
      </c>
      <c r="O8334">
        <v>254.16</v>
      </c>
      <c r="P8334">
        <v>64</v>
      </c>
      <c r="Q8334" s="2">
        <v>16266.24</v>
      </c>
      <c r="R8334">
        <v>0</v>
      </c>
      <c r="V8334">
        <v>0</v>
      </c>
      <c r="W8334">
        <v>0</v>
      </c>
      <c r="X8334">
        <v>0</v>
      </c>
      <c r="Y8334">
        <v>279.58</v>
      </c>
      <c r="Z8334">
        <v>279.58</v>
      </c>
      <c r="AA8334">
        <v>279.58</v>
      </c>
      <c r="AB8334" s="1">
        <v>42382</v>
      </c>
      <c r="AC8334" t="s">
        <v>53</v>
      </c>
      <c r="AD8334" t="s">
        <v>53</v>
      </c>
      <c r="AK8334">
        <v>0</v>
      </c>
      <c r="AU8334" s="6">
        <v>42282</v>
      </c>
      <c r="AV8334" s="6">
        <v>42282</v>
      </c>
      <c r="AW8334" t="s">
        <v>54</v>
      </c>
      <c r="AX8334" t="str">
        <f t="shared" si="678"/>
        <v>FOR</v>
      </c>
      <c r="AY8334" t="s">
        <v>55</v>
      </c>
    </row>
    <row r="8335" spans="1:51">
      <c r="A8335">
        <v>104647</v>
      </c>
      <c r="B8335" t="s">
        <v>1354</v>
      </c>
      <c r="C8335" t="str">
        <f t="shared" si="677"/>
        <v>03531280968</v>
      </c>
      <c r="D8335" t="str">
        <f t="shared" si="677"/>
        <v>03531280968</v>
      </c>
      <c r="E8335" t="s">
        <v>52</v>
      </c>
      <c r="F8335">
        <v>2015</v>
      </c>
      <c r="G8335" t="s">
        <v>1358</v>
      </c>
      <c r="H8335" s="1">
        <v>42152</v>
      </c>
      <c r="I8335" s="1">
        <v>42163</v>
      </c>
      <c r="J8335" s="1">
        <v>42158</v>
      </c>
      <c r="K8335" s="1">
        <v>42218</v>
      </c>
      <c r="L8335" s="7">
        <v>318.39999999999998</v>
      </c>
      <c r="M8335" s="5">
        <v>64</v>
      </c>
      <c r="N8335" s="7">
        <v>20377.599999999999</v>
      </c>
      <c r="O8335">
        <v>318.39999999999998</v>
      </c>
      <c r="P8335">
        <v>64</v>
      </c>
      <c r="Q8335" s="2">
        <v>20377.599999999999</v>
      </c>
      <c r="R8335">
        <v>0</v>
      </c>
      <c r="V8335">
        <v>0</v>
      </c>
      <c r="W8335">
        <v>0</v>
      </c>
      <c r="X8335">
        <v>0</v>
      </c>
      <c r="Y8335">
        <v>350.24</v>
      </c>
      <c r="Z8335">
        <v>350.24</v>
      </c>
      <c r="AA8335">
        <v>350.24</v>
      </c>
      <c r="AB8335" s="1">
        <v>42382</v>
      </c>
      <c r="AC8335" t="s">
        <v>53</v>
      </c>
      <c r="AD8335" t="s">
        <v>53</v>
      </c>
      <c r="AK8335">
        <v>0</v>
      </c>
      <c r="AU8335" s="6">
        <v>42282</v>
      </c>
      <c r="AV8335" s="6">
        <v>42282</v>
      </c>
      <c r="AW8335" t="s">
        <v>54</v>
      </c>
      <c r="AX8335" t="str">
        <f t="shared" si="678"/>
        <v>FOR</v>
      </c>
      <c r="AY8335" t="s">
        <v>55</v>
      </c>
    </row>
    <row r="8336" spans="1:51">
      <c r="A8336">
        <v>104648</v>
      </c>
      <c r="B8336" t="s">
        <v>1359</v>
      </c>
      <c r="C8336" t="str">
        <f>"02292260599"</f>
        <v>02292260599</v>
      </c>
      <c r="D8336" t="str">
        <f>"02292260599"</f>
        <v>02292260599</v>
      </c>
      <c r="E8336" t="s">
        <v>52</v>
      </c>
      <c r="F8336">
        <v>2014</v>
      </c>
      <c r="G8336">
        <v>20322410</v>
      </c>
      <c r="H8336" s="1">
        <v>41940</v>
      </c>
      <c r="I8336" s="1">
        <v>41948</v>
      </c>
      <c r="J8336" s="1">
        <v>41948</v>
      </c>
      <c r="K8336" s="1">
        <v>42008</v>
      </c>
      <c r="L8336" s="7">
        <v>68.31</v>
      </c>
      <c r="M8336" s="5">
        <v>275</v>
      </c>
      <c r="N8336" s="7">
        <v>18785.25</v>
      </c>
      <c r="O8336">
        <v>68.31</v>
      </c>
      <c r="P8336">
        <v>275</v>
      </c>
      <c r="Q8336" s="2">
        <v>18785.25</v>
      </c>
      <c r="R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 s="1">
        <v>42382</v>
      </c>
      <c r="AC8336" t="s">
        <v>53</v>
      </c>
      <c r="AD8336" t="s">
        <v>53</v>
      </c>
      <c r="AK8336">
        <v>0</v>
      </c>
      <c r="AU8336" s="6">
        <v>42283</v>
      </c>
      <c r="AV8336" s="6">
        <v>42283</v>
      </c>
      <c r="AW8336" t="s">
        <v>54</v>
      </c>
      <c r="AX8336" t="str">
        <f t="shared" si="678"/>
        <v>FOR</v>
      </c>
      <c r="AY8336" t="s">
        <v>55</v>
      </c>
    </row>
    <row r="8337" spans="1:51" hidden="1">
      <c r="A8337">
        <v>104660</v>
      </c>
      <c r="B8337" t="s">
        <v>1360</v>
      </c>
      <c r="C8337" t="str">
        <f t="shared" ref="C8337:D8354" si="679">"06141111002"</f>
        <v>06141111002</v>
      </c>
      <c r="D8337" t="str">
        <f t="shared" si="679"/>
        <v>06141111002</v>
      </c>
      <c r="E8337" t="s">
        <v>52</v>
      </c>
      <c r="F8337">
        <v>2014</v>
      </c>
      <c r="G8337">
        <v>63</v>
      </c>
      <c r="H8337" s="1">
        <v>41670</v>
      </c>
      <c r="I8337" s="1">
        <v>41736</v>
      </c>
      <c r="J8337" s="1">
        <v>41736</v>
      </c>
      <c r="K8337" s="1">
        <v>41826</v>
      </c>
      <c r="N8337" s="5"/>
      <c r="O8337" s="2">
        <v>14144</v>
      </c>
      <c r="P8337">
        <v>208</v>
      </c>
      <c r="Q8337" s="2">
        <v>2941952</v>
      </c>
      <c r="R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 s="1">
        <v>42382</v>
      </c>
      <c r="AC8337" t="s">
        <v>53</v>
      </c>
      <c r="AD8337" t="s">
        <v>53</v>
      </c>
      <c r="AK8337">
        <v>0</v>
      </c>
      <c r="AU8337" s="6">
        <v>42034</v>
      </c>
      <c r="AV8337" s="6">
        <v>42034</v>
      </c>
      <c r="AW8337" t="s">
        <v>54</v>
      </c>
      <c r="AX8337" t="str">
        <f t="shared" si="678"/>
        <v>FOR</v>
      </c>
      <c r="AY8337" t="s">
        <v>55</v>
      </c>
    </row>
    <row r="8338" spans="1:51" hidden="1">
      <c r="A8338">
        <v>104660</v>
      </c>
      <c r="B8338" t="s">
        <v>1360</v>
      </c>
      <c r="C8338" t="str">
        <f t="shared" si="679"/>
        <v>06141111002</v>
      </c>
      <c r="D8338" t="str">
        <f t="shared" si="679"/>
        <v>06141111002</v>
      </c>
      <c r="E8338" t="s">
        <v>52</v>
      </c>
      <c r="F8338">
        <v>2014</v>
      </c>
      <c r="G8338">
        <v>146</v>
      </c>
      <c r="H8338" s="1">
        <v>41698</v>
      </c>
      <c r="I8338" s="1">
        <v>41722</v>
      </c>
      <c r="J8338" s="1">
        <v>41722</v>
      </c>
      <c r="K8338" s="1">
        <v>41812</v>
      </c>
      <c r="N8338" s="5"/>
      <c r="O8338" s="2">
        <v>4160</v>
      </c>
      <c r="P8338">
        <v>225</v>
      </c>
      <c r="Q8338" s="2">
        <v>936000</v>
      </c>
      <c r="R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 s="1">
        <v>42382</v>
      </c>
      <c r="AC8338" t="s">
        <v>53</v>
      </c>
      <c r="AD8338" t="s">
        <v>53</v>
      </c>
      <c r="AK8338">
        <v>0</v>
      </c>
      <c r="AU8338" s="6">
        <v>42037</v>
      </c>
      <c r="AV8338" s="6">
        <v>42037</v>
      </c>
      <c r="AW8338" t="s">
        <v>54</v>
      </c>
      <c r="AX8338" t="str">
        <f t="shared" si="678"/>
        <v>FOR</v>
      </c>
      <c r="AY8338" t="s">
        <v>55</v>
      </c>
    </row>
    <row r="8339" spans="1:51" hidden="1">
      <c r="A8339">
        <v>104660</v>
      </c>
      <c r="B8339" t="s">
        <v>1360</v>
      </c>
      <c r="C8339" t="str">
        <f t="shared" si="679"/>
        <v>06141111002</v>
      </c>
      <c r="D8339" t="str">
        <f t="shared" si="679"/>
        <v>06141111002</v>
      </c>
      <c r="E8339" t="s">
        <v>52</v>
      </c>
      <c r="F8339">
        <v>2014</v>
      </c>
      <c r="G8339">
        <v>238</v>
      </c>
      <c r="H8339" s="1">
        <v>41729</v>
      </c>
      <c r="I8339" s="1">
        <v>41771</v>
      </c>
      <c r="J8339" s="1">
        <v>41771</v>
      </c>
      <c r="K8339" s="1">
        <v>41861</v>
      </c>
      <c r="N8339" s="5"/>
      <c r="O8339" s="2">
        <v>4992</v>
      </c>
      <c r="P8339">
        <v>270</v>
      </c>
      <c r="Q8339" s="2">
        <v>1347840</v>
      </c>
      <c r="R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 s="1">
        <v>42382</v>
      </c>
      <c r="AC8339" t="s">
        <v>53</v>
      </c>
      <c r="AD8339" t="s">
        <v>53</v>
      </c>
      <c r="AK8339">
        <v>0</v>
      </c>
      <c r="AU8339" s="6">
        <v>42131</v>
      </c>
      <c r="AV8339" s="6">
        <v>42131</v>
      </c>
      <c r="AW8339" t="s">
        <v>54</v>
      </c>
      <c r="AX8339" t="str">
        <f t="shared" si="678"/>
        <v>FOR</v>
      </c>
      <c r="AY8339" t="s">
        <v>55</v>
      </c>
    </row>
    <row r="8340" spans="1:51" hidden="1">
      <c r="A8340">
        <v>104660</v>
      </c>
      <c r="B8340" t="s">
        <v>1360</v>
      </c>
      <c r="C8340" t="str">
        <f t="shared" si="679"/>
        <v>06141111002</v>
      </c>
      <c r="D8340" t="str">
        <f t="shared" si="679"/>
        <v>06141111002</v>
      </c>
      <c r="E8340" t="s">
        <v>52</v>
      </c>
      <c r="F8340">
        <v>2014</v>
      </c>
      <c r="G8340">
        <v>312</v>
      </c>
      <c r="H8340" s="1">
        <v>41759</v>
      </c>
      <c r="I8340" s="1">
        <v>41788</v>
      </c>
      <c r="J8340" s="1">
        <v>41788</v>
      </c>
      <c r="K8340" s="1">
        <v>41878</v>
      </c>
      <c r="N8340" s="5"/>
      <c r="O8340">
        <v>832</v>
      </c>
      <c r="P8340">
        <v>253</v>
      </c>
      <c r="Q8340" s="2">
        <v>210496</v>
      </c>
      <c r="R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 s="1">
        <v>42382</v>
      </c>
      <c r="AC8340" t="s">
        <v>53</v>
      </c>
      <c r="AD8340" t="s">
        <v>53</v>
      </c>
      <c r="AK8340">
        <v>0</v>
      </c>
      <c r="AU8340" s="6">
        <v>42131</v>
      </c>
      <c r="AV8340" s="6">
        <v>42131</v>
      </c>
      <c r="AW8340" t="s">
        <v>54</v>
      </c>
      <c r="AX8340" t="str">
        <f t="shared" si="678"/>
        <v>FOR</v>
      </c>
      <c r="AY8340" t="s">
        <v>55</v>
      </c>
    </row>
    <row r="8341" spans="1:51" hidden="1">
      <c r="A8341">
        <v>104660</v>
      </c>
      <c r="B8341" t="s">
        <v>1360</v>
      </c>
      <c r="C8341" t="str">
        <f t="shared" si="679"/>
        <v>06141111002</v>
      </c>
      <c r="D8341" t="str">
        <f t="shared" si="679"/>
        <v>06141111002</v>
      </c>
      <c r="E8341" t="s">
        <v>52</v>
      </c>
      <c r="F8341">
        <v>2014</v>
      </c>
      <c r="G8341">
        <v>313</v>
      </c>
      <c r="H8341" s="1">
        <v>41759</v>
      </c>
      <c r="I8341" s="1">
        <v>41788</v>
      </c>
      <c r="J8341" s="1">
        <v>41788</v>
      </c>
      <c r="K8341" s="1">
        <v>41878</v>
      </c>
      <c r="N8341" s="5"/>
      <c r="O8341" s="2">
        <v>10816</v>
      </c>
      <c r="P8341">
        <v>253</v>
      </c>
      <c r="Q8341" s="2">
        <v>2736448</v>
      </c>
      <c r="R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 s="1">
        <v>42382</v>
      </c>
      <c r="AC8341" t="s">
        <v>53</v>
      </c>
      <c r="AD8341" t="s">
        <v>53</v>
      </c>
      <c r="AK8341">
        <v>0</v>
      </c>
      <c r="AU8341" s="6">
        <v>42131</v>
      </c>
      <c r="AV8341" s="6">
        <v>42131</v>
      </c>
      <c r="AW8341" t="s">
        <v>54</v>
      </c>
      <c r="AX8341" t="str">
        <f t="shared" si="678"/>
        <v>FOR</v>
      </c>
      <c r="AY8341" t="s">
        <v>55</v>
      </c>
    </row>
    <row r="8342" spans="1:51" hidden="1">
      <c r="A8342">
        <v>104660</v>
      </c>
      <c r="B8342" t="s">
        <v>1360</v>
      </c>
      <c r="C8342" t="str">
        <f t="shared" si="679"/>
        <v>06141111002</v>
      </c>
      <c r="D8342" t="str">
        <f t="shared" si="679"/>
        <v>06141111002</v>
      </c>
      <c r="E8342" t="s">
        <v>52</v>
      </c>
      <c r="F8342">
        <v>2014</v>
      </c>
      <c r="G8342">
        <v>445</v>
      </c>
      <c r="H8342" s="1">
        <v>41790</v>
      </c>
      <c r="I8342" s="1">
        <v>41814</v>
      </c>
      <c r="J8342" s="1">
        <v>41814</v>
      </c>
      <c r="K8342" s="1">
        <v>41904</v>
      </c>
      <c r="N8342" s="5"/>
      <c r="O8342" s="2">
        <v>9984</v>
      </c>
      <c r="P8342">
        <v>227</v>
      </c>
      <c r="Q8342" s="2">
        <v>2266368</v>
      </c>
      <c r="R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 s="1">
        <v>42382</v>
      </c>
      <c r="AC8342" t="s">
        <v>53</v>
      </c>
      <c r="AD8342" t="s">
        <v>53</v>
      </c>
      <c r="AK8342">
        <v>0</v>
      </c>
      <c r="AU8342" s="6">
        <v>42131</v>
      </c>
      <c r="AV8342" s="6">
        <v>42131</v>
      </c>
      <c r="AW8342" t="s">
        <v>54</v>
      </c>
      <c r="AX8342" t="str">
        <f t="shared" si="678"/>
        <v>FOR</v>
      </c>
      <c r="AY8342" t="s">
        <v>55</v>
      </c>
    </row>
    <row r="8343" spans="1:51" hidden="1">
      <c r="A8343">
        <v>104660</v>
      </c>
      <c r="B8343" t="s">
        <v>1360</v>
      </c>
      <c r="C8343" t="str">
        <f t="shared" si="679"/>
        <v>06141111002</v>
      </c>
      <c r="D8343" t="str">
        <f t="shared" si="679"/>
        <v>06141111002</v>
      </c>
      <c r="E8343" t="s">
        <v>52</v>
      </c>
      <c r="F8343">
        <v>2014</v>
      </c>
      <c r="G8343">
        <v>552</v>
      </c>
      <c r="H8343" s="1">
        <v>41820</v>
      </c>
      <c r="I8343" s="1">
        <v>41834</v>
      </c>
      <c r="J8343" s="1">
        <v>41834</v>
      </c>
      <c r="K8343" s="1">
        <v>41924</v>
      </c>
      <c r="N8343" s="5"/>
      <c r="O8343" s="2">
        <v>3328</v>
      </c>
      <c r="P8343">
        <v>207</v>
      </c>
      <c r="Q8343" s="2">
        <v>688896</v>
      </c>
      <c r="R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 s="1">
        <v>42382</v>
      </c>
      <c r="AC8343" t="s">
        <v>53</v>
      </c>
      <c r="AD8343" t="s">
        <v>53</v>
      </c>
      <c r="AK8343">
        <v>0</v>
      </c>
      <c r="AU8343" s="6">
        <v>42131</v>
      </c>
      <c r="AV8343" s="6">
        <v>42131</v>
      </c>
      <c r="AW8343" t="s">
        <v>54</v>
      </c>
      <c r="AX8343" t="str">
        <f t="shared" si="678"/>
        <v>FOR</v>
      </c>
      <c r="AY8343" t="s">
        <v>55</v>
      </c>
    </row>
    <row r="8344" spans="1:51" hidden="1">
      <c r="A8344">
        <v>104660</v>
      </c>
      <c r="B8344" t="s">
        <v>1360</v>
      </c>
      <c r="C8344" t="str">
        <f t="shared" si="679"/>
        <v>06141111002</v>
      </c>
      <c r="D8344" t="str">
        <f t="shared" si="679"/>
        <v>06141111002</v>
      </c>
      <c r="E8344" t="s">
        <v>52</v>
      </c>
      <c r="F8344">
        <v>2014</v>
      </c>
      <c r="G8344">
        <v>608</v>
      </c>
      <c r="H8344" s="1">
        <v>41851</v>
      </c>
      <c r="I8344" s="1">
        <v>41873</v>
      </c>
      <c r="J8344" s="1">
        <v>41873</v>
      </c>
      <c r="K8344" s="1">
        <v>41963</v>
      </c>
      <c r="N8344" s="5"/>
      <c r="O8344" s="2">
        <v>3416</v>
      </c>
      <c r="P8344">
        <v>168</v>
      </c>
      <c r="Q8344" s="2">
        <v>573888</v>
      </c>
      <c r="R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 s="1">
        <v>42382</v>
      </c>
      <c r="AC8344" t="s">
        <v>53</v>
      </c>
      <c r="AD8344" t="s">
        <v>53</v>
      </c>
      <c r="AK8344">
        <v>0</v>
      </c>
      <c r="AU8344" s="6">
        <v>42131</v>
      </c>
      <c r="AV8344" s="6">
        <v>42131</v>
      </c>
      <c r="AW8344" t="s">
        <v>54</v>
      </c>
      <c r="AX8344" t="str">
        <f t="shared" si="678"/>
        <v>FOR</v>
      </c>
      <c r="AY8344" t="s">
        <v>55</v>
      </c>
    </row>
    <row r="8345" spans="1:51" hidden="1">
      <c r="A8345">
        <v>104660</v>
      </c>
      <c r="B8345" t="s">
        <v>1360</v>
      </c>
      <c r="C8345" t="str">
        <f t="shared" si="679"/>
        <v>06141111002</v>
      </c>
      <c r="D8345" t="str">
        <f t="shared" si="679"/>
        <v>06141111002</v>
      </c>
      <c r="E8345" t="s">
        <v>52</v>
      </c>
      <c r="F8345">
        <v>2014</v>
      </c>
      <c r="G8345">
        <v>663</v>
      </c>
      <c r="H8345" s="1">
        <v>41851</v>
      </c>
      <c r="I8345" s="1">
        <v>41873</v>
      </c>
      <c r="J8345" s="1">
        <v>41873</v>
      </c>
      <c r="K8345" s="1">
        <v>41963</v>
      </c>
      <c r="N8345" s="5"/>
      <c r="O8345" s="2">
        <v>5824</v>
      </c>
      <c r="P8345">
        <v>168</v>
      </c>
      <c r="Q8345" s="2">
        <v>978432</v>
      </c>
      <c r="R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 s="1">
        <v>42382</v>
      </c>
      <c r="AC8345" t="s">
        <v>53</v>
      </c>
      <c r="AD8345" t="s">
        <v>53</v>
      </c>
      <c r="AK8345">
        <v>0</v>
      </c>
      <c r="AU8345" s="6">
        <v>42131</v>
      </c>
      <c r="AV8345" s="6">
        <v>42131</v>
      </c>
      <c r="AW8345" t="s">
        <v>54</v>
      </c>
      <c r="AX8345" t="str">
        <f t="shared" si="678"/>
        <v>FOR</v>
      </c>
      <c r="AY8345" t="s">
        <v>55</v>
      </c>
    </row>
    <row r="8346" spans="1:51" hidden="1">
      <c r="A8346">
        <v>104660</v>
      </c>
      <c r="B8346" t="s">
        <v>1360</v>
      </c>
      <c r="C8346" t="str">
        <f t="shared" si="679"/>
        <v>06141111002</v>
      </c>
      <c r="D8346" t="str">
        <f t="shared" si="679"/>
        <v>06141111002</v>
      </c>
      <c r="E8346" t="s">
        <v>52</v>
      </c>
      <c r="F8346">
        <v>2014</v>
      </c>
      <c r="G8346">
        <v>664</v>
      </c>
      <c r="H8346" s="1">
        <v>41851</v>
      </c>
      <c r="I8346" s="1">
        <v>41873</v>
      </c>
      <c r="J8346" s="1">
        <v>41873</v>
      </c>
      <c r="K8346" s="1">
        <v>41963</v>
      </c>
      <c r="N8346" s="5"/>
      <c r="O8346" s="2">
        <v>12480</v>
      </c>
      <c r="P8346">
        <v>168</v>
      </c>
      <c r="Q8346" s="2">
        <v>2096640</v>
      </c>
      <c r="R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 s="1">
        <v>42382</v>
      </c>
      <c r="AC8346" t="s">
        <v>53</v>
      </c>
      <c r="AD8346" t="s">
        <v>53</v>
      </c>
      <c r="AK8346">
        <v>0</v>
      </c>
      <c r="AU8346" s="6">
        <v>42131</v>
      </c>
      <c r="AV8346" s="6">
        <v>42131</v>
      </c>
      <c r="AW8346" t="s">
        <v>54</v>
      </c>
      <c r="AX8346" t="str">
        <f t="shared" si="678"/>
        <v>FOR</v>
      </c>
      <c r="AY8346" t="s">
        <v>55</v>
      </c>
    </row>
    <row r="8347" spans="1:51" hidden="1">
      <c r="A8347">
        <v>104660</v>
      </c>
      <c r="B8347" t="s">
        <v>1360</v>
      </c>
      <c r="C8347" t="str">
        <f t="shared" si="679"/>
        <v>06141111002</v>
      </c>
      <c r="D8347" t="str">
        <f t="shared" si="679"/>
        <v>06141111002</v>
      </c>
      <c r="E8347" t="s">
        <v>52</v>
      </c>
      <c r="F8347">
        <v>2014</v>
      </c>
      <c r="G8347">
        <v>755</v>
      </c>
      <c r="H8347" s="1">
        <v>41881</v>
      </c>
      <c r="I8347" s="1">
        <v>41911</v>
      </c>
      <c r="J8347" s="1">
        <v>41911</v>
      </c>
      <c r="K8347" s="1">
        <v>42001</v>
      </c>
      <c r="N8347" s="5"/>
      <c r="O8347" s="2">
        <v>18304</v>
      </c>
      <c r="P8347">
        <v>130</v>
      </c>
      <c r="Q8347" s="2">
        <v>2379520</v>
      </c>
      <c r="R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 s="1">
        <v>42382</v>
      </c>
      <c r="AC8347" t="s">
        <v>53</v>
      </c>
      <c r="AD8347" t="s">
        <v>53</v>
      </c>
      <c r="AK8347">
        <v>0</v>
      </c>
      <c r="AU8347" s="6">
        <v>42131</v>
      </c>
      <c r="AV8347" s="6">
        <v>42131</v>
      </c>
      <c r="AW8347" t="s">
        <v>54</v>
      </c>
      <c r="AX8347" t="str">
        <f t="shared" si="678"/>
        <v>FOR</v>
      </c>
      <c r="AY8347" t="s">
        <v>55</v>
      </c>
    </row>
    <row r="8348" spans="1:51" hidden="1">
      <c r="A8348">
        <v>104660</v>
      </c>
      <c r="B8348" t="s">
        <v>1360</v>
      </c>
      <c r="C8348" t="str">
        <f t="shared" si="679"/>
        <v>06141111002</v>
      </c>
      <c r="D8348" t="str">
        <f t="shared" si="679"/>
        <v>06141111002</v>
      </c>
      <c r="E8348" t="s">
        <v>52</v>
      </c>
      <c r="F8348">
        <v>2014</v>
      </c>
      <c r="G8348">
        <v>856</v>
      </c>
      <c r="H8348" s="1">
        <v>41912</v>
      </c>
      <c r="I8348" s="1">
        <v>41932</v>
      </c>
      <c r="J8348" s="1">
        <v>41932</v>
      </c>
      <c r="K8348" s="1">
        <v>41992</v>
      </c>
      <c r="N8348" s="5"/>
      <c r="O8348" s="2">
        <v>12480</v>
      </c>
      <c r="P8348">
        <v>139</v>
      </c>
      <c r="Q8348" s="2">
        <v>1734720</v>
      </c>
      <c r="R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 s="1">
        <v>42382</v>
      </c>
      <c r="AC8348" t="s">
        <v>53</v>
      </c>
      <c r="AD8348" t="s">
        <v>53</v>
      </c>
      <c r="AK8348">
        <v>0</v>
      </c>
      <c r="AU8348" s="6">
        <v>42131</v>
      </c>
      <c r="AV8348" s="6">
        <v>42131</v>
      </c>
      <c r="AW8348" t="s">
        <v>54</v>
      </c>
      <c r="AX8348" t="str">
        <f t="shared" si="678"/>
        <v>FOR</v>
      </c>
      <c r="AY8348" t="s">
        <v>55</v>
      </c>
    </row>
    <row r="8349" spans="1:51" hidden="1">
      <c r="A8349">
        <v>104660</v>
      </c>
      <c r="B8349" t="s">
        <v>1360</v>
      </c>
      <c r="C8349" t="str">
        <f t="shared" si="679"/>
        <v>06141111002</v>
      </c>
      <c r="D8349" t="str">
        <f t="shared" si="679"/>
        <v>06141111002</v>
      </c>
      <c r="E8349" t="s">
        <v>52</v>
      </c>
      <c r="F8349">
        <v>2014</v>
      </c>
      <c r="G8349">
        <v>971</v>
      </c>
      <c r="H8349" s="1">
        <v>41943</v>
      </c>
      <c r="I8349" s="1">
        <v>41964</v>
      </c>
      <c r="J8349" s="1">
        <v>41964</v>
      </c>
      <c r="K8349" s="1">
        <v>42024</v>
      </c>
      <c r="N8349" s="5"/>
      <c r="O8349" s="2">
        <v>11648</v>
      </c>
      <c r="P8349">
        <v>107</v>
      </c>
      <c r="Q8349" s="2">
        <v>1246336</v>
      </c>
      <c r="R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 s="1">
        <v>42382</v>
      </c>
      <c r="AC8349" t="s">
        <v>53</v>
      </c>
      <c r="AD8349" t="s">
        <v>53</v>
      </c>
      <c r="AK8349">
        <v>0</v>
      </c>
      <c r="AU8349" s="6">
        <v>42131</v>
      </c>
      <c r="AV8349" s="6">
        <v>42131</v>
      </c>
      <c r="AW8349" t="s">
        <v>54</v>
      </c>
      <c r="AX8349" t="str">
        <f t="shared" si="678"/>
        <v>FOR</v>
      </c>
      <c r="AY8349" t="s">
        <v>55</v>
      </c>
    </row>
    <row r="8350" spans="1:51" hidden="1">
      <c r="A8350">
        <v>104660</v>
      </c>
      <c r="B8350" t="s">
        <v>1360</v>
      </c>
      <c r="C8350" t="str">
        <f t="shared" si="679"/>
        <v>06141111002</v>
      </c>
      <c r="D8350" t="str">
        <f t="shared" si="679"/>
        <v>06141111002</v>
      </c>
      <c r="E8350" t="s">
        <v>52</v>
      </c>
      <c r="F8350">
        <v>2014</v>
      </c>
      <c r="G8350">
        <v>1073</v>
      </c>
      <c r="H8350" s="1">
        <v>41972</v>
      </c>
      <c r="I8350" s="1">
        <v>42004</v>
      </c>
      <c r="J8350" s="1">
        <v>42004</v>
      </c>
      <c r="K8350" s="1">
        <v>42064</v>
      </c>
      <c r="N8350" s="5"/>
      <c r="O8350" s="2">
        <v>10816</v>
      </c>
      <c r="P8350">
        <v>67</v>
      </c>
      <c r="Q8350" s="2">
        <v>724672</v>
      </c>
      <c r="R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 s="1">
        <v>42382</v>
      </c>
      <c r="AC8350" t="s">
        <v>53</v>
      </c>
      <c r="AD8350" t="s">
        <v>53</v>
      </c>
      <c r="AK8350">
        <v>0</v>
      </c>
      <c r="AU8350" s="6">
        <v>42131</v>
      </c>
      <c r="AV8350" s="6">
        <v>42131</v>
      </c>
      <c r="AW8350" t="s">
        <v>54</v>
      </c>
      <c r="AX8350" t="str">
        <f t="shared" si="678"/>
        <v>FOR</v>
      </c>
      <c r="AY8350" t="s">
        <v>55</v>
      </c>
    </row>
    <row r="8351" spans="1:51" hidden="1">
      <c r="A8351">
        <v>104660</v>
      </c>
      <c r="B8351" t="s">
        <v>1360</v>
      </c>
      <c r="C8351" t="str">
        <f t="shared" si="679"/>
        <v>06141111002</v>
      </c>
      <c r="D8351" t="str">
        <f t="shared" si="679"/>
        <v>06141111002</v>
      </c>
      <c r="E8351" t="s">
        <v>52</v>
      </c>
      <c r="F8351">
        <v>2014</v>
      </c>
      <c r="G8351">
        <v>1117</v>
      </c>
      <c r="H8351" s="1">
        <v>42004</v>
      </c>
      <c r="I8351" s="1">
        <v>42033</v>
      </c>
      <c r="J8351" s="1">
        <v>42033</v>
      </c>
      <c r="K8351" s="1">
        <v>42093</v>
      </c>
      <c r="N8351" s="5"/>
      <c r="O8351" s="2">
        <v>1708</v>
      </c>
      <c r="P8351">
        <v>38</v>
      </c>
      <c r="Q8351" s="2">
        <v>64904</v>
      </c>
      <c r="R8351">
        <v>0</v>
      </c>
      <c r="V8351">
        <v>0</v>
      </c>
      <c r="W8351">
        <v>0</v>
      </c>
      <c r="X8351">
        <v>0</v>
      </c>
      <c r="Y8351">
        <v>0</v>
      </c>
      <c r="Z8351" s="2">
        <v>1708</v>
      </c>
      <c r="AA8351">
        <v>0</v>
      </c>
      <c r="AB8351" s="1">
        <v>42382</v>
      </c>
      <c r="AC8351" t="s">
        <v>53</v>
      </c>
      <c r="AD8351" t="s">
        <v>53</v>
      </c>
      <c r="AK8351">
        <v>0</v>
      </c>
      <c r="AU8351" s="6">
        <v>42131</v>
      </c>
      <c r="AV8351" s="6">
        <v>42131</v>
      </c>
      <c r="AW8351" t="s">
        <v>54</v>
      </c>
      <c r="AX8351" t="str">
        <f t="shared" si="678"/>
        <v>FOR</v>
      </c>
      <c r="AY8351" t="s">
        <v>55</v>
      </c>
    </row>
    <row r="8352" spans="1:51" hidden="1">
      <c r="A8352">
        <v>104660</v>
      </c>
      <c r="B8352" t="s">
        <v>1360</v>
      </c>
      <c r="C8352" t="str">
        <f t="shared" si="679"/>
        <v>06141111002</v>
      </c>
      <c r="D8352" t="str">
        <f t="shared" si="679"/>
        <v>06141111002</v>
      </c>
      <c r="E8352" t="s">
        <v>52</v>
      </c>
      <c r="F8352">
        <v>2014</v>
      </c>
      <c r="G8352">
        <v>1275</v>
      </c>
      <c r="H8352" s="1">
        <v>42004</v>
      </c>
      <c r="I8352" s="1">
        <v>42033</v>
      </c>
      <c r="J8352" s="1">
        <v>42033</v>
      </c>
      <c r="K8352" s="1">
        <v>42093</v>
      </c>
      <c r="N8352" s="5"/>
      <c r="O8352" s="2">
        <v>7488</v>
      </c>
      <c r="P8352">
        <v>38</v>
      </c>
      <c r="Q8352" s="2">
        <v>284544</v>
      </c>
      <c r="R8352">
        <v>0</v>
      </c>
      <c r="V8352">
        <v>0</v>
      </c>
      <c r="W8352">
        <v>0</v>
      </c>
      <c r="X8352">
        <v>0</v>
      </c>
      <c r="Y8352">
        <v>0</v>
      </c>
      <c r="Z8352" s="2">
        <v>7488</v>
      </c>
      <c r="AA8352">
        <v>0</v>
      </c>
      <c r="AB8352" s="1">
        <v>42382</v>
      </c>
      <c r="AC8352" t="s">
        <v>53</v>
      </c>
      <c r="AD8352" t="s">
        <v>53</v>
      </c>
      <c r="AK8352">
        <v>0</v>
      </c>
      <c r="AU8352" s="6">
        <v>42131</v>
      </c>
      <c r="AV8352" s="6">
        <v>42131</v>
      </c>
      <c r="AW8352" t="s">
        <v>54</v>
      </c>
      <c r="AX8352" t="str">
        <f t="shared" si="678"/>
        <v>FOR</v>
      </c>
      <c r="AY8352" t="s">
        <v>55</v>
      </c>
    </row>
    <row r="8353" spans="1:51" hidden="1">
      <c r="A8353">
        <v>104660</v>
      </c>
      <c r="B8353" t="s">
        <v>1360</v>
      </c>
      <c r="C8353" t="str">
        <f t="shared" si="679"/>
        <v>06141111002</v>
      </c>
      <c r="D8353" t="str">
        <f t="shared" si="679"/>
        <v>06141111002</v>
      </c>
      <c r="E8353" t="s">
        <v>52</v>
      </c>
      <c r="F8353">
        <v>2015</v>
      </c>
      <c r="G8353">
        <v>93</v>
      </c>
      <c r="H8353" s="1">
        <v>42035</v>
      </c>
      <c r="I8353" s="1">
        <v>42054</v>
      </c>
      <c r="J8353" s="1">
        <v>42054</v>
      </c>
      <c r="K8353" s="1">
        <v>42114</v>
      </c>
      <c r="N8353" s="5"/>
      <c r="O8353" s="2">
        <v>14400</v>
      </c>
      <c r="P8353">
        <v>136</v>
      </c>
      <c r="Q8353" s="2">
        <v>1958400</v>
      </c>
      <c r="R8353">
        <v>0</v>
      </c>
      <c r="V8353">
        <v>0</v>
      </c>
      <c r="W8353">
        <v>0</v>
      </c>
      <c r="X8353">
        <v>0</v>
      </c>
      <c r="Y8353" s="2">
        <v>14976</v>
      </c>
      <c r="Z8353" s="2">
        <v>14976</v>
      </c>
      <c r="AA8353" s="2">
        <v>14976</v>
      </c>
      <c r="AB8353" s="1">
        <v>42382</v>
      </c>
      <c r="AC8353" t="s">
        <v>53</v>
      </c>
      <c r="AD8353" t="s">
        <v>53</v>
      </c>
      <c r="AK8353">
        <v>0</v>
      </c>
      <c r="AU8353" s="6">
        <v>42250</v>
      </c>
      <c r="AV8353" s="6">
        <v>42250</v>
      </c>
      <c r="AW8353" t="s">
        <v>54</v>
      </c>
      <c r="AX8353" t="str">
        <f t="shared" si="678"/>
        <v>FOR</v>
      </c>
      <c r="AY8353" t="s">
        <v>55</v>
      </c>
    </row>
    <row r="8354" spans="1:51" hidden="1">
      <c r="A8354">
        <v>104660</v>
      </c>
      <c r="B8354" t="s">
        <v>1360</v>
      </c>
      <c r="C8354" t="str">
        <f t="shared" si="679"/>
        <v>06141111002</v>
      </c>
      <c r="D8354" t="str">
        <f t="shared" si="679"/>
        <v>06141111002</v>
      </c>
      <c r="E8354" t="s">
        <v>52</v>
      </c>
      <c r="F8354">
        <v>2015</v>
      </c>
      <c r="G8354">
        <v>190</v>
      </c>
      <c r="H8354" s="1">
        <v>42063</v>
      </c>
      <c r="I8354" s="1">
        <v>42094</v>
      </c>
      <c r="J8354" s="1">
        <v>42094</v>
      </c>
      <c r="K8354" s="1">
        <v>42154</v>
      </c>
      <c r="N8354" s="5"/>
      <c r="O8354" s="2">
        <v>9600</v>
      </c>
      <c r="P8354">
        <v>96</v>
      </c>
      <c r="Q8354" s="2">
        <v>921600</v>
      </c>
      <c r="R8354">
        <v>0</v>
      </c>
      <c r="V8354">
        <v>0</v>
      </c>
      <c r="W8354">
        <v>0</v>
      </c>
      <c r="X8354">
        <v>0</v>
      </c>
      <c r="Y8354" s="2">
        <v>9984</v>
      </c>
      <c r="Z8354" s="2">
        <v>9984</v>
      </c>
      <c r="AA8354" s="2">
        <v>9984</v>
      </c>
      <c r="AB8354" s="1">
        <v>42382</v>
      </c>
      <c r="AC8354" t="s">
        <v>53</v>
      </c>
      <c r="AD8354" t="s">
        <v>53</v>
      </c>
      <c r="AK8354">
        <v>0</v>
      </c>
      <c r="AU8354" s="6">
        <v>42250</v>
      </c>
      <c r="AV8354" s="6">
        <v>42250</v>
      </c>
      <c r="AW8354" t="s">
        <v>54</v>
      </c>
      <c r="AX8354" t="str">
        <f t="shared" si="678"/>
        <v>FOR</v>
      </c>
      <c r="AY8354" t="s">
        <v>55</v>
      </c>
    </row>
    <row r="8355" spans="1:51">
      <c r="A8355">
        <v>104671</v>
      </c>
      <c r="B8355" t="s">
        <v>1361</v>
      </c>
      <c r="C8355" t="str">
        <f>"06615460968"</f>
        <v>06615460968</v>
      </c>
      <c r="D8355" t="str">
        <f>"06615460968"</f>
        <v>06615460968</v>
      </c>
      <c r="E8355" t="s">
        <v>52</v>
      </c>
      <c r="F8355">
        <v>2015</v>
      </c>
      <c r="G8355">
        <v>1109</v>
      </c>
      <c r="H8355" s="1">
        <v>42044</v>
      </c>
      <c r="I8355" s="1">
        <v>42187</v>
      </c>
      <c r="J8355" s="1">
        <v>42187</v>
      </c>
      <c r="K8355" s="1">
        <v>42247</v>
      </c>
      <c r="L8355" s="7">
        <v>4869.1899999999996</v>
      </c>
      <c r="M8355" s="5">
        <v>108</v>
      </c>
      <c r="N8355" s="7">
        <v>525872.52</v>
      </c>
      <c r="O8355" s="2">
        <v>4869.1899999999996</v>
      </c>
      <c r="P8355">
        <v>108</v>
      </c>
      <c r="Q8355" s="2">
        <v>525872.52</v>
      </c>
      <c r="R8355" s="2">
        <v>1071.22</v>
      </c>
      <c r="V8355">
        <v>0</v>
      </c>
      <c r="W8355">
        <v>0</v>
      </c>
      <c r="X8355">
        <v>0</v>
      </c>
      <c r="Y8355" s="2">
        <v>5940.41</v>
      </c>
      <c r="Z8355" s="2">
        <v>5940.41</v>
      </c>
      <c r="AA8355" s="2">
        <v>5940.41</v>
      </c>
      <c r="AB8355" s="1">
        <v>42382</v>
      </c>
      <c r="AC8355" t="s">
        <v>53</v>
      </c>
      <c r="AD8355" t="s">
        <v>53</v>
      </c>
      <c r="AI8355" s="2">
        <v>1071.22</v>
      </c>
      <c r="AK8355">
        <v>0</v>
      </c>
      <c r="AU8355" s="6">
        <v>42355</v>
      </c>
      <c r="AV8355" s="6">
        <v>42355</v>
      </c>
      <c r="AW8355" t="s">
        <v>54</v>
      </c>
      <c r="AX8355" t="str">
        <f t="shared" si="678"/>
        <v>FOR</v>
      </c>
      <c r="AY8355" t="s">
        <v>55</v>
      </c>
    </row>
    <row r="8356" spans="1:51" hidden="1">
      <c r="A8356">
        <v>104689</v>
      </c>
      <c r="B8356" t="s">
        <v>1362</v>
      </c>
      <c r="C8356" t="str">
        <f t="shared" ref="C8356:D8369" si="680">"06537350636"</f>
        <v>06537350636</v>
      </c>
      <c r="D8356" t="str">
        <f t="shared" si="680"/>
        <v>06537350636</v>
      </c>
      <c r="E8356" t="s">
        <v>52</v>
      </c>
      <c r="F8356">
        <v>2014</v>
      </c>
      <c r="G8356">
        <v>276</v>
      </c>
      <c r="H8356" s="1">
        <v>41676</v>
      </c>
      <c r="I8356" s="1">
        <v>41851</v>
      </c>
      <c r="J8356" s="1">
        <v>41851</v>
      </c>
      <c r="K8356" s="1">
        <v>41941</v>
      </c>
      <c r="N8356" s="5"/>
      <c r="O8356">
        <v>780.02</v>
      </c>
      <c r="P8356">
        <v>77</v>
      </c>
      <c r="Q8356" s="2">
        <v>60061.54</v>
      </c>
      <c r="R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 s="1">
        <v>42382</v>
      </c>
      <c r="AC8356" t="s">
        <v>53</v>
      </c>
      <c r="AD8356" t="s">
        <v>53</v>
      </c>
      <c r="AK8356">
        <v>0</v>
      </c>
      <c r="AU8356" s="6">
        <v>42018</v>
      </c>
      <c r="AV8356" s="6">
        <v>42018</v>
      </c>
      <c r="AW8356" t="s">
        <v>54</v>
      </c>
      <c r="AX8356" t="str">
        <f t="shared" si="678"/>
        <v>FOR</v>
      </c>
      <c r="AY8356" t="s">
        <v>55</v>
      </c>
    </row>
    <row r="8357" spans="1:51" hidden="1">
      <c r="A8357">
        <v>104689</v>
      </c>
      <c r="B8357" t="s">
        <v>1362</v>
      </c>
      <c r="C8357" t="str">
        <f t="shared" si="680"/>
        <v>06537350636</v>
      </c>
      <c r="D8357" t="str">
        <f t="shared" si="680"/>
        <v>06537350636</v>
      </c>
      <c r="E8357" t="s">
        <v>52</v>
      </c>
      <c r="F8357">
        <v>2014</v>
      </c>
      <c r="G8357">
        <v>1064</v>
      </c>
      <c r="H8357" s="1">
        <v>41799</v>
      </c>
      <c r="I8357" s="1">
        <v>41806</v>
      </c>
      <c r="J8357" s="1">
        <v>41806</v>
      </c>
      <c r="K8357" s="1">
        <v>41896</v>
      </c>
      <c r="N8357" s="5"/>
      <c r="O8357" s="2">
        <v>1122.4000000000001</v>
      </c>
      <c r="P8357">
        <v>206</v>
      </c>
      <c r="Q8357" s="2">
        <v>231214.4</v>
      </c>
      <c r="R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 s="1">
        <v>42382</v>
      </c>
      <c r="AC8357" t="s">
        <v>53</v>
      </c>
      <c r="AD8357" t="s">
        <v>53</v>
      </c>
      <c r="AK8357">
        <v>0</v>
      </c>
      <c r="AU8357" s="6">
        <v>42102</v>
      </c>
      <c r="AV8357" s="6">
        <v>42102</v>
      </c>
      <c r="AW8357" t="s">
        <v>54</v>
      </c>
      <c r="AX8357" t="str">
        <f t="shared" si="678"/>
        <v>FOR</v>
      </c>
      <c r="AY8357" t="s">
        <v>55</v>
      </c>
    </row>
    <row r="8358" spans="1:51" hidden="1">
      <c r="A8358">
        <v>104689</v>
      </c>
      <c r="B8358" t="s">
        <v>1362</v>
      </c>
      <c r="C8358" t="str">
        <f t="shared" si="680"/>
        <v>06537350636</v>
      </c>
      <c r="D8358" t="str">
        <f t="shared" si="680"/>
        <v>06537350636</v>
      </c>
      <c r="E8358" t="s">
        <v>52</v>
      </c>
      <c r="F8358">
        <v>2014</v>
      </c>
      <c r="G8358">
        <v>1197</v>
      </c>
      <c r="H8358" s="1">
        <v>41820</v>
      </c>
      <c r="I8358" s="1">
        <v>41821</v>
      </c>
      <c r="J8358" s="1">
        <v>41821</v>
      </c>
      <c r="K8358" s="1">
        <v>41911</v>
      </c>
      <c r="N8358" s="5"/>
      <c r="O8358" s="2">
        <v>1902.42</v>
      </c>
      <c r="P8358">
        <v>191</v>
      </c>
      <c r="Q8358" s="2">
        <v>363362.22</v>
      </c>
      <c r="R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 s="1">
        <v>42382</v>
      </c>
      <c r="AC8358" t="s">
        <v>53</v>
      </c>
      <c r="AD8358" t="s">
        <v>53</v>
      </c>
      <c r="AK8358">
        <v>0</v>
      </c>
      <c r="AU8358" s="6">
        <v>42102</v>
      </c>
      <c r="AV8358" s="6">
        <v>42102</v>
      </c>
      <c r="AW8358" t="s">
        <v>54</v>
      </c>
      <c r="AX8358" t="str">
        <f t="shared" si="678"/>
        <v>FOR</v>
      </c>
      <c r="AY8358" t="s">
        <v>55</v>
      </c>
    </row>
    <row r="8359" spans="1:51" hidden="1">
      <c r="A8359">
        <v>104689</v>
      </c>
      <c r="B8359" t="s">
        <v>1362</v>
      </c>
      <c r="C8359" t="str">
        <f t="shared" si="680"/>
        <v>06537350636</v>
      </c>
      <c r="D8359" t="str">
        <f t="shared" si="680"/>
        <v>06537350636</v>
      </c>
      <c r="E8359" t="s">
        <v>52</v>
      </c>
      <c r="F8359">
        <v>2014</v>
      </c>
      <c r="G8359">
        <v>1429</v>
      </c>
      <c r="H8359" s="1">
        <v>41851</v>
      </c>
      <c r="I8359" s="1">
        <v>41872</v>
      </c>
      <c r="J8359" s="1">
        <v>41872</v>
      </c>
      <c r="K8359" s="1">
        <v>41962</v>
      </c>
      <c r="N8359" s="5"/>
      <c r="O8359" s="2">
        <v>2128.9</v>
      </c>
      <c r="P8359">
        <v>140</v>
      </c>
      <c r="Q8359" s="2">
        <v>298046</v>
      </c>
      <c r="R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 s="1">
        <v>42382</v>
      </c>
      <c r="AC8359" t="s">
        <v>53</v>
      </c>
      <c r="AD8359" t="s">
        <v>53</v>
      </c>
      <c r="AK8359">
        <v>0</v>
      </c>
      <c r="AU8359" s="6">
        <v>42102</v>
      </c>
      <c r="AV8359" s="6">
        <v>42102</v>
      </c>
      <c r="AW8359" t="s">
        <v>54</v>
      </c>
      <c r="AX8359" t="str">
        <f t="shared" si="678"/>
        <v>FOR</v>
      </c>
      <c r="AY8359" t="s">
        <v>55</v>
      </c>
    </row>
    <row r="8360" spans="1:51" hidden="1">
      <c r="A8360">
        <v>104689</v>
      </c>
      <c r="B8360" t="s">
        <v>1362</v>
      </c>
      <c r="C8360" t="str">
        <f t="shared" si="680"/>
        <v>06537350636</v>
      </c>
      <c r="D8360" t="str">
        <f t="shared" si="680"/>
        <v>06537350636</v>
      </c>
      <c r="E8360" t="s">
        <v>52</v>
      </c>
      <c r="F8360">
        <v>2014</v>
      </c>
      <c r="G8360">
        <v>1597</v>
      </c>
      <c r="H8360" s="1">
        <v>41897</v>
      </c>
      <c r="I8360" s="1">
        <v>41899</v>
      </c>
      <c r="J8360" s="1">
        <v>41899</v>
      </c>
      <c r="K8360" s="1">
        <v>41989</v>
      </c>
      <c r="N8360" s="5"/>
      <c r="O8360" s="2">
        <v>3805.55</v>
      </c>
      <c r="P8360">
        <v>113</v>
      </c>
      <c r="Q8360" s="2">
        <v>430027.15</v>
      </c>
      <c r="R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 s="1">
        <v>42382</v>
      </c>
      <c r="AC8360" t="s">
        <v>53</v>
      </c>
      <c r="AD8360" t="s">
        <v>53</v>
      </c>
      <c r="AK8360">
        <v>0</v>
      </c>
      <c r="AU8360" s="6">
        <v>42102</v>
      </c>
      <c r="AV8360" s="6">
        <v>42102</v>
      </c>
      <c r="AW8360" t="s">
        <v>54</v>
      </c>
      <c r="AX8360" t="str">
        <f t="shared" si="678"/>
        <v>FOR</v>
      </c>
      <c r="AY8360" t="s">
        <v>55</v>
      </c>
    </row>
    <row r="8361" spans="1:51" hidden="1">
      <c r="A8361">
        <v>104689</v>
      </c>
      <c r="B8361" t="s">
        <v>1362</v>
      </c>
      <c r="C8361" t="str">
        <f t="shared" si="680"/>
        <v>06537350636</v>
      </c>
      <c r="D8361" t="str">
        <f t="shared" si="680"/>
        <v>06537350636</v>
      </c>
      <c r="E8361" t="s">
        <v>52</v>
      </c>
      <c r="F8361">
        <v>2014</v>
      </c>
      <c r="G8361">
        <v>1626</v>
      </c>
      <c r="H8361" s="1">
        <v>41900</v>
      </c>
      <c r="I8361" s="1">
        <v>41904</v>
      </c>
      <c r="J8361" s="1">
        <v>41904</v>
      </c>
      <c r="K8361" s="1">
        <v>41994</v>
      </c>
      <c r="N8361" s="5"/>
      <c r="O8361" s="2">
        <v>4369.87</v>
      </c>
      <c r="P8361">
        <v>108</v>
      </c>
      <c r="Q8361" s="2">
        <v>471945.96</v>
      </c>
      <c r="R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 s="1">
        <v>42382</v>
      </c>
      <c r="AC8361" t="s">
        <v>53</v>
      </c>
      <c r="AD8361" t="s">
        <v>53</v>
      </c>
      <c r="AK8361">
        <v>0</v>
      </c>
      <c r="AU8361" s="6">
        <v>42102</v>
      </c>
      <c r="AV8361" s="6">
        <v>42102</v>
      </c>
      <c r="AW8361" t="s">
        <v>54</v>
      </c>
      <c r="AX8361" t="str">
        <f t="shared" si="678"/>
        <v>FOR</v>
      </c>
      <c r="AY8361" t="s">
        <v>55</v>
      </c>
    </row>
    <row r="8362" spans="1:51" hidden="1">
      <c r="A8362">
        <v>104689</v>
      </c>
      <c r="B8362" t="s">
        <v>1362</v>
      </c>
      <c r="C8362" t="str">
        <f t="shared" si="680"/>
        <v>06537350636</v>
      </c>
      <c r="D8362" t="str">
        <f t="shared" si="680"/>
        <v>06537350636</v>
      </c>
      <c r="E8362" t="s">
        <v>52</v>
      </c>
      <c r="F8362">
        <v>2014</v>
      </c>
      <c r="G8362">
        <v>1810</v>
      </c>
      <c r="H8362" s="1">
        <v>41927</v>
      </c>
      <c r="I8362" s="1">
        <v>41932</v>
      </c>
      <c r="J8362" s="1">
        <v>41932</v>
      </c>
      <c r="K8362" s="1">
        <v>41992</v>
      </c>
      <c r="N8362" s="5"/>
      <c r="O8362" s="2">
        <v>2028.25</v>
      </c>
      <c r="P8362">
        <v>110</v>
      </c>
      <c r="Q8362" s="2">
        <v>223107.5</v>
      </c>
      <c r="R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 s="1">
        <v>42382</v>
      </c>
      <c r="AC8362" t="s">
        <v>53</v>
      </c>
      <c r="AD8362" t="s">
        <v>53</v>
      </c>
      <c r="AK8362">
        <v>0</v>
      </c>
      <c r="AU8362" s="6">
        <v>42102</v>
      </c>
      <c r="AV8362" s="6">
        <v>42102</v>
      </c>
      <c r="AW8362" t="s">
        <v>54</v>
      </c>
      <c r="AX8362" t="str">
        <f t="shared" si="678"/>
        <v>FOR</v>
      </c>
      <c r="AY8362" t="s">
        <v>55</v>
      </c>
    </row>
    <row r="8363" spans="1:51" hidden="1">
      <c r="A8363">
        <v>104689</v>
      </c>
      <c r="B8363" t="s">
        <v>1362</v>
      </c>
      <c r="C8363" t="str">
        <f t="shared" si="680"/>
        <v>06537350636</v>
      </c>
      <c r="D8363" t="str">
        <f t="shared" si="680"/>
        <v>06537350636</v>
      </c>
      <c r="E8363" t="s">
        <v>52</v>
      </c>
      <c r="F8363">
        <v>2014</v>
      </c>
      <c r="G8363">
        <v>1968</v>
      </c>
      <c r="H8363" s="1">
        <v>41953</v>
      </c>
      <c r="I8363" s="1">
        <v>41955</v>
      </c>
      <c r="J8363" s="1">
        <v>41955</v>
      </c>
      <c r="K8363" s="1">
        <v>42015</v>
      </c>
      <c r="N8363" s="5"/>
      <c r="O8363" s="2">
        <v>1466.27</v>
      </c>
      <c r="P8363">
        <v>87</v>
      </c>
      <c r="Q8363" s="2">
        <v>127565.49</v>
      </c>
      <c r="R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 s="1">
        <v>42382</v>
      </c>
      <c r="AC8363" t="s">
        <v>53</v>
      </c>
      <c r="AD8363" t="s">
        <v>53</v>
      </c>
      <c r="AK8363">
        <v>0</v>
      </c>
      <c r="AU8363" s="6">
        <v>42102</v>
      </c>
      <c r="AV8363" s="6">
        <v>42102</v>
      </c>
      <c r="AW8363" t="s">
        <v>54</v>
      </c>
      <c r="AX8363" t="str">
        <f t="shared" si="678"/>
        <v>FOR</v>
      </c>
      <c r="AY8363" t="s">
        <v>55</v>
      </c>
    </row>
    <row r="8364" spans="1:51" hidden="1">
      <c r="A8364">
        <v>104689</v>
      </c>
      <c r="B8364" t="s">
        <v>1362</v>
      </c>
      <c r="C8364" t="str">
        <f t="shared" si="680"/>
        <v>06537350636</v>
      </c>
      <c r="D8364" t="str">
        <f t="shared" si="680"/>
        <v>06537350636</v>
      </c>
      <c r="E8364" t="s">
        <v>52</v>
      </c>
      <c r="F8364">
        <v>2014</v>
      </c>
      <c r="G8364">
        <v>2205</v>
      </c>
      <c r="H8364" s="1">
        <v>41982</v>
      </c>
      <c r="I8364" s="1">
        <v>41983</v>
      </c>
      <c r="J8364" s="1">
        <v>41983</v>
      </c>
      <c r="K8364" s="1">
        <v>42043</v>
      </c>
      <c r="N8364" s="5"/>
      <c r="O8364" s="2">
        <v>1511.09</v>
      </c>
      <c r="P8364">
        <v>59</v>
      </c>
      <c r="Q8364" s="2">
        <v>89154.31</v>
      </c>
      <c r="R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 s="1">
        <v>42382</v>
      </c>
      <c r="AC8364" t="s">
        <v>53</v>
      </c>
      <c r="AD8364" t="s">
        <v>53</v>
      </c>
      <c r="AK8364">
        <v>0</v>
      </c>
      <c r="AU8364" s="6">
        <v>42102</v>
      </c>
      <c r="AV8364" s="6">
        <v>42102</v>
      </c>
      <c r="AW8364" t="s">
        <v>54</v>
      </c>
      <c r="AX8364" t="str">
        <f t="shared" si="678"/>
        <v>FOR</v>
      </c>
      <c r="AY8364" t="s">
        <v>55</v>
      </c>
    </row>
    <row r="8365" spans="1:51" hidden="1">
      <c r="A8365">
        <v>104689</v>
      </c>
      <c r="B8365" t="s">
        <v>1362</v>
      </c>
      <c r="C8365" t="str">
        <f t="shared" si="680"/>
        <v>06537350636</v>
      </c>
      <c r="D8365" t="str">
        <f t="shared" si="680"/>
        <v>06537350636</v>
      </c>
      <c r="E8365" t="s">
        <v>52</v>
      </c>
      <c r="F8365">
        <v>2015</v>
      </c>
      <c r="G8365">
        <v>214</v>
      </c>
      <c r="H8365" s="1">
        <v>42037</v>
      </c>
      <c r="I8365" s="1">
        <v>42044</v>
      </c>
      <c r="J8365" s="1">
        <v>42044</v>
      </c>
      <c r="K8365" s="1">
        <v>42104</v>
      </c>
      <c r="N8365" s="5"/>
      <c r="O8365" s="2">
        <v>2350</v>
      </c>
      <c r="P8365">
        <v>151</v>
      </c>
      <c r="Q8365" s="2">
        <v>354850</v>
      </c>
      <c r="R8365">
        <v>0</v>
      </c>
      <c r="V8365">
        <v>0</v>
      </c>
      <c r="W8365">
        <v>0</v>
      </c>
      <c r="X8365">
        <v>0</v>
      </c>
      <c r="Y8365" s="2">
        <v>2867</v>
      </c>
      <c r="Z8365" s="2">
        <v>2867</v>
      </c>
      <c r="AA8365" s="2">
        <v>2867</v>
      </c>
      <c r="AB8365" s="1">
        <v>42382</v>
      </c>
      <c r="AC8365" t="s">
        <v>53</v>
      </c>
      <c r="AD8365" t="s">
        <v>53</v>
      </c>
      <c r="AK8365">
        <v>0</v>
      </c>
      <c r="AU8365" s="6">
        <v>42255</v>
      </c>
      <c r="AV8365" s="6">
        <v>42255</v>
      </c>
      <c r="AW8365" t="s">
        <v>54</v>
      </c>
      <c r="AX8365" t="str">
        <f t="shared" si="678"/>
        <v>FOR</v>
      </c>
      <c r="AY8365" t="s">
        <v>55</v>
      </c>
    </row>
    <row r="8366" spans="1:51" hidden="1">
      <c r="A8366">
        <v>104689</v>
      </c>
      <c r="B8366" t="s">
        <v>1362</v>
      </c>
      <c r="C8366" t="str">
        <f t="shared" si="680"/>
        <v>06537350636</v>
      </c>
      <c r="D8366" t="str">
        <f t="shared" si="680"/>
        <v>06537350636</v>
      </c>
      <c r="E8366" t="s">
        <v>52</v>
      </c>
      <c r="F8366">
        <v>2015</v>
      </c>
      <c r="G8366" t="s">
        <v>1363</v>
      </c>
      <c r="H8366" s="1">
        <v>42102</v>
      </c>
      <c r="I8366" s="1">
        <v>42128</v>
      </c>
      <c r="J8366" s="1">
        <v>42103</v>
      </c>
      <c r="K8366" s="1">
        <v>42163</v>
      </c>
      <c r="N8366" s="5"/>
      <c r="O8366" s="2">
        <v>1087.5</v>
      </c>
      <c r="P8366">
        <v>92</v>
      </c>
      <c r="Q8366" s="2">
        <v>100050</v>
      </c>
      <c r="R8366">
        <v>0</v>
      </c>
      <c r="V8366">
        <v>0</v>
      </c>
      <c r="W8366">
        <v>0</v>
      </c>
      <c r="X8366">
        <v>0</v>
      </c>
      <c r="Y8366" s="2">
        <v>1326.75</v>
      </c>
      <c r="Z8366" s="2">
        <v>1326.75</v>
      </c>
      <c r="AA8366" s="2">
        <v>1326.75</v>
      </c>
      <c r="AB8366" s="1">
        <v>42382</v>
      </c>
      <c r="AC8366" t="s">
        <v>53</v>
      </c>
      <c r="AD8366" t="s">
        <v>53</v>
      </c>
      <c r="AK8366">
        <v>0</v>
      </c>
      <c r="AU8366" s="6">
        <v>42255</v>
      </c>
      <c r="AV8366" s="6">
        <v>42255</v>
      </c>
      <c r="AW8366" t="s">
        <v>54</v>
      </c>
      <c r="AX8366" t="str">
        <f t="shared" si="678"/>
        <v>FOR</v>
      </c>
      <c r="AY8366" t="s">
        <v>55</v>
      </c>
    </row>
    <row r="8367" spans="1:51" hidden="1">
      <c r="A8367">
        <v>104689</v>
      </c>
      <c r="B8367" t="s">
        <v>1362</v>
      </c>
      <c r="C8367" t="str">
        <f t="shared" si="680"/>
        <v>06537350636</v>
      </c>
      <c r="D8367" t="str">
        <f t="shared" si="680"/>
        <v>06537350636</v>
      </c>
      <c r="E8367" t="s">
        <v>52</v>
      </c>
      <c r="F8367">
        <v>2015</v>
      </c>
      <c r="G8367" t="s">
        <v>1364</v>
      </c>
      <c r="H8367" s="1">
        <v>42114</v>
      </c>
      <c r="I8367" s="1">
        <v>42117</v>
      </c>
      <c r="J8367" s="1">
        <v>42115</v>
      </c>
      <c r="K8367" s="1">
        <v>42175</v>
      </c>
      <c r="N8367" s="5"/>
      <c r="O8367" s="2">
        <v>7848.1</v>
      </c>
      <c r="P8367">
        <v>80</v>
      </c>
      <c r="Q8367" s="2">
        <v>627848</v>
      </c>
      <c r="R8367">
        <v>0</v>
      </c>
      <c r="V8367">
        <v>0</v>
      </c>
      <c r="W8367">
        <v>0</v>
      </c>
      <c r="X8367">
        <v>0</v>
      </c>
      <c r="Y8367" s="2">
        <v>9574.68</v>
      </c>
      <c r="Z8367" s="2">
        <v>9574.68</v>
      </c>
      <c r="AA8367" s="2">
        <v>9574.68</v>
      </c>
      <c r="AB8367" s="1">
        <v>42382</v>
      </c>
      <c r="AC8367" t="s">
        <v>53</v>
      </c>
      <c r="AD8367" t="s">
        <v>53</v>
      </c>
      <c r="AK8367">
        <v>0</v>
      </c>
      <c r="AU8367" s="6">
        <v>42255</v>
      </c>
      <c r="AV8367" s="6">
        <v>42255</v>
      </c>
      <c r="AW8367" t="s">
        <v>54</v>
      </c>
      <c r="AX8367" t="str">
        <f t="shared" si="678"/>
        <v>FOR</v>
      </c>
      <c r="AY8367" t="s">
        <v>55</v>
      </c>
    </row>
    <row r="8368" spans="1:51">
      <c r="A8368">
        <v>104689</v>
      </c>
      <c r="B8368" t="s">
        <v>1362</v>
      </c>
      <c r="C8368" t="str">
        <f t="shared" si="680"/>
        <v>06537350636</v>
      </c>
      <c r="D8368" t="str">
        <f t="shared" si="680"/>
        <v>06537350636</v>
      </c>
      <c r="E8368" t="s">
        <v>52</v>
      </c>
      <c r="F8368">
        <v>2015</v>
      </c>
      <c r="G8368" t="s">
        <v>1365</v>
      </c>
      <c r="H8368" s="1">
        <v>42144</v>
      </c>
      <c r="I8368" s="1">
        <v>42165</v>
      </c>
      <c r="J8368" s="1">
        <v>42144</v>
      </c>
      <c r="K8368" s="1">
        <v>42204</v>
      </c>
      <c r="L8368" s="7">
        <v>2350</v>
      </c>
      <c r="M8368" s="5">
        <v>136</v>
      </c>
      <c r="N8368" s="7">
        <v>319600</v>
      </c>
      <c r="O8368" s="2">
        <v>2350</v>
      </c>
      <c r="P8368">
        <v>136</v>
      </c>
      <c r="Q8368" s="2">
        <v>319600</v>
      </c>
      <c r="R8368">
        <v>517</v>
      </c>
      <c r="V8368">
        <v>0</v>
      </c>
      <c r="W8368">
        <v>0</v>
      </c>
      <c r="X8368">
        <v>0</v>
      </c>
      <c r="Y8368" s="2">
        <v>2867</v>
      </c>
      <c r="Z8368" s="2">
        <v>2867</v>
      </c>
      <c r="AA8368" s="2">
        <v>2867</v>
      </c>
      <c r="AB8368" s="1">
        <v>42382</v>
      </c>
      <c r="AC8368" t="s">
        <v>53</v>
      </c>
      <c r="AD8368" t="s">
        <v>53</v>
      </c>
      <c r="AJ8368">
        <v>517</v>
      </c>
      <c r="AK8368">
        <v>0</v>
      </c>
      <c r="AU8368" s="6">
        <v>42340</v>
      </c>
      <c r="AV8368" s="6">
        <v>42340</v>
      </c>
      <c r="AW8368" t="s">
        <v>54</v>
      </c>
      <c r="AX8368" t="str">
        <f t="shared" si="678"/>
        <v>FOR</v>
      </c>
      <c r="AY8368" t="s">
        <v>55</v>
      </c>
    </row>
    <row r="8369" spans="1:51">
      <c r="A8369">
        <v>104689</v>
      </c>
      <c r="B8369" t="s">
        <v>1362</v>
      </c>
      <c r="C8369" t="str">
        <f t="shared" si="680"/>
        <v>06537350636</v>
      </c>
      <c r="D8369" t="str">
        <f t="shared" si="680"/>
        <v>06537350636</v>
      </c>
      <c r="E8369" t="s">
        <v>52</v>
      </c>
      <c r="F8369">
        <v>2015</v>
      </c>
      <c r="G8369" t="s">
        <v>1366</v>
      </c>
      <c r="H8369" s="1">
        <v>42184</v>
      </c>
      <c r="I8369" s="1">
        <v>42186</v>
      </c>
      <c r="J8369" s="1">
        <v>42184</v>
      </c>
      <c r="K8369" s="1">
        <v>42244</v>
      </c>
      <c r="L8369" s="7">
        <v>950</v>
      </c>
      <c r="M8369" s="5">
        <v>96</v>
      </c>
      <c r="N8369" s="7">
        <v>91200</v>
      </c>
      <c r="O8369">
        <v>950</v>
      </c>
      <c r="P8369">
        <v>96</v>
      </c>
      <c r="Q8369" s="2">
        <v>91200</v>
      </c>
      <c r="R8369">
        <v>209</v>
      </c>
      <c r="V8369">
        <v>0</v>
      </c>
      <c r="W8369">
        <v>0</v>
      </c>
      <c r="X8369">
        <v>0</v>
      </c>
      <c r="Y8369" s="2">
        <v>1159</v>
      </c>
      <c r="Z8369" s="2">
        <v>1159</v>
      </c>
      <c r="AA8369" s="2">
        <v>1159</v>
      </c>
      <c r="AB8369" s="1">
        <v>42382</v>
      </c>
      <c r="AC8369" t="s">
        <v>53</v>
      </c>
      <c r="AD8369" t="s">
        <v>53</v>
      </c>
      <c r="AI8369">
        <v>209</v>
      </c>
      <c r="AK8369">
        <v>0</v>
      </c>
      <c r="AU8369" s="6">
        <v>42340</v>
      </c>
      <c r="AV8369" s="6">
        <v>42340</v>
      </c>
      <c r="AW8369" t="s">
        <v>54</v>
      </c>
      <c r="AX8369" t="str">
        <f t="shared" si="678"/>
        <v>FOR</v>
      </c>
      <c r="AY8369" t="s">
        <v>55</v>
      </c>
    </row>
    <row r="8370" spans="1:51" hidden="1">
      <c r="A8370">
        <v>104729</v>
      </c>
      <c r="B8370" t="s">
        <v>1367</v>
      </c>
      <c r="C8370" t="str">
        <f t="shared" ref="C8370:D8377" si="681">"10692961005"</f>
        <v>10692961005</v>
      </c>
      <c r="D8370" t="str">
        <f t="shared" si="681"/>
        <v>10692961005</v>
      </c>
      <c r="E8370" t="s">
        <v>52</v>
      </c>
      <c r="F8370">
        <v>2014</v>
      </c>
      <c r="G8370">
        <v>86</v>
      </c>
      <c r="H8370" s="1">
        <v>41661</v>
      </c>
      <c r="I8370" s="1">
        <v>41670</v>
      </c>
      <c r="J8370" s="1">
        <v>41670</v>
      </c>
      <c r="K8370" s="1">
        <v>41760</v>
      </c>
      <c r="N8370" s="5"/>
      <c r="O8370" s="2">
        <v>1152.9000000000001</v>
      </c>
      <c r="P8370">
        <v>274</v>
      </c>
      <c r="Q8370" s="2">
        <v>315894.59999999998</v>
      </c>
      <c r="R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 s="1">
        <v>42382</v>
      </c>
      <c r="AC8370" t="s">
        <v>53</v>
      </c>
      <c r="AD8370" t="s">
        <v>53</v>
      </c>
      <c r="AK8370">
        <v>0</v>
      </c>
      <c r="AU8370" s="6">
        <v>42034</v>
      </c>
      <c r="AV8370" s="6">
        <v>42034</v>
      </c>
      <c r="AW8370" t="s">
        <v>54</v>
      </c>
      <c r="AX8370" t="str">
        <f t="shared" si="678"/>
        <v>FOR</v>
      </c>
      <c r="AY8370" t="s">
        <v>55</v>
      </c>
    </row>
    <row r="8371" spans="1:51" hidden="1">
      <c r="A8371">
        <v>104729</v>
      </c>
      <c r="B8371" t="s">
        <v>1367</v>
      </c>
      <c r="C8371" t="str">
        <f t="shared" si="681"/>
        <v>10692961005</v>
      </c>
      <c r="D8371" t="str">
        <f t="shared" si="681"/>
        <v>10692961005</v>
      </c>
      <c r="E8371" t="s">
        <v>52</v>
      </c>
      <c r="F8371">
        <v>2014</v>
      </c>
      <c r="G8371">
        <v>151</v>
      </c>
      <c r="H8371" s="1">
        <v>41669</v>
      </c>
      <c r="I8371" s="1">
        <v>41675</v>
      </c>
      <c r="J8371" s="1">
        <v>41675</v>
      </c>
      <c r="K8371" s="1">
        <v>41765</v>
      </c>
      <c r="N8371" s="5"/>
      <c r="O8371">
        <v>115.9</v>
      </c>
      <c r="P8371">
        <v>269</v>
      </c>
      <c r="Q8371" s="2">
        <v>31177.1</v>
      </c>
      <c r="R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 s="1">
        <v>42382</v>
      </c>
      <c r="AC8371" t="s">
        <v>53</v>
      </c>
      <c r="AD8371" t="s">
        <v>53</v>
      </c>
      <c r="AK8371">
        <v>0</v>
      </c>
      <c r="AU8371" s="6">
        <v>42034</v>
      </c>
      <c r="AV8371" s="6">
        <v>42034</v>
      </c>
      <c r="AW8371" t="s">
        <v>54</v>
      </c>
      <c r="AX8371" t="str">
        <f t="shared" si="678"/>
        <v>FOR</v>
      </c>
      <c r="AY8371" t="s">
        <v>55</v>
      </c>
    </row>
    <row r="8372" spans="1:51" hidden="1">
      <c r="A8372">
        <v>104729</v>
      </c>
      <c r="B8372" t="s">
        <v>1367</v>
      </c>
      <c r="C8372" t="str">
        <f t="shared" si="681"/>
        <v>10692961005</v>
      </c>
      <c r="D8372" t="str">
        <f t="shared" si="681"/>
        <v>10692961005</v>
      </c>
      <c r="E8372" t="s">
        <v>52</v>
      </c>
      <c r="F8372">
        <v>2014</v>
      </c>
      <c r="G8372">
        <v>544</v>
      </c>
      <c r="H8372" s="1">
        <v>41732</v>
      </c>
      <c r="I8372" s="1">
        <v>41739</v>
      </c>
      <c r="J8372" s="1">
        <v>41739</v>
      </c>
      <c r="K8372" s="1">
        <v>41829</v>
      </c>
      <c r="N8372" s="5"/>
      <c r="O8372">
        <v>169.09</v>
      </c>
      <c r="P8372">
        <v>218</v>
      </c>
      <c r="Q8372" s="2">
        <v>36861.620000000003</v>
      </c>
      <c r="R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 s="1">
        <v>42382</v>
      </c>
      <c r="AC8372" t="s">
        <v>53</v>
      </c>
      <c r="AD8372" t="s">
        <v>53</v>
      </c>
      <c r="AK8372">
        <v>0</v>
      </c>
      <c r="AU8372" s="6">
        <v>42047</v>
      </c>
      <c r="AV8372" s="6">
        <v>42047</v>
      </c>
      <c r="AW8372" t="s">
        <v>54</v>
      </c>
      <c r="AX8372" t="str">
        <f t="shared" si="678"/>
        <v>FOR</v>
      </c>
      <c r="AY8372" t="s">
        <v>55</v>
      </c>
    </row>
    <row r="8373" spans="1:51" hidden="1">
      <c r="A8373">
        <v>104729</v>
      </c>
      <c r="B8373" t="s">
        <v>1367</v>
      </c>
      <c r="C8373" t="str">
        <f t="shared" si="681"/>
        <v>10692961005</v>
      </c>
      <c r="D8373" t="str">
        <f t="shared" si="681"/>
        <v>10692961005</v>
      </c>
      <c r="E8373" t="s">
        <v>52</v>
      </c>
      <c r="F8373">
        <v>2014</v>
      </c>
      <c r="G8373">
        <v>605</v>
      </c>
      <c r="H8373" s="1">
        <v>41745</v>
      </c>
      <c r="I8373" s="1">
        <v>41757</v>
      </c>
      <c r="J8373" s="1">
        <v>41757</v>
      </c>
      <c r="K8373" s="1">
        <v>41847</v>
      </c>
      <c r="N8373" s="5"/>
      <c r="O8373" s="2">
        <v>1152.9000000000001</v>
      </c>
      <c r="P8373">
        <v>200</v>
      </c>
      <c r="Q8373" s="2">
        <v>230580</v>
      </c>
      <c r="R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 s="1">
        <v>42382</v>
      </c>
      <c r="AC8373" t="s">
        <v>53</v>
      </c>
      <c r="AD8373" t="s">
        <v>53</v>
      </c>
      <c r="AK8373">
        <v>0</v>
      </c>
      <c r="AU8373" s="6">
        <v>42047</v>
      </c>
      <c r="AV8373" s="6">
        <v>42047</v>
      </c>
      <c r="AW8373" t="s">
        <v>54</v>
      </c>
      <c r="AX8373" t="str">
        <f t="shared" si="678"/>
        <v>FOR</v>
      </c>
      <c r="AY8373" t="s">
        <v>55</v>
      </c>
    </row>
    <row r="8374" spans="1:51" hidden="1">
      <c r="A8374">
        <v>104729</v>
      </c>
      <c r="B8374" t="s">
        <v>1367</v>
      </c>
      <c r="C8374" t="str">
        <f t="shared" si="681"/>
        <v>10692961005</v>
      </c>
      <c r="D8374" t="str">
        <f t="shared" si="681"/>
        <v>10692961005</v>
      </c>
      <c r="E8374" t="s">
        <v>52</v>
      </c>
      <c r="F8374">
        <v>2014</v>
      </c>
      <c r="G8374">
        <v>991</v>
      </c>
      <c r="H8374" s="1">
        <v>41822</v>
      </c>
      <c r="I8374" s="1">
        <v>41829</v>
      </c>
      <c r="J8374" s="1">
        <v>41829</v>
      </c>
      <c r="K8374" s="1">
        <v>41919</v>
      </c>
      <c r="N8374" s="5"/>
      <c r="O8374">
        <v>231.8</v>
      </c>
      <c r="P8374">
        <v>128</v>
      </c>
      <c r="Q8374" s="2">
        <v>29670.400000000001</v>
      </c>
      <c r="R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 s="1">
        <v>42382</v>
      </c>
      <c r="AC8374" t="s">
        <v>53</v>
      </c>
      <c r="AD8374" t="s">
        <v>53</v>
      </c>
      <c r="AK8374">
        <v>0</v>
      </c>
      <c r="AU8374" s="6">
        <v>42047</v>
      </c>
      <c r="AV8374" s="6">
        <v>42047</v>
      </c>
      <c r="AW8374" t="s">
        <v>54</v>
      </c>
      <c r="AX8374" t="str">
        <f t="shared" si="678"/>
        <v>FOR</v>
      </c>
      <c r="AY8374" t="s">
        <v>55</v>
      </c>
    </row>
    <row r="8375" spans="1:51" hidden="1">
      <c r="A8375">
        <v>104729</v>
      </c>
      <c r="B8375" t="s">
        <v>1367</v>
      </c>
      <c r="C8375" t="str">
        <f t="shared" si="681"/>
        <v>10692961005</v>
      </c>
      <c r="D8375" t="str">
        <f t="shared" si="681"/>
        <v>10692961005</v>
      </c>
      <c r="E8375" t="s">
        <v>52</v>
      </c>
      <c r="F8375">
        <v>2014</v>
      </c>
      <c r="G8375">
        <v>1252</v>
      </c>
      <c r="H8375" s="1">
        <v>41898</v>
      </c>
      <c r="I8375" s="1">
        <v>41908</v>
      </c>
      <c r="J8375" s="1">
        <v>41908</v>
      </c>
      <c r="K8375" s="1">
        <v>41997</v>
      </c>
      <c r="N8375" s="5"/>
      <c r="O8375" s="2">
        <v>1152.9000000000001</v>
      </c>
      <c r="P8375">
        <v>50</v>
      </c>
      <c r="Q8375" s="2">
        <v>57645</v>
      </c>
      <c r="R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 s="1">
        <v>42382</v>
      </c>
      <c r="AC8375" t="s">
        <v>53</v>
      </c>
      <c r="AD8375" t="s">
        <v>53</v>
      </c>
      <c r="AK8375">
        <v>0</v>
      </c>
      <c r="AU8375" s="6">
        <v>42047</v>
      </c>
      <c r="AV8375" s="6">
        <v>42047</v>
      </c>
      <c r="AW8375" t="s">
        <v>54</v>
      </c>
      <c r="AX8375" t="str">
        <f t="shared" si="678"/>
        <v>FOR</v>
      </c>
      <c r="AY8375" t="s">
        <v>55</v>
      </c>
    </row>
    <row r="8376" spans="1:51" hidden="1">
      <c r="A8376">
        <v>104729</v>
      </c>
      <c r="B8376" t="s">
        <v>1367</v>
      </c>
      <c r="C8376" t="str">
        <f t="shared" si="681"/>
        <v>10692961005</v>
      </c>
      <c r="D8376" t="str">
        <f t="shared" si="681"/>
        <v>10692961005</v>
      </c>
      <c r="E8376" t="s">
        <v>52</v>
      </c>
      <c r="F8376">
        <v>2014</v>
      </c>
      <c r="G8376">
        <v>1272</v>
      </c>
      <c r="H8376" s="1">
        <v>41901</v>
      </c>
      <c r="I8376" s="1">
        <v>41913</v>
      </c>
      <c r="J8376" s="1">
        <v>41913</v>
      </c>
      <c r="K8376" s="1">
        <v>42003</v>
      </c>
      <c r="N8376" s="5"/>
      <c r="O8376">
        <v>185.44</v>
      </c>
      <c r="P8376">
        <v>44</v>
      </c>
      <c r="Q8376" s="2">
        <v>8159.36</v>
      </c>
      <c r="R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 s="1">
        <v>42382</v>
      </c>
      <c r="AC8376" t="s">
        <v>53</v>
      </c>
      <c r="AD8376" t="s">
        <v>53</v>
      </c>
      <c r="AK8376">
        <v>0</v>
      </c>
      <c r="AU8376" s="6">
        <v>42047</v>
      </c>
      <c r="AV8376" s="6">
        <v>42047</v>
      </c>
      <c r="AW8376" t="s">
        <v>54</v>
      </c>
      <c r="AX8376" t="str">
        <f t="shared" si="678"/>
        <v>FOR</v>
      </c>
      <c r="AY8376" t="s">
        <v>55</v>
      </c>
    </row>
    <row r="8377" spans="1:51">
      <c r="A8377">
        <v>104729</v>
      </c>
      <c r="B8377" t="s">
        <v>1367</v>
      </c>
      <c r="C8377" t="str">
        <f t="shared" si="681"/>
        <v>10692961005</v>
      </c>
      <c r="D8377" t="str">
        <f t="shared" si="681"/>
        <v>10692961005</v>
      </c>
      <c r="E8377" t="s">
        <v>52</v>
      </c>
      <c r="F8377">
        <v>2015</v>
      </c>
      <c r="G8377">
        <v>284</v>
      </c>
      <c r="H8377" s="1">
        <v>42061</v>
      </c>
      <c r="I8377" s="1">
        <v>42073</v>
      </c>
      <c r="J8377" s="1">
        <v>42073</v>
      </c>
      <c r="K8377" s="1">
        <v>42133</v>
      </c>
      <c r="L8377" s="7">
        <v>1045.5</v>
      </c>
      <c r="M8377" s="5">
        <v>222</v>
      </c>
      <c r="N8377" s="7">
        <v>232101</v>
      </c>
      <c r="O8377" s="2">
        <v>1045.5</v>
      </c>
      <c r="P8377">
        <v>222</v>
      </c>
      <c r="Q8377" s="2">
        <v>232101</v>
      </c>
      <c r="R8377">
        <v>230.01</v>
      </c>
      <c r="V8377">
        <v>0</v>
      </c>
      <c r="W8377">
        <v>0</v>
      </c>
      <c r="X8377">
        <v>0</v>
      </c>
      <c r="Y8377" s="2">
        <v>1275.51</v>
      </c>
      <c r="Z8377" s="2">
        <v>1275.51</v>
      </c>
      <c r="AA8377" s="2">
        <v>1275.51</v>
      </c>
      <c r="AB8377" s="1">
        <v>42382</v>
      </c>
      <c r="AC8377" t="s">
        <v>53</v>
      </c>
      <c r="AD8377" t="s">
        <v>53</v>
      </c>
      <c r="AK8377">
        <v>230.01</v>
      </c>
      <c r="AU8377" s="6">
        <v>42355</v>
      </c>
      <c r="AV8377" s="6">
        <v>42355</v>
      </c>
      <c r="AW8377" t="s">
        <v>54</v>
      </c>
      <c r="AX8377" t="str">
        <f t="shared" si="678"/>
        <v>FOR</v>
      </c>
      <c r="AY8377" t="s">
        <v>55</v>
      </c>
    </row>
    <row r="8378" spans="1:51" hidden="1">
      <c r="A8378">
        <v>106193</v>
      </c>
      <c r="B8378" t="s">
        <v>1368</v>
      </c>
      <c r="C8378" t="str">
        <f>"12086630154"</f>
        <v>12086630154</v>
      </c>
      <c r="D8378" t="str">
        <f>"12086630154"</f>
        <v>12086630154</v>
      </c>
      <c r="E8378" t="s">
        <v>52</v>
      </c>
      <c r="F8378">
        <v>2014</v>
      </c>
      <c r="G8378">
        <v>96676</v>
      </c>
      <c r="H8378" s="1">
        <v>41985</v>
      </c>
      <c r="I8378" s="1">
        <v>42004</v>
      </c>
      <c r="J8378" s="1">
        <v>42004</v>
      </c>
      <c r="K8378" s="1">
        <v>42064</v>
      </c>
      <c r="N8378" s="5"/>
      <c r="O8378">
        <v>54.9</v>
      </c>
      <c r="P8378">
        <v>-19</v>
      </c>
      <c r="Q8378" s="2">
        <v>-1043.0999999999999</v>
      </c>
      <c r="R8378">
        <v>0</v>
      </c>
      <c r="V8378">
        <v>0</v>
      </c>
      <c r="W8378">
        <v>0</v>
      </c>
      <c r="X8378">
        <v>0</v>
      </c>
      <c r="Y8378">
        <v>54.9</v>
      </c>
      <c r="Z8378">
        <v>0</v>
      </c>
      <c r="AA8378">
        <v>0</v>
      </c>
      <c r="AB8378" s="1">
        <v>42382</v>
      </c>
      <c r="AC8378" t="s">
        <v>53</v>
      </c>
      <c r="AD8378" t="s">
        <v>53</v>
      </c>
      <c r="AK8378">
        <v>0</v>
      </c>
      <c r="AU8378" s="6">
        <v>42045</v>
      </c>
      <c r="AV8378" s="6">
        <v>42045</v>
      </c>
      <c r="AW8378" t="s">
        <v>54</v>
      </c>
      <c r="AX8378" t="str">
        <f t="shared" si="678"/>
        <v>FOR</v>
      </c>
      <c r="AY8378" t="s">
        <v>55</v>
      </c>
    </row>
    <row r="8379" spans="1:51" hidden="1">
      <c r="A8379">
        <v>106197</v>
      </c>
      <c r="B8379" t="s">
        <v>1369</v>
      </c>
      <c r="C8379" t="str">
        <f>"01536610627"</f>
        <v>01536610627</v>
      </c>
      <c r="D8379" t="str">
        <f>"01536610627"</f>
        <v>01536610627</v>
      </c>
      <c r="E8379" t="s">
        <v>52</v>
      </c>
      <c r="F8379">
        <v>2015</v>
      </c>
      <c r="G8379" t="s">
        <v>631</v>
      </c>
      <c r="H8379" s="1">
        <v>42060</v>
      </c>
      <c r="I8379" s="1">
        <v>42066</v>
      </c>
      <c r="J8379" s="1">
        <v>42066</v>
      </c>
      <c r="K8379" s="1">
        <v>42126</v>
      </c>
      <c r="N8379" s="5"/>
      <c r="O8379">
        <v>78.94</v>
      </c>
      <c r="P8379">
        <v>-3</v>
      </c>
      <c r="Q8379">
        <v>-236.82</v>
      </c>
      <c r="R8379">
        <v>17.37</v>
      </c>
      <c r="V8379">
        <v>0</v>
      </c>
      <c r="W8379">
        <v>0</v>
      </c>
      <c r="X8379">
        <v>0</v>
      </c>
      <c r="Y8379">
        <v>96.31</v>
      </c>
      <c r="Z8379">
        <v>96.31</v>
      </c>
      <c r="AA8379">
        <v>96.31</v>
      </c>
      <c r="AB8379" s="1">
        <v>42382</v>
      </c>
      <c r="AC8379" t="s">
        <v>53</v>
      </c>
      <c r="AD8379" t="s">
        <v>53</v>
      </c>
      <c r="AK8379">
        <v>17.37</v>
      </c>
      <c r="AU8379" s="6">
        <v>42123</v>
      </c>
      <c r="AV8379" s="6">
        <v>42123</v>
      </c>
      <c r="AW8379" t="s">
        <v>54</v>
      </c>
      <c r="AX8379" t="str">
        <f t="shared" si="678"/>
        <v>FOR</v>
      </c>
      <c r="AY8379" t="s">
        <v>55</v>
      </c>
    </row>
    <row r="8380" spans="1:51" hidden="1">
      <c r="A8380">
        <v>106197</v>
      </c>
      <c r="B8380" t="s">
        <v>1369</v>
      </c>
      <c r="C8380" t="str">
        <f>"01536610627"</f>
        <v>01536610627</v>
      </c>
      <c r="D8380" t="str">
        <f>"01536610627"</f>
        <v>01536610627</v>
      </c>
      <c r="E8380" t="s">
        <v>52</v>
      </c>
      <c r="F8380">
        <v>2015</v>
      </c>
      <c r="G8380" t="s">
        <v>632</v>
      </c>
      <c r="H8380" s="1">
        <v>42060</v>
      </c>
      <c r="I8380" s="1">
        <v>42066</v>
      </c>
      <c r="J8380" s="1">
        <v>42066</v>
      </c>
      <c r="K8380" s="1">
        <v>42126</v>
      </c>
      <c r="N8380" s="5"/>
      <c r="O8380">
        <v>153.4</v>
      </c>
      <c r="P8380">
        <v>-3</v>
      </c>
      <c r="Q8380">
        <v>-460.2</v>
      </c>
      <c r="R8380">
        <v>33.75</v>
      </c>
      <c r="V8380">
        <v>0</v>
      </c>
      <c r="W8380">
        <v>0</v>
      </c>
      <c r="X8380">
        <v>0</v>
      </c>
      <c r="Y8380">
        <v>187.15</v>
      </c>
      <c r="Z8380">
        <v>187.15</v>
      </c>
      <c r="AA8380">
        <v>187.15</v>
      </c>
      <c r="AB8380" s="1">
        <v>42382</v>
      </c>
      <c r="AC8380" t="s">
        <v>53</v>
      </c>
      <c r="AD8380" t="s">
        <v>53</v>
      </c>
      <c r="AK8380">
        <v>33.75</v>
      </c>
      <c r="AU8380" s="6">
        <v>42123</v>
      </c>
      <c r="AV8380" s="6">
        <v>42123</v>
      </c>
      <c r="AW8380" t="s">
        <v>54</v>
      </c>
      <c r="AX8380" t="str">
        <f t="shared" si="678"/>
        <v>FOR</v>
      </c>
      <c r="AY8380" t="s">
        <v>55</v>
      </c>
    </row>
    <row r="8381" spans="1:51" hidden="1">
      <c r="A8381">
        <v>106229</v>
      </c>
      <c r="B8381" t="s">
        <v>1370</v>
      </c>
      <c r="C8381" t="str">
        <f t="shared" ref="C8381:D8385" si="682">"02344710484"</f>
        <v>02344710484</v>
      </c>
      <c r="D8381" t="str">
        <f t="shared" si="682"/>
        <v>02344710484</v>
      </c>
      <c r="E8381" t="s">
        <v>52</v>
      </c>
      <c r="F8381">
        <v>2014</v>
      </c>
      <c r="G8381">
        <v>651076</v>
      </c>
      <c r="H8381" s="1">
        <v>41810</v>
      </c>
      <c r="I8381" s="1">
        <v>41821</v>
      </c>
      <c r="J8381" s="1">
        <v>41821</v>
      </c>
      <c r="K8381" s="1">
        <v>41911</v>
      </c>
      <c r="N8381" s="5"/>
      <c r="O8381">
        <v>507.1</v>
      </c>
      <c r="P8381">
        <v>248</v>
      </c>
      <c r="Q8381" s="2">
        <v>125760.8</v>
      </c>
      <c r="R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 s="1">
        <v>42382</v>
      </c>
      <c r="AC8381" t="s">
        <v>53</v>
      </c>
      <c r="AD8381" t="s">
        <v>53</v>
      </c>
      <c r="AK8381">
        <v>0</v>
      </c>
      <c r="AU8381" s="6">
        <v>42159</v>
      </c>
      <c r="AV8381" s="6">
        <v>42159</v>
      </c>
      <c r="AW8381" t="s">
        <v>54</v>
      </c>
      <c r="AX8381" t="str">
        <f t="shared" si="678"/>
        <v>FOR</v>
      </c>
      <c r="AY8381" t="s">
        <v>55</v>
      </c>
    </row>
    <row r="8382" spans="1:51" hidden="1">
      <c r="A8382">
        <v>106229</v>
      </c>
      <c r="B8382" t="s">
        <v>1370</v>
      </c>
      <c r="C8382" t="str">
        <f t="shared" si="682"/>
        <v>02344710484</v>
      </c>
      <c r="D8382" t="str">
        <f t="shared" si="682"/>
        <v>02344710484</v>
      </c>
      <c r="E8382" t="s">
        <v>52</v>
      </c>
      <c r="F8382">
        <v>2014</v>
      </c>
      <c r="G8382">
        <v>654515</v>
      </c>
      <c r="H8382" s="1">
        <v>41820</v>
      </c>
      <c r="I8382" s="1">
        <v>41830</v>
      </c>
      <c r="J8382" s="1">
        <v>41830</v>
      </c>
      <c r="K8382" s="1">
        <v>41920</v>
      </c>
      <c r="N8382" s="5"/>
      <c r="O8382" s="2">
        <v>1521.3</v>
      </c>
      <c r="P8382">
        <v>239</v>
      </c>
      <c r="Q8382" s="2">
        <v>363590.7</v>
      </c>
      <c r="R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 s="1">
        <v>42382</v>
      </c>
      <c r="AC8382" t="s">
        <v>53</v>
      </c>
      <c r="AD8382" t="s">
        <v>53</v>
      </c>
      <c r="AK8382">
        <v>0</v>
      </c>
      <c r="AU8382" s="6">
        <v>42159</v>
      </c>
      <c r="AV8382" s="6">
        <v>42159</v>
      </c>
      <c r="AW8382" t="s">
        <v>54</v>
      </c>
      <c r="AX8382" t="str">
        <f t="shared" si="678"/>
        <v>FOR</v>
      </c>
      <c r="AY8382" t="s">
        <v>55</v>
      </c>
    </row>
    <row r="8383" spans="1:51">
      <c r="A8383">
        <v>106229</v>
      </c>
      <c r="B8383" t="s">
        <v>1370</v>
      </c>
      <c r="C8383" t="str">
        <f t="shared" si="682"/>
        <v>02344710484</v>
      </c>
      <c r="D8383" t="str">
        <f t="shared" si="682"/>
        <v>02344710484</v>
      </c>
      <c r="E8383" t="s">
        <v>52</v>
      </c>
      <c r="F8383">
        <v>2014</v>
      </c>
      <c r="G8383">
        <v>680069</v>
      </c>
      <c r="H8383" s="1">
        <v>41935</v>
      </c>
      <c r="I8383" s="1">
        <v>41946</v>
      </c>
      <c r="J8383" s="1">
        <v>41946</v>
      </c>
      <c r="K8383" s="1">
        <v>42006</v>
      </c>
      <c r="L8383" s="7">
        <v>2028.4</v>
      </c>
      <c r="M8383" s="5">
        <v>277</v>
      </c>
      <c r="N8383" s="7">
        <v>561866.80000000005</v>
      </c>
      <c r="O8383" s="2">
        <v>2028.4</v>
      </c>
      <c r="P8383">
        <v>277</v>
      </c>
      <c r="Q8383" s="2">
        <v>561866.80000000005</v>
      </c>
      <c r="R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 s="1">
        <v>42382</v>
      </c>
      <c r="AC8383" t="s">
        <v>53</v>
      </c>
      <c r="AD8383" t="s">
        <v>53</v>
      </c>
      <c r="AK8383">
        <v>0</v>
      </c>
      <c r="AU8383" s="6">
        <v>42283</v>
      </c>
      <c r="AV8383" s="6">
        <v>42283</v>
      </c>
      <c r="AW8383" t="s">
        <v>54</v>
      </c>
      <c r="AX8383" t="str">
        <f t="shared" si="678"/>
        <v>FOR</v>
      </c>
      <c r="AY8383" t="s">
        <v>55</v>
      </c>
    </row>
    <row r="8384" spans="1:51">
      <c r="A8384">
        <v>106229</v>
      </c>
      <c r="B8384" t="s">
        <v>1370</v>
      </c>
      <c r="C8384" t="str">
        <f t="shared" si="682"/>
        <v>02344710484</v>
      </c>
      <c r="D8384" t="str">
        <f t="shared" si="682"/>
        <v>02344710484</v>
      </c>
      <c r="E8384" t="s">
        <v>52</v>
      </c>
      <c r="F8384">
        <v>2014</v>
      </c>
      <c r="G8384">
        <v>685537</v>
      </c>
      <c r="H8384" s="1">
        <v>41957</v>
      </c>
      <c r="I8384" s="1">
        <v>41967</v>
      </c>
      <c r="J8384" s="1">
        <v>41967</v>
      </c>
      <c r="K8384" s="1">
        <v>42027</v>
      </c>
      <c r="L8384" s="7">
        <v>2535.5</v>
      </c>
      <c r="M8384" s="5">
        <v>273</v>
      </c>
      <c r="N8384" s="7">
        <v>692191.5</v>
      </c>
      <c r="O8384" s="2">
        <v>2535.5</v>
      </c>
      <c r="P8384">
        <v>273</v>
      </c>
      <c r="Q8384" s="2">
        <v>692191.5</v>
      </c>
      <c r="R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 s="1">
        <v>42382</v>
      </c>
      <c r="AC8384" t="s">
        <v>53</v>
      </c>
      <c r="AD8384" t="s">
        <v>53</v>
      </c>
      <c r="AK8384">
        <v>0</v>
      </c>
      <c r="AU8384" s="6">
        <v>42300</v>
      </c>
      <c r="AV8384" s="6">
        <v>42300</v>
      </c>
      <c r="AW8384" t="s">
        <v>54</v>
      </c>
      <c r="AX8384" t="str">
        <f t="shared" si="678"/>
        <v>FOR</v>
      </c>
      <c r="AY8384" t="s">
        <v>55</v>
      </c>
    </row>
    <row r="8385" spans="1:51">
      <c r="A8385">
        <v>106229</v>
      </c>
      <c r="B8385" t="s">
        <v>1370</v>
      </c>
      <c r="C8385" t="str">
        <f t="shared" si="682"/>
        <v>02344710484</v>
      </c>
      <c r="D8385" t="str">
        <f t="shared" si="682"/>
        <v>02344710484</v>
      </c>
      <c r="E8385" t="s">
        <v>52</v>
      </c>
      <c r="F8385">
        <v>2014</v>
      </c>
      <c r="G8385">
        <v>693088</v>
      </c>
      <c r="H8385" s="1">
        <v>41989</v>
      </c>
      <c r="I8385" s="1">
        <v>42002</v>
      </c>
      <c r="J8385" s="1">
        <v>42002</v>
      </c>
      <c r="K8385" s="1">
        <v>42062</v>
      </c>
      <c r="L8385" s="7">
        <v>2028.4</v>
      </c>
      <c r="M8385" s="5">
        <v>279</v>
      </c>
      <c r="N8385" s="7">
        <v>565923.6</v>
      </c>
      <c r="O8385" s="2">
        <v>2028.4</v>
      </c>
      <c r="P8385">
        <v>279</v>
      </c>
      <c r="Q8385" s="2">
        <v>565923.6</v>
      </c>
      <c r="R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 s="1">
        <v>42382</v>
      </c>
      <c r="AC8385" t="s">
        <v>53</v>
      </c>
      <c r="AD8385" t="s">
        <v>53</v>
      </c>
      <c r="AK8385">
        <v>0</v>
      </c>
      <c r="AU8385" s="6">
        <v>42341</v>
      </c>
      <c r="AV8385" s="6">
        <v>42341</v>
      </c>
      <c r="AW8385" t="s">
        <v>54</v>
      </c>
      <c r="AX8385" t="str">
        <f t="shared" si="678"/>
        <v>FOR</v>
      </c>
      <c r="AY8385" t="s">
        <v>55</v>
      </c>
    </row>
    <row r="8386" spans="1:51" hidden="1">
      <c r="A8386">
        <v>106233</v>
      </c>
      <c r="B8386" t="s">
        <v>1371</v>
      </c>
      <c r="C8386" t="str">
        <f t="shared" ref="C8386:D8391" si="683">"04022550158"</f>
        <v>04022550158</v>
      </c>
      <c r="D8386" t="str">
        <f t="shared" si="683"/>
        <v>04022550158</v>
      </c>
      <c r="E8386" t="s">
        <v>52</v>
      </c>
      <c r="F8386">
        <v>2014</v>
      </c>
      <c r="G8386">
        <v>6217</v>
      </c>
      <c r="H8386" s="1">
        <v>41838</v>
      </c>
      <c r="I8386" s="1">
        <v>41897</v>
      </c>
      <c r="J8386" s="1">
        <v>41897</v>
      </c>
      <c r="K8386" s="1">
        <v>41987</v>
      </c>
      <c r="N8386" s="5"/>
      <c r="O8386">
        <v>658.8</v>
      </c>
      <c r="P8386">
        <v>31</v>
      </c>
      <c r="Q8386" s="2">
        <v>20422.8</v>
      </c>
      <c r="R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 s="1">
        <v>42382</v>
      </c>
      <c r="AC8386" t="s">
        <v>53</v>
      </c>
      <c r="AD8386" t="s">
        <v>53</v>
      </c>
      <c r="AK8386">
        <v>0</v>
      </c>
      <c r="AU8386" s="6">
        <v>42018</v>
      </c>
      <c r="AV8386" s="6">
        <v>42018</v>
      </c>
      <c r="AW8386" t="s">
        <v>54</v>
      </c>
      <c r="AX8386" t="str">
        <f t="shared" si="678"/>
        <v>FOR</v>
      </c>
      <c r="AY8386" t="s">
        <v>55</v>
      </c>
    </row>
    <row r="8387" spans="1:51" hidden="1">
      <c r="A8387">
        <v>106233</v>
      </c>
      <c r="B8387" t="s">
        <v>1371</v>
      </c>
      <c r="C8387" t="str">
        <f t="shared" si="683"/>
        <v>04022550158</v>
      </c>
      <c r="D8387" t="str">
        <f t="shared" si="683"/>
        <v>04022550158</v>
      </c>
      <c r="E8387" t="s">
        <v>52</v>
      </c>
      <c r="F8387">
        <v>2014</v>
      </c>
      <c r="G8387">
        <v>6937</v>
      </c>
      <c r="H8387" s="1">
        <v>41872</v>
      </c>
      <c r="I8387" s="1">
        <v>41899</v>
      </c>
      <c r="J8387" s="1">
        <v>41899</v>
      </c>
      <c r="K8387" s="1">
        <v>41989</v>
      </c>
      <c r="N8387" s="5"/>
      <c r="O8387">
        <v>639.77</v>
      </c>
      <c r="P8387">
        <v>29</v>
      </c>
      <c r="Q8387" s="2">
        <v>18553.330000000002</v>
      </c>
      <c r="R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 s="1">
        <v>42382</v>
      </c>
      <c r="AC8387" t="s">
        <v>53</v>
      </c>
      <c r="AD8387" t="s">
        <v>53</v>
      </c>
      <c r="AK8387">
        <v>0</v>
      </c>
      <c r="AU8387" s="6">
        <v>42018</v>
      </c>
      <c r="AV8387" s="6">
        <v>42018</v>
      </c>
      <c r="AW8387" t="s">
        <v>54</v>
      </c>
      <c r="AX8387" t="str">
        <f t="shared" ref="AX8387:AX8450" si="684">"FOR"</f>
        <v>FOR</v>
      </c>
      <c r="AY8387" t="s">
        <v>55</v>
      </c>
    </row>
    <row r="8388" spans="1:51">
      <c r="A8388">
        <v>106233</v>
      </c>
      <c r="B8388" t="s">
        <v>1371</v>
      </c>
      <c r="C8388" t="str">
        <f t="shared" si="683"/>
        <v>04022550158</v>
      </c>
      <c r="D8388" t="str">
        <f t="shared" si="683"/>
        <v>04022550158</v>
      </c>
      <c r="E8388" t="s">
        <v>52</v>
      </c>
      <c r="F8388">
        <v>2015</v>
      </c>
      <c r="G8388">
        <v>36</v>
      </c>
      <c r="H8388" s="1">
        <v>42144</v>
      </c>
      <c r="I8388" s="1">
        <v>42171</v>
      </c>
      <c r="J8388" s="1">
        <v>42171</v>
      </c>
      <c r="K8388" s="1">
        <v>42231</v>
      </c>
      <c r="L8388" s="7">
        <v>1048.8</v>
      </c>
      <c r="M8388" s="5">
        <v>51</v>
      </c>
      <c r="N8388" s="7">
        <v>53488.800000000003</v>
      </c>
      <c r="O8388" s="2">
        <v>1048.8</v>
      </c>
      <c r="P8388">
        <v>51</v>
      </c>
      <c r="Q8388" s="2">
        <v>53488.800000000003</v>
      </c>
      <c r="R8388">
        <v>0</v>
      </c>
      <c r="V8388">
        <v>0</v>
      </c>
      <c r="W8388">
        <v>0</v>
      </c>
      <c r="X8388">
        <v>0</v>
      </c>
      <c r="Y8388" s="2">
        <v>1279.54</v>
      </c>
      <c r="Z8388" s="2">
        <v>1279.54</v>
      </c>
      <c r="AA8388" s="2">
        <v>1279.54</v>
      </c>
      <c r="AB8388" s="1">
        <v>42382</v>
      </c>
      <c r="AC8388" t="s">
        <v>53</v>
      </c>
      <c r="AD8388" t="s">
        <v>53</v>
      </c>
      <c r="AK8388">
        <v>0</v>
      </c>
      <c r="AU8388" s="6">
        <v>42282</v>
      </c>
      <c r="AV8388" s="6">
        <v>42282</v>
      </c>
      <c r="AW8388" t="s">
        <v>54</v>
      </c>
      <c r="AX8388" t="str">
        <f t="shared" si="684"/>
        <v>FOR</v>
      </c>
      <c r="AY8388" t="s">
        <v>55</v>
      </c>
    </row>
    <row r="8389" spans="1:51">
      <c r="A8389">
        <v>106233</v>
      </c>
      <c r="B8389" t="s">
        <v>1371</v>
      </c>
      <c r="C8389" t="str">
        <f t="shared" si="683"/>
        <v>04022550158</v>
      </c>
      <c r="D8389" t="str">
        <f t="shared" si="683"/>
        <v>04022550158</v>
      </c>
      <c r="E8389" t="s">
        <v>52</v>
      </c>
      <c r="F8389">
        <v>2015</v>
      </c>
      <c r="G8389">
        <v>78</v>
      </c>
      <c r="H8389" s="1">
        <v>42208</v>
      </c>
      <c r="I8389" s="1">
        <v>42268</v>
      </c>
      <c r="J8389" s="1">
        <v>42268</v>
      </c>
      <c r="K8389" s="1">
        <v>42328</v>
      </c>
      <c r="L8389" s="7">
        <v>540</v>
      </c>
      <c r="M8389" s="5">
        <v>-46</v>
      </c>
      <c r="N8389" s="7">
        <v>-24840</v>
      </c>
      <c r="O8389">
        <v>540</v>
      </c>
      <c r="P8389">
        <v>-46</v>
      </c>
      <c r="Q8389" s="2">
        <v>-24840</v>
      </c>
      <c r="R8389">
        <v>0</v>
      </c>
      <c r="V8389">
        <v>0</v>
      </c>
      <c r="W8389">
        <v>0</v>
      </c>
      <c r="X8389">
        <v>0</v>
      </c>
      <c r="Y8389">
        <v>658.8</v>
      </c>
      <c r="Z8389">
        <v>658.8</v>
      </c>
      <c r="AA8389">
        <v>658.8</v>
      </c>
      <c r="AB8389" s="1">
        <v>42382</v>
      </c>
      <c r="AC8389" t="s">
        <v>53</v>
      </c>
      <c r="AD8389" t="s">
        <v>53</v>
      </c>
      <c r="AK8389">
        <v>0</v>
      </c>
      <c r="AU8389" s="6">
        <v>42282</v>
      </c>
      <c r="AV8389" s="6">
        <v>42282</v>
      </c>
      <c r="AW8389" t="s">
        <v>54</v>
      </c>
      <c r="AX8389" t="str">
        <f t="shared" si="684"/>
        <v>FOR</v>
      </c>
      <c r="AY8389" t="s">
        <v>55</v>
      </c>
    </row>
    <row r="8390" spans="1:51">
      <c r="A8390">
        <v>106233</v>
      </c>
      <c r="B8390" t="s">
        <v>1371</v>
      </c>
      <c r="C8390" t="str">
        <f t="shared" si="683"/>
        <v>04022550158</v>
      </c>
      <c r="D8390" t="str">
        <f t="shared" si="683"/>
        <v>04022550158</v>
      </c>
      <c r="E8390" t="s">
        <v>52</v>
      </c>
      <c r="F8390">
        <v>2015</v>
      </c>
      <c r="G8390">
        <v>352</v>
      </c>
      <c r="H8390" s="1">
        <v>42024</v>
      </c>
      <c r="I8390" s="1">
        <v>42060</v>
      </c>
      <c r="J8390" s="1">
        <v>42060</v>
      </c>
      <c r="K8390" s="1">
        <v>42120</v>
      </c>
      <c r="L8390" s="7">
        <v>540</v>
      </c>
      <c r="M8390" s="5">
        <v>162</v>
      </c>
      <c r="N8390" s="7">
        <v>87480</v>
      </c>
      <c r="O8390">
        <v>540</v>
      </c>
      <c r="P8390">
        <v>162</v>
      </c>
      <c r="Q8390" s="2">
        <v>87480</v>
      </c>
      <c r="R8390">
        <v>0</v>
      </c>
      <c r="V8390">
        <v>0</v>
      </c>
      <c r="W8390">
        <v>0</v>
      </c>
      <c r="X8390">
        <v>0</v>
      </c>
      <c r="Y8390">
        <v>658.8</v>
      </c>
      <c r="Z8390">
        <v>658.8</v>
      </c>
      <c r="AA8390">
        <v>658.8</v>
      </c>
      <c r="AB8390" s="1">
        <v>42382</v>
      </c>
      <c r="AC8390" t="s">
        <v>53</v>
      </c>
      <c r="AD8390" t="s">
        <v>53</v>
      </c>
      <c r="AK8390">
        <v>0</v>
      </c>
      <c r="AU8390" s="6">
        <v>42282</v>
      </c>
      <c r="AV8390" s="6">
        <v>42282</v>
      </c>
      <c r="AW8390" t="s">
        <v>54</v>
      </c>
      <c r="AX8390" t="str">
        <f t="shared" si="684"/>
        <v>FOR</v>
      </c>
      <c r="AY8390" t="s">
        <v>55</v>
      </c>
    </row>
    <row r="8391" spans="1:51">
      <c r="A8391">
        <v>106233</v>
      </c>
      <c r="B8391" t="s">
        <v>1371</v>
      </c>
      <c r="C8391" t="str">
        <f t="shared" si="683"/>
        <v>04022550158</v>
      </c>
      <c r="D8391" t="str">
        <f t="shared" si="683"/>
        <v>04022550158</v>
      </c>
      <c r="E8391" t="s">
        <v>52</v>
      </c>
      <c r="F8391">
        <v>2015</v>
      </c>
      <c r="G8391">
        <v>586</v>
      </c>
      <c r="H8391" s="1">
        <v>42027</v>
      </c>
      <c r="I8391" s="1">
        <v>42055</v>
      </c>
      <c r="J8391" s="1">
        <v>42055</v>
      </c>
      <c r="K8391" s="1">
        <v>42115</v>
      </c>
      <c r="L8391" s="7">
        <v>524.4</v>
      </c>
      <c r="M8391" s="5">
        <v>167</v>
      </c>
      <c r="N8391" s="7">
        <v>87574.8</v>
      </c>
      <c r="O8391">
        <v>524.4</v>
      </c>
      <c r="P8391">
        <v>167</v>
      </c>
      <c r="Q8391" s="2">
        <v>87574.8</v>
      </c>
      <c r="R8391">
        <v>0</v>
      </c>
      <c r="V8391">
        <v>0</v>
      </c>
      <c r="W8391">
        <v>0</v>
      </c>
      <c r="X8391">
        <v>0</v>
      </c>
      <c r="Y8391">
        <v>639.77</v>
      </c>
      <c r="Z8391">
        <v>639.77</v>
      </c>
      <c r="AA8391">
        <v>639.77</v>
      </c>
      <c r="AB8391" s="1">
        <v>42382</v>
      </c>
      <c r="AC8391" t="s">
        <v>53</v>
      </c>
      <c r="AD8391" t="s">
        <v>53</v>
      </c>
      <c r="AK8391">
        <v>0</v>
      </c>
      <c r="AU8391" s="6">
        <v>42282</v>
      </c>
      <c r="AV8391" s="6">
        <v>42282</v>
      </c>
      <c r="AW8391" t="s">
        <v>54</v>
      </c>
      <c r="AX8391" t="str">
        <f t="shared" si="684"/>
        <v>FOR</v>
      </c>
      <c r="AY8391" t="s">
        <v>55</v>
      </c>
    </row>
    <row r="8392" spans="1:51" hidden="1">
      <c r="A8392">
        <v>106242</v>
      </c>
      <c r="B8392" t="s">
        <v>1372</v>
      </c>
      <c r="C8392" t="str">
        <f t="shared" ref="C8392:C8410" si="685">"02973040963"</f>
        <v>02973040963</v>
      </c>
      <c r="D8392" t="str">
        <f t="shared" ref="D8392:D8410" si="686">"01788080156"</f>
        <v>01788080156</v>
      </c>
      <c r="E8392" t="s">
        <v>52</v>
      </c>
      <c r="F8392">
        <v>2014</v>
      </c>
      <c r="G8392">
        <v>10219414</v>
      </c>
      <c r="H8392" s="1">
        <v>41710</v>
      </c>
      <c r="I8392" s="1">
        <v>41850</v>
      </c>
      <c r="J8392" s="1">
        <v>41850</v>
      </c>
      <c r="K8392" s="1">
        <v>41940</v>
      </c>
      <c r="N8392" s="5"/>
      <c r="O8392" s="2">
        <v>2739.5</v>
      </c>
      <c r="P8392">
        <v>78</v>
      </c>
      <c r="Q8392" s="2">
        <v>213681</v>
      </c>
      <c r="R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 s="1">
        <v>42382</v>
      </c>
      <c r="AC8392" t="s">
        <v>53</v>
      </c>
      <c r="AD8392" t="s">
        <v>53</v>
      </c>
      <c r="AK8392">
        <v>0</v>
      </c>
      <c r="AU8392" s="6">
        <v>42018</v>
      </c>
      <c r="AV8392" s="6">
        <v>42018</v>
      </c>
      <c r="AW8392" t="s">
        <v>54</v>
      </c>
      <c r="AX8392" t="str">
        <f t="shared" si="684"/>
        <v>FOR</v>
      </c>
      <c r="AY8392" t="s">
        <v>55</v>
      </c>
    </row>
    <row r="8393" spans="1:51" hidden="1">
      <c r="A8393">
        <v>106242</v>
      </c>
      <c r="B8393" t="s">
        <v>1372</v>
      </c>
      <c r="C8393" t="str">
        <f t="shared" si="685"/>
        <v>02973040963</v>
      </c>
      <c r="D8393" t="str">
        <f t="shared" si="686"/>
        <v>01788080156</v>
      </c>
      <c r="E8393" t="s">
        <v>52</v>
      </c>
      <c r="F8393">
        <v>2014</v>
      </c>
      <c r="G8393">
        <v>10233545</v>
      </c>
      <c r="H8393" s="1">
        <v>41810</v>
      </c>
      <c r="I8393" s="1">
        <v>41850</v>
      </c>
      <c r="J8393" s="1">
        <v>41850</v>
      </c>
      <c r="K8393" s="1">
        <v>41940</v>
      </c>
      <c r="N8393" s="5"/>
      <c r="O8393" s="2">
        <v>2739.5</v>
      </c>
      <c r="P8393">
        <v>78</v>
      </c>
      <c r="Q8393" s="2">
        <v>213681</v>
      </c>
      <c r="R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 s="1">
        <v>42382</v>
      </c>
      <c r="AC8393" t="s">
        <v>53</v>
      </c>
      <c r="AD8393" t="s">
        <v>53</v>
      </c>
      <c r="AK8393">
        <v>0</v>
      </c>
      <c r="AU8393" s="6">
        <v>42018</v>
      </c>
      <c r="AV8393" s="6">
        <v>42018</v>
      </c>
      <c r="AW8393" t="s">
        <v>54</v>
      </c>
      <c r="AX8393" t="str">
        <f t="shared" si="684"/>
        <v>FOR</v>
      </c>
      <c r="AY8393" t="s">
        <v>55</v>
      </c>
    </row>
    <row r="8394" spans="1:51" hidden="1">
      <c r="A8394">
        <v>106242</v>
      </c>
      <c r="B8394" t="s">
        <v>1372</v>
      </c>
      <c r="C8394" t="str">
        <f t="shared" si="685"/>
        <v>02973040963</v>
      </c>
      <c r="D8394" t="str">
        <f t="shared" si="686"/>
        <v>01788080156</v>
      </c>
      <c r="E8394" t="s">
        <v>52</v>
      </c>
      <c r="F8394">
        <v>2014</v>
      </c>
      <c r="G8394">
        <v>10246951</v>
      </c>
      <c r="H8394" s="1">
        <v>41911</v>
      </c>
      <c r="I8394" s="1">
        <v>41920</v>
      </c>
      <c r="J8394" s="1">
        <v>41920</v>
      </c>
      <c r="K8394" s="1">
        <v>42010</v>
      </c>
      <c r="N8394" s="5"/>
      <c r="O8394">
        <v>978.88</v>
      </c>
      <c r="P8394">
        <v>8</v>
      </c>
      <c r="Q8394" s="2">
        <v>7831.04</v>
      </c>
      <c r="R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 s="1">
        <v>42382</v>
      </c>
      <c r="AC8394" t="s">
        <v>53</v>
      </c>
      <c r="AD8394" t="s">
        <v>53</v>
      </c>
      <c r="AK8394">
        <v>0</v>
      </c>
      <c r="AU8394" s="6">
        <v>42018</v>
      </c>
      <c r="AV8394" s="6">
        <v>42018</v>
      </c>
      <c r="AW8394" t="s">
        <v>54</v>
      </c>
      <c r="AX8394" t="str">
        <f t="shared" si="684"/>
        <v>FOR</v>
      </c>
      <c r="AY8394" t="s">
        <v>55</v>
      </c>
    </row>
    <row r="8395" spans="1:51" hidden="1">
      <c r="A8395">
        <v>106242</v>
      </c>
      <c r="B8395" t="s">
        <v>1372</v>
      </c>
      <c r="C8395" t="str">
        <f t="shared" si="685"/>
        <v>02973040963</v>
      </c>
      <c r="D8395" t="str">
        <f t="shared" si="686"/>
        <v>01788080156</v>
      </c>
      <c r="E8395" t="s">
        <v>52</v>
      </c>
      <c r="F8395">
        <v>2014</v>
      </c>
      <c r="G8395">
        <v>10246952</v>
      </c>
      <c r="H8395" s="1">
        <v>41911</v>
      </c>
      <c r="I8395" s="1">
        <v>41932</v>
      </c>
      <c r="J8395" s="1">
        <v>41932</v>
      </c>
      <c r="K8395" s="1">
        <v>41992</v>
      </c>
      <c r="N8395" s="5"/>
      <c r="O8395">
        <v>244.72</v>
      </c>
      <c r="P8395">
        <v>26</v>
      </c>
      <c r="Q8395" s="2">
        <v>6362.72</v>
      </c>
      <c r="R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 s="1">
        <v>42382</v>
      </c>
      <c r="AC8395" t="s">
        <v>53</v>
      </c>
      <c r="AD8395" t="s">
        <v>53</v>
      </c>
      <c r="AK8395">
        <v>0</v>
      </c>
      <c r="AU8395" s="6">
        <v>42018</v>
      </c>
      <c r="AV8395" s="6">
        <v>42018</v>
      </c>
      <c r="AW8395" t="s">
        <v>54</v>
      </c>
      <c r="AX8395" t="str">
        <f t="shared" si="684"/>
        <v>FOR</v>
      </c>
      <c r="AY8395" t="s">
        <v>55</v>
      </c>
    </row>
    <row r="8396" spans="1:51" hidden="1">
      <c r="A8396">
        <v>106242</v>
      </c>
      <c r="B8396" t="s">
        <v>1372</v>
      </c>
      <c r="C8396" t="str">
        <f t="shared" si="685"/>
        <v>02973040963</v>
      </c>
      <c r="D8396" t="str">
        <f t="shared" si="686"/>
        <v>01788080156</v>
      </c>
      <c r="E8396" t="s">
        <v>52</v>
      </c>
      <c r="F8396">
        <v>2014</v>
      </c>
      <c r="G8396">
        <v>10248493</v>
      </c>
      <c r="H8396" s="1">
        <v>41912</v>
      </c>
      <c r="I8396" s="1">
        <v>41932</v>
      </c>
      <c r="J8396" s="1">
        <v>41932</v>
      </c>
      <c r="K8396" s="1">
        <v>41992</v>
      </c>
      <c r="N8396" s="5"/>
      <c r="O8396" s="2">
        <v>2739.5</v>
      </c>
      <c r="P8396">
        <v>26</v>
      </c>
      <c r="Q8396" s="2">
        <v>71227</v>
      </c>
      <c r="R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 s="1">
        <v>42382</v>
      </c>
      <c r="AC8396" t="s">
        <v>53</v>
      </c>
      <c r="AD8396" t="s">
        <v>53</v>
      </c>
      <c r="AK8396">
        <v>0</v>
      </c>
      <c r="AU8396" s="6">
        <v>42018</v>
      </c>
      <c r="AV8396" s="6">
        <v>42018</v>
      </c>
      <c r="AW8396" t="s">
        <v>54</v>
      </c>
      <c r="AX8396" t="str">
        <f t="shared" si="684"/>
        <v>FOR</v>
      </c>
      <c r="AY8396" t="s">
        <v>55</v>
      </c>
    </row>
    <row r="8397" spans="1:51" hidden="1">
      <c r="A8397">
        <v>106242</v>
      </c>
      <c r="B8397" t="s">
        <v>1372</v>
      </c>
      <c r="C8397" t="str">
        <f t="shared" si="685"/>
        <v>02973040963</v>
      </c>
      <c r="D8397" t="str">
        <f t="shared" si="686"/>
        <v>01788080156</v>
      </c>
      <c r="E8397" t="s">
        <v>52</v>
      </c>
      <c r="F8397">
        <v>2014</v>
      </c>
      <c r="G8397">
        <v>10249436</v>
      </c>
      <c r="H8397" s="1">
        <v>41912</v>
      </c>
      <c r="I8397" s="1">
        <v>41932</v>
      </c>
      <c r="J8397" s="1">
        <v>41932</v>
      </c>
      <c r="K8397" s="1">
        <v>41992</v>
      </c>
      <c r="N8397" s="5"/>
      <c r="O8397" s="2">
        <v>1332.24</v>
      </c>
      <c r="P8397">
        <v>26</v>
      </c>
      <c r="Q8397" s="2">
        <v>34638.239999999998</v>
      </c>
      <c r="R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 s="1">
        <v>42382</v>
      </c>
      <c r="AC8397" t="s">
        <v>53</v>
      </c>
      <c r="AD8397" t="s">
        <v>53</v>
      </c>
      <c r="AK8397">
        <v>0</v>
      </c>
      <c r="AU8397" s="6">
        <v>42018</v>
      </c>
      <c r="AV8397" s="6">
        <v>42018</v>
      </c>
      <c r="AW8397" t="s">
        <v>54</v>
      </c>
      <c r="AX8397" t="str">
        <f t="shared" si="684"/>
        <v>FOR</v>
      </c>
      <c r="AY8397" t="s">
        <v>55</v>
      </c>
    </row>
    <row r="8398" spans="1:51" hidden="1">
      <c r="A8398">
        <v>106242</v>
      </c>
      <c r="B8398" t="s">
        <v>1372</v>
      </c>
      <c r="C8398" t="str">
        <f t="shared" si="685"/>
        <v>02973040963</v>
      </c>
      <c r="D8398" t="str">
        <f t="shared" si="686"/>
        <v>01788080156</v>
      </c>
      <c r="E8398" t="s">
        <v>52</v>
      </c>
      <c r="F8398">
        <v>2014</v>
      </c>
      <c r="G8398">
        <v>10259594</v>
      </c>
      <c r="H8398" s="1">
        <v>41983</v>
      </c>
      <c r="I8398" s="1">
        <v>42002</v>
      </c>
      <c r="J8398" s="1">
        <v>42002</v>
      </c>
      <c r="K8398" s="1">
        <v>42062</v>
      </c>
      <c r="N8398" s="5"/>
      <c r="O8398">
        <v>978.88</v>
      </c>
      <c r="P8398">
        <v>68</v>
      </c>
      <c r="Q8398" s="2">
        <v>66563.839999999997</v>
      </c>
      <c r="R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 s="1">
        <v>42382</v>
      </c>
      <c r="AC8398" t="s">
        <v>53</v>
      </c>
      <c r="AD8398" t="s">
        <v>53</v>
      </c>
      <c r="AK8398">
        <v>0</v>
      </c>
      <c r="AU8398" s="6">
        <v>42130</v>
      </c>
      <c r="AV8398" s="6">
        <v>42130</v>
      </c>
      <c r="AW8398" t="s">
        <v>54</v>
      </c>
      <c r="AX8398" t="str">
        <f t="shared" si="684"/>
        <v>FOR</v>
      </c>
      <c r="AY8398" t="s">
        <v>55</v>
      </c>
    </row>
    <row r="8399" spans="1:51" hidden="1">
      <c r="A8399">
        <v>106242</v>
      </c>
      <c r="B8399" t="s">
        <v>1372</v>
      </c>
      <c r="C8399" t="str">
        <f t="shared" si="685"/>
        <v>02973040963</v>
      </c>
      <c r="D8399" t="str">
        <f t="shared" si="686"/>
        <v>01788080156</v>
      </c>
      <c r="E8399" t="s">
        <v>52</v>
      </c>
      <c r="F8399">
        <v>2014</v>
      </c>
      <c r="G8399">
        <v>10259595</v>
      </c>
      <c r="H8399" s="1">
        <v>41983</v>
      </c>
      <c r="I8399" s="1">
        <v>42002</v>
      </c>
      <c r="J8399" s="1">
        <v>42002</v>
      </c>
      <c r="K8399" s="1">
        <v>42062</v>
      </c>
      <c r="N8399" s="5"/>
      <c r="O8399">
        <v>244.72</v>
      </c>
      <c r="P8399">
        <v>68</v>
      </c>
      <c r="Q8399" s="2">
        <v>16640.96</v>
      </c>
      <c r="R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 s="1">
        <v>42382</v>
      </c>
      <c r="AC8399" t="s">
        <v>53</v>
      </c>
      <c r="AD8399" t="s">
        <v>53</v>
      </c>
      <c r="AK8399">
        <v>0</v>
      </c>
      <c r="AU8399" s="6">
        <v>42130</v>
      </c>
      <c r="AV8399" s="6">
        <v>42130</v>
      </c>
      <c r="AW8399" t="s">
        <v>54</v>
      </c>
      <c r="AX8399" t="str">
        <f t="shared" si="684"/>
        <v>FOR</v>
      </c>
      <c r="AY8399" t="s">
        <v>55</v>
      </c>
    </row>
    <row r="8400" spans="1:51" hidden="1">
      <c r="A8400">
        <v>106242</v>
      </c>
      <c r="B8400" t="s">
        <v>1372</v>
      </c>
      <c r="C8400" t="str">
        <f t="shared" si="685"/>
        <v>02973040963</v>
      </c>
      <c r="D8400" t="str">
        <f t="shared" si="686"/>
        <v>01788080156</v>
      </c>
      <c r="E8400" t="s">
        <v>52</v>
      </c>
      <c r="F8400">
        <v>2014</v>
      </c>
      <c r="G8400">
        <v>10260271</v>
      </c>
      <c r="H8400" s="1">
        <v>41988</v>
      </c>
      <c r="I8400" s="1">
        <v>42004</v>
      </c>
      <c r="J8400" s="1">
        <v>42004</v>
      </c>
      <c r="K8400" s="1">
        <v>42064</v>
      </c>
      <c r="N8400" s="5"/>
      <c r="O8400" s="2">
        <v>2739.5</v>
      </c>
      <c r="P8400">
        <v>66</v>
      </c>
      <c r="Q8400" s="2">
        <v>180807</v>
      </c>
      <c r="R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 s="1">
        <v>42382</v>
      </c>
      <c r="AC8400" t="s">
        <v>53</v>
      </c>
      <c r="AD8400" t="s">
        <v>53</v>
      </c>
      <c r="AK8400">
        <v>0</v>
      </c>
      <c r="AU8400" s="6">
        <v>42130</v>
      </c>
      <c r="AV8400" s="6">
        <v>42130</v>
      </c>
      <c r="AW8400" t="s">
        <v>54</v>
      </c>
      <c r="AX8400" t="str">
        <f t="shared" si="684"/>
        <v>FOR</v>
      </c>
      <c r="AY8400" t="s">
        <v>55</v>
      </c>
    </row>
    <row r="8401" spans="1:51" hidden="1">
      <c r="A8401">
        <v>106242</v>
      </c>
      <c r="B8401" t="s">
        <v>1372</v>
      </c>
      <c r="C8401" t="str">
        <f t="shared" si="685"/>
        <v>02973040963</v>
      </c>
      <c r="D8401" t="str">
        <f t="shared" si="686"/>
        <v>01788080156</v>
      </c>
      <c r="E8401" t="s">
        <v>52</v>
      </c>
      <c r="F8401">
        <v>2014</v>
      </c>
      <c r="G8401">
        <v>10264239</v>
      </c>
      <c r="H8401" s="1">
        <v>42004</v>
      </c>
      <c r="I8401" s="1">
        <v>42024</v>
      </c>
      <c r="J8401" s="1">
        <v>42024</v>
      </c>
      <c r="K8401" s="1">
        <v>42084</v>
      </c>
      <c r="N8401" s="5"/>
      <c r="O8401" s="2">
        <v>1332.24</v>
      </c>
      <c r="P8401">
        <v>46</v>
      </c>
      <c r="Q8401" s="2">
        <v>61283.040000000001</v>
      </c>
      <c r="R8401">
        <v>0</v>
      </c>
      <c r="V8401">
        <v>0</v>
      </c>
      <c r="W8401">
        <v>0</v>
      </c>
      <c r="X8401">
        <v>0</v>
      </c>
      <c r="Y8401">
        <v>0</v>
      </c>
      <c r="Z8401" s="2">
        <v>1332.24</v>
      </c>
      <c r="AA8401">
        <v>0</v>
      </c>
      <c r="AB8401" s="1">
        <v>42382</v>
      </c>
      <c r="AC8401" t="s">
        <v>53</v>
      </c>
      <c r="AD8401" t="s">
        <v>53</v>
      </c>
      <c r="AK8401">
        <v>0</v>
      </c>
      <c r="AU8401" s="6">
        <v>42130</v>
      </c>
      <c r="AV8401" s="6">
        <v>42130</v>
      </c>
      <c r="AW8401" t="s">
        <v>54</v>
      </c>
      <c r="AX8401" t="str">
        <f t="shared" si="684"/>
        <v>FOR</v>
      </c>
      <c r="AY8401" t="s">
        <v>55</v>
      </c>
    </row>
    <row r="8402" spans="1:51">
      <c r="A8402">
        <v>106242</v>
      </c>
      <c r="B8402" t="s">
        <v>1372</v>
      </c>
      <c r="C8402" t="str">
        <f t="shared" si="685"/>
        <v>02973040963</v>
      </c>
      <c r="D8402" t="str">
        <f t="shared" si="686"/>
        <v>01788080156</v>
      </c>
      <c r="E8402" t="s">
        <v>52</v>
      </c>
      <c r="F8402">
        <v>2015</v>
      </c>
      <c r="G8402">
        <v>1010274860</v>
      </c>
      <c r="H8402" s="1">
        <v>42076</v>
      </c>
      <c r="I8402" s="1">
        <v>42089</v>
      </c>
      <c r="J8402" s="1">
        <v>42089</v>
      </c>
      <c r="K8402" s="1">
        <v>42149</v>
      </c>
      <c r="L8402" s="7">
        <v>802.36</v>
      </c>
      <c r="M8402" s="5">
        <v>129</v>
      </c>
      <c r="N8402" s="7">
        <v>103504.44</v>
      </c>
      <c r="O8402">
        <v>802.36</v>
      </c>
      <c r="P8402">
        <v>129</v>
      </c>
      <c r="Q8402" s="2">
        <v>103504.44</v>
      </c>
      <c r="R8402">
        <v>0</v>
      </c>
      <c r="V8402">
        <v>0</v>
      </c>
      <c r="W8402">
        <v>0</v>
      </c>
      <c r="X8402">
        <v>0</v>
      </c>
      <c r="Y8402">
        <v>978.88</v>
      </c>
      <c r="Z8402">
        <v>978.88</v>
      </c>
      <c r="AA8402">
        <v>978.88</v>
      </c>
      <c r="AB8402" s="1">
        <v>42382</v>
      </c>
      <c r="AC8402" t="s">
        <v>53</v>
      </c>
      <c r="AD8402" t="s">
        <v>53</v>
      </c>
      <c r="AK8402">
        <v>0</v>
      </c>
      <c r="AU8402" s="6">
        <v>42278</v>
      </c>
      <c r="AV8402" s="6">
        <v>42278</v>
      </c>
      <c r="AW8402" t="s">
        <v>54</v>
      </c>
      <c r="AX8402" t="str">
        <f t="shared" si="684"/>
        <v>FOR</v>
      </c>
      <c r="AY8402" t="s">
        <v>55</v>
      </c>
    </row>
    <row r="8403" spans="1:51">
      <c r="A8403">
        <v>106242</v>
      </c>
      <c r="B8403" t="s">
        <v>1372</v>
      </c>
      <c r="C8403" t="str">
        <f t="shared" si="685"/>
        <v>02973040963</v>
      </c>
      <c r="D8403" t="str">
        <f t="shared" si="686"/>
        <v>01788080156</v>
      </c>
      <c r="E8403" t="s">
        <v>52</v>
      </c>
      <c r="F8403">
        <v>2015</v>
      </c>
      <c r="G8403">
        <v>1010274861</v>
      </c>
      <c r="H8403" s="1">
        <v>42076</v>
      </c>
      <c r="I8403" s="1">
        <v>42095</v>
      </c>
      <c r="J8403" s="1">
        <v>42095</v>
      </c>
      <c r="K8403" s="1">
        <v>42155</v>
      </c>
      <c r="L8403" s="7">
        <v>200.59</v>
      </c>
      <c r="M8403" s="5">
        <v>123</v>
      </c>
      <c r="N8403" s="7">
        <v>24672.57</v>
      </c>
      <c r="O8403">
        <v>200.59</v>
      </c>
      <c r="P8403">
        <v>123</v>
      </c>
      <c r="Q8403" s="2">
        <v>24672.57</v>
      </c>
      <c r="R8403">
        <v>0</v>
      </c>
      <c r="V8403">
        <v>0</v>
      </c>
      <c r="W8403">
        <v>0</v>
      </c>
      <c r="X8403">
        <v>0</v>
      </c>
      <c r="Y8403">
        <v>244.72</v>
      </c>
      <c r="Z8403">
        <v>244.72</v>
      </c>
      <c r="AA8403">
        <v>244.72</v>
      </c>
      <c r="AB8403" s="1">
        <v>42382</v>
      </c>
      <c r="AC8403" t="s">
        <v>53</v>
      </c>
      <c r="AD8403" t="s">
        <v>53</v>
      </c>
      <c r="AK8403">
        <v>0</v>
      </c>
      <c r="AU8403" s="6">
        <v>42278</v>
      </c>
      <c r="AV8403" s="6">
        <v>42278</v>
      </c>
      <c r="AW8403" t="s">
        <v>54</v>
      </c>
      <c r="AX8403" t="str">
        <f t="shared" si="684"/>
        <v>FOR</v>
      </c>
      <c r="AY8403" t="s">
        <v>55</v>
      </c>
    </row>
    <row r="8404" spans="1:51">
      <c r="A8404">
        <v>106242</v>
      </c>
      <c r="B8404" t="s">
        <v>1372</v>
      </c>
      <c r="C8404" t="str">
        <f t="shared" si="685"/>
        <v>02973040963</v>
      </c>
      <c r="D8404" t="str">
        <f t="shared" si="686"/>
        <v>01788080156</v>
      </c>
      <c r="E8404" t="s">
        <v>52</v>
      </c>
      <c r="F8404">
        <v>2015</v>
      </c>
      <c r="G8404">
        <v>1010276157</v>
      </c>
      <c r="H8404" s="1">
        <v>42079</v>
      </c>
      <c r="I8404" s="1">
        <v>42095</v>
      </c>
      <c r="J8404" s="1">
        <v>42095</v>
      </c>
      <c r="K8404" s="1">
        <v>42155</v>
      </c>
      <c r="L8404" s="7">
        <v>2245.4899999999998</v>
      </c>
      <c r="M8404" s="5">
        <v>123</v>
      </c>
      <c r="N8404" s="7">
        <v>276195.27</v>
      </c>
      <c r="O8404" s="2">
        <v>2245.4899999999998</v>
      </c>
      <c r="P8404">
        <v>123</v>
      </c>
      <c r="Q8404" s="2">
        <v>276195.27</v>
      </c>
      <c r="R8404">
        <v>0</v>
      </c>
      <c r="V8404">
        <v>0</v>
      </c>
      <c r="W8404">
        <v>0</v>
      </c>
      <c r="X8404">
        <v>0</v>
      </c>
      <c r="Y8404" s="2">
        <v>2739.5</v>
      </c>
      <c r="Z8404" s="2">
        <v>2739.5</v>
      </c>
      <c r="AA8404" s="2">
        <v>2739.5</v>
      </c>
      <c r="AB8404" s="1">
        <v>42382</v>
      </c>
      <c r="AC8404" t="s">
        <v>53</v>
      </c>
      <c r="AD8404" t="s">
        <v>53</v>
      </c>
      <c r="AK8404">
        <v>0</v>
      </c>
      <c r="AU8404" s="6">
        <v>42278</v>
      </c>
      <c r="AV8404" s="6">
        <v>42278</v>
      </c>
      <c r="AW8404" t="s">
        <v>54</v>
      </c>
      <c r="AX8404" t="str">
        <f t="shared" si="684"/>
        <v>FOR</v>
      </c>
      <c r="AY8404" t="s">
        <v>55</v>
      </c>
    </row>
    <row r="8405" spans="1:51">
      <c r="A8405">
        <v>106242</v>
      </c>
      <c r="B8405" t="s">
        <v>1372</v>
      </c>
      <c r="C8405" t="str">
        <f t="shared" si="685"/>
        <v>02973040963</v>
      </c>
      <c r="D8405" t="str">
        <f t="shared" si="686"/>
        <v>01788080156</v>
      </c>
      <c r="E8405" t="s">
        <v>52</v>
      </c>
      <c r="F8405">
        <v>2015</v>
      </c>
      <c r="G8405">
        <v>1010279457</v>
      </c>
      <c r="H8405" s="1">
        <v>42094</v>
      </c>
      <c r="I8405" s="1">
        <v>42103</v>
      </c>
      <c r="J8405" s="1">
        <v>42094</v>
      </c>
      <c r="K8405" s="1">
        <v>42154</v>
      </c>
      <c r="L8405" s="7">
        <v>1092</v>
      </c>
      <c r="M8405" s="5">
        <v>186</v>
      </c>
      <c r="N8405" s="7">
        <v>203112</v>
      </c>
      <c r="O8405" s="2">
        <v>1092</v>
      </c>
      <c r="P8405">
        <v>186</v>
      </c>
      <c r="Q8405" s="2">
        <v>203112</v>
      </c>
      <c r="R8405">
        <v>240.24</v>
      </c>
      <c r="V8405">
        <v>0</v>
      </c>
      <c r="W8405">
        <v>0</v>
      </c>
      <c r="X8405">
        <v>0</v>
      </c>
      <c r="Y8405" s="2">
        <v>1332.24</v>
      </c>
      <c r="Z8405" s="2">
        <v>1332.24</v>
      </c>
      <c r="AA8405" s="2">
        <v>1332.24</v>
      </c>
      <c r="AB8405" s="1">
        <v>42382</v>
      </c>
      <c r="AC8405" t="s">
        <v>53</v>
      </c>
      <c r="AD8405" t="s">
        <v>53</v>
      </c>
      <c r="AK8405">
        <v>240.24</v>
      </c>
      <c r="AU8405" s="6">
        <v>42340</v>
      </c>
      <c r="AV8405" s="6">
        <v>42340</v>
      </c>
      <c r="AW8405" t="s">
        <v>54</v>
      </c>
      <c r="AX8405" t="str">
        <f t="shared" si="684"/>
        <v>FOR</v>
      </c>
      <c r="AY8405" t="s">
        <v>55</v>
      </c>
    </row>
    <row r="8406" spans="1:51">
      <c r="A8406">
        <v>106242</v>
      </c>
      <c r="B8406" t="s">
        <v>1372</v>
      </c>
      <c r="C8406" t="str">
        <f t="shared" si="685"/>
        <v>02973040963</v>
      </c>
      <c r="D8406" t="str">
        <f t="shared" si="686"/>
        <v>01788080156</v>
      </c>
      <c r="E8406" t="s">
        <v>52</v>
      </c>
      <c r="F8406">
        <v>2015</v>
      </c>
      <c r="G8406">
        <v>1010288688</v>
      </c>
      <c r="H8406" s="1">
        <v>42150</v>
      </c>
      <c r="I8406" s="1">
        <v>42166</v>
      </c>
      <c r="J8406" s="1">
        <v>42164</v>
      </c>
      <c r="K8406" s="1">
        <v>42224</v>
      </c>
      <c r="L8406" s="7">
        <v>9100</v>
      </c>
      <c r="M8406" s="5">
        <v>54</v>
      </c>
      <c r="N8406" s="7">
        <v>491400</v>
      </c>
      <c r="O8406" s="2">
        <v>9100</v>
      </c>
      <c r="P8406">
        <v>54</v>
      </c>
      <c r="Q8406" s="2">
        <v>491400</v>
      </c>
      <c r="R8406">
        <v>0</v>
      </c>
      <c r="V8406">
        <v>0</v>
      </c>
      <c r="W8406">
        <v>0</v>
      </c>
      <c r="X8406">
        <v>0</v>
      </c>
      <c r="Y8406" s="2">
        <v>11102</v>
      </c>
      <c r="Z8406" s="2">
        <v>11102</v>
      </c>
      <c r="AA8406" s="2">
        <v>11102</v>
      </c>
      <c r="AB8406" s="1">
        <v>42382</v>
      </c>
      <c r="AC8406" t="s">
        <v>53</v>
      </c>
      <c r="AD8406" t="s">
        <v>53</v>
      </c>
      <c r="AK8406">
        <v>0</v>
      </c>
      <c r="AU8406" s="6">
        <v>42278</v>
      </c>
      <c r="AV8406" s="6">
        <v>42278</v>
      </c>
      <c r="AW8406" t="s">
        <v>54</v>
      </c>
      <c r="AX8406" t="str">
        <f t="shared" si="684"/>
        <v>FOR</v>
      </c>
      <c r="AY8406" t="s">
        <v>55</v>
      </c>
    </row>
    <row r="8407" spans="1:51">
      <c r="A8407">
        <v>106242</v>
      </c>
      <c r="B8407" t="s">
        <v>1372</v>
      </c>
      <c r="C8407" t="str">
        <f t="shared" si="685"/>
        <v>02973040963</v>
      </c>
      <c r="D8407" t="str">
        <f t="shared" si="686"/>
        <v>01788080156</v>
      </c>
      <c r="E8407" t="s">
        <v>52</v>
      </c>
      <c r="F8407">
        <v>2015</v>
      </c>
      <c r="G8407">
        <v>1010291426</v>
      </c>
      <c r="H8407" s="1">
        <v>42173</v>
      </c>
      <c r="I8407" s="1">
        <v>42177</v>
      </c>
      <c r="J8407" s="1">
        <v>42175</v>
      </c>
      <c r="K8407" s="1">
        <v>42235</v>
      </c>
      <c r="L8407" s="7">
        <v>802.36</v>
      </c>
      <c r="M8407" s="5">
        <v>105</v>
      </c>
      <c r="N8407" s="7">
        <v>84247.8</v>
      </c>
      <c r="O8407">
        <v>802.36</v>
      </c>
      <c r="P8407">
        <v>105</v>
      </c>
      <c r="Q8407" s="2">
        <v>84247.8</v>
      </c>
      <c r="R8407">
        <v>176.52</v>
      </c>
      <c r="V8407">
        <v>0</v>
      </c>
      <c r="W8407">
        <v>0</v>
      </c>
      <c r="X8407">
        <v>0</v>
      </c>
      <c r="Y8407">
        <v>978.88</v>
      </c>
      <c r="Z8407">
        <v>978.88</v>
      </c>
      <c r="AA8407">
        <v>978.88</v>
      </c>
      <c r="AB8407" s="1">
        <v>42382</v>
      </c>
      <c r="AC8407" t="s">
        <v>53</v>
      </c>
      <c r="AD8407" t="s">
        <v>53</v>
      </c>
      <c r="AI8407">
        <v>176.52</v>
      </c>
      <c r="AK8407">
        <v>0</v>
      </c>
      <c r="AU8407" s="6">
        <v>42340</v>
      </c>
      <c r="AV8407" s="6">
        <v>42340</v>
      </c>
      <c r="AW8407" t="s">
        <v>54</v>
      </c>
      <c r="AX8407" t="str">
        <f t="shared" si="684"/>
        <v>FOR</v>
      </c>
      <c r="AY8407" t="s">
        <v>55</v>
      </c>
    </row>
    <row r="8408" spans="1:51">
      <c r="A8408">
        <v>106242</v>
      </c>
      <c r="B8408" t="s">
        <v>1372</v>
      </c>
      <c r="C8408" t="str">
        <f t="shared" si="685"/>
        <v>02973040963</v>
      </c>
      <c r="D8408" t="str">
        <f t="shared" si="686"/>
        <v>01788080156</v>
      </c>
      <c r="E8408" t="s">
        <v>52</v>
      </c>
      <c r="F8408">
        <v>2015</v>
      </c>
      <c r="G8408">
        <v>1010291427</v>
      </c>
      <c r="H8408" s="1">
        <v>42173</v>
      </c>
      <c r="I8408" s="1">
        <v>42177</v>
      </c>
      <c r="J8408" s="1">
        <v>42175</v>
      </c>
      <c r="K8408" s="1">
        <v>42235</v>
      </c>
      <c r="L8408" s="7">
        <v>200.59</v>
      </c>
      <c r="M8408" s="5">
        <v>105</v>
      </c>
      <c r="N8408" s="7">
        <v>21061.95</v>
      </c>
      <c r="O8408">
        <v>200.59</v>
      </c>
      <c r="P8408">
        <v>105</v>
      </c>
      <c r="Q8408" s="2">
        <v>21061.95</v>
      </c>
      <c r="R8408">
        <v>44.13</v>
      </c>
      <c r="V8408">
        <v>0</v>
      </c>
      <c r="W8408">
        <v>0</v>
      </c>
      <c r="X8408">
        <v>0</v>
      </c>
      <c r="Y8408">
        <v>244.72</v>
      </c>
      <c r="Z8408">
        <v>244.72</v>
      </c>
      <c r="AA8408">
        <v>244.72</v>
      </c>
      <c r="AB8408" s="1">
        <v>42382</v>
      </c>
      <c r="AC8408" t="s">
        <v>53</v>
      </c>
      <c r="AD8408" t="s">
        <v>53</v>
      </c>
      <c r="AI8408">
        <v>44.13</v>
      </c>
      <c r="AK8408">
        <v>0</v>
      </c>
      <c r="AU8408" s="6">
        <v>42340</v>
      </c>
      <c r="AV8408" s="6">
        <v>42340</v>
      </c>
      <c r="AW8408" t="s">
        <v>54</v>
      </c>
      <c r="AX8408" t="str">
        <f t="shared" si="684"/>
        <v>FOR</v>
      </c>
      <c r="AY8408" t="s">
        <v>55</v>
      </c>
    </row>
    <row r="8409" spans="1:51">
      <c r="A8409">
        <v>106242</v>
      </c>
      <c r="B8409" t="s">
        <v>1372</v>
      </c>
      <c r="C8409" t="str">
        <f t="shared" si="685"/>
        <v>02973040963</v>
      </c>
      <c r="D8409" t="str">
        <f t="shared" si="686"/>
        <v>01788080156</v>
      </c>
      <c r="E8409" t="s">
        <v>52</v>
      </c>
      <c r="F8409">
        <v>2015</v>
      </c>
      <c r="G8409">
        <v>1010291966</v>
      </c>
      <c r="H8409" s="1">
        <v>42173</v>
      </c>
      <c r="I8409" s="1">
        <v>42177</v>
      </c>
      <c r="J8409" s="1">
        <v>42177</v>
      </c>
      <c r="K8409" s="1">
        <v>42237</v>
      </c>
      <c r="L8409" s="7">
        <v>2245.4899999999998</v>
      </c>
      <c r="M8409" s="5">
        <v>103</v>
      </c>
      <c r="N8409" s="7">
        <v>231285.47</v>
      </c>
      <c r="O8409" s="2">
        <v>2245.4899999999998</v>
      </c>
      <c r="P8409">
        <v>103</v>
      </c>
      <c r="Q8409" s="2">
        <v>231285.47</v>
      </c>
      <c r="R8409">
        <v>494.01</v>
      </c>
      <c r="V8409">
        <v>0</v>
      </c>
      <c r="W8409">
        <v>0</v>
      </c>
      <c r="X8409">
        <v>0</v>
      </c>
      <c r="Y8409" s="2">
        <v>2739.5</v>
      </c>
      <c r="Z8409" s="2">
        <v>2739.5</v>
      </c>
      <c r="AA8409" s="2">
        <v>2739.5</v>
      </c>
      <c r="AB8409" s="1">
        <v>42382</v>
      </c>
      <c r="AC8409" t="s">
        <v>53</v>
      </c>
      <c r="AD8409" t="s">
        <v>53</v>
      </c>
      <c r="AI8409">
        <v>494.01</v>
      </c>
      <c r="AK8409">
        <v>0</v>
      </c>
      <c r="AU8409" s="6">
        <v>42340</v>
      </c>
      <c r="AV8409" s="6">
        <v>42340</v>
      </c>
      <c r="AW8409" t="s">
        <v>54</v>
      </c>
      <c r="AX8409" t="str">
        <f t="shared" si="684"/>
        <v>FOR</v>
      </c>
      <c r="AY8409" t="s">
        <v>55</v>
      </c>
    </row>
    <row r="8410" spans="1:51">
      <c r="A8410">
        <v>106242</v>
      </c>
      <c r="B8410" t="s">
        <v>1372</v>
      </c>
      <c r="C8410" t="str">
        <f t="shared" si="685"/>
        <v>02973040963</v>
      </c>
      <c r="D8410" t="str">
        <f t="shared" si="686"/>
        <v>01788080156</v>
      </c>
      <c r="E8410" t="s">
        <v>52</v>
      </c>
      <c r="F8410">
        <v>2015</v>
      </c>
      <c r="G8410">
        <v>1010295997</v>
      </c>
      <c r="H8410" s="1">
        <v>42185</v>
      </c>
      <c r="I8410" s="1">
        <v>42186</v>
      </c>
      <c r="J8410" s="1">
        <v>42185</v>
      </c>
      <c r="K8410" s="1">
        <v>42245</v>
      </c>
      <c r="L8410" s="7">
        <v>1092</v>
      </c>
      <c r="M8410" s="5">
        <v>95</v>
      </c>
      <c r="N8410" s="7">
        <v>103740</v>
      </c>
      <c r="O8410" s="2">
        <v>1092</v>
      </c>
      <c r="P8410">
        <v>95</v>
      </c>
      <c r="Q8410" s="2">
        <v>103740</v>
      </c>
      <c r="R8410">
        <v>240.24</v>
      </c>
      <c r="V8410">
        <v>0</v>
      </c>
      <c r="W8410">
        <v>0</v>
      </c>
      <c r="X8410">
        <v>0</v>
      </c>
      <c r="Y8410" s="2">
        <v>1332.24</v>
      </c>
      <c r="Z8410" s="2">
        <v>1332.24</v>
      </c>
      <c r="AA8410" s="2">
        <v>1332.24</v>
      </c>
      <c r="AB8410" s="1">
        <v>42382</v>
      </c>
      <c r="AC8410" t="s">
        <v>53</v>
      </c>
      <c r="AD8410" t="s">
        <v>53</v>
      </c>
      <c r="AI8410">
        <v>240.24</v>
      </c>
      <c r="AK8410">
        <v>0</v>
      </c>
      <c r="AU8410" s="6">
        <v>42340</v>
      </c>
      <c r="AV8410" s="6">
        <v>42340</v>
      </c>
      <c r="AW8410" t="s">
        <v>54</v>
      </c>
      <c r="AX8410" t="str">
        <f t="shared" si="684"/>
        <v>FOR</v>
      </c>
      <c r="AY8410" t="s">
        <v>55</v>
      </c>
    </row>
    <row r="8411" spans="1:51" hidden="1">
      <c r="A8411">
        <v>106248</v>
      </c>
      <c r="B8411" t="s">
        <v>1373</v>
      </c>
      <c r="C8411" t="str">
        <f t="shared" ref="C8411:D8422" si="687">"01538600626"</f>
        <v>01538600626</v>
      </c>
      <c r="D8411" t="str">
        <f t="shared" si="687"/>
        <v>01538600626</v>
      </c>
      <c r="E8411" t="s">
        <v>52</v>
      </c>
      <c r="F8411">
        <v>2014</v>
      </c>
      <c r="G8411" t="s">
        <v>1374</v>
      </c>
      <c r="H8411" s="1">
        <v>41912</v>
      </c>
      <c r="I8411" s="1">
        <v>41927</v>
      </c>
      <c r="J8411" s="1">
        <v>41927</v>
      </c>
      <c r="K8411" s="1">
        <v>41987</v>
      </c>
      <c r="N8411" s="5"/>
      <c r="O8411">
        <v>387.76</v>
      </c>
      <c r="P8411">
        <v>53</v>
      </c>
      <c r="Q8411" s="2">
        <v>20551.28</v>
      </c>
      <c r="R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 s="1">
        <v>42382</v>
      </c>
      <c r="AC8411" t="s">
        <v>53</v>
      </c>
      <c r="AD8411" t="s">
        <v>53</v>
      </c>
      <c r="AK8411">
        <v>0</v>
      </c>
      <c r="AU8411" s="6">
        <v>42040</v>
      </c>
      <c r="AV8411" s="6">
        <v>42040</v>
      </c>
      <c r="AW8411" t="s">
        <v>54</v>
      </c>
      <c r="AX8411" t="str">
        <f t="shared" si="684"/>
        <v>FOR</v>
      </c>
      <c r="AY8411" t="s">
        <v>55</v>
      </c>
    </row>
    <row r="8412" spans="1:51" hidden="1">
      <c r="A8412">
        <v>106248</v>
      </c>
      <c r="B8412" t="s">
        <v>1373</v>
      </c>
      <c r="C8412" t="str">
        <f t="shared" si="687"/>
        <v>01538600626</v>
      </c>
      <c r="D8412" t="str">
        <f t="shared" si="687"/>
        <v>01538600626</v>
      </c>
      <c r="E8412" t="s">
        <v>52</v>
      </c>
      <c r="F8412">
        <v>2014</v>
      </c>
      <c r="G8412" t="s">
        <v>1375</v>
      </c>
      <c r="H8412" s="1">
        <v>41943</v>
      </c>
      <c r="I8412" s="1">
        <v>41967</v>
      </c>
      <c r="J8412" s="1">
        <v>41967</v>
      </c>
      <c r="K8412" s="1">
        <v>42027</v>
      </c>
      <c r="N8412" s="5"/>
      <c r="O8412">
        <v>579.45000000000005</v>
      </c>
      <c r="P8412">
        <v>13</v>
      </c>
      <c r="Q8412" s="2">
        <v>7532.85</v>
      </c>
      <c r="R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 s="1">
        <v>42382</v>
      </c>
      <c r="AC8412" t="s">
        <v>53</v>
      </c>
      <c r="AD8412" t="s">
        <v>53</v>
      </c>
      <c r="AK8412">
        <v>0</v>
      </c>
      <c r="AU8412" s="6">
        <v>42040</v>
      </c>
      <c r="AV8412" s="6">
        <v>42040</v>
      </c>
      <c r="AW8412" t="s">
        <v>54</v>
      </c>
      <c r="AX8412" t="str">
        <f t="shared" si="684"/>
        <v>FOR</v>
      </c>
      <c r="AY8412" t="s">
        <v>55</v>
      </c>
    </row>
    <row r="8413" spans="1:51" hidden="1">
      <c r="A8413">
        <v>106248</v>
      </c>
      <c r="B8413" t="s">
        <v>1373</v>
      </c>
      <c r="C8413" t="str">
        <f t="shared" si="687"/>
        <v>01538600626</v>
      </c>
      <c r="D8413" t="str">
        <f t="shared" si="687"/>
        <v>01538600626</v>
      </c>
      <c r="E8413" t="s">
        <v>52</v>
      </c>
      <c r="F8413">
        <v>2014</v>
      </c>
      <c r="G8413" t="s">
        <v>269</v>
      </c>
      <c r="H8413" s="1">
        <v>41971</v>
      </c>
      <c r="I8413" s="1">
        <v>42032</v>
      </c>
      <c r="J8413" s="1">
        <v>42032</v>
      </c>
      <c r="K8413" s="1">
        <v>42092</v>
      </c>
      <c r="N8413" s="5"/>
      <c r="O8413">
        <v>434.88</v>
      </c>
      <c r="P8413">
        <v>31</v>
      </c>
      <c r="Q8413" s="2">
        <v>13481.28</v>
      </c>
      <c r="R8413">
        <v>0</v>
      </c>
      <c r="V8413">
        <v>0</v>
      </c>
      <c r="W8413">
        <v>0</v>
      </c>
      <c r="X8413">
        <v>0</v>
      </c>
      <c r="Y8413">
        <v>0</v>
      </c>
      <c r="Z8413">
        <v>434.88</v>
      </c>
      <c r="AA8413">
        <v>0</v>
      </c>
      <c r="AB8413" s="1">
        <v>42382</v>
      </c>
      <c r="AC8413" t="s">
        <v>53</v>
      </c>
      <c r="AD8413" t="s">
        <v>53</v>
      </c>
      <c r="AK8413">
        <v>0</v>
      </c>
      <c r="AU8413" s="6">
        <v>42123</v>
      </c>
      <c r="AV8413" s="6">
        <v>42123</v>
      </c>
      <c r="AW8413" t="s">
        <v>54</v>
      </c>
      <c r="AX8413" t="str">
        <f t="shared" si="684"/>
        <v>FOR</v>
      </c>
      <c r="AY8413" t="s">
        <v>55</v>
      </c>
    </row>
    <row r="8414" spans="1:51" hidden="1">
      <c r="A8414">
        <v>106248</v>
      </c>
      <c r="B8414" t="s">
        <v>1373</v>
      </c>
      <c r="C8414" t="str">
        <f t="shared" si="687"/>
        <v>01538600626</v>
      </c>
      <c r="D8414" t="str">
        <f t="shared" si="687"/>
        <v>01538600626</v>
      </c>
      <c r="E8414" t="s">
        <v>52</v>
      </c>
      <c r="F8414">
        <v>2014</v>
      </c>
      <c r="G8414" t="s">
        <v>414</v>
      </c>
      <c r="H8414" s="1">
        <v>42004</v>
      </c>
      <c r="I8414" s="1">
        <v>42027</v>
      </c>
      <c r="J8414" s="1">
        <v>42027</v>
      </c>
      <c r="K8414" s="1">
        <v>42087</v>
      </c>
      <c r="N8414" s="5"/>
      <c r="O8414">
        <v>349.24</v>
      </c>
      <c r="P8414">
        <v>36</v>
      </c>
      <c r="Q8414" s="2">
        <v>12572.64</v>
      </c>
      <c r="R8414">
        <v>0</v>
      </c>
      <c r="V8414">
        <v>0</v>
      </c>
      <c r="W8414">
        <v>0</v>
      </c>
      <c r="X8414">
        <v>0</v>
      </c>
      <c r="Y8414">
        <v>0</v>
      </c>
      <c r="Z8414">
        <v>349.24</v>
      </c>
      <c r="AA8414">
        <v>0</v>
      </c>
      <c r="AB8414" s="1">
        <v>42382</v>
      </c>
      <c r="AC8414" t="s">
        <v>53</v>
      </c>
      <c r="AD8414" t="s">
        <v>53</v>
      </c>
      <c r="AK8414">
        <v>0</v>
      </c>
      <c r="AU8414" s="6">
        <v>42123</v>
      </c>
      <c r="AV8414" s="6">
        <v>42123</v>
      </c>
      <c r="AW8414" t="s">
        <v>54</v>
      </c>
      <c r="AX8414" t="str">
        <f t="shared" si="684"/>
        <v>FOR</v>
      </c>
      <c r="AY8414" t="s">
        <v>55</v>
      </c>
    </row>
    <row r="8415" spans="1:51" hidden="1">
      <c r="A8415">
        <v>106248</v>
      </c>
      <c r="B8415" t="s">
        <v>1373</v>
      </c>
      <c r="C8415" t="str">
        <f t="shared" si="687"/>
        <v>01538600626</v>
      </c>
      <c r="D8415" t="str">
        <f t="shared" si="687"/>
        <v>01538600626</v>
      </c>
      <c r="E8415" t="s">
        <v>52</v>
      </c>
      <c r="F8415">
        <v>2015</v>
      </c>
      <c r="G8415">
        <v>40</v>
      </c>
      <c r="H8415" s="1">
        <v>42124</v>
      </c>
      <c r="I8415" s="1">
        <v>42163</v>
      </c>
      <c r="J8415" s="1">
        <v>42151</v>
      </c>
      <c r="K8415" s="1">
        <v>42211</v>
      </c>
      <c r="N8415" s="5"/>
      <c r="O8415">
        <v>404.8</v>
      </c>
      <c r="P8415">
        <v>-27</v>
      </c>
      <c r="Q8415" s="2">
        <v>-10929.6</v>
      </c>
      <c r="R8415">
        <v>89.06</v>
      </c>
      <c r="V8415">
        <v>0</v>
      </c>
      <c r="W8415">
        <v>0</v>
      </c>
      <c r="X8415">
        <v>0</v>
      </c>
      <c r="Y8415">
        <v>493.86</v>
      </c>
      <c r="Z8415">
        <v>493.86</v>
      </c>
      <c r="AA8415">
        <v>493.86</v>
      </c>
      <c r="AB8415" s="1">
        <v>42382</v>
      </c>
      <c r="AC8415" t="s">
        <v>53</v>
      </c>
      <c r="AD8415" t="s">
        <v>53</v>
      </c>
      <c r="AJ8415">
        <v>89.06</v>
      </c>
      <c r="AK8415">
        <v>0</v>
      </c>
      <c r="AU8415" s="6">
        <v>42184</v>
      </c>
      <c r="AV8415" s="6">
        <v>42184</v>
      </c>
      <c r="AW8415" t="s">
        <v>54</v>
      </c>
      <c r="AX8415" t="str">
        <f t="shared" si="684"/>
        <v>FOR</v>
      </c>
      <c r="AY8415" t="s">
        <v>55</v>
      </c>
    </row>
    <row r="8416" spans="1:51">
      <c r="A8416">
        <v>106248</v>
      </c>
      <c r="B8416" t="s">
        <v>1373</v>
      </c>
      <c r="C8416" t="str">
        <f t="shared" si="687"/>
        <v>01538600626</v>
      </c>
      <c r="D8416" t="str">
        <f t="shared" si="687"/>
        <v>01538600626</v>
      </c>
      <c r="E8416" t="s">
        <v>52</v>
      </c>
      <c r="F8416">
        <v>2015</v>
      </c>
      <c r="G8416">
        <v>52</v>
      </c>
      <c r="H8416" s="1">
        <v>42153</v>
      </c>
      <c r="I8416" s="1">
        <v>42180</v>
      </c>
      <c r="J8416" s="1">
        <v>42178</v>
      </c>
      <c r="K8416" s="1">
        <v>42238</v>
      </c>
      <c r="L8416" s="7">
        <v>386.1</v>
      </c>
      <c r="M8416" s="5">
        <v>46</v>
      </c>
      <c r="N8416" s="7">
        <v>17760.599999999999</v>
      </c>
      <c r="O8416">
        <v>386.1</v>
      </c>
      <c r="P8416">
        <v>46</v>
      </c>
      <c r="Q8416" s="2">
        <v>17760.599999999999</v>
      </c>
      <c r="R8416">
        <v>84.94</v>
      </c>
      <c r="V8416">
        <v>0</v>
      </c>
      <c r="W8416">
        <v>0</v>
      </c>
      <c r="X8416">
        <v>0</v>
      </c>
      <c r="Y8416">
        <v>471.04</v>
      </c>
      <c r="Z8416">
        <v>471.04</v>
      </c>
      <c r="AA8416">
        <v>471.04</v>
      </c>
      <c r="AB8416" s="1">
        <v>42382</v>
      </c>
      <c r="AC8416" t="s">
        <v>53</v>
      </c>
      <c r="AD8416" t="s">
        <v>53</v>
      </c>
      <c r="AI8416">
        <v>84.94</v>
      </c>
      <c r="AK8416">
        <v>0</v>
      </c>
      <c r="AU8416" s="6">
        <v>42284</v>
      </c>
      <c r="AV8416" s="6">
        <v>42284</v>
      </c>
      <c r="AW8416" t="s">
        <v>54</v>
      </c>
      <c r="AX8416" t="str">
        <f t="shared" si="684"/>
        <v>FOR</v>
      </c>
      <c r="AY8416" t="s">
        <v>55</v>
      </c>
    </row>
    <row r="8417" spans="1:51">
      <c r="A8417">
        <v>106248</v>
      </c>
      <c r="B8417" t="s">
        <v>1373</v>
      </c>
      <c r="C8417" t="str">
        <f t="shared" si="687"/>
        <v>01538600626</v>
      </c>
      <c r="D8417" t="str">
        <f t="shared" si="687"/>
        <v>01538600626</v>
      </c>
      <c r="E8417" t="s">
        <v>52</v>
      </c>
      <c r="F8417">
        <v>2015</v>
      </c>
      <c r="G8417">
        <v>60</v>
      </c>
      <c r="H8417" s="1">
        <v>42185</v>
      </c>
      <c r="I8417" s="1">
        <v>42202</v>
      </c>
      <c r="J8417" s="1">
        <v>42202</v>
      </c>
      <c r="K8417" s="1">
        <v>42262</v>
      </c>
      <c r="L8417" s="7">
        <v>325.83999999999997</v>
      </c>
      <c r="M8417" s="5">
        <v>22</v>
      </c>
      <c r="N8417" s="7">
        <v>7168.48</v>
      </c>
      <c r="O8417">
        <v>325.83999999999997</v>
      </c>
      <c r="P8417">
        <v>22</v>
      </c>
      <c r="Q8417" s="2">
        <v>7168.48</v>
      </c>
      <c r="R8417">
        <v>71.680000000000007</v>
      </c>
      <c r="V8417">
        <v>0</v>
      </c>
      <c r="W8417">
        <v>0</v>
      </c>
      <c r="X8417">
        <v>0</v>
      </c>
      <c r="Y8417">
        <v>397.52</v>
      </c>
      <c r="Z8417">
        <v>397.52</v>
      </c>
      <c r="AA8417">
        <v>397.52</v>
      </c>
      <c r="AB8417" s="1">
        <v>42382</v>
      </c>
      <c r="AC8417" t="s">
        <v>53</v>
      </c>
      <c r="AD8417" t="s">
        <v>53</v>
      </c>
      <c r="AH8417">
        <v>71.680000000000007</v>
      </c>
      <c r="AK8417">
        <v>0</v>
      </c>
      <c r="AU8417" s="6">
        <v>42284</v>
      </c>
      <c r="AV8417" s="6">
        <v>42284</v>
      </c>
      <c r="AW8417" t="s">
        <v>54</v>
      </c>
      <c r="AX8417" t="str">
        <f t="shared" si="684"/>
        <v>FOR</v>
      </c>
      <c r="AY8417" t="s">
        <v>55</v>
      </c>
    </row>
    <row r="8418" spans="1:51">
      <c r="A8418">
        <v>106248</v>
      </c>
      <c r="B8418" t="s">
        <v>1373</v>
      </c>
      <c r="C8418" t="str">
        <f t="shared" si="687"/>
        <v>01538600626</v>
      </c>
      <c r="D8418" t="str">
        <f t="shared" si="687"/>
        <v>01538600626</v>
      </c>
      <c r="E8418" t="s">
        <v>52</v>
      </c>
      <c r="F8418">
        <v>2015</v>
      </c>
      <c r="G8418">
        <v>74</v>
      </c>
      <c r="H8418" s="1">
        <v>42216</v>
      </c>
      <c r="I8418" s="1">
        <v>42248</v>
      </c>
      <c r="J8418" s="1">
        <v>42247</v>
      </c>
      <c r="K8418" s="1">
        <v>42307</v>
      </c>
      <c r="L8418" s="7">
        <v>325.83999999999997</v>
      </c>
      <c r="M8418" s="5">
        <v>-23</v>
      </c>
      <c r="N8418" s="7">
        <v>-7494.32</v>
      </c>
      <c r="O8418">
        <v>325.83999999999997</v>
      </c>
      <c r="P8418">
        <v>-23</v>
      </c>
      <c r="Q8418" s="2">
        <v>-7494.32</v>
      </c>
      <c r="R8418">
        <v>71.680000000000007</v>
      </c>
      <c r="V8418">
        <v>0</v>
      </c>
      <c r="W8418">
        <v>0</v>
      </c>
      <c r="X8418">
        <v>0</v>
      </c>
      <c r="Y8418">
        <v>397.52</v>
      </c>
      <c r="Z8418">
        <v>397.52</v>
      </c>
      <c r="AA8418">
        <v>397.52</v>
      </c>
      <c r="AB8418" s="1">
        <v>42382</v>
      </c>
      <c r="AC8418" t="s">
        <v>53</v>
      </c>
      <c r="AD8418" t="s">
        <v>53</v>
      </c>
      <c r="AG8418">
        <v>71.680000000000007</v>
      </c>
      <c r="AK8418">
        <v>0</v>
      </c>
      <c r="AU8418" s="6">
        <v>42284</v>
      </c>
      <c r="AV8418" s="6">
        <v>42284</v>
      </c>
      <c r="AW8418" t="s">
        <v>54</v>
      </c>
      <c r="AX8418" t="str">
        <f t="shared" si="684"/>
        <v>FOR</v>
      </c>
      <c r="AY8418" t="s">
        <v>55</v>
      </c>
    </row>
    <row r="8419" spans="1:51">
      <c r="A8419">
        <v>106248</v>
      </c>
      <c r="B8419" t="s">
        <v>1373</v>
      </c>
      <c r="C8419" t="str">
        <f t="shared" si="687"/>
        <v>01538600626</v>
      </c>
      <c r="D8419" t="str">
        <f t="shared" si="687"/>
        <v>01538600626</v>
      </c>
      <c r="E8419" t="s">
        <v>52</v>
      </c>
      <c r="F8419">
        <v>2015</v>
      </c>
      <c r="G8419">
        <v>86</v>
      </c>
      <c r="H8419" s="1">
        <v>42247</v>
      </c>
      <c r="I8419" s="1">
        <v>42263</v>
      </c>
      <c r="J8419" s="1">
        <v>42262</v>
      </c>
      <c r="K8419" s="1">
        <v>42322</v>
      </c>
      <c r="L8419" s="7">
        <v>294.26</v>
      </c>
      <c r="M8419" s="5">
        <v>-38</v>
      </c>
      <c r="N8419" s="7">
        <v>-11181.88</v>
      </c>
      <c r="O8419">
        <v>294.26</v>
      </c>
      <c r="P8419">
        <v>-38</v>
      </c>
      <c r="Q8419" s="2">
        <v>-11181.88</v>
      </c>
      <c r="R8419">
        <v>64.739999999999995</v>
      </c>
      <c r="V8419">
        <v>0</v>
      </c>
      <c r="W8419">
        <v>0</v>
      </c>
      <c r="X8419">
        <v>0</v>
      </c>
      <c r="Y8419">
        <v>359</v>
      </c>
      <c r="Z8419">
        <v>359</v>
      </c>
      <c r="AA8419">
        <v>359</v>
      </c>
      <c r="AB8419" s="1">
        <v>42382</v>
      </c>
      <c r="AC8419" t="s">
        <v>53</v>
      </c>
      <c r="AD8419" t="s">
        <v>53</v>
      </c>
      <c r="AF8419">
        <v>64.739999999999995</v>
      </c>
      <c r="AK8419">
        <v>0</v>
      </c>
      <c r="AU8419" s="6">
        <v>42284</v>
      </c>
      <c r="AV8419" s="6">
        <v>42284</v>
      </c>
      <c r="AW8419" t="s">
        <v>54</v>
      </c>
      <c r="AX8419" t="str">
        <f t="shared" si="684"/>
        <v>FOR</v>
      </c>
      <c r="AY8419" t="s">
        <v>55</v>
      </c>
    </row>
    <row r="8420" spans="1:51" hidden="1">
      <c r="A8420">
        <v>106248</v>
      </c>
      <c r="B8420" t="s">
        <v>1373</v>
      </c>
      <c r="C8420" t="str">
        <f t="shared" si="687"/>
        <v>01538600626</v>
      </c>
      <c r="D8420" t="str">
        <f t="shared" si="687"/>
        <v>01538600626</v>
      </c>
      <c r="E8420" t="s">
        <v>52</v>
      </c>
      <c r="F8420">
        <v>2015</v>
      </c>
      <c r="G8420" t="s">
        <v>435</v>
      </c>
      <c r="H8420" s="1">
        <v>42034</v>
      </c>
      <c r="I8420" s="1">
        <v>42055</v>
      </c>
      <c r="J8420" s="1">
        <v>42055</v>
      </c>
      <c r="K8420" s="1">
        <v>42115</v>
      </c>
      <c r="N8420" s="5"/>
      <c r="O8420">
        <v>191.5</v>
      </c>
      <c r="P8420">
        <v>8</v>
      </c>
      <c r="Q8420" s="2">
        <v>1532</v>
      </c>
      <c r="R8420">
        <v>42.13</v>
      </c>
      <c r="V8420">
        <v>0</v>
      </c>
      <c r="W8420">
        <v>0</v>
      </c>
      <c r="X8420">
        <v>0</v>
      </c>
      <c r="Y8420">
        <v>233.63</v>
      </c>
      <c r="Z8420">
        <v>233.63</v>
      </c>
      <c r="AA8420">
        <v>233.63</v>
      </c>
      <c r="AB8420" s="1">
        <v>42382</v>
      </c>
      <c r="AC8420" t="s">
        <v>53</v>
      </c>
      <c r="AD8420" t="s">
        <v>53</v>
      </c>
      <c r="AK8420">
        <v>42.13</v>
      </c>
      <c r="AU8420" s="6">
        <v>42123</v>
      </c>
      <c r="AV8420" s="6">
        <v>42123</v>
      </c>
      <c r="AW8420" t="s">
        <v>54</v>
      </c>
      <c r="AX8420" t="str">
        <f t="shared" si="684"/>
        <v>FOR</v>
      </c>
      <c r="AY8420" t="s">
        <v>55</v>
      </c>
    </row>
    <row r="8421" spans="1:51" hidden="1">
      <c r="A8421">
        <v>106248</v>
      </c>
      <c r="B8421" t="s">
        <v>1373</v>
      </c>
      <c r="C8421" t="str">
        <f t="shared" si="687"/>
        <v>01538600626</v>
      </c>
      <c r="D8421" t="str">
        <f t="shared" si="687"/>
        <v>01538600626</v>
      </c>
      <c r="E8421" t="s">
        <v>52</v>
      </c>
      <c r="F8421">
        <v>2015</v>
      </c>
      <c r="G8421" t="s">
        <v>457</v>
      </c>
      <c r="H8421" s="1">
        <v>42062</v>
      </c>
      <c r="I8421" s="1">
        <v>42109</v>
      </c>
      <c r="J8421" s="1">
        <v>42109</v>
      </c>
      <c r="K8421" s="1">
        <v>42169</v>
      </c>
      <c r="N8421" s="5"/>
      <c r="O8421">
        <v>349.42</v>
      </c>
      <c r="P8421">
        <v>-46</v>
      </c>
      <c r="Q8421" s="2">
        <v>-16073.32</v>
      </c>
      <c r="R8421">
        <v>76.87</v>
      </c>
      <c r="V8421">
        <v>0</v>
      </c>
      <c r="W8421">
        <v>0</v>
      </c>
      <c r="X8421">
        <v>0</v>
      </c>
      <c r="Y8421">
        <v>426.29</v>
      </c>
      <c r="Z8421">
        <v>426.29</v>
      </c>
      <c r="AA8421">
        <v>426.29</v>
      </c>
      <c r="AB8421" s="1">
        <v>42382</v>
      </c>
      <c r="AC8421" t="s">
        <v>53</v>
      </c>
      <c r="AD8421" t="s">
        <v>53</v>
      </c>
      <c r="AK8421">
        <v>76.87</v>
      </c>
      <c r="AU8421" s="6">
        <v>42123</v>
      </c>
      <c r="AV8421" s="6">
        <v>42123</v>
      </c>
      <c r="AW8421" t="s">
        <v>54</v>
      </c>
      <c r="AX8421" t="str">
        <f t="shared" si="684"/>
        <v>FOR</v>
      </c>
      <c r="AY8421" t="s">
        <v>55</v>
      </c>
    </row>
    <row r="8422" spans="1:51" hidden="1">
      <c r="A8422">
        <v>106248</v>
      </c>
      <c r="B8422" t="s">
        <v>1373</v>
      </c>
      <c r="C8422" t="str">
        <f t="shared" si="687"/>
        <v>01538600626</v>
      </c>
      <c r="D8422" t="str">
        <f t="shared" si="687"/>
        <v>01538600626</v>
      </c>
      <c r="E8422" t="s">
        <v>52</v>
      </c>
      <c r="F8422">
        <v>2015</v>
      </c>
      <c r="G8422" t="s">
        <v>1376</v>
      </c>
      <c r="H8422" s="1">
        <v>42093</v>
      </c>
      <c r="I8422" s="1">
        <v>42117</v>
      </c>
      <c r="J8422" s="1">
        <v>42117</v>
      </c>
      <c r="K8422" s="1">
        <v>42177</v>
      </c>
      <c r="N8422" s="5"/>
      <c r="O8422">
        <v>412.59</v>
      </c>
      <c r="P8422">
        <v>7</v>
      </c>
      <c r="Q8422" s="2">
        <v>2888.13</v>
      </c>
      <c r="R8422">
        <v>90.77</v>
      </c>
      <c r="V8422">
        <v>0</v>
      </c>
      <c r="W8422">
        <v>0</v>
      </c>
      <c r="X8422">
        <v>0</v>
      </c>
      <c r="Y8422">
        <v>503.36</v>
      </c>
      <c r="Z8422">
        <v>503.36</v>
      </c>
      <c r="AA8422">
        <v>503.36</v>
      </c>
      <c r="AB8422" s="1">
        <v>42382</v>
      </c>
      <c r="AC8422" t="s">
        <v>53</v>
      </c>
      <c r="AD8422" t="s">
        <v>53</v>
      </c>
      <c r="AK8422">
        <v>90.77</v>
      </c>
      <c r="AU8422" s="6">
        <v>42184</v>
      </c>
      <c r="AV8422" s="6">
        <v>42184</v>
      </c>
      <c r="AW8422" t="s">
        <v>54</v>
      </c>
      <c r="AX8422" t="str">
        <f t="shared" si="684"/>
        <v>FOR</v>
      </c>
      <c r="AY8422" t="s">
        <v>55</v>
      </c>
    </row>
    <row r="8423" spans="1:51" hidden="1">
      <c r="A8423">
        <v>106251</v>
      </c>
      <c r="B8423" t="s">
        <v>1377</v>
      </c>
      <c r="C8423" t="str">
        <f t="shared" ref="C8423:C8446" si="688">"01296201005"</f>
        <v>01296201005</v>
      </c>
      <c r="D8423" t="str">
        <f t="shared" ref="D8423:D8446" si="689">"04742650585"</f>
        <v>04742650585</v>
      </c>
      <c r="E8423" t="s">
        <v>52</v>
      </c>
      <c r="F8423">
        <v>2013</v>
      </c>
      <c r="G8423">
        <v>14012</v>
      </c>
      <c r="H8423" s="1">
        <v>41600</v>
      </c>
      <c r="I8423" s="1">
        <v>41915</v>
      </c>
      <c r="J8423" s="1">
        <v>41915</v>
      </c>
      <c r="K8423" s="1">
        <v>42005</v>
      </c>
      <c r="N8423" s="5"/>
      <c r="O8423" s="2">
        <v>1122.4000000000001</v>
      </c>
      <c r="P8423">
        <v>89</v>
      </c>
      <c r="Q8423" s="2">
        <v>99893.6</v>
      </c>
      <c r="R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 s="1">
        <v>42382</v>
      </c>
      <c r="AC8423" t="s">
        <v>53</v>
      </c>
      <c r="AD8423" t="s">
        <v>53</v>
      </c>
      <c r="AK8423">
        <v>0</v>
      </c>
      <c r="AU8423" s="6">
        <v>42094</v>
      </c>
      <c r="AV8423" s="6">
        <v>42094</v>
      </c>
      <c r="AW8423" t="s">
        <v>54</v>
      </c>
      <c r="AX8423" t="str">
        <f t="shared" si="684"/>
        <v>FOR</v>
      </c>
      <c r="AY8423" t="s">
        <v>55</v>
      </c>
    </row>
    <row r="8424" spans="1:51" hidden="1">
      <c r="A8424">
        <v>106251</v>
      </c>
      <c r="B8424" t="s">
        <v>1377</v>
      </c>
      <c r="C8424" t="str">
        <f t="shared" si="688"/>
        <v>01296201005</v>
      </c>
      <c r="D8424" t="str">
        <f t="shared" si="689"/>
        <v>04742650585</v>
      </c>
      <c r="E8424" t="s">
        <v>52</v>
      </c>
      <c r="F8424">
        <v>2014</v>
      </c>
      <c r="G8424">
        <v>11145</v>
      </c>
      <c r="H8424" s="1">
        <v>41739</v>
      </c>
      <c r="I8424" s="1">
        <v>41764</v>
      </c>
      <c r="J8424" s="1">
        <v>41764</v>
      </c>
      <c r="K8424" s="1">
        <v>41854</v>
      </c>
      <c r="N8424" s="5"/>
      <c r="O8424" s="2">
        <v>1256.5999999999999</v>
      </c>
      <c r="P8424">
        <v>240</v>
      </c>
      <c r="Q8424" s="2">
        <v>301584</v>
      </c>
      <c r="R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 s="1">
        <v>42382</v>
      </c>
      <c r="AC8424" t="s">
        <v>53</v>
      </c>
      <c r="AD8424" t="s">
        <v>53</v>
      </c>
      <c r="AK8424">
        <v>0</v>
      </c>
      <c r="AU8424" s="6">
        <v>42094</v>
      </c>
      <c r="AV8424" s="6">
        <v>42094</v>
      </c>
      <c r="AW8424" t="s">
        <v>54</v>
      </c>
      <c r="AX8424" t="str">
        <f t="shared" si="684"/>
        <v>FOR</v>
      </c>
      <c r="AY8424" t="s">
        <v>55</v>
      </c>
    </row>
    <row r="8425" spans="1:51" hidden="1">
      <c r="A8425">
        <v>106251</v>
      </c>
      <c r="B8425" t="s">
        <v>1377</v>
      </c>
      <c r="C8425" t="str">
        <f t="shared" si="688"/>
        <v>01296201005</v>
      </c>
      <c r="D8425" t="str">
        <f t="shared" si="689"/>
        <v>04742650585</v>
      </c>
      <c r="E8425" t="s">
        <v>52</v>
      </c>
      <c r="F8425">
        <v>2014</v>
      </c>
      <c r="G8425">
        <v>11325</v>
      </c>
      <c r="H8425" s="1">
        <v>41752</v>
      </c>
      <c r="I8425" s="1">
        <v>41773</v>
      </c>
      <c r="J8425" s="1">
        <v>41773</v>
      </c>
      <c r="K8425" s="1">
        <v>41863</v>
      </c>
      <c r="N8425" s="5"/>
      <c r="O8425">
        <v>378.2</v>
      </c>
      <c r="P8425">
        <v>231</v>
      </c>
      <c r="Q8425" s="2">
        <v>87364.2</v>
      </c>
      <c r="R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 s="1">
        <v>42382</v>
      </c>
      <c r="AC8425" t="s">
        <v>53</v>
      </c>
      <c r="AD8425" t="s">
        <v>53</v>
      </c>
      <c r="AK8425">
        <v>0</v>
      </c>
      <c r="AU8425" s="6">
        <v>42094</v>
      </c>
      <c r="AV8425" s="6">
        <v>42094</v>
      </c>
      <c r="AW8425" t="s">
        <v>54</v>
      </c>
      <c r="AX8425" t="str">
        <f t="shared" si="684"/>
        <v>FOR</v>
      </c>
      <c r="AY8425" t="s">
        <v>55</v>
      </c>
    </row>
    <row r="8426" spans="1:51" hidden="1">
      <c r="A8426">
        <v>106251</v>
      </c>
      <c r="B8426" t="s">
        <v>1377</v>
      </c>
      <c r="C8426" t="str">
        <f t="shared" si="688"/>
        <v>01296201005</v>
      </c>
      <c r="D8426" t="str">
        <f t="shared" si="689"/>
        <v>04742650585</v>
      </c>
      <c r="E8426" t="s">
        <v>52</v>
      </c>
      <c r="F8426">
        <v>2014</v>
      </c>
      <c r="G8426">
        <v>11326</v>
      </c>
      <c r="H8426" s="1">
        <v>41752</v>
      </c>
      <c r="I8426" s="1">
        <v>41773</v>
      </c>
      <c r="J8426" s="1">
        <v>41773</v>
      </c>
      <c r="K8426" s="1">
        <v>41863</v>
      </c>
      <c r="N8426" s="5"/>
      <c r="O8426">
        <v>936.96</v>
      </c>
      <c r="P8426">
        <v>231</v>
      </c>
      <c r="Q8426" s="2">
        <v>216437.76000000001</v>
      </c>
      <c r="R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 s="1">
        <v>42382</v>
      </c>
      <c r="AC8426" t="s">
        <v>53</v>
      </c>
      <c r="AD8426" t="s">
        <v>53</v>
      </c>
      <c r="AK8426">
        <v>0</v>
      </c>
      <c r="AU8426" s="6">
        <v>42094</v>
      </c>
      <c r="AV8426" s="6">
        <v>42094</v>
      </c>
      <c r="AW8426" t="s">
        <v>54</v>
      </c>
      <c r="AX8426" t="str">
        <f t="shared" si="684"/>
        <v>FOR</v>
      </c>
      <c r="AY8426" t="s">
        <v>55</v>
      </c>
    </row>
    <row r="8427" spans="1:51" hidden="1">
      <c r="A8427">
        <v>106251</v>
      </c>
      <c r="B8427" t="s">
        <v>1377</v>
      </c>
      <c r="C8427" t="str">
        <f t="shared" si="688"/>
        <v>01296201005</v>
      </c>
      <c r="D8427" t="str">
        <f t="shared" si="689"/>
        <v>04742650585</v>
      </c>
      <c r="E8427" t="s">
        <v>52</v>
      </c>
      <c r="F8427">
        <v>2014</v>
      </c>
      <c r="G8427">
        <v>11822</v>
      </c>
      <c r="H8427" s="1">
        <v>41785</v>
      </c>
      <c r="I8427" s="1">
        <v>41809</v>
      </c>
      <c r="J8427" s="1">
        <v>41809</v>
      </c>
      <c r="K8427" s="1">
        <v>41899</v>
      </c>
      <c r="N8427" s="5"/>
      <c r="O8427" s="2">
        <v>1459.12</v>
      </c>
      <c r="P8427">
        <v>232</v>
      </c>
      <c r="Q8427" s="2">
        <v>338515.84</v>
      </c>
      <c r="R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 s="1">
        <v>42382</v>
      </c>
      <c r="AC8427" t="s">
        <v>53</v>
      </c>
      <c r="AD8427" t="s">
        <v>53</v>
      </c>
      <c r="AK8427">
        <v>0</v>
      </c>
      <c r="AU8427" s="6">
        <v>42131</v>
      </c>
      <c r="AV8427" s="6">
        <v>42131</v>
      </c>
      <c r="AW8427" t="s">
        <v>54</v>
      </c>
      <c r="AX8427" t="str">
        <f t="shared" si="684"/>
        <v>FOR</v>
      </c>
      <c r="AY8427" t="s">
        <v>55</v>
      </c>
    </row>
    <row r="8428" spans="1:51" hidden="1">
      <c r="A8428">
        <v>106251</v>
      </c>
      <c r="B8428" t="s">
        <v>1377</v>
      </c>
      <c r="C8428" t="str">
        <f t="shared" si="688"/>
        <v>01296201005</v>
      </c>
      <c r="D8428" t="str">
        <f t="shared" si="689"/>
        <v>04742650585</v>
      </c>
      <c r="E8428" t="s">
        <v>52</v>
      </c>
      <c r="F8428">
        <v>2014</v>
      </c>
      <c r="G8428">
        <v>11949</v>
      </c>
      <c r="H8428" s="1">
        <v>41789</v>
      </c>
      <c r="I8428" s="1">
        <v>41809</v>
      </c>
      <c r="J8428" s="1">
        <v>41809</v>
      </c>
      <c r="K8428" s="1">
        <v>41899</v>
      </c>
      <c r="N8428" s="5"/>
      <c r="O8428">
        <v>756.4</v>
      </c>
      <c r="P8428">
        <v>232</v>
      </c>
      <c r="Q8428" s="2">
        <v>175484.79999999999</v>
      </c>
      <c r="R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 s="1">
        <v>42382</v>
      </c>
      <c r="AC8428" t="s">
        <v>53</v>
      </c>
      <c r="AD8428" t="s">
        <v>53</v>
      </c>
      <c r="AK8428">
        <v>0</v>
      </c>
      <c r="AU8428" s="6">
        <v>42131</v>
      </c>
      <c r="AV8428" s="6">
        <v>42131</v>
      </c>
      <c r="AW8428" t="s">
        <v>54</v>
      </c>
      <c r="AX8428" t="str">
        <f t="shared" si="684"/>
        <v>FOR</v>
      </c>
      <c r="AY8428" t="s">
        <v>55</v>
      </c>
    </row>
    <row r="8429" spans="1:51" hidden="1">
      <c r="A8429">
        <v>106251</v>
      </c>
      <c r="B8429" t="s">
        <v>1377</v>
      </c>
      <c r="C8429" t="str">
        <f t="shared" si="688"/>
        <v>01296201005</v>
      </c>
      <c r="D8429" t="str">
        <f t="shared" si="689"/>
        <v>04742650585</v>
      </c>
      <c r="E8429" t="s">
        <v>52</v>
      </c>
      <c r="F8429">
        <v>2014</v>
      </c>
      <c r="G8429">
        <v>12095</v>
      </c>
      <c r="H8429" s="1">
        <v>41807</v>
      </c>
      <c r="I8429" s="1">
        <v>41834</v>
      </c>
      <c r="J8429" s="1">
        <v>41834</v>
      </c>
      <c r="K8429" s="1">
        <v>41924</v>
      </c>
      <c r="N8429" s="5"/>
      <c r="O8429" s="2">
        <v>1134.5999999999999</v>
      </c>
      <c r="P8429">
        <v>235</v>
      </c>
      <c r="Q8429" s="2">
        <v>266631</v>
      </c>
      <c r="R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 s="1">
        <v>42382</v>
      </c>
      <c r="AC8429" t="s">
        <v>53</v>
      </c>
      <c r="AD8429" t="s">
        <v>53</v>
      </c>
      <c r="AK8429">
        <v>0</v>
      </c>
      <c r="AU8429" s="6">
        <v>42159</v>
      </c>
      <c r="AV8429" s="6">
        <v>42159</v>
      </c>
      <c r="AW8429" t="s">
        <v>54</v>
      </c>
      <c r="AX8429" t="str">
        <f t="shared" si="684"/>
        <v>FOR</v>
      </c>
      <c r="AY8429" t="s">
        <v>55</v>
      </c>
    </row>
    <row r="8430" spans="1:51" hidden="1">
      <c r="A8430">
        <v>106251</v>
      </c>
      <c r="B8430" t="s">
        <v>1377</v>
      </c>
      <c r="C8430" t="str">
        <f t="shared" si="688"/>
        <v>01296201005</v>
      </c>
      <c r="D8430" t="str">
        <f t="shared" si="689"/>
        <v>04742650585</v>
      </c>
      <c r="E8430" t="s">
        <v>52</v>
      </c>
      <c r="F8430">
        <v>2014</v>
      </c>
      <c r="G8430">
        <v>12370</v>
      </c>
      <c r="H8430" s="1">
        <v>41820</v>
      </c>
      <c r="I8430" s="1">
        <v>41830</v>
      </c>
      <c r="J8430" s="1">
        <v>41830</v>
      </c>
      <c r="K8430" s="1">
        <v>41920</v>
      </c>
      <c r="N8430" s="5"/>
      <c r="O8430">
        <v>378.2</v>
      </c>
      <c r="P8430">
        <v>239</v>
      </c>
      <c r="Q8430" s="2">
        <v>90389.8</v>
      </c>
      <c r="R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 s="1">
        <v>42382</v>
      </c>
      <c r="AC8430" t="s">
        <v>53</v>
      </c>
      <c r="AD8430" t="s">
        <v>53</v>
      </c>
      <c r="AK8430">
        <v>0</v>
      </c>
      <c r="AU8430" s="6">
        <v>42159</v>
      </c>
      <c r="AV8430" s="6">
        <v>42159</v>
      </c>
      <c r="AW8430" t="s">
        <v>54</v>
      </c>
      <c r="AX8430" t="str">
        <f t="shared" si="684"/>
        <v>FOR</v>
      </c>
      <c r="AY8430" t="s">
        <v>55</v>
      </c>
    </row>
    <row r="8431" spans="1:51" hidden="1">
      <c r="A8431">
        <v>106251</v>
      </c>
      <c r="B8431" t="s">
        <v>1377</v>
      </c>
      <c r="C8431" t="str">
        <f t="shared" si="688"/>
        <v>01296201005</v>
      </c>
      <c r="D8431" t="str">
        <f t="shared" si="689"/>
        <v>04742650585</v>
      </c>
      <c r="E8431" t="s">
        <v>52</v>
      </c>
      <c r="F8431">
        <v>2014</v>
      </c>
      <c r="G8431">
        <v>12371</v>
      </c>
      <c r="H8431" s="1">
        <v>41820</v>
      </c>
      <c r="I8431" s="1">
        <v>41830</v>
      </c>
      <c r="J8431" s="1">
        <v>41830</v>
      </c>
      <c r="K8431" s="1">
        <v>41920</v>
      </c>
      <c r="N8431" s="5"/>
      <c r="O8431">
        <v>468.48</v>
      </c>
      <c r="P8431">
        <v>239</v>
      </c>
      <c r="Q8431" s="2">
        <v>111966.72</v>
      </c>
      <c r="R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 s="1">
        <v>42382</v>
      </c>
      <c r="AC8431" t="s">
        <v>53</v>
      </c>
      <c r="AD8431" t="s">
        <v>53</v>
      </c>
      <c r="AK8431">
        <v>0</v>
      </c>
      <c r="AU8431" s="6">
        <v>42159</v>
      </c>
      <c r="AV8431" s="6">
        <v>42159</v>
      </c>
      <c r="AW8431" t="s">
        <v>54</v>
      </c>
      <c r="AX8431" t="str">
        <f t="shared" si="684"/>
        <v>FOR</v>
      </c>
      <c r="AY8431" t="s">
        <v>55</v>
      </c>
    </row>
    <row r="8432" spans="1:51" hidden="1">
      <c r="A8432">
        <v>106251</v>
      </c>
      <c r="B8432" t="s">
        <v>1377</v>
      </c>
      <c r="C8432" t="str">
        <f t="shared" si="688"/>
        <v>01296201005</v>
      </c>
      <c r="D8432" t="str">
        <f t="shared" si="689"/>
        <v>04742650585</v>
      </c>
      <c r="E8432" t="s">
        <v>52</v>
      </c>
      <c r="F8432">
        <v>2014</v>
      </c>
      <c r="G8432">
        <v>12567</v>
      </c>
      <c r="H8432" s="1">
        <v>41831</v>
      </c>
      <c r="I8432" s="1">
        <v>41876</v>
      </c>
      <c r="J8432" s="1">
        <v>41876</v>
      </c>
      <c r="K8432" s="1">
        <v>41966</v>
      </c>
      <c r="N8432" s="5"/>
      <c r="O8432">
        <v>873.52</v>
      </c>
      <c r="P8432">
        <v>218</v>
      </c>
      <c r="Q8432" s="2">
        <v>190427.36</v>
      </c>
      <c r="R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 s="1">
        <v>42382</v>
      </c>
      <c r="AC8432" t="s">
        <v>53</v>
      </c>
      <c r="AD8432" t="s">
        <v>53</v>
      </c>
      <c r="AK8432">
        <v>0</v>
      </c>
      <c r="AU8432" s="6">
        <v>42184</v>
      </c>
      <c r="AV8432" s="6">
        <v>42184</v>
      </c>
      <c r="AW8432" t="s">
        <v>54</v>
      </c>
      <c r="AX8432" t="str">
        <f t="shared" si="684"/>
        <v>FOR</v>
      </c>
      <c r="AY8432" t="s">
        <v>55</v>
      </c>
    </row>
    <row r="8433" spans="1:51" hidden="1">
      <c r="A8433">
        <v>106251</v>
      </c>
      <c r="B8433" t="s">
        <v>1377</v>
      </c>
      <c r="C8433" t="str">
        <f t="shared" si="688"/>
        <v>01296201005</v>
      </c>
      <c r="D8433" t="str">
        <f t="shared" si="689"/>
        <v>04742650585</v>
      </c>
      <c r="E8433" t="s">
        <v>52</v>
      </c>
      <c r="F8433">
        <v>2014</v>
      </c>
      <c r="G8433">
        <v>12888</v>
      </c>
      <c r="H8433" s="1">
        <v>41851</v>
      </c>
      <c r="I8433" s="1">
        <v>41876</v>
      </c>
      <c r="J8433" s="1">
        <v>41876</v>
      </c>
      <c r="K8433" s="1">
        <v>41966</v>
      </c>
      <c r="N8433" s="5"/>
      <c r="O8433">
        <v>756.4</v>
      </c>
      <c r="P8433">
        <v>218</v>
      </c>
      <c r="Q8433" s="2">
        <v>164895.20000000001</v>
      </c>
      <c r="R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 s="1">
        <v>42382</v>
      </c>
      <c r="AC8433" t="s">
        <v>53</v>
      </c>
      <c r="AD8433" t="s">
        <v>53</v>
      </c>
      <c r="AK8433">
        <v>0</v>
      </c>
      <c r="AU8433" s="6">
        <v>42184</v>
      </c>
      <c r="AV8433" s="6">
        <v>42184</v>
      </c>
      <c r="AW8433" t="s">
        <v>54</v>
      </c>
      <c r="AX8433" t="str">
        <f t="shared" si="684"/>
        <v>FOR</v>
      </c>
      <c r="AY8433" t="s">
        <v>55</v>
      </c>
    </row>
    <row r="8434" spans="1:51" hidden="1">
      <c r="A8434">
        <v>106251</v>
      </c>
      <c r="B8434" t="s">
        <v>1377</v>
      </c>
      <c r="C8434" t="str">
        <f t="shared" si="688"/>
        <v>01296201005</v>
      </c>
      <c r="D8434" t="str">
        <f t="shared" si="689"/>
        <v>04742650585</v>
      </c>
      <c r="E8434" t="s">
        <v>52</v>
      </c>
      <c r="F8434">
        <v>2014</v>
      </c>
      <c r="G8434">
        <v>12974</v>
      </c>
      <c r="H8434" s="1">
        <v>41859</v>
      </c>
      <c r="I8434" s="1">
        <v>41892</v>
      </c>
      <c r="J8434" s="1">
        <v>41892</v>
      </c>
      <c r="K8434" s="1">
        <v>41982</v>
      </c>
      <c r="N8434" s="5"/>
      <c r="O8434" s="2">
        <v>2981.68</v>
      </c>
      <c r="P8434">
        <v>202</v>
      </c>
      <c r="Q8434" s="2">
        <v>602299.36</v>
      </c>
      <c r="R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 s="1">
        <v>42382</v>
      </c>
      <c r="AC8434" t="s">
        <v>53</v>
      </c>
      <c r="AD8434" t="s">
        <v>53</v>
      </c>
      <c r="AK8434">
        <v>0</v>
      </c>
      <c r="AU8434" s="6">
        <v>42184</v>
      </c>
      <c r="AV8434" s="6">
        <v>42184</v>
      </c>
      <c r="AW8434" t="s">
        <v>54</v>
      </c>
      <c r="AX8434" t="str">
        <f t="shared" si="684"/>
        <v>FOR</v>
      </c>
      <c r="AY8434" t="s">
        <v>55</v>
      </c>
    </row>
    <row r="8435" spans="1:51" hidden="1">
      <c r="A8435">
        <v>106251</v>
      </c>
      <c r="B8435" t="s">
        <v>1377</v>
      </c>
      <c r="C8435" t="str">
        <f t="shared" si="688"/>
        <v>01296201005</v>
      </c>
      <c r="D8435" t="str">
        <f t="shared" si="689"/>
        <v>04742650585</v>
      </c>
      <c r="E8435" t="s">
        <v>52</v>
      </c>
      <c r="F8435">
        <v>2014</v>
      </c>
      <c r="G8435">
        <v>13138</v>
      </c>
      <c r="H8435" s="1">
        <v>41873</v>
      </c>
      <c r="I8435" s="1">
        <v>41892</v>
      </c>
      <c r="J8435" s="1">
        <v>41892</v>
      </c>
      <c r="K8435" s="1">
        <v>41982</v>
      </c>
      <c r="N8435" s="5"/>
      <c r="O8435" s="2">
        <v>1485.96</v>
      </c>
      <c r="P8435">
        <v>202</v>
      </c>
      <c r="Q8435" s="2">
        <v>300163.92</v>
      </c>
      <c r="R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 s="1">
        <v>42382</v>
      </c>
      <c r="AC8435" t="s">
        <v>53</v>
      </c>
      <c r="AD8435" t="s">
        <v>53</v>
      </c>
      <c r="AK8435">
        <v>0</v>
      </c>
      <c r="AU8435" s="6">
        <v>42184</v>
      </c>
      <c r="AV8435" s="6">
        <v>42184</v>
      </c>
      <c r="AW8435" t="s">
        <v>54</v>
      </c>
      <c r="AX8435" t="str">
        <f t="shared" si="684"/>
        <v>FOR</v>
      </c>
      <c r="AY8435" t="s">
        <v>55</v>
      </c>
    </row>
    <row r="8436" spans="1:51" hidden="1">
      <c r="A8436">
        <v>106251</v>
      </c>
      <c r="B8436" t="s">
        <v>1377</v>
      </c>
      <c r="C8436" t="str">
        <f t="shared" si="688"/>
        <v>01296201005</v>
      </c>
      <c r="D8436" t="str">
        <f t="shared" si="689"/>
        <v>04742650585</v>
      </c>
      <c r="E8436" t="s">
        <v>52</v>
      </c>
      <c r="F8436">
        <v>2014</v>
      </c>
      <c r="G8436">
        <v>13305</v>
      </c>
      <c r="H8436" s="1">
        <v>41897</v>
      </c>
      <c r="I8436" s="1">
        <v>41911</v>
      </c>
      <c r="J8436" s="1">
        <v>41911</v>
      </c>
      <c r="K8436" s="1">
        <v>42001</v>
      </c>
      <c r="N8436" s="5"/>
      <c r="O8436">
        <v>756.4</v>
      </c>
      <c r="P8436">
        <v>247</v>
      </c>
      <c r="Q8436" s="2">
        <v>186830.8</v>
      </c>
      <c r="R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 s="1">
        <v>42382</v>
      </c>
      <c r="AC8436" t="s">
        <v>53</v>
      </c>
      <c r="AD8436" t="s">
        <v>53</v>
      </c>
      <c r="AK8436">
        <v>0</v>
      </c>
      <c r="AU8436" s="6">
        <v>42248</v>
      </c>
      <c r="AV8436" s="6">
        <v>42248</v>
      </c>
      <c r="AW8436" t="s">
        <v>54</v>
      </c>
      <c r="AX8436" t="str">
        <f t="shared" si="684"/>
        <v>FOR</v>
      </c>
      <c r="AY8436" t="s">
        <v>55</v>
      </c>
    </row>
    <row r="8437" spans="1:51">
      <c r="A8437">
        <v>106251</v>
      </c>
      <c r="B8437" t="s">
        <v>1377</v>
      </c>
      <c r="C8437" t="str">
        <f t="shared" si="688"/>
        <v>01296201005</v>
      </c>
      <c r="D8437" t="str">
        <f t="shared" si="689"/>
        <v>04742650585</v>
      </c>
      <c r="E8437" t="s">
        <v>52</v>
      </c>
      <c r="F8437">
        <v>2014</v>
      </c>
      <c r="G8437">
        <v>13891</v>
      </c>
      <c r="H8437" s="1">
        <v>41942</v>
      </c>
      <c r="I8437" s="1">
        <v>41956</v>
      </c>
      <c r="J8437" s="1">
        <v>41956</v>
      </c>
      <c r="K8437" s="1">
        <v>42016</v>
      </c>
      <c r="L8437" s="7">
        <v>585.6</v>
      </c>
      <c r="M8437" s="5">
        <v>267</v>
      </c>
      <c r="N8437" s="7">
        <v>156355.20000000001</v>
      </c>
      <c r="O8437">
        <v>585.6</v>
      </c>
      <c r="P8437">
        <v>267</v>
      </c>
      <c r="Q8437" s="2">
        <v>156355.20000000001</v>
      </c>
      <c r="R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 s="1">
        <v>42382</v>
      </c>
      <c r="AC8437" t="s">
        <v>53</v>
      </c>
      <c r="AD8437" t="s">
        <v>53</v>
      </c>
      <c r="AK8437">
        <v>0</v>
      </c>
      <c r="AU8437" s="6">
        <v>42283</v>
      </c>
      <c r="AV8437" s="6">
        <v>42283</v>
      </c>
      <c r="AW8437" t="s">
        <v>54</v>
      </c>
      <c r="AX8437" t="str">
        <f t="shared" si="684"/>
        <v>FOR</v>
      </c>
      <c r="AY8437" t="s">
        <v>55</v>
      </c>
    </row>
    <row r="8438" spans="1:51">
      <c r="A8438">
        <v>106251</v>
      </c>
      <c r="B8438" t="s">
        <v>1377</v>
      </c>
      <c r="C8438" t="str">
        <f t="shared" si="688"/>
        <v>01296201005</v>
      </c>
      <c r="D8438" t="str">
        <f t="shared" si="689"/>
        <v>04742650585</v>
      </c>
      <c r="E8438" t="s">
        <v>52</v>
      </c>
      <c r="F8438">
        <v>2014</v>
      </c>
      <c r="G8438">
        <v>13892</v>
      </c>
      <c r="H8438" s="1">
        <v>41943</v>
      </c>
      <c r="I8438" s="1">
        <v>41956</v>
      </c>
      <c r="J8438" s="1">
        <v>41956</v>
      </c>
      <c r="K8438" s="1">
        <v>42016</v>
      </c>
      <c r="L8438" s="7">
        <v>2881.64</v>
      </c>
      <c r="M8438" s="5">
        <v>267</v>
      </c>
      <c r="N8438" s="7">
        <v>769397.88</v>
      </c>
      <c r="O8438" s="2">
        <v>2881.64</v>
      </c>
      <c r="P8438">
        <v>267</v>
      </c>
      <c r="Q8438" s="2">
        <v>769397.88</v>
      </c>
      <c r="R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 s="1">
        <v>42382</v>
      </c>
      <c r="AC8438" t="s">
        <v>53</v>
      </c>
      <c r="AD8438" t="s">
        <v>53</v>
      </c>
      <c r="AK8438">
        <v>0</v>
      </c>
      <c r="AU8438" s="6">
        <v>42283</v>
      </c>
      <c r="AV8438" s="6">
        <v>42283</v>
      </c>
      <c r="AW8438" t="s">
        <v>54</v>
      </c>
      <c r="AX8438" t="str">
        <f t="shared" si="684"/>
        <v>FOR</v>
      </c>
      <c r="AY8438" t="s">
        <v>55</v>
      </c>
    </row>
    <row r="8439" spans="1:51">
      <c r="A8439">
        <v>106251</v>
      </c>
      <c r="B8439" t="s">
        <v>1377</v>
      </c>
      <c r="C8439" t="str">
        <f t="shared" si="688"/>
        <v>01296201005</v>
      </c>
      <c r="D8439" t="str">
        <f t="shared" si="689"/>
        <v>04742650585</v>
      </c>
      <c r="E8439" t="s">
        <v>52</v>
      </c>
      <c r="F8439">
        <v>2014</v>
      </c>
      <c r="G8439">
        <v>14178</v>
      </c>
      <c r="H8439" s="1">
        <v>41962</v>
      </c>
      <c r="I8439" s="1">
        <v>41976</v>
      </c>
      <c r="J8439" s="1">
        <v>41976</v>
      </c>
      <c r="K8439" s="1">
        <v>42036</v>
      </c>
      <c r="L8439" s="7">
        <v>702.72</v>
      </c>
      <c r="M8439" s="5">
        <v>269</v>
      </c>
      <c r="N8439" s="7">
        <v>189031.67999999999</v>
      </c>
      <c r="O8439">
        <v>702.72</v>
      </c>
      <c r="P8439">
        <v>269</v>
      </c>
      <c r="Q8439" s="2">
        <v>189031.67999999999</v>
      </c>
      <c r="R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 s="1">
        <v>42382</v>
      </c>
      <c r="AC8439" t="s">
        <v>53</v>
      </c>
      <c r="AD8439" t="s">
        <v>53</v>
      </c>
      <c r="AK8439">
        <v>0</v>
      </c>
      <c r="AU8439" s="6">
        <v>42305</v>
      </c>
      <c r="AV8439" s="6">
        <v>42305</v>
      </c>
      <c r="AW8439" t="s">
        <v>54</v>
      </c>
      <c r="AX8439" t="str">
        <f t="shared" si="684"/>
        <v>FOR</v>
      </c>
      <c r="AY8439" t="s">
        <v>55</v>
      </c>
    </row>
    <row r="8440" spans="1:51">
      <c r="A8440">
        <v>106251</v>
      </c>
      <c r="B8440" t="s">
        <v>1377</v>
      </c>
      <c r="C8440" t="str">
        <f t="shared" si="688"/>
        <v>01296201005</v>
      </c>
      <c r="D8440" t="str">
        <f t="shared" si="689"/>
        <v>04742650585</v>
      </c>
      <c r="E8440" t="s">
        <v>52</v>
      </c>
      <c r="F8440">
        <v>2014</v>
      </c>
      <c r="G8440">
        <v>14533</v>
      </c>
      <c r="H8440" s="1">
        <v>41992</v>
      </c>
      <c r="I8440" s="1">
        <v>42024</v>
      </c>
      <c r="J8440" s="1">
        <v>42024</v>
      </c>
      <c r="K8440" s="1">
        <v>42084</v>
      </c>
      <c r="L8440" s="7">
        <v>1884.9</v>
      </c>
      <c r="M8440" s="5">
        <v>221</v>
      </c>
      <c r="N8440" s="7">
        <v>416562.9</v>
      </c>
      <c r="O8440" s="2">
        <v>1884.9</v>
      </c>
      <c r="P8440">
        <v>221</v>
      </c>
      <c r="Q8440" s="2">
        <v>416562.9</v>
      </c>
      <c r="R8440">
        <v>0</v>
      </c>
      <c r="V8440">
        <v>0</v>
      </c>
      <c r="W8440">
        <v>0</v>
      </c>
      <c r="X8440">
        <v>0</v>
      </c>
      <c r="Y8440">
        <v>0</v>
      </c>
      <c r="Z8440" s="2">
        <v>1884.9</v>
      </c>
      <c r="AA8440">
        <v>0</v>
      </c>
      <c r="AB8440" s="1">
        <v>42382</v>
      </c>
      <c r="AC8440" t="s">
        <v>53</v>
      </c>
      <c r="AD8440" t="s">
        <v>53</v>
      </c>
      <c r="AK8440">
        <v>0</v>
      </c>
      <c r="AU8440" s="6">
        <v>42305</v>
      </c>
      <c r="AV8440" s="6">
        <v>42305</v>
      </c>
      <c r="AW8440" t="s">
        <v>54</v>
      </c>
      <c r="AX8440" t="str">
        <f t="shared" si="684"/>
        <v>FOR</v>
      </c>
      <c r="AY8440" t="s">
        <v>55</v>
      </c>
    </row>
    <row r="8441" spans="1:51">
      <c r="A8441">
        <v>106251</v>
      </c>
      <c r="B8441" t="s">
        <v>1377</v>
      </c>
      <c r="C8441" t="str">
        <f t="shared" si="688"/>
        <v>01296201005</v>
      </c>
      <c r="D8441" t="str">
        <f t="shared" si="689"/>
        <v>04742650585</v>
      </c>
      <c r="E8441" t="s">
        <v>52</v>
      </c>
      <c r="F8441">
        <v>2014</v>
      </c>
      <c r="G8441">
        <v>14626</v>
      </c>
      <c r="H8441" s="1">
        <v>42003</v>
      </c>
      <c r="I8441" s="1">
        <v>42024</v>
      </c>
      <c r="J8441" s="1">
        <v>42024</v>
      </c>
      <c r="K8441" s="1">
        <v>42084</v>
      </c>
      <c r="L8441" s="7">
        <v>351.36</v>
      </c>
      <c r="M8441" s="5">
        <v>221</v>
      </c>
      <c r="N8441" s="7">
        <v>77650.559999999998</v>
      </c>
      <c r="O8441">
        <v>351.36</v>
      </c>
      <c r="P8441">
        <v>221</v>
      </c>
      <c r="Q8441" s="2">
        <v>77650.559999999998</v>
      </c>
      <c r="R8441">
        <v>0</v>
      </c>
      <c r="V8441">
        <v>0</v>
      </c>
      <c r="W8441">
        <v>0</v>
      </c>
      <c r="X8441">
        <v>0</v>
      </c>
      <c r="Y8441">
        <v>0</v>
      </c>
      <c r="Z8441">
        <v>351.36</v>
      </c>
      <c r="AA8441">
        <v>0</v>
      </c>
      <c r="AB8441" s="1">
        <v>42382</v>
      </c>
      <c r="AC8441" t="s">
        <v>53</v>
      </c>
      <c r="AD8441" t="s">
        <v>53</v>
      </c>
      <c r="AK8441">
        <v>0</v>
      </c>
      <c r="AU8441" s="6">
        <v>42305</v>
      </c>
      <c r="AV8441" s="6">
        <v>42305</v>
      </c>
      <c r="AW8441" t="s">
        <v>54</v>
      </c>
      <c r="AX8441" t="str">
        <f t="shared" si="684"/>
        <v>FOR</v>
      </c>
      <c r="AY8441" t="s">
        <v>55</v>
      </c>
    </row>
    <row r="8442" spans="1:51" hidden="1">
      <c r="A8442">
        <v>106251</v>
      </c>
      <c r="B8442" t="s">
        <v>1377</v>
      </c>
      <c r="C8442" t="str">
        <f t="shared" si="688"/>
        <v>01296201005</v>
      </c>
      <c r="D8442" t="str">
        <f t="shared" si="689"/>
        <v>04742650585</v>
      </c>
      <c r="E8442" t="s">
        <v>52</v>
      </c>
      <c r="F8442">
        <v>2015</v>
      </c>
      <c r="G8442">
        <v>23</v>
      </c>
      <c r="H8442" s="1">
        <v>42067</v>
      </c>
      <c r="I8442" s="1">
        <v>42067</v>
      </c>
      <c r="J8442" s="1">
        <v>42067</v>
      </c>
      <c r="K8442" s="1">
        <v>42127</v>
      </c>
      <c r="N8442" s="5"/>
      <c r="O8442">
        <v>-54</v>
      </c>
      <c r="P8442">
        <v>-19</v>
      </c>
      <c r="Q8442" s="2">
        <v>1026</v>
      </c>
      <c r="R8442">
        <v>0</v>
      </c>
      <c r="V8442">
        <v>0</v>
      </c>
      <c r="W8442">
        <v>0</v>
      </c>
      <c r="X8442">
        <v>0</v>
      </c>
      <c r="Y8442">
        <v>-54</v>
      </c>
      <c r="Z8442">
        <v>-54</v>
      </c>
      <c r="AA8442">
        <v>-54</v>
      </c>
      <c r="AB8442" s="1">
        <v>42382</v>
      </c>
      <c r="AC8442" t="s">
        <v>53</v>
      </c>
      <c r="AD8442" t="s">
        <v>53</v>
      </c>
      <c r="AK8442">
        <v>0</v>
      </c>
      <c r="AU8442" s="6">
        <v>42108</v>
      </c>
      <c r="AV8442" s="6">
        <v>42108</v>
      </c>
      <c r="AW8442" t="s">
        <v>54</v>
      </c>
      <c r="AX8442" t="str">
        <f t="shared" si="684"/>
        <v>FOR</v>
      </c>
      <c r="AY8442" t="s">
        <v>55</v>
      </c>
    </row>
    <row r="8443" spans="1:51">
      <c r="A8443">
        <v>106251</v>
      </c>
      <c r="B8443" t="s">
        <v>1377</v>
      </c>
      <c r="C8443" t="str">
        <f t="shared" si="688"/>
        <v>01296201005</v>
      </c>
      <c r="D8443" t="str">
        <f t="shared" si="689"/>
        <v>04742650585</v>
      </c>
      <c r="E8443" t="s">
        <v>52</v>
      </c>
      <c r="F8443">
        <v>2015</v>
      </c>
      <c r="G8443">
        <v>10108</v>
      </c>
      <c r="H8443" s="1">
        <v>42030</v>
      </c>
      <c r="I8443" s="1">
        <v>42052</v>
      </c>
      <c r="J8443" s="1">
        <v>42052</v>
      </c>
      <c r="K8443" s="1">
        <v>42112</v>
      </c>
      <c r="L8443" s="7">
        <v>620</v>
      </c>
      <c r="M8443" s="5">
        <v>243</v>
      </c>
      <c r="N8443" s="7">
        <v>150660</v>
      </c>
      <c r="O8443">
        <v>620</v>
      </c>
      <c r="P8443">
        <v>243</v>
      </c>
      <c r="Q8443" s="2">
        <v>150660</v>
      </c>
      <c r="R8443">
        <v>136.4</v>
      </c>
      <c r="V8443">
        <v>0</v>
      </c>
      <c r="W8443">
        <v>0</v>
      </c>
      <c r="X8443">
        <v>0</v>
      </c>
      <c r="Y8443">
        <v>756.4</v>
      </c>
      <c r="Z8443">
        <v>756.4</v>
      </c>
      <c r="AA8443">
        <v>756.4</v>
      </c>
      <c r="AB8443" s="1">
        <v>42382</v>
      </c>
      <c r="AC8443" t="s">
        <v>53</v>
      </c>
      <c r="AD8443" t="s">
        <v>53</v>
      </c>
      <c r="AK8443">
        <v>136.4</v>
      </c>
      <c r="AU8443" s="6">
        <v>42355</v>
      </c>
      <c r="AV8443" s="6">
        <v>42355</v>
      </c>
      <c r="AW8443" t="s">
        <v>54</v>
      </c>
      <c r="AX8443" t="str">
        <f t="shared" si="684"/>
        <v>FOR</v>
      </c>
      <c r="AY8443" t="s">
        <v>55</v>
      </c>
    </row>
    <row r="8444" spans="1:51">
      <c r="A8444">
        <v>106251</v>
      </c>
      <c r="B8444" t="s">
        <v>1377</v>
      </c>
      <c r="C8444" t="str">
        <f t="shared" si="688"/>
        <v>01296201005</v>
      </c>
      <c r="D8444" t="str">
        <f t="shared" si="689"/>
        <v>04742650585</v>
      </c>
      <c r="E8444" t="s">
        <v>52</v>
      </c>
      <c r="F8444">
        <v>2015</v>
      </c>
      <c r="G8444">
        <v>10320</v>
      </c>
      <c r="H8444" s="1">
        <v>42041</v>
      </c>
      <c r="I8444" s="1">
        <v>42054</v>
      </c>
      <c r="J8444" s="1">
        <v>42054</v>
      </c>
      <c r="K8444" s="1">
        <v>42114</v>
      </c>
      <c r="L8444" s="7">
        <v>288</v>
      </c>
      <c r="M8444" s="5">
        <v>241</v>
      </c>
      <c r="N8444" s="7">
        <v>69408</v>
      </c>
      <c r="O8444">
        <v>288</v>
      </c>
      <c r="P8444">
        <v>241</v>
      </c>
      <c r="Q8444" s="2">
        <v>69408</v>
      </c>
      <c r="R8444">
        <v>63.36</v>
      </c>
      <c r="V8444">
        <v>0</v>
      </c>
      <c r="W8444">
        <v>0</v>
      </c>
      <c r="X8444">
        <v>0</v>
      </c>
      <c r="Y8444">
        <v>351.36</v>
      </c>
      <c r="Z8444">
        <v>351.36</v>
      </c>
      <c r="AA8444">
        <v>351.36</v>
      </c>
      <c r="AB8444" s="1">
        <v>42382</v>
      </c>
      <c r="AC8444" t="s">
        <v>53</v>
      </c>
      <c r="AD8444" t="s">
        <v>53</v>
      </c>
      <c r="AK8444">
        <v>63.36</v>
      </c>
      <c r="AU8444" s="6">
        <v>42355</v>
      </c>
      <c r="AV8444" s="6">
        <v>42355</v>
      </c>
      <c r="AW8444" t="s">
        <v>54</v>
      </c>
      <c r="AX8444" t="str">
        <f t="shared" si="684"/>
        <v>FOR</v>
      </c>
      <c r="AY8444" t="s">
        <v>55</v>
      </c>
    </row>
    <row r="8445" spans="1:51">
      <c r="A8445">
        <v>106251</v>
      </c>
      <c r="B8445" t="s">
        <v>1377</v>
      </c>
      <c r="C8445" t="str">
        <f t="shared" si="688"/>
        <v>01296201005</v>
      </c>
      <c r="D8445" t="str">
        <f t="shared" si="689"/>
        <v>04742650585</v>
      </c>
      <c r="E8445" t="s">
        <v>52</v>
      </c>
      <c r="F8445">
        <v>2015</v>
      </c>
      <c r="G8445">
        <v>10321</v>
      </c>
      <c r="H8445" s="1">
        <v>42041</v>
      </c>
      <c r="I8445" s="1">
        <v>42054</v>
      </c>
      <c r="J8445" s="1">
        <v>42054</v>
      </c>
      <c r="K8445" s="1">
        <v>42114</v>
      </c>
      <c r="L8445" s="7">
        <v>384</v>
      </c>
      <c r="M8445" s="5">
        <v>241</v>
      </c>
      <c r="N8445" s="7">
        <v>92544</v>
      </c>
      <c r="O8445">
        <v>384</v>
      </c>
      <c r="P8445">
        <v>241</v>
      </c>
      <c r="Q8445" s="2">
        <v>92544</v>
      </c>
      <c r="R8445">
        <v>84.48</v>
      </c>
      <c r="V8445">
        <v>0</v>
      </c>
      <c r="W8445">
        <v>0</v>
      </c>
      <c r="X8445">
        <v>0</v>
      </c>
      <c r="Y8445">
        <v>468.48</v>
      </c>
      <c r="Z8445">
        <v>468.48</v>
      </c>
      <c r="AA8445">
        <v>468.48</v>
      </c>
      <c r="AB8445" s="1">
        <v>42382</v>
      </c>
      <c r="AC8445" t="s">
        <v>53</v>
      </c>
      <c r="AD8445" t="s">
        <v>53</v>
      </c>
      <c r="AK8445">
        <v>84.48</v>
      </c>
      <c r="AU8445" s="6">
        <v>42355</v>
      </c>
      <c r="AV8445" s="6">
        <v>42355</v>
      </c>
      <c r="AW8445" t="s">
        <v>54</v>
      </c>
      <c r="AX8445" t="str">
        <f t="shared" si="684"/>
        <v>FOR</v>
      </c>
      <c r="AY8445" t="s">
        <v>55</v>
      </c>
    </row>
    <row r="8446" spans="1:51">
      <c r="A8446">
        <v>106251</v>
      </c>
      <c r="B8446" t="s">
        <v>1377</v>
      </c>
      <c r="C8446" t="str">
        <f t="shared" si="688"/>
        <v>01296201005</v>
      </c>
      <c r="D8446" t="str">
        <f t="shared" si="689"/>
        <v>04742650585</v>
      </c>
      <c r="E8446" t="s">
        <v>52</v>
      </c>
      <c r="F8446">
        <v>2015</v>
      </c>
      <c r="G8446">
        <v>10425</v>
      </c>
      <c r="H8446" s="1">
        <v>42048</v>
      </c>
      <c r="I8446" s="1">
        <v>42067</v>
      </c>
      <c r="J8446" s="1">
        <v>42067</v>
      </c>
      <c r="K8446" s="1">
        <v>42127</v>
      </c>
      <c r="L8446" s="7">
        <v>325.44</v>
      </c>
      <c r="M8446" s="5">
        <v>228</v>
      </c>
      <c r="N8446" s="7">
        <v>74200.320000000007</v>
      </c>
      <c r="O8446">
        <v>325.44</v>
      </c>
      <c r="P8446">
        <v>228</v>
      </c>
      <c r="Q8446" s="2">
        <v>74200.320000000007</v>
      </c>
      <c r="R8446">
        <v>71.599999999999994</v>
      </c>
      <c r="V8446">
        <v>0</v>
      </c>
      <c r="W8446">
        <v>0</v>
      </c>
      <c r="X8446">
        <v>0</v>
      </c>
      <c r="Y8446">
        <v>397.04</v>
      </c>
      <c r="Z8446">
        <v>397.04</v>
      </c>
      <c r="AA8446">
        <v>397.04</v>
      </c>
      <c r="AB8446" s="1">
        <v>42382</v>
      </c>
      <c r="AC8446" t="s">
        <v>53</v>
      </c>
      <c r="AD8446" t="s">
        <v>53</v>
      </c>
      <c r="AK8446">
        <v>71.599999999999994</v>
      </c>
      <c r="AU8446" s="6">
        <v>42355</v>
      </c>
      <c r="AV8446" s="6">
        <v>42355</v>
      </c>
      <c r="AW8446" t="s">
        <v>54</v>
      </c>
      <c r="AX8446" t="str">
        <f t="shared" si="684"/>
        <v>FOR</v>
      </c>
      <c r="AY8446" t="s">
        <v>55</v>
      </c>
    </row>
    <row r="8447" spans="1:51" hidden="1">
      <c r="A8447">
        <v>106252</v>
      </c>
      <c r="B8447" t="s">
        <v>1378</v>
      </c>
      <c r="C8447" t="str">
        <f>"02348300613"</f>
        <v>02348300613</v>
      </c>
      <c r="D8447" t="str">
        <f>"02348300613"</f>
        <v>02348300613</v>
      </c>
      <c r="E8447" t="s">
        <v>52</v>
      </c>
      <c r="F8447">
        <v>2014</v>
      </c>
      <c r="G8447" t="s">
        <v>1379</v>
      </c>
      <c r="H8447" s="1">
        <v>41956</v>
      </c>
      <c r="I8447" s="1">
        <v>41957</v>
      </c>
      <c r="J8447" s="1">
        <v>41957</v>
      </c>
      <c r="K8447" s="1">
        <v>42017</v>
      </c>
      <c r="N8447" s="5"/>
      <c r="O8447">
        <v>92.31</v>
      </c>
      <c r="P8447">
        <v>23</v>
      </c>
      <c r="Q8447" s="2">
        <v>2123.13</v>
      </c>
      <c r="R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 s="1">
        <v>42382</v>
      </c>
      <c r="AC8447" t="s">
        <v>53</v>
      </c>
      <c r="AD8447" t="s">
        <v>53</v>
      </c>
      <c r="AK8447">
        <v>0</v>
      </c>
      <c r="AU8447" s="6">
        <v>42040</v>
      </c>
      <c r="AV8447" s="6">
        <v>42040</v>
      </c>
      <c r="AW8447" t="s">
        <v>54</v>
      </c>
      <c r="AX8447" t="str">
        <f t="shared" si="684"/>
        <v>FOR</v>
      </c>
      <c r="AY8447" t="s">
        <v>55</v>
      </c>
    </row>
    <row r="8448" spans="1:51" hidden="1">
      <c r="A8448">
        <v>106258</v>
      </c>
      <c r="B8448" t="s">
        <v>1380</v>
      </c>
      <c r="C8448" t="str">
        <f>"03932341211"</f>
        <v>03932341211</v>
      </c>
      <c r="D8448" t="str">
        <f>"03932341211"</f>
        <v>03932341211</v>
      </c>
      <c r="E8448" t="s">
        <v>52</v>
      </c>
      <c r="F8448">
        <v>2014</v>
      </c>
      <c r="G8448" t="s">
        <v>1381</v>
      </c>
      <c r="H8448" s="1">
        <v>41676</v>
      </c>
      <c r="I8448" s="1">
        <v>41695</v>
      </c>
      <c r="J8448" s="1">
        <v>41695</v>
      </c>
      <c r="K8448" s="1">
        <v>41785</v>
      </c>
      <c r="N8448" s="5"/>
      <c r="O8448" s="2">
        <v>1001.74</v>
      </c>
      <c r="P8448">
        <v>277</v>
      </c>
      <c r="Q8448" s="2">
        <v>277481.98</v>
      </c>
      <c r="R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 s="1">
        <v>42382</v>
      </c>
      <c r="AC8448" t="s">
        <v>53</v>
      </c>
      <c r="AD8448" t="s">
        <v>53</v>
      </c>
      <c r="AK8448">
        <v>0</v>
      </c>
      <c r="AU8448" s="6">
        <v>42062</v>
      </c>
      <c r="AV8448" s="6">
        <v>42062</v>
      </c>
      <c r="AW8448" t="s">
        <v>54</v>
      </c>
      <c r="AX8448" t="str">
        <f t="shared" si="684"/>
        <v>FOR</v>
      </c>
      <c r="AY8448" t="s">
        <v>55</v>
      </c>
    </row>
    <row r="8449" spans="1:51" hidden="1">
      <c r="A8449">
        <v>106267</v>
      </c>
      <c r="B8449" t="s">
        <v>1382</v>
      </c>
      <c r="C8449" t="str">
        <f>""</f>
        <v/>
      </c>
      <c r="D8449" t="str">
        <f>"DMRDNC51D04C097H"</f>
        <v>DMRDNC51D04C097H</v>
      </c>
      <c r="E8449" t="s">
        <v>52</v>
      </c>
      <c r="F8449">
        <v>2014</v>
      </c>
      <c r="G8449">
        <v>1</v>
      </c>
      <c r="H8449" s="1">
        <v>41858</v>
      </c>
      <c r="I8449" s="1">
        <v>42004</v>
      </c>
      <c r="J8449" s="1">
        <v>42004</v>
      </c>
      <c r="K8449" s="1">
        <v>42064</v>
      </c>
      <c r="N8449" s="5"/>
      <c r="O8449">
        <v>150</v>
      </c>
      <c r="P8449">
        <v>-47</v>
      </c>
      <c r="Q8449" s="2">
        <v>-7050</v>
      </c>
      <c r="R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 s="1">
        <v>42382</v>
      </c>
      <c r="AC8449" t="s">
        <v>53</v>
      </c>
      <c r="AD8449" t="s">
        <v>53</v>
      </c>
      <c r="AK8449">
        <v>0</v>
      </c>
      <c r="AU8449" s="6">
        <v>42017</v>
      </c>
      <c r="AV8449" s="6">
        <v>42017</v>
      </c>
      <c r="AW8449" t="s">
        <v>54</v>
      </c>
      <c r="AX8449" t="str">
        <f t="shared" si="684"/>
        <v>FOR</v>
      </c>
      <c r="AY8449" t="s">
        <v>55</v>
      </c>
    </row>
    <row r="8450" spans="1:51" hidden="1">
      <c r="A8450">
        <v>106273</v>
      </c>
      <c r="B8450" t="s">
        <v>1383</v>
      </c>
      <c r="C8450" t="str">
        <f>"01021490501"</f>
        <v>01021490501</v>
      </c>
      <c r="D8450" t="str">
        <f>""</f>
        <v/>
      </c>
      <c r="E8450" t="s">
        <v>52</v>
      </c>
      <c r="F8450">
        <v>2015</v>
      </c>
      <c r="G8450">
        <v>37</v>
      </c>
      <c r="H8450" s="1">
        <v>42035</v>
      </c>
      <c r="I8450" s="1">
        <v>42038</v>
      </c>
      <c r="J8450" s="1">
        <v>42038</v>
      </c>
      <c r="K8450" s="1">
        <v>42098</v>
      </c>
      <c r="N8450" s="5"/>
      <c r="O8450" s="2">
        <v>2599</v>
      </c>
      <c r="P8450">
        <v>34</v>
      </c>
      <c r="Q8450" s="2">
        <v>88366</v>
      </c>
      <c r="R8450">
        <v>0</v>
      </c>
      <c r="V8450">
        <v>0</v>
      </c>
      <c r="W8450">
        <v>0</v>
      </c>
      <c r="X8450">
        <v>0</v>
      </c>
      <c r="Y8450" s="2">
        <v>3170.78</v>
      </c>
      <c r="Z8450" s="2">
        <v>3170.78</v>
      </c>
      <c r="AA8450" s="2">
        <v>3170.78</v>
      </c>
      <c r="AB8450" s="1">
        <v>42382</v>
      </c>
      <c r="AC8450" t="s">
        <v>53</v>
      </c>
      <c r="AD8450" t="s">
        <v>53</v>
      </c>
      <c r="AK8450">
        <v>0</v>
      </c>
      <c r="AU8450" s="6">
        <v>42132</v>
      </c>
      <c r="AV8450" s="6">
        <v>42132</v>
      </c>
      <c r="AW8450" t="s">
        <v>54</v>
      </c>
      <c r="AX8450" t="str">
        <f t="shared" si="684"/>
        <v>FOR</v>
      </c>
      <c r="AY8450" t="s">
        <v>55</v>
      </c>
    </row>
    <row r="8451" spans="1:51" hidden="1">
      <c r="A8451">
        <v>106286</v>
      </c>
      <c r="B8451" t="s">
        <v>1384</v>
      </c>
      <c r="C8451" t="str">
        <f t="shared" ref="C8451:D8459" si="690">"06566081219"</f>
        <v>06566081219</v>
      </c>
      <c r="D8451" t="str">
        <f t="shared" si="690"/>
        <v>06566081219</v>
      </c>
      <c r="E8451" t="s">
        <v>52</v>
      </c>
      <c r="F8451">
        <v>2014</v>
      </c>
      <c r="G8451">
        <v>28</v>
      </c>
      <c r="H8451" s="1">
        <v>41914</v>
      </c>
      <c r="I8451" s="1">
        <v>41920</v>
      </c>
      <c r="J8451" s="1">
        <v>41920</v>
      </c>
      <c r="K8451" s="1">
        <v>42010</v>
      </c>
      <c r="N8451" s="5"/>
      <c r="O8451">
        <v>707.6</v>
      </c>
      <c r="P8451">
        <v>31</v>
      </c>
      <c r="Q8451" s="2">
        <v>21935.599999999999</v>
      </c>
      <c r="R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 s="1">
        <v>42382</v>
      </c>
      <c r="AC8451" t="s">
        <v>53</v>
      </c>
      <c r="AD8451" t="s">
        <v>53</v>
      </c>
      <c r="AK8451">
        <v>0</v>
      </c>
      <c r="AU8451" s="6">
        <v>42041</v>
      </c>
      <c r="AV8451" s="6">
        <v>42041</v>
      </c>
      <c r="AW8451" t="s">
        <v>54</v>
      </c>
      <c r="AX8451" t="str">
        <f t="shared" ref="AX8451:AX8514" si="691">"FOR"</f>
        <v>FOR</v>
      </c>
      <c r="AY8451" t="s">
        <v>55</v>
      </c>
    </row>
    <row r="8452" spans="1:51" hidden="1">
      <c r="A8452">
        <v>106286</v>
      </c>
      <c r="B8452" t="s">
        <v>1384</v>
      </c>
      <c r="C8452" t="str">
        <f t="shared" si="690"/>
        <v>06566081219</v>
      </c>
      <c r="D8452" t="str">
        <f t="shared" si="690"/>
        <v>06566081219</v>
      </c>
      <c r="E8452" t="s">
        <v>52</v>
      </c>
      <c r="F8452">
        <v>2014</v>
      </c>
      <c r="G8452">
        <v>32</v>
      </c>
      <c r="H8452" s="1">
        <v>41918</v>
      </c>
      <c r="I8452" s="1">
        <v>41920</v>
      </c>
      <c r="J8452" s="1">
        <v>41920</v>
      </c>
      <c r="K8452" s="1">
        <v>42010</v>
      </c>
      <c r="N8452" s="5"/>
      <c r="O8452" s="2">
        <v>2340</v>
      </c>
      <c r="P8452">
        <v>31</v>
      </c>
      <c r="Q8452" s="2">
        <v>72540</v>
      </c>
      <c r="R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 s="1">
        <v>42382</v>
      </c>
      <c r="AC8452" t="s">
        <v>53</v>
      </c>
      <c r="AD8452" t="s">
        <v>53</v>
      </c>
      <c r="AK8452">
        <v>0</v>
      </c>
      <c r="AU8452" s="6">
        <v>42041</v>
      </c>
      <c r="AV8452" s="6">
        <v>42041</v>
      </c>
      <c r="AW8452" t="s">
        <v>54</v>
      </c>
      <c r="AX8452" t="str">
        <f t="shared" si="691"/>
        <v>FOR</v>
      </c>
      <c r="AY8452" t="s">
        <v>55</v>
      </c>
    </row>
    <row r="8453" spans="1:51" hidden="1">
      <c r="A8453">
        <v>106286</v>
      </c>
      <c r="B8453" t="s">
        <v>1384</v>
      </c>
      <c r="C8453" t="str">
        <f t="shared" si="690"/>
        <v>06566081219</v>
      </c>
      <c r="D8453" t="str">
        <f t="shared" si="690"/>
        <v>06566081219</v>
      </c>
      <c r="E8453" t="s">
        <v>52</v>
      </c>
      <c r="F8453">
        <v>2014</v>
      </c>
      <c r="G8453">
        <v>34</v>
      </c>
      <c r="H8453" s="1">
        <v>41922</v>
      </c>
      <c r="I8453" s="1">
        <v>41928</v>
      </c>
      <c r="J8453" s="1">
        <v>41928</v>
      </c>
      <c r="K8453" s="1">
        <v>41988</v>
      </c>
      <c r="N8453" s="5"/>
      <c r="O8453">
        <v>707.6</v>
      </c>
      <c r="P8453">
        <v>53</v>
      </c>
      <c r="Q8453" s="2">
        <v>37502.800000000003</v>
      </c>
      <c r="R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 s="1">
        <v>42382</v>
      </c>
      <c r="AC8453" t="s">
        <v>53</v>
      </c>
      <c r="AD8453" t="s">
        <v>53</v>
      </c>
      <c r="AK8453">
        <v>0</v>
      </c>
      <c r="AU8453" s="6">
        <v>42041</v>
      </c>
      <c r="AV8453" s="6">
        <v>42041</v>
      </c>
      <c r="AW8453" t="s">
        <v>54</v>
      </c>
      <c r="AX8453" t="str">
        <f t="shared" si="691"/>
        <v>FOR</v>
      </c>
      <c r="AY8453" t="s">
        <v>55</v>
      </c>
    </row>
    <row r="8454" spans="1:51" hidden="1">
      <c r="A8454">
        <v>106286</v>
      </c>
      <c r="B8454" t="s">
        <v>1384</v>
      </c>
      <c r="C8454" t="str">
        <f t="shared" si="690"/>
        <v>06566081219</v>
      </c>
      <c r="D8454" t="str">
        <f t="shared" si="690"/>
        <v>06566081219</v>
      </c>
      <c r="E8454" t="s">
        <v>52</v>
      </c>
      <c r="F8454">
        <v>2015</v>
      </c>
      <c r="G8454">
        <v>6</v>
      </c>
      <c r="H8454" s="1">
        <v>42039</v>
      </c>
      <c r="I8454" s="1">
        <v>42040</v>
      </c>
      <c r="J8454" s="1">
        <v>42040</v>
      </c>
      <c r="K8454" s="1">
        <v>42100</v>
      </c>
      <c r="N8454" s="5"/>
      <c r="O8454" s="2">
        <v>2320</v>
      </c>
      <c r="P8454">
        <v>63</v>
      </c>
      <c r="Q8454" s="2">
        <v>146160</v>
      </c>
      <c r="R8454">
        <v>0</v>
      </c>
      <c r="V8454">
        <v>0</v>
      </c>
      <c r="W8454">
        <v>0</v>
      </c>
      <c r="X8454">
        <v>0</v>
      </c>
      <c r="Y8454" s="2">
        <v>2830.4</v>
      </c>
      <c r="Z8454" s="2">
        <v>2830.4</v>
      </c>
      <c r="AA8454" s="2">
        <v>2830.4</v>
      </c>
      <c r="AB8454" s="1">
        <v>42382</v>
      </c>
      <c r="AC8454" t="s">
        <v>53</v>
      </c>
      <c r="AD8454" t="s">
        <v>53</v>
      </c>
      <c r="AK8454">
        <v>0</v>
      </c>
      <c r="AU8454" s="6">
        <v>42163</v>
      </c>
      <c r="AV8454" s="6">
        <v>42163</v>
      </c>
      <c r="AW8454" t="s">
        <v>54</v>
      </c>
      <c r="AX8454" t="str">
        <f t="shared" si="691"/>
        <v>FOR</v>
      </c>
      <c r="AY8454" t="s">
        <v>55</v>
      </c>
    </row>
    <row r="8455" spans="1:51" hidden="1">
      <c r="A8455">
        <v>106286</v>
      </c>
      <c r="B8455" t="s">
        <v>1384</v>
      </c>
      <c r="C8455" t="str">
        <f t="shared" si="690"/>
        <v>06566081219</v>
      </c>
      <c r="D8455" t="str">
        <f t="shared" si="690"/>
        <v>06566081219</v>
      </c>
      <c r="E8455" t="s">
        <v>52</v>
      </c>
      <c r="F8455">
        <v>2015</v>
      </c>
      <c r="G8455">
        <v>8</v>
      </c>
      <c r="H8455" s="1">
        <v>42073</v>
      </c>
      <c r="I8455" s="1">
        <v>42074</v>
      </c>
      <c r="J8455" s="1">
        <v>42074</v>
      </c>
      <c r="K8455" s="1">
        <v>42134</v>
      </c>
      <c r="N8455" s="5"/>
      <c r="O8455" s="2">
        <v>2250</v>
      </c>
      <c r="P8455">
        <v>115</v>
      </c>
      <c r="Q8455" s="2">
        <v>258750</v>
      </c>
      <c r="R8455">
        <v>0</v>
      </c>
      <c r="V8455">
        <v>0</v>
      </c>
      <c r="W8455">
        <v>0</v>
      </c>
      <c r="X8455">
        <v>0</v>
      </c>
      <c r="Y8455" s="2">
        <v>2340</v>
      </c>
      <c r="Z8455" s="2">
        <v>2340</v>
      </c>
      <c r="AA8455" s="2">
        <v>2340</v>
      </c>
      <c r="AB8455" s="1">
        <v>42382</v>
      </c>
      <c r="AC8455" t="s">
        <v>53</v>
      </c>
      <c r="AD8455" t="s">
        <v>53</v>
      </c>
      <c r="AK8455">
        <v>0</v>
      </c>
      <c r="AU8455" s="6">
        <v>42249</v>
      </c>
      <c r="AV8455" s="6">
        <v>42249</v>
      </c>
      <c r="AW8455" t="s">
        <v>54</v>
      </c>
      <c r="AX8455" t="str">
        <f t="shared" si="691"/>
        <v>FOR</v>
      </c>
      <c r="AY8455" t="s">
        <v>55</v>
      </c>
    </row>
    <row r="8456" spans="1:51" hidden="1">
      <c r="A8456">
        <v>106286</v>
      </c>
      <c r="B8456" t="s">
        <v>1384</v>
      </c>
      <c r="C8456" t="str">
        <f t="shared" si="690"/>
        <v>06566081219</v>
      </c>
      <c r="D8456" t="str">
        <f t="shared" si="690"/>
        <v>06566081219</v>
      </c>
      <c r="E8456" t="s">
        <v>52</v>
      </c>
      <c r="F8456">
        <v>2015</v>
      </c>
      <c r="G8456">
        <v>10</v>
      </c>
      <c r="H8456" s="1">
        <v>42082</v>
      </c>
      <c r="I8456" s="1">
        <v>42086</v>
      </c>
      <c r="J8456" s="1">
        <v>42086</v>
      </c>
      <c r="K8456" s="1">
        <v>42146</v>
      </c>
      <c r="N8456" s="5"/>
      <c r="O8456" s="2">
        <v>2250</v>
      </c>
      <c r="P8456">
        <v>17</v>
      </c>
      <c r="Q8456" s="2">
        <v>38250</v>
      </c>
      <c r="R8456">
        <v>0</v>
      </c>
      <c r="V8456">
        <v>0</v>
      </c>
      <c r="W8456">
        <v>0</v>
      </c>
      <c r="X8456">
        <v>0</v>
      </c>
      <c r="Y8456" s="2">
        <v>2340</v>
      </c>
      <c r="Z8456" s="2">
        <v>2340</v>
      </c>
      <c r="AA8456" s="2">
        <v>2340</v>
      </c>
      <c r="AB8456" s="1">
        <v>42382</v>
      </c>
      <c r="AC8456" t="s">
        <v>53</v>
      </c>
      <c r="AD8456" t="s">
        <v>53</v>
      </c>
      <c r="AK8456">
        <v>0</v>
      </c>
      <c r="AU8456" s="6">
        <v>42163</v>
      </c>
      <c r="AV8456" s="6">
        <v>42163</v>
      </c>
      <c r="AW8456" t="s">
        <v>54</v>
      </c>
      <c r="AX8456" t="str">
        <f t="shared" si="691"/>
        <v>FOR</v>
      </c>
      <c r="AY8456" t="s">
        <v>55</v>
      </c>
    </row>
    <row r="8457" spans="1:51" hidden="1">
      <c r="A8457">
        <v>106286</v>
      </c>
      <c r="B8457" t="s">
        <v>1384</v>
      </c>
      <c r="C8457" t="str">
        <f t="shared" si="690"/>
        <v>06566081219</v>
      </c>
      <c r="D8457" t="str">
        <f t="shared" si="690"/>
        <v>06566081219</v>
      </c>
      <c r="E8457" t="s">
        <v>52</v>
      </c>
      <c r="F8457">
        <v>2015</v>
      </c>
      <c r="G8457">
        <v>11</v>
      </c>
      <c r="H8457" s="1">
        <v>42089</v>
      </c>
      <c r="I8457" s="1">
        <v>42094</v>
      </c>
      <c r="J8457" s="1">
        <v>42094</v>
      </c>
      <c r="K8457" s="1">
        <v>42154</v>
      </c>
      <c r="N8457" s="5"/>
      <c r="O8457" s="2">
        <v>3150</v>
      </c>
      <c r="P8457">
        <v>9</v>
      </c>
      <c r="Q8457" s="2">
        <v>28350</v>
      </c>
      <c r="R8457">
        <v>0</v>
      </c>
      <c r="V8457">
        <v>0</v>
      </c>
      <c r="W8457">
        <v>0</v>
      </c>
      <c r="X8457">
        <v>0</v>
      </c>
      <c r="Y8457" s="2">
        <v>3843</v>
      </c>
      <c r="Z8457" s="2">
        <v>3843</v>
      </c>
      <c r="AA8457" s="2">
        <v>3843</v>
      </c>
      <c r="AB8457" s="1">
        <v>42382</v>
      </c>
      <c r="AC8457" t="s">
        <v>53</v>
      </c>
      <c r="AD8457" t="s">
        <v>53</v>
      </c>
      <c r="AK8457">
        <v>0</v>
      </c>
      <c r="AU8457" s="6">
        <v>42163</v>
      </c>
      <c r="AV8457" s="6">
        <v>42163</v>
      </c>
      <c r="AW8457" t="s">
        <v>54</v>
      </c>
      <c r="AX8457" t="str">
        <f t="shared" si="691"/>
        <v>FOR</v>
      </c>
      <c r="AY8457" t="s">
        <v>55</v>
      </c>
    </row>
    <row r="8458" spans="1:51">
      <c r="A8458">
        <v>106286</v>
      </c>
      <c r="B8458" t="s">
        <v>1384</v>
      </c>
      <c r="C8458" t="str">
        <f t="shared" si="690"/>
        <v>06566081219</v>
      </c>
      <c r="D8458" t="str">
        <f t="shared" si="690"/>
        <v>06566081219</v>
      </c>
      <c r="E8458" t="s">
        <v>52</v>
      </c>
      <c r="F8458">
        <v>2015</v>
      </c>
      <c r="G8458" t="s">
        <v>547</v>
      </c>
      <c r="H8458" s="1">
        <v>42194</v>
      </c>
      <c r="I8458" s="1">
        <v>42209</v>
      </c>
      <c r="J8458" s="1">
        <v>42202</v>
      </c>
      <c r="K8458" s="1">
        <v>42262</v>
      </c>
      <c r="L8458" s="7">
        <v>3150</v>
      </c>
      <c r="M8458" s="5">
        <v>77</v>
      </c>
      <c r="N8458" s="7">
        <v>242550</v>
      </c>
      <c r="O8458" s="2">
        <v>3150</v>
      </c>
      <c r="P8458">
        <v>77</v>
      </c>
      <c r="Q8458" s="2">
        <v>242550</v>
      </c>
      <c r="R8458">
        <v>693</v>
      </c>
      <c r="V8458">
        <v>0</v>
      </c>
      <c r="W8458">
        <v>0</v>
      </c>
      <c r="X8458">
        <v>0</v>
      </c>
      <c r="Y8458" s="2">
        <v>3843</v>
      </c>
      <c r="Z8458" s="2">
        <v>3843</v>
      </c>
      <c r="AA8458" s="2">
        <v>3843</v>
      </c>
      <c r="AB8458" s="1">
        <v>42382</v>
      </c>
      <c r="AC8458" t="s">
        <v>53</v>
      </c>
      <c r="AD8458" t="s">
        <v>53</v>
      </c>
      <c r="AH8458">
        <v>693</v>
      </c>
      <c r="AK8458">
        <v>0</v>
      </c>
      <c r="AU8458" s="6">
        <v>42339</v>
      </c>
      <c r="AV8458" s="6">
        <v>42339</v>
      </c>
      <c r="AW8458" t="s">
        <v>54</v>
      </c>
      <c r="AX8458" t="str">
        <f t="shared" si="691"/>
        <v>FOR</v>
      </c>
      <c r="AY8458" t="s">
        <v>55</v>
      </c>
    </row>
    <row r="8459" spans="1:51">
      <c r="A8459">
        <v>106286</v>
      </c>
      <c r="B8459" t="s">
        <v>1384</v>
      </c>
      <c r="C8459" t="str">
        <f t="shared" si="690"/>
        <v>06566081219</v>
      </c>
      <c r="D8459" t="str">
        <f t="shared" si="690"/>
        <v>06566081219</v>
      </c>
      <c r="E8459" t="s">
        <v>52</v>
      </c>
      <c r="F8459">
        <v>2015</v>
      </c>
      <c r="G8459" t="s">
        <v>766</v>
      </c>
      <c r="H8459" s="1">
        <v>42247</v>
      </c>
      <c r="I8459" s="1">
        <v>42254</v>
      </c>
      <c r="J8459" s="1">
        <v>42251</v>
      </c>
      <c r="K8459" s="1">
        <v>42311</v>
      </c>
      <c r="L8459" s="7">
        <v>2100</v>
      </c>
      <c r="M8459" s="5">
        <v>28</v>
      </c>
      <c r="N8459" s="7">
        <v>58800</v>
      </c>
      <c r="O8459" s="2">
        <v>2100</v>
      </c>
      <c r="P8459">
        <v>28</v>
      </c>
      <c r="Q8459" s="2">
        <v>58800</v>
      </c>
      <c r="R8459">
        <v>462</v>
      </c>
      <c r="V8459">
        <v>0</v>
      </c>
      <c r="W8459">
        <v>0</v>
      </c>
      <c r="X8459">
        <v>0</v>
      </c>
      <c r="Y8459" s="2">
        <v>2562</v>
      </c>
      <c r="Z8459" s="2">
        <v>2562</v>
      </c>
      <c r="AA8459" s="2">
        <v>2562</v>
      </c>
      <c r="AB8459" s="1">
        <v>42382</v>
      </c>
      <c r="AC8459" t="s">
        <v>53</v>
      </c>
      <c r="AD8459" t="s">
        <v>53</v>
      </c>
      <c r="AF8459">
        <v>462</v>
      </c>
      <c r="AK8459">
        <v>0</v>
      </c>
      <c r="AU8459" s="6">
        <v>42339</v>
      </c>
      <c r="AV8459" s="6">
        <v>42339</v>
      </c>
      <c r="AW8459" t="s">
        <v>54</v>
      </c>
      <c r="AX8459" t="str">
        <f t="shared" si="691"/>
        <v>FOR</v>
      </c>
      <c r="AY8459" t="s">
        <v>55</v>
      </c>
    </row>
    <row r="8460" spans="1:51" hidden="1">
      <c r="A8460">
        <v>106288</v>
      </c>
      <c r="B8460" t="s">
        <v>1385</v>
      </c>
      <c r="C8460" t="str">
        <f t="shared" ref="C8460:D8465" si="692">"04842170013"</f>
        <v>04842170013</v>
      </c>
      <c r="D8460" t="str">
        <f t="shared" si="692"/>
        <v>04842170013</v>
      </c>
      <c r="E8460" t="s">
        <v>52</v>
      </c>
      <c r="F8460">
        <v>2013</v>
      </c>
      <c r="G8460">
        <v>23</v>
      </c>
      <c r="H8460" s="1">
        <v>41361</v>
      </c>
      <c r="I8460" s="1">
        <v>41368</v>
      </c>
      <c r="J8460" s="1">
        <v>41368</v>
      </c>
      <c r="K8460" s="1">
        <v>41458</v>
      </c>
      <c r="L8460" s="7">
        <v>261915.83</v>
      </c>
      <c r="M8460" s="5">
        <v>831</v>
      </c>
      <c r="N8460" s="7">
        <v>217652054.72999999</v>
      </c>
      <c r="O8460" s="2">
        <v>261915.83</v>
      </c>
      <c r="P8460">
        <v>831</v>
      </c>
      <c r="Q8460" s="2">
        <v>217652054.72999999</v>
      </c>
      <c r="R8460" s="2">
        <v>29101.75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 s="1">
        <v>42382</v>
      </c>
      <c r="AC8460" t="s">
        <v>53</v>
      </c>
      <c r="AD8460" t="s">
        <v>53</v>
      </c>
      <c r="AK8460" s="2">
        <v>29101.75</v>
      </c>
      <c r="AU8460" s="6">
        <v>41876</v>
      </c>
      <c r="AV8460" s="6">
        <v>42289</v>
      </c>
      <c r="AW8460" t="s">
        <v>54</v>
      </c>
      <c r="AX8460" t="str">
        <f t="shared" si="691"/>
        <v>FOR</v>
      </c>
      <c r="AY8460" t="s">
        <v>55</v>
      </c>
    </row>
    <row r="8461" spans="1:51" hidden="1">
      <c r="A8461">
        <v>106288</v>
      </c>
      <c r="B8461" t="s">
        <v>1385</v>
      </c>
      <c r="C8461" t="str">
        <f t="shared" si="692"/>
        <v>04842170013</v>
      </c>
      <c r="D8461" t="str">
        <f t="shared" si="692"/>
        <v>04842170013</v>
      </c>
      <c r="E8461" t="s">
        <v>52</v>
      </c>
      <c r="F8461">
        <v>2013</v>
      </c>
      <c r="G8461">
        <v>24</v>
      </c>
      <c r="H8461" s="1">
        <v>41361</v>
      </c>
      <c r="I8461" s="1">
        <v>41368</v>
      </c>
      <c r="J8461" s="1">
        <v>41368</v>
      </c>
      <c r="K8461" s="1">
        <v>41458</v>
      </c>
      <c r="L8461" s="7">
        <v>79671.06</v>
      </c>
      <c r="M8461" s="5">
        <v>831</v>
      </c>
      <c r="N8461" s="7">
        <v>66206650.859999999</v>
      </c>
      <c r="O8461" s="2">
        <v>79671.06</v>
      </c>
      <c r="P8461">
        <v>831</v>
      </c>
      <c r="Q8461" s="2">
        <v>66206650.859999999</v>
      </c>
      <c r="R8461" s="2">
        <v>8852.34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 s="1">
        <v>42382</v>
      </c>
      <c r="AC8461" t="s">
        <v>53</v>
      </c>
      <c r="AD8461" t="s">
        <v>53</v>
      </c>
      <c r="AK8461" s="2">
        <v>8852.34</v>
      </c>
      <c r="AU8461" s="6">
        <v>41876</v>
      </c>
      <c r="AV8461" s="6">
        <v>42289</v>
      </c>
      <c r="AW8461" t="s">
        <v>54</v>
      </c>
      <c r="AX8461" t="str">
        <f t="shared" si="691"/>
        <v>FOR</v>
      </c>
      <c r="AY8461" t="s">
        <v>55</v>
      </c>
    </row>
    <row r="8462" spans="1:51" hidden="1">
      <c r="A8462">
        <v>106288</v>
      </c>
      <c r="B8462" t="s">
        <v>1385</v>
      </c>
      <c r="C8462" t="str">
        <f t="shared" si="692"/>
        <v>04842170013</v>
      </c>
      <c r="D8462" t="str">
        <f t="shared" si="692"/>
        <v>04842170013</v>
      </c>
      <c r="E8462" t="s">
        <v>52</v>
      </c>
      <c r="F8462">
        <v>2013</v>
      </c>
      <c r="G8462">
        <v>25</v>
      </c>
      <c r="H8462" s="1">
        <v>41361</v>
      </c>
      <c r="I8462" s="1">
        <v>41368</v>
      </c>
      <c r="J8462" s="1">
        <v>41368</v>
      </c>
      <c r="K8462" s="1">
        <v>41458</v>
      </c>
      <c r="L8462" s="7">
        <v>65446.95</v>
      </c>
      <c r="M8462" s="5">
        <v>831</v>
      </c>
      <c r="N8462" s="7">
        <v>54386415.450000003</v>
      </c>
      <c r="O8462" s="2">
        <v>65446.95</v>
      </c>
      <c r="P8462">
        <v>831</v>
      </c>
      <c r="Q8462" s="2">
        <v>54386415.450000003</v>
      </c>
      <c r="R8462" s="2">
        <v>7271.89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 s="1">
        <v>42382</v>
      </c>
      <c r="AC8462" t="s">
        <v>53</v>
      </c>
      <c r="AD8462" t="s">
        <v>53</v>
      </c>
      <c r="AK8462" s="2">
        <v>7271.89</v>
      </c>
      <c r="AU8462" s="6">
        <v>41876</v>
      </c>
      <c r="AV8462" s="6">
        <v>42289</v>
      </c>
      <c r="AW8462" t="s">
        <v>54</v>
      </c>
      <c r="AX8462" t="str">
        <f t="shared" si="691"/>
        <v>FOR</v>
      </c>
      <c r="AY8462" t="s">
        <v>55</v>
      </c>
    </row>
    <row r="8463" spans="1:51" hidden="1">
      <c r="A8463">
        <v>106288</v>
      </c>
      <c r="B8463" t="s">
        <v>1385</v>
      </c>
      <c r="C8463" t="str">
        <f t="shared" si="692"/>
        <v>04842170013</v>
      </c>
      <c r="D8463" t="str">
        <f t="shared" si="692"/>
        <v>04842170013</v>
      </c>
      <c r="E8463" t="s">
        <v>52</v>
      </c>
      <c r="F8463">
        <v>2013</v>
      </c>
      <c r="G8463">
        <v>43</v>
      </c>
      <c r="H8463" s="1">
        <v>41423</v>
      </c>
      <c r="I8463" s="1">
        <v>41437</v>
      </c>
      <c r="J8463" s="1">
        <v>41437</v>
      </c>
      <c r="K8463" s="1">
        <v>41527</v>
      </c>
      <c r="L8463" s="7">
        <v>102376.06</v>
      </c>
      <c r="M8463" s="5">
        <v>762</v>
      </c>
      <c r="N8463" s="7">
        <v>78010557.719999999</v>
      </c>
      <c r="O8463" s="2">
        <v>102376.06</v>
      </c>
      <c r="P8463">
        <v>762</v>
      </c>
      <c r="Q8463" s="2">
        <v>78010557.719999999</v>
      </c>
      <c r="R8463" s="2">
        <v>11375.12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 s="1">
        <v>42382</v>
      </c>
      <c r="AC8463" t="s">
        <v>53</v>
      </c>
      <c r="AD8463" t="s">
        <v>53</v>
      </c>
      <c r="AK8463" s="2">
        <v>11375.12</v>
      </c>
      <c r="AU8463" s="6">
        <v>41876</v>
      </c>
      <c r="AV8463" s="6">
        <v>42289</v>
      </c>
      <c r="AW8463" t="s">
        <v>54</v>
      </c>
      <c r="AX8463" t="str">
        <f t="shared" si="691"/>
        <v>FOR</v>
      </c>
      <c r="AY8463" t="s">
        <v>55</v>
      </c>
    </row>
    <row r="8464" spans="1:51" hidden="1">
      <c r="A8464">
        <v>106288</v>
      </c>
      <c r="B8464" t="s">
        <v>1385</v>
      </c>
      <c r="C8464" t="str">
        <f t="shared" si="692"/>
        <v>04842170013</v>
      </c>
      <c r="D8464" t="str">
        <f t="shared" si="692"/>
        <v>04842170013</v>
      </c>
      <c r="E8464" t="s">
        <v>52</v>
      </c>
      <c r="F8464">
        <v>2013</v>
      </c>
      <c r="G8464">
        <v>48</v>
      </c>
      <c r="H8464" s="1">
        <v>41445</v>
      </c>
      <c r="I8464" s="1">
        <v>41876</v>
      </c>
      <c r="J8464" s="1">
        <v>41876</v>
      </c>
      <c r="K8464" s="1">
        <v>41966</v>
      </c>
      <c r="L8464" s="7">
        <v>13819.04</v>
      </c>
      <c r="M8464" s="5">
        <v>323</v>
      </c>
      <c r="N8464" s="7">
        <v>4463549.92</v>
      </c>
      <c r="O8464" s="2">
        <v>13819.04</v>
      </c>
      <c r="P8464">
        <v>323</v>
      </c>
      <c r="Q8464" s="2">
        <v>4463549.92</v>
      </c>
      <c r="R8464" s="2">
        <v>1535.45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 s="1">
        <v>42382</v>
      </c>
      <c r="AC8464" t="s">
        <v>53</v>
      </c>
      <c r="AD8464" t="s">
        <v>53</v>
      </c>
      <c r="AK8464" s="2">
        <v>1535.45</v>
      </c>
      <c r="AU8464" s="6">
        <v>41876</v>
      </c>
      <c r="AV8464" s="6">
        <v>42289</v>
      </c>
      <c r="AW8464" t="s">
        <v>54</v>
      </c>
      <c r="AX8464" t="str">
        <f t="shared" si="691"/>
        <v>FOR</v>
      </c>
      <c r="AY8464" t="s">
        <v>55</v>
      </c>
    </row>
    <row r="8465" spans="1:51" hidden="1">
      <c r="A8465">
        <v>106288</v>
      </c>
      <c r="B8465" t="s">
        <v>1385</v>
      </c>
      <c r="C8465" t="str">
        <f t="shared" si="692"/>
        <v>04842170013</v>
      </c>
      <c r="D8465" t="str">
        <f t="shared" si="692"/>
        <v>04842170013</v>
      </c>
      <c r="E8465" t="s">
        <v>52</v>
      </c>
      <c r="F8465">
        <v>2013</v>
      </c>
      <c r="G8465">
        <v>59</v>
      </c>
      <c r="H8465" s="1">
        <v>41467</v>
      </c>
      <c r="I8465" s="1">
        <v>41876</v>
      </c>
      <c r="J8465" s="1">
        <v>41876</v>
      </c>
      <c r="K8465" s="1">
        <v>41966</v>
      </c>
      <c r="L8465" s="7">
        <v>22420</v>
      </c>
      <c r="M8465" s="5">
        <v>323</v>
      </c>
      <c r="N8465" s="7">
        <v>7241660</v>
      </c>
      <c r="O8465" s="2">
        <v>22420</v>
      </c>
      <c r="P8465">
        <v>323</v>
      </c>
      <c r="Q8465" s="2">
        <v>7241660</v>
      </c>
      <c r="R8465" s="2">
        <v>2491.11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 s="1">
        <v>42382</v>
      </c>
      <c r="AC8465" t="s">
        <v>53</v>
      </c>
      <c r="AD8465" t="s">
        <v>53</v>
      </c>
      <c r="AK8465" s="2">
        <v>2491.11</v>
      </c>
      <c r="AU8465" s="6">
        <v>41876</v>
      </c>
      <c r="AV8465" s="6">
        <v>42289</v>
      </c>
      <c r="AW8465" t="s">
        <v>54</v>
      </c>
      <c r="AX8465" t="str">
        <f t="shared" si="691"/>
        <v>FOR</v>
      </c>
      <c r="AY8465" t="s">
        <v>55</v>
      </c>
    </row>
    <row r="8466" spans="1:51">
      <c r="A8466">
        <v>106293</v>
      </c>
      <c r="B8466" t="s">
        <v>1386</v>
      </c>
      <c r="C8466" t="str">
        <f>"03526561216"</f>
        <v>03526561216</v>
      </c>
      <c r="D8466" t="str">
        <f>"03526561216"</f>
        <v>03526561216</v>
      </c>
      <c r="E8466" t="s">
        <v>52</v>
      </c>
      <c r="F8466">
        <v>2014</v>
      </c>
      <c r="G8466">
        <v>76014</v>
      </c>
      <c r="H8466" s="1">
        <v>41939</v>
      </c>
      <c r="I8466" s="1">
        <v>41976</v>
      </c>
      <c r="J8466" s="1">
        <v>41976</v>
      </c>
      <c r="K8466" s="1">
        <v>42036</v>
      </c>
      <c r="L8466" s="7">
        <v>427</v>
      </c>
      <c r="M8466" s="5">
        <v>246</v>
      </c>
      <c r="N8466" s="7">
        <v>105042</v>
      </c>
      <c r="O8466">
        <v>427</v>
      </c>
      <c r="P8466">
        <v>246</v>
      </c>
      <c r="Q8466" s="2">
        <v>105042</v>
      </c>
      <c r="R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 s="1">
        <v>42382</v>
      </c>
      <c r="AC8466" t="s">
        <v>53</v>
      </c>
      <c r="AD8466" t="s">
        <v>53</v>
      </c>
      <c r="AK8466">
        <v>0</v>
      </c>
      <c r="AU8466" s="6">
        <v>42282</v>
      </c>
      <c r="AV8466" s="6">
        <v>42282</v>
      </c>
      <c r="AW8466" t="s">
        <v>54</v>
      </c>
      <c r="AX8466" t="str">
        <f t="shared" si="691"/>
        <v>FOR</v>
      </c>
      <c r="AY8466" t="s">
        <v>55</v>
      </c>
    </row>
    <row r="8467" spans="1:51" hidden="1">
      <c r="A8467">
        <v>106308</v>
      </c>
      <c r="B8467" t="s">
        <v>1387</v>
      </c>
      <c r="C8467" t="str">
        <f>"03382990400"</f>
        <v>03382990400</v>
      </c>
      <c r="D8467" t="str">
        <f>"MCRGCR46H14Z130X"</f>
        <v>MCRGCR46H14Z130X</v>
      </c>
      <c r="E8467" t="s">
        <v>52</v>
      </c>
      <c r="F8467">
        <v>2014</v>
      </c>
      <c r="G8467">
        <v>266</v>
      </c>
      <c r="H8467" s="1">
        <v>41971</v>
      </c>
      <c r="I8467" s="1">
        <v>41983</v>
      </c>
      <c r="J8467" s="1">
        <v>41983</v>
      </c>
      <c r="K8467" s="1">
        <v>42043</v>
      </c>
      <c r="N8467" s="5"/>
      <c r="O8467" s="2">
        <v>3856.32</v>
      </c>
      <c r="P8467">
        <v>178</v>
      </c>
      <c r="Q8467" s="2">
        <v>686424.96</v>
      </c>
      <c r="R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 s="1">
        <v>42382</v>
      </c>
      <c r="AC8467" t="s">
        <v>53</v>
      </c>
      <c r="AD8467" t="s">
        <v>53</v>
      </c>
      <c r="AK8467">
        <v>0</v>
      </c>
      <c r="AU8467" s="6">
        <v>42221</v>
      </c>
      <c r="AV8467" s="6">
        <v>42221</v>
      </c>
      <c r="AW8467" t="s">
        <v>54</v>
      </c>
      <c r="AX8467" t="str">
        <f t="shared" si="691"/>
        <v>FOR</v>
      </c>
      <c r="AY8467" t="s">
        <v>55</v>
      </c>
    </row>
    <row r="8468" spans="1:51" hidden="1">
      <c r="A8468">
        <v>106308</v>
      </c>
      <c r="B8468" t="s">
        <v>1387</v>
      </c>
      <c r="C8468" t="str">
        <f>"03382990400"</f>
        <v>03382990400</v>
      </c>
      <c r="D8468" t="str">
        <f>"MCRGCR46H14Z130X"</f>
        <v>MCRGCR46H14Z130X</v>
      </c>
      <c r="E8468" t="s">
        <v>52</v>
      </c>
      <c r="F8468">
        <v>2015</v>
      </c>
      <c r="G8468" t="s">
        <v>1388</v>
      </c>
      <c r="H8468" s="1">
        <v>42052</v>
      </c>
      <c r="I8468" s="1">
        <v>42055</v>
      </c>
      <c r="J8468" s="1">
        <v>42055</v>
      </c>
      <c r="K8468" s="1">
        <v>42115</v>
      </c>
      <c r="N8468" s="5"/>
      <c r="O8468" s="2">
        <v>9525.6</v>
      </c>
      <c r="P8468">
        <v>162</v>
      </c>
      <c r="Q8468" s="2">
        <v>1543147.2</v>
      </c>
      <c r="R8468">
        <v>0</v>
      </c>
      <c r="V8468">
        <v>0</v>
      </c>
      <c r="W8468">
        <v>0</v>
      </c>
      <c r="X8468">
        <v>0</v>
      </c>
      <c r="Y8468" s="2">
        <v>9525.6</v>
      </c>
      <c r="Z8468" s="2">
        <v>9525.6</v>
      </c>
      <c r="AA8468" s="2">
        <v>9525.6</v>
      </c>
      <c r="AB8468" s="1">
        <v>42382</v>
      </c>
      <c r="AC8468" t="s">
        <v>53</v>
      </c>
      <c r="AD8468" t="s">
        <v>53</v>
      </c>
      <c r="AK8468">
        <v>0</v>
      </c>
      <c r="AU8468" s="6">
        <v>42277</v>
      </c>
      <c r="AV8468" s="6">
        <v>42277</v>
      </c>
      <c r="AW8468" t="s">
        <v>54</v>
      </c>
      <c r="AX8468" t="str">
        <f t="shared" si="691"/>
        <v>FOR</v>
      </c>
      <c r="AY8468" t="s">
        <v>55</v>
      </c>
    </row>
    <row r="8469" spans="1:51">
      <c r="A8469">
        <v>106322</v>
      </c>
      <c r="B8469" t="s">
        <v>1389</v>
      </c>
      <c r="C8469" t="str">
        <f>"00777910159"</f>
        <v>00777910159</v>
      </c>
      <c r="D8469" t="str">
        <f>"00777910159"</f>
        <v>00777910159</v>
      </c>
      <c r="E8469" t="s">
        <v>52</v>
      </c>
      <c r="F8469">
        <v>2015</v>
      </c>
      <c r="G8469">
        <v>1410001175</v>
      </c>
      <c r="H8469" s="1">
        <v>42172</v>
      </c>
      <c r="I8469" s="1">
        <v>42200</v>
      </c>
      <c r="J8469" s="1">
        <v>42199</v>
      </c>
      <c r="K8469" s="1">
        <v>42259</v>
      </c>
      <c r="L8469" s="7">
        <v>135</v>
      </c>
      <c r="M8469" s="5">
        <v>80</v>
      </c>
      <c r="N8469" s="7">
        <v>10800</v>
      </c>
      <c r="O8469">
        <v>135</v>
      </c>
      <c r="P8469">
        <v>80</v>
      </c>
      <c r="Q8469" s="2">
        <v>10800</v>
      </c>
      <c r="R8469">
        <v>29.7</v>
      </c>
      <c r="V8469">
        <v>0</v>
      </c>
      <c r="W8469">
        <v>0</v>
      </c>
      <c r="X8469">
        <v>0</v>
      </c>
      <c r="Y8469">
        <v>164.7</v>
      </c>
      <c r="Z8469">
        <v>164.7</v>
      </c>
      <c r="AA8469">
        <v>164.7</v>
      </c>
      <c r="AB8469" s="1">
        <v>42382</v>
      </c>
      <c r="AC8469" t="s">
        <v>53</v>
      </c>
      <c r="AD8469" t="s">
        <v>53</v>
      </c>
      <c r="AH8469">
        <v>29.7</v>
      </c>
      <c r="AK8469">
        <v>0</v>
      </c>
      <c r="AU8469" s="6">
        <v>42339</v>
      </c>
      <c r="AV8469" s="6">
        <v>42339</v>
      </c>
      <c r="AW8469" t="s">
        <v>54</v>
      </c>
      <c r="AX8469" t="str">
        <f t="shared" si="691"/>
        <v>FOR</v>
      </c>
      <c r="AY8469" t="s">
        <v>55</v>
      </c>
    </row>
    <row r="8470" spans="1:51">
      <c r="A8470">
        <v>106322</v>
      </c>
      <c r="B8470" t="s">
        <v>1389</v>
      </c>
      <c r="C8470" t="str">
        <f>"00777910159"</f>
        <v>00777910159</v>
      </c>
      <c r="D8470" t="str">
        <f>"00777910159"</f>
        <v>00777910159</v>
      </c>
      <c r="E8470" t="s">
        <v>52</v>
      </c>
      <c r="F8470">
        <v>2015</v>
      </c>
      <c r="G8470">
        <v>1410001315</v>
      </c>
      <c r="H8470" s="1">
        <v>42185</v>
      </c>
      <c r="I8470" s="1">
        <v>42230</v>
      </c>
      <c r="J8470" s="1">
        <v>42223</v>
      </c>
      <c r="K8470" s="1">
        <v>42283</v>
      </c>
      <c r="L8470" s="7">
        <v>1555</v>
      </c>
      <c r="M8470" s="5">
        <v>56</v>
      </c>
      <c r="N8470" s="7">
        <v>87080</v>
      </c>
      <c r="O8470" s="2">
        <v>1555</v>
      </c>
      <c r="P8470">
        <v>56</v>
      </c>
      <c r="Q8470" s="2">
        <v>87080</v>
      </c>
      <c r="R8470">
        <v>342.1</v>
      </c>
      <c r="V8470">
        <v>0</v>
      </c>
      <c r="W8470">
        <v>0</v>
      </c>
      <c r="X8470">
        <v>0</v>
      </c>
      <c r="Y8470" s="2">
        <v>1897.1</v>
      </c>
      <c r="Z8470" s="2">
        <v>1897.1</v>
      </c>
      <c r="AA8470" s="2">
        <v>1897.1</v>
      </c>
      <c r="AB8470" s="1">
        <v>42382</v>
      </c>
      <c r="AC8470" t="s">
        <v>53</v>
      </c>
      <c r="AD8470" t="s">
        <v>53</v>
      </c>
      <c r="AG8470">
        <v>342.1</v>
      </c>
      <c r="AK8470">
        <v>0</v>
      </c>
      <c r="AU8470" s="6">
        <v>42339</v>
      </c>
      <c r="AV8470" s="6">
        <v>42339</v>
      </c>
      <c r="AW8470" t="s">
        <v>54</v>
      </c>
      <c r="AX8470" t="str">
        <f t="shared" si="691"/>
        <v>FOR</v>
      </c>
      <c r="AY8470" t="s">
        <v>55</v>
      </c>
    </row>
    <row r="8471" spans="1:51" hidden="1">
      <c r="A8471">
        <v>106330</v>
      </c>
      <c r="B8471" t="s">
        <v>1390</v>
      </c>
      <c r="C8471" t="str">
        <f>"02717470641"</f>
        <v>02717470641</v>
      </c>
      <c r="D8471" t="str">
        <f>"02717470641"</f>
        <v>02717470641</v>
      </c>
      <c r="E8471" t="s">
        <v>52</v>
      </c>
      <c r="F8471">
        <v>2013</v>
      </c>
      <c r="G8471">
        <v>46</v>
      </c>
      <c r="H8471" s="1">
        <v>41547</v>
      </c>
      <c r="I8471" s="1">
        <v>41548</v>
      </c>
      <c r="J8471" s="1">
        <v>41548</v>
      </c>
      <c r="K8471" s="1">
        <v>41638</v>
      </c>
      <c r="N8471" s="5"/>
      <c r="O8471" s="2">
        <v>1050.28</v>
      </c>
      <c r="P8471">
        <v>611</v>
      </c>
      <c r="Q8471" s="2">
        <v>641721.07999999996</v>
      </c>
      <c r="R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 s="1">
        <v>42382</v>
      </c>
      <c r="AC8471" t="s">
        <v>53</v>
      </c>
      <c r="AD8471" t="s">
        <v>53</v>
      </c>
      <c r="AK8471">
        <v>0</v>
      </c>
      <c r="AU8471" s="6">
        <v>42249</v>
      </c>
      <c r="AV8471" s="6">
        <v>42249</v>
      </c>
      <c r="AW8471" t="s">
        <v>54</v>
      </c>
      <c r="AX8471" t="str">
        <f t="shared" si="691"/>
        <v>FOR</v>
      </c>
      <c r="AY8471" t="s">
        <v>55</v>
      </c>
    </row>
    <row r="8472" spans="1:51" hidden="1">
      <c r="A8472">
        <v>106330</v>
      </c>
      <c r="B8472" t="s">
        <v>1390</v>
      </c>
      <c r="C8472" t="str">
        <f>"02717470641"</f>
        <v>02717470641</v>
      </c>
      <c r="D8472" t="str">
        <f>"02717470641"</f>
        <v>02717470641</v>
      </c>
      <c r="E8472" t="s">
        <v>52</v>
      </c>
      <c r="F8472">
        <v>2013</v>
      </c>
      <c r="G8472">
        <v>69</v>
      </c>
      <c r="H8472" s="1">
        <v>41624</v>
      </c>
      <c r="I8472" s="1">
        <v>41625</v>
      </c>
      <c r="J8472" s="1">
        <v>41625</v>
      </c>
      <c r="K8472" s="1">
        <v>41715</v>
      </c>
      <c r="N8472" s="5"/>
      <c r="O8472" s="2">
        <v>1588.44</v>
      </c>
      <c r="P8472">
        <v>534</v>
      </c>
      <c r="Q8472" s="2">
        <v>848226.96</v>
      </c>
      <c r="R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 s="1">
        <v>42382</v>
      </c>
      <c r="AC8472" t="s">
        <v>53</v>
      </c>
      <c r="AD8472" t="s">
        <v>53</v>
      </c>
      <c r="AK8472">
        <v>0</v>
      </c>
      <c r="AU8472" s="6">
        <v>42249</v>
      </c>
      <c r="AV8472" s="6">
        <v>42249</v>
      </c>
      <c r="AW8472" t="s">
        <v>54</v>
      </c>
      <c r="AX8472" t="str">
        <f t="shared" si="691"/>
        <v>FOR</v>
      </c>
      <c r="AY8472" t="s">
        <v>55</v>
      </c>
    </row>
    <row r="8473" spans="1:51" hidden="1">
      <c r="A8473">
        <v>106338</v>
      </c>
      <c r="B8473" t="s">
        <v>1391</v>
      </c>
      <c r="C8473" t="str">
        <f>"07641640961"</f>
        <v>07641640961</v>
      </c>
      <c r="D8473" t="str">
        <f>""</f>
        <v/>
      </c>
      <c r="E8473" t="s">
        <v>52</v>
      </c>
      <c r="F8473">
        <v>2013</v>
      </c>
      <c r="G8473">
        <v>14002775</v>
      </c>
      <c r="H8473" s="1">
        <v>41618</v>
      </c>
      <c r="I8473" s="1">
        <v>41626</v>
      </c>
      <c r="J8473" s="1">
        <v>41626</v>
      </c>
      <c r="K8473" s="1">
        <v>41716</v>
      </c>
      <c r="N8473" s="5"/>
      <c r="O8473">
        <v>507.64</v>
      </c>
      <c r="P8473">
        <v>302</v>
      </c>
      <c r="Q8473" s="2">
        <v>153307.28</v>
      </c>
      <c r="R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 s="1">
        <v>42382</v>
      </c>
      <c r="AC8473" t="s">
        <v>53</v>
      </c>
      <c r="AD8473" t="s">
        <v>53</v>
      </c>
      <c r="AK8473">
        <v>0</v>
      </c>
      <c r="AU8473" s="6">
        <v>42018</v>
      </c>
      <c r="AV8473" s="6">
        <v>42018</v>
      </c>
      <c r="AW8473" t="s">
        <v>54</v>
      </c>
      <c r="AX8473" t="str">
        <f t="shared" si="691"/>
        <v>FOR</v>
      </c>
      <c r="AY8473" t="s">
        <v>55</v>
      </c>
    </row>
    <row r="8474" spans="1:51" hidden="1">
      <c r="A8474">
        <v>106340</v>
      </c>
      <c r="B8474" t="s">
        <v>1392</v>
      </c>
      <c r="C8474" t="str">
        <f t="shared" ref="C8474:D8493" si="693">"07235590960"</f>
        <v>07235590960</v>
      </c>
      <c r="D8474" t="str">
        <f t="shared" si="693"/>
        <v>07235590960</v>
      </c>
      <c r="E8474" t="s">
        <v>52</v>
      </c>
      <c r="F8474">
        <v>2014</v>
      </c>
      <c r="G8474">
        <v>14000497</v>
      </c>
      <c r="H8474" s="1">
        <v>41670</v>
      </c>
      <c r="I8474" s="1">
        <v>41691</v>
      </c>
      <c r="J8474" s="1">
        <v>41691</v>
      </c>
      <c r="K8474" s="1">
        <v>41781</v>
      </c>
      <c r="N8474" s="5"/>
      <c r="O8474" s="2">
        <v>1985.5</v>
      </c>
      <c r="P8474">
        <v>320</v>
      </c>
      <c r="Q8474" s="2">
        <v>635360</v>
      </c>
      <c r="R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 s="1">
        <v>42382</v>
      </c>
      <c r="AC8474" t="s">
        <v>53</v>
      </c>
      <c r="AD8474" t="s">
        <v>53</v>
      </c>
      <c r="AK8474">
        <v>0</v>
      </c>
      <c r="AU8474" s="6">
        <v>42101</v>
      </c>
      <c r="AV8474" s="6">
        <v>42101</v>
      </c>
      <c r="AW8474" t="s">
        <v>54</v>
      </c>
      <c r="AX8474" t="str">
        <f t="shared" si="691"/>
        <v>FOR</v>
      </c>
      <c r="AY8474" t="s">
        <v>55</v>
      </c>
    </row>
    <row r="8475" spans="1:51" hidden="1">
      <c r="A8475">
        <v>106340</v>
      </c>
      <c r="B8475" t="s">
        <v>1392</v>
      </c>
      <c r="C8475" t="str">
        <f t="shared" si="693"/>
        <v>07235590960</v>
      </c>
      <c r="D8475" t="str">
        <f t="shared" si="693"/>
        <v>07235590960</v>
      </c>
      <c r="E8475" t="s">
        <v>52</v>
      </c>
      <c r="F8475">
        <v>2014</v>
      </c>
      <c r="G8475">
        <v>14000503</v>
      </c>
      <c r="H8475" s="1">
        <v>41670</v>
      </c>
      <c r="I8475" s="1">
        <v>41681</v>
      </c>
      <c r="J8475" s="1">
        <v>41681</v>
      </c>
      <c r="K8475" s="1">
        <v>41771</v>
      </c>
      <c r="N8475" s="5"/>
      <c r="O8475" s="2">
        <v>1985.5</v>
      </c>
      <c r="P8475">
        <v>330</v>
      </c>
      <c r="Q8475" s="2">
        <v>655215</v>
      </c>
      <c r="R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 s="1">
        <v>42382</v>
      </c>
      <c r="AC8475" t="s">
        <v>53</v>
      </c>
      <c r="AD8475" t="s">
        <v>53</v>
      </c>
      <c r="AK8475">
        <v>0</v>
      </c>
      <c r="AU8475" s="6">
        <v>42101</v>
      </c>
      <c r="AV8475" s="6">
        <v>42101</v>
      </c>
      <c r="AW8475" t="s">
        <v>54</v>
      </c>
      <c r="AX8475" t="str">
        <f t="shared" si="691"/>
        <v>FOR</v>
      </c>
      <c r="AY8475" t="s">
        <v>55</v>
      </c>
    </row>
    <row r="8476" spans="1:51" hidden="1">
      <c r="A8476">
        <v>106340</v>
      </c>
      <c r="B8476" t="s">
        <v>1392</v>
      </c>
      <c r="C8476" t="str">
        <f t="shared" si="693"/>
        <v>07235590960</v>
      </c>
      <c r="D8476" t="str">
        <f t="shared" si="693"/>
        <v>07235590960</v>
      </c>
      <c r="E8476" t="s">
        <v>52</v>
      </c>
      <c r="F8476">
        <v>2014</v>
      </c>
      <c r="G8476">
        <v>14000708</v>
      </c>
      <c r="H8476" s="1">
        <v>41680</v>
      </c>
      <c r="I8476" s="1">
        <v>41689</v>
      </c>
      <c r="J8476" s="1">
        <v>41689</v>
      </c>
      <c r="K8476" s="1">
        <v>41779</v>
      </c>
      <c r="N8476" s="5"/>
      <c r="O8476" s="2">
        <v>1985.5</v>
      </c>
      <c r="P8476">
        <v>322</v>
      </c>
      <c r="Q8476" s="2">
        <v>639331</v>
      </c>
      <c r="R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 s="1">
        <v>42382</v>
      </c>
      <c r="AC8476" t="s">
        <v>53</v>
      </c>
      <c r="AD8476" t="s">
        <v>53</v>
      </c>
      <c r="AK8476">
        <v>0</v>
      </c>
      <c r="AU8476" s="6">
        <v>42101</v>
      </c>
      <c r="AV8476" s="6">
        <v>42101</v>
      </c>
      <c r="AW8476" t="s">
        <v>54</v>
      </c>
      <c r="AX8476" t="str">
        <f t="shared" si="691"/>
        <v>FOR</v>
      </c>
      <c r="AY8476" t="s">
        <v>55</v>
      </c>
    </row>
    <row r="8477" spans="1:51" hidden="1">
      <c r="A8477">
        <v>106340</v>
      </c>
      <c r="B8477" t="s">
        <v>1392</v>
      </c>
      <c r="C8477" t="str">
        <f t="shared" si="693"/>
        <v>07235590960</v>
      </c>
      <c r="D8477" t="str">
        <f t="shared" si="693"/>
        <v>07235590960</v>
      </c>
      <c r="E8477" t="s">
        <v>52</v>
      </c>
      <c r="F8477">
        <v>2014</v>
      </c>
      <c r="G8477">
        <v>14000730</v>
      </c>
      <c r="H8477" s="1">
        <v>41681</v>
      </c>
      <c r="I8477" s="1">
        <v>41689</v>
      </c>
      <c r="J8477" s="1">
        <v>41689</v>
      </c>
      <c r="K8477" s="1">
        <v>41779</v>
      </c>
      <c r="N8477" s="5"/>
      <c r="O8477" s="2">
        <v>1985.5</v>
      </c>
      <c r="P8477">
        <v>322</v>
      </c>
      <c r="Q8477" s="2">
        <v>639331</v>
      </c>
      <c r="R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 s="1">
        <v>42382</v>
      </c>
      <c r="AC8477" t="s">
        <v>53</v>
      </c>
      <c r="AD8477" t="s">
        <v>53</v>
      </c>
      <c r="AK8477">
        <v>0</v>
      </c>
      <c r="AU8477" s="6">
        <v>42101</v>
      </c>
      <c r="AV8477" s="6">
        <v>42101</v>
      </c>
      <c r="AW8477" t="s">
        <v>54</v>
      </c>
      <c r="AX8477" t="str">
        <f t="shared" si="691"/>
        <v>FOR</v>
      </c>
      <c r="AY8477" t="s">
        <v>55</v>
      </c>
    </row>
    <row r="8478" spans="1:51" hidden="1">
      <c r="A8478">
        <v>106340</v>
      </c>
      <c r="B8478" t="s">
        <v>1392</v>
      </c>
      <c r="C8478" t="str">
        <f t="shared" si="693"/>
        <v>07235590960</v>
      </c>
      <c r="D8478" t="str">
        <f t="shared" si="693"/>
        <v>07235590960</v>
      </c>
      <c r="E8478" t="s">
        <v>52</v>
      </c>
      <c r="F8478">
        <v>2014</v>
      </c>
      <c r="G8478">
        <v>14000799</v>
      </c>
      <c r="H8478" s="1">
        <v>41683</v>
      </c>
      <c r="I8478" s="1">
        <v>41691</v>
      </c>
      <c r="J8478" s="1">
        <v>41691</v>
      </c>
      <c r="K8478" s="1">
        <v>41781</v>
      </c>
      <c r="N8478" s="5"/>
      <c r="O8478">
        <v>496.38</v>
      </c>
      <c r="P8478">
        <v>320</v>
      </c>
      <c r="Q8478" s="2">
        <v>158841.60000000001</v>
      </c>
      <c r="R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 s="1">
        <v>42382</v>
      </c>
      <c r="AC8478" t="s">
        <v>53</v>
      </c>
      <c r="AD8478" t="s">
        <v>53</v>
      </c>
      <c r="AK8478">
        <v>0</v>
      </c>
      <c r="AU8478" s="6">
        <v>42101</v>
      </c>
      <c r="AV8478" s="6">
        <v>42101</v>
      </c>
      <c r="AW8478" t="s">
        <v>54</v>
      </c>
      <c r="AX8478" t="str">
        <f t="shared" si="691"/>
        <v>FOR</v>
      </c>
      <c r="AY8478" t="s">
        <v>55</v>
      </c>
    </row>
    <row r="8479" spans="1:51" hidden="1">
      <c r="A8479">
        <v>106340</v>
      </c>
      <c r="B8479" t="s">
        <v>1392</v>
      </c>
      <c r="C8479" t="str">
        <f t="shared" si="693"/>
        <v>07235590960</v>
      </c>
      <c r="D8479" t="str">
        <f t="shared" si="693"/>
        <v>07235590960</v>
      </c>
      <c r="E8479" t="s">
        <v>52</v>
      </c>
      <c r="F8479">
        <v>2014</v>
      </c>
      <c r="G8479">
        <v>14001102</v>
      </c>
      <c r="H8479" s="1">
        <v>41702</v>
      </c>
      <c r="I8479" s="1">
        <v>41712</v>
      </c>
      <c r="J8479" s="1">
        <v>41712</v>
      </c>
      <c r="K8479" s="1">
        <v>41802</v>
      </c>
      <c r="N8479" s="5"/>
      <c r="O8479" s="2">
        <v>1985.5</v>
      </c>
      <c r="P8479">
        <v>299</v>
      </c>
      <c r="Q8479" s="2">
        <v>593664.5</v>
      </c>
      <c r="R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 s="1">
        <v>42382</v>
      </c>
      <c r="AC8479" t="s">
        <v>53</v>
      </c>
      <c r="AD8479" t="s">
        <v>53</v>
      </c>
      <c r="AK8479">
        <v>0</v>
      </c>
      <c r="AU8479" s="6">
        <v>42101</v>
      </c>
      <c r="AV8479" s="6">
        <v>42101</v>
      </c>
      <c r="AW8479" t="s">
        <v>54</v>
      </c>
      <c r="AX8479" t="str">
        <f t="shared" si="691"/>
        <v>FOR</v>
      </c>
      <c r="AY8479" t="s">
        <v>55</v>
      </c>
    </row>
    <row r="8480" spans="1:51" hidden="1">
      <c r="A8480">
        <v>106340</v>
      </c>
      <c r="B8480" t="s">
        <v>1392</v>
      </c>
      <c r="C8480" t="str">
        <f t="shared" si="693"/>
        <v>07235590960</v>
      </c>
      <c r="D8480" t="str">
        <f t="shared" si="693"/>
        <v>07235590960</v>
      </c>
      <c r="E8480" t="s">
        <v>52</v>
      </c>
      <c r="F8480">
        <v>2014</v>
      </c>
      <c r="G8480">
        <v>14001181</v>
      </c>
      <c r="H8480" s="1">
        <v>41705</v>
      </c>
      <c r="I8480" s="1">
        <v>41712</v>
      </c>
      <c r="J8480" s="1">
        <v>41712</v>
      </c>
      <c r="K8480" s="1">
        <v>41802</v>
      </c>
      <c r="N8480" s="5"/>
      <c r="O8480">
        <v>496.38</v>
      </c>
      <c r="P8480">
        <v>299</v>
      </c>
      <c r="Q8480" s="2">
        <v>148417.62</v>
      </c>
      <c r="R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 s="1">
        <v>42382</v>
      </c>
      <c r="AC8480" t="s">
        <v>53</v>
      </c>
      <c r="AD8480" t="s">
        <v>53</v>
      </c>
      <c r="AK8480">
        <v>0</v>
      </c>
      <c r="AU8480" s="6">
        <v>42101</v>
      </c>
      <c r="AV8480" s="6">
        <v>42101</v>
      </c>
      <c r="AW8480" t="s">
        <v>54</v>
      </c>
      <c r="AX8480" t="str">
        <f t="shared" si="691"/>
        <v>FOR</v>
      </c>
      <c r="AY8480" t="s">
        <v>55</v>
      </c>
    </row>
    <row r="8481" spans="1:51" hidden="1">
      <c r="A8481">
        <v>106340</v>
      </c>
      <c r="B8481" t="s">
        <v>1392</v>
      </c>
      <c r="C8481" t="str">
        <f t="shared" si="693"/>
        <v>07235590960</v>
      </c>
      <c r="D8481" t="str">
        <f t="shared" si="693"/>
        <v>07235590960</v>
      </c>
      <c r="E8481" t="s">
        <v>52</v>
      </c>
      <c r="F8481">
        <v>2014</v>
      </c>
      <c r="G8481">
        <v>14001247</v>
      </c>
      <c r="H8481" s="1">
        <v>41709</v>
      </c>
      <c r="I8481" s="1">
        <v>41715</v>
      </c>
      <c r="J8481" s="1">
        <v>41715</v>
      </c>
      <c r="K8481" s="1">
        <v>41805</v>
      </c>
      <c r="N8481" s="5"/>
      <c r="O8481" s="2">
        <v>1985.5</v>
      </c>
      <c r="P8481">
        <v>296</v>
      </c>
      <c r="Q8481" s="2">
        <v>587708</v>
      </c>
      <c r="R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 s="1">
        <v>42382</v>
      </c>
      <c r="AC8481" t="s">
        <v>53</v>
      </c>
      <c r="AD8481" t="s">
        <v>53</v>
      </c>
      <c r="AK8481">
        <v>0</v>
      </c>
      <c r="AU8481" s="6">
        <v>42101</v>
      </c>
      <c r="AV8481" s="6">
        <v>42101</v>
      </c>
      <c r="AW8481" t="s">
        <v>54</v>
      </c>
      <c r="AX8481" t="str">
        <f t="shared" si="691"/>
        <v>FOR</v>
      </c>
      <c r="AY8481" t="s">
        <v>55</v>
      </c>
    </row>
    <row r="8482" spans="1:51" hidden="1">
      <c r="A8482">
        <v>106340</v>
      </c>
      <c r="B8482" t="s">
        <v>1392</v>
      </c>
      <c r="C8482" t="str">
        <f t="shared" si="693"/>
        <v>07235590960</v>
      </c>
      <c r="D8482" t="str">
        <f t="shared" si="693"/>
        <v>07235590960</v>
      </c>
      <c r="E8482" t="s">
        <v>52</v>
      </c>
      <c r="F8482">
        <v>2014</v>
      </c>
      <c r="G8482">
        <v>14001526</v>
      </c>
      <c r="H8482" s="1">
        <v>41724</v>
      </c>
      <c r="I8482" s="1">
        <v>41736</v>
      </c>
      <c r="J8482" s="1">
        <v>41736</v>
      </c>
      <c r="K8482" s="1">
        <v>41826</v>
      </c>
      <c r="N8482" s="5"/>
      <c r="O8482" s="2">
        <v>1985.5</v>
      </c>
      <c r="P8482">
        <v>275</v>
      </c>
      <c r="Q8482" s="2">
        <v>546012.5</v>
      </c>
      <c r="R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 s="1">
        <v>42382</v>
      </c>
      <c r="AC8482" t="s">
        <v>53</v>
      </c>
      <c r="AD8482" t="s">
        <v>53</v>
      </c>
      <c r="AK8482">
        <v>0</v>
      </c>
      <c r="AU8482" s="6">
        <v>42101</v>
      </c>
      <c r="AV8482" s="6">
        <v>42101</v>
      </c>
      <c r="AW8482" t="s">
        <v>54</v>
      </c>
      <c r="AX8482" t="str">
        <f t="shared" si="691"/>
        <v>FOR</v>
      </c>
      <c r="AY8482" t="s">
        <v>55</v>
      </c>
    </row>
    <row r="8483" spans="1:51" hidden="1">
      <c r="A8483">
        <v>106340</v>
      </c>
      <c r="B8483" t="s">
        <v>1392</v>
      </c>
      <c r="C8483" t="str">
        <f t="shared" si="693"/>
        <v>07235590960</v>
      </c>
      <c r="D8483" t="str">
        <f t="shared" si="693"/>
        <v>07235590960</v>
      </c>
      <c r="E8483" t="s">
        <v>52</v>
      </c>
      <c r="F8483">
        <v>2014</v>
      </c>
      <c r="G8483">
        <v>14001529</v>
      </c>
      <c r="H8483" s="1">
        <v>41724</v>
      </c>
      <c r="I8483" s="1">
        <v>41731</v>
      </c>
      <c r="J8483" s="1">
        <v>41731</v>
      </c>
      <c r="K8483" s="1">
        <v>41821</v>
      </c>
      <c r="N8483" s="5"/>
      <c r="O8483" s="2">
        <v>1985.5</v>
      </c>
      <c r="P8483">
        <v>280</v>
      </c>
      <c r="Q8483" s="2">
        <v>555940</v>
      </c>
      <c r="R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 s="1">
        <v>42382</v>
      </c>
      <c r="AC8483" t="s">
        <v>53</v>
      </c>
      <c r="AD8483" t="s">
        <v>53</v>
      </c>
      <c r="AK8483">
        <v>0</v>
      </c>
      <c r="AU8483" s="6">
        <v>42101</v>
      </c>
      <c r="AV8483" s="6">
        <v>42101</v>
      </c>
      <c r="AW8483" t="s">
        <v>54</v>
      </c>
      <c r="AX8483" t="str">
        <f t="shared" si="691"/>
        <v>FOR</v>
      </c>
      <c r="AY8483" t="s">
        <v>55</v>
      </c>
    </row>
    <row r="8484" spans="1:51" hidden="1">
      <c r="A8484">
        <v>106340</v>
      </c>
      <c r="B8484" t="s">
        <v>1392</v>
      </c>
      <c r="C8484" t="str">
        <f t="shared" si="693"/>
        <v>07235590960</v>
      </c>
      <c r="D8484" t="str">
        <f t="shared" si="693"/>
        <v>07235590960</v>
      </c>
      <c r="E8484" t="s">
        <v>52</v>
      </c>
      <c r="F8484">
        <v>2014</v>
      </c>
      <c r="G8484">
        <v>14001613</v>
      </c>
      <c r="H8484" s="1">
        <v>41729</v>
      </c>
      <c r="I8484" s="1">
        <v>41737</v>
      </c>
      <c r="J8484" s="1">
        <v>41737</v>
      </c>
      <c r="K8484" s="1">
        <v>41827</v>
      </c>
      <c r="N8484" s="5"/>
      <c r="O8484">
        <v>496.38</v>
      </c>
      <c r="P8484">
        <v>274</v>
      </c>
      <c r="Q8484" s="2">
        <v>136008.12</v>
      </c>
      <c r="R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 s="1">
        <v>42382</v>
      </c>
      <c r="AC8484" t="s">
        <v>53</v>
      </c>
      <c r="AD8484" t="s">
        <v>53</v>
      </c>
      <c r="AK8484">
        <v>0</v>
      </c>
      <c r="AU8484" s="6">
        <v>42101</v>
      </c>
      <c r="AV8484" s="6">
        <v>42101</v>
      </c>
      <c r="AW8484" t="s">
        <v>54</v>
      </c>
      <c r="AX8484" t="str">
        <f t="shared" si="691"/>
        <v>FOR</v>
      </c>
      <c r="AY8484" t="s">
        <v>55</v>
      </c>
    </row>
    <row r="8485" spans="1:51" hidden="1">
      <c r="A8485">
        <v>106340</v>
      </c>
      <c r="B8485" t="s">
        <v>1392</v>
      </c>
      <c r="C8485" t="str">
        <f t="shared" si="693"/>
        <v>07235590960</v>
      </c>
      <c r="D8485" t="str">
        <f t="shared" si="693"/>
        <v>07235590960</v>
      </c>
      <c r="E8485" t="s">
        <v>52</v>
      </c>
      <c r="F8485">
        <v>2014</v>
      </c>
      <c r="G8485">
        <v>14001788</v>
      </c>
      <c r="H8485" s="1">
        <v>41736</v>
      </c>
      <c r="I8485" s="1">
        <v>41743</v>
      </c>
      <c r="J8485" s="1">
        <v>41743</v>
      </c>
      <c r="K8485" s="1">
        <v>41833</v>
      </c>
      <c r="N8485" s="5"/>
      <c r="O8485" s="2">
        <v>1985.5</v>
      </c>
      <c r="P8485">
        <v>268</v>
      </c>
      <c r="Q8485" s="2">
        <v>532114</v>
      </c>
      <c r="R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 s="1">
        <v>42382</v>
      </c>
      <c r="AC8485" t="s">
        <v>53</v>
      </c>
      <c r="AD8485" t="s">
        <v>53</v>
      </c>
      <c r="AK8485">
        <v>0</v>
      </c>
      <c r="AU8485" s="6">
        <v>42101</v>
      </c>
      <c r="AV8485" s="6">
        <v>42101</v>
      </c>
      <c r="AW8485" t="s">
        <v>54</v>
      </c>
      <c r="AX8485" t="str">
        <f t="shared" si="691"/>
        <v>FOR</v>
      </c>
      <c r="AY8485" t="s">
        <v>55</v>
      </c>
    </row>
    <row r="8486" spans="1:51" hidden="1">
      <c r="A8486">
        <v>106340</v>
      </c>
      <c r="B8486" t="s">
        <v>1392</v>
      </c>
      <c r="C8486" t="str">
        <f t="shared" si="693"/>
        <v>07235590960</v>
      </c>
      <c r="D8486" t="str">
        <f t="shared" si="693"/>
        <v>07235590960</v>
      </c>
      <c r="E8486" t="s">
        <v>52</v>
      </c>
      <c r="F8486">
        <v>2014</v>
      </c>
      <c r="G8486">
        <v>14001829</v>
      </c>
      <c r="H8486" s="1">
        <v>41738</v>
      </c>
      <c r="I8486" s="1">
        <v>41751</v>
      </c>
      <c r="J8486" s="1">
        <v>41751</v>
      </c>
      <c r="K8486" s="1">
        <v>41841</v>
      </c>
      <c r="N8486" s="5"/>
      <c r="O8486" s="2">
        <v>1985.5</v>
      </c>
      <c r="P8486">
        <v>260</v>
      </c>
      <c r="Q8486" s="2">
        <v>516230</v>
      </c>
      <c r="R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 s="1">
        <v>42382</v>
      </c>
      <c r="AC8486" t="s">
        <v>53</v>
      </c>
      <c r="AD8486" t="s">
        <v>53</v>
      </c>
      <c r="AK8486">
        <v>0</v>
      </c>
      <c r="AU8486" s="6">
        <v>42101</v>
      </c>
      <c r="AV8486" s="6">
        <v>42101</v>
      </c>
      <c r="AW8486" t="s">
        <v>54</v>
      </c>
      <c r="AX8486" t="str">
        <f t="shared" si="691"/>
        <v>FOR</v>
      </c>
      <c r="AY8486" t="s">
        <v>55</v>
      </c>
    </row>
    <row r="8487" spans="1:51" hidden="1">
      <c r="A8487">
        <v>106340</v>
      </c>
      <c r="B8487" t="s">
        <v>1392</v>
      </c>
      <c r="C8487" t="str">
        <f t="shared" si="693"/>
        <v>07235590960</v>
      </c>
      <c r="D8487" t="str">
        <f t="shared" si="693"/>
        <v>07235590960</v>
      </c>
      <c r="E8487" t="s">
        <v>52</v>
      </c>
      <c r="F8487">
        <v>2014</v>
      </c>
      <c r="G8487">
        <v>14002099</v>
      </c>
      <c r="H8487" s="1">
        <v>41752</v>
      </c>
      <c r="I8487" s="1">
        <v>41764</v>
      </c>
      <c r="J8487" s="1">
        <v>41764</v>
      </c>
      <c r="K8487" s="1">
        <v>41854</v>
      </c>
      <c r="N8487" s="5"/>
      <c r="O8487" s="2">
        <v>1985.5</v>
      </c>
      <c r="P8487">
        <v>247</v>
      </c>
      <c r="Q8487" s="2">
        <v>490418.5</v>
      </c>
      <c r="R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 s="1">
        <v>42382</v>
      </c>
      <c r="AC8487" t="s">
        <v>53</v>
      </c>
      <c r="AD8487" t="s">
        <v>53</v>
      </c>
      <c r="AK8487">
        <v>0</v>
      </c>
      <c r="AU8487" s="6">
        <v>42101</v>
      </c>
      <c r="AV8487" s="6">
        <v>42101</v>
      </c>
      <c r="AW8487" t="s">
        <v>54</v>
      </c>
      <c r="AX8487" t="str">
        <f t="shared" si="691"/>
        <v>FOR</v>
      </c>
      <c r="AY8487" t="s">
        <v>55</v>
      </c>
    </row>
    <row r="8488" spans="1:51" hidden="1">
      <c r="A8488">
        <v>106340</v>
      </c>
      <c r="B8488" t="s">
        <v>1392</v>
      </c>
      <c r="C8488" t="str">
        <f t="shared" si="693"/>
        <v>07235590960</v>
      </c>
      <c r="D8488" t="str">
        <f t="shared" si="693"/>
        <v>07235590960</v>
      </c>
      <c r="E8488" t="s">
        <v>52</v>
      </c>
      <c r="F8488">
        <v>2014</v>
      </c>
      <c r="G8488">
        <v>14002100</v>
      </c>
      <c r="H8488" s="1">
        <v>41752</v>
      </c>
      <c r="I8488" s="1">
        <v>41764</v>
      </c>
      <c r="J8488" s="1">
        <v>41764</v>
      </c>
      <c r="K8488" s="1">
        <v>41854</v>
      </c>
      <c r="N8488" s="5"/>
      <c r="O8488" s="2">
        <v>1985.5</v>
      </c>
      <c r="P8488">
        <v>247</v>
      </c>
      <c r="Q8488" s="2">
        <v>490418.5</v>
      </c>
      <c r="R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 s="1">
        <v>42382</v>
      </c>
      <c r="AC8488" t="s">
        <v>53</v>
      </c>
      <c r="AD8488" t="s">
        <v>53</v>
      </c>
      <c r="AK8488">
        <v>0</v>
      </c>
      <c r="AU8488" s="6">
        <v>42101</v>
      </c>
      <c r="AV8488" s="6">
        <v>42101</v>
      </c>
      <c r="AW8488" t="s">
        <v>54</v>
      </c>
      <c r="AX8488" t="str">
        <f t="shared" si="691"/>
        <v>FOR</v>
      </c>
      <c r="AY8488" t="s">
        <v>55</v>
      </c>
    </row>
    <row r="8489" spans="1:51" hidden="1">
      <c r="A8489">
        <v>106340</v>
      </c>
      <c r="B8489" t="s">
        <v>1392</v>
      </c>
      <c r="C8489" t="str">
        <f t="shared" si="693"/>
        <v>07235590960</v>
      </c>
      <c r="D8489" t="str">
        <f t="shared" si="693"/>
        <v>07235590960</v>
      </c>
      <c r="E8489" t="s">
        <v>52</v>
      </c>
      <c r="F8489">
        <v>2014</v>
      </c>
      <c r="G8489">
        <v>14002233</v>
      </c>
      <c r="H8489" s="1">
        <v>41759</v>
      </c>
      <c r="I8489" s="1">
        <v>41767</v>
      </c>
      <c r="J8489" s="1">
        <v>41767</v>
      </c>
      <c r="K8489" s="1">
        <v>41857</v>
      </c>
      <c r="N8489" s="5"/>
      <c r="O8489" s="2">
        <v>1985.5</v>
      </c>
      <c r="P8489">
        <v>244</v>
      </c>
      <c r="Q8489" s="2">
        <v>484462</v>
      </c>
      <c r="R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 s="1">
        <v>42382</v>
      </c>
      <c r="AC8489" t="s">
        <v>53</v>
      </c>
      <c r="AD8489" t="s">
        <v>53</v>
      </c>
      <c r="AK8489">
        <v>0</v>
      </c>
      <c r="AU8489" s="6">
        <v>42101</v>
      </c>
      <c r="AV8489" s="6">
        <v>42101</v>
      </c>
      <c r="AW8489" t="s">
        <v>54</v>
      </c>
      <c r="AX8489" t="str">
        <f t="shared" si="691"/>
        <v>FOR</v>
      </c>
      <c r="AY8489" t="s">
        <v>55</v>
      </c>
    </row>
    <row r="8490" spans="1:51" hidden="1">
      <c r="A8490">
        <v>106340</v>
      </c>
      <c r="B8490" t="s">
        <v>1392</v>
      </c>
      <c r="C8490" t="str">
        <f t="shared" si="693"/>
        <v>07235590960</v>
      </c>
      <c r="D8490" t="str">
        <f t="shared" si="693"/>
        <v>07235590960</v>
      </c>
      <c r="E8490" t="s">
        <v>52</v>
      </c>
      <c r="F8490">
        <v>2014</v>
      </c>
      <c r="G8490">
        <v>14002242</v>
      </c>
      <c r="H8490" s="1">
        <v>41759</v>
      </c>
      <c r="I8490" s="1">
        <v>41768</v>
      </c>
      <c r="J8490" s="1">
        <v>41768</v>
      </c>
      <c r="K8490" s="1">
        <v>41858</v>
      </c>
      <c r="N8490" s="5"/>
      <c r="O8490" s="2">
        <v>1985.5</v>
      </c>
      <c r="P8490">
        <v>243</v>
      </c>
      <c r="Q8490" s="2">
        <v>482476.5</v>
      </c>
      <c r="R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 s="1">
        <v>42382</v>
      </c>
      <c r="AC8490" t="s">
        <v>53</v>
      </c>
      <c r="AD8490" t="s">
        <v>53</v>
      </c>
      <c r="AK8490">
        <v>0</v>
      </c>
      <c r="AU8490" s="6">
        <v>42101</v>
      </c>
      <c r="AV8490" s="6">
        <v>42101</v>
      </c>
      <c r="AW8490" t="s">
        <v>54</v>
      </c>
      <c r="AX8490" t="str">
        <f t="shared" si="691"/>
        <v>FOR</v>
      </c>
      <c r="AY8490" t="s">
        <v>55</v>
      </c>
    </row>
    <row r="8491" spans="1:51" hidden="1">
      <c r="A8491">
        <v>106340</v>
      </c>
      <c r="B8491" t="s">
        <v>1392</v>
      </c>
      <c r="C8491" t="str">
        <f t="shared" si="693"/>
        <v>07235590960</v>
      </c>
      <c r="D8491" t="str">
        <f t="shared" si="693"/>
        <v>07235590960</v>
      </c>
      <c r="E8491" t="s">
        <v>52</v>
      </c>
      <c r="F8491">
        <v>2014</v>
      </c>
      <c r="G8491">
        <v>14002398</v>
      </c>
      <c r="H8491" s="1">
        <v>41766</v>
      </c>
      <c r="I8491" s="1">
        <v>41773</v>
      </c>
      <c r="J8491" s="1">
        <v>41773</v>
      </c>
      <c r="K8491" s="1">
        <v>41863</v>
      </c>
      <c r="N8491" s="5"/>
      <c r="O8491" s="2">
        <v>1985.5</v>
      </c>
      <c r="P8491">
        <v>267</v>
      </c>
      <c r="Q8491" s="2">
        <v>530128.5</v>
      </c>
      <c r="R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 s="1">
        <v>42382</v>
      </c>
      <c r="AC8491" t="s">
        <v>53</v>
      </c>
      <c r="AD8491" t="s">
        <v>53</v>
      </c>
      <c r="AK8491">
        <v>0</v>
      </c>
      <c r="AU8491" s="6">
        <v>42130</v>
      </c>
      <c r="AV8491" s="6">
        <v>42130</v>
      </c>
      <c r="AW8491" t="s">
        <v>54</v>
      </c>
      <c r="AX8491" t="str">
        <f t="shared" si="691"/>
        <v>FOR</v>
      </c>
      <c r="AY8491" t="s">
        <v>55</v>
      </c>
    </row>
    <row r="8492" spans="1:51" hidden="1">
      <c r="A8492">
        <v>106340</v>
      </c>
      <c r="B8492" t="s">
        <v>1392</v>
      </c>
      <c r="C8492" t="str">
        <f t="shared" si="693"/>
        <v>07235590960</v>
      </c>
      <c r="D8492" t="str">
        <f t="shared" si="693"/>
        <v>07235590960</v>
      </c>
      <c r="E8492" t="s">
        <v>52</v>
      </c>
      <c r="F8492">
        <v>2014</v>
      </c>
      <c r="G8492">
        <v>14002510</v>
      </c>
      <c r="H8492" s="1">
        <v>41772</v>
      </c>
      <c r="I8492" s="1">
        <v>41779</v>
      </c>
      <c r="J8492" s="1">
        <v>41779</v>
      </c>
      <c r="K8492" s="1">
        <v>41869</v>
      </c>
      <c r="N8492" s="5"/>
      <c r="O8492" s="2">
        <v>1985.5</v>
      </c>
      <c r="P8492">
        <v>261</v>
      </c>
      <c r="Q8492" s="2">
        <v>518215.5</v>
      </c>
      <c r="R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 s="1">
        <v>42382</v>
      </c>
      <c r="AC8492" t="s">
        <v>53</v>
      </c>
      <c r="AD8492" t="s">
        <v>53</v>
      </c>
      <c r="AK8492">
        <v>0</v>
      </c>
      <c r="AU8492" s="6">
        <v>42130</v>
      </c>
      <c r="AV8492" s="6">
        <v>42130</v>
      </c>
      <c r="AW8492" t="s">
        <v>54</v>
      </c>
      <c r="AX8492" t="str">
        <f t="shared" si="691"/>
        <v>FOR</v>
      </c>
      <c r="AY8492" t="s">
        <v>55</v>
      </c>
    </row>
    <row r="8493" spans="1:51" hidden="1">
      <c r="A8493">
        <v>106340</v>
      </c>
      <c r="B8493" t="s">
        <v>1392</v>
      </c>
      <c r="C8493" t="str">
        <f t="shared" si="693"/>
        <v>07235590960</v>
      </c>
      <c r="D8493" t="str">
        <f t="shared" si="693"/>
        <v>07235590960</v>
      </c>
      <c r="E8493" t="s">
        <v>52</v>
      </c>
      <c r="F8493">
        <v>2014</v>
      </c>
      <c r="G8493">
        <v>14002913</v>
      </c>
      <c r="H8493" s="1">
        <v>41788</v>
      </c>
      <c r="I8493" s="1">
        <v>41796</v>
      </c>
      <c r="J8493" s="1">
        <v>41796</v>
      </c>
      <c r="K8493" s="1">
        <v>41886</v>
      </c>
      <c r="N8493" s="5"/>
      <c r="O8493" s="2">
        <v>1985.5</v>
      </c>
      <c r="P8493">
        <v>244</v>
      </c>
      <c r="Q8493" s="2">
        <v>484462</v>
      </c>
      <c r="R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 s="1">
        <v>42382</v>
      </c>
      <c r="AC8493" t="s">
        <v>53</v>
      </c>
      <c r="AD8493" t="s">
        <v>53</v>
      </c>
      <c r="AK8493">
        <v>0</v>
      </c>
      <c r="AU8493" s="6">
        <v>42130</v>
      </c>
      <c r="AV8493" s="6">
        <v>42130</v>
      </c>
      <c r="AW8493" t="s">
        <v>54</v>
      </c>
      <c r="AX8493" t="str">
        <f t="shared" si="691"/>
        <v>FOR</v>
      </c>
      <c r="AY8493" t="s">
        <v>55</v>
      </c>
    </row>
    <row r="8494" spans="1:51" hidden="1">
      <c r="A8494">
        <v>106340</v>
      </c>
      <c r="B8494" t="s">
        <v>1392</v>
      </c>
      <c r="C8494" t="str">
        <f t="shared" ref="C8494:D8513" si="694">"07235590960"</f>
        <v>07235590960</v>
      </c>
      <c r="D8494" t="str">
        <f t="shared" si="694"/>
        <v>07235590960</v>
      </c>
      <c r="E8494" t="s">
        <v>52</v>
      </c>
      <c r="F8494">
        <v>2014</v>
      </c>
      <c r="G8494">
        <v>14002973</v>
      </c>
      <c r="H8494" s="1">
        <v>41793</v>
      </c>
      <c r="I8494" s="1">
        <v>41803</v>
      </c>
      <c r="J8494" s="1">
        <v>41803</v>
      </c>
      <c r="K8494" s="1">
        <v>41893</v>
      </c>
      <c r="N8494" s="5"/>
      <c r="O8494">
        <v>496.38</v>
      </c>
      <c r="P8494">
        <v>266</v>
      </c>
      <c r="Q8494" s="2">
        <v>132037.07999999999</v>
      </c>
      <c r="R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 s="1">
        <v>42382</v>
      </c>
      <c r="AC8494" t="s">
        <v>53</v>
      </c>
      <c r="AD8494" t="s">
        <v>53</v>
      </c>
      <c r="AK8494">
        <v>0</v>
      </c>
      <c r="AU8494" s="6">
        <v>42159</v>
      </c>
      <c r="AV8494" s="6">
        <v>42159</v>
      </c>
      <c r="AW8494" t="s">
        <v>54</v>
      </c>
      <c r="AX8494" t="str">
        <f t="shared" si="691"/>
        <v>FOR</v>
      </c>
      <c r="AY8494" t="s">
        <v>55</v>
      </c>
    </row>
    <row r="8495" spans="1:51" hidden="1">
      <c r="A8495">
        <v>106340</v>
      </c>
      <c r="B8495" t="s">
        <v>1392</v>
      </c>
      <c r="C8495" t="str">
        <f t="shared" si="694"/>
        <v>07235590960</v>
      </c>
      <c r="D8495" t="str">
        <f t="shared" si="694"/>
        <v>07235590960</v>
      </c>
      <c r="E8495" t="s">
        <v>52</v>
      </c>
      <c r="F8495">
        <v>2014</v>
      </c>
      <c r="G8495">
        <v>14003132</v>
      </c>
      <c r="H8495" s="1">
        <v>41800</v>
      </c>
      <c r="I8495" s="1">
        <v>41808</v>
      </c>
      <c r="J8495" s="1">
        <v>41808</v>
      </c>
      <c r="K8495" s="1">
        <v>41898</v>
      </c>
      <c r="N8495" s="5"/>
      <c r="O8495" s="2">
        <v>1985.5</v>
      </c>
      <c r="P8495">
        <v>261</v>
      </c>
      <c r="Q8495" s="2">
        <v>518215.5</v>
      </c>
      <c r="R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 s="1">
        <v>42382</v>
      </c>
      <c r="AC8495" t="s">
        <v>53</v>
      </c>
      <c r="AD8495" t="s">
        <v>53</v>
      </c>
      <c r="AK8495">
        <v>0</v>
      </c>
      <c r="AU8495" s="6">
        <v>42159</v>
      </c>
      <c r="AV8495" s="6">
        <v>42159</v>
      </c>
      <c r="AW8495" t="s">
        <v>54</v>
      </c>
      <c r="AX8495" t="str">
        <f t="shared" si="691"/>
        <v>FOR</v>
      </c>
      <c r="AY8495" t="s">
        <v>55</v>
      </c>
    </row>
    <row r="8496" spans="1:51" hidden="1">
      <c r="A8496">
        <v>106340</v>
      </c>
      <c r="B8496" t="s">
        <v>1392</v>
      </c>
      <c r="C8496" t="str">
        <f t="shared" si="694"/>
        <v>07235590960</v>
      </c>
      <c r="D8496" t="str">
        <f t="shared" si="694"/>
        <v>07235590960</v>
      </c>
      <c r="E8496" t="s">
        <v>52</v>
      </c>
      <c r="F8496">
        <v>2014</v>
      </c>
      <c r="G8496">
        <v>14003146</v>
      </c>
      <c r="H8496" s="1">
        <v>41800</v>
      </c>
      <c r="I8496" s="1">
        <v>41808</v>
      </c>
      <c r="J8496" s="1">
        <v>41808</v>
      </c>
      <c r="K8496" s="1">
        <v>41898</v>
      </c>
      <c r="N8496" s="5"/>
      <c r="O8496" s="2">
        <v>1985.5</v>
      </c>
      <c r="P8496">
        <v>261</v>
      </c>
      <c r="Q8496" s="2">
        <v>518215.5</v>
      </c>
      <c r="R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 s="1">
        <v>42382</v>
      </c>
      <c r="AC8496" t="s">
        <v>53</v>
      </c>
      <c r="AD8496" t="s">
        <v>53</v>
      </c>
      <c r="AK8496">
        <v>0</v>
      </c>
      <c r="AU8496" s="6">
        <v>42159</v>
      </c>
      <c r="AV8496" s="6">
        <v>42159</v>
      </c>
      <c r="AW8496" t="s">
        <v>54</v>
      </c>
      <c r="AX8496" t="str">
        <f t="shared" si="691"/>
        <v>FOR</v>
      </c>
      <c r="AY8496" t="s">
        <v>55</v>
      </c>
    </row>
    <row r="8497" spans="1:51" hidden="1">
      <c r="A8497">
        <v>106340</v>
      </c>
      <c r="B8497" t="s">
        <v>1392</v>
      </c>
      <c r="C8497" t="str">
        <f t="shared" si="694"/>
        <v>07235590960</v>
      </c>
      <c r="D8497" t="str">
        <f t="shared" si="694"/>
        <v>07235590960</v>
      </c>
      <c r="E8497" t="s">
        <v>52</v>
      </c>
      <c r="F8497">
        <v>2014</v>
      </c>
      <c r="G8497">
        <v>14003542</v>
      </c>
      <c r="H8497" s="1">
        <v>41816</v>
      </c>
      <c r="I8497" s="1">
        <v>41830</v>
      </c>
      <c r="J8497" s="1">
        <v>41830</v>
      </c>
      <c r="K8497" s="1">
        <v>41920</v>
      </c>
      <c r="N8497" s="5"/>
      <c r="O8497" s="2">
        <v>1985.5</v>
      </c>
      <c r="P8497">
        <v>239</v>
      </c>
      <c r="Q8497" s="2">
        <v>474534.5</v>
      </c>
      <c r="R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 s="1">
        <v>42382</v>
      </c>
      <c r="AC8497" t="s">
        <v>53</v>
      </c>
      <c r="AD8497" t="s">
        <v>53</v>
      </c>
      <c r="AK8497">
        <v>0</v>
      </c>
      <c r="AU8497" s="6">
        <v>42159</v>
      </c>
      <c r="AV8497" s="6">
        <v>42159</v>
      </c>
      <c r="AW8497" t="s">
        <v>54</v>
      </c>
      <c r="AX8497" t="str">
        <f t="shared" si="691"/>
        <v>FOR</v>
      </c>
      <c r="AY8497" t="s">
        <v>55</v>
      </c>
    </row>
    <row r="8498" spans="1:51" hidden="1">
      <c r="A8498">
        <v>106340</v>
      </c>
      <c r="B8498" t="s">
        <v>1392</v>
      </c>
      <c r="C8498" t="str">
        <f t="shared" si="694"/>
        <v>07235590960</v>
      </c>
      <c r="D8498" t="str">
        <f t="shared" si="694"/>
        <v>07235590960</v>
      </c>
      <c r="E8498" t="s">
        <v>52</v>
      </c>
      <c r="F8498">
        <v>2014</v>
      </c>
      <c r="G8498">
        <v>14003774</v>
      </c>
      <c r="H8498" s="1">
        <v>41820</v>
      </c>
      <c r="I8498" s="1">
        <v>41834</v>
      </c>
      <c r="J8498" s="1">
        <v>41834</v>
      </c>
      <c r="K8498" s="1">
        <v>41924</v>
      </c>
      <c r="N8498" s="5"/>
      <c r="O8498" s="2">
        <v>1985.5</v>
      </c>
      <c r="P8498">
        <v>235</v>
      </c>
      <c r="Q8498" s="2">
        <v>466592.5</v>
      </c>
      <c r="R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 s="1">
        <v>42382</v>
      </c>
      <c r="AC8498" t="s">
        <v>53</v>
      </c>
      <c r="AD8498" t="s">
        <v>53</v>
      </c>
      <c r="AK8498">
        <v>0</v>
      </c>
      <c r="AU8498" s="6">
        <v>42159</v>
      </c>
      <c r="AV8498" s="6">
        <v>42159</v>
      </c>
      <c r="AW8498" t="s">
        <v>54</v>
      </c>
      <c r="AX8498" t="str">
        <f t="shared" si="691"/>
        <v>FOR</v>
      </c>
      <c r="AY8498" t="s">
        <v>55</v>
      </c>
    </row>
    <row r="8499" spans="1:51" hidden="1">
      <c r="A8499">
        <v>106340</v>
      </c>
      <c r="B8499" t="s">
        <v>1392</v>
      </c>
      <c r="C8499" t="str">
        <f t="shared" si="694"/>
        <v>07235590960</v>
      </c>
      <c r="D8499" t="str">
        <f t="shared" si="694"/>
        <v>07235590960</v>
      </c>
      <c r="E8499" t="s">
        <v>52</v>
      </c>
      <c r="F8499">
        <v>2014</v>
      </c>
      <c r="G8499">
        <v>14003813</v>
      </c>
      <c r="H8499" s="1">
        <v>41829</v>
      </c>
      <c r="I8499" s="1">
        <v>41836</v>
      </c>
      <c r="J8499" s="1">
        <v>41836</v>
      </c>
      <c r="K8499" s="1">
        <v>41926</v>
      </c>
      <c r="N8499" s="5"/>
      <c r="O8499" s="2">
        <v>1985.5</v>
      </c>
      <c r="P8499">
        <v>262</v>
      </c>
      <c r="Q8499" s="2">
        <v>520201</v>
      </c>
      <c r="R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 s="1">
        <v>42382</v>
      </c>
      <c r="AC8499" t="s">
        <v>53</v>
      </c>
      <c r="AD8499" t="s">
        <v>53</v>
      </c>
      <c r="AK8499">
        <v>0</v>
      </c>
      <c r="AU8499" s="6">
        <v>42188</v>
      </c>
      <c r="AV8499" s="6">
        <v>42188</v>
      </c>
      <c r="AW8499" t="s">
        <v>54</v>
      </c>
      <c r="AX8499" t="str">
        <f t="shared" si="691"/>
        <v>FOR</v>
      </c>
      <c r="AY8499" t="s">
        <v>55</v>
      </c>
    </row>
    <row r="8500" spans="1:51" hidden="1">
      <c r="A8500">
        <v>106340</v>
      </c>
      <c r="B8500" t="s">
        <v>1392</v>
      </c>
      <c r="C8500" t="str">
        <f t="shared" si="694"/>
        <v>07235590960</v>
      </c>
      <c r="D8500" t="str">
        <f t="shared" si="694"/>
        <v>07235590960</v>
      </c>
      <c r="E8500" t="s">
        <v>52</v>
      </c>
      <c r="F8500">
        <v>2014</v>
      </c>
      <c r="G8500">
        <v>14003873</v>
      </c>
      <c r="H8500" s="1">
        <v>41831</v>
      </c>
      <c r="I8500" s="1">
        <v>41837</v>
      </c>
      <c r="J8500" s="1">
        <v>41837</v>
      </c>
      <c r="K8500" s="1">
        <v>41927</v>
      </c>
      <c r="N8500" s="5"/>
      <c r="O8500" s="2">
        <v>1985.5</v>
      </c>
      <c r="P8500">
        <v>261</v>
      </c>
      <c r="Q8500" s="2">
        <v>518215.5</v>
      </c>
      <c r="R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 s="1">
        <v>42382</v>
      </c>
      <c r="AC8500" t="s">
        <v>53</v>
      </c>
      <c r="AD8500" t="s">
        <v>53</v>
      </c>
      <c r="AK8500">
        <v>0</v>
      </c>
      <c r="AU8500" s="6">
        <v>42188</v>
      </c>
      <c r="AV8500" s="6">
        <v>42188</v>
      </c>
      <c r="AW8500" t="s">
        <v>54</v>
      </c>
      <c r="AX8500" t="str">
        <f t="shared" si="691"/>
        <v>FOR</v>
      </c>
      <c r="AY8500" t="s">
        <v>55</v>
      </c>
    </row>
    <row r="8501" spans="1:51" hidden="1">
      <c r="A8501">
        <v>106340</v>
      </c>
      <c r="B8501" t="s">
        <v>1392</v>
      </c>
      <c r="C8501" t="str">
        <f t="shared" si="694"/>
        <v>07235590960</v>
      </c>
      <c r="D8501" t="str">
        <f t="shared" si="694"/>
        <v>07235590960</v>
      </c>
      <c r="E8501" t="s">
        <v>52</v>
      </c>
      <c r="F8501">
        <v>2014</v>
      </c>
      <c r="G8501">
        <v>14004164</v>
      </c>
      <c r="H8501" s="1">
        <v>41844</v>
      </c>
      <c r="I8501" s="1">
        <v>41872</v>
      </c>
      <c r="J8501" s="1">
        <v>41872</v>
      </c>
      <c r="K8501" s="1">
        <v>41962</v>
      </c>
      <c r="N8501" s="5"/>
      <c r="O8501" s="2">
        <v>1985.5</v>
      </c>
      <c r="P8501">
        <v>226</v>
      </c>
      <c r="Q8501" s="2">
        <v>448723</v>
      </c>
      <c r="R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 s="1">
        <v>42382</v>
      </c>
      <c r="AC8501" t="s">
        <v>53</v>
      </c>
      <c r="AD8501" t="s">
        <v>53</v>
      </c>
      <c r="AK8501">
        <v>0</v>
      </c>
      <c r="AU8501" s="6">
        <v>42188</v>
      </c>
      <c r="AV8501" s="6">
        <v>42188</v>
      </c>
      <c r="AW8501" t="s">
        <v>54</v>
      </c>
      <c r="AX8501" t="str">
        <f t="shared" si="691"/>
        <v>FOR</v>
      </c>
      <c r="AY8501" t="s">
        <v>55</v>
      </c>
    </row>
    <row r="8502" spans="1:51" hidden="1">
      <c r="A8502">
        <v>106340</v>
      </c>
      <c r="B8502" t="s">
        <v>1392</v>
      </c>
      <c r="C8502" t="str">
        <f t="shared" si="694"/>
        <v>07235590960</v>
      </c>
      <c r="D8502" t="str">
        <f t="shared" si="694"/>
        <v>07235590960</v>
      </c>
      <c r="E8502" t="s">
        <v>52</v>
      </c>
      <c r="F8502">
        <v>2014</v>
      </c>
      <c r="G8502">
        <v>14004594</v>
      </c>
      <c r="H8502" s="1">
        <v>41856</v>
      </c>
      <c r="I8502" s="1">
        <v>41876</v>
      </c>
      <c r="J8502" s="1">
        <v>41876</v>
      </c>
      <c r="K8502" s="1">
        <v>41966</v>
      </c>
      <c r="N8502" s="5"/>
      <c r="O8502" s="2">
        <v>1985.5</v>
      </c>
      <c r="P8502">
        <v>222</v>
      </c>
      <c r="Q8502" s="2">
        <v>440781</v>
      </c>
      <c r="R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 s="1">
        <v>42382</v>
      </c>
      <c r="AC8502" t="s">
        <v>53</v>
      </c>
      <c r="AD8502" t="s">
        <v>53</v>
      </c>
      <c r="AK8502">
        <v>0</v>
      </c>
      <c r="AU8502" s="6">
        <v>42188</v>
      </c>
      <c r="AV8502" s="6">
        <v>42188</v>
      </c>
      <c r="AW8502" t="s">
        <v>54</v>
      </c>
      <c r="AX8502" t="str">
        <f t="shared" si="691"/>
        <v>FOR</v>
      </c>
      <c r="AY8502" t="s">
        <v>55</v>
      </c>
    </row>
    <row r="8503" spans="1:51" hidden="1">
      <c r="A8503">
        <v>106340</v>
      </c>
      <c r="B8503" t="s">
        <v>1392</v>
      </c>
      <c r="C8503" t="str">
        <f t="shared" si="694"/>
        <v>07235590960</v>
      </c>
      <c r="D8503" t="str">
        <f t="shared" si="694"/>
        <v>07235590960</v>
      </c>
      <c r="E8503" t="s">
        <v>52</v>
      </c>
      <c r="F8503">
        <v>2014</v>
      </c>
      <c r="G8503">
        <v>14004653</v>
      </c>
      <c r="H8503" s="1">
        <v>41869</v>
      </c>
      <c r="I8503" s="1">
        <v>41878</v>
      </c>
      <c r="J8503" s="1">
        <v>41878</v>
      </c>
      <c r="K8503" s="1">
        <v>41968</v>
      </c>
      <c r="N8503" s="5"/>
      <c r="O8503" s="2">
        <v>1985.5</v>
      </c>
      <c r="P8503">
        <v>220</v>
      </c>
      <c r="Q8503" s="2">
        <v>436810</v>
      </c>
      <c r="R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 s="1">
        <v>42382</v>
      </c>
      <c r="AC8503" t="s">
        <v>53</v>
      </c>
      <c r="AD8503" t="s">
        <v>53</v>
      </c>
      <c r="AK8503">
        <v>0</v>
      </c>
      <c r="AU8503" s="6">
        <v>42188</v>
      </c>
      <c r="AV8503" s="6">
        <v>42188</v>
      </c>
      <c r="AW8503" t="s">
        <v>54</v>
      </c>
      <c r="AX8503" t="str">
        <f t="shared" si="691"/>
        <v>FOR</v>
      </c>
      <c r="AY8503" t="s">
        <v>55</v>
      </c>
    </row>
    <row r="8504" spans="1:51" hidden="1">
      <c r="A8504">
        <v>106340</v>
      </c>
      <c r="B8504" t="s">
        <v>1392</v>
      </c>
      <c r="C8504" t="str">
        <f t="shared" si="694"/>
        <v>07235590960</v>
      </c>
      <c r="D8504" t="str">
        <f t="shared" si="694"/>
        <v>07235590960</v>
      </c>
      <c r="E8504" t="s">
        <v>52</v>
      </c>
      <c r="F8504">
        <v>2014</v>
      </c>
      <c r="G8504">
        <v>14004780</v>
      </c>
      <c r="H8504" s="1">
        <v>41871</v>
      </c>
      <c r="I8504" s="1">
        <v>41879</v>
      </c>
      <c r="J8504" s="1">
        <v>41879</v>
      </c>
      <c r="K8504" s="1">
        <v>41969</v>
      </c>
      <c r="N8504" s="5"/>
      <c r="O8504" s="2">
        <v>1985.5</v>
      </c>
      <c r="P8504">
        <v>219</v>
      </c>
      <c r="Q8504" s="2">
        <v>434824.5</v>
      </c>
      <c r="R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 s="1">
        <v>42382</v>
      </c>
      <c r="AC8504" t="s">
        <v>53</v>
      </c>
      <c r="AD8504" t="s">
        <v>53</v>
      </c>
      <c r="AK8504">
        <v>0</v>
      </c>
      <c r="AU8504" s="6">
        <v>42188</v>
      </c>
      <c r="AV8504" s="6">
        <v>42188</v>
      </c>
      <c r="AW8504" t="s">
        <v>54</v>
      </c>
      <c r="AX8504" t="str">
        <f t="shared" si="691"/>
        <v>FOR</v>
      </c>
      <c r="AY8504" t="s">
        <v>55</v>
      </c>
    </row>
    <row r="8505" spans="1:51" hidden="1">
      <c r="A8505">
        <v>106340</v>
      </c>
      <c r="B8505" t="s">
        <v>1392</v>
      </c>
      <c r="C8505" t="str">
        <f t="shared" si="694"/>
        <v>07235590960</v>
      </c>
      <c r="D8505" t="str">
        <f t="shared" si="694"/>
        <v>07235590960</v>
      </c>
      <c r="E8505" t="s">
        <v>52</v>
      </c>
      <c r="F8505">
        <v>2014</v>
      </c>
      <c r="G8505">
        <v>14004794</v>
      </c>
      <c r="H8505" s="1">
        <v>41872</v>
      </c>
      <c r="I8505" s="1">
        <v>41879</v>
      </c>
      <c r="J8505" s="1">
        <v>41879</v>
      </c>
      <c r="K8505" s="1">
        <v>41969</v>
      </c>
      <c r="N8505" s="5"/>
      <c r="O8505" s="2">
        <v>1985.5</v>
      </c>
      <c r="P8505">
        <v>219</v>
      </c>
      <c r="Q8505" s="2">
        <v>434824.5</v>
      </c>
      <c r="R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 s="1">
        <v>42382</v>
      </c>
      <c r="AC8505" t="s">
        <v>53</v>
      </c>
      <c r="AD8505" t="s">
        <v>53</v>
      </c>
      <c r="AK8505">
        <v>0</v>
      </c>
      <c r="AU8505" s="6">
        <v>42188</v>
      </c>
      <c r="AV8505" s="6">
        <v>42188</v>
      </c>
      <c r="AW8505" t="s">
        <v>54</v>
      </c>
      <c r="AX8505" t="str">
        <f t="shared" si="691"/>
        <v>FOR</v>
      </c>
      <c r="AY8505" t="s">
        <v>55</v>
      </c>
    </row>
    <row r="8506" spans="1:51" hidden="1">
      <c r="A8506">
        <v>106340</v>
      </c>
      <c r="B8506" t="s">
        <v>1392</v>
      </c>
      <c r="C8506" t="str">
        <f t="shared" si="694"/>
        <v>07235590960</v>
      </c>
      <c r="D8506" t="str">
        <f t="shared" si="694"/>
        <v>07235590960</v>
      </c>
      <c r="E8506" t="s">
        <v>52</v>
      </c>
      <c r="F8506">
        <v>2014</v>
      </c>
      <c r="G8506">
        <v>14004985</v>
      </c>
      <c r="H8506" s="1">
        <v>41883</v>
      </c>
      <c r="I8506" s="1">
        <v>41890</v>
      </c>
      <c r="J8506" s="1">
        <v>41890</v>
      </c>
      <c r="K8506" s="1">
        <v>41980</v>
      </c>
      <c r="N8506" s="5"/>
      <c r="O8506" s="2">
        <v>1985.5</v>
      </c>
      <c r="P8506">
        <v>269</v>
      </c>
      <c r="Q8506" s="2">
        <v>534099.5</v>
      </c>
      <c r="R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 s="1">
        <v>42382</v>
      </c>
      <c r="AC8506" t="s">
        <v>53</v>
      </c>
      <c r="AD8506" t="s">
        <v>53</v>
      </c>
      <c r="AK8506">
        <v>0</v>
      </c>
      <c r="AU8506" s="6">
        <v>42249</v>
      </c>
      <c r="AV8506" s="6">
        <v>42249</v>
      </c>
      <c r="AW8506" t="s">
        <v>54</v>
      </c>
      <c r="AX8506" t="str">
        <f t="shared" si="691"/>
        <v>FOR</v>
      </c>
      <c r="AY8506" t="s">
        <v>55</v>
      </c>
    </row>
    <row r="8507" spans="1:51" hidden="1">
      <c r="A8507">
        <v>106340</v>
      </c>
      <c r="B8507" t="s">
        <v>1392</v>
      </c>
      <c r="C8507" t="str">
        <f t="shared" si="694"/>
        <v>07235590960</v>
      </c>
      <c r="D8507" t="str">
        <f t="shared" si="694"/>
        <v>07235590960</v>
      </c>
      <c r="E8507" t="s">
        <v>52</v>
      </c>
      <c r="F8507">
        <v>2014</v>
      </c>
      <c r="G8507">
        <v>14005195</v>
      </c>
      <c r="H8507" s="1">
        <v>41892</v>
      </c>
      <c r="I8507" s="1">
        <v>41899</v>
      </c>
      <c r="J8507" s="1">
        <v>41899</v>
      </c>
      <c r="K8507" s="1">
        <v>41989</v>
      </c>
      <c r="N8507" s="5"/>
      <c r="O8507">
        <v>496.38</v>
      </c>
      <c r="P8507">
        <v>260</v>
      </c>
      <c r="Q8507" s="2">
        <v>129058.8</v>
      </c>
      <c r="R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 s="1">
        <v>42382</v>
      </c>
      <c r="AC8507" t="s">
        <v>53</v>
      </c>
      <c r="AD8507" t="s">
        <v>53</v>
      </c>
      <c r="AK8507">
        <v>0</v>
      </c>
      <c r="AU8507" s="6">
        <v>42249</v>
      </c>
      <c r="AV8507" s="6">
        <v>42249</v>
      </c>
      <c r="AW8507" t="s">
        <v>54</v>
      </c>
      <c r="AX8507" t="str">
        <f t="shared" si="691"/>
        <v>FOR</v>
      </c>
      <c r="AY8507" t="s">
        <v>55</v>
      </c>
    </row>
    <row r="8508" spans="1:51" hidden="1">
      <c r="A8508">
        <v>106340</v>
      </c>
      <c r="B8508" t="s">
        <v>1392</v>
      </c>
      <c r="C8508" t="str">
        <f t="shared" si="694"/>
        <v>07235590960</v>
      </c>
      <c r="D8508" t="str">
        <f t="shared" si="694"/>
        <v>07235590960</v>
      </c>
      <c r="E8508" t="s">
        <v>52</v>
      </c>
      <c r="F8508">
        <v>2014</v>
      </c>
      <c r="G8508">
        <v>14005200</v>
      </c>
      <c r="H8508" s="1">
        <v>41892</v>
      </c>
      <c r="I8508" s="1">
        <v>41899</v>
      </c>
      <c r="J8508" s="1">
        <v>41899</v>
      </c>
      <c r="K8508" s="1">
        <v>41989</v>
      </c>
      <c r="N8508" s="5"/>
      <c r="O8508" s="2">
        <v>1985.5</v>
      </c>
      <c r="P8508">
        <v>260</v>
      </c>
      <c r="Q8508" s="2">
        <v>516230</v>
      </c>
      <c r="R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 s="1">
        <v>42382</v>
      </c>
      <c r="AC8508" t="s">
        <v>53</v>
      </c>
      <c r="AD8508" t="s">
        <v>53</v>
      </c>
      <c r="AK8508">
        <v>0</v>
      </c>
      <c r="AU8508" s="6">
        <v>42249</v>
      </c>
      <c r="AV8508" s="6">
        <v>42249</v>
      </c>
      <c r="AW8508" t="s">
        <v>54</v>
      </c>
      <c r="AX8508" t="str">
        <f t="shared" si="691"/>
        <v>FOR</v>
      </c>
      <c r="AY8508" t="s">
        <v>55</v>
      </c>
    </row>
    <row r="8509" spans="1:51" hidden="1">
      <c r="A8509">
        <v>106340</v>
      </c>
      <c r="B8509" t="s">
        <v>1392</v>
      </c>
      <c r="C8509" t="str">
        <f t="shared" si="694"/>
        <v>07235590960</v>
      </c>
      <c r="D8509" t="str">
        <f t="shared" si="694"/>
        <v>07235590960</v>
      </c>
      <c r="E8509" t="s">
        <v>52</v>
      </c>
      <c r="F8509">
        <v>2014</v>
      </c>
      <c r="G8509">
        <v>14005317</v>
      </c>
      <c r="H8509" s="1">
        <v>41897</v>
      </c>
      <c r="I8509" s="1">
        <v>41904</v>
      </c>
      <c r="J8509" s="1">
        <v>41904</v>
      </c>
      <c r="K8509" s="1">
        <v>41994</v>
      </c>
      <c r="N8509" s="5"/>
      <c r="O8509" s="2">
        <v>1985.5</v>
      </c>
      <c r="P8509">
        <v>255</v>
      </c>
      <c r="Q8509" s="2">
        <v>506302.5</v>
      </c>
      <c r="R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 s="1">
        <v>42382</v>
      </c>
      <c r="AC8509" t="s">
        <v>53</v>
      </c>
      <c r="AD8509" t="s">
        <v>53</v>
      </c>
      <c r="AK8509">
        <v>0</v>
      </c>
      <c r="AU8509" s="6">
        <v>42249</v>
      </c>
      <c r="AV8509" s="6">
        <v>42249</v>
      </c>
      <c r="AW8509" t="s">
        <v>54</v>
      </c>
      <c r="AX8509" t="str">
        <f t="shared" si="691"/>
        <v>FOR</v>
      </c>
      <c r="AY8509" t="s">
        <v>55</v>
      </c>
    </row>
    <row r="8510" spans="1:51" hidden="1">
      <c r="A8510">
        <v>106340</v>
      </c>
      <c r="B8510" t="s">
        <v>1392</v>
      </c>
      <c r="C8510" t="str">
        <f t="shared" si="694"/>
        <v>07235590960</v>
      </c>
      <c r="D8510" t="str">
        <f t="shared" si="694"/>
        <v>07235590960</v>
      </c>
      <c r="E8510" t="s">
        <v>52</v>
      </c>
      <c r="F8510">
        <v>2014</v>
      </c>
      <c r="G8510">
        <v>14005600</v>
      </c>
      <c r="H8510" s="1">
        <v>41907</v>
      </c>
      <c r="I8510" s="1">
        <v>41915</v>
      </c>
      <c r="J8510" s="1">
        <v>41915</v>
      </c>
      <c r="K8510" s="1">
        <v>42005</v>
      </c>
      <c r="N8510" s="5"/>
      <c r="O8510" s="2">
        <v>1985.5</v>
      </c>
      <c r="P8510">
        <v>244</v>
      </c>
      <c r="Q8510" s="2">
        <v>484462</v>
      </c>
      <c r="R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 s="1">
        <v>42382</v>
      </c>
      <c r="AC8510" t="s">
        <v>53</v>
      </c>
      <c r="AD8510" t="s">
        <v>53</v>
      </c>
      <c r="AK8510">
        <v>0</v>
      </c>
      <c r="AU8510" s="6">
        <v>42249</v>
      </c>
      <c r="AV8510" s="6">
        <v>42249</v>
      </c>
      <c r="AW8510" t="s">
        <v>54</v>
      </c>
      <c r="AX8510" t="str">
        <f t="shared" si="691"/>
        <v>FOR</v>
      </c>
      <c r="AY8510" t="s">
        <v>55</v>
      </c>
    </row>
    <row r="8511" spans="1:51">
      <c r="A8511">
        <v>106340</v>
      </c>
      <c r="B8511" t="s">
        <v>1392</v>
      </c>
      <c r="C8511" t="str">
        <f t="shared" si="694"/>
        <v>07235590960</v>
      </c>
      <c r="D8511" t="str">
        <f t="shared" si="694"/>
        <v>07235590960</v>
      </c>
      <c r="E8511" t="s">
        <v>52</v>
      </c>
      <c r="F8511">
        <v>2014</v>
      </c>
      <c r="G8511">
        <v>14005729</v>
      </c>
      <c r="H8511" s="1">
        <v>41913</v>
      </c>
      <c r="I8511" s="1">
        <v>41922</v>
      </c>
      <c r="J8511" s="1">
        <v>41922</v>
      </c>
      <c r="K8511" s="1">
        <v>42012</v>
      </c>
      <c r="L8511" s="7">
        <v>1985.5</v>
      </c>
      <c r="M8511" s="5">
        <v>266</v>
      </c>
      <c r="N8511" s="7">
        <v>528143</v>
      </c>
      <c r="O8511" s="2">
        <v>1985.5</v>
      </c>
      <c r="P8511">
        <v>266</v>
      </c>
      <c r="Q8511" s="2">
        <v>528143</v>
      </c>
      <c r="R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 s="1">
        <v>42382</v>
      </c>
      <c r="AC8511" t="s">
        <v>53</v>
      </c>
      <c r="AD8511" t="s">
        <v>53</v>
      </c>
      <c r="AK8511">
        <v>0</v>
      </c>
      <c r="AU8511" s="6">
        <v>42278</v>
      </c>
      <c r="AV8511" s="6">
        <v>42278</v>
      </c>
      <c r="AW8511" t="s">
        <v>54</v>
      </c>
      <c r="AX8511" t="str">
        <f t="shared" si="691"/>
        <v>FOR</v>
      </c>
      <c r="AY8511" t="s">
        <v>55</v>
      </c>
    </row>
    <row r="8512" spans="1:51">
      <c r="A8512">
        <v>106340</v>
      </c>
      <c r="B8512" t="s">
        <v>1392</v>
      </c>
      <c r="C8512" t="str">
        <f t="shared" si="694"/>
        <v>07235590960</v>
      </c>
      <c r="D8512" t="str">
        <f t="shared" si="694"/>
        <v>07235590960</v>
      </c>
      <c r="E8512" t="s">
        <v>52</v>
      </c>
      <c r="F8512">
        <v>2014</v>
      </c>
      <c r="G8512">
        <v>14005734</v>
      </c>
      <c r="H8512" s="1">
        <v>41913</v>
      </c>
      <c r="I8512" s="1">
        <v>41928</v>
      </c>
      <c r="J8512" s="1">
        <v>41928</v>
      </c>
      <c r="K8512" s="1">
        <v>41988</v>
      </c>
      <c r="L8512" s="7">
        <v>1985.5</v>
      </c>
      <c r="M8512" s="5">
        <v>290</v>
      </c>
      <c r="N8512" s="7">
        <v>575795</v>
      </c>
      <c r="O8512" s="2">
        <v>1985.5</v>
      </c>
      <c r="P8512">
        <v>290</v>
      </c>
      <c r="Q8512" s="2">
        <v>575795</v>
      </c>
      <c r="R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 s="1">
        <v>42382</v>
      </c>
      <c r="AC8512" t="s">
        <v>53</v>
      </c>
      <c r="AD8512" t="s">
        <v>53</v>
      </c>
      <c r="AK8512">
        <v>0</v>
      </c>
      <c r="AU8512" s="6">
        <v>42278</v>
      </c>
      <c r="AV8512" s="6">
        <v>42278</v>
      </c>
      <c r="AW8512" t="s">
        <v>54</v>
      </c>
      <c r="AX8512" t="str">
        <f t="shared" si="691"/>
        <v>FOR</v>
      </c>
      <c r="AY8512" t="s">
        <v>55</v>
      </c>
    </row>
    <row r="8513" spans="1:51">
      <c r="A8513">
        <v>106340</v>
      </c>
      <c r="B8513" t="s">
        <v>1392</v>
      </c>
      <c r="C8513" t="str">
        <f t="shared" si="694"/>
        <v>07235590960</v>
      </c>
      <c r="D8513" t="str">
        <f t="shared" si="694"/>
        <v>07235590960</v>
      </c>
      <c r="E8513" t="s">
        <v>52</v>
      </c>
      <c r="F8513">
        <v>2014</v>
      </c>
      <c r="G8513">
        <v>14006161</v>
      </c>
      <c r="H8513" s="1">
        <v>41933</v>
      </c>
      <c r="I8513" s="1">
        <v>41939</v>
      </c>
      <c r="J8513" s="1">
        <v>41939</v>
      </c>
      <c r="K8513" s="1">
        <v>41999</v>
      </c>
      <c r="L8513" s="7">
        <v>1985.5</v>
      </c>
      <c r="M8513" s="5">
        <v>279</v>
      </c>
      <c r="N8513" s="7">
        <v>553954.5</v>
      </c>
      <c r="O8513" s="2">
        <v>1985.5</v>
      </c>
      <c r="P8513">
        <v>279</v>
      </c>
      <c r="Q8513" s="2">
        <v>553954.5</v>
      </c>
      <c r="R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 s="1">
        <v>42382</v>
      </c>
      <c r="AC8513" t="s">
        <v>53</v>
      </c>
      <c r="AD8513" t="s">
        <v>53</v>
      </c>
      <c r="AK8513">
        <v>0</v>
      </c>
      <c r="AU8513" s="6">
        <v>42278</v>
      </c>
      <c r="AV8513" s="6">
        <v>42278</v>
      </c>
      <c r="AW8513" t="s">
        <v>54</v>
      </c>
      <c r="AX8513" t="str">
        <f t="shared" si="691"/>
        <v>FOR</v>
      </c>
      <c r="AY8513" t="s">
        <v>55</v>
      </c>
    </row>
    <row r="8514" spans="1:51">
      <c r="A8514">
        <v>106340</v>
      </c>
      <c r="B8514" t="s">
        <v>1392</v>
      </c>
      <c r="C8514" t="str">
        <f t="shared" ref="C8514:D8525" si="695">"07235590960"</f>
        <v>07235590960</v>
      </c>
      <c r="D8514" t="str">
        <f t="shared" si="695"/>
        <v>07235590960</v>
      </c>
      <c r="E8514" t="s">
        <v>52</v>
      </c>
      <c r="F8514">
        <v>2014</v>
      </c>
      <c r="G8514">
        <v>14006163</v>
      </c>
      <c r="H8514" s="1">
        <v>41933</v>
      </c>
      <c r="I8514" s="1">
        <v>41939</v>
      </c>
      <c r="J8514" s="1">
        <v>41939</v>
      </c>
      <c r="K8514" s="1">
        <v>41999</v>
      </c>
      <c r="L8514" s="7">
        <v>1985.5</v>
      </c>
      <c r="M8514" s="5">
        <v>279</v>
      </c>
      <c r="N8514" s="7">
        <v>553954.5</v>
      </c>
      <c r="O8514" s="2">
        <v>1985.5</v>
      </c>
      <c r="P8514">
        <v>279</v>
      </c>
      <c r="Q8514" s="2">
        <v>553954.5</v>
      </c>
      <c r="R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 s="1">
        <v>42382</v>
      </c>
      <c r="AC8514" t="s">
        <v>53</v>
      </c>
      <c r="AD8514" t="s">
        <v>53</v>
      </c>
      <c r="AK8514">
        <v>0</v>
      </c>
      <c r="AU8514" s="6">
        <v>42278</v>
      </c>
      <c r="AV8514" s="6">
        <v>42278</v>
      </c>
      <c r="AW8514" t="s">
        <v>54</v>
      </c>
      <c r="AX8514" t="str">
        <f t="shared" si="691"/>
        <v>FOR</v>
      </c>
      <c r="AY8514" t="s">
        <v>55</v>
      </c>
    </row>
    <row r="8515" spans="1:51">
      <c r="A8515">
        <v>106340</v>
      </c>
      <c r="B8515" t="s">
        <v>1392</v>
      </c>
      <c r="C8515" t="str">
        <f t="shared" si="695"/>
        <v>07235590960</v>
      </c>
      <c r="D8515" t="str">
        <f t="shared" si="695"/>
        <v>07235590960</v>
      </c>
      <c r="E8515" t="s">
        <v>52</v>
      </c>
      <c r="F8515">
        <v>2014</v>
      </c>
      <c r="G8515">
        <v>14006165</v>
      </c>
      <c r="H8515" s="1">
        <v>41933</v>
      </c>
      <c r="I8515" s="1">
        <v>41939</v>
      </c>
      <c r="J8515" s="1">
        <v>41939</v>
      </c>
      <c r="K8515" s="1">
        <v>41999</v>
      </c>
      <c r="L8515" s="7">
        <v>1985.5</v>
      </c>
      <c r="M8515" s="5">
        <v>279</v>
      </c>
      <c r="N8515" s="7">
        <v>553954.5</v>
      </c>
      <c r="O8515" s="2">
        <v>1985.5</v>
      </c>
      <c r="P8515">
        <v>279</v>
      </c>
      <c r="Q8515" s="2">
        <v>553954.5</v>
      </c>
      <c r="R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 s="1">
        <v>42382</v>
      </c>
      <c r="AC8515" t="s">
        <v>53</v>
      </c>
      <c r="AD8515" t="s">
        <v>53</v>
      </c>
      <c r="AK8515">
        <v>0</v>
      </c>
      <c r="AU8515" s="6">
        <v>42278</v>
      </c>
      <c r="AV8515" s="6">
        <v>42278</v>
      </c>
      <c r="AW8515" t="s">
        <v>54</v>
      </c>
      <c r="AX8515" t="str">
        <f t="shared" ref="AX8515:AX8578" si="696">"FOR"</f>
        <v>FOR</v>
      </c>
      <c r="AY8515" t="s">
        <v>55</v>
      </c>
    </row>
    <row r="8516" spans="1:51">
      <c r="A8516">
        <v>106340</v>
      </c>
      <c r="B8516" t="s">
        <v>1392</v>
      </c>
      <c r="C8516" t="str">
        <f t="shared" si="695"/>
        <v>07235590960</v>
      </c>
      <c r="D8516" t="str">
        <f t="shared" si="695"/>
        <v>07235590960</v>
      </c>
      <c r="E8516" t="s">
        <v>52</v>
      </c>
      <c r="F8516">
        <v>2014</v>
      </c>
      <c r="G8516">
        <v>14006185</v>
      </c>
      <c r="H8516" s="1">
        <v>41934</v>
      </c>
      <c r="I8516" s="1">
        <v>41946</v>
      </c>
      <c r="J8516" s="1">
        <v>41946</v>
      </c>
      <c r="K8516" s="1">
        <v>42006</v>
      </c>
      <c r="L8516" s="7">
        <v>1985.5</v>
      </c>
      <c r="M8516" s="5">
        <v>272</v>
      </c>
      <c r="N8516" s="7">
        <v>540056</v>
      </c>
      <c r="O8516" s="2">
        <v>1985.5</v>
      </c>
      <c r="P8516">
        <v>272</v>
      </c>
      <c r="Q8516" s="2">
        <v>540056</v>
      </c>
      <c r="R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 s="1">
        <v>42382</v>
      </c>
      <c r="AC8516" t="s">
        <v>53</v>
      </c>
      <c r="AD8516" t="s">
        <v>53</v>
      </c>
      <c r="AK8516">
        <v>0</v>
      </c>
      <c r="AU8516" s="6">
        <v>42278</v>
      </c>
      <c r="AV8516" s="6">
        <v>42278</v>
      </c>
      <c r="AW8516" t="s">
        <v>54</v>
      </c>
      <c r="AX8516" t="str">
        <f t="shared" si="696"/>
        <v>FOR</v>
      </c>
      <c r="AY8516" t="s">
        <v>55</v>
      </c>
    </row>
    <row r="8517" spans="1:51">
      <c r="A8517">
        <v>106340</v>
      </c>
      <c r="B8517" t="s">
        <v>1392</v>
      </c>
      <c r="C8517" t="str">
        <f t="shared" si="695"/>
        <v>07235590960</v>
      </c>
      <c r="D8517" t="str">
        <f t="shared" si="695"/>
        <v>07235590960</v>
      </c>
      <c r="E8517" t="s">
        <v>52</v>
      </c>
      <c r="F8517">
        <v>2014</v>
      </c>
      <c r="G8517">
        <v>14006186</v>
      </c>
      <c r="H8517" s="1">
        <v>41934</v>
      </c>
      <c r="I8517" s="1">
        <v>41946</v>
      </c>
      <c r="J8517" s="1">
        <v>41946</v>
      </c>
      <c r="K8517" s="1">
        <v>42006</v>
      </c>
      <c r="L8517" s="7">
        <v>-1985.5</v>
      </c>
      <c r="M8517" s="5">
        <v>272</v>
      </c>
      <c r="N8517" s="7">
        <v>-540056</v>
      </c>
      <c r="O8517" s="2">
        <v>-1985.5</v>
      </c>
      <c r="P8517">
        <v>272</v>
      </c>
      <c r="Q8517" s="2">
        <v>-540056</v>
      </c>
      <c r="R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 s="1">
        <v>42382</v>
      </c>
      <c r="AC8517" t="s">
        <v>53</v>
      </c>
      <c r="AD8517" t="s">
        <v>53</v>
      </c>
      <c r="AK8517">
        <v>0</v>
      </c>
      <c r="AU8517" s="6">
        <v>42278</v>
      </c>
      <c r="AV8517" s="6">
        <v>42278</v>
      </c>
      <c r="AW8517" t="s">
        <v>54</v>
      </c>
      <c r="AX8517" t="str">
        <f t="shared" si="696"/>
        <v>FOR</v>
      </c>
      <c r="AY8517" t="s">
        <v>55</v>
      </c>
    </row>
    <row r="8518" spans="1:51">
      <c r="A8518">
        <v>106340</v>
      </c>
      <c r="B8518" t="s">
        <v>1392</v>
      </c>
      <c r="C8518" t="str">
        <f t="shared" si="695"/>
        <v>07235590960</v>
      </c>
      <c r="D8518" t="str">
        <f t="shared" si="695"/>
        <v>07235590960</v>
      </c>
      <c r="E8518" t="s">
        <v>52</v>
      </c>
      <c r="F8518">
        <v>2014</v>
      </c>
      <c r="G8518">
        <v>14006237</v>
      </c>
      <c r="H8518" s="1">
        <v>41935</v>
      </c>
      <c r="I8518" s="1">
        <v>41946</v>
      </c>
      <c r="J8518" s="1">
        <v>41946</v>
      </c>
      <c r="K8518" s="1">
        <v>42006</v>
      </c>
      <c r="L8518" s="7">
        <v>496.38</v>
      </c>
      <c r="M8518" s="5">
        <v>272</v>
      </c>
      <c r="N8518" s="7">
        <v>135015.35999999999</v>
      </c>
      <c r="O8518">
        <v>496.38</v>
      </c>
      <c r="P8518">
        <v>272</v>
      </c>
      <c r="Q8518" s="2">
        <v>135015.35999999999</v>
      </c>
      <c r="R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 s="1">
        <v>42382</v>
      </c>
      <c r="AC8518" t="s">
        <v>53</v>
      </c>
      <c r="AD8518" t="s">
        <v>53</v>
      </c>
      <c r="AK8518">
        <v>0</v>
      </c>
      <c r="AU8518" s="6">
        <v>42278</v>
      </c>
      <c r="AV8518" s="6">
        <v>42278</v>
      </c>
      <c r="AW8518" t="s">
        <v>54</v>
      </c>
      <c r="AX8518" t="str">
        <f t="shared" si="696"/>
        <v>FOR</v>
      </c>
      <c r="AY8518" t="s">
        <v>55</v>
      </c>
    </row>
    <row r="8519" spans="1:51">
      <c r="A8519">
        <v>106340</v>
      </c>
      <c r="B8519" t="s">
        <v>1392</v>
      </c>
      <c r="C8519" t="str">
        <f t="shared" si="695"/>
        <v>07235590960</v>
      </c>
      <c r="D8519" t="str">
        <f t="shared" si="695"/>
        <v>07235590960</v>
      </c>
      <c r="E8519" t="s">
        <v>52</v>
      </c>
      <c r="F8519">
        <v>2014</v>
      </c>
      <c r="G8519">
        <v>14006862</v>
      </c>
      <c r="H8519" s="1">
        <v>41960</v>
      </c>
      <c r="I8519" s="1">
        <v>41971</v>
      </c>
      <c r="J8519" s="1">
        <v>41971</v>
      </c>
      <c r="K8519" s="1">
        <v>42031</v>
      </c>
      <c r="L8519" s="7">
        <v>1985.5</v>
      </c>
      <c r="M8519" s="5">
        <v>273</v>
      </c>
      <c r="N8519" s="7">
        <v>542041.5</v>
      </c>
      <c r="O8519" s="2">
        <v>1985.5</v>
      </c>
      <c r="P8519">
        <v>273</v>
      </c>
      <c r="Q8519" s="2">
        <v>542041.5</v>
      </c>
      <c r="R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 s="1">
        <v>42382</v>
      </c>
      <c r="AC8519" t="s">
        <v>53</v>
      </c>
      <c r="AD8519" t="s">
        <v>53</v>
      </c>
      <c r="AK8519">
        <v>0</v>
      </c>
      <c r="AU8519" s="6">
        <v>42304</v>
      </c>
      <c r="AV8519" s="6">
        <v>42304</v>
      </c>
      <c r="AW8519" t="s">
        <v>54</v>
      </c>
      <c r="AX8519" t="str">
        <f t="shared" si="696"/>
        <v>FOR</v>
      </c>
      <c r="AY8519" t="s">
        <v>55</v>
      </c>
    </row>
    <row r="8520" spans="1:51">
      <c r="A8520">
        <v>106340</v>
      </c>
      <c r="B8520" t="s">
        <v>1392</v>
      </c>
      <c r="C8520" t="str">
        <f t="shared" si="695"/>
        <v>07235590960</v>
      </c>
      <c r="D8520" t="str">
        <f t="shared" si="695"/>
        <v>07235590960</v>
      </c>
      <c r="E8520" t="s">
        <v>52</v>
      </c>
      <c r="F8520">
        <v>2014</v>
      </c>
      <c r="G8520">
        <v>14007258</v>
      </c>
      <c r="H8520" s="1">
        <v>41975</v>
      </c>
      <c r="I8520" s="1">
        <v>41984</v>
      </c>
      <c r="J8520" s="1">
        <v>41984</v>
      </c>
      <c r="K8520" s="1">
        <v>42044</v>
      </c>
      <c r="L8520" s="7">
        <v>1985.5</v>
      </c>
      <c r="M8520" s="5">
        <v>297</v>
      </c>
      <c r="N8520" s="7">
        <v>589693.5</v>
      </c>
      <c r="O8520" s="2">
        <v>1985.5</v>
      </c>
      <c r="P8520">
        <v>297</v>
      </c>
      <c r="Q8520" s="2">
        <v>589693.5</v>
      </c>
      <c r="R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 s="1">
        <v>42382</v>
      </c>
      <c r="AC8520" t="s">
        <v>53</v>
      </c>
      <c r="AD8520" t="s">
        <v>53</v>
      </c>
      <c r="AK8520">
        <v>0</v>
      </c>
      <c r="AU8520" s="6">
        <v>42341</v>
      </c>
      <c r="AV8520" s="6">
        <v>42341</v>
      </c>
      <c r="AW8520" t="s">
        <v>54</v>
      </c>
      <c r="AX8520" t="str">
        <f t="shared" si="696"/>
        <v>FOR</v>
      </c>
      <c r="AY8520" t="s">
        <v>55</v>
      </c>
    </row>
    <row r="8521" spans="1:51">
      <c r="A8521">
        <v>106340</v>
      </c>
      <c r="B8521" t="s">
        <v>1392</v>
      </c>
      <c r="C8521" t="str">
        <f t="shared" si="695"/>
        <v>07235590960</v>
      </c>
      <c r="D8521" t="str">
        <f t="shared" si="695"/>
        <v>07235590960</v>
      </c>
      <c r="E8521" t="s">
        <v>52</v>
      </c>
      <c r="F8521">
        <v>2014</v>
      </c>
      <c r="G8521">
        <v>14007378</v>
      </c>
      <c r="H8521" s="1">
        <v>41982</v>
      </c>
      <c r="I8521" s="1">
        <v>41988</v>
      </c>
      <c r="J8521" s="1">
        <v>41988</v>
      </c>
      <c r="K8521" s="1">
        <v>42048</v>
      </c>
      <c r="L8521" s="7">
        <v>1985.5</v>
      </c>
      <c r="M8521" s="5">
        <v>293</v>
      </c>
      <c r="N8521" s="7">
        <v>581751.5</v>
      </c>
      <c r="O8521" s="2">
        <v>1985.5</v>
      </c>
      <c r="P8521">
        <v>293</v>
      </c>
      <c r="Q8521" s="2">
        <v>581751.5</v>
      </c>
      <c r="R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 s="1">
        <v>42382</v>
      </c>
      <c r="AC8521" t="s">
        <v>53</v>
      </c>
      <c r="AD8521" t="s">
        <v>53</v>
      </c>
      <c r="AK8521">
        <v>0</v>
      </c>
      <c r="AU8521" s="6">
        <v>42341</v>
      </c>
      <c r="AV8521" s="6">
        <v>42341</v>
      </c>
      <c r="AW8521" t="s">
        <v>54</v>
      </c>
      <c r="AX8521" t="str">
        <f t="shared" si="696"/>
        <v>FOR</v>
      </c>
      <c r="AY8521" t="s">
        <v>55</v>
      </c>
    </row>
    <row r="8522" spans="1:51">
      <c r="A8522">
        <v>106340</v>
      </c>
      <c r="B8522" t="s">
        <v>1392</v>
      </c>
      <c r="C8522" t="str">
        <f t="shared" si="695"/>
        <v>07235590960</v>
      </c>
      <c r="D8522" t="str">
        <f t="shared" si="695"/>
        <v>07235590960</v>
      </c>
      <c r="E8522" t="s">
        <v>52</v>
      </c>
      <c r="F8522">
        <v>2014</v>
      </c>
      <c r="G8522">
        <v>14007451</v>
      </c>
      <c r="H8522" s="1">
        <v>41983</v>
      </c>
      <c r="I8522" s="1">
        <v>41995</v>
      </c>
      <c r="J8522" s="1">
        <v>41995</v>
      </c>
      <c r="K8522" s="1">
        <v>42055</v>
      </c>
      <c r="L8522" s="7">
        <v>1985.5</v>
      </c>
      <c r="M8522" s="5">
        <v>286</v>
      </c>
      <c r="N8522" s="7">
        <v>567853</v>
      </c>
      <c r="O8522" s="2">
        <v>1985.5</v>
      </c>
      <c r="P8522">
        <v>286</v>
      </c>
      <c r="Q8522" s="2">
        <v>567853</v>
      </c>
      <c r="R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 s="1">
        <v>42382</v>
      </c>
      <c r="AC8522" t="s">
        <v>53</v>
      </c>
      <c r="AD8522" t="s">
        <v>53</v>
      </c>
      <c r="AK8522">
        <v>0</v>
      </c>
      <c r="AU8522" s="6">
        <v>42341</v>
      </c>
      <c r="AV8522" s="6">
        <v>42341</v>
      </c>
      <c r="AW8522" t="s">
        <v>54</v>
      </c>
      <c r="AX8522" t="str">
        <f t="shared" si="696"/>
        <v>FOR</v>
      </c>
      <c r="AY8522" t="s">
        <v>55</v>
      </c>
    </row>
    <row r="8523" spans="1:51">
      <c r="A8523">
        <v>106340</v>
      </c>
      <c r="B8523" t="s">
        <v>1392</v>
      </c>
      <c r="C8523" t="str">
        <f t="shared" si="695"/>
        <v>07235590960</v>
      </c>
      <c r="D8523" t="str">
        <f t="shared" si="695"/>
        <v>07235590960</v>
      </c>
      <c r="E8523" t="s">
        <v>52</v>
      </c>
      <c r="F8523">
        <v>2015</v>
      </c>
      <c r="G8523">
        <v>15000040</v>
      </c>
      <c r="H8523" s="1">
        <v>42009</v>
      </c>
      <c r="I8523" s="1">
        <v>42025</v>
      </c>
      <c r="J8523" s="1">
        <v>42025</v>
      </c>
      <c r="K8523" s="1">
        <v>42085</v>
      </c>
      <c r="L8523" s="7">
        <v>1900</v>
      </c>
      <c r="M8523" s="5">
        <v>270</v>
      </c>
      <c r="N8523" s="7">
        <v>513000</v>
      </c>
      <c r="O8523" s="2">
        <v>1900</v>
      </c>
      <c r="P8523">
        <v>270</v>
      </c>
      <c r="Q8523" s="2">
        <v>513000</v>
      </c>
      <c r="R8523">
        <v>190</v>
      </c>
      <c r="V8523">
        <v>0</v>
      </c>
      <c r="W8523">
        <v>0</v>
      </c>
      <c r="X8523">
        <v>0</v>
      </c>
      <c r="Y8523" s="2">
        <v>2090</v>
      </c>
      <c r="Z8523" s="2">
        <v>2090</v>
      </c>
      <c r="AA8523" s="2">
        <v>2090</v>
      </c>
      <c r="AB8523" s="1">
        <v>42382</v>
      </c>
      <c r="AC8523" t="s">
        <v>53</v>
      </c>
      <c r="AD8523" t="s">
        <v>53</v>
      </c>
      <c r="AK8523">
        <v>190</v>
      </c>
      <c r="AU8523" s="6">
        <v>42355</v>
      </c>
      <c r="AV8523" s="6">
        <v>42355</v>
      </c>
      <c r="AW8523" t="s">
        <v>54</v>
      </c>
      <c r="AX8523" t="str">
        <f t="shared" si="696"/>
        <v>FOR</v>
      </c>
      <c r="AY8523" t="s">
        <v>55</v>
      </c>
    </row>
    <row r="8524" spans="1:51">
      <c r="A8524">
        <v>106340</v>
      </c>
      <c r="B8524" t="s">
        <v>1392</v>
      </c>
      <c r="C8524" t="str">
        <f t="shared" si="695"/>
        <v>07235590960</v>
      </c>
      <c r="D8524" t="str">
        <f t="shared" si="695"/>
        <v>07235590960</v>
      </c>
      <c r="E8524" t="s">
        <v>52</v>
      </c>
      <c r="F8524">
        <v>2015</v>
      </c>
      <c r="G8524">
        <v>15000333</v>
      </c>
      <c r="H8524" s="1">
        <v>42017</v>
      </c>
      <c r="I8524" s="1">
        <v>42025</v>
      </c>
      <c r="J8524" s="1">
        <v>42025</v>
      </c>
      <c r="K8524" s="1">
        <v>42085</v>
      </c>
      <c r="L8524" s="7">
        <v>1900</v>
      </c>
      <c r="M8524" s="5">
        <v>270</v>
      </c>
      <c r="N8524" s="7">
        <v>513000</v>
      </c>
      <c r="O8524" s="2">
        <v>1900</v>
      </c>
      <c r="P8524">
        <v>270</v>
      </c>
      <c r="Q8524" s="2">
        <v>513000</v>
      </c>
      <c r="R8524">
        <v>190</v>
      </c>
      <c r="V8524">
        <v>0</v>
      </c>
      <c r="W8524">
        <v>0</v>
      </c>
      <c r="X8524">
        <v>0</v>
      </c>
      <c r="Y8524" s="2">
        <v>2090</v>
      </c>
      <c r="Z8524" s="2">
        <v>2090</v>
      </c>
      <c r="AA8524" s="2">
        <v>2090</v>
      </c>
      <c r="AB8524" s="1">
        <v>42382</v>
      </c>
      <c r="AC8524" t="s">
        <v>53</v>
      </c>
      <c r="AD8524" t="s">
        <v>53</v>
      </c>
      <c r="AK8524">
        <v>190</v>
      </c>
      <c r="AU8524" s="6">
        <v>42355</v>
      </c>
      <c r="AV8524" s="6">
        <v>42355</v>
      </c>
      <c r="AW8524" t="s">
        <v>54</v>
      </c>
      <c r="AX8524" t="str">
        <f t="shared" si="696"/>
        <v>FOR</v>
      </c>
      <c r="AY8524" t="s">
        <v>55</v>
      </c>
    </row>
    <row r="8525" spans="1:51">
      <c r="A8525">
        <v>106340</v>
      </c>
      <c r="B8525" t="s">
        <v>1392</v>
      </c>
      <c r="C8525" t="str">
        <f t="shared" si="695"/>
        <v>07235590960</v>
      </c>
      <c r="D8525" t="str">
        <f t="shared" si="695"/>
        <v>07235590960</v>
      </c>
      <c r="E8525" t="s">
        <v>52</v>
      </c>
      <c r="F8525">
        <v>2015</v>
      </c>
      <c r="G8525">
        <v>15000449</v>
      </c>
      <c r="H8525" s="1">
        <v>42019</v>
      </c>
      <c r="I8525" s="1">
        <v>42030</v>
      </c>
      <c r="J8525" s="1">
        <v>42030</v>
      </c>
      <c r="K8525" s="1">
        <v>42090</v>
      </c>
      <c r="L8525" s="7">
        <v>1900</v>
      </c>
      <c r="M8525" s="5">
        <v>265</v>
      </c>
      <c r="N8525" s="7">
        <v>503500</v>
      </c>
      <c r="O8525" s="2">
        <v>1900</v>
      </c>
      <c r="P8525">
        <v>265</v>
      </c>
      <c r="Q8525" s="2">
        <v>503500</v>
      </c>
      <c r="R8525">
        <v>190</v>
      </c>
      <c r="V8525">
        <v>0</v>
      </c>
      <c r="W8525">
        <v>0</v>
      </c>
      <c r="X8525">
        <v>0</v>
      </c>
      <c r="Y8525" s="2">
        <v>2090</v>
      </c>
      <c r="Z8525" s="2">
        <v>2090</v>
      </c>
      <c r="AA8525" s="2">
        <v>2090</v>
      </c>
      <c r="AB8525" s="1">
        <v>42382</v>
      </c>
      <c r="AC8525" t="s">
        <v>53</v>
      </c>
      <c r="AD8525" t="s">
        <v>53</v>
      </c>
      <c r="AK8525">
        <v>190</v>
      </c>
      <c r="AU8525" s="6">
        <v>42355</v>
      </c>
      <c r="AV8525" s="6">
        <v>42355</v>
      </c>
      <c r="AW8525" t="s">
        <v>54</v>
      </c>
      <c r="AX8525" t="str">
        <f t="shared" si="696"/>
        <v>FOR</v>
      </c>
      <c r="AY8525" t="s">
        <v>55</v>
      </c>
    </row>
    <row r="8526" spans="1:51" hidden="1">
      <c r="A8526">
        <v>106360</v>
      </c>
      <c r="B8526" t="s">
        <v>1393</v>
      </c>
      <c r="C8526" t="str">
        <f t="shared" ref="C8526:D8530" si="697">"01802940484"</f>
        <v>01802940484</v>
      </c>
      <c r="D8526" t="str">
        <f t="shared" si="697"/>
        <v>01802940484</v>
      </c>
      <c r="E8526" t="s">
        <v>52</v>
      </c>
      <c r="F8526">
        <v>2014</v>
      </c>
      <c r="G8526" t="s">
        <v>1394</v>
      </c>
      <c r="H8526" s="1">
        <v>41893</v>
      </c>
      <c r="I8526" s="1">
        <v>41922</v>
      </c>
      <c r="J8526" s="1">
        <v>41922</v>
      </c>
      <c r="K8526" s="1">
        <v>42012</v>
      </c>
      <c r="N8526" s="5"/>
      <c r="O8526">
        <v>215.94</v>
      </c>
      <c r="P8526">
        <v>28</v>
      </c>
      <c r="Q8526" s="2">
        <v>6046.32</v>
      </c>
      <c r="R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 s="1">
        <v>42382</v>
      </c>
      <c r="AC8526" t="s">
        <v>53</v>
      </c>
      <c r="AD8526" t="s">
        <v>53</v>
      </c>
      <c r="AK8526">
        <v>0</v>
      </c>
      <c r="AU8526" s="6">
        <v>42040</v>
      </c>
      <c r="AV8526" s="6">
        <v>42040</v>
      </c>
      <c r="AW8526" t="s">
        <v>54</v>
      </c>
      <c r="AX8526" t="str">
        <f t="shared" si="696"/>
        <v>FOR</v>
      </c>
      <c r="AY8526" t="s">
        <v>55</v>
      </c>
    </row>
    <row r="8527" spans="1:51" hidden="1">
      <c r="A8527">
        <v>106360</v>
      </c>
      <c r="B8527" t="s">
        <v>1393</v>
      </c>
      <c r="C8527" t="str">
        <f t="shared" si="697"/>
        <v>01802940484</v>
      </c>
      <c r="D8527" t="str">
        <f t="shared" si="697"/>
        <v>01802940484</v>
      </c>
      <c r="E8527" t="s">
        <v>52</v>
      </c>
      <c r="F8527">
        <v>2014</v>
      </c>
      <c r="G8527" t="s">
        <v>1395</v>
      </c>
      <c r="H8527" s="1">
        <v>41904</v>
      </c>
      <c r="I8527" s="1">
        <v>41920</v>
      </c>
      <c r="J8527" s="1">
        <v>41920</v>
      </c>
      <c r="K8527" s="1">
        <v>42010</v>
      </c>
      <c r="N8527" s="5"/>
      <c r="O8527">
        <v>152.5</v>
      </c>
      <c r="P8527">
        <v>30</v>
      </c>
      <c r="Q8527" s="2">
        <v>4575</v>
      </c>
      <c r="R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 s="1">
        <v>42382</v>
      </c>
      <c r="AC8527" t="s">
        <v>53</v>
      </c>
      <c r="AD8527" t="s">
        <v>53</v>
      </c>
      <c r="AK8527">
        <v>0</v>
      </c>
      <c r="AU8527" s="6">
        <v>42040</v>
      </c>
      <c r="AV8527" s="6">
        <v>42040</v>
      </c>
      <c r="AW8527" t="s">
        <v>54</v>
      </c>
      <c r="AX8527" t="str">
        <f t="shared" si="696"/>
        <v>FOR</v>
      </c>
      <c r="AY8527" t="s">
        <v>55</v>
      </c>
    </row>
    <row r="8528" spans="1:51" hidden="1">
      <c r="A8528">
        <v>106360</v>
      </c>
      <c r="B8528" t="s">
        <v>1393</v>
      </c>
      <c r="C8528" t="str">
        <f t="shared" si="697"/>
        <v>01802940484</v>
      </c>
      <c r="D8528" t="str">
        <f t="shared" si="697"/>
        <v>01802940484</v>
      </c>
      <c r="E8528" t="s">
        <v>52</v>
      </c>
      <c r="F8528">
        <v>2014</v>
      </c>
      <c r="G8528" t="s">
        <v>1396</v>
      </c>
      <c r="H8528" s="1">
        <v>41928</v>
      </c>
      <c r="I8528" s="1">
        <v>41955</v>
      </c>
      <c r="J8528" s="1">
        <v>41955</v>
      </c>
      <c r="K8528" s="1">
        <v>42015</v>
      </c>
      <c r="N8528" s="5"/>
      <c r="O8528">
        <v>285.85000000000002</v>
      </c>
      <c r="P8528">
        <v>25</v>
      </c>
      <c r="Q8528" s="2">
        <v>7146.25</v>
      </c>
      <c r="R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 s="1">
        <v>42382</v>
      </c>
      <c r="AC8528" t="s">
        <v>53</v>
      </c>
      <c r="AD8528" t="s">
        <v>53</v>
      </c>
      <c r="AK8528">
        <v>0</v>
      </c>
      <c r="AU8528" s="6">
        <v>42040</v>
      </c>
      <c r="AV8528" s="6">
        <v>42040</v>
      </c>
      <c r="AW8528" t="s">
        <v>54</v>
      </c>
      <c r="AX8528" t="str">
        <f t="shared" si="696"/>
        <v>FOR</v>
      </c>
      <c r="AY8528" t="s">
        <v>55</v>
      </c>
    </row>
    <row r="8529" spans="1:51" hidden="1">
      <c r="A8529">
        <v>106360</v>
      </c>
      <c r="B8529" t="s">
        <v>1393</v>
      </c>
      <c r="C8529" t="str">
        <f t="shared" si="697"/>
        <v>01802940484</v>
      </c>
      <c r="D8529" t="str">
        <f t="shared" si="697"/>
        <v>01802940484</v>
      </c>
      <c r="E8529" t="s">
        <v>52</v>
      </c>
      <c r="F8529">
        <v>2015</v>
      </c>
      <c r="G8529">
        <v>2115010732</v>
      </c>
      <c r="H8529" s="1">
        <v>42122</v>
      </c>
      <c r="I8529" s="1">
        <v>42128</v>
      </c>
      <c r="J8529" s="1">
        <v>42123</v>
      </c>
      <c r="K8529" s="1">
        <v>42183</v>
      </c>
      <c r="N8529" s="5"/>
      <c r="O8529">
        <v>187.5</v>
      </c>
      <c r="P8529">
        <v>1</v>
      </c>
      <c r="Q8529">
        <v>187.5</v>
      </c>
      <c r="R8529">
        <v>41.25</v>
      </c>
      <c r="V8529">
        <v>0</v>
      </c>
      <c r="W8529">
        <v>0</v>
      </c>
      <c r="X8529">
        <v>0</v>
      </c>
      <c r="Y8529">
        <v>228.75</v>
      </c>
      <c r="Z8529">
        <v>228.75</v>
      </c>
      <c r="AA8529">
        <v>228.75</v>
      </c>
      <c r="AB8529" s="1">
        <v>42382</v>
      </c>
      <c r="AC8529" t="s">
        <v>53</v>
      </c>
      <c r="AD8529" t="s">
        <v>53</v>
      </c>
      <c r="AK8529">
        <v>41.25</v>
      </c>
      <c r="AU8529" s="6">
        <v>42184</v>
      </c>
      <c r="AV8529" s="6">
        <v>42184</v>
      </c>
      <c r="AW8529" t="s">
        <v>54</v>
      </c>
      <c r="AX8529" t="str">
        <f t="shared" si="696"/>
        <v>FOR</v>
      </c>
      <c r="AY8529" t="s">
        <v>55</v>
      </c>
    </row>
    <row r="8530" spans="1:51">
      <c r="A8530">
        <v>106360</v>
      </c>
      <c r="B8530" t="s">
        <v>1393</v>
      </c>
      <c r="C8530" t="str">
        <f t="shared" si="697"/>
        <v>01802940484</v>
      </c>
      <c r="D8530" t="str">
        <f t="shared" si="697"/>
        <v>01802940484</v>
      </c>
      <c r="E8530" t="s">
        <v>52</v>
      </c>
      <c r="F8530">
        <v>2015</v>
      </c>
      <c r="G8530">
        <v>2115018280</v>
      </c>
      <c r="H8530" s="1">
        <v>42199</v>
      </c>
      <c r="I8530" s="1">
        <v>42201</v>
      </c>
      <c r="J8530" s="1">
        <v>42200</v>
      </c>
      <c r="K8530" s="1">
        <v>42260</v>
      </c>
      <c r="L8530" s="7">
        <v>120.3</v>
      </c>
      <c r="M8530" s="5">
        <v>24</v>
      </c>
      <c r="N8530" s="7">
        <v>2887.2</v>
      </c>
      <c r="O8530">
        <v>120.3</v>
      </c>
      <c r="P8530">
        <v>24</v>
      </c>
      <c r="Q8530" s="2">
        <v>2887.2</v>
      </c>
      <c r="R8530">
        <v>26.47</v>
      </c>
      <c r="V8530">
        <v>0</v>
      </c>
      <c r="W8530">
        <v>0</v>
      </c>
      <c r="X8530">
        <v>0</v>
      </c>
      <c r="Y8530">
        <v>146.77000000000001</v>
      </c>
      <c r="Z8530">
        <v>146.77000000000001</v>
      </c>
      <c r="AA8530">
        <v>146.77000000000001</v>
      </c>
      <c r="AB8530" s="1">
        <v>42382</v>
      </c>
      <c r="AC8530" t="s">
        <v>53</v>
      </c>
      <c r="AD8530" t="s">
        <v>53</v>
      </c>
      <c r="AH8530">
        <v>26.47</v>
      </c>
      <c r="AK8530">
        <v>0</v>
      </c>
      <c r="AU8530" s="6">
        <v>42284</v>
      </c>
      <c r="AV8530" s="6">
        <v>42284</v>
      </c>
      <c r="AW8530" t="s">
        <v>54</v>
      </c>
      <c r="AX8530" t="str">
        <f t="shared" si="696"/>
        <v>FOR</v>
      </c>
      <c r="AY8530" t="s">
        <v>55</v>
      </c>
    </row>
    <row r="8531" spans="1:51" hidden="1">
      <c r="A8531">
        <v>106363</v>
      </c>
      <c r="B8531" t="s">
        <v>1397</v>
      </c>
      <c r="C8531" t="str">
        <f t="shared" ref="C8531:D8537" si="698">"04874870878"</f>
        <v>04874870878</v>
      </c>
      <c r="D8531" t="str">
        <f t="shared" si="698"/>
        <v>04874870878</v>
      </c>
      <c r="E8531" t="s">
        <v>52</v>
      </c>
      <c r="F8531">
        <v>2013</v>
      </c>
      <c r="G8531">
        <v>13001481</v>
      </c>
      <c r="H8531" s="1">
        <v>41578</v>
      </c>
      <c r="I8531" s="1">
        <v>41591</v>
      </c>
      <c r="J8531" s="1">
        <v>41591</v>
      </c>
      <c r="K8531" s="1">
        <v>41681</v>
      </c>
      <c r="N8531" s="5"/>
      <c r="O8531">
        <v>242.78</v>
      </c>
      <c r="P8531">
        <v>478</v>
      </c>
      <c r="Q8531" s="2">
        <v>116048.84</v>
      </c>
      <c r="R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 s="1">
        <v>42382</v>
      </c>
      <c r="AC8531" t="s">
        <v>53</v>
      </c>
      <c r="AD8531" t="s">
        <v>53</v>
      </c>
      <c r="AK8531">
        <v>0</v>
      </c>
      <c r="AU8531" s="6">
        <v>42159</v>
      </c>
      <c r="AV8531" s="6">
        <v>42159</v>
      </c>
      <c r="AW8531" t="s">
        <v>54</v>
      </c>
      <c r="AX8531" t="str">
        <f t="shared" si="696"/>
        <v>FOR</v>
      </c>
      <c r="AY8531" t="s">
        <v>55</v>
      </c>
    </row>
    <row r="8532" spans="1:51" hidden="1">
      <c r="A8532">
        <v>106363</v>
      </c>
      <c r="B8532" t="s">
        <v>1397</v>
      </c>
      <c r="C8532" t="str">
        <f t="shared" si="698"/>
        <v>04874870878</v>
      </c>
      <c r="D8532" t="str">
        <f t="shared" si="698"/>
        <v>04874870878</v>
      </c>
      <c r="E8532" t="s">
        <v>52</v>
      </c>
      <c r="F8532">
        <v>2013</v>
      </c>
      <c r="G8532">
        <v>13001727</v>
      </c>
      <c r="H8532" s="1">
        <v>41614</v>
      </c>
      <c r="I8532" s="1">
        <v>41631</v>
      </c>
      <c r="J8532" s="1">
        <v>41631</v>
      </c>
      <c r="K8532" s="1">
        <v>41721</v>
      </c>
      <c r="N8532" s="5"/>
      <c r="O8532">
        <v>242.78</v>
      </c>
      <c r="P8532">
        <v>438</v>
      </c>
      <c r="Q8532" s="2">
        <v>106337.64</v>
      </c>
      <c r="R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 s="1">
        <v>42382</v>
      </c>
      <c r="AC8532" t="s">
        <v>53</v>
      </c>
      <c r="AD8532" t="s">
        <v>53</v>
      </c>
      <c r="AK8532">
        <v>0</v>
      </c>
      <c r="AU8532" s="6">
        <v>42159</v>
      </c>
      <c r="AV8532" s="6">
        <v>42159</v>
      </c>
      <c r="AW8532" t="s">
        <v>54</v>
      </c>
      <c r="AX8532" t="str">
        <f t="shared" si="696"/>
        <v>FOR</v>
      </c>
      <c r="AY8532" t="s">
        <v>55</v>
      </c>
    </row>
    <row r="8533" spans="1:51" hidden="1">
      <c r="A8533">
        <v>106363</v>
      </c>
      <c r="B8533" t="s">
        <v>1397</v>
      </c>
      <c r="C8533" t="str">
        <f t="shared" si="698"/>
        <v>04874870878</v>
      </c>
      <c r="D8533" t="str">
        <f t="shared" si="698"/>
        <v>04874870878</v>
      </c>
      <c r="E8533" t="s">
        <v>52</v>
      </c>
      <c r="F8533">
        <v>2014</v>
      </c>
      <c r="G8533">
        <v>14000563</v>
      </c>
      <c r="H8533" s="1">
        <v>41729</v>
      </c>
      <c r="I8533" s="1">
        <v>41757</v>
      </c>
      <c r="J8533" s="1">
        <v>41757</v>
      </c>
      <c r="K8533" s="1">
        <v>41847</v>
      </c>
      <c r="N8533" s="5"/>
      <c r="O8533">
        <v>242.78</v>
      </c>
      <c r="P8533">
        <v>312</v>
      </c>
      <c r="Q8533" s="2">
        <v>75747.360000000001</v>
      </c>
      <c r="R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 s="1">
        <v>42382</v>
      </c>
      <c r="AC8533" t="s">
        <v>53</v>
      </c>
      <c r="AD8533" t="s">
        <v>53</v>
      </c>
      <c r="AK8533">
        <v>0</v>
      </c>
      <c r="AU8533" s="6">
        <v>42159</v>
      </c>
      <c r="AV8533" s="6">
        <v>42159</v>
      </c>
      <c r="AW8533" t="s">
        <v>54</v>
      </c>
      <c r="AX8533" t="str">
        <f t="shared" si="696"/>
        <v>FOR</v>
      </c>
      <c r="AY8533" t="s">
        <v>55</v>
      </c>
    </row>
    <row r="8534" spans="1:51" hidden="1">
      <c r="A8534">
        <v>106363</v>
      </c>
      <c r="B8534" t="s">
        <v>1397</v>
      </c>
      <c r="C8534" t="str">
        <f t="shared" si="698"/>
        <v>04874870878</v>
      </c>
      <c r="D8534" t="str">
        <f t="shared" si="698"/>
        <v>04874870878</v>
      </c>
      <c r="E8534" t="s">
        <v>52</v>
      </c>
      <c r="F8534">
        <v>2014</v>
      </c>
      <c r="G8534">
        <v>14001128</v>
      </c>
      <c r="H8534" s="1">
        <v>41810</v>
      </c>
      <c r="I8534" s="1">
        <v>41821</v>
      </c>
      <c r="J8534" s="1">
        <v>41821</v>
      </c>
      <c r="K8534" s="1">
        <v>41911</v>
      </c>
      <c r="N8534" s="5"/>
      <c r="O8534">
        <v>145.66999999999999</v>
      </c>
      <c r="P8534">
        <v>248</v>
      </c>
      <c r="Q8534" s="2">
        <v>36126.160000000003</v>
      </c>
      <c r="R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 s="1">
        <v>42382</v>
      </c>
      <c r="AC8534" t="s">
        <v>53</v>
      </c>
      <c r="AD8534" t="s">
        <v>53</v>
      </c>
      <c r="AK8534">
        <v>0</v>
      </c>
      <c r="AU8534" s="6">
        <v>42159</v>
      </c>
      <c r="AV8534" s="6">
        <v>42159</v>
      </c>
      <c r="AW8534" t="s">
        <v>54</v>
      </c>
      <c r="AX8534" t="str">
        <f t="shared" si="696"/>
        <v>FOR</v>
      </c>
      <c r="AY8534" t="s">
        <v>55</v>
      </c>
    </row>
    <row r="8535" spans="1:51" hidden="1">
      <c r="A8535">
        <v>106363</v>
      </c>
      <c r="B8535" t="s">
        <v>1397</v>
      </c>
      <c r="C8535" t="str">
        <f t="shared" si="698"/>
        <v>04874870878</v>
      </c>
      <c r="D8535" t="str">
        <f t="shared" si="698"/>
        <v>04874870878</v>
      </c>
      <c r="E8535" t="s">
        <v>52</v>
      </c>
      <c r="F8535">
        <v>2014</v>
      </c>
      <c r="G8535">
        <v>14001238</v>
      </c>
      <c r="H8535" s="1">
        <v>41831</v>
      </c>
      <c r="I8535" s="1">
        <v>41842</v>
      </c>
      <c r="J8535" s="1">
        <v>41842</v>
      </c>
      <c r="K8535" s="1">
        <v>41932</v>
      </c>
      <c r="N8535" s="5"/>
      <c r="O8535">
        <v>485.56</v>
      </c>
      <c r="P8535">
        <v>317</v>
      </c>
      <c r="Q8535" s="2">
        <v>153922.51999999999</v>
      </c>
      <c r="R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 s="1">
        <v>42382</v>
      </c>
      <c r="AC8535" t="s">
        <v>53</v>
      </c>
      <c r="AD8535" t="s">
        <v>53</v>
      </c>
      <c r="AK8535">
        <v>0</v>
      </c>
      <c r="AU8535" s="6">
        <v>42249</v>
      </c>
      <c r="AV8535" s="6">
        <v>42249</v>
      </c>
      <c r="AW8535" t="s">
        <v>54</v>
      </c>
      <c r="AX8535" t="str">
        <f t="shared" si="696"/>
        <v>FOR</v>
      </c>
      <c r="AY8535" t="s">
        <v>55</v>
      </c>
    </row>
    <row r="8536" spans="1:51" hidden="1">
      <c r="A8536">
        <v>106363</v>
      </c>
      <c r="B8536" t="s">
        <v>1397</v>
      </c>
      <c r="C8536" t="str">
        <f t="shared" si="698"/>
        <v>04874870878</v>
      </c>
      <c r="D8536" t="str">
        <f t="shared" si="698"/>
        <v>04874870878</v>
      </c>
      <c r="E8536" t="s">
        <v>52</v>
      </c>
      <c r="F8536">
        <v>2014</v>
      </c>
      <c r="G8536">
        <v>14001762</v>
      </c>
      <c r="H8536" s="1">
        <v>41929</v>
      </c>
      <c r="I8536" s="1">
        <v>41939</v>
      </c>
      <c r="J8536" s="1">
        <v>41939</v>
      </c>
      <c r="K8536" s="1">
        <v>41999</v>
      </c>
      <c r="N8536" s="5"/>
      <c r="O8536">
        <v>242.78</v>
      </c>
      <c r="P8536">
        <v>250</v>
      </c>
      <c r="Q8536" s="2">
        <v>60695</v>
      </c>
      <c r="R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 s="1">
        <v>42382</v>
      </c>
      <c r="AC8536" t="s">
        <v>53</v>
      </c>
      <c r="AD8536" t="s">
        <v>53</v>
      </c>
      <c r="AK8536">
        <v>0</v>
      </c>
      <c r="AU8536" s="6">
        <v>42249</v>
      </c>
      <c r="AV8536" s="6">
        <v>42249</v>
      </c>
      <c r="AW8536" t="s">
        <v>54</v>
      </c>
      <c r="AX8536" t="str">
        <f t="shared" si="696"/>
        <v>FOR</v>
      </c>
      <c r="AY8536" t="s">
        <v>55</v>
      </c>
    </row>
    <row r="8537" spans="1:51" hidden="1">
      <c r="A8537">
        <v>106363</v>
      </c>
      <c r="B8537" t="s">
        <v>1397</v>
      </c>
      <c r="C8537" t="str">
        <f t="shared" si="698"/>
        <v>04874870878</v>
      </c>
      <c r="D8537" t="str">
        <f t="shared" si="698"/>
        <v>04874870878</v>
      </c>
      <c r="E8537" t="s">
        <v>52</v>
      </c>
      <c r="F8537">
        <v>2014</v>
      </c>
      <c r="G8537">
        <v>14001967</v>
      </c>
      <c r="H8537" s="1">
        <v>41960</v>
      </c>
      <c r="I8537" s="1">
        <v>42002</v>
      </c>
      <c r="J8537" s="1">
        <v>42002</v>
      </c>
      <c r="K8537" s="1">
        <v>42062</v>
      </c>
      <c r="N8537" s="5"/>
      <c r="O8537">
        <v>242.78</v>
      </c>
      <c r="P8537">
        <v>187</v>
      </c>
      <c r="Q8537" s="2">
        <v>45399.86</v>
      </c>
      <c r="R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 s="1">
        <v>42382</v>
      </c>
      <c r="AC8537" t="s">
        <v>53</v>
      </c>
      <c r="AD8537" t="s">
        <v>53</v>
      </c>
      <c r="AK8537">
        <v>0</v>
      </c>
      <c r="AU8537" s="6">
        <v>42249</v>
      </c>
      <c r="AV8537" s="6">
        <v>42249</v>
      </c>
      <c r="AW8537" t="s">
        <v>54</v>
      </c>
      <c r="AX8537" t="str">
        <f t="shared" si="696"/>
        <v>FOR</v>
      </c>
      <c r="AY8537" t="s">
        <v>55</v>
      </c>
    </row>
    <row r="8538" spans="1:51" hidden="1">
      <c r="A8538">
        <v>106382</v>
      </c>
      <c r="B8538" t="s">
        <v>1398</v>
      </c>
      <c r="C8538" t="str">
        <f>"02774850610"</f>
        <v>02774850610</v>
      </c>
      <c r="D8538" t="str">
        <f>"02774850610"</f>
        <v>02774850610</v>
      </c>
      <c r="E8538" t="s">
        <v>52</v>
      </c>
      <c r="F8538">
        <v>2014</v>
      </c>
      <c r="G8538" t="s">
        <v>1399</v>
      </c>
      <c r="H8538" s="1">
        <v>41940</v>
      </c>
      <c r="I8538" s="1">
        <v>41983</v>
      </c>
      <c r="J8538" s="1">
        <v>41983</v>
      </c>
      <c r="K8538" s="1">
        <v>42043</v>
      </c>
      <c r="N8538" s="5"/>
      <c r="O8538">
        <v>35</v>
      </c>
      <c r="P8538">
        <v>-3</v>
      </c>
      <c r="Q8538">
        <v>-105</v>
      </c>
      <c r="R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 s="1">
        <v>42382</v>
      </c>
      <c r="AC8538" t="s">
        <v>53</v>
      </c>
      <c r="AD8538" t="s">
        <v>53</v>
      </c>
      <c r="AK8538">
        <v>0</v>
      </c>
      <c r="AU8538" s="6">
        <v>42040</v>
      </c>
      <c r="AV8538" s="6">
        <v>42040</v>
      </c>
      <c r="AW8538" t="s">
        <v>54</v>
      </c>
      <c r="AX8538" t="str">
        <f t="shared" si="696"/>
        <v>FOR</v>
      </c>
      <c r="AY8538" t="s">
        <v>55</v>
      </c>
    </row>
    <row r="8539" spans="1:51" hidden="1">
      <c r="A8539">
        <v>106398</v>
      </c>
      <c r="B8539" t="s">
        <v>1400</v>
      </c>
      <c r="C8539" t="str">
        <f>"03680170614"</f>
        <v>03680170614</v>
      </c>
      <c r="D8539" t="str">
        <f>"03680170614"</f>
        <v>03680170614</v>
      </c>
      <c r="E8539" t="s">
        <v>52</v>
      </c>
      <c r="F8539">
        <v>2014</v>
      </c>
      <c r="G8539">
        <v>96</v>
      </c>
      <c r="H8539" s="1">
        <v>41689</v>
      </c>
      <c r="I8539" s="1">
        <v>41691</v>
      </c>
      <c r="J8539" s="1">
        <v>41691</v>
      </c>
      <c r="K8539" s="1">
        <v>41781</v>
      </c>
      <c r="N8539" s="5"/>
      <c r="O8539" s="2">
        <v>1037</v>
      </c>
      <c r="P8539">
        <v>256</v>
      </c>
      <c r="Q8539" s="2">
        <v>265472</v>
      </c>
      <c r="R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 s="1">
        <v>42382</v>
      </c>
      <c r="AC8539" t="s">
        <v>53</v>
      </c>
      <c r="AD8539" t="s">
        <v>53</v>
      </c>
      <c r="AK8539">
        <v>0</v>
      </c>
      <c r="AU8539" s="6">
        <v>42037</v>
      </c>
      <c r="AV8539" s="6">
        <v>42037</v>
      </c>
      <c r="AW8539" t="s">
        <v>54</v>
      </c>
      <c r="AX8539" t="str">
        <f t="shared" si="696"/>
        <v>FOR</v>
      </c>
      <c r="AY8539" t="s">
        <v>55</v>
      </c>
    </row>
    <row r="8540" spans="1:51" hidden="1">
      <c r="A8540">
        <v>106404</v>
      </c>
      <c r="B8540" t="s">
        <v>1401</v>
      </c>
      <c r="C8540" t="str">
        <f>"02368591208"</f>
        <v>02368591208</v>
      </c>
      <c r="D8540" t="str">
        <f>"02368591208"</f>
        <v>02368591208</v>
      </c>
      <c r="E8540" t="s">
        <v>52</v>
      </c>
      <c r="F8540">
        <v>2014</v>
      </c>
      <c r="G8540">
        <v>2013289</v>
      </c>
      <c r="H8540" s="1">
        <v>41701</v>
      </c>
      <c r="I8540" s="1">
        <v>41725</v>
      </c>
      <c r="J8540" s="1">
        <v>41725</v>
      </c>
      <c r="K8540" s="1">
        <v>41815</v>
      </c>
      <c r="N8540" s="5"/>
      <c r="O8540">
        <v>434.44</v>
      </c>
      <c r="P8540">
        <v>344</v>
      </c>
      <c r="Q8540" s="2">
        <v>149447.35999999999</v>
      </c>
      <c r="R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 s="1">
        <v>42382</v>
      </c>
      <c r="AC8540" t="s">
        <v>53</v>
      </c>
      <c r="AD8540" t="s">
        <v>53</v>
      </c>
      <c r="AK8540">
        <v>0</v>
      </c>
      <c r="AU8540" s="6">
        <v>42159</v>
      </c>
      <c r="AV8540" s="6">
        <v>42159</v>
      </c>
      <c r="AW8540" t="s">
        <v>54</v>
      </c>
      <c r="AX8540" t="str">
        <f t="shared" si="696"/>
        <v>FOR</v>
      </c>
      <c r="AY8540" t="s">
        <v>55</v>
      </c>
    </row>
    <row r="8541" spans="1:51" hidden="1">
      <c r="A8541">
        <v>106404</v>
      </c>
      <c r="B8541" t="s">
        <v>1401</v>
      </c>
      <c r="C8541" t="str">
        <f>"02368591208"</f>
        <v>02368591208</v>
      </c>
      <c r="D8541" t="str">
        <f>"02368591208"</f>
        <v>02368591208</v>
      </c>
      <c r="E8541" t="s">
        <v>52</v>
      </c>
      <c r="F8541">
        <v>2014</v>
      </c>
      <c r="G8541">
        <v>2064281</v>
      </c>
      <c r="H8541" s="1">
        <v>41810</v>
      </c>
      <c r="I8541" s="1">
        <v>41834</v>
      </c>
      <c r="J8541" s="1">
        <v>41834</v>
      </c>
      <c r="K8541" s="1">
        <v>41924</v>
      </c>
      <c r="N8541" s="5"/>
      <c r="O8541" s="2">
        <v>4209</v>
      </c>
      <c r="P8541">
        <v>235</v>
      </c>
      <c r="Q8541" s="2">
        <v>989115</v>
      </c>
      <c r="R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 s="1">
        <v>42382</v>
      </c>
      <c r="AC8541" t="s">
        <v>53</v>
      </c>
      <c r="AD8541" t="s">
        <v>53</v>
      </c>
      <c r="AK8541">
        <v>0</v>
      </c>
      <c r="AU8541" s="6">
        <v>42159</v>
      </c>
      <c r="AV8541" s="6">
        <v>42159</v>
      </c>
      <c r="AW8541" t="s">
        <v>54</v>
      </c>
      <c r="AX8541" t="str">
        <f t="shared" si="696"/>
        <v>FOR</v>
      </c>
      <c r="AY8541" t="s">
        <v>55</v>
      </c>
    </row>
    <row r="8542" spans="1:51">
      <c r="A8542">
        <v>106412</v>
      </c>
      <c r="B8542" t="s">
        <v>1402</v>
      </c>
      <c r="C8542" t="str">
        <f>"11359720155"</f>
        <v>11359720155</v>
      </c>
      <c r="D8542" t="str">
        <f>"11359720155"</f>
        <v>11359720155</v>
      </c>
      <c r="E8542" t="s">
        <v>52</v>
      </c>
      <c r="F8542">
        <v>2014</v>
      </c>
      <c r="G8542">
        <v>44</v>
      </c>
      <c r="H8542" s="1">
        <v>41688</v>
      </c>
      <c r="I8542" s="1">
        <v>42258</v>
      </c>
      <c r="J8542" s="1">
        <v>42258</v>
      </c>
      <c r="K8542" s="1">
        <v>42318</v>
      </c>
      <c r="L8542" s="7">
        <v>547.09</v>
      </c>
      <c r="M8542" s="5">
        <v>-36</v>
      </c>
      <c r="N8542" s="7">
        <v>-19695.240000000002</v>
      </c>
      <c r="O8542">
        <v>547.09</v>
      </c>
      <c r="P8542">
        <v>-36</v>
      </c>
      <c r="Q8542" s="2">
        <v>-19695.240000000002</v>
      </c>
      <c r="R8542">
        <v>0</v>
      </c>
      <c r="V8542">
        <v>0</v>
      </c>
      <c r="W8542">
        <v>0</v>
      </c>
      <c r="X8542">
        <v>0</v>
      </c>
      <c r="Y8542">
        <v>0</v>
      </c>
      <c r="Z8542">
        <v>547.09</v>
      </c>
      <c r="AA8542">
        <v>0</v>
      </c>
      <c r="AB8542" s="1">
        <v>42382</v>
      </c>
      <c r="AC8542" t="s">
        <v>53</v>
      </c>
      <c r="AD8542" t="s">
        <v>53</v>
      </c>
      <c r="AK8542">
        <v>0</v>
      </c>
      <c r="AU8542" s="6">
        <v>42282</v>
      </c>
      <c r="AV8542" s="6">
        <v>42282</v>
      </c>
      <c r="AW8542" t="s">
        <v>54</v>
      </c>
      <c r="AX8542" t="str">
        <f t="shared" si="696"/>
        <v>FOR</v>
      </c>
      <c r="AY8542" t="s">
        <v>55</v>
      </c>
    </row>
    <row r="8543" spans="1:51" hidden="1">
      <c r="A8543">
        <v>106422</v>
      </c>
      <c r="B8543" t="s">
        <v>1403</v>
      </c>
      <c r="C8543" t="str">
        <f>"03784450961"</f>
        <v>03784450961</v>
      </c>
      <c r="D8543" t="str">
        <f>"03784450961"</f>
        <v>03784450961</v>
      </c>
      <c r="E8543" t="s">
        <v>52</v>
      </c>
      <c r="F8543">
        <v>2014</v>
      </c>
      <c r="G8543">
        <v>935</v>
      </c>
      <c r="H8543" s="1">
        <v>41715</v>
      </c>
      <c r="I8543" s="1">
        <v>41724</v>
      </c>
      <c r="J8543" s="1">
        <v>41724</v>
      </c>
      <c r="K8543" s="1">
        <v>41814</v>
      </c>
      <c r="N8543" s="5"/>
      <c r="O8543">
        <v>756.4</v>
      </c>
      <c r="P8543">
        <v>248</v>
      </c>
      <c r="Q8543" s="2">
        <v>187587.20000000001</v>
      </c>
      <c r="R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 s="1">
        <v>42382</v>
      </c>
      <c r="AC8543" t="s">
        <v>53</v>
      </c>
      <c r="AD8543" t="s">
        <v>53</v>
      </c>
      <c r="AK8543">
        <v>0</v>
      </c>
      <c r="AU8543" s="6">
        <v>42062</v>
      </c>
      <c r="AV8543" s="6">
        <v>42062</v>
      </c>
      <c r="AW8543" t="s">
        <v>54</v>
      </c>
      <c r="AX8543" t="str">
        <f t="shared" si="696"/>
        <v>FOR</v>
      </c>
      <c r="AY8543" t="s">
        <v>55</v>
      </c>
    </row>
    <row r="8544" spans="1:51" hidden="1">
      <c r="A8544">
        <v>106423</v>
      </c>
      <c r="B8544" t="s">
        <v>1404</v>
      </c>
      <c r="C8544" t="str">
        <f>"06603861219"</f>
        <v>06603861219</v>
      </c>
      <c r="D8544" t="str">
        <f>"06603861219"</f>
        <v>06603861219</v>
      </c>
      <c r="E8544" t="s">
        <v>52</v>
      </c>
      <c r="F8544">
        <v>2014</v>
      </c>
      <c r="G8544">
        <v>65</v>
      </c>
      <c r="H8544" s="1">
        <v>41746</v>
      </c>
      <c r="I8544" s="1">
        <v>41775</v>
      </c>
      <c r="J8544" s="1">
        <v>41775</v>
      </c>
      <c r="K8544" s="1">
        <v>41865</v>
      </c>
      <c r="N8544" s="5"/>
      <c r="O8544" s="2">
        <v>2684</v>
      </c>
      <c r="P8544">
        <v>316</v>
      </c>
      <c r="Q8544" s="2">
        <v>848144</v>
      </c>
      <c r="R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 s="1">
        <v>42382</v>
      </c>
      <c r="AC8544" t="s">
        <v>53</v>
      </c>
      <c r="AD8544" t="s">
        <v>53</v>
      </c>
      <c r="AK8544">
        <v>0</v>
      </c>
      <c r="AU8544" s="6">
        <v>42181</v>
      </c>
      <c r="AV8544" s="6">
        <v>42181</v>
      </c>
      <c r="AW8544" t="s">
        <v>54</v>
      </c>
      <c r="AX8544" t="str">
        <f t="shared" si="696"/>
        <v>FOR</v>
      </c>
      <c r="AY8544" t="s">
        <v>55</v>
      </c>
    </row>
    <row r="8545" spans="1:51" hidden="1">
      <c r="A8545">
        <v>106431</v>
      </c>
      <c r="B8545" t="s">
        <v>1405</v>
      </c>
      <c r="C8545" t="str">
        <f>"01569590621"</f>
        <v>01569590621</v>
      </c>
      <c r="D8545" t="str">
        <f>"01569590621"</f>
        <v>01569590621</v>
      </c>
      <c r="E8545" t="s">
        <v>52</v>
      </c>
      <c r="F8545">
        <v>2014</v>
      </c>
      <c r="G8545" t="s">
        <v>443</v>
      </c>
      <c r="H8545" s="1">
        <v>41970</v>
      </c>
      <c r="I8545" s="1">
        <v>41988</v>
      </c>
      <c r="J8545" s="1">
        <v>41988</v>
      </c>
      <c r="K8545" s="1">
        <v>42048</v>
      </c>
      <c r="N8545" s="5"/>
      <c r="O8545">
        <v>74.5</v>
      </c>
      <c r="P8545">
        <v>-8</v>
      </c>
      <c r="Q8545">
        <v>-596</v>
      </c>
      <c r="R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 s="1">
        <v>42382</v>
      </c>
      <c r="AC8545" t="s">
        <v>53</v>
      </c>
      <c r="AD8545" t="s">
        <v>53</v>
      </c>
      <c r="AK8545">
        <v>0</v>
      </c>
      <c r="AU8545" s="6">
        <v>42040</v>
      </c>
      <c r="AV8545" s="6">
        <v>42040</v>
      </c>
      <c r="AW8545" t="s">
        <v>54</v>
      </c>
      <c r="AX8545" t="str">
        <f t="shared" si="696"/>
        <v>FOR</v>
      </c>
      <c r="AY8545" t="s">
        <v>55</v>
      </c>
    </row>
    <row r="8546" spans="1:51" hidden="1">
      <c r="A8546">
        <v>106432</v>
      </c>
      <c r="B8546" t="s">
        <v>1406</v>
      </c>
      <c r="C8546" t="str">
        <f t="shared" ref="C8546:D8551" si="699">"01494290628"</f>
        <v>01494290628</v>
      </c>
      <c r="D8546" t="str">
        <f t="shared" si="699"/>
        <v>01494290628</v>
      </c>
      <c r="E8546" t="s">
        <v>52</v>
      </c>
      <c r="F8546">
        <v>2014</v>
      </c>
      <c r="G8546" t="s">
        <v>1407</v>
      </c>
      <c r="H8546" s="1">
        <v>41988</v>
      </c>
      <c r="I8546" s="1">
        <v>41991</v>
      </c>
      <c r="J8546" s="1">
        <v>41991</v>
      </c>
      <c r="K8546" s="1">
        <v>42051</v>
      </c>
      <c r="N8546" s="5"/>
      <c r="O8546">
        <v>198.18</v>
      </c>
      <c r="P8546">
        <v>-11</v>
      </c>
      <c r="Q8546" s="2">
        <v>-2179.98</v>
      </c>
      <c r="R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 s="1">
        <v>42382</v>
      </c>
      <c r="AC8546" t="s">
        <v>53</v>
      </c>
      <c r="AD8546" t="s">
        <v>53</v>
      </c>
      <c r="AK8546">
        <v>0</v>
      </c>
      <c r="AU8546" s="6">
        <v>42040</v>
      </c>
      <c r="AV8546" s="6">
        <v>42040</v>
      </c>
      <c r="AW8546" t="s">
        <v>54</v>
      </c>
      <c r="AX8546" t="str">
        <f t="shared" si="696"/>
        <v>FOR</v>
      </c>
      <c r="AY8546" t="s">
        <v>55</v>
      </c>
    </row>
    <row r="8547" spans="1:51" hidden="1">
      <c r="A8547">
        <v>106432</v>
      </c>
      <c r="B8547" t="s">
        <v>1406</v>
      </c>
      <c r="C8547" t="str">
        <f t="shared" si="699"/>
        <v>01494290628</v>
      </c>
      <c r="D8547" t="str">
        <f t="shared" si="699"/>
        <v>01494290628</v>
      </c>
      <c r="E8547" t="s">
        <v>52</v>
      </c>
      <c r="F8547">
        <v>2015</v>
      </c>
      <c r="G8547" t="s">
        <v>1408</v>
      </c>
      <c r="H8547" s="1">
        <v>42024</v>
      </c>
      <c r="I8547" s="1">
        <v>42037</v>
      </c>
      <c r="J8547" s="1">
        <v>42037</v>
      </c>
      <c r="K8547" s="1">
        <v>42097</v>
      </c>
      <c r="N8547" s="5"/>
      <c r="O8547" s="2">
        <v>2250</v>
      </c>
      <c r="P8547">
        <v>87</v>
      </c>
      <c r="Q8547" s="2">
        <v>195750</v>
      </c>
      <c r="R8547">
        <v>0</v>
      </c>
      <c r="V8547">
        <v>0</v>
      </c>
      <c r="W8547">
        <v>0</v>
      </c>
      <c r="X8547">
        <v>0</v>
      </c>
      <c r="Y8547" s="2">
        <v>2745</v>
      </c>
      <c r="Z8547" s="2">
        <v>2745</v>
      </c>
      <c r="AA8547" s="2">
        <v>2745</v>
      </c>
      <c r="AB8547" s="1">
        <v>42382</v>
      </c>
      <c r="AC8547" t="s">
        <v>53</v>
      </c>
      <c r="AD8547" t="s">
        <v>53</v>
      </c>
      <c r="AK8547">
        <v>0</v>
      </c>
      <c r="AU8547" s="6">
        <v>42184</v>
      </c>
      <c r="AV8547" s="6">
        <v>42184</v>
      </c>
      <c r="AW8547" t="s">
        <v>54</v>
      </c>
      <c r="AX8547" t="str">
        <f t="shared" si="696"/>
        <v>FOR</v>
      </c>
      <c r="AY8547" t="s">
        <v>55</v>
      </c>
    </row>
    <row r="8548" spans="1:51" hidden="1">
      <c r="A8548">
        <v>106432</v>
      </c>
      <c r="B8548" t="s">
        <v>1406</v>
      </c>
      <c r="C8548" t="str">
        <f t="shared" si="699"/>
        <v>01494290628</v>
      </c>
      <c r="D8548" t="str">
        <f t="shared" si="699"/>
        <v>01494290628</v>
      </c>
      <c r="E8548" t="s">
        <v>52</v>
      </c>
      <c r="F8548">
        <v>2015</v>
      </c>
      <c r="G8548" t="s">
        <v>1409</v>
      </c>
      <c r="H8548" s="1">
        <v>42024</v>
      </c>
      <c r="I8548" s="1">
        <v>42032</v>
      </c>
      <c r="J8548" s="1">
        <v>42032</v>
      </c>
      <c r="K8548" s="1">
        <v>42092</v>
      </c>
      <c r="N8548" s="5"/>
      <c r="O8548">
        <v>374</v>
      </c>
      <c r="P8548">
        <v>92</v>
      </c>
      <c r="Q8548" s="2">
        <v>34408</v>
      </c>
      <c r="R8548">
        <v>0</v>
      </c>
      <c r="V8548">
        <v>0</v>
      </c>
      <c r="W8548">
        <v>0</v>
      </c>
      <c r="X8548">
        <v>0</v>
      </c>
      <c r="Y8548">
        <v>456.28</v>
      </c>
      <c r="Z8548">
        <v>456.28</v>
      </c>
      <c r="AA8548">
        <v>456.28</v>
      </c>
      <c r="AB8548" s="1">
        <v>42382</v>
      </c>
      <c r="AC8548" t="s">
        <v>53</v>
      </c>
      <c r="AD8548" t="s">
        <v>53</v>
      </c>
      <c r="AK8548">
        <v>0</v>
      </c>
      <c r="AU8548" s="6">
        <v>42184</v>
      </c>
      <c r="AV8548" s="6">
        <v>42184</v>
      </c>
      <c r="AW8548" t="s">
        <v>54</v>
      </c>
      <c r="AX8548" t="str">
        <f t="shared" si="696"/>
        <v>FOR</v>
      </c>
      <c r="AY8548" t="s">
        <v>55</v>
      </c>
    </row>
    <row r="8549" spans="1:51" hidden="1">
      <c r="A8549">
        <v>106432</v>
      </c>
      <c r="B8549" t="s">
        <v>1406</v>
      </c>
      <c r="C8549" t="str">
        <f t="shared" si="699"/>
        <v>01494290628</v>
      </c>
      <c r="D8549" t="str">
        <f t="shared" si="699"/>
        <v>01494290628</v>
      </c>
      <c r="E8549" t="s">
        <v>52</v>
      </c>
      <c r="F8549">
        <v>2015</v>
      </c>
      <c r="G8549" t="s">
        <v>1410</v>
      </c>
      <c r="H8549" s="1">
        <v>42035</v>
      </c>
      <c r="I8549" s="1">
        <v>42044</v>
      </c>
      <c r="J8549" s="1">
        <v>42044</v>
      </c>
      <c r="K8549" s="1">
        <v>42104</v>
      </c>
      <c r="N8549" s="5"/>
      <c r="O8549" s="2">
        <v>1990</v>
      </c>
      <c r="P8549">
        <v>80</v>
      </c>
      <c r="Q8549" s="2">
        <v>159200</v>
      </c>
      <c r="R8549">
        <v>0</v>
      </c>
      <c r="V8549">
        <v>0</v>
      </c>
      <c r="W8549">
        <v>0</v>
      </c>
      <c r="X8549">
        <v>0</v>
      </c>
      <c r="Y8549" s="2">
        <v>2427.8000000000002</v>
      </c>
      <c r="Z8549" s="2">
        <v>2427.8000000000002</v>
      </c>
      <c r="AA8549" s="2">
        <v>2427.8000000000002</v>
      </c>
      <c r="AB8549" s="1">
        <v>42382</v>
      </c>
      <c r="AC8549" t="s">
        <v>53</v>
      </c>
      <c r="AD8549" t="s">
        <v>53</v>
      </c>
      <c r="AK8549">
        <v>0</v>
      </c>
      <c r="AU8549" s="6">
        <v>42184</v>
      </c>
      <c r="AV8549" s="6">
        <v>42184</v>
      </c>
      <c r="AW8549" t="s">
        <v>54</v>
      </c>
      <c r="AX8549" t="str">
        <f t="shared" si="696"/>
        <v>FOR</v>
      </c>
      <c r="AY8549" t="s">
        <v>55</v>
      </c>
    </row>
    <row r="8550" spans="1:51">
      <c r="A8550">
        <v>106432</v>
      </c>
      <c r="B8550" t="s">
        <v>1406</v>
      </c>
      <c r="C8550" t="str">
        <f t="shared" si="699"/>
        <v>01494290628</v>
      </c>
      <c r="D8550" t="str">
        <f t="shared" si="699"/>
        <v>01494290628</v>
      </c>
      <c r="E8550" t="s">
        <v>52</v>
      </c>
      <c r="F8550">
        <v>2015</v>
      </c>
      <c r="G8550" t="s">
        <v>1411</v>
      </c>
      <c r="H8550" s="1">
        <v>42093</v>
      </c>
      <c r="I8550" s="1">
        <v>42171</v>
      </c>
      <c r="J8550" s="1">
        <v>42171</v>
      </c>
      <c r="K8550" s="1">
        <v>42231</v>
      </c>
      <c r="L8550" s="7">
        <v>995</v>
      </c>
      <c r="M8550" s="5">
        <v>124</v>
      </c>
      <c r="N8550" s="7">
        <v>123380</v>
      </c>
      <c r="O8550">
        <v>995</v>
      </c>
      <c r="P8550">
        <v>124</v>
      </c>
      <c r="Q8550" s="2">
        <v>123380</v>
      </c>
      <c r="R8550">
        <v>218.9</v>
      </c>
      <c r="V8550">
        <v>0</v>
      </c>
      <c r="W8550">
        <v>0</v>
      </c>
      <c r="X8550">
        <v>0</v>
      </c>
      <c r="Y8550" s="2">
        <v>1213.9000000000001</v>
      </c>
      <c r="Z8550" s="2">
        <v>1213.9000000000001</v>
      </c>
      <c r="AA8550" s="2">
        <v>1213.9000000000001</v>
      </c>
      <c r="AB8550" s="1">
        <v>42382</v>
      </c>
      <c r="AC8550" t="s">
        <v>53</v>
      </c>
      <c r="AD8550" t="s">
        <v>53</v>
      </c>
      <c r="AI8550">
        <v>218.9</v>
      </c>
      <c r="AK8550">
        <v>0</v>
      </c>
      <c r="AU8550" s="6">
        <v>42355</v>
      </c>
      <c r="AV8550" s="6">
        <v>42355</v>
      </c>
      <c r="AW8550" t="s">
        <v>54</v>
      </c>
      <c r="AX8550" t="str">
        <f t="shared" si="696"/>
        <v>FOR</v>
      </c>
      <c r="AY8550" t="s">
        <v>55</v>
      </c>
    </row>
    <row r="8551" spans="1:51">
      <c r="A8551">
        <v>106432</v>
      </c>
      <c r="B8551" t="s">
        <v>1406</v>
      </c>
      <c r="C8551" t="str">
        <f t="shared" si="699"/>
        <v>01494290628</v>
      </c>
      <c r="D8551" t="str">
        <f t="shared" si="699"/>
        <v>01494290628</v>
      </c>
      <c r="E8551" t="s">
        <v>52</v>
      </c>
      <c r="F8551">
        <v>2015</v>
      </c>
      <c r="G8551" t="s">
        <v>1412</v>
      </c>
      <c r="H8551" s="1">
        <v>42115</v>
      </c>
      <c r="I8551" s="1">
        <v>42177</v>
      </c>
      <c r="J8551" s="1">
        <v>42173</v>
      </c>
      <c r="K8551" s="1">
        <v>42233</v>
      </c>
      <c r="L8551" s="7">
        <v>2250</v>
      </c>
      <c r="M8551" s="5">
        <v>122</v>
      </c>
      <c r="N8551" s="7">
        <v>274500</v>
      </c>
      <c r="O8551" s="2">
        <v>2250</v>
      </c>
      <c r="P8551">
        <v>122</v>
      </c>
      <c r="Q8551" s="2">
        <v>274500</v>
      </c>
      <c r="R8551">
        <v>495</v>
      </c>
      <c r="V8551">
        <v>0</v>
      </c>
      <c r="W8551">
        <v>0</v>
      </c>
      <c r="X8551">
        <v>0</v>
      </c>
      <c r="Y8551" s="2">
        <v>2745</v>
      </c>
      <c r="Z8551" s="2">
        <v>2745</v>
      </c>
      <c r="AA8551" s="2">
        <v>2745</v>
      </c>
      <c r="AB8551" s="1">
        <v>42382</v>
      </c>
      <c r="AC8551" t="s">
        <v>53</v>
      </c>
      <c r="AD8551" t="s">
        <v>53</v>
      </c>
      <c r="AI8551">
        <v>495</v>
      </c>
      <c r="AK8551">
        <v>0</v>
      </c>
      <c r="AU8551" s="6">
        <v>42355</v>
      </c>
      <c r="AV8551" s="6">
        <v>42355</v>
      </c>
      <c r="AW8551" t="s">
        <v>54</v>
      </c>
      <c r="AX8551" t="str">
        <f t="shared" si="696"/>
        <v>FOR</v>
      </c>
      <c r="AY8551" t="s">
        <v>55</v>
      </c>
    </row>
    <row r="8552" spans="1:51" hidden="1">
      <c r="A8552">
        <v>106438</v>
      </c>
      <c r="B8552" t="s">
        <v>1413</v>
      </c>
      <c r="C8552" t="str">
        <f>"01411990623"</f>
        <v>01411990623</v>
      </c>
      <c r="D8552" t="str">
        <f>"NVANDA75H58L086E"</f>
        <v>NVANDA75H58L086E</v>
      </c>
      <c r="E8552" t="s">
        <v>52</v>
      </c>
      <c r="F8552">
        <v>2014</v>
      </c>
      <c r="G8552">
        <v>6</v>
      </c>
      <c r="H8552" s="1">
        <v>41738</v>
      </c>
      <c r="I8552" s="1">
        <v>41744</v>
      </c>
      <c r="J8552" s="1">
        <v>41744</v>
      </c>
      <c r="K8552" s="1">
        <v>41834</v>
      </c>
      <c r="N8552" s="5"/>
      <c r="O8552" s="2">
        <v>5368</v>
      </c>
      <c r="P8552">
        <v>214</v>
      </c>
      <c r="Q8552" s="2">
        <v>1148752</v>
      </c>
      <c r="R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 s="1">
        <v>42382</v>
      </c>
      <c r="AC8552" t="s">
        <v>53</v>
      </c>
      <c r="AD8552" t="s">
        <v>53</v>
      </c>
      <c r="AK8552">
        <v>0</v>
      </c>
      <c r="AU8552" s="6">
        <v>42048</v>
      </c>
      <c r="AV8552" s="6">
        <v>42048</v>
      </c>
      <c r="AW8552" t="s">
        <v>54</v>
      </c>
      <c r="AX8552" t="str">
        <f t="shared" si="696"/>
        <v>FOR</v>
      </c>
      <c r="AY8552" t="s">
        <v>55</v>
      </c>
    </row>
    <row r="8553" spans="1:51" hidden="1">
      <c r="A8553">
        <v>106440</v>
      </c>
      <c r="B8553" t="s">
        <v>1414</v>
      </c>
      <c r="C8553" t="str">
        <f t="shared" ref="C8553:D8560" si="700">"06912570964"</f>
        <v>06912570964</v>
      </c>
      <c r="D8553" t="str">
        <f t="shared" si="700"/>
        <v>06912570964</v>
      </c>
      <c r="E8553" t="s">
        <v>52</v>
      </c>
      <c r="F8553">
        <v>2014</v>
      </c>
      <c r="G8553">
        <v>92483280</v>
      </c>
      <c r="H8553" s="1">
        <v>41745</v>
      </c>
      <c r="I8553" s="1">
        <v>41753</v>
      </c>
      <c r="J8553" s="1">
        <v>41753</v>
      </c>
      <c r="K8553" s="1">
        <v>41843</v>
      </c>
      <c r="N8553" s="5"/>
      <c r="O8553">
        <v>353.8</v>
      </c>
      <c r="P8553">
        <v>316</v>
      </c>
      <c r="Q8553" s="2">
        <v>111800.8</v>
      </c>
      <c r="R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 s="1">
        <v>42382</v>
      </c>
      <c r="AC8553" t="s">
        <v>53</v>
      </c>
      <c r="AD8553" t="s">
        <v>53</v>
      </c>
      <c r="AK8553">
        <v>0</v>
      </c>
      <c r="AU8553" s="6">
        <v>42159</v>
      </c>
      <c r="AV8553" s="6">
        <v>42159</v>
      </c>
      <c r="AW8553" t="s">
        <v>54</v>
      </c>
      <c r="AX8553" t="str">
        <f t="shared" si="696"/>
        <v>FOR</v>
      </c>
      <c r="AY8553" t="s">
        <v>55</v>
      </c>
    </row>
    <row r="8554" spans="1:51" hidden="1">
      <c r="A8554">
        <v>106440</v>
      </c>
      <c r="B8554" t="s">
        <v>1414</v>
      </c>
      <c r="C8554" t="str">
        <f t="shared" si="700"/>
        <v>06912570964</v>
      </c>
      <c r="D8554" t="str">
        <f t="shared" si="700"/>
        <v>06912570964</v>
      </c>
      <c r="E8554" t="s">
        <v>52</v>
      </c>
      <c r="F8554">
        <v>2014</v>
      </c>
      <c r="G8554">
        <v>92502841</v>
      </c>
      <c r="H8554" s="1">
        <v>41759</v>
      </c>
      <c r="I8554" s="1">
        <v>41767</v>
      </c>
      <c r="J8554" s="1">
        <v>41767</v>
      </c>
      <c r="K8554" s="1">
        <v>41857</v>
      </c>
      <c r="N8554" s="5"/>
      <c r="O8554" s="2">
        <v>3184.2</v>
      </c>
      <c r="P8554">
        <v>302</v>
      </c>
      <c r="Q8554" s="2">
        <v>961628.4</v>
      </c>
      <c r="R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 s="1">
        <v>42382</v>
      </c>
      <c r="AC8554" t="s">
        <v>53</v>
      </c>
      <c r="AD8554" t="s">
        <v>53</v>
      </c>
      <c r="AK8554">
        <v>0</v>
      </c>
      <c r="AU8554" s="6">
        <v>42159</v>
      </c>
      <c r="AV8554" s="6">
        <v>42159</v>
      </c>
      <c r="AW8554" t="s">
        <v>54</v>
      </c>
      <c r="AX8554" t="str">
        <f t="shared" si="696"/>
        <v>FOR</v>
      </c>
      <c r="AY8554" t="s">
        <v>55</v>
      </c>
    </row>
    <row r="8555" spans="1:51" hidden="1">
      <c r="A8555">
        <v>106440</v>
      </c>
      <c r="B8555" t="s">
        <v>1414</v>
      </c>
      <c r="C8555" t="str">
        <f t="shared" si="700"/>
        <v>06912570964</v>
      </c>
      <c r="D8555" t="str">
        <f t="shared" si="700"/>
        <v>06912570964</v>
      </c>
      <c r="E8555" t="s">
        <v>52</v>
      </c>
      <c r="F8555">
        <v>2014</v>
      </c>
      <c r="G8555">
        <v>92575379</v>
      </c>
      <c r="H8555" s="1">
        <v>41807</v>
      </c>
      <c r="I8555" s="1">
        <v>41817</v>
      </c>
      <c r="J8555" s="1">
        <v>41817</v>
      </c>
      <c r="K8555" s="1">
        <v>41907</v>
      </c>
      <c r="N8555" s="5"/>
      <c r="O8555" s="2">
        <v>1220</v>
      </c>
      <c r="P8555">
        <v>252</v>
      </c>
      <c r="Q8555" s="2">
        <v>307440</v>
      </c>
      <c r="R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 s="1">
        <v>42382</v>
      </c>
      <c r="AC8555" t="s">
        <v>53</v>
      </c>
      <c r="AD8555" t="s">
        <v>53</v>
      </c>
      <c r="AK8555">
        <v>0</v>
      </c>
      <c r="AU8555" s="6">
        <v>42159</v>
      </c>
      <c r="AV8555" s="6">
        <v>42159</v>
      </c>
      <c r="AW8555" t="s">
        <v>54</v>
      </c>
      <c r="AX8555" t="str">
        <f t="shared" si="696"/>
        <v>FOR</v>
      </c>
      <c r="AY8555" t="s">
        <v>55</v>
      </c>
    </row>
    <row r="8556" spans="1:51" hidden="1">
      <c r="A8556">
        <v>106440</v>
      </c>
      <c r="B8556" t="s">
        <v>1414</v>
      </c>
      <c r="C8556" t="str">
        <f t="shared" si="700"/>
        <v>06912570964</v>
      </c>
      <c r="D8556" t="str">
        <f t="shared" si="700"/>
        <v>06912570964</v>
      </c>
      <c r="E8556" t="s">
        <v>52</v>
      </c>
      <c r="F8556">
        <v>2014</v>
      </c>
      <c r="G8556">
        <v>92609066</v>
      </c>
      <c r="H8556" s="1">
        <v>41829</v>
      </c>
      <c r="I8556" s="1">
        <v>41834</v>
      </c>
      <c r="J8556" s="1">
        <v>41834</v>
      </c>
      <c r="K8556" s="1">
        <v>41924</v>
      </c>
      <c r="N8556" s="5"/>
      <c r="O8556" s="2">
        <v>2757.2</v>
      </c>
      <c r="P8556">
        <v>241</v>
      </c>
      <c r="Q8556" s="2">
        <v>664485.19999999995</v>
      </c>
      <c r="R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 s="1">
        <v>42382</v>
      </c>
      <c r="AC8556" t="s">
        <v>53</v>
      </c>
      <c r="AD8556" t="s">
        <v>53</v>
      </c>
      <c r="AK8556">
        <v>0</v>
      </c>
      <c r="AU8556" s="6">
        <v>42165</v>
      </c>
      <c r="AV8556" s="6">
        <v>42165</v>
      </c>
      <c r="AW8556" t="s">
        <v>54</v>
      </c>
      <c r="AX8556" t="str">
        <f t="shared" si="696"/>
        <v>FOR</v>
      </c>
      <c r="AY8556" t="s">
        <v>55</v>
      </c>
    </row>
    <row r="8557" spans="1:51" hidden="1">
      <c r="A8557">
        <v>106440</v>
      </c>
      <c r="B8557" t="s">
        <v>1414</v>
      </c>
      <c r="C8557" t="str">
        <f t="shared" si="700"/>
        <v>06912570964</v>
      </c>
      <c r="D8557" t="str">
        <f t="shared" si="700"/>
        <v>06912570964</v>
      </c>
      <c r="E8557" t="s">
        <v>52</v>
      </c>
      <c r="F8557">
        <v>2014</v>
      </c>
      <c r="G8557">
        <v>92722048</v>
      </c>
      <c r="H8557" s="1">
        <v>41906</v>
      </c>
      <c r="I8557" s="1">
        <v>41914</v>
      </c>
      <c r="J8557" s="1">
        <v>41914</v>
      </c>
      <c r="K8557" s="1">
        <v>42004</v>
      </c>
      <c r="N8557" s="5"/>
      <c r="O8557">
        <v>292.8</v>
      </c>
      <c r="P8557">
        <v>161</v>
      </c>
      <c r="Q8557" s="2">
        <v>47140.800000000003</v>
      </c>
      <c r="R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 s="1">
        <v>42382</v>
      </c>
      <c r="AC8557" t="s">
        <v>53</v>
      </c>
      <c r="AD8557" t="s">
        <v>53</v>
      </c>
      <c r="AK8557">
        <v>0</v>
      </c>
      <c r="AU8557" s="6">
        <v>42165</v>
      </c>
      <c r="AV8557" s="6">
        <v>42165</v>
      </c>
      <c r="AW8557" t="s">
        <v>54</v>
      </c>
      <c r="AX8557" t="str">
        <f t="shared" si="696"/>
        <v>FOR</v>
      </c>
      <c r="AY8557" t="s">
        <v>55</v>
      </c>
    </row>
    <row r="8558" spans="1:51" hidden="1">
      <c r="A8558">
        <v>106440</v>
      </c>
      <c r="B8558" t="s">
        <v>1414</v>
      </c>
      <c r="C8558" t="str">
        <f t="shared" si="700"/>
        <v>06912570964</v>
      </c>
      <c r="D8558" t="str">
        <f t="shared" si="700"/>
        <v>06912570964</v>
      </c>
      <c r="E8558" t="s">
        <v>52</v>
      </c>
      <c r="F8558">
        <v>2014</v>
      </c>
      <c r="G8558">
        <v>92801823</v>
      </c>
      <c r="H8558" s="1">
        <v>41956</v>
      </c>
      <c r="I8558" s="1">
        <v>41967</v>
      </c>
      <c r="J8558" s="1">
        <v>41967</v>
      </c>
      <c r="K8558" s="1">
        <v>42027</v>
      </c>
      <c r="N8558" s="5"/>
      <c r="O8558">
        <v>439.2</v>
      </c>
      <c r="P8558">
        <v>138</v>
      </c>
      <c r="Q8558" s="2">
        <v>60609.599999999999</v>
      </c>
      <c r="R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 s="1">
        <v>42382</v>
      </c>
      <c r="AC8558" t="s">
        <v>53</v>
      </c>
      <c r="AD8558" t="s">
        <v>53</v>
      </c>
      <c r="AK8558">
        <v>0</v>
      </c>
      <c r="AU8558" s="6">
        <v>42165</v>
      </c>
      <c r="AV8558" s="6">
        <v>42165</v>
      </c>
      <c r="AW8558" t="s">
        <v>54</v>
      </c>
      <c r="AX8558" t="str">
        <f t="shared" si="696"/>
        <v>FOR</v>
      </c>
      <c r="AY8558" t="s">
        <v>55</v>
      </c>
    </row>
    <row r="8559" spans="1:51">
      <c r="A8559">
        <v>106440</v>
      </c>
      <c r="B8559" t="s">
        <v>1414</v>
      </c>
      <c r="C8559" t="str">
        <f t="shared" si="700"/>
        <v>06912570964</v>
      </c>
      <c r="D8559" t="str">
        <f t="shared" si="700"/>
        <v>06912570964</v>
      </c>
      <c r="E8559" t="s">
        <v>52</v>
      </c>
      <c r="F8559">
        <v>2015</v>
      </c>
      <c r="G8559">
        <v>93081889</v>
      </c>
      <c r="H8559" s="1">
        <v>42135</v>
      </c>
      <c r="I8559" s="1">
        <v>42174</v>
      </c>
      <c r="J8559" s="1">
        <v>42173</v>
      </c>
      <c r="K8559" s="1">
        <v>42233</v>
      </c>
      <c r="L8559" s="7">
        <v>1200</v>
      </c>
      <c r="M8559" s="5">
        <v>126</v>
      </c>
      <c r="N8559" s="7">
        <v>151200</v>
      </c>
      <c r="O8559" s="2">
        <v>1200</v>
      </c>
      <c r="P8559">
        <v>126</v>
      </c>
      <c r="Q8559" s="2">
        <v>151200</v>
      </c>
      <c r="R8559">
        <v>264</v>
      </c>
      <c r="V8559">
        <v>0</v>
      </c>
      <c r="W8559">
        <v>0</v>
      </c>
      <c r="X8559">
        <v>0</v>
      </c>
      <c r="Y8559" s="2">
        <v>1464</v>
      </c>
      <c r="Z8559" s="2">
        <v>1464</v>
      </c>
      <c r="AA8559" s="2">
        <v>1464</v>
      </c>
      <c r="AB8559" s="1">
        <v>42382</v>
      </c>
      <c r="AC8559" t="s">
        <v>53</v>
      </c>
      <c r="AD8559" t="s">
        <v>53</v>
      </c>
      <c r="AI8559">
        <v>264</v>
      </c>
      <c r="AK8559">
        <v>0</v>
      </c>
      <c r="AU8559" s="6">
        <v>42359</v>
      </c>
      <c r="AV8559" s="6">
        <v>42359</v>
      </c>
      <c r="AW8559" t="s">
        <v>54</v>
      </c>
      <c r="AX8559" t="str">
        <f t="shared" si="696"/>
        <v>FOR</v>
      </c>
      <c r="AY8559" t="s">
        <v>55</v>
      </c>
    </row>
    <row r="8560" spans="1:51">
      <c r="A8560">
        <v>106440</v>
      </c>
      <c r="B8560" t="s">
        <v>1414</v>
      </c>
      <c r="C8560" t="str">
        <f t="shared" si="700"/>
        <v>06912570964</v>
      </c>
      <c r="D8560" t="str">
        <f t="shared" si="700"/>
        <v>06912570964</v>
      </c>
      <c r="E8560" t="s">
        <v>52</v>
      </c>
      <c r="F8560">
        <v>2015</v>
      </c>
      <c r="G8560">
        <v>93261613</v>
      </c>
      <c r="H8560" s="1">
        <v>42248</v>
      </c>
      <c r="I8560" s="1">
        <v>42249</v>
      </c>
      <c r="J8560" s="1">
        <v>42248</v>
      </c>
      <c r="K8560" s="1">
        <v>42308</v>
      </c>
      <c r="L8560" s="7">
        <v>2320</v>
      </c>
      <c r="M8560" s="5">
        <v>51</v>
      </c>
      <c r="N8560" s="7">
        <v>118320</v>
      </c>
      <c r="O8560" s="2">
        <v>2320</v>
      </c>
      <c r="P8560">
        <v>51</v>
      </c>
      <c r="Q8560" s="2">
        <v>118320</v>
      </c>
      <c r="R8560">
        <v>510.4</v>
      </c>
      <c r="V8560">
        <v>0</v>
      </c>
      <c r="W8560">
        <v>0</v>
      </c>
      <c r="X8560">
        <v>0</v>
      </c>
      <c r="Y8560" s="2">
        <v>2830.4</v>
      </c>
      <c r="Z8560" s="2">
        <v>2830.4</v>
      </c>
      <c r="AA8560" s="2">
        <v>2830.4</v>
      </c>
      <c r="AB8560" s="1">
        <v>42382</v>
      </c>
      <c r="AC8560" t="s">
        <v>53</v>
      </c>
      <c r="AD8560" t="s">
        <v>53</v>
      </c>
      <c r="AG8560">
        <v>510.4</v>
      </c>
      <c r="AK8560">
        <v>0</v>
      </c>
      <c r="AU8560" s="6">
        <v>42359</v>
      </c>
      <c r="AV8560" s="6">
        <v>42359</v>
      </c>
      <c r="AW8560" t="s">
        <v>54</v>
      </c>
      <c r="AX8560" t="str">
        <f t="shared" si="696"/>
        <v>FOR</v>
      </c>
      <c r="AY8560" t="s">
        <v>55</v>
      </c>
    </row>
    <row r="8561" spans="1:51" hidden="1">
      <c r="A8561">
        <v>106443</v>
      </c>
      <c r="B8561" t="s">
        <v>1415</v>
      </c>
      <c r="C8561" t="str">
        <f>"03642300960"</f>
        <v>03642300960</v>
      </c>
      <c r="D8561" t="str">
        <f>"03642300960"</f>
        <v>03642300960</v>
      </c>
      <c r="E8561" t="s">
        <v>52</v>
      </c>
      <c r="F8561">
        <v>2014</v>
      </c>
      <c r="G8561">
        <v>301373</v>
      </c>
      <c r="H8561" s="1">
        <v>41774</v>
      </c>
      <c r="I8561" s="1">
        <v>41799</v>
      </c>
      <c r="J8561" s="1">
        <v>41799</v>
      </c>
      <c r="K8561" s="1">
        <v>41889</v>
      </c>
      <c r="N8561" s="5"/>
      <c r="O8561" s="2">
        <v>1079.7</v>
      </c>
      <c r="P8561">
        <v>207</v>
      </c>
      <c r="Q8561" s="2">
        <v>223497.9</v>
      </c>
      <c r="R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 s="1">
        <v>42382</v>
      </c>
      <c r="AC8561" t="s">
        <v>53</v>
      </c>
      <c r="AD8561" t="s">
        <v>53</v>
      </c>
      <c r="AK8561">
        <v>0</v>
      </c>
      <c r="AU8561" s="6">
        <v>42096</v>
      </c>
      <c r="AV8561" s="6">
        <v>42096</v>
      </c>
      <c r="AW8561" t="s">
        <v>54</v>
      </c>
      <c r="AX8561" t="str">
        <f t="shared" si="696"/>
        <v>FOR</v>
      </c>
      <c r="AY8561" t="s">
        <v>55</v>
      </c>
    </row>
    <row r="8562" spans="1:51" hidden="1">
      <c r="A8562">
        <v>106446</v>
      </c>
      <c r="B8562" t="s">
        <v>1416</v>
      </c>
      <c r="C8562" t="str">
        <f>"04373250655"</f>
        <v>04373250655</v>
      </c>
      <c r="D8562" t="str">
        <f>"FRNNCL76B28F912Z"</f>
        <v>FRNNCL76B28F912Z</v>
      </c>
      <c r="E8562" t="s">
        <v>52</v>
      </c>
      <c r="F8562">
        <v>2014</v>
      </c>
      <c r="G8562">
        <v>27</v>
      </c>
      <c r="H8562" s="1">
        <v>41827</v>
      </c>
      <c r="I8562" s="1">
        <v>41830</v>
      </c>
      <c r="J8562" s="1">
        <v>41830</v>
      </c>
      <c r="K8562" s="1">
        <v>41920</v>
      </c>
      <c r="N8562" s="5"/>
      <c r="O8562" s="2">
        <v>10980</v>
      </c>
      <c r="P8562">
        <v>174</v>
      </c>
      <c r="Q8562" s="2">
        <v>1910520</v>
      </c>
      <c r="R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 s="1">
        <v>42382</v>
      </c>
      <c r="AC8562" t="s">
        <v>53</v>
      </c>
      <c r="AD8562" t="s">
        <v>53</v>
      </c>
      <c r="AK8562">
        <v>0</v>
      </c>
      <c r="AU8562" s="6">
        <v>42094</v>
      </c>
      <c r="AV8562" s="6">
        <v>42094</v>
      </c>
      <c r="AW8562" t="s">
        <v>54</v>
      </c>
      <c r="AX8562" t="str">
        <f t="shared" si="696"/>
        <v>FOR</v>
      </c>
      <c r="AY8562" t="s">
        <v>55</v>
      </c>
    </row>
    <row r="8563" spans="1:51" hidden="1">
      <c r="A8563">
        <v>106447</v>
      </c>
      <c r="B8563" t="s">
        <v>1417</v>
      </c>
      <c r="C8563" t="str">
        <f>"02207200136"</f>
        <v>02207200136</v>
      </c>
      <c r="D8563" t="str">
        <f>"02207200136"</f>
        <v>02207200136</v>
      </c>
      <c r="E8563" t="s">
        <v>52</v>
      </c>
      <c r="F8563">
        <v>2014</v>
      </c>
      <c r="G8563">
        <v>496</v>
      </c>
      <c r="H8563" s="1">
        <v>41789</v>
      </c>
      <c r="I8563" s="1">
        <v>41806</v>
      </c>
      <c r="J8563" s="1">
        <v>41806</v>
      </c>
      <c r="K8563" s="1">
        <v>41896</v>
      </c>
      <c r="N8563" s="5"/>
      <c r="O8563" s="2">
        <v>2047.16</v>
      </c>
      <c r="P8563">
        <v>235</v>
      </c>
      <c r="Q8563" s="2">
        <v>481082.6</v>
      </c>
      <c r="R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 s="1">
        <v>42382</v>
      </c>
      <c r="AC8563" t="s">
        <v>53</v>
      </c>
      <c r="AD8563" t="s">
        <v>53</v>
      </c>
      <c r="AK8563">
        <v>0</v>
      </c>
      <c r="AU8563" s="6">
        <v>42131</v>
      </c>
      <c r="AV8563" s="6">
        <v>42131</v>
      </c>
      <c r="AW8563" t="s">
        <v>54</v>
      </c>
      <c r="AX8563" t="str">
        <f t="shared" si="696"/>
        <v>FOR</v>
      </c>
      <c r="AY8563" t="s">
        <v>55</v>
      </c>
    </row>
    <row r="8564" spans="1:51" hidden="1">
      <c r="A8564">
        <v>106447</v>
      </c>
      <c r="B8564" t="s">
        <v>1417</v>
      </c>
      <c r="C8564" t="str">
        <f>"02207200136"</f>
        <v>02207200136</v>
      </c>
      <c r="D8564" t="str">
        <f>"02207200136"</f>
        <v>02207200136</v>
      </c>
      <c r="E8564" t="s">
        <v>52</v>
      </c>
      <c r="F8564">
        <v>2014</v>
      </c>
      <c r="G8564">
        <v>794</v>
      </c>
      <c r="H8564" s="1">
        <v>41908</v>
      </c>
      <c r="I8564" s="1">
        <v>41920</v>
      </c>
      <c r="J8564" s="1">
        <v>41920</v>
      </c>
      <c r="K8564" s="1">
        <v>42010</v>
      </c>
      <c r="N8564" s="5"/>
      <c r="O8564" s="2">
        <v>1686.04</v>
      </c>
      <c r="P8564">
        <v>121</v>
      </c>
      <c r="Q8564" s="2">
        <v>204010.84</v>
      </c>
      <c r="R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 s="1">
        <v>42382</v>
      </c>
      <c r="AC8564" t="s">
        <v>53</v>
      </c>
      <c r="AD8564" t="s">
        <v>53</v>
      </c>
      <c r="AK8564">
        <v>0</v>
      </c>
      <c r="AU8564" s="6">
        <v>42131</v>
      </c>
      <c r="AV8564" s="6">
        <v>42131</v>
      </c>
      <c r="AW8564" t="s">
        <v>54</v>
      </c>
      <c r="AX8564" t="str">
        <f t="shared" si="696"/>
        <v>FOR</v>
      </c>
      <c r="AY8564" t="s">
        <v>55</v>
      </c>
    </row>
    <row r="8565" spans="1:51" hidden="1">
      <c r="A8565">
        <v>106456</v>
      </c>
      <c r="B8565" t="s">
        <v>1418</v>
      </c>
      <c r="C8565" t="str">
        <f t="shared" ref="C8565:D8568" si="701">"00556080109"</f>
        <v>00556080109</v>
      </c>
      <c r="D8565" t="str">
        <f t="shared" si="701"/>
        <v>00556080109</v>
      </c>
      <c r="E8565" t="s">
        <v>52</v>
      </c>
      <c r="F8565">
        <v>2014</v>
      </c>
      <c r="G8565">
        <v>20660</v>
      </c>
      <c r="H8565" s="1">
        <v>41907</v>
      </c>
      <c r="I8565" s="1">
        <v>41914</v>
      </c>
      <c r="J8565" s="1">
        <v>41914</v>
      </c>
      <c r="K8565" s="1">
        <v>42004</v>
      </c>
      <c r="N8565" s="5"/>
      <c r="O8565">
        <v>291.58</v>
      </c>
      <c r="P8565">
        <v>127</v>
      </c>
      <c r="Q8565" s="2">
        <v>37030.660000000003</v>
      </c>
      <c r="R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 s="1">
        <v>42382</v>
      </c>
      <c r="AC8565" t="s">
        <v>53</v>
      </c>
      <c r="AD8565" t="s">
        <v>53</v>
      </c>
      <c r="AK8565">
        <v>0</v>
      </c>
      <c r="AU8565" s="6">
        <v>42131</v>
      </c>
      <c r="AV8565" s="6">
        <v>42131</v>
      </c>
      <c r="AW8565" t="s">
        <v>54</v>
      </c>
      <c r="AX8565" t="str">
        <f t="shared" si="696"/>
        <v>FOR</v>
      </c>
      <c r="AY8565" t="s">
        <v>55</v>
      </c>
    </row>
    <row r="8566" spans="1:51" hidden="1">
      <c r="A8566">
        <v>106456</v>
      </c>
      <c r="B8566" t="s">
        <v>1418</v>
      </c>
      <c r="C8566" t="str">
        <f t="shared" si="701"/>
        <v>00556080109</v>
      </c>
      <c r="D8566" t="str">
        <f t="shared" si="701"/>
        <v>00556080109</v>
      </c>
      <c r="E8566" t="s">
        <v>52</v>
      </c>
      <c r="F8566">
        <v>2014</v>
      </c>
      <c r="G8566">
        <v>20737</v>
      </c>
      <c r="H8566" s="1">
        <v>41940</v>
      </c>
      <c r="I8566" s="1">
        <v>41950</v>
      </c>
      <c r="J8566" s="1">
        <v>41950</v>
      </c>
      <c r="K8566" s="1">
        <v>42010</v>
      </c>
      <c r="N8566" s="5"/>
      <c r="O8566" s="2">
        <v>2523.66</v>
      </c>
      <c r="P8566">
        <v>121</v>
      </c>
      <c r="Q8566" s="2">
        <v>305362.86</v>
      </c>
      <c r="R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 s="1">
        <v>42382</v>
      </c>
      <c r="AC8566" t="s">
        <v>53</v>
      </c>
      <c r="AD8566" t="s">
        <v>53</v>
      </c>
      <c r="AK8566">
        <v>0</v>
      </c>
      <c r="AU8566" s="6">
        <v>42131</v>
      </c>
      <c r="AV8566" s="6">
        <v>42131</v>
      </c>
      <c r="AW8566" t="s">
        <v>54</v>
      </c>
      <c r="AX8566" t="str">
        <f t="shared" si="696"/>
        <v>FOR</v>
      </c>
      <c r="AY8566" t="s">
        <v>55</v>
      </c>
    </row>
    <row r="8567" spans="1:51" hidden="1">
      <c r="A8567">
        <v>106456</v>
      </c>
      <c r="B8567" t="s">
        <v>1418</v>
      </c>
      <c r="C8567" t="str">
        <f t="shared" si="701"/>
        <v>00556080109</v>
      </c>
      <c r="D8567" t="str">
        <f t="shared" si="701"/>
        <v>00556080109</v>
      </c>
      <c r="E8567" t="s">
        <v>52</v>
      </c>
      <c r="F8567">
        <v>2014</v>
      </c>
      <c r="G8567">
        <v>20820</v>
      </c>
      <c r="H8567" s="1">
        <v>41977</v>
      </c>
      <c r="I8567" s="1">
        <v>41988</v>
      </c>
      <c r="J8567" s="1">
        <v>41988</v>
      </c>
      <c r="K8567" s="1">
        <v>42048</v>
      </c>
      <c r="N8567" s="5"/>
      <c r="O8567" s="2">
        <v>1091.05</v>
      </c>
      <c r="P8567">
        <v>83</v>
      </c>
      <c r="Q8567" s="2">
        <v>90557.15</v>
      </c>
      <c r="R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 s="1">
        <v>42382</v>
      </c>
      <c r="AC8567" t="s">
        <v>53</v>
      </c>
      <c r="AD8567" t="s">
        <v>53</v>
      </c>
      <c r="AK8567">
        <v>0</v>
      </c>
      <c r="AU8567" s="6">
        <v>42131</v>
      </c>
      <c r="AV8567" s="6">
        <v>42131</v>
      </c>
      <c r="AW8567" t="s">
        <v>54</v>
      </c>
      <c r="AX8567" t="str">
        <f t="shared" si="696"/>
        <v>FOR</v>
      </c>
      <c r="AY8567" t="s">
        <v>55</v>
      </c>
    </row>
    <row r="8568" spans="1:51" hidden="1">
      <c r="A8568">
        <v>106456</v>
      </c>
      <c r="B8568" t="s">
        <v>1418</v>
      </c>
      <c r="C8568" t="str">
        <f t="shared" si="701"/>
        <v>00556080109</v>
      </c>
      <c r="D8568" t="str">
        <f t="shared" si="701"/>
        <v>00556080109</v>
      </c>
      <c r="E8568" t="s">
        <v>52</v>
      </c>
      <c r="F8568">
        <v>2014</v>
      </c>
      <c r="G8568">
        <v>20862</v>
      </c>
      <c r="H8568" s="1">
        <v>41996</v>
      </c>
      <c r="I8568" s="1">
        <v>42004</v>
      </c>
      <c r="J8568" s="1">
        <v>42004</v>
      </c>
      <c r="K8568" s="1">
        <v>42064</v>
      </c>
      <c r="N8568" s="5"/>
      <c r="O8568">
        <v>709.5</v>
      </c>
      <c r="P8568">
        <v>67</v>
      </c>
      <c r="Q8568" s="2">
        <v>47536.5</v>
      </c>
      <c r="R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 s="1">
        <v>42382</v>
      </c>
      <c r="AC8568" t="s">
        <v>53</v>
      </c>
      <c r="AD8568" t="s">
        <v>53</v>
      </c>
      <c r="AK8568">
        <v>0</v>
      </c>
      <c r="AU8568" s="6">
        <v>42131</v>
      </c>
      <c r="AV8568" s="6">
        <v>42131</v>
      </c>
      <c r="AW8568" t="s">
        <v>54</v>
      </c>
      <c r="AX8568" t="str">
        <f t="shared" si="696"/>
        <v>FOR</v>
      </c>
      <c r="AY8568" t="s">
        <v>55</v>
      </c>
    </row>
    <row r="8569" spans="1:51" hidden="1">
      <c r="A8569">
        <v>106459</v>
      </c>
      <c r="B8569" t="s">
        <v>1419</v>
      </c>
      <c r="C8569" t="str">
        <f>"01628270611"</f>
        <v>01628270611</v>
      </c>
      <c r="D8569" t="str">
        <f>"01628270611"</f>
        <v>01628270611</v>
      </c>
      <c r="E8569" t="s">
        <v>52</v>
      </c>
      <c r="F8569">
        <v>2014</v>
      </c>
      <c r="G8569">
        <v>80</v>
      </c>
      <c r="H8569" s="1">
        <v>41758</v>
      </c>
      <c r="I8569" s="1">
        <v>41836</v>
      </c>
      <c r="J8569" s="1">
        <v>41836</v>
      </c>
      <c r="K8569" s="1">
        <v>41926</v>
      </c>
      <c r="N8569" s="5"/>
      <c r="O8569" s="2">
        <v>1500</v>
      </c>
      <c r="P8569">
        <v>198</v>
      </c>
      <c r="Q8569" s="2">
        <v>297000</v>
      </c>
      <c r="R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 s="1">
        <v>42382</v>
      </c>
      <c r="AC8569" t="s">
        <v>53</v>
      </c>
      <c r="AD8569" t="s">
        <v>53</v>
      </c>
      <c r="AK8569">
        <v>0</v>
      </c>
      <c r="AU8569" s="6">
        <v>42124</v>
      </c>
      <c r="AV8569" s="6">
        <v>42124</v>
      </c>
      <c r="AW8569" t="s">
        <v>54</v>
      </c>
      <c r="AX8569" t="str">
        <f t="shared" si="696"/>
        <v>FOR</v>
      </c>
      <c r="AY8569" t="s">
        <v>55</v>
      </c>
    </row>
    <row r="8570" spans="1:51" hidden="1">
      <c r="A8570">
        <v>106460</v>
      </c>
      <c r="B8570" t="s">
        <v>1420</v>
      </c>
      <c r="C8570" t="str">
        <f>"01864740129"</f>
        <v>01864740129</v>
      </c>
      <c r="D8570" t="str">
        <f>"01864740129"</f>
        <v>01864740129</v>
      </c>
      <c r="E8570" t="s">
        <v>52</v>
      </c>
      <c r="F8570">
        <v>2014</v>
      </c>
      <c r="G8570">
        <v>1615</v>
      </c>
      <c r="H8570" s="1">
        <v>41844</v>
      </c>
      <c r="I8570" s="1">
        <v>41995</v>
      </c>
      <c r="J8570" s="1">
        <v>41995</v>
      </c>
      <c r="K8570" s="1">
        <v>42055</v>
      </c>
      <c r="N8570" s="5"/>
      <c r="O8570">
        <v>742.98</v>
      </c>
      <c r="P8570">
        <v>104</v>
      </c>
      <c r="Q8570" s="2">
        <v>77269.919999999998</v>
      </c>
      <c r="R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 s="1">
        <v>42382</v>
      </c>
      <c r="AC8570" t="s">
        <v>53</v>
      </c>
      <c r="AD8570" t="s">
        <v>53</v>
      </c>
      <c r="AK8570">
        <v>0</v>
      </c>
      <c r="AU8570" s="6">
        <v>42159</v>
      </c>
      <c r="AV8570" s="6">
        <v>42159</v>
      </c>
      <c r="AW8570" t="s">
        <v>54</v>
      </c>
      <c r="AX8570" t="str">
        <f t="shared" si="696"/>
        <v>FOR</v>
      </c>
      <c r="AY8570" t="s">
        <v>55</v>
      </c>
    </row>
    <row r="8571" spans="1:51">
      <c r="A8571">
        <v>106460</v>
      </c>
      <c r="B8571" t="s">
        <v>1420</v>
      </c>
      <c r="C8571" t="str">
        <f>"01864740129"</f>
        <v>01864740129</v>
      </c>
      <c r="D8571" t="str">
        <f>"01864740129"</f>
        <v>01864740129</v>
      </c>
      <c r="E8571" t="s">
        <v>52</v>
      </c>
      <c r="F8571">
        <v>2014</v>
      </c>
      <c r="G8571">
        <v>2361</v>
      </c>
      <c r="H8571" s="1">
        <v>41941</v>
      </c>
      <c r="I8571" s="1">
        <v>42251</v>
      </c>
      <c r="J8571" s="1">
        <v>42251</v>
      </c>
      <c r="K8571" s="1">
        <v>42311</v>
      </c>
      <c r="L8571" s="7">
        <v>530.70000000000005</v>
      </c>
      <c r="M8571" s="5">
        <v>-29</v>
      </c>
      <c r="N8571" s="7">
        <v>-15390.3</v>
      </c>
      <c r="O8571">
        <v>530.70000000000005</v>
      </c>
      <c r="P8571">
        <v>-29</v>
      </c>
      <c r="Q8571" s="2">
        <v>-15390.3</v>
      </c>
      <c r="R8571">
        <v>0</v>
      </c>
      <c r="V8571">
        <v>0</v>
      </c>
      <c r="W8571">
        <v>0</v>
      </c>
      <c r="X8571">
        <v>0</v>
      </c>
      <c r="Y8571">
        <v>0</v>
      </c>
      <c r="Z8571">
        <v>530.70000000000005</v>
      </c>
      <c r="AA8571">
        <v>0</v>
      </c>
      <c r="AB8571" s="1">
        <v>42382</v>
      </c>
      <c r="AC8571" t="s">
        <v>53</v>
      </c>
      <c r="AD8571" t="s">
        <v>53</v>
      </c>
      <c r="AK8571">
        <v>0</v>
      </c>
      <c r="AU8571" s="6">
        <v>42282</v>
      </c>
      <c r="AV8571" s="6">
        <v>42282</v>
      </c>
      <c r="AW8571" t="s">
        <v>54</v>
      </c>
      <c r="AX8571" t="str">
        <f t="shared" si="696"/>
        <v>FOR</v>
      </c>
      <c r="AY8571" t="s">
        <v>55</v>
      </c>
    </row>
    <row r="8572" spans="1:51" hidden="1">
      <c r="A8572">
        <v>106468</v>
      </c>
      <c r="B8572" t="s">
        <v>1421</v>
      </c>
      <c r="C8572" t="str">
        <f t="shared" ref="C8572:D8574" si="702">"07535061217"</f>
        <v>07535061217</v>
      </c>
      <c r="D8572" t="str">
        <f t="shared" si="702"/>
        <v>07535061217</v>
      </c>
      <c r="E8572" t="s">
        <v>52</v>
      </c>
      <c r="F8572">
        <v>2014</v>
      </c>
      <c r="G8572">
        <v>12</v>
      </c>
      <c r="H8572" s="1">
        <v>41885</v>
      </c>
      <c r="I8572" s="1">
        <v>41890</v>
      </c>
      <c r="J8572" s="1">
        <v>41890</v>
      </c>
      <c r="K8572" s="1">
        <v>41980</v>
      </c>
      <c r="N8572" s="5"/>
      <c r="O8572" s="2">
        <v>19983.599999999999</v>
      </c>
      <c r="P8572">
        <v>115</v>
      </c>
      <c r="Q8572" s="2">
        <v>2298114</v>
      </c>
      <c r="R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 s="1">
        <v>42382</v>
      </c>
      <c r="AC8572" t="s">
        <v>53</v>
      </c>
      <c r="AD8572" t="s">
        <v>53</v>
      </c>
      <c r="AK8572">
        <v>0</v>
      </c>
      <c r="AU8572" s="6">
        <v>42095</v>
      </c>
      <c r="AV8572" s="6">
        <v>42095</v>
      </c>
      <c r="AW8572" t="s">
        <v>54</v>
      </c>
      <c r="AX8572" t="str">
        <f t="shared" si="696"/>
        <v>FOR</v>
      </c>
      <c r="AY8572" t="s">
        <v>55</v>
      </c>
    </row>
    <row r="8573" spans="1:51" hidden="1">
      <c r="A8573">
        <v>106468</v>
      </c>
      <c r="B8573" t="s">
        <v>1421</v>
      </c>
      <c r="C8573" t="str">
        <f t="shared" si="702"/>
        <v>07535061217</v>
      </c>
      <c r="D8573" t="str">
        <f t="shared" si="702"/>
        <v>07535061217</v>
      </c>
      <c r="E8573" t="s">
        <v>52</v>
      </c>
      <c r="F8573">
        <v>2014</v>
      </c>
      <c r="G8573">
        <v>16</v>
      </c>
      <c r="H8573" s="1">
        <v>41928</v>
      </c>
      <c r="I8573" s="1">
        <v>41932</v>
      </c>
      <c r="J8573" s="1">
        <v>41932</v>
      </c>
      <c r="K8573" s="1">
        <v>41992</v>
      </c>
      <c r="N8573" s="5"/>
      <c r="O8573" s="2">
        <v>18775.8</v>
      </c>
      <c r="P8573">
        <v>171</v>
      </c>
      <c r="Q8573" s="2">
        <v>3210661.8</v>
      </c>
      <c r="R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 s="1">
        <v>42382</v>
      </c>
      <c r="AC8573" t="s">
        <v>53</v>
      </c>
      <c r="AD8573" t="s">
        <v>53</v>
      </c>
      <c r="AK8573">
        <v>0</v>
      </c>
      <c r="AU8573" s="6">
        <v>42163</v>
      </c>
      <c r="AV8573" s="6">
        <v>42163</v>
      </c>
      <c r="AW8573" t="s">
        <v>54</v>
      </c>
      <c r="AX8573" t="str">
        <f t="shared" si="696"/>
        <v>FOR</v>
      </c>
      <c r="AY8573" t="s">
        <v>55</v>
      </c>
    </row>
    <row r="8574" spans="1:51" hidden="1">
      <c r="A8574">
        <v>106468</v>
      </c>
      <c r="B8574" t="s">
        <v>1421</v>
      </c>
      <c r="C8574" t="str">
        <f t="shared" si="702"/>
        <v>07535061217</v>
      </c>
      <c r="D8574" t="str">
        <f t="shared" si="702"/>
        <v>07535061217</v>
      </c>
      <c r="E8574" t="s">
        <v>52</v>
      </c>
      <c r="F8574">
        <v>2014</v>
      </c>
      <c r="G8574">
        <v>18</v>
      </c>
      <c r="H8574" s="1">
        <v>41995</v>
      </c>
      <c r="I8574" s="1">
        <v>41996</v>
      </c>
      <c r="J8574" s="1">
        <v>41996</v>
      </c>
      <c r="K8574" s="1">
        <v>42056</v>
      </c>
      <c r="N8574" s="5"/>
      <c r="O8574" s="2">
        <v>48678</v>
      </c>
      <c r="P8574">
        <v>194</v>
      </c>
      <c r="Q8574" s="2">
        <v>9443532</v>
      </c>
      <c r="R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 s="1">
        <v>42382</v>
      </c>
      <c r="AC8574" t="s">
        <v>53</v>
      </c>
      <c r="AD8574" t="s">
        <v>53</v>
      </c>
      <c r="AK8574">
        <v>0</v>
      </c>
      <c r="AU8574" s="6">
        <v>42250</v>
      </c>
      <c r="AV8574" s="6">
        <v>42250</v>
      </c>
      <c r="AW8574" t="s">
        <v>54</v>
      </c>
      <c r="AX8574" t="str">
        <f t="shared" si="696"/>
        <v>FOR</v>
      </c>
      <c r="AY8574" t="s">
        <v>55</v>
      </c>
    </row>
    <row r="8575" spans="1:51" hidden="1">
      <c r="A8575">
        <v>106469</v>
      </c>
      <c r="B8575" t="s">
        <v>1422</v>
      </c>
      <c r="C8575" t="str">
        <f>""</f>
        <v/>
      </c>
      <c r="D8575" t="str">
        <f>"BCCMRN84M65A783C"</f>
        <v>BCCMRN84M65A783C</v>
      </c>
      <c r="E8575" t="s">
        <v>52</v>
      </c>
      <c r="F8575">
        <v>2015</v>
      </c>
      <c r="G8575">
        <v>15</v>
      </c>
      <c r="H8575" s="1">
        <v>42034</v>
      </c>
      <c r="I8575" s="1">
        <v>42034</v>
      </c>
      <c r="J8575" s="1">
        <v>42034</v>
      </c>
      <c r="K8575" s="1">
        <v>42094</v>
      </c>
      <c r="N8575" s="5"/>
      <c r="O8575" s="2">
        <v>1000</v>
      </c>
      <c r="P8575">
        <v>-60</v>
      </c>
      <c r="Q8575" s="2">
        <v>-60000</v>
      </c>
      <c r="R8575">
        <v>0</v>
      </c>
      <c r="V8575">
        <v>0</v>
      </c>
      <c r="W8575">
        <v>0</v>
      </c>
      <c r="X8575">
        <v>0</v>
      </c>
      <c r="Y8575" s="2">
        <v>1000</v>
      </c>
      <c r="Z8575" s="2">
        <v>1000</v>
      </c>
      <c r="AA8575" s="2">
        <v>1000</v>
      </c>
      <c r="AB8575" s="1">
        <v>42382</v>
      </c>
      <c r="AC8575" t="s">
        <v>53</v>
      </c>
      <c r="AD8575" t="s">
        <v>53</v>
      </c>
      <c r="AK8575">
        <v>0</v>
      </c>
      <c r="AU8575" s="6">
        <v>42034</v>
      </c>
      <c r="AV8575" s="6">
        <v>42034</v>
      </c>
      <c r="AW8575" t="s">
        <v>54</v>
      </c>
      <c r="AX8575" t="str">
        <f t="shared" si="696"/>
        <v>FOR</v>
      </c>
      <c r="AY8575" t="s">
        <v>55</v>
      </c>
    </row>
    <row r="8576" spans="1:51" hidden="1">
      <c r="A8576">
        <v>106485</v>
      </c>
      <c r="B8576" t="s">
        <v>1423</v>
      </c>
      <c r="C8576" t="str">
        <f>"06315210960"</f>
        <v>06315210960</v>
      </c>
      <c r="D8576" t="str">
        <f>"06315210960"</f>
        <v>06315210960</v>
      </c>
      <c r="E8576" t="s">
        <v>52</v>
      </c>
      <c r="F8576">
        <v>2014</v>
      </c>
      <c r="G8576">
        <v>100075</v>
      </c>
      <c r="H8576" s="1">
        <v>41920</v>
      </c>
      <c r="I8576" s="1">
        <v>41932</v>
      </c>
      <c r="J8576" s="1">
        <v>41932</v>
      </c>
      <c r="K8576" s="1">
        <v>41992</v>
      </c>
      <c r="N8576" s="5"/>
      <c r="O8576" s="2">
        <v>3157.36</v>
      </c>
      <c r="P8576">
        <v>199</v>
      </c>
      <c r="Q8576" s="2">
        <v>628314.64</v>
      </c>
      <c r="R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 s="1">
        <v>42382</v>
      </c>
      <c r="AC8576" t="s">
        <v>53</v>
      </c>
      <c r="AD8576" t="s">
        <v>53</v>
      </c>
      <c r="AK8576">
        <v>0</v>
      </c>
      <c r="AU8576" s="6">
        <v>42191</v>
      </c>
      <c r="AV8576" s="6">
        <v>42191</v>
      </c>
      <c r="AW8576" t="s">
        <v>54</v>
      </c>
      <c r="AX8576" t="str">
        <f t="shared" si="696"/>
        <v>FOR</v>
      </c>
      <c r="AY8576" t="s">
        <v>55</v>
      </c>
    </row>
    <row r="8577" spans="1:51" hidden="1">
      <c r="A8577">
        <v>106488</v>
      </c>
      <c r="B8577" t="s">
        <v>1424</v>
      </c>
      <c r="C8577" t="str">
        <f>""</f>
        <v/>
      </c>
      <c r="D8577" t="str">
        <f>""</f>
        <v/>
      </c>
      <c r="E8577" t="s">
        <v>52</v>
      </c>
      <c r="F8577">
        <v>2014</v>
      </c>
      <c r="G8577">
        <v>56042356</v>
      </c>
      <c r="H8577" s="1">
        <v>41962</v>
      </c>
      <c r="I8577" s="1">
        <v>42004</v>
      </c>
      <c r="J8577" s="1">
        <v>42004</v>
      </c>
      <c r="K8577" s="1">
        <v>42064</v>
      </c>
      <c r="N8577" s="5"/>
      <c r="O8577" s="2">
        <v>1092</v>
      </c>
      <c r="P8577">
        <v>212</v>
      </c>
      <c r="Q8577" s="2">
        <v>231504</v>
      </c>
      <c r="R8577">
        <v>21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 s="1">
        <v>42382</v>
      </c>
      <c r="AC8577" t="s">
        <v>53</v>
      </c>
      <c r="AD8577" t="s">
        <v>53</v>
      </c>
      <c r="AK8577">
        <v>21</v>
      </c>
      <c r="AU8577" s="6">
        <v>42276</v>
      </c>
      <c r="AV8577" s="6">
        <v>42276</v>
      </c>
      <c r="AW8577" t="s">
        <v>54</v>
      </c>
      <c r="AX8577" t="str">
        <f t="shared" si="696"/>
        <v>FOR</v>
      </c>
      <c r="AY8577" t="s">
        <v>55</v>
      </c>
    </row>
    <row r="8578" spans="1:51" hidden="1">
      <c r="A8578">
        <v>106488</v>
      </c>
      <c r="B8578" t="s">
        <v>1424</v>
      </c>
      <c r="C8578" t="str">
        <f>""</f>
        <v/>
      </c>
      <c r="D8578" t="str">
        <f>""</f>
        <v/>
      </c>
      <c r="E8578" t="s">
        <v>52</v>
      </c>
      <c r="F8578">
        <v>2014</v>
      </c>
      <c r="G8578">
        <v>56042491</v>
      </c>
      <c r="H8578" s="1">
        <v>41983</v>
      </c>
      <c r="I8578" s="1">
        <v>42004</v>
      </c>
      <c r="J8578" s="1">
        <v>42004</v>
      </c>
      <c r="K8578" s="1">
        <v>42064</v>
      </c>
      <c r="N8578" s="5"/>
      <c r="O8578" s="2">
        <v>1092</v>
      </c>
      <c r="P8578">
        <v>212</v>
      </c>
      <c r="Q8578" s="2">
        <v>231504</v>
      </c>
      <c r="R8578">
        <v>21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 s="1">
        <v>42382</v>
      </c>
      <c r="AC8578" t="s">
        <v>53</v>
      </c>
      <c r="AD8578" t="s">
        <v>53</v>
      </c>
      <c r="AK8578">
        <v>21</v>
      </c>
      <c r="AU8578" s="6">
        <v>42276</v>
      </c>
      <c r="AV8578" s="6">
        <v>42276</v>
      </c>
      <c r="AW8578" t="s">
        <v>54</v>
      </c>
      <c r="AX8578" t="str">
        <f t="shared" si="696"/>
        <v>FOR</v>
      </c>
      <c r="AY8578" t="s">
        <v>55</v>
      </c>
    </row>
    <row r="8579" spans="1:51" hidden="1">
      <c r="A8579">
        <v>106488</v>
      </c>
      <c r="B8579" t="s">
        <v>1424</v>
      </c>
      <c r="C8579" t="str">
        <f>""</f>
        <v/>
      </c>
      <c r="D8579" t="str">
        <f>""</f>
        <v/>
      </c>
      <c r="E8579" t="s">
        <v>52</v>
      </c>
      <c r="F8579">
        <v>2014</v>
      </c>
      <c r="G8579">
        <v>56042589</v>
      </c>
      <c r="H8579" s="1">
        <v>41996</v>
      </c>
      <c r="I8579" s="1">
        <v>42004</v>
      </c>
      <c r="J8579" s="1">
        <v>42004</v>
      </c>
      <c r="K8579" s="1">
        <v>42064</v>
      </c>
      <c r="N8579" s="5"/>
      <c r="O8579" s="2">
        <v>1092</v>
      </c>
      <c r="P8579">
        <v>212</v>
      </c>
      <c r="Q8579" s="2">
        <v>231504</v>
      </c>
      <c r="R8579">
        <v>21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 s="1">
        <v>42382</v>
      </c>
      <c r="AC8579" t="s">
        <v>53</v>
      </c>
      <c r="AD8579" t="s">
        <v>53</v>
      </c>
      <c r="AK8579">
        <v>21</v>
      </c>
      <c r="AU8579" s="6">
        <v>42276</v>
      </c>
      <c r="AV8579" s="6">
        <v>42276</v>
      </c>
      <c r="AW8579" t="s">
        <v>54</v>
      </c>
      <c r="AX8579" t="str">
        <f t="shared" ref="AX8579:AX8642" si="703">"FOR"</f>
        <v>FOR</v>
      </c>
      <c r="AY8579" t="s">
        <v>55</v>
      </c>
    </row>
    <row r="8580" spans="1:51">
      <c r="A8580">
        <v>106489</v>
      </c>
      <c r="B8580" t="s">
        <v>1425</v>
      </c>
      <c r="C8580" t="str">
        <f t="shared" ref="C8580:D8590" si="704">"08592930963"</f>
        <v>08592930963</v>
      </c>
      <c r="D8580" t="str">
        <f t="shared" si="704"/>
        <v>08592930963</v>
      </c>
      <c r="E8580" t="s">
        <v>52</v>
      </c>
      <c r="F8580">
        <v>2014</v>
      </c>
      <c r="G8580">
        <v>14802902</v>
      </c>
      <c r="H8580" s="1">
        <v>41858</v>
      </c>
      <c r="I8580" s="1">
        <v>41891</v>
      </c>
      <c r="J8580" s="1">
        <v>41891</v>
      </c>
      <c r="K8580" s="1">
        <v>41981</v>
      </c>
      <c r="L8580" s="7">
        <v>22577.95</v>
      </c>
      <c r="M8580" s="5">
        <v>358</v>
      </c>
      <c r="N8580" s="7">
        <v>8082906.0999999996</v>
      </c>
      <c r="O8580" s="2">
        <v>22577.95</v>
      </c>
      <c r="P8580">
        <v>358</v>
      </c>
      <c r="Q8580" s="2">
        <v>8082906.0999999996</v>
      </c>
      <c r="R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 s="1">
        <v>42382</v>
      </c>
      <c r="AC8580" t="s">
        <v>53</v>
      </c>
      <c r="AD8580" t="s">
        <v>53</v>
      </c>
      <c r="AK8580">
        <v>0</v>
      </c>
      <c r="AU8580" s="6">
        <v>42339</v>
      </c>
      <c r="AV8580" s="6">
        <v>42339</v>
      </c>
      <c r="AW8580" t="s">
        <v>54</v>
      </c>
      <c r="AX8580" t="str">
        <f t="shared" si="703"/>
        <v>FOR</v>
      </c>
      <c r="AY8580" t="s">
        <v>55</v>
      </c>
    </row>
    <row r="8581" spans="1:51">
      <c r="A8581">
        <v>106489</v>
      </c>
      <c r="B8581" t="s">
        <v>1425</v>
      </c>
      <c r="C8581" t="str">
        <f t="shared" si="704"/>
        <v>08592930963</v>
      </c>
      <c r="D8581" t="str">
        <f t="shared" si="704"/>
        <v>08592930963</v>
      </c>
      <c r="E8581" t="s">
        <v>52</v>
      </c>
      <c r="F8581">
        <v>2014</v>
      </c>
      <c r="G8581">
        <v>14802987</v>
      </c>
      <c r="H8581" s="1">
        <v>41863</v>
      </c>
      <c r="I8581" s="1">
        <v>41921</v>
      </c>
      <c r="J8581" s="1">
        <v>41921</v>
      </c>
      <c r="K8581" s="1">
        <v>42011</v>
      </c>
      <c r="L8581" s="7">
        <v>2689.86</v>
      </c>
      <c r="M8581" s="5">
        <v>328</v>
      </c>
      <c r="N8581" s="7">
        <v>882274.08</v>
      </c>
      <c r="O8581" s="2">
        <v>2689.86</v>
      </c>
      <c r="P8581">
        <v>328</v>
      </c>
      <c r="Q8581" s="2">
        <v>882274.08</v>
      </c>
      <c r="R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 s="1">
        <v>42382</v>
      </c>
      <c r="AC8581" t="s">
        <v>53</v>
      </c>
      <c r="AD8581" t="s">
        <v>53</v>
      </c>
      <c r="AK8581">
        <v>0</v>
      </c>
      <c r="AU8581" s="6">
        <v>42339</v>
      </c>
      <c r="AV8581" s="6">
        <v>42339</v>
      </c>
      <c r="AW8581" t="s">
        <v>54</v>
      </c>
      <c r="AX8581" t="str">
        <f t="shared" si="703"/>
        <v>FOR</v>
      </c>
      <c r="AY8581" t="s">
        <v>55</v>
      </c>
    </row>
    <row r="8582" spans="1:51">
      <c r="A8582">
        <v>106489</v>
      </c>
      <c r="B8582" t="s">
        <v>1425</v>
      </c>
      <c r="C8582" t="str">
        <f t="shared" si="704"/>
        <v>08592930963</v>
      </c>
      <c r="D8582" t="str">
        <f t="shared" si="704"/>
        <v>08592930963</v>
      </c>
      <c r="E8582" t="s">
        <v>52</v>
      </c>
      <c r="F8582">
        <v>2014</v>
      </c>
      <c r="G8582">
        <v>14803142</v>
      </c>
      <c r="H8582" s="1">
        <v>41869</v>
      </c>
      <c r="I8582" s="1">
        <v>41921</v>
      </c>
      <c r="J8582" s="1">
        <v>41921</v>
      </c>
      <c r="K8582" s="1">
        <v>42011</v>
      </c>
      <c r="L8582" s="7">
        <v>11041</v>
      </c>
      <c r="M8582" s="5">
        <v>328</v>
      </c>
      <c r="N8582" s="7">
        <v>3621448</v>
      </c>
      <c r="O8582" s="2">
        <v>11041</v>
      </c>
      <c r="P8582">
        <v>328</v>
      </c>
      <c r="Q8582" s="2">
        <v>3621448</v>
      </c>
      <c r="R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 s="1">
        <v>42382</v>
      </c>
      <c r="AC8582" t="s">
        <v>53</v>
      </c>
      <c r="AD8582" t="s">
        <v>53</v>
      </c>
      <c r="AK8582">
        <v>0</v>
      </c>
      <c r="AU8582" s="6">
        <v>42339</v>
      </c>
      <c r="AV8582" s="6">
        <v>42339</v>
      </c>
      <c r="AW8582" t="s">
        <v>54</v>
      </c>
      <c r="AX8582" t="str">
        <f t="shared" si="703"/>
        <v>FOR</v>
      </c>
      <c r="AY8582" t="s">
        <v>55</v>
      </c>
    </row>
    <row r="8583" spans="1:51" hidden="1">
      <c r="A8583">
        <v>106489</v>
      </c>
      <c r="B8583" t="s">
        <v>1425</v>
      </c>
      <c r="C8583" t="str">
        <f t="shared" si="704"/>
        <v>08592930963</v>
      </c>
      <c r="D8583" t="str">
        <f t="shared" si="704"/>
        <v>08592930963</v>
      </c>
      <c r="E8583" t="s">
        <v>52</v>
      </c>
      <c r="F8583">
        <v>2014</v>
      </c>
      <c r="G8583">
        <v>14805291</v>
      </c>
      <c r="H8583" s="1">
        <v>41901</v>
      </c>
      <c r="I8583" s="1">
        <v>41919</v>
      </c>
      <c r="J8583" s="1">
        <v>41919</v>
      </c>
      <c r="K8583" s="1">
        <v>42009</v>
      </c>
      <c r="N8583" s="5"/>
      <c r="O8583" s="2">
        <v>8539.99</v>
      </c>
      <c r="P8583">
        <v>240</v>
      </c>
      <c r="Q8583" s="2">
        <v>2049597.6</v>
      </c>
      <c r="R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 s="1">
        <v>42382</v>
      </c>
      <c r="AC8583" t="s">
        <v>53</v>
      </c>
      <c r="AD8583" t="s">
        <v>53</v>
      </c>
      <c r="AK8583">
        <v>0</v>
      </c>
      <c r="AU8583" s="6">
        <v>42249</v>
      </c>
      <c r="AV8583" s="6">
        <v>42249</v>
      </c>
      <c r="AW8583" t="s">
        <v>54</v>
      </c>
      <c r="AX8583" t="str">
        <f t="shared" si="703"/>
        <v>FOR</v>
      </c>
      <c r="AY8583" t="s">
        <v>55</v>
      </c>
    </row>
    <row r="8584" spans="1:51">
      <c r="A8584">
        <v>106489</v>
      </c>
      <c r="B8584" t="s">
        <v>1425</v>
      </c>
      <c r="C8584" t="str">
        <f t="shared" si="704"/>
        <v>08592930963</v>
      </c>
      <c r="D8584" t="str">
        <f t="shared" si="704"/>
        <v>08592930963</v>
      </c>
      <c r="E8584" t="s">
        <v>52</v>
      </c>
      <c r="F8584">
        <v>2014</v>
      </c>
      <c r="G8584">
        <v>14809220</v>
      </c>
      <c r="H8584" s="1">
        <v>41957</v>
      </c>
      <c r="I8584" s="1">
        <v>41974</v>
      </c>
      <c r="J8584" s="1">
        <v>41974</v>
      </c>
      <c r="K8584" s="1">
        <v>42034</v>
      </c>
      <c r="L8584" s="7">
        <v>1315.6</v>
      </c>
      <c r="M8584" s="5">
        <v>270</v>
      </c>
      <c r="N8584" s="7">
        <v>355212</v>
      </c>
      <c r="O8584" s="2">
        <v>1315.6</v>
      </c>
      <c r="P8584">
        <v>270</v>
      </c>
      <c r="Q8584" s="2">
        <v>355212</v>
      </c>
      <c r="R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 s="1">
        <v>42382</v>
      </c>
      <c r="AC8584" t="s">
        <v>53</v>
      </c>
      <c r="AD8584" t="s">
        <v>53</v>
      </c>
      <c r="AK8584">
        <v>0</v>
      </c>
      <c r="AU8584" s="6">
        <v>42304</v>
      </c>
      <c r="AV8584" s="6">
        <v>42304</v>
      </c>
      <c r="AW8584" t="s">
        <v>54</v>
      </c>
      <c r="AX8584" t="str">
        <f t="shared" si="703"/>
        <v>FOR</v>
      </c>
      <c r="AY8584" t="s">
        <v>55</v>
      </c>
    </row>
    <row r="8585" spans="1:51">
      <c r="A8585">
        <v>106489</v>
      </c>
      <c r="B8585" t="s">
        <v>1425</v>
      </c>
      <c r="C8585" t="str">
        <f t="shared" si="704"/>
        <v>08592930963</v>
      </c>
      <c r="D8585" t="str">
        <f t="shared" si="704"/>
        <v>08592930963</v>
      </c>
      <c r="E8585" t="s">
        <v>52</v>
      </c>
      <c r="F8585">
        <v>2014</v>
      </c>
      <c r="G8585">
        <v>14809429</v>
      </c>
      <c r="H8585" s="1">
        <v>41963</v>
      </c>
      <c r="I8585" s="1">
        <v>41978</v>
      </c>
      <c r="J8585" s="1">
        <v>41978</v>
      </c>
      <c r="K8585" s="1">
        <v>42038</v>
      </c>
      <c r="L8585" s="7">
        <v>2638.08</v>
      </c>
      <c r="M8585" s="5">
        <v>266</v>
      </c>
      <c r="N8585" s="7">
        <v>701729.28000000003</v>
      </c>
      <c r="O8585" s="2">
        <v>2638.08</v>
      </c>
      <c r="P8585">
        <v>266</v>
      </c>
      <c r="Q8585" s="2">
        <v>701729.28000000003</v>
      </c>
      <c r="R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 s="1">
        <v>42382</v>
      </c>
      <c r="AC8585" t="s">
        <v>53</v>
      </c>
      <c r="AD8585" t="s">
        <v>53</v>
      </c>
      <c r="AK8585">
        <v>0</v>
      </c>
      <c r="AU8585" s="6">
        <v>42304</v>
      </c>
      <c r="AV8585" s="6">
        <v>42304</v>
      </c>
      <c r="AW8585" t="s">
        <v>54</v>
      </c>
      <c r="AX8585" t="str">
        <f t="shared" si="703"/>
        <v>FOR</v>
      </c>
      <c r="AY8585" t="s">
        <v>55</v>
      </c>
    </row>
    <row r="8586" spans="1:51">
      <c r="A8586">
        <v>106489</v>
      </c>
      <c r="B8586" t="s">
        <v>1425</v>
      </c>
      <c r="C8586" t="str">
        <f t="shared" si="704"/>
        <v>08592930963</v>
      </c>
      <c r="D8586" t="str">
        <f t="shared" si="704"/>
        <v>08592930963</v>
      </c>
      <c r="E8586" t="s">
        <v>52</v>
      </c>
      <c r="F8586">
        <v>2014</v>
      </c>
      <c r="G8586">
        <v>14809917</v>
      </c>
      <c r="H8586" s="1">
        <v>41969</v>
      </c>
      <c r="I8586" s="1">
        <v>41978</v>
      </c>
      <c r="J8586" s="1">
        <v>41978</v>
      </c>
      <c r="K8586" s="1">
        <v>42038</v>
      </c>
      <c r="L8586" s="7">
        <v>672.46</v>
      </c>
      <c r="M8586" s="5">
        <v>266</v>
      </c>
      <c r="N8586" s="7">
        <v>178874.36</v>
      </c>
      <c r="O8586">
        <v>672.46</v>
      </c>
      <c r="P8586">
        <v>266</v>
      </c>
      <c r="Q8586" s="2">
        <v>178874.36</v>
      </c>
      <c r="R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 s="1">
        <v>42382</v>
      </c>
      <c r="AC8586" t="s">
        <v>53</v>
      </c>
      <c r="AD8586" t="s">
        <v>53</v>
      </c>
      <c r="AK8586">
        <v>0</v>
      </c>
      <c r="AU8586" s="6">
        <v>42304</v>
      </c>
      <c r="AV8586" s="6">
        <v>42304</v>
      </c>
      <c r="AW8586" t="s">
        <v>54</v>
      </c>
      <c r="AX8586" t="str">
        <f t="shared" si="703"/>
        <v>FOR</v>
      </c>
      <c r="AY8586" t="s">
        <v>55</v>
      </c>
    </row>
    <row r="8587" spans="1:51">
      <c r="A8587">
        <v>106489</v>
      </c>
      <c r="B8587" t="s">
        <v>1425</v>
      </c>
      <c r="C8587" t="str">
        <f t="shared" si="704"/>
        <v>08592930963</v>
      </c>
      <c r="D8587" t="str">
        <f t="shared" si="704"/>
        <v>08592930963</v>
      </c>
      <c r="E8587" t="s">
        <v>52</v>
      </c>
      <c r="F8587">
        <v>2014</v>
      </c>
      <c r="G8587">
        <v>14809925</v>
      </c>
      <c r="H8587" s="1">
        <v>41969</v>
      </c>
      <c r="I8587" s="1">
        <v>41978</v>
      </c>
      <c r="J8587" s="1">
        <v>41978</v>
      </c>
      <c r="K8587" s="1">
        <v>42038</v>
      </c>
      <c r="L8587" s="7">
        <v>672.46</v>
      </c>
      <c r="M8587" s="5">
        <v>266</v>
      </c>
      <c r="N8587" s="7">
        <v>178874.36</v>
      </c>
      <c r="O8587">
        <v>672.46</v>
      </c>
      <c r="P8587">
        <v>266</v>
      </c>
      <c r="Q8587" s="2">
        <v>178874.36</v>
      </c>
      <c r="R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 s="1">
        <v>42382</v>
      </c>
      <c r="AC8587" t="s">
        <v>53</v>
      </c>
      <c r="AD8587" t="s">
        <v>53</v>
      </c>
      <c r="AK8587">
        <v>0</v>
      </c>
      <c r="AU8587" s="6">
        <v>42304</v>
      </c>
      <c r="AV8587" s="6">
        <v>42304</v>
      </c>
      <c r="AW8587" t="s">
        <v>54</v>
      </c>
      <c r="AX8587" t="str">
        <f t="shared" si="703"/>
        <v>FOR</v>
      </c>
      <c r="AY8587" t="s">
        <v>55</v>
      </c>
    </row>
    <row r="8588" spans="1:51">
      <c r="A8588">
        <v>106489</v>
      </c>
      <c r="B8588" t="s">
        <v>1425</v>
      </c>
      <c r="C8588" t="str">
        <f t="shared" si="704"/>
        <v>08592930963</v>
      </c>
      <c r="D8588" t="str">
        <f t="shared" si="704"/>
        <v>08592930963</v>
      </c>
      <c r="E8588" t="s">
        <v>52</v>
      </c>
      <c r="F8588">
        <v>2015</v>
      </c>
      <c r="G8588">
        <v>15700279</v>
      </c>
      <c r="H8588" s="1">
        <v>42012</v>
      </c>
      <c r="I8588" s="1">
        <v>42025</v>
      </c>
      <c r="J8588" s="1">
        <v>42025</v>
      </c>
      <c r="K8588" s="1">
        <v>42085</v>
      </c>
      <c r="L8588" s="7">
        <v>13550</v>
      </c>
      <c r="M8588" s="5">
        <v>274</v>
      </c>
      <c r="N8588" s="7">
        <v>3712700</v>
      </c>
      <c r="O8588" s="2">
        <v>13550</v>
      </c>
      <c r="P8588">
        <v>274</v>
      </c>
      <c r="Q8588" s="2">
        <v>3712700</v>
      </c>
      <c r="R8588" s="2">
        <v>2981</v>
      </c>
      <c r="V8588">
        <v>0</v>
      </c>
      <c r="W8588">
        <v>0</v>
      </c>
      <c r="X8588">
        <v>0</v>
      </c>
      <c r="Y8588" s="2">
        <v>16531</v>
      </c>
      <c r="Z8588" s="2">
        <v>16531</v>
      </c>
      <c r="AA8588" s="2">
        <v>16531</v>
      </c>
      <c r="AB8588" s="1">
        <v>42382</v>
      </c>
      <c r="AC8588" t="s">
        <v>53</v>
      </c>
      <c r="AD8588" t="s">
        <v>53</v>
      </c>
      <c r="AK8588" s="2">
        <v>2981</v>
      </c>
      <c r="AU8588" s="6">
        <v>42359</v>
      </c>
      <c r="AV8588" s="6">
        <v>42359</v>
      </c>
      <c r="AW8588" t="s">
        <v>54</v>
      </c>
      <c r="AX8588" t="str">
        <f t="shared" si="703"/>
        <v>FOR</v>
      </c>
      <c r="AY8588" t="s">
        <v>55</v>
      </c>
    </row>
    <row r="8589" spans="1:51">
      <c r="A8589">
        <v>106489</v>
      </c>
      <c r="B8589" t="s">
        <v>1425</v>
      </c>
      <c r="C8589" t="str">
        <f t="shared" si="704"/>
        <v>08592930963</v>
      </c>
      <c r="D8589" t="str">
        <f t="shared" si="704"/>
        <v>08592930963</v>
      </c>
      <c r="E8589" t="s">
        <v>52</v>
      </c>
      <c r="F8589">
        <v>2015</v>
      </c>
      <c r="G8589">
        <v>15700891</v>
      </c>
      <c r="H8589" s="1">
        <v>42020</v>
      </c>
      <c r="I8589" s="1">
        <v>42031</v>
      </c>
      <c r="J8589" s="1">
        <v>42031</v>
      </c>
      <c r="K8589" s="1">
        <v>42091</v>
      </c>
      <c r="L8589" s="7">
        <v>12482.32</v>
      </c>
      <c r="M8589" s="5">
        <v>268</v>
      </c>
      <c r="N8589" s="7">
        <v>3345261.76</v>
      </c>
      <c r="O8589" s="2">
        <v>12482.32</v>
      </c>
      <c r="P8589">
        <v>268</v>
      </c>
      <c r="Q8589" s="2">
        <v>3345261.76</v>
      </c>
      <c r="R8589" s="2">
        <v>2746.11</v>
      </c>
      <c r="V8589">
        <v>0</v>
      </c>
      <c r="W8589">
        <v>0</v>
      </c>
      <c r="X8589">
        <v>0</v>
      </c>
      <c r="Y8589" s="2">
        <v>15228.43</v>
      </c>
      <c r="Z8589" s="2">
        <v>15228.43</v>
      </c>
      <c r="AA8589" s="2">
        <v>15228.43</v>
      </c>
      <c r="AB8589" s="1">
        <v>42382</v>
      </c>
      <c r="AC8589" t="s">
        <v>53</v>
      </c>
      <c r="AD8589" t="s">
        <v>53</v>
      </c>
      <c r="AK8589" s="2">
        <v>2746.11</v>
      </c>
      <c r="AU8589" s="6">
        <v>42359</v>
      </c>
      <c r="AV8589" s="6">
        <v>42359</v>
      </c>
      <c r="AW8589" t="s">
        <v>54</v>
      </c>
      <c r="AX8589" t="str">
        <f t="shared" si="703"/>
        <v>FOR</v>
      </c>
      <c r="AY8589" t="s">
        <v>55</v>
      </c>
    </row>
    <row r="8590" spans="1:51">
      <c r="A8590">
        <v>106489</v>
      </c>
      <c r="B8590" t="s">
        <v>1425</v>
      </c>
      <c r="C8590" t="str">
        <f t="shared" si="704"/>
        <v>08592930963</v>
      </c>
      <c r="D8590" t="str">
        <f t="shared" si="704"/>
        <v>08592930963</v>
      </c>
      <c r="E8590" t="s">
        <v>52</v>
      </c>
      <c r="F8590">
        <v>2015</v>
      </c>
      <c r="G8590">
        <v>15701492</v>
      </c>
      <c r="H8590" s="1">
        <v>42026</v>
      </c>
      <c r="I8590" s="1">
        <v>42066</v>
      </c>
      <c r="J8590" s="1">
        <v>42066</v>
      </c>
      <c r="K8590" s="1">
        <v>42126</v>
      </c>
      <c r="L8590" s="7">
        <v>2067</v>
      </c>
      <c r="M8590" s="5">
        <v>233</v>
      </c>
      <c r="N8590" s="7">
        <v>481611</v>
      </c>
      <c r="O8590" s="2">
        <v>2067</v>
      </c>
      <c r="P8590">
        <v>233</v>
      </c>
      <c r="Q8590" s="2">
        <v>481611</v>
      </c>
      <c r="R8590">
        <v>454.74</v>
      </c>
      <c r="V8590">
        <v>0</v>
      </c>
      <c r="W8590">
        <v>0</v>
      </c>
      <c r="X8590">
        <v>0</v>
      </c>
      <c r="Y8590" s="2">
        <v>2521.7399999999998</v>
      </c>
      <c r="Z8590" s="2">
        <v>2521.7399999999998</v>
      </c>
      <c r="AA8590" s="2">
        <v>2521.7399999999998</v>
      </c>
      <c r="AB8590" s="1">
        <v>42382</v>
      </c>
      <c r="AC8590" t="s">
        <v>53</v>
      </c>
      <c r="AD8590" t="s">
        <v>53</v>
      </c>
      <c r="AK8590">
        <v>454.74</v>
      </c>
      <c r="AU8590" s="6">
        <v>42359</v>
      </c>
      <c r="AV8590" s="6">
        <v>42359</v>
      </c>
      <c r="AW8590" t="s">
        <v>54</v>
      </c>
      <c r="AX8590" t="str">
        <f t="shared" si="703"/>
        <v>FOR</v>
      </c>
      <c r="AY8590" t="s">
        <v>55</v>
      </c>
    </row>
    <row r="8591" spans="1:51" hidden="1">
      <c r="A8591">
        <v>106507</v>
      </c>
      <c r="B8591" t="s">
        <v>1426</v>
      </c>
      <c r="C8591" t="str">
        <f>"01501830622"</f>
        <v>01501830622</v>
      </c>
      <c r="D8591" t="str">
        <f>"01501830622"</f>
        <v>01501830622</v>
      </c>
      <c r="E8591" t="s">
        <v>52</v>
      </c>
      <c r="F8591">
        <v>2014</v>
      </c>
      <c r="G8591">
        <v>46</v>
      </c>
      <c r="H8591" s="1">
        <v>41890</v>
      </c>
      <c r="I8591" s="1">
        <v>41935</v>
      </c>
      <c r="J8591" s="1">
        <v>41935</v>
      </c>
      <c r="K8591" s="1">
        <v>41995</v>
      </c>
      <c r="N8591" s="5"/>
      <c r="O8591" s="2">
        <v>1500</v>
      </c>
      <c r="P8591">
        <v>254</v>
      </c>
      <c r="Q8591" s="2">
        <v>381000</v>
      </c>
      <c r="R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 s="1">
        <v>42382</v>
      </c>
      <c r="AC8591" t="s">
        <v>53</v>
      </c>
      <c r="AD8591" t="s">
        <v>53</v>
      </c>
      <c r="AK8591">
        <v>0</v>
      </c>
      <c r="AU8591" s="6">
        <v>42249</v>
      </c>
      <c r="AV8591" s="6">
        <v>42249</v>
      </c>
      <c r="AW8591" t="s">
        <v>54</v>
      </c>
      <c r="AX8591" t="str">
        <f t="shared" si="703"/>
        <v>FOR</v>
      </c>
      <c r="AY8591" t="s">
        <v>55</v>
      </c>
    </row>
    <row r="8592" spans="1:51" hidden="1">
      <c r="A8592">
        <v>106509</v>
      </c>
      <c r="B8592" t="s">
        <v>1427</v>
      </c>
      <c r="C8592" t="str">
        <f t="shared" ref="C8592:D8595" si="705">"02479010643"</f>
        <v>02479010643</v>
      </c>
      <c r="D8592" t="str">
        <f t="shared" si="705"/>
        <v>02479010643</v>
      </c>
      <c r="E8592" t="s">
        <v>52</v>
      </c>
      <c r="F8592">
        <v>2014</v>
      </c>
      <c r="G8592">
        <v>520</v>
      </c>
      <c r="H8592" s="1">
        <v>41913</v>
      </c>
      <c r="I8592" s="1">
        <v>41942</v>
      </c>
      <c r="J8592" s="1">
        <v>41942</v>
      </c>
      <c r="K8592" s="1">
        <v>42002</v>
      </c>
      <c r="N8592" s="5"/>
      <c r="O8592" s="2">
        <v>20774.98</v>
      </c>
      <c r="P8592">
        <v>92</v>
      </c>
      <c r="Q8592" s="2">
        <v>1911298.16</v>
      </c>
      <c r="R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 s="1">
        <v>42382</v>
      </c>
      <c r="AC8592" t="s">
        <v>53</v>
      </c>
      <c r="AD8592" t="s">
        <v>53</v>
      </c>
      <c r="AK8592">
        <v>0</v>
      </c>
      <c r="AU8592" s="6">
        <v>42094</v>
      </c>
      <c r="AV8592" s="6">
        <v>42094</v>
      </c>
      <c r="AW8592" t="s">
        <v>54</v>
      </c>
      <c r="AX8592" t="str">
        <f t="shared" si="703"/>
        <v>FOR</v>
      </c>
      <c r="AY8592" t="s">
        <v>55</v>
      </c>
    </row>
    <row r="8593" spans="1:51" hidden="1">
      <c r="A8593">
        <v>106509</v>
      </c>
      <c r="B8593" t="s">
        <v>1427</v>
      </c>
      <c r="C8593" t="str">
        <f t="shared" si="705"/>
        <v>02479010643</v>
      </c>
      <c r="D8593" t="str">
        <f t="shared" si="705"/>
        <v>02479010643</v>
      </c>
      <c r="E8593" t="s">
        <v>52</v>
      </c>
      <c r="F8593">
        <v>2014</v>
      </c>
      <c r="G8593">
        <v>578</v>
      </c>
      <c r="H8593" s="1">
        <v>41946</v>
      </c>
      <c r="I8593" s="1">
        <v>41970</v>
      </c>
      <c r="J8593" s="1">
        <v>41970</v>
      </c>
      <c r="K8593" s="1">
        <v>42030</v>
      </c>
      <c r="N8593" s="5"/>
      <c r="O8593" s="2">
        <v>20774.98</v>
      </c>
      <c r="P8593">
        <v>64</v>
      </c>
      <c r="Q8593" s="2">
        <v>1329598.72</v>
      </c>
      <c r="R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 s="1">
        <v>42382</v>
      </c>
      <c r="AC8593" t="s">
        <v>53</v>
      </c>
      <c r="AD8593" t="s">
        <v>53</v>
      </c>
      <c r="AK8593">
        <v>0</v>
      </c>
      <c r="AU8593" s="6">
        <v>42094</v>
      </c>
      <c r="AV8593" s="6">
        <v>42094</v>
      </c>
      <c r="AW8593" t="s">
        <v>54</v>
      </c>
      <c r="AX8593" t="str">
        <f t="shared" si="703"/>
        <v>FOR</v>
      </c>
      <c r="AY8593" t="s">
        <v>55</v>
      </c>
    </row>
    <row r="8594" spans="1:51" hidden="1">
      <c r="A8594">
        <v>106509</v>
      </c>
      <c r="B8594" t="s">
        <v>1427</v>
      </c>
      <c r="C8594" t="str">
        <f t="shared" si="705"/>
        <v>02479010643</v>
      </c>
      <c r="D8594" t="str">
        <f t="shared" si="705"/>
        <v>02479010643</v>
      </c>
      <c r="E8594" t="s">
        <v>52</v>
      </c>
      <c r="F8594">
        <v>2014</v>
      </c>
      <c r="G8594">
        <v>628</v>
      </c>
      <c r="H8594" s="1">
        <v>41974</v>
      </c>
      <c r="I8594" s="1">
        <v>41996</v>
      </c>
      <c r="J8594" s="1">
        <v>41996</v>
      </c>
      <c r="K8594" s="1">
        <v>42056</v>
      </c>
      <c r="N8594" s="5"/>
      <c r="O8594" s="2">
        <v>20774.98</v>
      </c>
      <c r="P8594">
        <v>68</v>
      </c>
      <c r="Q8594" s="2">
        <v>1412698.64</v>
      </c>
      <c r="R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 s="1">
        <v>42382</v>
      </c>
      <c r="AC8594" t="s">
        <v>53</v>
      </c>
      <c r="AD8594" t="s">
        <v>53</v>
      </c>
      <c r="AK8594">
        <v>0</v>
      </c>
      <c r="AU8594" s="6">
        <v>42124</v>
      </c>
      <c r="AV8594" s="6">
        <v>42124</v>
      </c>
      <c r="AW8594" t="s">
        <v>54</v>
      </c>
      <c r="AX8594" t="str">
        <f t="shared" si="703"/>
        <v>FOR</v>
      </c>
      <c r="AY8594" t="s">
        <v>55</v>
      </c>
    </row>
    <row r="8595" spans="1:51" hidden="1">
      <c r="A8595">
        <v>106509</v>
      </c>
      <c r="B8595" t="s">
        <v>1427</v>
      </c>
      <c r="C8595" t="str">
        <f t="shared" si="705"/>
        <v>02479010643</v>
      </c>
      <c r="D8595" t="str">
        <f t="shared" si="705"/>
        <v>02479010643</v>
      </c>
      <c r="E8595" t="s">
        <v>52</v>
      </c>
      <c r="F8595">
        <v>2014</v>
      </c>
      <c r="G8595">
        <v>666</v>
      </c>
      <c r="H8595" s="1">
        <v>42004</v>
      </c>
      <c r="I8595" s="1">
        <v>42032</v>
      </c>
      <c r="J8595" s="1">
        <v>42032</v>
      </c>
      <c r="K8595" s="1">
        <v>42092</v>
      </c>
      <c r="N8595" s="5"/>
      <c r="O8595" s="2">
        <v>20774.98</v>
      </c>
      <c r="P8595">
        <v>32</v>
      </c>
      <c r="Q8595" s="2">
        <v>664799.36</v>
      </c>
      <c r="R8595">
        <v>0</v>
      </c>
      <c r="V8595">
        <v>0</v>
      </c>
      <c r="W8595">
        <v>0</v>
      </c>
      <c r="X8595">
        <v>0</v>
      </c>
      <c r="Y8595">
        <v>0</v>
      </c>
      <c r="Z8595" s="2">
        <v>20774.98</v>
      </c>
      <c r="AA8595">
        <v>0</v>
      </c>
      <c r="AB8595" s="1">
        <v>42382</v>
      </c>
      <c r="AC8595" t="s">
        <v>53</v>
      </c>
      <c r="AD8595" t="s">
        <v>53</v>
      </c>
      <c r="AK8595">
        <v>0</v>
      </c>
      <c r="AU8595" s="6">
        <v>42124</v>
      </c>
      <c r="AV8595" s="6">
        <v>42124</v>
      </c>
      <c r="AW8595" t="s">
        <v>54</v>
      </c>
      <c r="AX8595" t="str">
        <f t="shared" si="703"/>
        <v>FOR</v>
      </c>
      <c r="AY8595" t="s">
        <v>55</v>
      </c>
    </row>
    <row r="8596" spans="1:51" hidden="1">
      <c r="A8596">
        <v>106510</v>
      </c>
      <c r="B8596" t="s">
        <v>1428</v>
      </c>
      <c r="C8596" t="str">
        <f>""</f>
        <v/>
      </c>
      <c r="D8596" t="str">
        <f>""</f>
        <v/>
      </c>
      <c r="E8596" t="s">
        <v>52</v>
      </c>
      <c r="F8596">
        <v>2014</v>
      </c>
      <c r="G8596">
        <v>6120784</v>
      </c>
      <c r="H8596" s="1">
        <v>41935</v>
      </c>
      <c r="I8596" s="1">
        <v>41950</v>
      </c>
      <c r="J8596" s="1">
        <v>41950</v>
      </c>
      <c r="K8596" s="1">
        <v>42040</v>
      </c>
      <c r="N8596" s="5"/>
      <c r="O8596" s="2">
        <v>2930</v>
      </c>
      <c r="P8596">
        <v>236</v>
      </c>
      <c r="Q8596" s="2">
        <v>691480</v>
      </c>
      <c r="R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 s="1">
        <v>42382</v>
      </c>
      <c r="AC8596" t="s">
        <v>53</v>
      </c>
      <c r="AD8596" t="s">
        <v>53</v>
      </c>
      <c r="AK8596">
        <v>0</v>
      </c>
      <c r="AU8596" s="6">
        <v>42276</v>
      </c>
      <c r="AV8596" s="6">
        <v>42276</v>
      </c>
      <c r="AW8596" t="s">
        <v>54</v>
      </c>
      <c r="AX8596" t="str">
        <f t="shared" si="703"/>
        <v>FOR</v>
      </c>
      <c r="AY8596" t="s">
        <v>55</v>
      </c>
    </row>
    <row r="8597" spans="1:51" hidden="1">
      <c r="A8597">
        <v>106510</v>
      </c>
      <c r="B8597" t="s">
        <v>1428</v>
      </c>
      <c r="C8597" t="str">
        <f>""</f>
        <v/>
      </c>
      <c r="D8597" t="str">
        <f>""</f>
        <v/>
      </c>
      <c r="E8597" t="s">
        <v>52</v>
      </c>
      <c r="F8597">
        <v>2015</v>
      </c>
      <c r="G8597">
        <v>206125504</v>
      </c>
      <c r="H8597" s="1">
        <v>42111</v>
      </c>
      <c r="I8597" s="1">
        <v>42129</v>
      </c>
      <c r="J8597" s="1">
        <v>42129</v>
      </c>
      <c r="K8597" s="1">
        <v>42189</v>
      </c>
      <c r="N8597" s="5"/>
      <c r="O8597" s="2">
        <v>3361</v>
      </c>
      <c r="P8597">
        <v>87</v>
      </c>
      <c r="Q8597" s="2">
        <v>292407</v>
      </c>
      <c r="R8597">
        <v>0</v>
      </c>
      <c r="V8597">
        <v>0</v>
      </c>
      <c r="W8597">
        <v>0</v>
      </c>
      <c r="X8597">
        <v>0</v>
      </c>
      <c r="Y8597" s="2">
        <v>3361</v>
      </c>
      <c r="Z8597" s="2">
        <v>3361</v>
      </c>
      <c r="AA8597" s="2">
        <v>3361</v>
      </c>
      <c r="AB8597" s="1">
        <v>42382</v>
      </c>
      <c r="AC8597" t="s">
        <v>53</v>
      </c>
      <c r="AD8597" t="s">
        <v>53</v>
      </c>
      <c r="AK8597">
        <v>0</v>
      </c>
      <c r="AU8597" s="6">
        <v>42276</v>
      </c>
      <c r="AV8597" s="6">
        <v>42276</v>
      </c>
      <c r="AW8597" t="s">
        <v>54</v>
      </c>
      <c r="AX8597" t="str">
        <f t="shared" si="703"/>
        <v>FOR</v>
      </c>
      <c r="AY8597" t="s">
        <v>55</v>
      </c>
    </row>
    <row r="8598" spans="1:51">
      <c r="A8598">
        <v>106510</v>
      </c>
      <c r="B8598" t="s">
        <v>1428</v>
      </c>
      <c r="C8598" t="str">
        <f>""</f>
        <v/>
      </c>
      <c r="D8598" t="str">
        <f>""</f>
        <v/>
      </c>
      <c r="E8598" t="s">
        <v>52</v>
      </c>
      <c r="F8598">
        <v>2015</v>
      </c>
      <c r="G8598">
        <v>206127312</v>
      </c>
      <c r="H8598" s="1">
        <v>42240</v>
      </c>
      <c r="I8598" s="1">
        <v>42250</v>
      </c>
      <c r="J8598" s="1">
        <v>42250</v>
      </c>
      <c r="K8598" s="1">
        <v>42310</v>
      </c>
      <c r="L8598" s="7">
        <v>2577</v>
      </c>
      <c r="M8598" s="5">
        <v>31</v>
      </c>
      <c r="N8598" s="7">
        <v>79887</v>
      </c>
      <c r="O8598" s="2">
        <v>2577</v>
      </c>
      <c r="P8598">
        <v>31</v>
      </c>
      <c r="Q8598" s="2">
        <v>79887</v>
      </c>
      <c r="R8598">
        <v>0</v>
      </c>
      <c r="V8598">
        <v>-25</v>
      </c>
      <c r="W8598">
        <v>-25</v>
      </c>
      <c r="X8598">
        <v>-25</v>
      </c>
      <c r="Y8598" s="2">
        <v>2577</v>
      </c>
      <c r="Z8598" s="2">
        <v>2577</v>
      </c>
      <c r="AA8598" s="2">
        <v>2577</v>
      </c>
      <c r="AB8598" s="1">
        <v>42382</v>
      </c>
      <c r="AC8598" t="s">
        <v>53</v>
      </c>
      <c r="AD8598" t="s">
        <v>53</v>
      </c>
      <c r="AK8598">
        <v>0</v>
      </c>
      <c r="AU8598" s="6">
        <v>42341</v>
      </c>
      <c r="AV8598" s="6">
        <v>42341</v>
      </c>
      <c r="AW8598" t="s">
        <v>54</v>
      </c>
      <c r="AX8598" t="str">
        <f t="shared" si="703"/>
        <v>FOR</v>
      </c>
      <c r="AY8598" t="s">
        <v>55</v>
      </c>
    </row>
    <row r="8599" spans="1:51" hidden="1">
      <c r="A8599">
        <v>106515</v>
      </c>
      <c r="B8599" t="s">
        <v>1429</v>
      </c>
      <c r="C8599" t="str">
        <f>"08640300961"</f>
        <v>08640300961</v>
      </c>
      <c r="D8599" t="str">
        <f>"08640300961"</f>
        <v>08640300961</v>
      </c>
      <c r="E8599" t="s">
        <v>52</v>
      </c>
      <c r="F8599">
        <v>2015</v>
      </c>
      <c r="G8599">
        <v>6</v>
      </c>
      <c r="H8599" s="1">
        <v>42033</v>
      </c>
      <c r="I8599" s="1">
        <v>42094</v>
      </c>
      <c r="J8599" s="1">
        <v>42094</v>
      </c>
      <c r="K8599" s="1">
        <v>42154</v>
      </c>
      <c r="N8599" s="5"/>
      <c r="O8599" s="2">
        <v>3013.2</v>
      </c>
      <c r="P8599">
        <v>37</v>
      </c>
      <c r="Q8599" s="2">
        <v>111488.4</v>
      </c>
      <c r="R8599">
        <v>0</v>
      </c>
      <c r="V8599">
        <v>0</v>
      </c>
      <c r="W8599">
        <v>0</v>
      </c>
      <c r="X8599">
        <v>0</v>
      </c>
      <c r="Y8599" s="2">
        <v>3676.1</v>
      </c>
      <c r="Z8599" s="2">
        <v>3676.1</v>
      </c>
      <c r="AA8599" s="2">
        <v>3676.1</v>
      </c>
      <c r="AB8599" s="1">
        <v>42382</v>
      </c>
      <c r="AC8599" t="s">
        <v>53</v>
      </c>
      <c r="AD8599" t="s">
        <v>53</v>
      </c>
      <c r="AK8599">
        <v>0</v>
      </c>
      <c r="AU8599" s="6">
        <v>42191</v>
      </c>
      <c r="AV8599" s="6">
        <v>42191</v>
      </c>
      <c r="AW8599" t="s">
        <v>54</v>
      </c>
      <c r="AX8599" t="str">
        <f t="shared" si="703"/>
        <v>FOR</v>
      </c>
      <c r="AY8599" t="s">
        <v>55</v>
      </c>
    </row>
    <row r="8600" spans="1:51" hidden="1">
      <c r="A8600">
        <v>106516</v>
      </c>
      <c r="B8600" t="s">
        <v>1430</v>
      </c>
      <c r="C8600" t="str">
        <f>"00825330285"</f>
        <v>00825330285</v>
      </c>
      <c r="D8600" t="str">
        <f>"00825330285"</f>
        <v>00825330285</v>
      </c>
      <c r="E8600" t="s">
        <v>52</v>
      </c>
      <c r="F8600">
        <v>2014</v>
      </c>
      <c r="G8600" t="s">
        <v>1431</v>
      </c>
      <c r="H8600" s="1">
        <v>41953</v>
      </c>
      <c r="I8600" s="1">
        <v>41955</v>
      </c>
      <c r="J8600" s="1">
        <v>41955</v>
      </c>
      <c r="K8600" s="1">
        <v>42015</v>
      </c>
      <c r="N8600" s="5"/>
      <c r="O8600">
        <v>75.680000000000007</v>
      </c>
      <c r="P8600">
        <v>25</v>
      </c>
      <c r="Q8600" s="2">
        <v>1892</v>
      </c>
      <c r="R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 s="1">
        <v>42382</v>
      </c>
      <c r="AC8600" t="s">
        <v>53</v>
      </c>
      <c r="AD8600" t="s">
        <v>53</v>
      </c>
      <c r="AK8600">
        <v>0</v>
      </c>
      <c r="AU8600" s="6">
        <v>42040</v>
      </c>
      <c r="AV8600" s="6">
        <v>42040</v>
      </c>
      <c r="AW8600" t="s">
        <v>54</v>
      </c>
      <c r="AX8600" t="str">
        <f t="shared" si="703"/>
        <v>FOR</v>
      </c>
      <c r="AY8600" t="s">
        <v>55</v>
      </c>
    </row>
    <row r="8601" spans="1:51" hidden="1">
      <c r="A8601">
        <v>106517</v>
      </c>
      <c r="B8601" t="s">
        <v>1432</v>
      </c>
      <c r="C8601" t="str">
        <f t="shared" ref="C8601:D8614" si="706">"06832931007"</f>
        <v>06832931007</v>
      </c>
      <c r="D8601" t="str">
        <f t="shared" si="706"/>
        <v>06832931007</v>
      </c>
      <c r="E8601" t="s">
        <v>52</v>
      </c>
      <c r="F8601">
        <v>2014</v>
      </c>
      <c r="G8601" t="s">
        <v>1433</v>
      </c>
      <c r="H8601" s="1">
        <v>41935</v>
      </c>
      <c r="I8601" s="1">
        <v>41955</v>
      </c>
      <c r="J8601" s="1">
        <v>41955</v>
      </c>
      <c r="K8601" s="1">
        <v>42015</v>
      </c>
      <c r="N8601" s="5"/>
      <c r="O8601" s="2">
        <v>122894.14</v>
      </c>
      <c r="P8601">
        <v>9</v>
      </c>
      <c r="Q8601" s="2">
        <v>1106047.26</v>
      </c>
      <c r="R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 s="1">
        <v>42382</v>
      </c>
      <c r="AC8601" t="s">
        <v>53</v>
      </c>
      <c r="AD8601" t="s">
        <v>53</v>
      </c>
      <c r="AK8601">
        <v>0</v>
      </c>
      <c r="AU8601" s="6">
        <v>42024</v>
      </c>
      <c r="AV8601" s="6">
        <v>42024</v>
      </c>
      <c r="AW8601" t="s">
        <v>54</v>
      </c>
      <c r="AX8601" t="str">
        <f t="shared" si="703"/>
        <v>FOR</v>
      </c>
      <c r="AY8601" t="s">
        <v>55</v>
      </c>
    </row>
    <row r="8602" spans="1:51" hidden="1">
      <c r="A8602">
        <v>106517</v>
      </c>
      <c r="B8602" t="s">
        <v>1432</v>
      </c>
      <c r="C8602" t="str">
        <f t="shared" si="706"/>
        <v>06832931007</v>
      </c>
      <c r="D8602" t="str">
        <f t="shared" si="706"/>
        <v>06832931007</v>
      </c>
      <c r="E8602" t="s">
        <v>52</v>
      </c>
      <c r="F8602">
        <v>2014</v>
      </c>
      <c r="G8602" t="s">
        <v>1434</v>
      </c>
      <c r="H8602" s="1">
        <v>41968</v>
      </c>
      <c r="I8602" s="1">
        <v>41983</v>
      </c>
      <c r="J8602" s="1">
        <v>41983</v>
      </c>
      <c r="K8602" s="1">
        <v>42043</v>
      </c>
      <c r="N8602" s="5"/>
      <c r="O8602" s="2">
        <v>116135.13</v>
      </c>
      <c r="P8602">
        <v>-2</v>
      </c>
      <c r="Q8602" s="2">
        <v>-232270.26</v>
      </c>
      <c r="R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 s="1">
        <v>42382</v>
      </c>
      <c r="AC8602" t="s">
        <v>53</v>
      </c>
      <c r="AD8602" t="s">
        <v>53</v>
      </c>
      <c r="AK8602">
        <v>0</v>
      </c>
      <c r="AU8602" s="6">
        <v>42041</v>
      </c>
      <c r="AV8602" s="6">
        <v>42041</v>
      </c>
      <c r="AW8602" t="s">
        <v>54</v>
      </c>
      <c r="AX8602" t="str">
        <f t="shared" si="703"/>
        <v>FOR</v>
      </c>
      <c r="AY8602" t="s">
        <v>55</v>
      </c>
    </row>
    <row r="8603" spans="1:51" hidden="1">
      <c r="A8603">
        <v>106517</v>
      </c>
      <c r="B8603" t="s">
        <v>1432</v>
      </c>
      <c r="C8603" t="str">
        <f t="shared" si="706"/>
        <v>06832931007</v>
      </c>
      <c r="D8603" t="str">
        <f t="shared" si="706"/>
        <v>06832931007</v>
      </c>
      <c r="E8603" t="s">
        <v>52</v>
      </c>
      <c r="F8603">
        <v>2014</v>
      </c>
      <c r="G8603" t="s">
        <v>1435</v>
      </c>
      <c r="H8603" s="1">
        <v>42003</v>
      </c>
      <c r="I8603" s="1">
        <v>42026</v>
      </c>
      <c r="J8603" s="1">
        <v>42026</v>
      </c>
      <c r="K8603" s="1">
        <v>42086</v>
      </c>
      <c r="N8603" s="5"/>
      <c r="O8603" s="2">
        <v>107378.46</v>
      </c>
      <c r="P8603">
        <v>-17</v>
      </c>
      <c r="Q8603" s="2">
        <v>-1825433.82</v>
      </c>
      <c r="R8603">
        <v>0</v>
      </c>
      <c r="V8603">
        <v>0</v>
      </c>
      <c r="W8603">
        <v>0</v>
      </c>
      <c r="X8603">
        <v>0</v>
      </c>
      <c r="Y8603">
        <v>0</v>
      </c>
      <c r="Z8603" s="2">
        <v>107378.46</v>
      </c>
      <c r="AA8603">
        <v>0</v>
      </c>
      <c r="AB8603" s="1">
        <v>42382</v>
      </c>
      <c r="AC8603" t="s">
        <v>53</v>
      </c>
      <c r="AD8603" t="s">
        <v>53</v>
      </c>
      <c r="AK8603">
        <v>0</v>
      </c>
      <c r="AU8603" s="6">
        <v>42069</v>
      </c>
      <c r="AV8603" s="6">
        <v>42069</v>
      </c>
      <c r="AW8603" t="s">
        <v>54</v>
      </c>
      <c r="AX8603" t="str">
        <f t="shared" si="703"/>
        <v>FOR</v>
      </c>
      <c r="AY8603" t="s">
        <v>55</v>
      </c>
    </row>
    <row r="8604" spans="1:51" hidden="1">
      <c r="A8604">
        <v>106517</v>
      </c>
      <c r="B8604" t="s">
        <v>1432</v>
      </c>
      <c r="C8604" t="str">
        <f t="shared" si="706"/>
        <v>06832931007</v>
      </c>
      <c r="D8604" t="str">
        <f t="shared" si="706"/>
        <v>06832931007</v>
      </c>
      <c r="E8604" t="s">
        <v>52</v>
      </c>
      <c r="F8604">
        <v>2015</v>
      </c>
      <c r="G8604" t="s">
        <v>1436</v>
      </c>
      <c r="H8604" s="1">
        <v>42098</v>
      </c>
      <c r="I8604" s="1">
        <v>42188</v>
      </c>
      <c r="J8604" s="1">
        <v>42188</v>
      </c>
      <c r="K8604" s="1">
        <v>42248</v>
      </c>
      <c r="N8604" s="5"/>
      <c r="O8604" s="2">
        <v>77488.59</v>
      </c>
      <c r="P8604">
        <v>27</v>
      </c>
      <c r="Q8604" s="2">
        <v>2092191.93</v>
      </c>
      <c r="R8604">
        <v>0</v>
      </c>
      <c r="V8604">
        <v>0</v>
      </c>
      <c r="W8604">
        <v>0</v>
      </c>
      <c r="X8604">
        <v>0</v>
      </c>
      <c r="Y8604" s="2">
        <v>77488.59</v>
      </c>
      <c r="Z8604" s="2">
        <v>77488.59</v>
      </c>
      <c r="AA8604" s="2">
        <v>77488.59</v>
      </c>
      <c r="AB8604" s="1">
        <v>42382</v>
      </c>
      <c r="AC8604" t="s">
        <v>53</v>
      </c>
      <c r="AD8604" t="s">
        <v>53</v>
      </c>
      <c r="AK8604">
        <v>0</v>
      </c>
      <c r="AU8604" s="6">
        <v>42275</v>
      </c>
      <c r="AV8604" s="6">
        <v>42275</v>
      </c>
      <c r="AW8604" t="s">
        <v>54</v>
      </c>
      <c r="AX8604" t="str">
        <f t="shared" si="703"/>
        <v>FOR</v>
      </c>
      <c r="AY8604" t="s">
        <v>55</v>
      </c>
    </row>
    <row r="8605" spans="1:51" hidden="1">
      <c r="A8605">
        <v>106517</v>
      </c>
      <c r="B8605" t="s">
        <v>1432</v>
      </c>
      <c r="C8605" t="str">
        <f t="shared" si="706"/>
        <v>06832931007</v>
      </c>
      <c r="D8605" t="str">
        <f t="shared" si="706"/>
        <v>06832931007</v>
      </c>
      <c r="E8605" t="s">
        <v>52</v>
      </c>
      <c r="F8605">
        <v>2015</v>
      </c>
      <c r="G8605" t="s">
        <v>1437</v>
      </c>
      <c r="H8605" s="1">
        <v>42130</v>
      </c>
      <c r="I8605" s="1">
        <v>42188</v>
      </c>
      <c r="J8605" s="1">
        <v>42188</v>
      </c>
      <c r="K8605" s="1">
        <v>42248</v>
      </c>
      <c r="N8605" s="5"/>
      <c r="O8605" s="2">
        <v>80447.61</v>
      </c>
      <c r="P8605">
        <v>1</v>
      </c>
      <c r="Q8605" s="2">
        <v>80447.61</v>
      </c>
      <c r="R8605">
        <v>0</v>
      </c>
      <c r="V8605">
        <v>0</v>
      </c>
      <c r="W8605">
        <v>0</v>
      </c>
      <c r="X8605">
        <v>0</v>
      </c>
      <c r="Y8605" s="2">
        <v>80447.61</v>
      </c>
      <c r="Z8605" s="2">
        <v>80447.61</v>
      </c>
      <c r="AA8605" s="2">
        <v>80447.61</v>
      </c>
      <c r="AB8605" s="1">
        <v>42382</v>
      </c>
      <c r="AC8605" t="s">
        <v>53</v>
      </c>
      <c r="AD8605" t="s">
        <v>53</v>
      </c>
      <c r="AK8605">
        <v>0</v>
      </c>
      <c r="AU8605" s="6">
        <v>42249</v>
      </c>
      <c r="AV8605" s="6">
        <v>42249</v>
      </c>
      <c r="AW8605" t="s">
        <v>54</v>
      </c>
      <c r="AX8605" t="str">
        <f t="shared" si="703"/>
        <v>FOR</v>
      </c>
      <c r="AY8605" t="s">
        <v>55</v>
      </c>
    </row>
    <row r="8606" spans="1:51" hidden="1">
      <c r="A8606">
        <v>106517</v>
      </c>
      <c r="B8606" t="s">
        <v>1432</v>
      </c>
      <c r="C8606" t="str">
        <f t="shared" si="706"/>
        <v>06832931007</v>
      </c>
      <c r="D8606" t="str">
        <f t="shared" si="706"/>
        <v>06832931007</v>
      </c>
      <c r="E8606" t="s">
        <v>52</v>
      </c>
      <c r="F8606">
        <v>2015</v>
      </c>
      <c r="G8606" t="s">
        <v>1438</v>
      </c>
      <c r="H8606" s="1">
        <v>42158</v>
      </c>
      <c r="I8606" s="1">
        <v>42188</v>
      </c>
      <c r="J8606" s="1">
        <v>42188</v>
      </c>
      <c r="K8606" s="1">
        <v>42248</v>
      </c>
      <c r="N8606" s="5"/>
      <c r="O8606" s="2">
        <v>85023.49</v>
      </c>
      <c r="P8606">
        <v>1</v>
      </c>
      <c r="Q8606" s="2">
        <v>85023.49</v>
      </c>
      <c r="R8606">
        <v>0</v>
      </c>
      <c r="V8606">
        <v>0</v>
      </c>
      <c r="W8606">
        <v>0</v>
      </c>
      <c r="X8606">
        <v>0</v>
      </c>
      <c r="Y8606" s="2">
        <v>85023.49</v>
      </c>
      <c r="Z8606" s="2">
        <v>85023.49</v>
      </c>
      <c r="AA8606" s="2">
        <v>85023.49</v>
      </c>
      <c r="AB8606" s="1">
        <v>42382</v>
      </c>
      <c r="AC8606" t="s">
        <v>53</v>
      </c>
      <c r="AD8606" t="s">
        <v>53</v>
      </c>
      <c r="AK8606">
        <v>0</v>
      </c>
      <c r="AU8606" s="6">
        <v>42249</v>
      </c>
      <c r="AV8606" s="6">
        <v>42249</v>
      </c>
      <c r="AW8606" t="s">
        <v>54</v>
      </c>
      <c r="AX8606" t="str">
        <f t="shared" si="703"/>
        <v>FOR</v>
      </c>
      <c r="AY8606" t="s">
        <v>55</v>
      </c>
    </row>
    <row r="8607" spans="1:51" hidden="1">
      <c r="A8607">
        <v>106517</v>
      </c>
      <c r="B8607" t="s">
        <v>1432</v>
      </c>
      <c r="C8607" t="str">
        <f t="shared" si="706"/>
        <v>06832931007</v>
      </c>
      <c r="D8607" t="str">
        <f t="shared" si="706"/>
        <v>06832931007</v>
      </c>
      <c r="E8607" t="s">
        <v>52</v>
      </c>
      <c r="F8607">
        <v>2015</v>
      </c>
      <c r="G8607" t="s">
        <v>1439</v>
      </c>
      <c r="H8607" s="1">
        <v>42186</v>
      </c>
      <c r="I8607" s="1">
        <v>42198</v>
      </c>
      <c r="J8607" s="1">
        <v>42195</v>
      </c>
      <c r="K8607" s="1">
        <v>42255</v>
      </c>
      <c r="N8607" s="5"/>
      <c r="O8607" s="2">
        <v>84120.2</v>
      </c>
      <c r="P8607">
        <v>-6</v>
      </c>
      <c r="Q8607" s="2">
        <v>-504721.2</v>
      </c>
      <c r="R8607">
        <v>0</v>
      </c>
      <c r="V8607">
        <v>0</v>
      </c>
      <c r="W8607">
        <v>0</v>
      </c>
      <c r="X8607">
        <v>0</v>
      </c>
      <c r="Y8607" s="2">
        <v>84120.2</v>
      </c>
      <c r="Z8607" s="2">
        <v>84120.2</v>
      </c>
      <c r="AA8607" s="2">
        <v>84120.2</v>
      </c>
      <c r="AB8607" s="1">
        <v>42382</v>
      </c>
      <c r="AC8607" t="s">
        <v>53</v>
      </c>
      <c r="AD8607" t="s">
        <v>53</v>
      </c>
      <c r="AK8607">
        <v>0</v>
      </c>
      <c r="AU8607" s="6">
        <v>42249</v>
      </c>
      <c r="AV8607" s="6">
        <v>42249</v>
      </c>
      <c r="AW8607" t="s">
        <v>54</v>
      </c>
      <c r="AX8607" t="str">
        <f t="shared" si="703"/>
        <v>FOR</v>
      </c>
      <c r="AY8607" t="s">
        <v>55</v>
      </c>
    </row>
    <row r="8608" spans="1:51">
      <c r="A8608">
        <v>106517</v>
      </c>
      <c r="B8608" t="s">
        <v>1432</v>
      </c>
      <c r="C8608" t="str">
        <f t="shared" si="706"/>
        <v>06832931007</v>
      </c>
      <c r="D8608" t="str">
        <f t="shared" si="706"/>
        <v>06832931007</v>
      </c>
      <c r="E8608" t="s">
        <v>52</v>
      </c>
      <c r="F8608">
        <v>2015</v>
      </c>
      <c r="G8608" t="s">
        <v>1440</v>
      </c>
      <c r="H8608" s="1">
        <v>42219</v>
      </c>
      <c r="I8608" s="1">
        <v>42228</v>
      </c>
      <c r="J8608" s="1">
        <v>42225</v>
      </c>
      <c r="K8608" s="1">
        <v>42285</v>
      </c>
      <c r="L8608" s="7">
        <v>90215.97</v>
      </c>
      <c r="M8608" s="5">
        <v>14</v>
      </c>
      <c r="N8608" s="7">
        <v>1263023.58</v>
      </c>
      <c r="O8608" s="2">
        <v>90215.97</v>
      </c>
      <c r="P8608">
        <v>14</v>
      </c>
      <c r="Q8608" s="2">
        <v>1263023.58</v>
      </c>
      <c r="R8608">
        <v>0</v>
      </c>
      <c r="V8608">
        <v>0</v>
      </c>
      <c r="W8608">
        <v>0</v>
      </c>
      <c r="X8608">
        <v>0</v>
      </c>
      <c r="Y8608" s="2">
        <v>90215.97</v>
      </c>
      <c r="Z8608" s="2">
        <v>90215.97</v>
      </c>
      <c r="AA8608" s="2">
        <v>90215.97</v>
      </c>
      <c r="AB8608" s="1">
        <v>42382</v>
      </c>
      <c r="AC8608" t="s">
        <v>53</v>
      </c>
      <c r="AD8608" t="s">
        <v>53</v>
      </c>
      <c r="AK8608">
        <v>0</v>
      </c>
      <c r="AU8608" s="6">
        <v>42299</v>
      </c>
      <c r="AV8608" s="6">
        <v>42299</v>
      </c>
      <c r="AW8608" t="s">
        <v>54</v>
      </c>
      <c r="AX8608" t="str">
        <f t="shared" si="703"/>
        <v>FOR</v>
      </c>
      <c r="AY8608" t="s">
        <v>55</v>
      </c>
    </row>
    <row r="8609" spans="1:51">
      <c r="A8609">
        <v>106517</v>
      </c>
      <c r="B8609" t="s">
        <v>1432</v>
      </c>
      <c r="C8609" t="str">
        <f t="shared" si="706"/>
        <v>06832931007</v>
      </c>
      <c r="D8609" t="str">
        <f t="shared" si="706"/>
        <v>06832931007</v>
      </c>
      <c r="E8609" t="s">
        <v>52</v>
      </c>
      <c r="F8609">
        <v>2015</v>
      </c>
      <c r="G8609" t="s">
        <v>1441</v>
      </c>
      <c r="H8609" s="1">
        <v>42249</v>
      </c>
      <c r="I8609" s="1">
        <v>42261</v>
      </c>
      <c r="J8609" s="1">
        <v>42258</v>
      </c>
      <c r="K8609" s="1">
        <v>42318</v>
      </c>
      <c r="L8609" s="7">
        <v>119945.96</v>
      </c>
      <c r="M8609" s="5">
        <v>-19</v>
      </c>
      <c r="N8609" s="7">
        <v>-2278973.2400000002</v>
      </c>
      <c r="O8609" s="2">
        <v>119945.96</v>
      </c>
      <c r="P8609">
        <v>-19</v>
      </c>
      <c r="Q8609" s="2">
        <v>-2278973.2400000002</v>
      </c>
      <c r="R8609">
        <v>0</v>
      </c>
      <c r="V8609">
        <v>0</v>
      </c>
      <c r="W8609">
        <v>0</v>
      </c>
      <c r="X8609">
        <v>0</v>
      </c>
      <c r="Y8609" s="2">
        <v>119945.96</v>
      </c>
      <c r="Z8609" s="2">
        <v>119945.96</v>
      </c>
      <c r="AA8609" s="2">
        <v>119945.96</v>
      </c>
      <c r="AB8609" s="1">
        <v>42382</v>
      </c>
      <c r="AC8609" t="s">
        <v>53</v>
      </c>
      <c r="AD8609" t="s">
        <v>53</v>
      </c>
      <c r="AK8609">
        <v>0</v>
      </c>
      <c r="AU8609" s="6">
        <v>42299</v>
      </c>
      <c r="AV8609" s="6">
        <v>42299</v>
      </c>
      <c r="AW8609" t="s">
        <v>54</v>
      </c>
      <c r="AX8609" t="str">
        <f t="shared" si="703"/>
        <v>FOR</v>
      </c>
      <c r="AY8609" t="s">
        <v>55</v>
      </c>
    </row>
    <row r="8610" spans="1:51">
      <c r="A8610">
        <v>106517</v>
      </c>
      <c r="B8610" t="s">
        <v>1432</v>
      </c>
      <c r="C8610" t="str">
        <f t="shared" si="706"/>
        <v>06832931007</v>
      </c>
      <c r="D8610" t="str">
        <f t="shared" si="706"/>
        <v>06832931007</v>
      </c>
      <c r="E8610" t="s">
        <v>52</v>
      </c>
      <c r="F8610">
        <v>2015</v>
      </c>
      <c r="G8610" t="s">
        <v>1442</v>
      </c>
      <c r="H8610" s="1">
        <v>42279</v>
      </c>
      <c r="I8610" s="1">
        <v>42286</v>
      </c>
      <c r="J8610" s="1">
        <v>42285</v>
      </c>
      <c r="K8610" s="1">
        <v>42345</v>
      </c>
      <c r="L8610" s="7">
        <v>29880.97</v>
      </c>
      <c r="M8610" s="5">
        <v>-7</v>
      </c>
      <c r="N8610" s="7">
        <v>-209166.79</v>
      </c>
      <c r="O8610" s="2">
        <v>29880.97</v>
      </c>
      <c r="P8610">
        <v>-7</v>
      </c>
      <c r="Q8610" s="2">
        <v>-209166.79</v>
      </c>
      <c r="R8610">
        <v>0</v>
      </c>
      <c r="V8610" s="2">
        <v>29880.97</v>
      </c>
      <c r="W8610" s="2">
        <v>29880.97</v>
      </c>
      <c r="X8610" s="2">
        <v>29880.97</v>
      </c>
      <c r="Y8610" s="2">
        <v>29880.97</v>
      </c>
      <c r="Z8610" s="2">
        <v>29880.97</v>
      </c>
      <c r="AA8610" s="2">
        <v>29880.97</v>
      </c>
      <c r="AB8610" s="1">
        <v>42382</v>
      </c>
      <c r="AC8610" t="s">
        <v>53</v>
      </c>
      <c r="AD8610" t="s">
        <v>53</v>
      </c>
      <c r="AK8610">
        <v>0</v>
      </c>
      <c r="AU8610" s="6">
        <v>42338</v>
      </c>
      <c r="AV8610" s="6">
        <v>42338</v>
      </c>
      <c r="AW8610" t="s">
        <v>54</v>
      </c>
      <c r="AX8610" t="str">
        <f t="shared" si="703"/>
        <v>FOR</v>
      </c>
      <c r="AY8610" t="s">
        <v>55</v>
      </c>
    </row>
    <row r="8611" spans="1:51" hidden="1">
      <c r="A8611">
        <v>106517</v>
      </c>
      <c r="B8611" t="s">
        <v>1432</v>
      </c>
      <c r="C8611" t="str">
        <f t="shared" si="706"/>
        <v>06832931007</v>
      </c>
      <c r="D8611" t="str">
        <f t="shared" si="706"/>
        <v>06832931007</v>
      </c>
      <c r="E8611" t="s">
        <v>52</v>
      </c>
      <c r="F8611">
        <v>2015</v>
      </c>
      <c r="G8611" t="s">
        <v>1443</v>
      </c>
      <c r="H8611" s="1">
        <v>42019</v>
      </c>
      <c r="I8611" s="1">
        <v>42032</v>
      </c>
      <c r="J8611" s="1">
        <v>42032</v>
      </c>
      <c r="K8611" s="1">
        <v>42092</v>
      </c>
      <c r="N8611" s="5"/>
      <c r="O8611" s="2">
        <v>93367.4</v>
      </c>
      <c r="P8611">
        <v>38</v>
      </c>
      <c r="Q8611" s="2">
        <v>3547961.2</v>
      </c>
      <c r="R8611">
        <v>0</v>
      </c>
      <c r="V8611">
        <v>0</v>
      </c>
      <c r="W8611">
        <v>0</v>
      </c>
      <c r="X8611">
        <v>0</v>
      </c>
      <c r="Y8611">
        <v>0</v>
      </c>
      <c r="Z8611" s="2">
        <v>113908.23</v>
      </c>
      <c r="AA8611" s="2">
        <v>113908.23</v>
      </c>
      <c r="AB8611" s="1">
        <v>42382</v>
      </c>
      <c r="AC8611" t="s">
        <v>53</v>
      </c>
      <c r="AD8611" t="s">
        <v>53</v>
      </c>
      <c r="AK8611">
        <v>0</v>
      </c>
      <c r="AU8611" s="6">
        <v>42130</v>
      </c>
      <c r="AV8611" s="6">
        <v>42130</v>
      </c>
      <c r="AW8611" t="s">
        <v>54</v>
      </c>
      <c r="AX8611" t="str">
        <f t="shared" si="703"/>
        <v>FOR</v>
      </c>
      <c r="AY8611" t="s">
        <v>55</v>
      </c>
    </row>
    <row r="8612" spans="1:51" hidden="1">
      <c r="A8612">
        <v>106517</v>
      </c>
      <c r="B8612" t="s">
        <v>1432</v>
      </c>
      <c r="C8612" t="str">
        <f t="shared" si="706"/>
        <v>06832931007</v>
      </c>
      <c r="D8612" t="str">
        <f t="shared" si="706"/>
        <v>06832931007</v>
      </c>
      <c r="E8612" t="s">
        <v>52</v>
      </c>
      <c r="F8612">
        <v>2015</v>
      </c>
      <c r="G8612" t="s">
        <v>1444</v>
      </c>
      <c r="H8612" s="1">
        <v>42044</v>
      </c>
      <c r="I8612" s="1">
        <v>42060</v>
      </c>
      <c r="J8612" s="1">
        <v>42060</v>
      </c>
      <c r="K8612" s="1">
        <v>42120</v>
      </c>
      <c r="N8612" s="5"/>
      <c r="O8612">
        <v>5.12</v>
      </c>
      <c r="P8612">
        <v>43</v>
      </c>
      <c r="Q8612">
        <v>220.16</v>
      </c>
      <c r="R8612">
        <v>0</v>
      </c>
      <c r="V8612">
        <v>0</v>
      </c>
      <c r="W8612">
        <v>0</v>
      </c>
      <c r="X8612">
        <v>0</v>
      </c>
      <c r="Y8612">
        <v>0</v>
      </c>
      <c r="Z8612">
        <v>6.25</v>
      </c>
      <c r="AA8612">
        <v>6.25</v>
      </c>
      <c r="AB8612" s="1">
        <v>42382</v>
      </c>
      <c r="AC8612" t="s">
        <v>53</v>
      </c>
      <c r="AD8612" t="s">
        <v>53</v>
      </c>
      <c r="AK8612">
        <v>0</v>
      </c>
      <c r="AU8612" s="6">
        <v>42163</v>
      </c>
      <c r="AV8612" s="6">
        <v>42163</v>
      </c>
      <c r="AW8612" t="s">
        <v>54</v>
      </c>
      <c r="AX8612" t="str">
        <f t="shared" si="703"/>
        <v>FOR</v>
      </c>
      <c r="AY8612" t="s">
        <v>55</v>
      </c>
    </row>
    <row r="8613" spans="1:51" hidden="1">
      <c r="A8613">
        <v>106517</v>
      </c>
      <c r="B8613" t="s">
        <v>1432</v>
      </c>
      <c r="C8613" t="str">
        <f t="shared" si="706"/>
        <v>06832931007</v>
      </c>
      <c r="D8613" t="str">
        <f t="shared" si="706"/>
        <v>06832931007</v>
      </c>
      <c r="E8613" t="s">
        <v>52</v>
      </c>
      <c r="F8613">
        <v>2015</v>
      </c>
      <c r="G8613" t="s">
        <v>1445</v>
      </c>
      <c r="H8613" s="1">
        <v>42044</v>
      </c>
      <c r="I8613" s="1">
        <v>42060</v>
      </c>
      <c r="J8613" s="1">
        <v>42060</v>
      </c>
      <c r="K8613" s="1">
        <v>42120</v>
      </c>
      <c r="N8613" s="5"/>
      <c r="O8613" s="2">
        <v>90247.81</v>
      </c>
      <c r="P8613">
        <v>43</v>
      </c>
      <c r="Q8613" s="2">
        <v>3880655.83</v>
      </c>
      <c r="R8613">
        <v>0</v>
      </c>
      <c r="V8613">
        <v>0</v>
      </c>
      <c r="W8613">
        <v>0</v>
      </c>
      <c r="X8613">
        <v>0</v>
      </c>
      <c r="Y8613" s="2">
        <v>110102.33</v>
      </c>
      <c r="Z8613" s="2">
        <v>110102.33</v>
      </c>
      <c r="AA8613" s="2">
        <v>110102.33</v>
      </c>
      <c r="AB8613" s="1">
        <v>42382</v>
      </c>
      <c r="AC8613" t="s">
        <v>53</v>
      </c>
      <c r="AD8613" t="s">
        <v>53</v>
      </c>
      <c r="AK8613">
        <v>0</v>
      </c>
      <c r="AU8613" s="6">
        <v>42163</v>
      </c>
      <c r="AV8613" s="6">
        <v>42163</v>
      </c>
      <c r="AW8613" t="s">
        <v>54</v>
      </c>
      <c r="AX8613" t="str">
        <f t="shared" si="703"/>
        <v>FOR</v>
      </c>
      <c r="AY8613" t="s">
        <v>55</v>
      </c>
    </row>
    <row r="8614" spans="1:51" hidden="1">
      <c r="A8614">
        <v>106517</v>
      </c>
      <c r="B8614" t="s">
        <v>1432</v>
      </c>
      <c r="C8614" t="str">
        <f t="shared" si="706"/>
        <v>06832931007</v>
      </c>
      <c r="D8614" t="str">
        <f t="shared" si="706"/>
        <v>06832931007</v>
      </c>
      <c r="E8614" t="s">
        <v>52</v>
      </c>
      <c r="F8614">
        <v>2015</v>
      </c>
      <c r="G8614" t="s">
        <v>1446</v>
      </c>
      <c r="H8614" s="1">
        <v>42065</v>
      </c>
      <c r="I8614" s="1">
        <v>42089</v>
      </c>
      <c r="J8614" s="1">
        <v>42089</v>
      </c>
      <c r="K8614" s="1">
        <v>42149</v>
      </c>
      <c r="N8614" s="5"/>
      <c r="O8614" s="2">
        <v>88347.9</v>
      </c>
      <c r="P8614">
        <v>39</v>
      </c>
      <c r="Q8614" s="2">
        <v>3445568.1</v>
      </c>
      <c r="R8614">
        <v>0</v>
      </c>
      <c r="V8614">
        <v>0</v>
      </c>
      <c r="W8614">
        <v>0</v>
      </c>
      <c r="X8614">
        <v>0</v>
      </c>
      <c r="Y8614" s="2">
        <v>107784.44</v>
      </c>
      <c r="Z8614" s="2">
        <v>107784.44</v>
      </c>
      <c r="AA8614" s="2">
        <v>107784.44</v>
      </c>
      <c r="AB8614" s="1">
        <v>42382</v>
      </c>
      <c r="AC8614" t="s">
        <v>53</v>
      </c>
      <c r="AD8614" t="s">
        <v>53</v>
      </c>
      <c r="AK8614">
        <v>0</v>
      </c>
      <c r="AU8614" s="6">
        <v>42188</v>
      </c>
      <c r="AV8614" s="6">
        <v>42188</v>
      </c>
      <c r="AW8614" t="s">
        <v>54</v>
      </c>
      <c r="AX8614" t="str">
        <f t="shared" si="703"/>
        <v>FOR</v>
      </c>
      <c r="AY8614" t="s">
        <v>55</v>
      </c>
    </row>
    <row r="8615" spans="1:51" hidden="1">
      <c r="A8615">
        <v>106519</v>
      </c>
      <c r="B8615" t="s">
        <v>1447</v>
      </c>
      <c r="C8615" t="str">
        <f>"03346850963"</f>
        <v>03346850963</v>
      </c>
      <c r="D8615" t="str">
        <f>"03346850963"</f>
        <v>03346850963</v>
      </c>
      <c r="E8615" t="s">
        <v>52</v>
      </c>
      <c r="F8615">
        <v>2014</v>
      </c>
      <c r="G8615">
        <v>540</v>
      </c>
      <c r="H8615" s="1">
        <v>41973</v>
      </c>
      <c r="I8615" s="1">
        <v>41983</v>
      </c>
      <c r="J8615" s="1">
        <v>41983</v>
      </c>
      <c r="K8615" s="1">
        <v>42043</v>
      </c>
      <c r="N8615" s="5"/>
      <c r="O8615" s="2">
        <v>2291.16</v>
      </c>
      <c r="P8615">
        <v>138</v>
      </c>
      <c r="Q8615" s="2">
        <v>316180.08</v>
      </c>
      <c r="R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 s="1">
        <v>42382</v>
      </c>
      <c r="AC8615" t="s">
        <v>53</v>
      </c>
      <c r="AD8615" t="s">
        <v>53</v>
      </c>
      <c r="AK8615">
        <v>0</v>
      </c>
      <c r="AU8615" s="6">
        <v>42181</v>
      </c>
      <c r="AV8615" s="6">
        <v>42181</v>
      </c>
      <c r="AW8615" t="s">
        <v>54</v>
      </c>
      <c r="AX8615" t="str">
        <f t="shared" si="703"/>
        <v>FOR</v>
      </c>
      <c r="AY8615" t="s">
        <v>55</v>
      </c>
    </row>
    <row r="8616" spans="1:51" hidden="1">
      <c r="A8616">
        <v>106519</v>
      </c>
      <c r="B8616" t="s">
        <v>1447</v>
      </c>
      <c r="C8616" t="str">
        <f>"03346850963"</f>
        <v>03346850963</v>
      </c>
      <c r="D8616" t="str">
        <f>"03346850963"</f>
        <v>03346850963</v>
      </c>
      <c r="E8616" t="s">
        <v>52</v>
      </c>
      <c r="F8616">
        <v>2014</v>
      </c>
      <c r="G8616">
        <v>541</v>
      </c>
      <c r="H8616" s="1">
        <v>41973</v>
      </c>
      <c r="I8616" s="1">
        <v>41983</v>
      </c>
      <c r="J8616" s="1">
        <v>41983</v>
      </c>
      <c r="K8616" s="1">
        <v>42043</v>
      </c>
      <c r="N8616" s="5"/>
      <c r="O8616" s="2">
        <v>2291.16</v>
      </c>
      <c r="P8616">
        <v>138</v>
      </c>
      <c r="Q8616" s="2">
        <v>316180.08</v>
      </c>
      <c r="R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 s="1">
        <v>42382</v>
      </c>
      <c r="AC8616" t="s">
        <v>53</v>
      </c>
      <c r="AD8616" t="s">
        <v>53</v>
      </c>
      <c r="AK8616">
        <v>0</v>
      </c>
      <c r="AU8616" s="6">
        <v>42181</v>
      </c>
      <c r="AV8616" s="6">
        <v>42181</v>
      </c>
      <c r="AW8616" t="s">
        <v>54</v>
      </c>
      <c r="AX8616" t="str">
        <f t="shared" si="703"/>
        <v>FOR</v>
      </c>
      <c r="AY8616" t="s">
        <v>55</v>
      </c>
    </row>
    <row r="8617" spans="1:51" hidden="1">
      <c r="A8617">
        <v>106521</v>
      </c>
      <c r="B8617" t="s">
        <v>1448</v>
      </c>
      <c r="C8617" t="str">
        <f t="shared" ref="C8617:D8624" si="707">"00160469995"</f>
        <v>00160469995</v>
      </c>
      <c r="D8617" t="str">
        <f t="shared" si="707"/>
        <v>00160469995</v>
      </c>
      <c r="E8617" t="s">
        <v>52</v>
      </c>
      <c r="F8617">
        <v>2014</v>
      </c>
      <c r="G8617">
        <v>2186</v>
      </c>
      <c r="H8617" s="1">
        <v>41982</v>
      </c>
      <c r="I8617" s="1">
        <v>42004</v>
      </c>
      <c r="J8617" s="1">
        <v>42004</v>
      </c>
      <c r="K8617" s="1">
        <v>42064</v>
      </c>
      <c r="N8617" s="5"/>
      <c r="O8617" s="2">
        <v>1824</v>
      </c>
      <c r="P8617">
        <v>162</v>
      </c>
      <c r="Q8617" s="2">
        <v>295488</v>
      </c>
      <c r="R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 s="1">
        <v>42382</v>
      </c>
      <c r="AC8617" t="s">
        <v>53</v>
      </c>
      <c r="AD8617" t="s">
        <v>53</v>
      </c>
      <c r="AK8617">
        <v>0</v>
      </c>
      <c r="AU8617" s="6">
        <v>42226</v>
      </c>
      <c r="AV8617" s="6">
        <v>42226</v>
      </c>
      <c r="AW8617" t="s">
        <v>54</v>
      </c>
      <c r="AX8617" t="str">
        <f t="shared" si="703"/>
        <v>FOR</v>
      </c>
      <c r="AY8617" t="s">
        <v>55</v>
      </c>
    </row>
    <row r="8618" spans="1:51" hidden="1">
      <c r="A8618">
        <v>106521</v>
      </c>
      <c r="B8618" t="s">
        <v>1448</v>
      </c>
      <c r="C8618" t="str">
        <f t="shared" si="707"/>
        <v>00160469995</v>
      </c>
      <c r="D8618" t="str">
        <f t="shared" si="707"/>
        <v>00160469995</v>
      </c>
      <c r="E8618" t="s">
        <v>52</v>
      </c>
      <c r="F8618">
        <v>2014</v>
      </c>
      <c r="G8618">
        <v>2710</v>
      </c>
      <c r="H8618" s="1">
        <v>41991</v>
      </c>
      <c r="I8618" s="1">
        <v>42004</v>
      </c>
      <c r="J8618" s="1">
        <v>42004</v>
      </c>
      <c r="K8618" s="1">
        <v>42064</v>
      </c>
      <c r="N8618" s="5"/>
      <c r="O8618">
        <v>154.5</v>
      </c>
      <c r="P8618">
        <v>162</v>
      </c>
      <c r="Q8618" s="2">
        <v>25029</v>
      </c>
      <c r="R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 s="1">
        <v>42382</v>
      </c>
      <c r="AC8618" t="s">
        <v>53</v>
      </c>
      <c r="AD8618" t="s">
        <v>53</v>
      </c>
      <c r="AK8618">
        <v>0</v>
      </c>
      <c r="AU8618" s="6">
        <v>42226</v>
      </c>
      <c r="AV8618" s="6">
        <v>42226</v>
      </c>
      <c r="AW8618" t="s">
        <v>54</v>
      </c>
      <c r="AX8618" t="str">
        <f t="shared" si="703"/>
        <v>FOR</v>
      </c>
      <c r="AY8618" t="s">
        <v>55</v>
      </c>
    </row>
    <row r="8619" spans="1:51">
      <c r="A8619">
        <v>106521</v>
      </c>
      <c r="B8619" t="s">
        <v>1448</v>
      </c>
      <c r="C8619" t="str">
        <f t="shared" si="707"/>
        <v>00160469995</v>
      </c>
      <c r="D8619" t="str">
        <f t="shared" si="707"/>
        <v>00160469995</v>
      </c>
      <c r="E8619" t="s">
        <v>52</v>
      </c>
      <c r="F8619">
        <v>2015</v>
      </c>
      <c r="G8619">
        <v>4</v>
      </c>
      <c r="H8619" s="1">
        <v>42009</v>
      </c>
      <c r="I8619" s="1">
        <v>42054</v>
      </c>
      <c r="J8619" s="1">
        <v>42054</v>
      </c>
      <c r="K8619" s="1">
        <v>42114</v>
      </c>
      <c r="L8619" s="7">
        <v>1653</v>
      </c>
      <c r="M8619" s="5">
        <v>171</v>
      </c>
      <c r="N8619" s="7">
        <v>282663</v>
      </c>
      <c r="O8619" s="2">
        <v>1653</v>
      </c>
      <c r="P8619">
        <v>171</v>
      </c>
      <c r="Q8619" s="2">
        <v>282663</v>
      </c>
      <c r="R8619">
        <v>0</v>
      </c>
      <c r="V8619">
        <v>0</v>
      </c>
      <c r="W8619">
        <v>0</v>
      </c>
      <c r="X8619">
        <v>0</v>
      </c>
      <c r="Y8619" s="2">
        <v>1653</v>
      </c>
      <c r="Z8619" s="2">
        <v>1653</v>
      </c>
      <c r="AA8619" s="2">
        <v>1653</v>
      </c>
      <c r="AB8619" s="1">
        <v>42382</v>
      </c>
      <c r="AC8619" t="s">
        <v>53</v>
      </c>
      <c r="AD8619" t="s">
        <v>53</v>
      </c>
      <c r="AK8619">
        <v>0</v>
      </c>
      <c r="AU8619" s="6">
        <v>42285</v>
      </c>
      <c r="AV8619" s="6">
        <v>42285</v>
      </c>
      <c r="AW8619" t="s">
        <v>54</v>
      </c>
      <c r="AX8619" t="str">
        <f t="shared" si="703"/>
        <v>FOR</v>
      </c>
      <c r="AY8619" t="s">
        <v>55</v>
      </c>
    </row>
    <row r="8620" spans="1:51">
      <c r="A8620">
        <v>106521</v>
      </c>
      <c r="B8620" t="s">
        <v>1448</v>
      </c>
      <c r="C8620" t="str">
        <f t="shared" si="707"/>
        <v>00160469995</v>
      </c>
      <c r="D8620" t="str">
        <f t="shared" si="707"/>
        <v>00160469995</v>
      </c>
      <c r="E8620" t="s">
        <v>52</v>
      </c>
      <c r="F8620">
        <v>2015</v>
      </c>
      <c r="G8620">
        <v>806</v>
      </c>
      <c r="H8620" s="1">
        <v>42026</v>
      </c>
      <c r="I8620" s="1">
        <v>42054</v>
      </c>
      <c r="J8620" s="1">
        <v>42054</v>
      </c>
      <c r="K8620" s="1">
        <v>42114</v>
      </c>
      <c r="L8620" s="7">
        <v>2204</v>
      </c>
      <c r="M8620" s="5">
        <v>171</v>
      </c>
      <c r="N8620" s="7">
        <v>376884</v>
      </c>
      <c r="O8620" s="2">
        <v>2204</v>
      </c>
      <c r="P8620">
        <v>171</v>
      </c>
      <c r="Q8620" s="2">
        <v>376884</v>
      </c>
      <c r="R8620">
        <v>0</v>
      </c>
      <c r="V8620">
        <v>0</v>
      </c>
      <c r="W8620">
        <v>0</v>
      </c>
      <c r="X8620">
        <v>0</v>
      </c>
      <c r="Y8620" s="2">
        <v>2204</v>
      </c>
      <c r="Z8620" s="2">
        <v>2204</v>
      </c>
      <c r="AA8620" s="2">
        <v>2204</v>
      </c>
      <c r="AB8620" s="1">
        <v>42382</v>
      </c>
      <c r="AC8620" t="s">
        <v>53</v>
      </c>
      <c r="AD8620" t="s">
        <v>53</v>
      </c>
      <c r="AK8620">
        <v>0</v>
      </c>
      <c r="AU8620" s="6">
        <v>42285</v>
      </c>
      <c r="AV8620" s="6">
        <v>42285</v>
      </c>
      <c r="AW8620" t="s">
        <v>54</v>
      </c>
      <c r="AX8620" t="str">
        <f t="shared" si="703"/>
        <v>FOR</v>
      </c>
      <c r="AY8620" t="s">
        <v>55</v>
      </c>
    </row>
    <row r="8621" spans="1:51" hidden="1">
      <c r="A8621">
        <v>106521</v>
      </c>
      <c r="B8621" t="s">
        <v>1448</v>
      </c>
      <c r="C8621" t="str">
        <f t="shared" si="707"/>
        <v>00160469995</v>
      </c>
      <c r="D8621" t="str">
        <f t="shared" si="707"/>
        <v>00160469995</v>
      </c>
      <c r="E8621" t="s">
        <v>52</v>
      </c>
      <c r="F8621">
        <v>2015</v>
      </c>
      <c r="G8621">
        <v>2588</v>
      </c>
      <c r="H8621" s="1">
        <v>42060</v>
      </c>
      <c r="I8621" s="1">
        <v>42067</v>
      </c>
      <c r="J8621" s="1">
        <v>42067</v>
      </c>
      <c r="K8621" s="1">
        <v>42127</v>
      </c>
      <c r="N8621" s="5"/>
      <c r="O8621">
        <v>177.02</v>
      </c>
      <c r="P8621">
        <v>99</v>
      </c>
      <c r="Q8621" s="2">
        <v>17524.98</v>
      </c>
      <c r="R8621">
        <v>0</v>
      </c>
      <c r="V8621">
        <v>0</v>
      </c>
      <c r="W8621">
        <v>0</v>
      </c>
      <c r="X8621">
        <v>0</v>
      </c>
      <c r="Y8621">
        <v>177.02</v>
      </c>
      <c r="Z8621">
        <v>177.02</v>
      </c>
      <c r="AA8621">
        <v>177.02</v>
      </c>
      <c r="AB8621" s="1">
        <v>42382</v>
      </c>
      <c r="AC8621" t="s">
        <v>53</v>
      </c>
      <c r="AD8621" t="s">
        <v>53</v>
      </c>
      <c r="AK8621">
        <v>0</v>
      </c>
      <c r="AU8621" s="6">
        <v>42226</v>
      </c>
      <c r="AV8621" s="6">
        <v>42226</v>
      </c>
      <c r="AW8621" t="s">
        <v>54</v>
      </c>
      <c r="AX8621" t="str">
        <f t="shared" si="703"/>
        <v>FOR</v>
      </c>
      <c r="AY8621" t="s">
        <v>55</v>
      </c>
    </row>
    <row r="8622" spans="1:51">
      <c r="A8622">
        <v>106521</v>
      </c>
      <c r="B8622" t="s">
        <v>1448</v>
      </c>
      <c r="C8622" t="str">
        <f t="shared" si="707"/>
        <v>00160469995</v>
      </c>
      <c r="D8622" t="str">
        <f t="shared" si="707"/>
        <v>00160469995</v>
      </c>
      <c r="E8622" t="s">
        <v>52</v>
      </c>
      <c r="F8622">
        <v>2015</v>
      </c>
      <c r="G8622">
        <v>3655</v>
      </c>
      <c r="H8622" s="1">
        <v>42081</v>
      </c>
      <c r="I8622" s="1">
        <v>42087</v>
      </c>
      <c r="J8622" s="1">
        <v>42087</v>
      </c>
      <c r="K8622" s="1">
        <v>42147</v>
      </c>
      <c r="L8622" s="7">
        <v>1368.01</v>
      </c>
      <c r="M8622" s="5">
        <v>138</v>
      </c>
      <c r="N8622" s="7">
        <v>188785.38</v>
      </c>
      <c r="O8622" s="2">
        <v>1368.01</v>
      </c>
      <c r="P8622">
        <v>138</v>
      </c>
      <c r="Q8622" s="2">
        <v>188785.38</v>
      </c>
      <c r="R8622">
        <v>0</v>
      </c>
      <c r="V8622">
        <v>0</v>
      </c>
      <c r="W8622">
        <v>0</v>
      </c>
      <c r="X8622">
        <v>0</v>
      </c>
      <c r="Y8622" s="2">
        <v>1368.01</v>
      </c>
      <c r="Z8622" s="2">
        <v>1368.01</v>
      </c>
      <c r="AA8622" s="2">
        <v>1368.01</v>
      </c>
      <c r="AB8622" s="1">
        <v>42382</v>
      </c>
      <c r="AC8622" t="s">
        <v>53</v>
      </c>
      <c r="AD8622" t="s">
        <v>53</v>
      </c>
      <c r="AK8622">
        <v>0</v>
      </c>
      <c r="AU8622" s="6">
        <v>42285</v>
      </c>
      <c r="AV8622" s="6">
        <v>42285</v>
      </c>
      <c r="AW8622" t="s">
        <v>54</v>
      </c>
      <c r="AX8622" t="str">
        <f t="shared" si="703"/>
        <v>FOR</v>
      </c>
      <c r="AY8622" t="s">
        <v>55</v>
      </c>
    </row>
    <row r="8623" spans="1:51">
      <c r="A8623">
        <v>106521</v>
      </c>
      <c r="B8623" t="s">
        <v>1448</v>
      </c>
      <c r="C8623" t="str">
        <f t="shared" si="707"/>
        <v>00160469995</v>
      </c>
      <c r="D8623" t="str">
        <f t="shared" si="707"/>
        <v>00160469995</v>
      </c>
      <c r="E8623" t="s">
        <v>52</v>
      </c>
      <c r="F8623">
        <v>2015</v>
      </c>
      <c r="G8623">
        <v>4653</v>
      </c>
      <c r="H8623" s="1">
        <v>42103</v>
      </c>
      <c r="I8623" s="1">
        <v>42177</v>
      </c>
      <c r="J8623" s="1">
        <v>42177</v>
      </c>
      <c r="K8623" s="1">
        <v>42237</v>
      </c>
      <c r="L8623" s="7">
        <v>1026</v>
      </c>
      <c r="M8623" s="5">
        <v>48</v>
      </c>
      <c r="N8623" s="7">
        <v>49248</v>
      </c>
      <c r="O8623" s="2">
        <v>1026</v>
      </c>
      <c r="P8623">
        <v>48</v>
      </c>
      <c r="Q8623" s="2">
        <v>49248</v>
      </c>
      <c r="R8623">
        <v>0</v>
      </c>
      <c r="V8623">
        <v>0</v>
      </c>
      <c r="W8623">
        <v>0</v>
      </c>
      <c r="X8623">
        <v>0</v>
      </c>
      <c r="Y8623" s="2">
        <v>1026</v>
      </c>
      <c r="Z8623" s="2">
        <v>1026</v>
      </c>
      <c r="AA8623" s="2">
        <v>1026</v>
      </c>
      <c r="AB8623" s="1">
        <v>42382</v>
      </c>
      <c r="AC8623" t="s">
        <v>53</v>
      </c>
      <c r="AD8623" t="s">
        <v>53</v>
      </c>
      <c r="AK8623">
        <v>0</v>
      </c>
      <c r="AU8623" s="6">
        <v>42285</v>
      </c>
      <c r="AV8623" s="6">
        <v>42285</v>
      </c>
      <c r="AW8623" t="s">
        <v>54</v>
      </c>
      <c r="AX8623" t="str">
        <f t="shared" si="703"/>
        <v>FOR</v>
      </c>
      <c r="AY8623" t="s">
        <v>55</v>
      </c>
    </row>
    <row r="8624" spans="1:51">
      <c r="A8624">
        <v>106521</v>
      </c>
      <c r="B8624" t="s">
        <v>1448</v>
      </c>
      <c r="C8624" t="str">
        <f t="shared" si="707"/>
        <v>00160469995</v>
      </c>
      <c r="D8624" t="str">
        <f t="shared" si="707"/>
        <v>00160469995</v>
      </c>
      <c r="E8624" t="s">
        <v>52</v>
      </c>
      <c r="F8624">
        <v>2015</v>
      </c>
      <c r="G8624">
        <v>11648</v>
      </c>
      <c r="H8624" s="1">
        <v>42248</v>
      </c>
      <c r="I8624" s="1">
        <v>42275</v>
      </c>
      <c r="J8624" s="1">
        <v>42275</v>
      </c>
      <c r="K8624" s="1">
        <v>42335</v>
      </c>
      <c r="L8624" s="7">
        <v>855</v>
      </c>
      <c r="M8624" s="5">
        <v>6</v>
      </c>
      <c r="N8624" s="7">
        <v>5130</v>
      </c>
      <c r="O8624">
        <v>855</v>
      </c>
      <c r="P8624">
        <v>6</v>
      </c>
      <c r="Q8624" s="2">
        <v>5130</v>
      </c>
      <c r="R8624">
        <v>0</v>
      </c>
      <c r="V8624">
        <v>0</v>
      </c>
      <c r="W8624">
        <v>0</v>
      </c>
      <c r="X8624">
        <v>0</v>
      </c>
      <c r="Y8624">
        <v>855</v>
      </c>
      <c r="Z8624">
        <v>855</v>
      </c>
      <c r="AA8624">
        <v>855</v>
      </c>
      <c r="AB8624" s="1">
        <v>42382</v>
      </c>
      <c r="AC8624" t="s">
        <v>53</v>
      </c>
      <c r="AD8624" t="s">
        <v>53</v>
      </c>
      <c r="AK8624">
        <v>0</v>
      </c>
      <c r="AU8624" s="6">
        <v>42341</v>
      </c>
      <c r="AV8624" s="6">
        <v>42341</v>
      </c>
      <c r="AW8624" t="s">
        <v>54</v>
      </c>
      <c r="AX8624" t="str">
        <f t="shared" si="703"/>
        <v>FOR</v>
      </c>
      <c r="AY8624" t="s">
        <v>55</v>
      </c>
    </row>
    <row r="8625" spans="1:51" hidden="1">
      <c r="A8625">
        <v>106525</v>
      </c>
      <c r="B8625" t="s">
        <v>1449</v>
      </c>
      <c r="C8625" t="str">
        <f>"02006840645"</f>
        <v>02006840645</v>
      </c>
      <c r="D8625" t="str">
        <f>"MBRNGL65A07A101A"</f>
        <v>MBRNGL65A07A101A</v>
      </c>
      <c r="E8625" t="s">
        <v>52</v>
      </c>
      <c r="F8625">
        <v>2014</v>
      </c>
      <c r="G8625">
        <v>455</v>
      </c>
      <c r="H8625" s="1">
        <v>41927</v>
      </c>
      <c r="I8625" s="1">
        <v>41984</v>
      </c>
      <c r="J8625" s="1">
        <v>41984</v>
      </c>
      <c r="K8625" s="1">
        <v>42044</v>
      </c>
      <c r="N8625" s="5"/>
      <c r="O8625" s="2">
        <v>3000</v>
      </c>
      <c r="P8625">
        <v>-27</v>
      </c>
      <c r="Q8625" s="2">
        <v>-81000</v>
      </c>
      <c r="R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 s="1">
        <v>42382</v>
      </c>
      <c r="AC8625" t="s">
        <v>53</v>
      </c>
      <c r="AD8625" t="s">
        <v>53</v>
      </c>
      <c r="AK8625">
        <v>0</v>
      </c>
      <c r="AU8625" s="6">
        <v>42017</v>
      </c>
      <c r="AV8625" s="6">
        <v>42017</v>
      </c>
      <c r="AW8625" t="s">
        <v>54</v>
      </c>
      <c r="AX8625" t="str">
        <f t="shared" si="703"/>
        <v>FOR</v>
      </c>
      <c r="AY8625" t="s">
        <v>55</v>
      </c>
    </row>
    <row r="8626" spans="1:51" hidden="1">
      <c r="A8626">
        <v>106525</v>
      </c>
      <c r="B8626" t="s">
        <v>1449</v>
      </c>
      <c r="C8626" t="str">
        <f>"02006840645"</f>
        <v>02006840645</v>
      </c>
      <c r="D8626" t="str">
        <f>"MBRNGL65A07A101A"</f>
        <v>MBRNGL65A07A101A</v>
      </c>
      <c r="E8626" t="s">
        <v>52</v>
      </c>
      <c r="F8626">
        <v>2014</v>
      </c>
      <c r="G8626">
        <v>456</v>
      </c>
      <c r="H8626" s="1">
        <v>41927</v>
      </c>
      <c r="I8626" s="1">
        <v>41984</v>
      </c>
      <c r="J8626" s="1">
        <v>41984</v>
      </c>
      <c r="K8626" s="1">
        <v>42044</v>
      </c>
      <c r="N8626" s="5"/>
      <c r="O8626" s="2">
        <v>1200</v>
      </c>
      <c r="P8626">
        <v>-27</v>
      </c>
      <c r="Q8626" s="2">
        <v>-32400</v>
      </c>
      <c r="R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 s="1">
        <v>42382</v>
      </c>
      <c r="AC8626" t="s">
        <v>53</v>
      </c>
      <c r="AD8626" t="s">
        <v>53</v>
      </c>
      <c r="AK8626">
        <v>0</v>
      </c>
      <c r="AU8626" s="6">
        <v>42017</v>
      </c>
      <c r="AV8626" s="6">
        <v>42017</v>
      </c>
      <c r="AW8626" t="s">
        <v>54</v>
      </c>
      <c r="AX8626" t="str">
        <f t="shared" si="703"/>
        <v>FOR</v>
      </c>
      <c r="AY8626" t="s">
        <v>55</v>
      </c>
    </row>
    <row r="8627" spans="1:51">
      <c r="A8627">
        <v>106526</v>
      </c>
      <c r="B8627" t="s">
        <v>1450</v>
      </c>
      <c r="C8627" t="str">
        <f>"06522300968"</f>
        <v>06522300968</v>
      </c>
      <c r="D8627" t="str">
        <f>"06522300968"</f>
        <v>06522300968</v>
      </c>
      <c r="E8627" t="s">
        <v>52</v>
      </c>
      <c r="F8627">
        <v>2014</v>
      </c>
      <c r="G8627">
        <v>12013</v>
      </c>
      <c r="H8627" s="1">
        <v>41984</v>
      </c>
      <c r="I8627" s="1">
        <v>41995</v>
      </c>
      <c r="J8627" s="1">
        <v>41995</v>
      </c>
      <c r="K8627" s="1">
        <v>42055</v>
      </c>
      <c r="L8627" s="7">
        <v>271.26</v>
      </c>
      <c r="M8627" s="5">
        <v>298</v>
      </c>
      <c r="N8627" s="7">
        <v>80835.48</v>
      </c>
      <c r="O8627">
        <v>271.26</v>
      </c>
      <c r="P8627">
        <v>298</v>
      </c>
      <c r="Q8627" s="2">
        <v>80835.48</v>
      </c>
      <c r="R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 s="1">
        <v>42382</v>
      </c>
      <c r="AC8627" t="s">
        <v>53</v>
      </c>
      <c r="AD8627" t="s">
        <v>53</v>
      </c>
      <c r="AK8627">
        <v>0</v>
      </c>
      <c r="AU8627" s="6">
        <v>42353</v>
      </c>
      <c r="AV8627" s="6">
        <v>42353</v>
      </c>
      <c r="AW8627" t="s">
        <v>54</v>
      </c>
      <c r="AX8627" t="str">
        <f t="shared" si="703"/>
        <v>FOR</v>
      </c>
      <c r="AY8627" t="s">
        <v>55</v>
      </c>
    </row>
    <row r="8628" spans="1:51" hidden="1">
      <c r="A8628">
        <v>106527</v>
      </c>
      <c r="B8628" t="s">
        <v>1451</v>
      </c>
      <c r="C8628" t="str">
        <f t="shared" ref="C8628:D8630" si="708">"01034640100"</f>
        <v>01034640100</v>
      </c>
      <c r="D8628" t="str">
        <f t="shared" si="708"/>
        <v>01034640100</v>
      </c>
      <c r="E8628" t="s">
        <v>52</v>
      </c>
      <c r="F8628">
        <v>2014</v>
      </c>
      <c r="G8628">
        <v>1414</v>
      </c>
      <c r="H8628" s="1">
        <v>41988</v>
      </c>
      <c r="I8628" s="1">
        <v>41995</v>
      </c>
      <c r="J8628" s="1">
        <v>41995</v>
      </c>
      <c r="K8628" s="1">
        <v>42055</v>
      </c>
      <c r="N8628" s="5"/>
      <c r="O8628" s="2">
        <v>1384.31</v>
      </c>
      <c r="P8628">
        <v>104</v>
      </c>
      <c r="Q8628" s="2">
        <v>143968.24</v>
      </c>
      <c r="R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 s="1">
        <v>42382</v>
      </c>
      <c r="AC8628" t="s">
        <v>53</v>
      </c>
      <c r="AD8628" t="s">
        <v>53</v>
      </c>
      <c r="AK8628">
        <v>0</v>
      </c>
      <c r="AU8628" s="6">
        <v>42159</v>
      </c>
      <c r="AV8628" s="6">
        <v>42159</v>
      </c>
      <c r="AW8628" t="s">
        <v>54</v>
      </c>
      <c r="AX8628" t="str">
        <f t="shared" si="703"/>
        <v>FOR</v>
      </c>
      <c r="AY8628" t="s">
        <v>55</v>
      </c>
    </row>
    <row r="8629" spans="1:51" hidden="1">
      <c r="A8629">
        <v>106527</v>
      </c>
      <c r="B8629" t="s">
        <v>1451</v>
      </c>
      <c r="C8629" t="str">
        <f t="shared" si="708"/>
        <v>01034640100</v>
      </c>
      <c r="D8629" t="str">
        <f t="shared" si="708"/>
        <v>01034640100</v>
      </c>
      <c r="E8629" t="s">
        <v>52</v>
      </c>
      <c r="F8629">
        <v>2014</v>
      </c>
      <c r="G8629">
        <v>1415</v>
      </c>
      <c r="H8629" s="1">
        <v>41988</v>
      </c>
      <c r="I8629" s="1">
        <v>41995</v>
      </c>
      <c r="J8629" s="1">
        <v>41995</v>
      </c>
      <c r="K8629" s="1">
        <v>42055</v>
      </c>
      <c r="N8629" s="5"/>
      <c r="O8629" s="2">
        <v>4635.09</v>
      </c>
      <c r="P8629">
        <v>104</v>
      </c>
      <c r="Q8629" s="2">
        <v>482049.36</v>
      </c>
      <c r="R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 s="1">
        <v>42382</v>
      </c>
      <c r="AC8629" t="s">
        <v>53</v>
      </c>
      <c r="AD8629" t="s">
        <v>53</v>
      </c>
      <c r="AK8629">
        <v>0</v>
      </c>
      <c r="AU8629" s="6">
        <v>42159</v>
      </c>
      <c r="AV8629" s="6">
        <v>42159</v>
      </c>
      <c r="AW8629" t="s">
        <v>54</v>
      </c>
      <c r="AX8629" t="str">
        <f t="shared" si="703"/>
        <v>FOR</v>
      </c>
      <c r="AY8629" t="s">
        <v>55</v>
      </c>
    </row>
    <row r="8630" spans="1:51" hidden="1">
      <c r="A8630">
        <v>106527</v>
      </c>
      <c r="B8630" t="s">
        <v>1451</v>
      </c>
      <c r="C8630" t="str">
        <f t="shared" si="708"/>
        <v>01034640100</v>
      </c>
      <c r="D8630" t="str">
        <f t="shared" si="708"/>
        <v>01034640100</v>
      </c>
      <c r="E8630" t="s">
        <v>52</v>
      </c>
      <c r="F8630">
        <v>2014</v>
      </c>
      <c r="G8630">
        <v>1416</v>
      </c>
      <c r="H8630" s="1">
        <v>41988</v>
      </c>
      <c r="I8630" s="1">
        <v>41995</v>
      </c>
      <c r="J8630" s="1">
        <v>41995</v>
      </c>
      <c r="K8630" s="1">
        <v>42055</v>
      </c>
      <c r="N8630" s="5"/>
      <c r="O8630">
        <v>973.6</v>
      </c>
      <c r="P8630">
        <v>104</v>
      </c>
      <c r="Q8630" s="2">
        <v>101254.39999999999</v>
      </c>
      <c r="R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 s="1">
        <v>42382</v>
      </c>
      <c r="AC8630" t="s">
        <v>53</v>
      </c>
      <c r="AD8630" t="s">
        <v>53</v>
      </c>
      <c r="AK8630">
        <v>0</v>
      </c>
      <c r="AU8630" s="6">
        <v>42159</v>
      </c>
      <c r="AV8630" s="6">
        <v>42159</v>
      </c>
      <c r="AW8630" t="s">
        <v>54</v>
      </c>
      <c r="AX8630" t="str">
        <f t="shared" si="703"/>
        <v>FOR</v>
      </c>
      <c r="AY8630" t="s">
        <v>55</v>
      </c>
    </row>
    <row r="8631" spans="1:51" hidden="1">
      <c r="A8631">
        <v>106528</v>
      </c>
      <c r="B8631" t="s">
        <v>1452</v>
      </c>
      <c r="C8631" t="str">
        <f>"00857680623"</f>
        <v>00857680623</v>
      </c>
      <c r="D8631" t="str">
        <f>"ZZIMRA59B01A783L"</f>
        <v>ZZIMRA59B01A783L</v>
      </c>
      <c r="E8631" t="s">
        <v>52</v>
      </c>
      <c r="F8631">
        <v>2014</v>
      </c>
      <c r="G8631" t="s">
        <v>787</v>
      </c>
      <c r="H8631" s="1">
        <v>41964</v>
      </c>
      <c r="I8631" s="1">
        <v>41983</v>
      </c>
      <c r="J8631" s="1">
        <v>41983</v>
      </c>
      <c r="K8631" s="1">
        <v>42043</v>
      </c>
      <c r="N8631" s="5"/>
      <c r="O8631">
        <v>65</v>
      </c>
      <c r="P8631">
        <v>-3</v>
      </c>
      <c r="Q8631">
        <v>-195</v>
      </c>
      <c r="R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 s="1">
        <v>42382</v>
      </c>
      <c r="AC8631" t="s">
        <v>53</v>
      </c>
      <c r="AD8631" t="s">
        <v>53</v>
      </c>
      <c r="AK8631">
        <v>0</v>
      </c>
      <c r="AU8631" s="6">
        <v>42040</v>
      </c>
      <c r="AV8631" s="6">
        <v>42040</v>
      </c>
      <c r="AW8631" t="s">
        <v>54</v>
      </c>
      <c r="AX8631" t="str">
        <f t="shared" si="703"/>
        <v>FOR</v>
      </c>
      <c r="AY8631" t="s">
        <v>55</v>
      </c>
    </row>
    <row r="8632" spans="1:51" hidden="1">
      <c r="A8632">
        <v>106529</v>
      </c>
      <c r="B8632" t="s">
        <v>1453</v>
      </c>
      <c r="C8632" t="str">
        <f t="shared" ref="C8632:D8634" si="709">"07699621210"</f>
        <v>07699621210</v>
      </c>
      <c r="D8632" t="str">
        <f t="shared" si="709"/>
        <v>07699621210</v>
      </c>
      <c r="E8632" t="s">
        <v>52</v>
      </c>
      <c r="F8632">
        <v>2014</v>
      </c>
      <c r="G8632">
        <v>7</v>
      </c>
      <c r="H8632" s="1">
        <v>41995</v>
      </c>
      <c r="I8632" s="1">
        <v>42004</v>
      </c>
      <c r="J8632" s="1">
        <v>42004</v>
      </c>
      <c r="K8632" s="1">
        <v>42064</v>
      </c>
      <c r="N8632" s="5"/>
      <c r="O8632" s="2">
        <v>47946</v>
      </c>
      <c r="P8632">
        <v>66</v>
      </c>
      <c r="Q8632" s="2">
        <v>3164436</v>
      </c>
      <c r="R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 s="1">
        <v>42382</v>
      </c>
      <c r="AC8632" t="s">
        <v>53</v>
      </c>
      <c r="AD8632" t="s">
        <v>53</v>
      </c>
      <c r="AK8632">
        <v>0</v>
      </c>
      <c r="AU8632" s="6">
        <v>42130</v>
      </c>
      <c r="AV8632" s="6">
        <v>42130</v>
      </c>
      <c r="AW8632" t="s">
        <v>54</v>
      </c>
      <c r="AX8632" t="str">
        <f t="shared" si="703"/>
        <v>FOR</v>
      </c>
      <c r="AY8632" t="s">
        <v>55</v>
      </c>
    </row>
    <row r="8633" spans="1:51">
      <c r="A8633">
        <v>106529</v>
      </c>
      <c r="B8633" t="s">
        <v>1453</v>
      </c>
      <c r="C8633" t="str">
        <f t="shared" si="709"/>
        <v>07699621210</v>
      </c>
      <c r="D8633" t="str">
        <f t="shared" si="709"/>
        <v>07699621210</v>
      </c>
      <c r="E8633" t="s">
        <v>52</v>
      </c>
      <c r="F8633">
        <v>2015</v>
      </c>
      <c r="G8633">
        <v>2</v>
      </c>
      <c r="H8633" s="1">
        <v>42116</v>
      </c>
      <c r="I8633" s="1">
        <v>42135</v>
      </c>
      <c r="J8633" s="1">
        <v>42132</v>
      </c>
      <c r="K8633" s="1">
        <v>42192</v>
      </c>
      <c r="L8633" s="7">
        <v>39300</v>
      </c>
      <c r="M8633" s="5">
        <v>86</v>
      </c>
      <c r="N8633" s="7">
        <v>3379800</v>
      </c>
      <c r="O8633" s="2">
        <v>39300</v>
      </c>
      <c r="P8633">
        <v>86</v>
      </c>
      <c r="Q8633" s="2">
        <v>3379800</v>
      </c>
      <c r="R8633">
        <v>0</v>
      </c>
      <c r="V8633">
        <v>0</v>
      </c>
      <c r="W8633">
        <v>0</v>
      </c>
      <c r="X8633">
        <v>0</v>
      </c>
      <c r="Y8633" s="2">
        <v>47946</v>
      </c>
      <c r="Z8633" s="2">
        <v>47946</v>
      </c>
      <c r="AA8633" s="2">
        <v>47946</v>
      </c>
      <c r="AB8633" s="1">
        <v>42382</v>
      </c>
      <c r="AC8633" t="s">
        <v>53</v>
      </c>
      <c r="AD8633" t="s">
        <v>53</v>
      </c>
      <c r="AK8633">
        <v>0</v>
      </c>
      <c r="AU8633" s="6">
        <v>42278</v>
      </c>
      <c r="AV8633" s="6">
        <v>42278</v>
      </c>
      <c r="AW8633" t="s">
        <v>54</v>
      </c>
      <c r="AX8633" t="str">
        <f t="shared" si="703"/>
        <v>FOR</v>
      </c>
      <c r="AY8633" t="s">
        <v>55</v>
      </c>
    </row>
    <row r="8634" spans="1:51">
      <c r="A8634">
        <v>106529</v>
      </c>
      <c r="B8634" t="s">
        <v>1453</v>
      </c>
      <c r="C8634" t="str">
        <f t="shared" si="709"/>
        <v>07699621210</v>
      </c>
      <c r="D8634" t="str">
        <f t="shared" si="709"/>
        <v>07699621210</v>
      </c>
      <c r="E8634" t="s">
        <v>52</v>
      </c>
      <c r="F8634">
        <v>2015</v>
      </c>
      <c r="G8634">
        <v>5</v>
      </c>
      <c r="H8634" s="1">
        <v>42207</v>
      </c>
      <c r="I8634" s="1">
        <v>42233</v>
      </c>
      <c r="J8634" s="1">
        <v>42207</v>
      </c>
      <c r="K8634" s="1">
        <v>42267</v>
      </c>
      <c r="L8634" s="7">
        <v>1080</v>
      </c>
      <c r="M8634" s="5">
        <v>11</v>
      </c>
      <c r="N8634" s="7">
        <v>11880</v>
      </c>
      <c r="O8634" s="2">
        <v>1080</v>
      </c>
      <c r="P8634">
        <v>11</v>
      </c>
      <c r="Q8634" s="2">
        <v>11880</v>
      </c>
      <c r="R8634">
        <v>0</v>
      </c>
      <c r="V8634">
        <v>0</v>
      </c>
      <c r="W8634">
        <v>0</v>
      </c>
      <c r="X8634">
        <v>0</v>
      </c>
      <c r="Y8634" s="2">
        <v>1317.6</v>
      </c>
      <c r="Z8634" s="2">
        <v>1317.6</v>
      </c>
      <c r="AA8634" s="2">
        <v>1317.6</v>
      </c>
      <c r="AB8634" s="1">
        <v>42382</v>
      </c>
      <c r="AC8634" t="s">
        <v>53</v>
      </c>
      <c r="AD8634" t="s">
        <v>53</v>
      </c>
      <c r="AK8634">
        <v>0</v>
      </c>
      <c r="AU8634" s="6">
        <v>42278</v>
      </c>
      <c r="AV8634" s="6">
        <v>42278</v>
      </c>
      <c r="AW8634" t="s">
        <v>54</v>
      </c>
      <c r="AX8634" t="str">
        <f t="shared" si="703"/>
        <v>FOR</v>
      </c>
      <c r="AY8634" t="s">
        <v>55</v>
      </c>
    </row>
    <row r="8635" spans="1:51" hidden="1">
      <c r="A8635">
        <v>106530</v>
      </c>
      <c r="B8635" t="s">
        <v>1454</v>
      </c>
      <c r="C8635" t="str">
        <f>"06616431216"</f>
        <v>06616431216</v>
      </c>
      <c r="D8635" t="str">
        <f>"06616431216"</f>
        <v>06616431216</v>
      </c>
      <c r="E8635" t="s">
        <v>52</v>
      </c>
      <c r="F8635">
        <v>2015</v>
      </c>
      <c r="G8635" t="s">
        <v>1455</v>
      </c>
      <c r="H8635" s="1">
        <v>42031</v>
      </c>
      <c r="I8635" s="1">
        <v>42037</v>
      </c>
      <c r="J8635" s="1">
        <v>42037</v>
      </c>
      <c r="K8635" s="1">
        <v>42097</v>
      </c>
      <c r="N8635" s="5"/>
      <c r="O8635" s="2">
        <v>4742.3999999999996</v>
      </c>
      <c r="P8635">
        <v>91</v>
      </c>
      <c r="Q8635" s="2">
        <v>431558.40000000002</v>
      </c>
      <c r="R8635">
        <v>0</v>
      </c>
      <c r="V8635">
        <v>0</v>
      </c>
      <c r="W8635">
        <v>0</v>
      </c>
      <c r="X8635">
        <v>0</v>
      </c>
      <c r="Y8635">
        <v>0</v>
      </c>
      <c r="Z8635" s="2">
        <v>5785.73</v>
      </c>
      <c r="AA8635" s="2">
        <v>5785.73</v>
      </c>
      <c r="AB8635" s="1">
        <v>42382</v>
      </c>
      <c r="AC8635" t="s">
        <v>53</v>
      </c>
      <c r="AD8635" t="s">
        <v>53</v>
      </c>
      <c r="AK8635">
        <v>0</v>
      </c>
      <c r="AU8635" s="6">
        <v>42188</v>
      </c>
      <c r="AV8635" s="6">
        <v>42188</v>
      </c>
      <c r="AW8635" t="s">
        <v>54</v>
      </c>
      <c r="AX8635" t="str">
        <f t="shared" si="703"/>
        <v>FOR</v>
      </c>
      <c r="AY8635" t="s">
        <v>55</v>
      </c>
    </row>
    <row r="8636" spans="1:51">
      <c r="A8636">
        <v>106531</v>
      </c>
      <c r="B8636" t="s">
        <v>1456</v>
      </c>
      <c r="C8636" t="str">
        <f>"03653370282"</f>
        <v>03653370282</v>
      </c>
      <c r="D8636" t="str">
        <f>"03653370282"</f>
        <v>03653370282</v>
      </c>
      <c r="E8636" t="s">
        <v>52</v>
      </c>
      <c r="F8636">
        <v>2015</v>
      </c>
      <c r="G8636">
        <v>126</v>
      </c>
      <c r="H8636" s="1">
        <v>42027</v>
      </c>
      <c r="I8636" s="1">
        <v>42037</v>
      </c>
      <c r="J8636" s="1">
        <v>42037</v>
      </c>
      <c r="K8636" s="1">
        <v>42097</v>
      </c>
      <c r="L8636" s="7">
        <v>3300</v>
      </c>
      <c r="M8636" s="5">
        <v>258</v>
      </c>
      <c r="N8636" s="7">
        <v>851400</v>
      </c>
      <c r="O8636" s="2">
        <v>3300</v>
      </c>
      <c r="P8636">
        <v>258</v>
      </c>
      <c r="Q8636" s="2">
        <v>851400</v>
      </c>
      <c r="R8636">
        <v>726</v>
      </c>
      <c r="V8636">
        <v>0</v>
      </c>
      <c r="W8636">
        <v>0</v>
      </c>
      <c r="X8636">
        <v>0</v>
      </c>
      <c r="Y8636" s="2">
        <v>4026</v>
      </c>
      <c r="Z8636" s="2">
        <v>4026</v>
      </c>
      <c r="AA8636" s="2">
        <v>4026</v>
      </c>
      <c r="AB8636" s="1">
        <v>42382</v>
      </c>
      <c r="AC8636" t="s">
        <v>53</v>
      </c>
      <c r="AD8636" t="s">
        <v>53</v>
      </c>
      <c r="AK8636">
        <v>726</v>
      </c>
      <c r="AU8636" s="6">
        <v>42355</v>
      </c>
      <c r="AV8636" s="6">
        <v>42355</v>
      </c>
      <c r="AW8636" t="s">
        <v>54</v>
      </c>
      <c r="AX8636" t="str">
        <f t="shared" si="703"/>
        <v>FOR</v>
      </c>
      <c r="AY8636" t="s">
        <v>55</v>
      </c>
    </row>
    <row r="8637" spans="1:51" hidden="1">
      <c r="A8637">
        <v>106533</v>
      </c>
      <c r="B8637" t="s">
        <v>1457</v>
      </c>
      <c r="C8637" t="str">
        <f>"07522850630"</f>
        <v>07522850630</v>
      </c>
      <c r="D8637" t="str">
        <f>"07522850630"</f>
        <v>07522850630</v>
      </c>
      <c r="E8637" t="s">
        <v>52</v>
      </c>
      <c r="F8637">
        <v>2015</v>
      </c>
      <c r="G8637" t="s">
        <v>1458</v>
      </c>
      <c r="H8637" s="1">
        <v>42011</v>
      </c>
      <c r="I8637" s="1">
        <v>42025</v>
      </c>
      <c r="J8637" s="1">
        <v>42025</v>
      </c>
      <c r="K8637" s="1">
        <v>42085</v>
      </c>
      <c r="N8637" s="5"/>
      <c r="O8637">
        <v>281.45</v>
      </c>
      <c r="P8637">
        <v>38</v>
      </c>
      <c r="Q8637" s="2">
        <v>10695.1</v>
      </c>
      <c r="R8637">
        <v>28.15</v>
      </c>
      <c r="V8637">
        <v>0</v>
      </c>
      <c r="W8637">
        <v>0</v>
      </c>
      <c r="X8637">
        <v>0</v>
      </c>
      <c r="Y8637">
        <v>309.60000000000002</v>
      </c>
      <c r="Z8637">
        <v>309.60000000000002</v>
      </c>
      <c r="AA8637">
        <v>309.60000000000002</v>
      </c>
      <c r="AB8637" s="1">
        <v>42382</v>
      </c>
      <c r="AC8637" t="s">
        <v>53</v>
      </c>
      <c r="AD8637" t="s">
        <v>53</v>
      </c>
      <c r="AK8637">
        <v>28.15</v>
      </c>
      <c r="AU8637" s="6">
        <v>42123</v>
      </c>
      <c r="AV8637" s="6">
        <v>42123</v>
      </c>
      <c r="AW8637" t="s">
        <v>54</v>
      </c>
      <c r="AX8637" t="str">
        <f t="shared" si="703"/>
        <v>FOR</v>
      </c>
      <c r="AY8637" t="s">
        <v>55</v>
      </c>
    </row>
    <row r="8638" spans="1:51" hidden="1">
      <c r="A8638">
        <v>106534</v>
      </c>
      <c r="B8638" t="s">
        <v>1459</v>
      </c>
      <c r="C8638" t="str">
        <f>"01586950626"</f>
        <v>01586950626</v>
      </c>
      <c r="D8638" t="str">
        <f>"01586950626"</f>
        <v>01586950626</v>
      </c>
      <c r="E8638" t="s">
        <v>52</v>
      </c>
      <c r="F8638">
        <v>2015</v>
      </c>
      <c r="G8638" t="s">
        <v>434</v>
      </c>
      <c r="H8638" s="1">
        <v>42007</v>
      </c>
      <c r="I8638" s="1">
        <v>42025</v>
      </c>
      <c r="J8638" s="1">
        <v>42025</v>
      </c>
      <c r="K8638" s="1">
        <v>42085</v>
      </c>
      <c r="N8638" s="5"/>
      <c r="O8638">
        <v>32.97</v>
      </c>
      <c r="P8638">
        <v>38</v>
      </c>
      <c r="Q8638" s="2">
        <v>1252.8599999999999</v>
      </c>
      <c r="R8638">
        <v>3.3</v>
      </c>
      <c r="V8638">
        <v>0</v>
      </c>
      <c r="W8638">
        <v>0</v>
      </c>
      <c r="X8638">
        <v>0</v>
      </c>
      <c r="Y8638">
        <v>36.270000000000003</v>
      </c>
      <c r="Z8638">
        <v>36.270000000000003</v>
      </c>
      <c r="AA8638">
        <v>36.270000000000003</v>
      </c>
      <c r="AB8638" s="1">
        <v>42382</v>
      </c>
      <c r="AC8638" t="s">
        <v>53</v>
      </c>
      <c r="AD8638" t="s">
        <v>53</v>
      </c>
      <c r="AK8638">
        <v>3.3</v>
      </c>
      <c r="AU8638" s="6">
        <v>42123</v>
      </c>
      <c r="AV8638" s="6">
        <v>42123</v>
      </c>
      <c r="AW8638" t="s">
        <v>54</v>
      </c>
      <c r="AX8638" t="str">
        <f t="shared" si="703"/>
        <v>FOR</v>
      </c>
      <c r="AY8638" t="s">
        <v>55</v>
      </c>
    </row>
    <row r="8639" spans="1:51" hidden="1">
      <c r="A8639">
        <v>106535</v>
      </c>
      <c r="B8639" t="s">
        <v>1174</v>
      </c>
      <c r="C8639" t="str">
        <f t="shared" ref="C8639:D8658" si="710">"08862820969"</f>
        <v>08862820969</v>
      </c>
      <c r="D8639" t="str">
        <f t="shared" si="710"/>
        <v>08862820969</v>
      </c>
      <c r="E8639" t="s">
        <v>52</v>
      </c>
      <c r="F8639">
        <v>2015</v>
      </c>
      <c r="G8639">
        <v>2015100056</v>
      </c>
      <c r="H8639" s="1">
        <v>42019</v>
      </c>
      <c r="I8639" s="1">
        <v>42053</v>
      </c>
      <c r="J8639" s="1">
        <v>42053</v>
      </c>
      <c r="K8639" s="1">
        <v>42113</v>
      </c>
      <c r="N8639" s="5"/>
      <c r="O8639">
        <v>380</v>
      </c>
      <c r="P8639">
        <v>164</v>
      </c>
      <c r="Q8639" s="2">
        <v>62320</v>
      </c>
      <c r="R8639">
        <v>0</v>
      </c>
      <c r="V8639">
        <v>0</v>
      </c>
      <c r="W8639">
        <v>0</v>
      </c>
      <c r="X8639">
        <v>0</v>
      </c>
      <c r="Y8639">
        <v>463.6</v>
      </c>
      <c r="Z8639">
        <v>463.6</v>
      </c>
      <c r="AA8639">
        <v>463.6</v>
      </c>
      <c r="AB8639" s="1">
        <v>42382</v>
      </c>
      <c r="AC8639" t="s">
        <v>53</v>
      </c>
      <c r="AD8639" t="s">
        <v>53</v>
      </c>
      <c r="AK8639">
        <v>0</v>
      </c>
      <c r="AU8639" s="6">
        <v>42277</v>
      </c>
      <c r="AV8639" s="6">
        <v>42277</v>
      </c>
      <c r="AW8639" t="s">
        <v>54</v>
      </c>
      <c r="AX8639" t="str">
        <f t="shared" si="703"/>
        <v>FOR</v>
      </c>
      <c r="AY8639" t="s">
        <v>55</v>
      </c>
    </row>
    <row r="8640" spans="1:51" hidden="1">
      <c r="A8640">
        <v>106535</v>
      </c>
      <c r="B8640" t="s">
        <v>1174</v>
      </c>
      <c r="C8640" t="str">
        <f t="shared" si="710"/>
        <v>08862820969</v>
      </c>
      <c r="D8640" t="str">
        <f t="shared" si="710"/>
        <v>08862820969</v>
      </c>
      <c r="E8640" t="s">
        <v>52</v>
      </c>
      <c r="F8640">
        <v>2015</v>
      </c>
      <c r="G8640">
        <v>2015100330</v>
      </c>
      <c r="H8640" s="1">
        <v>42034</v>
      </c>
      <c r="I8640" s="1">
        <v>42053</v>
      </c>
      <c r="J8640" s="1">
        <v>42053</v>
      </c>
      <c r="K8640" s="1">
        <v>42113</v>
      </c>
      <c r="N8640" s="5"/>
      <c r="O8640" s="2">
        <v>1450</v>
      </c>
      <c r="P8640">
        <v>164</v>
      </c>
      <c r="Q8640" s="2">
        <v>237800</v>
      </c>
      <c r="R8640">
        <v>0</v>
      </c>
      <c r="V8640">
        <v>0</v>
      </c>
      <c r="W8640">
        <v>0</v>
      </c>
      <c r="X8640">
        <v>0</v>
      </c>
      <c r="Y8640" s="2">
        <v>1508</v>
      </c>
      <c r="Z8640" s="2">
        <v>1508</v>
      </c>
      <c r="AA8640" s="2">
        <v>1508</v>
      </c>
      <c r="AB8640" s="1">
        <v>42382</v>
      </c>
      <c r="AC8640" t="s">
        <v>53</v>
      </c>
      <c r="AD8640" t="s">
        <v>53</v>
      </c>
      <c r="AK8640">
        <v>0</v>
      </c>
      <c r="AU8640" s="6">
        <v>42277</v>
      </c>
      <c r="AV8640" s="6">
        <v>42277</v>
      </c>
      <c r="AW8640" t="s">
        <v>54</v>
      </c>
      <c r="AX8640" t="str">
        <f t="shared" si="703"/>
        <v>FOR</v>
      </c>
      <c r="AY8640" t="s">
        <v>55</v>
      </c>
    </row>
    <row r="8641" spans="1:51" hidden="1">
      <c r="A8641">
        <v>106535</v>
      </c>
      <c r="B8641" t="s">
        <v>1174</v>
      </c>
      <c r="C8641" t="str">
        <f t="shared" si="710"/>
        <v>08862820969</v>
      </c>
      <c r="D8641" t="str">
        <f t="shared" si="710"/>
        <v>08862820969</v>
      </c>
      <c r="E8641" t="s">
        <v>52</v>
      </c>
      <c r="F8641">
        <v>2015</v>
      </c>
      <c r="G8641">
        <v>2015100331</v>
      </c>
      <c r="H8641" s="1">
        <v>42034</v>
      </c>
      <c r="I8641" s="1">
        <v>42053</v>
      </c>
      <c r="J8641" s="1">
        <v>42053</v>
      </c>
      <c r="K8641" s="1">
        <v>42113</v>
      </c>
      <c r="N8641" s="5"/>
      <c r="O8641" s="2">
        <v>1450</v>
      </c>
      <c r="P8641">
        <v>164</v>
      </c>
      <c r="Q8641" s="2">
        <v>237800</v>
      </c>
      <c r="R8641">
        <v>0</v>
      </c>
      <c r="V8641">
        <v>0</v>
      </c>
      <c r="W8641">
        <v>0</v>
      </c>
      <c r="X8641">
        <v>0</v>
      </c>
      <c r="Y8641" s="2">
        <v>1508</v>
      </c>
      <c r="Z8641" s="2">
        <v>1508</v>
      </c>
      <c r="AA8641" s="2">
        <v>1508</v>
      </c>
      <c r="AB8641" s="1">
        <v>42382</v>
      </c>
      <c r="AC8641" t="s">
        <v>53</v>
      </c>
      <c r="AD8641" t="s">
        <v>53</v>
      </c>
      <c r="AK8641">
        <v>0</v>
      </c>
      <c r="AU8641" s="6">
        <v>42277</v>
      </c>
      <c r="AV8641" s="6">
        <v>42277</v>
      </c>
      <c r="AW8641" t="s">
        <v>54</v>
      </c>
      <c r="AX8641" t="str">
        <f t="shared" si="703"/>
        <v>FOR</v>
      </c>
      <c r="AY8641" t="s">
        <v>55</v>
      </c>
    </row>
    <row r="8642" spans="1:51" hidden="1">
      <c r="A8642">
        <v>106535</v>
      </c>
      <c r="B8642" t="s">
        <v>1174</v>
      </c>
      <c r="C8642" t="str">
        <f t="shared" si="710"/>
        <v>08862820969</v>
      </c>
      <c r="D8642" t="str">
        <f t="shared" si="710"/>
        <v>08862820969</v>
      </c>
      <c r="E8642" t="s">
        <v>52</v>
      </c>
      <c r="F8642">
        <v>2015</v>
      </c>
      <c r="G8642">
        <v>2015100332</v>
      </c>
      <c r="H8642" s="1">
        <v>42034</v>
      </c>
      <c r="I8642" s="1">
        <v>42053</v>
      </c>
      <c r="J8642" s="1">
        <v>42053</v>
      </c>
      <c r="K8642" s="1">
        <v>42113</v>
      </c>
      <c r="N8642" s="5"/>
      <c r="O8642" s="2">
        <v>1450</v>
      </c>
      <c r="P8642">
        <v>164</v>
      </c>
      <c r="Q8642" s="2">
        <v>237800</v>
      </c>
      <c r="R8642">
        <v>0</v>
      </c>
      <c r="V8642">
        <v>0</v>
      </c>
      <c r="W8642">
        <v>0</v>
      </c>
      <c r="X8642">
        <v>0</v>
      </c>
      <c r="Y8642" s="2">
        <v>1508</v>
      </c>
      <c r="Z8642" s="2">
        <v>1508</v>
      </c>
      <c r="AA8642" s="2">
        <v>1508</v>
      </c>
      <c r="AB8642" s="1">
        <v>42382</v>
      </c>
      <c r="AC8642" t="s">
        <v>53</v>
      </c>
      <c r="AD8642" t="s">
        <v>53</v>
      </c>
      <c r="AK8642">
        <v>0</v>
      </c>
      <c r="AU8642" s="6">
        <v>42277</v>
      </c>
      <c r="AV8642" s="6">
        <v>42277</v>
      </c>
      <c r="AW8642" t="s">
        <v>54</v>
      </c>
      <c r="AX8642" t="str">
        <f t="shared" si="703"/>
        <v>FOR</v>
      </c>
      <c r="AY8642" t="s">
        <v>55</v>
      </c>
    </row>
    <row r="8643" spans="1:51" hidden="1">
      <c r="A8643">
        <v>106535</v>
      </c>
      <c r="B8643" t="s">
        <v>1174</v>
      </c>
      <c r="C8643" t="str">
        <f t="shared" si="710"/>
        <v>08862820969</v>
      </c>
      <c r="D8643" t="str">
        <f t="shared" si="710"/>
        <v>08862820969</v>
      </c>
      <c r="E8643" t="s">
        <v>52</v>
      </c>
      <c r="F8643">
        <v>2015</v>
      </c>
      <c r="G8643">
        <v>2015100333</v>
      </c>
      <c r="H8643" s="1">
        <v>42034</v>
      </c>
      <c r="I8643" s="1">
        <v>42053</v>
      </c>
      <c r="J8643" s="1">
        <v>42053</v>
      </c>
      <c r="K8643" s="1">
        <v>42113</v>
      </c>
      <c r="N8643" s="5"/>
      <c r="O8643" s="2">
        <v>1320</v>
      </c>
      <c r="P8643">
        <v>164</v>
      </c>
      <c r="Q8643" s="2">
        <v>216480</v>
      </c>
      <c r="R8643">
        <v>0</v>
      </c>
      <c r="V8643">
        <v>0</v>
      </c>
      <c r="W8643">
        <v>0</v>
      </c>
      <c r="X8643">
        <v>0</v>
      </c>
      <c r="Y8643" s="2">
        <v>1372.8</v>
      </c>
      <c r="Z8643" s="2">
        <v>1372.8</v>
      </c>
      <c r="AA8643" s="2">
        <v>1372.8</v>
      </c>
      <c r="AB8643" s="1">
        <v>42382</v>
      </c>
      <c r="AC8643" t="s">
        <v>53</v>
      </c>
      <c r="AD8643" t="s">
        <v>53</v>
      </c>
      <c r="AK8643">
        <v>0</v>
      </c>
      <c r="AU8643" s="6">
        <v>42277</v>
      </c>
      <c r="AV8643" s="6">
        <v>42277</v>
      </c>
      <c r="AW8643" t="s">
        <v>54</v>
      </c>
      <c r="AX8643" t="str">
        <f t="shared" ref="AX8643:AX8706" si="711">"FOR"</f>
        <v>FOR</v>
      </c>
      <c r="AY8643" t="s">
        <v>55</v>
      </c>
    </row>
    <row r="8644" spans="1:51" hidden="1">
      <c r="A8644">
        <v>106535</v>
      </c>
      <c r="B8644" t="s">
        <v>1174</v>
      </c>
      <c r="C8644" t="str">
        <f t="shared" si="710"/>
        <v>08862820969</v>
      </c>
      <c r="D8644" t="str">
        <f t="shared" si="710"/>
        <v>08862820969</v>
      </c>
      <c r="E8644" t="s">
        <v>52</v>
      </c>
      <c r="F8644">
        <v>2015</v>
      </c>
      <c r="G8644">
        <v>2015100334</v>
      </c>
      <c r="H8644" s="1">
        <v>42034</v>
      </c>
      <c r="I8644" s="1">
        <v>42053</v>
      </c>
      <c r="J8644" s="1">
        <v>42053</v>
      </c>
      <c r="K8644" s="1">
        <v>42113</v>
      </c>
      <c r="N8644" s="5"/>
      <c r="O8644" s="2">
        <v>1320</v>
      </c>
      <c r="P8644">
        <v>164</v>
      </c>
      <c r="Q8644" s="2">
        <v>216480</v>
      </c>
      <c r="R8644">
        <v>0</v>
      </c>
      <c r="V8644">
        <v>0</v>
      </c>
      <c r="W8644">
        <v>0</v>
      </c>
      <c r="X8644">
        <v>0</v>
      </c>
      <c r="Y8644" s="2">
        <v>1372.8</v>
      </c>
      <c r="Z8644" s="2">
        <v>1372.8</v>
      </c>
      <c r="AA8644" s="2">
        <v>1372.8</v>
      </c>
      <c r="AB8644" s="1">
        <v>42382</v>
      </c>
      <c r="AC8644" t="s">
        <v>53</v>
      </c>
      <c r="AD8644" t="s">
        <v>53</v>
      </c>
      <c r="AK8644">
        <v>0</v>
      </c>
      <c r="AU8644" s="6">
        <v>42277</v>
      </c>
      <c r="AV8644" s="6">
        <v>42277</v>
      </c>
      <c r="AW8644" t="s">
        <v>54</v>
      </c>
      <c r="AX8644" t="str">
        <f t="shared" si="711"/>
        <v>FOR</v>
      </c>
      <c r="AY8644" t="s">
        <v>55</v>
      </c>
    </row>
    <row r="8645" spans="1:51" hidden="1">
      <c r="A8645">
        <v>106535</v>
      </c>
      <c r="B8645" t="s">
        <v>1174</v>
      </c>
      <c r="C8645" t="str">
        <f t="shared" si="710"/>
        <v>08862820969</v>
      </c>
      <c r="D8645" t="str">
        <f t="shared" si="710"/>
        <v>08862820969</v>
      </c>
      <c r="E8645" t="s">
        <v>52</v>
      </c>
      <c r="F8645">
        <v>2015</v>
      </c>
      <c r="G8645">
        <v>2015100335</v>
      </c>
      <c r="H8645" s="1">
        <v>42034</v>
      </c>
      <c r="I8645" s="1">
        <v>42053</v>
      </c>
      <c r="J8645" s="1">
        <v>42053</v>
      </c>
      <c r="K8645" s="1">
        <v>42113</v>
      </c>
      <c r="N8645" s="5"/>
      <c r="O8645" s="2">
        <v>1320</v>
      </c>
      <c r="P8645">
        <v>164</v>
      </c>
      <c r="Q8645" s="2">
        <v>216480</v>
      </c>
      <c r="R8645">
        <v>0</v>
      </c>
      <c r="V8645">
        <v>0</v>
      </c>
      <c r="W8645">
        <v>0</v>
      </c>
      <c r="X8645">
        <v>0</v>
      </c>
      <c r="Y8645" s="2">
        <v>1372.8</v>
      </c>
      <c r="Z8645" s="2">
        <v>1372.8</v>
      </c>
      <c r="AA8645" s="2">
        <v>1372.8</v>
      </c>
      <c r="AB8645" s="1">
        <v>42382</v>
      </c>
      <c r="AC8645" t="s">
        <v>53</v>
      </c>
      <c r="AD8645" t="s">
        <v>53</v>
      </c>
      <c r="AK8645">
        <v>0</v>
      </c>
      <c r="AU8645" s="6">
        <v>42277</v>
      </c>
      <c r="AV8645" s="6">
        <v>42277</v>
      </c>
      <c r="AW8645" t="s">
        <v>54</v>
      </c>
      <c r="AX8645" t="str">
        <f t="shared" si="711"/>
        <v>FOR</v>
      </c>
      <c r="AY8645" t="s">
        <v>55</v>
      </c>
    </row>
    <row r="8646" spans="1:51" hidden="1">
      <c r="A8646">
        <v>106535</v>
      </c>
      <c r="B8646" t="s">
        <v>1174</v>
      </c>
      <c r="C8646" t="str">
        <f t="shared" si="710"/>
        <v>08862820969</v>
      </c>
      <c r="D8646" t="str">
        <f t="shared" si="710"/>
        <v>08862820969</v>
      </c>
      <c r="E8646" t="s">
        <v>52</v>
      </c>
      <c r="F8646">
        <v>2015</v>
      </c>
      <c r="G8646">
        <v>2015100405</v>
      </c>
      <c r="H8646" s="1">
        <v>42034</v>
      </c>
      <c r="I8646" s="1">
        <v>42054</v>
      </c>
      <c r="J8646" s="1">
        <v>42054</v>
      </c>
      <c r="K8646" s="1">
        <v>42114</v>
      </c>
      <c r="N8646" s="5"/>
      <c r="O8646">
        <v>140</v>
      </c>
      <c r="P8646">
        <v>163</v>
      </c>
      <c r="Q8646" s="2">
        <v>22820</v>
      </c>
      <c r="R8646">
        <v>0</v>
      </c>
      <c r="V8646">
        <v>0</v>
      </c>
      <c r="W8646">
        <v>0</v>
      </c>
      <c r="X8646">
        <v>0</v>
      </c>
      <c r="Y8646">
        <v>170.8</v>
      </c>
      <c r="Z8646">
        <v>170.8</v>
      </c>
      <c r="AA8646">
        <v>170.8</v>
      </c>
      <c r="AB8646" s="1">
        <v>42382</v>
      </c>
      <c r="AC8646" t="s">
        <v>53</v>
      </c>
      <c r="AD8646" t="s">
        <v>53</v>
      </c>
      <c r="AK8646">
        <v>0</v>
      </c>
      <c r="AU8646" s="6">
        <v>42277</v>
      </c>
      <c r="AV8646" s="6">
        <v>42277</v>
      </c>
      <c r="AW8646" t="s">
        <v>54</v>
      </c>
      <c r="AX8646" t="str">
        <f t="shared" si="711"/>
        <v>FOR</v>
      </c>
      <c r="AY8646" t="s">
        <v>55</v>
      </c>
    </row>
    <row r="8647" spans="1:51" hidden="1">
      <c r="A8647">
        <v>106535</v>
      </c>
      <c r="B8647" t="s">
        <v>1174</v>
      </c>
      <c r="C8647" t="str">
        <f t="shared" si="710"/>
        <v>08862820969</v>
      </c>
      <c r="D8647" t="str">
        <f t="shared" si="710"/>
        <v>08862820969</v>
      </c>
      <c r="E8647" t="s">
        <v>52</v>
      </c>
      <c r="F8647">
        <v>2015</v>
      </c>
      <c r="G8647">
        <v>2015100680</v>
      </c>
      <c r="H8647" s="1">
        <v>42034</v>
      </c>
      <c r="I8647" s="1">
        <v>42054</v>
      </c>
      <c r="J8647" s="1">
        <v>42054</v>
      </c>
      <c r="K8647" s="1">
        <v>42114</v>
      </c>
      <c r="N8647" s="5"/>
      <c r="O8647">
        <v>140</v>
      </c>
      <c r="P8647">
        <v>163</v>
      </c>
      <c r="Q8647" s="2">
        <v>22820</v>
      </c>
      <c r="R8647">
        <v>0</v>
      </c>
      <c r="V8647">
        <v>0</v>
      </c>
      <c r="W8647">
        <v>0</v>
      </c>
      <c r="X8647">
        <v>0</v>
      </c>
      <c r="Y8647">
        <v>170.8</v>
      </c>
      <c r="Z8647">
        <v>170.8</v>
      </c>
      <c r="AA8647">
        <v>170.8</v>
      </c>
      <c r="AB8647" s="1">
        <v>42382</v>
      </c>
      <c r="AC8647" t="s">
        <v>53</v>
      </c>
      <c r="AD8647" t="s">
        <v>53</v>
      </c>
      <c r="AK8647">
        <v>0</v>
      </c>
      <c r="AU8647" s="6">
        <v>42277</v>
      </c>
      <c r="AV8647" s="6">
        <v>42277</v>
      </c>
      <c r="AW8647" t="s">
        <v>54</v>
      </c>
      <c r="AX8647" t="str">
        <f t="shared" si="711"/>
        <v>FOR</v>
      </c>
      <c r="AY8647" t="s">
        <v>55</v>
      </c>
    </row>
    <row r="8648" spans="1:51">
      <c r="A8648">
        <v>106535</v>
      </c>
      <c r="B8648" t="s">
        <v>1174</v>
      </c>
      <c r="C8648" t="str">
        <f t="shared" si="710"/>
        <v>08862820969</v>
      </c>
      <c r="D8648" t="str">
        <f t="shared" si="710"/>
        <v>08862820969</v>
      </c>
      <c r="E8648" t="s">
        <v>52</v>
      </c>
      <c r="F8648">
        <v>2015</v>
      </c>
      <c r="G8648">
        <v>2015100939</v>
      </c>
      <c r="H8648" s="1">
        <v>42038</v>
      </c>
      <c r="I8648" s="1">
        <v>42334</v>
      </c>
      <c r="J8648" s="1">
        <v>42333</v>
      </c>
      <c r="K8648" s="1">
        <v>42393</v>
      </c>
      <c r="L8648" s="7">
        <v>275</v>
      </c>
      <c r="M8648" s="5">
        <v>-54</v>
      </c>
      <c r="N8648" s="7">
        <v>-14850</v>
      </c>
      <c r="O8648">
        <v>275</v>
      </c>
      <c r="P8648">
        <v>-54</v>
      </c>
      <c r="Q8648" s="2">
        <v>-14850</v>
      </c>
      <c r="R8648">
        <v>60.5</v>
      </c>
      <c r="V8648">
        <v>0</v>
      </c>
      <c r="W8648">
        <v>335.5</v>
      </c>
      <c r="X8648">
        <v>0</v>
      </c>
      <c r="Y8648">
        <v>335.5</v>
      </c>
      <c r="Z8648">
        <v>335.5</v>
      </c>
      <c r="AA8648">
        <v>335.5</v>
      </c>
      <c r="AB8648" s="1">
        <v>42382</v>
      </c>
      <c r="AC8648" t="s">
        <v>53</v>
      </c>
      <c r="AD8648" t="s">
        <v>53</v>
      </c>
      <c r="AK8648">
        <v>0</v>
      </c>
      <c r="AM8648">
        <v>60.5</v>
      </c>
      <c r="AU8648" s="6">
        <v>42339</v>
      </c>
      <c r="AV8648" s="6">
        <v>42339</v>
      </c>
      <c r="AW8648" t="s">
        <v>54</v>
      </c>
      <c r="AX8648" t="str">
        <f t="shared" si="711"/>
        <v>FOR</v>
      </c>
      <c r="AY8648" t="s">
        <v>55</v>
      </c>
    </row>
    <row r="8649" spans="1:51" hidden="1">
      <c r="A8649">
        <v>106535</v>
      </c>
      <c r="B8649" t="s">
        <v>1174</v>
      </c>
      <c r="C8649" t="str">
        <f t="shared" si="710"/>
        <v>08862820969</v>
      </c>
      <c r="D8649" t="str">
        <f t="shared" si="710"/>
        <v>08862820969</v>
      </c>
      <c r="E8649" t="s">
        <v>52</v>
      </c>
      <c r="F8649">
        <v>2015</v>
      </c>
      <c r="G8649">
        <v>2015101167</v>
      </c>
      <c r="H8649" s="1">
        <v>42044</v>
      </c>
      <c r="I8649" s="1">
        <v>42054</v>
      </c>
      <c r="J8649" s="1">
        <v>42054</v>
      </c>
      <c r="K8649" s="1">
        <v>42114</v>
      </c>
      <c r="N8649" s="5"/>
      <c r="O8649" s="2">
        <v>1450</v>
      </c>
      <c r="P8649">
        <v>163</v>
      </c>
      <c r="Q8649" s="2">
        <v>236350</v>
      </c>
      <c r="R8649">
        <v>0</v>
      </c>
      <c r="V8649">
        <v>0</v>
      </c>
      <c r="W8649">
        <v>0</v>
      </c>
      <c r="X8649">
        <v>0</v>
      </c>
      <c r="Y8649" s="2">
        <v>1508</v>
      </c>
      <c r="Z8649" s="2">
        <v>1508</v>
      </c>
      <c r="AA8649" s="2">
        <v>1508</v>
      </c>
      <c r="AB8649" s="1">
        <v>42382</v>
      </c>
      <c r="AC8649" t="s">
        <v>53</v>
      </c>
      <c r="AD8649" t="s">
        <v>53</v>
      </c>
      <c r="AK8649">
        <v>0</v>
      </c>
      <c r="AU8649" s="6">
        <v>42277</v>
      </c>
      <c r="AV8649" s="6">
        <v>42277</v>
      </c>
      <c r="AW8649" t="s">
        <v>54</v>
      </c>
      <c r="AX8649" t="str">
        <f t="shared" si="711"/>
        <v>FOR</v>
      </c>
      <c r="AY8649" t="s">
        <v>55</v>
      </c>
    </row>
    <row r="8650" spans="1:51" hidden="1">
      <c r="A8650">
        <v>106535</v>
      </c>
      <c r="B8650" t="s">
        <v>1174</v>
      </c>
      <c r="C8650" t="str">
        <f t="shared" si="710"/>
        <v>08862820969</v>
      </c>
      <c r="D8650" t="str">
        <f t="shared" si="710"/>
        <v>08862820969</v>
      </c>
      <c r="E8650" t="s">
        <v>52</v>
      </c>
      <c r="F8650">
        <v>2015</v>
      </c>
      <c r="G8650">
        <v>2015101168</v>
      </c>
      <c r="H8650" s="1">
        <v>42044</v>
      </c>
      <c r="I8650" s="1">
        <v>42054</v>
      </c>
      <c r="J8650" s="1">
        <v>42054</v>
      </c>
      <c r="K8650" s="1">
        <v>42114</v>
      </c>
      <c r="N8650" s="5"/>
      <c r="O8650" s="2">
        <v>1450</v>
      </c>
      <c r="P8650">
        <v>163</v>
      </c>
      <c r="Q8650" s="2">
        <v>236350</v>
      </c>
      <c r="R8650">
        <v>0</v>
      </c>
      <c r="V8650">
        <v>0</v>
      </c>
      <c r="W8650">
        <v>0</v>
      </c>
      <c r="X8650">
        <v>0</v>
      </c>
      <c r="Y8650" s="2">
        <v>1508</v>
      </c>
      <c r="Z8650" s="2">
        <v>1508</v>
      </c>
      <c r="AA8650" s="2">
        <v>1508</v>
      </c>
      <c r="AB8650" s="1">
        <v>42382</v>
      </c>
      <c r="AC8650" t="s">
        <v>53</v>
      </c>
      <c r="AD8650" t="s">
        <v>53</v>
      </c>
      <c r="AK8650">
        <v>0</v>
      </c>
      <c r="AU8650" s="6">
        <v>42277</v>
      </c>
      <c r="AV8650" s="6">
        <v>42277</v>
      </c>
      <c r="AW8650" t="s">
        <v>54</v>
      </c>
      <c r="AX8650" t="str">
        <f t="shared" si="711"/>
        <v>FOR</v>
      </c>
      <c r="AY8650" t="s">
        <v>55</v>
      </c>
    </row>
    <row r="8651" spans="1:51" hidden="1">
      <c r="A8651">
        <v>106535</v>
      </c>
      <c r="B8651" t="s">
        <v>1174</v>
      </c>
      <c r="C8651" t="str">
        <f t="shared" si="710"/>
        <v>08862820969</v>
      </c>
      <c r="D8651" t="str">
        <f t="shared" si="710"/>
        <v>08862820969</v>
      </c>
      <c r="E8651" t="s">
        <v>52</v>
      </c>
      <c r="F8651">
        <v>2015</v>
      </c>
      <c r="G8651">
        <v>2015101169</v>
      </c>
      <c r="H8651" s="1">
        <v>42044</v>
      </c>
      <c r="I8651" s="1">
        <v>42054</v>
      </c>
      <c r="J8651" s="1">
        <v>42054</v>
      </c>
      <c r="K8651" s="1">
        <v>42114</v>
      </c>
      <c r="N8651" s="5"/>
      <c r="O8651" s="2">
        <v>1320</v>
      </c>
      <c r="P8651">
        <v>163</v>
      </c>
      <c r="Q8651" s="2">
        <v>215160</v>
      </c>
      <c r="R8651">
        <v>0</v>
      </c>
      <c r="V8651">
        <v>0</v>
      </c>
      <c r="W8651">
        <v>0</v>
      </c>
      <c r="X8651">
        <v>0</v>
      </c>
      <c r="Y8651" s="2">
        <v>1372.8</v>
      </c>
      <c r="Z8651" s="2">
        <v>1372.8</v>
      </c>
      <c r="AA8651" s="2">
        <v>1372.8</v>
      </c>
      <c r="AB8651" s="1">
        <v>42382</v>
      </c>
      <c r="AC8651" t="s">
        <v>53</v>
      </c>
      <c r="AD8651" t="s">
        <v>53</v>
      </c>
      <c r="AK8651">
        <v>0</v>
      </c>
      <c r="AU8651" s="6">
        <v>42277</v>
      </c>
      <c r="AV8651" s="6">
        <v>42277</v>
      </c>
      <c r="AW8651" t="s">
        <v>54</v>
      </c>
      <c r="AX8651" t="str">
        <f t="shared" si="711"/>
        <v>FOR</v>
      </c>
      <c r="AY8651" t="s">
        <v>55</v>
      </c>
    </row>
    <row r="8652" spans="1:51" hidden="1">
      <c r="A8652">
        <v>106535</v>
      </c>
      <c r="B8652" t="s">
        <v>1174</v>
      </c>
      <c r="C8652" t="str">
        <f t="shared" si="710"/>
        <v>08862820969</v>
      </c>
      <c r="D8652" t="str">
        <f t="shared" si="710"/>
        <v>08862820969</v>
      </c>
      <c r="E8652" t="s">
        <v>52</v>
      </c>
      <c r="F8652">
        <v>2015</v>
      </c>
      <c r="G8652">
        <v>2015101170</v>
      </c>
      <c r="H8652" s="1">
        <v>42044</v>
      </c>
      <c r="I8652" s="1">
        <v>42054</v>
      </c>
      <c r="J8652" s="1">
        <v>42054</v>
      </c>
      <c r="K8652" s="1">
        <v>42114</v>
      </c>
      <c r="N8652" s="5"/>
      <c r="O8652" s="2">
        <v>1450</v>
      </c>
      <c r="P8652">
        <v>163</v>
      </c>
      <c r="Q8652" s="2">
        <v>236350</v>
      </c>
      <c r="R8652">
        <v>0</v>
      </c>
      <c r="V8652">
        <v>0</v>
      </c>
      <c r="W8652">
        <v>0</v>
      </c>
      <c r="X8652">
        <v>0</v>
      </c>
      <c r="Y8652" s="2">
        <v>1508</v>
      </c>
      <c r="Z8652" s="2">
        <v>1508</v>
      </c>
      <c r="AA8652" s="2">
        <v>1508</v>
      </c>
      <c r="AB8652" s="1">
        <v>42382</v>
      </c>
      <c r="AC8652" t="s">
        <v>53</v>
      </c>
      <c r="AD8652" t="s">
        <v>53</v>
      </c>
      <c r="AK8652">
        <v>0</v>
      </c>
      <c r="AU8652" s="6">
        <v>42277</v>
      </c>
      <c r="AV8652" s="6">
        <v>42277</v>
      </c>
      <c r="AW8652" t="s">
        <v>54</v>
      </c>
      <c r="AX8652" t="str">
        <f t="shared" si="711"/>
        <v>FOR</v>
      </c>
      <c r="AY8652" t="s">
        <v>55</v>
      </c>
    </row>
    <row r="8653" spans="1:51" hidden="1">
      <c r="A8653">
        <v>106535</v>
      </c>
      <c r="B8653" t="s">
        <v>1174</v>
      </c>
      <c r="C8653" t="str">
        <f t="shared" si="710"/>
        <v>08862820969</v>
      </c>
      <c r="D8653" t="str">
        <f t="shared" si="710"/>
        <v>08862820969</v>
      </c>
      <c r="E8653" t="s">
        <v>52</v>
      </c>
      <c r="F8653">
        <v>2015</v>
      </c>
      <c r="G8653">
        <v>2015101171</v>
      </c>
      <c r="H8653" s="1">
        <v>42044</v>
      </c>
      <c r="I8653" s="1">
        <v>42054</v>
      </c>
      <c r="J8653" s="1">
        <v>42054</v>
      </c>
      <c r="K8653" s="1">
        <v>42114</v>
      </c>
      <c r="N8653" s="5"/>
      <c r="O8653" s="2">
        <v>1450</v>
      </c>
      <c r="P8653">
        <v>163</v>
      </c>
      <c r="Q8653" s="2">
        <v>236350</v>
      </c>
      <c r="R8653">
        <v>0</v>
      </c>
      <c r="V8653">
        <v>0</v>
      </c>
      <c r="W8653">
        <v>0</v>
      </c>
      <c r="X8653">
        <v>0</v>
      </c>
      <c r="Y8653" s="2">
        <v>1508</v>
      </c>
      <c r="Z8653" s="2">
        <v>1508</v>
      </c>
      <c r="AA8653" s="2">
        <v>1508</v>
      </c>
      <c r="AB8653" s="1">
        <v>42382</v>
      </c>
      <c r="AC8653" t="s">
        <v>53</v>
      </c>
      <c r="AD8653" t="s">
        <v>53</v>
      </c>
      <c r="AK8653">
        <v>0</v>
      </c>
      <c r="AU8653" s="6">
        <v>42277</v>
      </c>
      <c r="AV8653" s="6">
        <v>42277</v>
      </c>
      <c r="AW8653" t="s">
        <v>54</v>
      </c>
      <c r="AX8653" t="str">
        <f t="shared" si="711"/>
        <v>FOR</v>
      </c>
      <c r="AY8653" t="s">
        <v>55</v>
      </c>
    </row>
    <row r="8654" spans="1:51" hidden="1">
      <c r="A8654">
        <v>106535</v>
      </c>
      <c r="B8654" t="s">
        <v>1174</v>
      </c>
      <c r="C8654" t="str">
        <f t="shared" si="710"/>
        <v>08862820969</v>
      </c>
      <c r="D8654" t="str">
        <f t="shared" si="710"/>
        <v>08862820969</v>
      </c>
      <c r="E8654" t="s">
        <v>52</v>
      </c>
      <c r="F8654">
        <v>2015</v>
      </c>
      <c r="G8654">
        <v>2015101172</v>
      </c>
      <c r="H8654" s="1">
        <v>42044</v>
      </c>
      <c r="I8654" s="1">
        <v>42054</v>
      </c>
      <c r="J8654" s="1">
        <v>42054</v>
      </c>
      <c r="K8654" s="1">
        <v>42114</v>
      </c>
      <c r="N8654" s="5"/>
      <c r="O8654" s="2">
        <v>1450</v>
      </c>
      <c r="P8654">
        <v>163</v>
      </c>
      <c r="Q8654" s="2">
        <v>236350</v>
      </c>
      <c r="R8654">
        <v>0</v>
      </c>
      <c r="V8654">
        <v>0</v>
      </c>
      <c r="W8654">
        <v>0</v>
      </c>
      <c r="X8654">
        <v>0</v>
      </c>
      <c r="Y8654" s="2">
        <v>1508</v>
      </c>
      <c r="Z8654" s="2">
        <v>1508</v>
      </c>
      <c r="AA8654" s="2">
        <v>1508</v>
      </c>
      <c r="AB8654" s="1">
        <v>42382</v>
      </c>
      <c r="AC8654" t="s">
        <v>53</v>
      </c>
      <c r="AD8654" t="s">
        <v>53</v>
      </c>
      <c r="AK8654">
        <v>0</v>
      </c>
      <c r="AU8654" s="6">
        <v>42277</v>
      </c>
      <c r="AV8654" s="6">
        <v>42277</v>
      </c>
      <c r="AW8654" t="s">
        <v>54</v>
      </c>
      <c r="AX8654" t="str">
        <f t="shared" si="711"/>
        <v>FOR</v>
      </c>
      <c r="AY8654" t="s">
        <v>55</v>
      </c>
    </row>
    <row r="8655" spans="1:51" hidden="1">
      <c r="A8655">
        <v>106535</v>
      </c>
      <c r="B8655" t="s">
        <v>1174</v>
      </c>
      <c r="C8655" t="str">
        <f t="shared" si="710"/>
        <v>08862820969</v>
      </c>
      <c r="D8655" t="str">
        <f t="shared" si="710"/>
        <v>08862820969</v>
      </c>
      <c r="E8655" t="s">
        <v>52</v>
      </c>
      <c r="F8655">
        <v>2015</v>
      </c>
      <c r="G8655">
        <v>2015101173</v>
      </c>
      <c r="H8655" s="1">
        <v>42044</v>
      </c>
      <c r="I8655" s="1">
        <v>42054</v>
      </c>
      <c r="J8655" s="1">
        <v>42054</v>
      </c>
      <c r="K8655" s="1">
        <v>42114</v>
      </c>
      <c r="N8655" s="5"/>
      <c r="O8655" s="2">
        <v>1450</v>
      </c>
      <c r="P8655">
        <v>163</v>
      </c>
      <c r="Q8655" s="2">
        <v>236350</v>
      </c>
      <c r="R8655">
        <v>0</v>
      </c>
      <c r="V8655">
        <v>0</v>
      </c>
      <c r="W8655">
        <v>0</v>
      </c>
      <c r="X8655">
        <v>0</v>
      </c>
      <c r="Y8655" s="2">
        <v>1508</v>
      </c>
      <c r="Z8655" s="2">
        <v>1508</v>
      </c>
      <c r="AA8655" s="2">
        <v>1508</v>
      </c>
      <c r="AB8655" s="1">
        <v>42382</v>
      </c>
      <c r="AC8655" t="s">
        <v>53</v>
      </c>
      <c r="AD8655" t="s">
        <v>53</v>
      </c>
      <c r="AK8655">
        <v>0</v>
      </c>
      <c r="AU8655" s="6">
        <v>42277</v>
      </c>
      <c r="AV8655" s="6">
        <v>42277</v>
      </c>
      <c r="AW8655" t="s">
        <v>54</v>
      </c>
      <c r="AX8655" t="str">
        <f t="shared" si="711"/>
        <v>FOR</v>
      </c>
      <c r="AY8655" t="s">
        <v>55</v>
      </c>
    </row>
    <row r="8656" spans="1:51">
      <c r="A8656">
        <v>106535</v>
      </c>
      <c r="B8656" t="s">
        <v>1174</v>
      </c>
      <c r="C8656" t="str">
        <f t="shared" si="710"/>
        <v>08862820969</v>
      </c>
      <c r="D8656" t="str">
        <f t="shared" si="710"/>
        <v>08862820969</v>
      </c>
      <c r="E8656" t="s">
        <v>52</v>
      </c>
      <c r="F8656">
        <v>2015</v>
      </c>
      <c r="G8656">
        <v>2015101499</v>
      </c>
      <c r="H8656" s="1">
        <v>42052</v>
      </c>
      <c r="I8656" s="1">
        <v>42059</v>
      </c>
      <c r="J8656" s="1">
        <v>42059</v>
      </c>
      <c r="K8656" s="1">
        <v>42119</v>
      </c>
      <c r="L8656" s="7">
        <v>800</v>
      </c>
      <c r="M8656" s="5">
        <v>220</v>
      </c>
      <c r="N8656" s="7">
        <v>176000</v>
      </c>
      <c r="O8656">
        <v>800</v>
      </c>
      <c r="P8656">
        <v>220</v>
      </c>
      <c r="Q8656" s="2">
        <v>176000</v>
      </c>
      <c r="R8656">
        <v>176</v>
      </c>
      <c r="V8656">
        <v>-97.6</v>
      </c>
      <c r="W8656">
        <v>-97.6</v>
      </c>
      <c r="X8656">
        <v>-97.6</v>
      </c>
      <c r="Y8656">
        <v>976</v>
      </c>
      <c r="Z8656">
        <v>976</v>
      </c>
      <c r="AA8656">
        <v>976</v>
      </c>
      <c r="AB8656" s="1">
        <v>42382</v>
      </c>
      <c r="AC8656" t="s">
        <v>53</v>
      </c>
      <c r="AD8656" t="s">
        <v>53</v>
      </c>
      <c r="AE8656">
        <v>-17.600000000000001</v>
      </c>
      <c r="AK8656">
        <v>193.6</v>
      </c>
      <c r="AU8656" s="6">
        <v>42339</v>
      </c>
      <c r="AV8656" s="6">
        <v>42339</v>
      </c>
      <c r="AW8656" t="s">
        <v>54</v>
      </c>
      <c r="AX8656" t="str">
        <f t="shared" si="711"/>
        <v>FOR</v>
      </c>
      <c r="AY8656" t="s">
        <v>55</v>
      </c>
    </row>
    <row r="8657" spans="1:51" hidden="1">
      <c r="A8657">
        <v>106535</v>
      </c>
      <c r="B8657" t="s">
        <v>1174</v>
      </c>
      <c r="C8657" t="str">
        <f t="shared" si="710"/>
        <v>08862820969</v>
      </c>
      <c r="D8657" t="str">
        <f t="shared" si="710"/>
        <v>08862820969</v>
      </c>
      <c r="E8657" t="s">
        <v>52</v>
      </c>
      <c r="F8657">
        <v>2015</v>
      </c>
      <c r="G8657">
        <v>2015101743</v>
      </c>
      <c r="H8657" s="1">
        <v>42058</v>
      </c>
      <c r="I8657" s="1">
        <v>42061</v>
      </c>
      <c r="J8657" s="1">
        <v>42061</v>
      </c>
      <c r="K8657" s="1">
        <v>42121</v>
      </c>
      <c r="N8657" s="5"/>
      <c r="O8657" s="2">
        <v>1450</v>
      </c>
      <c r="P8657">
        <v>156</v>
      </c>
      <c r="Q8657" s="2">
        <v>226200</v>
      </c>
      <c r="R8657">
        <v>0</v>
      </c>
      <c r="V8657">
        <v>0</v>
      </c>
      <c r="W8657">
        <v>0</v>
      </c>
      <c r="X8657">
        <v>0</v>
      </c>
      <c r="Y8657" s="2">
        <v>1508</v>
      </c>
      <c r="Z8657" s="2">
        <v>1508</v>
      </c>
      <c r="AA8657" s="2">
        <v>1508</v>
      </c>
      <c r="AB8657" s="1">
        <v>42382</v>
      </c>
      <c r="AC8657" t="s">
        <v>53</v>
      </c>
      <c r="AD8657" t="s">
        <v>53</v>
      </c>
      <c r="AK8657">
        <v>0</v>
      </c>
      <c r="AU8657" s="6">
        <v>42277</v>
      </c>
      <c r="AV8657" s="6">
        <v>42277</v>
      </c>
      <c r="AW8657" t="s">
        <v>54</v>
      </c>
      <c r="AX8657" t="str">
        <f t="shared" si="711"/>
        <v>FOR</v>
      </c>
      <c r="AY8657" t="s">
        <v>55</v>
      </c>
    </row>
    <row r="8658" spans="1:51" hidden="1">
      <c r="A8658">
        <v>106535</v>
      </c>
      <c r="B8658" t="s">
        <v>1174</v>
      </c>
      <c r="C8658" t="str">
        <f t="shared" si="710"/>
        <v>08862820969</v>
      </c>
      <c r="D8658" t="str">
        <f t="shared" si="710"/>
        <v>08862820969</v>
      </c>
      <c r="E8658" t="s">
        <v>52</v>
      </c>
      <c r="F8658">
        <v>2015</v>
      </c>
      <c r="G8658">
        <v>2015101744</v>
      </c>
      <c r="H8658" s="1">
        <v>42058</v>
      </c>
      <c r="I8658" s="1">
        <v>42061</v>
      </c>
      <c r="J8658" s="1">
        <v>42061</v>
      </c>
      <c r="K8658" s="1">
        <v>42121</v>
      </c>
      <c r="N8658" s="5"/>
      <c r="O8658" s="2">
        <v>1450</v>
      </c>
      <c r="P8658">
        <v>156</v>
      </c>
      <c r="Q8658" s="2">
        <v>226200</v>
      </c>
      <c r="R8658">
        <v>0</v>
      </c>
      <c r="V8658">
        <v>0</v>
      </c>
      <c r="W8658">
        <v>0</v>
      </c>
      <c r="X8658">
        <v>0</v>
      </c>
      <c r="Y8658" s="2">
        <v>1508</v>
      </c>
      <c r="Z8658" s="2">
        <v>1508</v>
      </c>
      <c r="AA8658" s="2">
        <v>1508</v>
      </c>
      <c r="AB8658" s="1">
        <v>42382</v>
      </c>
      <c r="AC8658" t="s">
        <v>53</v>
      </c>
      <c r="AD8658" t="s">
        <v>53</v>
      </c>
      <c r="AK8658">
        <v>0</v>
      </c>
      <c r="AU8658" s="6">
        <v>42277</v>
      </c>
      <c r="AV8658" s="6">
        <v>42277</v>
      </c>
      <c r="AW8658" t="s">
        <v>54</v>
      </c>
      <c r="AX8658" t="str">
        <f t="shared" si="711"/>
        <v>FOR</v>
      </c>
      <c r="AY8658" t="s">
        <v>55</v>
      </c>
    </row>
    <row r="8659" spans="1:51" hidden="1">
      <c r="A8659">
        <v>106535</v>
      </c>
      <c r="B8659" t="s">
        <v>1174</v>
      </c>
      <c r="C8659" t="str">
        <f t="shared" ref="C8659:D8678" si="712">"08862820969"</f>
        <v>08862820969</v>
      </c>
      <c r="D8659" t="str">
        <f t="shared" si="712"/>
        <v>08862820969</v>
      </c>
      <c r="E8659" t="s">
        <v>52</v>
      </c>
      <c r="F8659">
        <v>2015</v>
      </c>
      <c r="G8659">
        <v>2015101745</v>
      </c>
      <c r="H8659" s="1">
        <v>42058</v>
      </c>
      <c r="I8659" s="1">
        <v>42061</v>
      </c>
      <c r="J8659" s="1">
        <v>42061</v>
      </c>
      <c r="K8659" s="1">
        <v>42121</v>
      </c>
      <c r="N8659" s="5"/>
      <c r="O8659" s="2">
        <v>1450</v>
      </c>
      <c r="P8659">
        <v>156</v>
      </c>
      <c r="Q8659" s="2">
        <v>226200</v>
      </c>
      <c r="R8659">
        <v>0</v>
      </c>
      <c r="V8659">
        <v>0</v>
      </c>
      <c r="W8659">
        <v>0</v>
      </c>
      <c r="X8659">
        <v>0</v>
      </c>
      <c r="Y8659" s="2">
        <v>1508</v>
      </c>
      <c r="Z8659" s="2">
        <v>1508</v>
      </c>
      <c r="AA8659" s="2">
        <v>1508</v>
      </c>
      <c r="AB8659" s="1">
        <v>42382</v>
      </c>
      <c r="AC8659" t="s">
        <v>53</v>
      </c>
      <c r="AD8659" t="s">
        <v>53</v>
      </c>
      <c r="AK8659">
        <v>0</v>
      </c>
      <c r="AU8659" s="6">
        <v>42277</v>
      </c>
      <c r="AV8659" s="6">
        <v>42277</v>
      </c>
      <c r="AW8659" t="s">
        <v>54</v>
      </c>
      <c r="AX8659" t="str">
        <f t="shared" si="711"/>
        <v>FOR</v>
      </c>
      <c r="AY8659" t="s">
        <v>55</v>
      </c>
    </row>
    <row r="8660" spans="1:51" hidden="1">
      <c r="A8660">
        <v>106535</v>
      </c>
      <c r="B8660" t="s">
        <v>1174</v>
      </c>
      <c r="C8660" t="str">
        <f t="shared" si="712"/>
        <v>08862820969</v>
      </c>
      <c r="D8660" t="str">
        <f t="shared" si="712"/>
        <v>08862820969</v>
      </c>
      <c r="E8660" t="s">
        <v>52</v>
      </c>
      <c r="F8660">
        <v>2015</v>
      </c>
      <c r="G8660">
        <v>2015101746</v>
      </c>
      <c r="H8660" s="1">
        <v>42058</v>
      </c>
      <c r="I8660" s="1">
        <v>42061</v>
      </c>
      <c r="J8660" s="1">
        <v>42061</v>
      </c>
      <c r="K8660" s="1">
        <v>42121</v>
      </c>
      <c r="N8660" s="5"/>
      <c r="O8660" s="2">
        <v>1450</v>
      </c>
      <c r="P8660">
        <v>156</v>
      </c>
      <c r="Q8660" s="2">
        <v>226200</v>
      </c>
      <c r="R8660">
        <v>0</v>
      </c>
      <c r="V8660">
        <v>0</v>
      </c>
      <c r="W8660">
        <v>0</v>
      </c>
      <c r="X8660">
        <v>0</v>
      </c>
      <c r="Y8660" s="2">
        <v>1508</v>
      </c>
      <c r="Z8660" s="2">
        <v>1508</v>
      </c>
      <c r="AA8660" s="2">
        <v>1508</v>
      </c>
      <c r="AB8660" s="1">
        <v>42382</v>
      </c>
      <c r="AC8660" t="s">
        <v>53</v>
      </c>
      <c r="AD8660" t="s">
        <v>53</v>
      </c>
      <c r="AK8660">
        <v>0</v>
      </c>
      <c r="AU8660" s="6">
        <v>42277</v>
      </c>
      <c r="AV8660" s="6">
        <v>42277</v>
      </c>
      <c r="AW8660" t="s">
        <v>54</v>
      </c>
      <c r="AX8660" t="str">
        <f t="shared" si="711"/>
        <v>FOR</v>
      </c>
      <c r="AY8660" t="s">
        <v>55</v>
      </c>
    </row>
    <row r="8661" spans="1:51" hidden="1">
      <c r="A8661">
        <v>106535</v>
      </c>
      <c r="B8661" t="s">
        <v>1174</v>
      </c>
      <c r="C8661" t="str">
        <f t="shared" si="712"/>
        <v>08862820969</v>
      </c>
      <c r="D8661" t="str">
        <f t="shared" si="712"/>
        <v>08862820969</v>
      </c>
      <c r="E8661" t="s">
        <v>52</v>
      </c>
      <c r="F8661">
        <v>2015</v>
      </c>
      <c r="G8661">
        <v>2015101747</v>
      </c>
      <c r="H8661" s="1">
        <v>42058</v>
      </c>
      <c r="I8661" s="1">
        <v>42061</v>
      </c>
      <c r="J8661" s="1">
        <v>42061</v>
      </c>
      <c r="K8661" s="1">
        <v>42121</v>
      </c>
      <c r="N8661" s="5"/>
      <c r="O8661" s="2">
        <v>1450</v>
      </c>
      <c r="P8661">
        <v>156</v>
      </c>
      <c r="Q8661" s="2">
        <v>226200</v>
      </c>
      <c r="R8661">
        <v>0</v>
      </c>
      <c r="V8661">
        <v>0</v>
      </c>
      <c r="W8661">
        <v>0</v>
      </c>
      <c r="X8661">
        <v>0</v>
      </c>
      <c r="Y8661" s="2">
        <v>1508</v>
      </c>
      <c r="Z8661" s="2">
        <v>1508</v>
      </c>
      <c r="AA8661" s="2">
        <v>1508</v>
      </c>
      <c r="AB8661" s="1">
        <v>42382</v>
      </c>
      <c r="AC8661" t="s">
        <v>53</v>
      </c>
      <c r="AD8661" t="s">
        <v>53</v>
      </c>
      <c r="AK8661">
        <v>0</v>
      </c>
      <c r="AU8661" s="6">
        <v>42277</v>
      </c>
      <c r="AV8661" s="6">
        <v>42277</v>
      </c>
      <c r="AW8661" t="s">
        <v>54</v>
      </c>
      <c r="AX8661" t="str">
        <f t="shared" si="711"/>
        <v>FOR</v>
      </c>
      <c r="AY8661" t="s">
        <v>55</v>
      </c>
    </row>
    <row r="8662" spans="1:51" hidden="1">
      <c r="A8662">
        <v>106535</v>
      </c>
      <c r="B8662" t="s">
        <v>1174</v>
      </c>
      <c r="C8662" t="str">
        <f t="shared" si="712"/>
        <v>08862820969</v>
      </c>
      <c r="D8662" t="str">
        <f t="shared" si="712"/>
        <v>08862820969</v>
      </c>
      <c r="E8662" t="s">
        <v>52</v>
      </c>
      <c r="F8662">
        <v>2015</v>
      </c>
      <c r="G8662">
        <v>2015101748</v>
      </c>
      <c r="H8662" s="1">
        <v>42058</v>
      </c>
      <c r="I8662" s="1">
        <v>42061</v>
      </c>
      <c r="J8662" s="1">
        <v>42061</v>
      </c>
      <c r="K8662" s="1">
        <v>42121</v>
      </c>
      <c r="N8662" s="5"/>
      <c r="O8662" s="2">
        <v>1450</v>
      </c>
      <c r="P8662">
        <v>156</v>
      </c>
      <c r="Q8662" s="2">
        <v>226200</v>
      </c>
      <c r="R8662">
        <v>0</v>
      </c>
      <c r="V8662">
        <v>0</v>
      </c>
      <c r="W8662">
        <v>0</v>
      </c>
      <c r="X8662">
        <v>0</v>
      </c>
      <c r="Y8662" s="2">
        <v>1508</v>
      </c>
      <c r="Z8662" s="2">
        <v>1508</v>
      </c>
      <c r="AA8662" s="2">
        <v>1508</v>
      </c>
      <c r="AB8662" s="1">
        <v>42382</v>
      </c>
      <c r="AC8662" t="s">
        <v>53</v>
      </c>
      <c r="AD8662" t="s">
        <v>53</v>
      </c>
      <c r="AK8662">
        <v>0</v>
      </c>
      <c r="AU8662" s="6">
        <v>42277</v>
      </c>
      <c r="AV8662" s="6">
        <v>42277</v>
      </c>
      <c r="AW8662" t="s">
        <v>54</v>
      </c>
      <c r="AX8662" t="str">
        <f t="shared" si="711"/>
        <v>FOR</v>
      </c>
      <c r="AY8662" t="s">
        <v>55</v>
      </c>
    </row>
    <row r="8663" spans="1:51" hidden="1">
      <c r="A8663">
        <v>106535</v>
      </c>
      <c r="B8663" t="s">
        <v>1174</v>
      </c>
      <c r="C8663" t="str">
        <f t="shared" si="712"/>
        <v>08862820969</v>
      </c>
      <c r="D8663" t="str">
        <f t="shared" si="712"/>
        <v>08862820969</v>
      </c>
      <c r="E8663" t="s">
        <v>52</v>
      </c>
      <c r="F8663">
        <v>2015</v>
      </c>
      <c r="G8663">
        <v>2015101749</v>
      </c>
      <c r="H8663" s="1">
        <v>42058</v>
      </c>
      <c r="I8663" s="1">
        <v>42061</v>
      </c>
      <c r="J8663" s="1">
        <v>42061</v>
      </c>
      <c r="K8663" s="1">
        <v>42121</v>
      </c>
      <c r="N8663" s="5"/>
      <c r="O8663" s="2">
        <v>1450</v>
      </c>
      <c r="P8663">
        <v>156</v>
      </c>
      <c r="Q8663" s="2">
        <v>226200</v>
      </c>
      <c r="R8663">
        <v>0</v>
      </c>
      <c r="V8663">
        <v>0</v>
      </c>
      <c r="W8663">
        <v>0</v>
      </c>
      <c r="X8663">
        <v>0</v>
      </c>
      <c r="Y8663" s="2">
        <v>1508</v>
      </c>
      <c r="Z8663" s="2">
        <v>1508</v>
      </c>
      <c r="AA8663" s="2">
        <v>1508</v>
      </c>
      <c r="AB8663" s="1">
        <v>42382</v>
      </c>
      <c r="AC8663" t="s">
        <v>53</v>
      </c>
      <c r="AD8663" t="s">
        <v>53</v>
      </c>
      <c r="AK8663">
        <v>0</v>
      </c>
      <c r="AU8663" s="6">
        <v>42277</v>
      </c>
      <c r="AV8663" s="6">
        <v>42277</v>
      </c>
      <c r="AW8663" t="s">
        <v>54</v>
      </c>
      <c r="AX8663" t="str">
        <f t="shared" si="711"/>
        <v>FOR</v>
      </c>
      <c r="AY8663" t="s">
        <v>55</v>
      </c>
    </row>
    <row r="8664" spans="1:51" hidden="1">
      <c r="A8664">
        <v>106535</v>
      </c>
      <c r="B8664" t="s">
        <v>1174</v>
      </c>
      <c r="C8664" t="str">
        <f t="shared" si="712"/>
        <v>08862820969</v>
      </c>
      <c r="D8664" t="str">
        <f t="shared" si="712"/>
        <v>08862820969</v>
      </c>
      <c r="E8664" t="s">
        <v>52</v>
      </c>
      <c r="F8664">
        <v>2015</v>
      </c>
      <c r="G8664">
        <v>2015101835</v>
      </c>
      <c r="H8664" s="1">
        <v>42059</v>
      </c>
      <c r="I8664" s="1">
        <v>42061</v>
      </c>
      <c r="J8664" s="1">
        <v>42061</v>
      </c>
      <c r="K8664" s="1">
        <v>42121</v>
      </c>
      <c r="N8664" s="5"/>
      <c r="O8664" s="2">
        <v>4440</v>
      </c>
      <c r="P8664">
        <v>156</v>
      </c>
      <c r="Q8664" s="2">
        <v>692640</v>
      </c>
      <c r="R8664">
        <v>0</v>
      </c>
      <c r="V8664">
        <v>0</v>
      </c>
      <c r="W8664">
        <v>0</v>
      </c>
      <c r="X8664">
        <v>0</v>
      </c>
      <c r="Y8664" s="2">
        <v>5416.8</v>
      </c>
      <c r="Z8664" s="2">
        <v>5416.8</v>
      </c>
      <c r="AA8664" s="2">
        <v>5416.8</v>
      </c>
      <c r="AB8664" s="1">
        <v>42382</v>
      </c>
      <c r="AC8664" t="s">
        <v>53</v>
      </c>
      <c r="AD8664" t="s">
        <v>53</v>
      </c>
      <c r="AK8664">
        <v>0</v>
      </c>
      <c r="AU8664" s="6">
        <v>42277</v>
      </c>
      <c r="AV8664" s="6">
        <v>42277</v>
      </c>
      <c r="AW8664" t="s">
        <v>54</v>
      </c>
      <c r="AX8664" t="str">
        <f t="shared" si="711"/>
        <v>FOR</v>
      </c>
      <c r="AY8664" t="s">
        <v>55</v>
      </c>
    </row>
    <row r="8665" spans="1:51">
      <c r="A8665">
        <v>106535</v>
      </c>
      <c r="B8665" t="s">
        <v>1174</v>
      </c>
      <c r="C8665" t="str">
        <f t="shared" si="712"/>
        <v>08862820969</v>
      </c>
      <c r="D8665" t="str">
        <f t="shared" si="712"/>
        <v>08862820969</v>
      </c>
      <c r="E8665" t="s">
        <v>52</v>
      </c>
      <c r="F8665">
        <v>2015</v>
      </c>
      <c r="G8665">
        <v>2015102151</v>
      </c>
      <c r="H8665" s="1">
        <v>42066</v>
      </c>
      <c r="I8665" s="1">
        <v>42072</v>
      </c>
      <c r="J8665" s="1">
        <v>42072</v>
      </c>
      <c r="K8665" s="1">
        <v>42132</v>
      </c>
      <c r="L8665" s="7">
        <v>1450</v>
      </c>
      <c r="M8665" s="5">
        <v>167</v>
      </c>
      <c r="N8665" s="7">
        <v>242150</v>
      </c>
      <c r="O8665" s="2">
        <v>1450</v>
      </c>
      <c r="P8665">
        <v>167</v>
      </c>
      <c r="Q8665" s="2">
        <v>242150</v>
      </c>
      <c r="R8665">
        <v>0</v>
      </c>
      <c r="V8665">
        <v>0</v>
      </c>
      <c r="W8665">
        <v>0</v>
      </c>
      <c r="X8665">
        <v>0</v>
      </c>
      <c r="Y8665" s="2">
        <v>1508</v>
      </c>
      <c r="Z8665" s="2">
        <v>1508</v>
      </c>
      <c r="AA8665" s="2">
        <v>1508</v>
      </c>
      <c r="AB8665" s="1">
        <v>42382</v>
      </c>
      <c r="AC8665" t="s">
        <v>53</v>
      </c>
      <c r="AD8665" t="s">
        <v>53</v>
      </c>
      <c r="AK8665">
        <v>0</v>
      </c>
      <c r="AU8665" s="6">
        <v>42299</v>
      </c>
      <c r="AV8665" s="6">
        <v>42299</v>
      </c>
      <c r="AW8665" t="s">
        <v>54</v>
      </c>
      <c r="AX8665" t="str">
        <f t="shared" si="711"/>
        <v>FOR</v>
      </c>
      <c r="AY8665" t="s">
        <v>55</v>
      </c>
    </row>
    <row r="8666" spans="1:51">
      <c r="A8666">
        <v>106535</v>
      </c>
      <c r="B8666" t="s">
        <v>1174</v>
      </c>
      <c r="C8666" t="str">
        <f t="shared" si="712"/>
        <v>08862820969</v>
      </c>
      <c r="D8666" t="str">
        <f t="shared" si="712"/>
        <v>08862820969</v>
      </c>
      <c r="E8666" t="s">
        <v>52</v>
      </c>
      <c r="F8666">
        <v>2015</v>
      </c>
      <c r="G8666">
        <v>2015102152</v>
      </c>
      <c r="H8666" s="1">
        <v>42066</v>
      </c>
      <c r="I8666" s="1">
        <v>42072</v>
      </c>
      <c r="J8666" s="1">
        <v>42072</v>
      </c>
      <c r="K8666" s="1">
        <v>42132</v>
      </c>
      <c r="L8666" s="7">
        <v>1320</v>
      </c>
      <c r="M8666" s="5">
        <v>167</v>
      </c>
      <c r="N8666" s="7">
        <v>220440</v>
      </c>
      <c r="O8666" s="2">
        <v>1320</v>
      </c>
      <c r="P8666">
        <v>167</v>
      </c>
      <c r="Q8666" s="2">
        <v>220440</v>
      </c>
      <c r="R8666">
        <v>0</v>
      </c>
      <c r="V8666">
        <v>0</v>
      </c>
      <c r="W8666">
        <v>0</v>
      </c>
      <c r="X8666">
        <v>0</v>
      </c>
      <c r="Y8666" s="2">
        <v>1372.8</v>
      </c>
      <c r="Z8666" s="2">
        <v>1372.8</v>
      </c>
      <c r="AA8666" s="2">
        <v>1372.8</v>
      </c>
      <c r="AB8666" s="1">
        <v>42382</v>
      </c>
      <c r="AC8666" t="s">
        <v>53</v>
      </c>
      <c r="AD8666" t="s">
        <v>53</v>
      </c>
      <c r="AK8666">
        <v>0</v>
      </c>
      <c r="AU8666" s="6">
        <v>42299</v>
      </c>
      <c r="AV8666" s="6">
        <v>42299</v>
      </c>
      <c r="AW8666" t="s">
        <v>54</v>
      </c>
      <c r="AX8666" t="str">
        <f t="shared" si="711"/>
        <v>FOR</v>
      </c>
      <c r="AY8666" t="s">
        <v>55</v>
      </c>
    </row>
    <row r="8667" spans="1:51">
      <c r="A8667">
        <v>106535</v>
      </c>
      <c r="B8667" t="s">
        <v>1174</v>
      </c>
      <c r="C8667" t="str">
        <f t="shared" si="712"/>
        <v>08862820969</v>
      </c>
      <c r="D8667" t="str">
        <f t="shared" si="712"/>
        <v>08862820969</v>
      </c>
      <c r="E8667" t="s">
        <v>52</v>
      </c>
      <c r="F8667">
        <v>2015</v>
      </c>
      <c r="G8667">
        <v>2015102153</v>
      </c>
      <c r="H8667" s="1">
        <v>42066</v>
      </c>
      <c r="I8667" s="1">
        <v>42072</v>
      </c>
      <c r="J8667" s="1">
        <v>42072</v>
      </c>
      <c r="K8667" s="1">
        <v>42132</v>
      </c>
      <c r="L8667" s="7">
        <v>1450</v>
      </c>
      <c r="M8667" s="5">
        <v>167</v>
      </c>
      <c r="N8667" s="7">
        <v>242150</v>
      </c>
      <c r="O8667" s="2">
        <v>1450</v>
      </c>
      <c r="P8667">
        <v>167</v>
      </c>
      <c r="Q8667" s="2">
        <v>242150</v>
      </c>
      <c r="R8667">
        <v>0</v>
      </c>
      <c r="V8667">
        <v>0</v>
      </c>
      <c r="W8667">
        <v>0</v>
      </c>
      <c r="X8667">
        <v>0</v>
      </c>
      <c r="Y8667" s="2">
        <v>1508</v>
      </c>
      <c r="Z8667" s="2">
        <v>1508</v>
      </c>
      <c r="AA8667" s="2">
        <v>1508</v>
      </c>
      <c r="AB8667" s="1">
        <v>42382</v>
      </c>
      <c r="AC8667" t="s">
        <v>53</v>
      </c>
      <c r="AD8667" t="s">
        <v>53</v>
      </c>
      <c r="AK8667">
        <v>0</v>
      </c>
      <c r="AU8667" s="6">
        <v>42299</v>
      </c>
      <c r="AV8667" s="6">
        <v>42299</v>
      </c>
      <c r="AW8667" t="s">
        <v>54</v>
      </c>
      <c r="AX8667" t="str">
        <f t="shared" si="711"/>
        <v>FOR</v>
      </c>
      <c r="AY8667" t="s">
        <v>55</v>
      </c>
    </row>
    <row r="8668" spans="1:51">
      <c r="A8668">
        <v>106535</v>
      </c>
      <c r="B8668" t="s">
        <v>1174</v>
      </c>
      <c r="C8668" t="str">
        <f t="shared" si="712"/>
        <v>08862820969</v>
      </c>
      <c r="D8668" t="str">
        <f t="shared" si="712"/>
        <v>08862820969</v>
      </c>
      <c r="E8668" t="s">
        <v>52</v>
      </c>
      <c r="F8668">
        <v>2015</v>
      </c>
      <c r="G8668">
        <v>2015102681</v>
      </c>
      <c r="H8668" s="1">
        <v>42080</v>
      </c>
      <c r="I8668" s="1">
        <v>42086</v>
      </c>
      <c r="J8668" s="1">
        <v>42086</v>
      </c>
      <c r="K8668" s="1">
        <v>42146</v>
      </c>
      <c r="L8668" s="7">
        <v>1320</v>
      </c>
      <c r="M8668" s="5">
        <v>153</v>
      </c>
      <c r="N8668" s="7">
        <v>201960</v>
      </c>
      <c r="O8668" s="2">
        <v>1320</v>
      </c>
      <c r="P8668">
        <v>153</v>
      </c>
      <c r="Q8668" s="2">
        <v>201960</v>
      </c>
      <c r="R8668">
        <v>0</v>
      </c>
      <c r="V8668">
        <v>0</v>
      </c>
      <c r="W8668">
        <v>0</v>
      </c>
      <c r="X8668">
        <v>0</v>
      </c>
      <c r="Y8668" s="2">
        <v>1372.8</v>
      </c>
      <c r="Z8668" s="2">
        <v>1372.8</v>
      </c>
      <c r="AA8668" s="2">
        <v>1372.8</v>
      </c>
      <c r="AB8668" s="1">
        <v>42382</v>
      </c>
      <c r="AC8668" t="s">
        <v>53</v>
      </c>
      <c r="AD8668" t="s">
        <v>53</v>
      </c>
      <c r="AK8668">
        <v>0</v>
      </c>
      <c r="AU8668" s="6">
        <v>42299</v>
      </c>
      <c r="AV8668" s="6">
        <v>42299</v>
      </c>
      <c r="AW8668" t="s">
        <v>54</v>
      </c>
      <c r="AX8668" t="str">
        <f t="shared" si="711"/>
        <v>FOR</v>
      </c>
      <c r="AY8668" t="s">
        <v>55</v>
      </c>
    </row>
    <row r="8669" spans="1:51">
      <c r="A8669">
        <v>106535</v>
      </c>
      <c r="B8669" t="s">
        <v>1174</v>
      </c>
      <c r="C8669" t="str">
        <f t="shared" si="712"/>
        <v>08862820969</v>
      </c>
      <c r="D8669" t="str">
        <f t="shared" si="712"/>
        <v>08862820969</v>
      </c>
      <c r="E8669" t="s">
        <v>52</v>
      </c>
      <c r="F8669">
        <v>2015</v>
      </c>
      <c r="G8669">
        <v>2015102682</v>
      </c>
      <c r="H8669" s="1">
        <v>42080</v>
      </c>
      <c r="I8669" s="1">
        <v>42086</v>
      </c>
      <c r="J8669" s="1">
        <v>42086</v>
      </c>
      <c r="K8669" s="1">
        <v>42146</v>
      </c>
      <c r="L8669" s="7">
        <v>1450</v>
      </c>
      <c r="M8669" s="5">
        <v>153</v>
      </c>
      <c r="N8669" s="7">
        <v>221850</v>
      </c>
      <c r="O8669" s="2">
        <v>1450</v>
      </c>
      <c r="P8669">
        <v>153</v>
      </c>
      <c r="Q8669" s="2">
        <v>221850</v>
      </c>
      <c r="R8669">
        <v>0</v>
      </c>
      <c r="V8669">
        <v>0</v>
      </c>
      <c r="W8669">
        <v>0</v>
      </c>
      <c r="X8669">
        <v>0</v>
      </c>
      <c r="Y8669" s="2">
        <v>1508</v>
      </c>
      <c r="Z8669" s="2">
        <v>1508</v>
      </c>
      <c r="AA8669" s="2">
        <v>1508</v>
      </c>
      <c r="AB8669" s="1">
        <v>42382</v>
      </c>
      <c r="AC8669" t="s">
        <v>53</v>
      </c>
      <c r="AD8669" t="s">
        <v>53</v>
      </c>
      <c r="AK8669">
        <v>0</v>
      </c>
      <c r="AU8669" s="6">
        <v>42299</v>
      </c>
      <c r="AV8669" s="6">
        <v>42299</v>
      </c>
      <c r="AW8669" t="s">
        <v>54</v>
      </c>
      <c r="AX8669" t="str">
        <f t="shared" si="711"/>
        <v>FOR</v>
      </c>
      <c r="AY8669" t="s">
        <v>55</v>
      </c>
    </row>
    <row r="8670" spans="1:51">
      <c r="A8670">
        <v>106535</v>
      </c>
      <c r="B8670" t="s">
        <v>1174</v>
      </c>
      <c r="C8670" t="str">
        <f t="shared" si="712"/>
        <v>08862820969</v>
      </c>
      <c r="D8670" t="str">
        <f t="shared" si="712"/>
        <v>08862820969</v>
      </c>
      <c r="E8670" t="s">
        <v>52</v>
      </c>
      <c r="F8670">
        <v>2015</v>
      </c>
      <c r="G8670">
        <v>2015102683</v>
      </c>
      <c r="H8670" s="1">
        <v>42080</v>
      </c>
      <c r="I8670" s="1">
        <v>42086</v>
      </c>
      <c r="J8670" s="1">
        <v>42086</v>
      </c>
      <c r="K8670" s="1">
        <v>42146</v>
      </c>
      <c r="L8670" s="7">
        <v>1320</v>
      </c>
      <c r="M8670" s="5">
        <v>153</v>
      </c>
      <c r="N8670" s="7">
        <v>201960</v>
      </c>
      <c r="O8670" s="2">
        <v>1320</v>
      </c>
      <c r="P8670">
        <v>153</v>
      </c>
      <c r="Q8670" s="2">
        <v>201960</v>
      </c>
      <c r="R8670">
        <v>0</v>
      </c>
      <c r="V8670">
        <v>0</v>
      </c>
      <c r="W8670">
        <v>0</v>
      </c>
      <c r="X8670">
        <v>0</v>
      </c>
      <c r="Y8670" s="2">
        <v>1372.8</v>
      </c>
      <c r="Z8670" s="2">
        <v>1372.8</v>
      </c>
      <c r="AA8670" s="2">
        <v>1372.8</v>
      </c>
      <c r="AB8670" s="1">
        <v>42382</v>
      </c>
      <c r="AC8670" t="s">
        <v>53</v>
      </c>
      <c r="AD8670" t="s">
        <v>53</v>
      </c>
      <c r="AK8670">
        <v>0</v>
      </c>
      <c r="AU8670" s="6">
        <v>42299</v>
      </c>
      <c r="AV8670" s="6">
        <v>42299</v>
      </c>
      <c r="AW8670" t="s">
        <v>54</v>
      </c>
      <c r="AX8670" t="str">
        <f t="shared" si="711"/>
        <v>FOR</v>
      </c>
      <c r="AY8670" t="s">
        <v>55</v>
      </c>
    </row>
    <row r="8671" spans="1:51">
      <c r="A8671">
        <v>106535</v>
      </c>
      <c r="B8671" t="s">
        <v>1174</v>
      </c>
      <c r="C8671" t="str">
        <f t="shared" si="712"/>
        <v>08862820969</v>
      </c>
      <c r="D8671" t="str">
        <f t="shared" si="712"/>
        <v>08862820969</v>
      </c>
      <c r="E8671" t="s">
        <v>52</v>
      </c>
      <c r="F8671">
        <v>2015</v>
      </c>
      <c r="G8671">
        <v>2015102684</v>
      </c>
      <c r="H8671" s="1">
        <v>42080</v>
      </c>
      <c r="I8671" s="1">
        <v>42086</v>
      </c>
      <c r="J8671" s="1">
        <v>42086</v>
      </c>
      <c r="K8671" s="1">
        <v>42146</v>
      </c>
      <c r="L8671" s="7">
        <v>1320</v>
      </c>
      <c r="M8671" s="5">
        <v>153</v>
      </c>
      <c r="N8671" s="7">
        <v>201960</v>
      </c>
      <c r="O8671" s="2">
        <v>1320</v>
      </c>
      <c r="P8671">
        <v>153</v>
      </c>
      <c r="Q8671" s="2">
        <v>201960</v>
      </c>
      <c r="R8671">
        <v>0</v>
      </c>
      <c r="V8671">
        <v>0</v>
      </c>
      <c r="W8671">
        <v>0</v>
      </c>
      <c r="X8671">
        <v>0</v>
      </c>
      <c r="Y8671" s="2">
        <v>1372.8</v>
      </c>
      <c r="Z8671" s="2">
        <v>1372.8</v>
      </c>
      <c r="AA8671" s="2">
        <v>1372.8</v>
      </c>
      <c r="AB8671" s="1">
        <v>42382</v>
      </c>
      <c r="AC8671" t="s">
        <v>53</v>
      </c>
      <c r="AD8671" t="s">
        <v>53</v>
      </c>
      <c r="AK8671">
        <v>0</v>
      </c>
      <c r="AU8671" s="6">
        <v>42299</v>
      </c>
      <c r="AV8671" s="6">
        <v>42299</v>
      </c>
      <c r="AW8671" t="s">
        <v>54</v>
      </c>
      <c r="AX8671" t="str">
        <f t="shared" si="711"/>
        <v>FOR</v>
      </c>
      <c r="AY8671" t="s">
        <v>55</v>
      </c>
    </row>
    <row r="8672" spans="1:51">
      <c r="A8672">
        <v>106535</v>
      </c>
      <c r="B8672" t="s">
        <v>1174</v>
      </c>
      <c r="C8672" t="str">
        <f t="shared" si="712"/>
        <v>08862820969</v>
      </c>
      <c r="D8672" t="str">
        <f t="shared" si="712"/>
        <v>08862820969</v>
      </c>
      <c r="E8672" t="s">
        <v>52</v>
      </c>
      <c r="F8672">
        <v>2015</v>
      </c>
      <c r="G8672">
        <v>2015102685</v>
      </c>
      <c r="H8672" s="1">
        <v>42080</v>
      </c>
      <c r="I8672" s="1">
        <v>42086</v>
      </c>
      <c r="J8672" s="1">
        <v>42086</v>
      </c>
      <c r="K8672" s="1">
        <v>42146</v>
      </c>
      <c r="L8672" s="7">
        <v>1450</v>
      </c>
      <c r="M8672" s="5">
        <v>153</v>
      </c>
      <c r="N8672" s="7">
        <v>221850</v>
      </c>
      <c r="O8672" s="2">
        <v>1450</v>
      </c>
      <c r="P8672">
        <v>153</v>
      </c>
      <c r="Q8672" s="2">
        <v>221850</v>
      </c>
      <c r="R8672">
        <v>0</v>
      </c>
      <c r="V8672">
        <v>0</v>
      </c>
      <c r="W8672">
        <v>0</v>
      </c>
      <c r="X8672">
        <v>0</v>
      </c>
      <c r="Y8672" s="2">
        <v>1508</v>
      </c>
      <c r="Z8672" s="2">
        <v>1508</v>
      </c>
      <c r="AA8672" s="2">
        <v>1508</v>
      </c>
      <c r="AB8672" s="1">
        <v>42382</v>
      </c>
      <c r="AC8672" t="s">
        <v>53</v>
      </c>
      <c r="AD8672" t="s">
        <v>53</v>
      </c>
      <c r="AK8672">
        <v>0</v>
      </c>
      <c r="AU8672" s="6">
        <v>42299</v>
      </c>
      <c r="AV8672" s="6">
        <v>42299</v>
      </c>
      <c r="AW8672" t="s">
        <v>54</v>
      </c>
      <c r="AX8672" t="str">
        <f t="shared" si="711"/>
        <v>FOR</v>
      </c>
      <c r="AY8672" t="s">
        <v>55</v>
      </c>
    </row>
    <row r="8673" spans="1:51">
      <c r="A8673">
        <v>106535</v>
      </c>
      <c r="B8673" t="s">
        <v>1174</v>
      </c>
      <c r="C8673" t="str">
        <f t="shared" si="712"/>
        <v>08862820969</v>
      </c>
      <c r="D8673" t="str">
        <f t="shared" si="712"/>
        <v>08862820969</v>
      </c>
      <c r="E8673" t="s">
        <v>52</v>
      </c>
      <c r="F8673">
        <v>2015</v>
      </c>
      <c r="G8673">
        <v>2015102686</v>
      </c>
      <c r="H8673" s="1">
        <v>42080</v>
      </c>
      <c r="I8673" s="1">
        <v>42086</v>
      </c>
      <c r="J8673" s="1">
        <v>42086</v>
      </c>
      <c r="K8673" s="1">
        <v>42146</v>
      </c>
      <c r="L8673" s="7">
        <v>1450</v>
      </c>
      <c r="M8673" s="5">
        <v>153</v>
      </c>
      <c r="N8673" s="7">
        <v>221850</v>
      </c>
      <c r="O8673" s="2">
        <v>1450</v>
      </c>
      <c r="P8673">
        <v>153</v>
      </c>
      <c r="Q8673" s="2">
        <v>221850</v>
      </c>
      <c r="R8673">
        <v>0</v>
      </c>
      <c r="V8673">
        <v>0</v>
      </c>
      <c r="W8673">
        <v>0</v>
      </c>
      <c r="X8673">
        <v>0</v>
      </c>
      <c r="Y8673" s="2">
        <v>1508</v>
      </c>
      <c r="Z8673" s="2">
        <v>1508</v>
      </c>
      <c r="AA8673" s="2">
        <v>1508</v>
      </c>
      <c r="AB8673" s="1">
        <v>42382</v>
      </c>
      <c r="AC8673" t="s">
        <v>53</v>
      </c>
      <c r="AD8673" t="s">
        <v>53</v>
      </c>
      <c r="AK8673">
        <v>0</v>
      </c>
      <c r="AU8673" s="6">
        <v>42299</v>
      </c>
      <c r="AV8673" s="6">
        <v>42299</v>
      </c>
      <c r="AW8673" t="s">
        <v>54</v>
      </c>
      <c r="AX8673" t="str">
        <f t="shared" si="711"/>
        <v>FOR</v>
      </c>
      <c r="AY8673" t="s">
        <v>55</v>
      </c>
    </row>
    <row r="8674" spans="1:51">
      <c r="A8674">
        <v>106535</v>
      </c>
      <c r="B8674" t="s">
        <v>1174</v>
      </c>
      <c r="C8674" t="str">
        <f t="shared" si="712"/>
        <v>08862820969</v>
      </c>
      <c r="D8674" t="str">
        <f t="shared" si="712"/>
        <v>08862820969</v>
      </c>
      <c r="E8674" t="s">
        <v>52</v>
      </c>
      <c r="F8674">
        <v>2015</v>
      </c>
      <c r="G8674">
        <v>2015102687</v>
      </c>
      <c r="H8674" s="1">
        <v>42080</v>
      </c>
      <c r="I8674" s="1">
        <v>42086</v>
      </c>
      <c r="J8674" s="1">
        <v>42086</v>
      </c>
      <c r="K8674" s="1">
        <v>42146</v>
      </c>
      <c r="L8674" s="7">
        <v>1450</v>
      </c>
      <c r="M8674" s="5">
        <v>153</v>
      </c>
      <c r="N8674" s="7">
        <v>221850</v>
      </c>
      <c r="O8674" s="2">
        <v>1450</v>
      </c>
      <c r="P8674">
        <v>153</v>
      </c>
      <c r="Q8674" s="2">
        <v>221850</v>
      </c>
      <c r="R8674">
        <v>0</v>
      </c>
      <c r="V8674">
        <v>0</v>
      </c>
      <c r="W8674">
        <v>0</v>
      </c>
      <c r="X8674">
        <v>0</v>
      </c>
      <c r="Y8674" s="2">
        <v>1508</v>
      </c>
      <c r="Z8674" s="2">
        <v>1508</v>
      </c>
      <c r="AA8674" s="2">
        <v>1508</v>
      </c>
      <c r="AB8674" s="1">
        <v>42382</v>
      </c>
      <c r="AC8674" t="s">
        <v>53</v>
      </c>
      <c r="AD8674" t="s">
        <v>53</v>
      </c>
      <c r="AK8674">
        <v>0</v>
      </c>
      <c r="AU8674" s="6">
        <v>42299</v>
      </c>
      <c r="AV8674" s="6">
        <v>42299</v>
      </c>
      <c r="AW8674" t="s">
        <v>54</v>
      </c>
      <c r="AX8674" t="str">
        <f t="shared" si="711"/>
        <v>FOR</v>
      </c>
      <c r="AY8674" t="s">
        <v>55</v>
      </c>
    </row>
    <row r="8675" spans="1:51">
      <c r="A8675">
        <v>106535</v>
      </c>
      <c r="B8675" t="s">
        <v>1174</v>
      </c>
      <c r="C8675" t="str">
        <f t="shared" si="712"/>
        <v>08862820969</v>
      </c>
      <c r="D8675" t="str">
        <f t="shared" si="712"/>
        <v>08862820969</v>
      </c>
      <c r="E8675" t="s">
        <v>52</v>
      </c>
      <c r="F8675">
        <v>2015</v>
      </c>
      <c r="G8675">
        <v>2015102688</v>
      </c>
      <c r="H8675" s="1">
        <v>42080</v>
      </c>
      <c r="I8675" s="1">
        <v>42086</v>
      </c>
      <c r="J8675" s="1">
        <v>42086</v>
      </c>
      <c r="K8675" s="1">
        <v>42146</v>
      </c>
      <c r="L8675" s="7">
        <v>2960</v>
      </c>
      <c r="M8675" s="5">
        <v>153</v>
      </c>
      <c r="N8675" s="7">
        <v>452880</v>
      </c>
      <c r="O8675" s="2">
        <v>2960</v>
      </c>
      <c r="P8675">
        <v>153</v>
      </c>
      <c r="Q8675" s="2">
        <v>452880</v>
      </c>
      <c r="R8675">
        <v>0</v>
      </c>
      <c r="V8675">
        <v>0</v>
      </c>
      <c r="W8675">
        <v>0</v>
      </c>
      <c r="X8675">
        <v>0</v>
      </c>
      <c r="Y8675" s="2">
        <v>3611.2</v>
      </c>
      <c r="Z8675" s="2">
        <v>3611.2</v>
      </c>
      <c r="AA8675" s="2">
        <v>3611.2</v>
      </c>
      <c r="AB8675" s="1">
        <v>42382</v>
      </c>
      <c r="AC8675" t="s">
        <v>53</v>
      </c>
      <c r="AD8675" t="s">
        <v>53</v>
      </c>
      <c r="AK8675">
        <v>0</v>
      </c>
      <c r="AU8675" s="6">
        <v>42299</v>
      </c>
      <c r="AV8675" s="6">
        <v>42299</v>
      </c>
      <c r="AW8675" t="s">
        <v>54</v>
      </c>
      <c r="AX8675" t="str">
        <f t="shared" si="711"/>
        <v>FOR</v>
      </c>
      <c r="AY8675" t="s">
        <v>55</v>
      </c>
    </row>
    <row r="8676" spans="1:51">
      <c r="A8676">
        <v>106535</v>
      </c>
      <c r="B8676" t="s">
        <v>1174</v>
      </c>
      <c r="C8676" t="str">
        <f t="shared" si="712"/>
        <v>08862820969</v>
      </c>
      <c r="D8676" t="str">
        <f t="shared" si="712"/>
        <v>08862820969</v>
      </c>
      <c r="E8676" t="s">
        <v>52</v>
      </c>
      <c r="F8676">
        <v>2015</v>
      </c>
      <c r="G8676">
        <v>2015103746</v>
      </c>
      <c r="H8676" s="1">
        <v>42109</v>
      </c>
      <c r="I8676" s="1">
        <v>42275</v>
      </c>
      <c r="J8676" s="1">
        <v>42272</v>
      </c>
      <c r="K8676" s="1">
        <v>42332</v>
      </c>
      <c r="L8676" s="7">
        <v>380</v>
      </c>
      <c r="M8676" s="5">
        <v>7</v>
      </c>
      <c r="N8676" s="7">
        <v>2660</v>
      </c>
      <c r="O8676">
        <v>380</v>
      </c>
      <c r="P8676">
        <v>7</v>
      </c>
      <c r="Q8676" s="2">
        <v>2660</v>
      </c>
      <c r="R8676">
        <v>83.6</v>
      </c>
      <c r="V8676">
        <v>0</v>
      </c>
      <c r="W8676">
        <v>0</v>
      </c>
      <c r="X8676">
        <v>0</v>
      </c>
      <c r="Y8676">
        <v>463.6</v>
      </c>
      <c r="Z8676">
        <v>463.6</v>
      </c>
      <c r="AA8676">
        <v>463.6</v>
      </c>
      <c r="AB8676" s="1">
        <v>42382</v>
      </c>
      <c r="AC8676" t="s">
        <v>53</v>
      </c>
      <c r="AD8676" t="s">
        <v>53</v>
      </c>
      <c r="AF8676">
        <v>83.6</v>
      </c>
      <c r="AK8676">
        <v>0</v>
      </c>
      <c r="AU8676" s="6">
        <v>42339</v>
      </c>
      <c r="AV8676" s="6">
        <v>42339</v>
      </c>
      <c r="AW8676" t="s">
        <v>54</v>
      </c>
      <c r="AX8676" t="str">
        <f t="shared" si="711"/>
        <v>FOR</v>
      </c>
      <c r="AY8676" t="s">
        <v>55</v>
      </c>
    </row>
    <row r="8677" spans="1:51">
      <c r="A8677">
        <v>106535</v>
      </c>
      <c r="B8677" t="s">
        <v>1174</v>
      </c>
      <c r="C8677" t="str">
        <f t="shared" si="712"/>
        <v>08862820969</v>
      </c>
      <c r="D8677" t="str">
        <f t="shared" si="712"/>
        <v>08862820969</v>
      </c>
      <c r="E8677" t="s">
        <v>52</v>
      </c>
      <c r="F8677">
        <v>2015</v>
      </c>
      <c r="G8677">
        <v>2015103970</v>
      </c>
      <c r="H8677" s="1">
        <v>42115</v>
      </c>
      <c r="I8677" s="1">
        <v>42215</v>
      </c>
      <c r="J8677" s="1">
        <v>42214</v>
      </c>
      <c r="K8677" s="1">
        <v>42274</v>
      </c>
      <c r="L8677" s="7">
        <v>1450</v>
      </c>
      <c r="M8677" s="5">
        <v>65</v>
      </c>
      <c r="N8677" s="7">
        <v>94250</v>
      </c>
      <c r="O8677" s="2">
        <v>1450</v>
      </c>
      <c r="P8677">
        <v>65</v>
      </c>
      <c r="Q8677" s="2">
        <v>94250</v>
      </c>
      <c r="R8677">
        <v>58</v>
      </c>
      <c r="V8677">
        <v>0</v>
      </c>
      <c r="W8677">
        <v>0</v>
      </c>
      <c r="X8677">
        <v>0</v>
      </c>
      <c r="Y8677" s="2">
        <v>1508</v>
      </c>
      <c r="Z8677" s="2">
        <v>1508</v>
      </c>
      <c r="AA8677" s="2">
        <v>1508</v>
      </c>
      <c r="AB8677" s="1">
        <v>42382</v>
      </c>
      <c r="AC8677" t="s">
        <v>53</v>
      </c>
      <c r="AD8677" t="s">
        <v>53</v>
      </c>
      <c r="AH8677">
        <v>58</v>
      </c>
      <c r="AK8677">
        <v>0</v>
      </c>
      <c r="AU8677" s="6">
        <v>42339</v>
      </c>
      <c r="AV8677" s="6">
        <v>42339</v>
      </c>
      <c r="AW8677" t="s">
        <v>54</v>
      </c>
      <c r="AX8677" t="str">
        <f t="shared" si="711"/>
        <v>FOR</v>
      </c>
      <c r="AY8677" t="s">
        <v>55</v>
      </c>
    </row>
    <row r="8678" spans="1:51">
      <c r="A8678">
        <v>106535</v>
      </c>
      <c r="B8678" t="s">
        <v>1174</v>
      </c>
      <c r="C8678" t="str">
        <f t="shared" si="712"/>
        <v>08862820969</v>
      </c>
      <c r="D8678" t="str">
        <f t="shared" si="712"/>
        <v>08862820969</v>
      </c>
      <c r="E8678" t="s">
        <v>52</v>
      </c>
      <c r="F8678">
        <v>2015</v>
      </c>
      <c r="G8678">
        <v>2015103971</v>
      </c>
      <c r="H8678" s="1">
        <v>42115</v>
      </c>
      <c r="I8678" s="1">
        <v>42215</v>
      </c>
      <c r="J8678" s="1">
        <v>42214</v>
      </c>
      <c r="K8678" s="1">
        <v>42274</v>
      </c>
      <c r="L8678" s="7">
        <v>1320</v>
      </c>
      <c r="M8678" s="5">
        <v>65</v>
      </c>
      <c r="N8678" s="7">
        <v>85800</v>
      </c>
      <c r="O8678" s="2">
        <v>1320</v>
      </c>
      <c r="P8678">
        <v>65</v>
      </c>
      <c r="Q8678" s="2">
        <v>85800</v>
      </c>
      <c r="R8678">
        <v>52.8</v>
      </c>
      <c r="V8678">
        <v>0</v>
      </c>
      <c r="W8678">
        <v>0</v>
      </c>
      <c r="X8678">
        <v>0</v>
      </c>
      <c r="Y8678" s="2">
        <v>1372.8</v>
      </c>
      <c r="Z8678" s="2">
        <v>1372.8</v>
      </c>
      <c r="AA8678" s="2">
        <v>1372.8</v>
      </c>
      <c r="AB8678" s="1">
        <v>42382</v>
      </c>
      <c r="AC8678" t="s">
        <v>53</v>
      </c>
      <c r="AD8678" t="s">
        <v>53</v>
      </c>
      <c r="AH8678">
        <v>52.8</v>
      </c>
      <c r="AK8678">
        <v>0</v>
      </c>
      <c r="AU8678" s="6">
        <v>42339</v>
      </c>
      <c r="AV8678" s="6">
        <v>42339</v>
      </c>
      <c r="AW8678" t="s">
        <v>54</v>
      </c>
      <c r="AX8678" t="str">
        <f t="shared" si="711"/>
        <v>FOR</v>
      </c>
      <c r="AY8678" t="s">
        <v>55</v>
      </c>
    </row>
    <row r="8679" spans="1:51">
      <c r="A8679">
        <v>106535</v>
      </c>
      <c r="B8679" t="s">
        <v>1174</v>
      </c>
      <c r="C8679" t="str">
        <f t="shared" ref="C8679:D8698" si="713">"08862820969"</f>
        <v>08862820969</v>
      </c>
      <c r="D8679" t="str">
        <f t="shared" si="713"/>
        <v>08862820969</v>
      </c>
      <c r="E8679" t="s">
        <v>52</v>
      </c>
      <c r="F8679">
        <v>2015</v>
      </c>
      <c r="G8679">
        <v>2015103972</v>
      </c>
      <c r="H8679" s="1">
        <v>42115</v>
      </c>
      <c r="I8679" s="1">
        <v>42215</v>
      </c>
      <c r="J8679" s="1">
        <v>42214</v>
      </c>
      <c r="K8679" s="1">
        <v>42274</v>
      </c>
      <c r="L8679" s="7">
        <v>1450</v>
      </c>
      <c r="M8679" s="5">
        <v>65</v>
      </c>
      <c r="N8679" s="7">
        <v>94250</v>
      </c>
      <c r="O8679" s="2">
        <v>1450</v>
      </c>
      <c r="P8679">
        <v>65</v>
      </c>
      <c r="Q8679" s="2">
        <v>94250</v>
      </c>
      <c r="R8679">
        <v>58</v>
      </c>
      <c r="V8679">
        <v>0</v>
      </c>
      <c r="W8679">
        <v>0</v>
      </c>
      <c r="X8679">
        <v>0</v>
      </c>
      <c r="Y8679" s="2">
        <v>1508</v>
      </c>
      <c r="Z8679" s="2">
        <v>1508</v>
      </c>
      <c r="AA8679" s="2">
        <v>1508</v>
      </c>
      <c r="AB8679" s="1">
        <v>42382</v>
      </c>
      <c r="AC8679" t="s">
        <v>53</v>
      </c>
      <c r="AD8679" t="s">
        <v>53</v>
      </c>
      <c r="AH8679">
        <v>58</v>
      </c>
      <c r="AK8679">
        <v>0</v>
      </c>
      <c r="AU8679" s="6">
        <v>42339</v>
      </c>
      <c r="AV8679" s="6">
        <v>42339</v>
      </c>
      <c r="AW8679" t="s">
        <v>54</v>
      </c>
      <c r="AX8679" t="str">
        <f t="shared" si="711"/>
        <v>FOR</v>
      </c>
      <c r="AY8679" t="s">
        <v>55</v>
      </c>
    </row>
    <row r="8680" spans="1:51">
      <c r="A8680">
        <v>106535</v>
      </c>
      <c r="B8680" t="s">
        <v>1174</v>
      </c>
      <c r="C8680" t="str">
        <f t="shared" si="713"/>
        <v>08862820969</v>
      </c>
      <c r="D8680" t="str">
        <f t="shared" si="713"/>
        <v>08862820969</v>
      </c>
      <c r="E8680" t="s">
        <v>52</v>
      </c>
      <c r="F8680">
        <v>2015</v>
      </c>
      <c r="G8680">
        <v>2015103973</v>
      </c>
      <c r="H8680" s="1">
        <v>42115</v>
      </c>
      <c r="I8680" s="1">
        <v>42215</v>
      </c>
      <c r="J8680" s="1">
        <v>42214</v>
      </c>
      <c r="K8680" s="1">
        <v>42274</v>
      </c>
      <c r="L8680" s="7">
        <v>1450</v>
      </c>
      <c r="M8680" s="5">
        <v>65</v>
      </c>
      <c r="N8680" s="7">
        <v>94250</v>
      </c>
      <c r="O8680" s="2">
        <v>1450</v>
      </c>
      <c r="P8680">
        <v>65</v>
      </c>
      <c r="Q8680" s="2">
        <v>94250</v>
      </c>
      <c r="R8680">
        <v>58</v>
      </c>
      <c r="V8680">
        <v>0</v>
      </c>
      <c r="W8680">
        <v>0</v>
      </c>
      <c r="X8680">
        <v>0</v>
      </c>
      <c r="Y8680" s="2">
        <v>1508</v>
      </c>
      <c r="Z8680" s="2">
        <v>1508</v>
      </c>
      <c r="AA8680" s="2">
        <v>1508</v>
      </c>
      <c r="AB8680" s="1">
        <v>42382</v>
      </c>
      <c r="AC8680" t="s">
        <v>53</v>
      </c>
      <c r="AD8680" t="s">
        <v>53</v>
      </c>
      <c r="AH8680">
        <v>58</v>
      </c>
      <c r="AK8680">
        <v>0</v>
      </c>
      <c r="AU8680" s="6">
        <v>42339</v>
      </c>
      <c r="AV8680" s="6">
        <v>42339</v>
      </c>
      <c r="AW8680" t="s">
        <v>54</v>
      </c>
      <c r="AX8680" t="str">
        <f t="shared" si="711"/>
        <v>FOR</v>
      </c>
      <c r="AY8680" t="s">
        <v>55</v>
      </c>
    </row>
    <row r="8681" spans="1:51">
      <c r="A8681">
        <v>106535</v>
      </c>
      <c r="B8681" t="s">
        <v>1174</v>
      </c>
      <c r="C8681" t="str">
        <f t="shared" si="713"/>
        <v>08862820969</v>
      </c>
      <c r="D8681" t="str">
        <f t="shared" si="713"/>
        <v>08862820969</v>
      </c>
      <c r="E8681" t="s">
        <v>52</v>
      </c>
      <c r="F8681">
        <v>2015</v>
      </c>
      <c r="G8681">
        <v>2015103974</v>
      </c>
      <c r="H8681" s="1">
        <v>42115</v>
      </c>
      <c r="I8681" s="1">
        <v>42215</v>
      </c>
      <c r="J8681" s="1">
        <v>42214</v>
      </c>
      <c r="K8681" s="1">
        <v>42274</v>
      </c>
      <c r="L8681" s="7">
        <v>1450</v>
      </c>
      <c r="M8681" s="5">
        <v>65</v>
      </c>
      <c r="N8681" s="7">
        <v>94250</v>
      </c>
      <c r="O8681" s="2">
        <v>1450</v>
      </c>
      <c r="P8681">
        <v>65</v>
      </c>
      <c r="Q8681" s="2">
        <v>94250</v>
      </c>
      <c r="R8681">
        <v>58</v>
      </c>
      <c r="V8681">
        <v>0</v>
      </c>
      <c r="W8681">
        <v>0</v>
      </c>
      <c r="X8681">
        <v>0</v>
      </c>
      <c r="Y8681" s="2">
        <v>1508</v>
      </c>
      <c r="Z8681" s="2">
        <v>1508</v>
      </c>
      <c r="AA8681" s="2">
        <v>1508</v>
      </c>
      <c r="AB8681" s="1">
        <v>42382</v>
      </c>
      <c r="AC8681" t="s">
        <v>53</v>
      </c>
      <c r="AD8681" t="s">
        <v>53</v>
      </c>
      <c r="AH8681">
        <v>58</v>
      </c>
      <c r="AK8681">
        <v>0</v>
      </c>
      <c r="AU8681" s="6">
        <v>42339</v>
      </c>
      <c r="AV8681" s="6">
        <v>42339</v>
      </c>
      <c r="AW8681" t="s">
        <v>54</v>
      </c>
      <c r="AX8681" t="str">
        <f t="shared" si="711"/>
        <v>FOR</v>
      </c>
      <c r="AY8681" t="s">
        <v>55</v>
      </c>
    </row>
    <row r="8682" spans="1:51">
      <c r="A8682">
        <v>106535</v>
      </c>
      <c r="B8682" t="s">
        <v>1174</v>
      </c>
      <c r="C8682" t="str">
        <f t="shared" si="713"/>
        <v>08862820969</v>
      </c>
      <c r="D8682" t="str">
        <f t="shared" si="713"/>
        <v>08862820969</v>
      </c>
      <c r="E8682" t="s">
        <v>52</v>
      </c>
      <c r="F8682">
        <v>2015</v>
      </c>
      <c r="G8682">
        <v>2015103975</v>
      </c>
      <c r="H8682" s="1">
        <v>42115</v>
      </c>
      <c r="I8682" s="1">
        <v>42215</v>
      </c>
      <c r="J8682" s="1">
        <v>42214</v>
      </c>
      <c r="K8682" s="1">
        <v>42274</v>
      </c>
      <c r="L8682" s="7">
        <v>1450</v>
      </c>
      <c r="M8682" s="5">
        <v>65</v>
      </c>
      <c r="N8682" s="7">
        <v>94250</v>
      </c>
      <c r="O8682" s="2">
        <v>1450</v>
      </c>
      <c r="P8682">
        <v>65</v>
      </c>
      <c r="Q8682" s="2">
        <v>94250</v>
      </c>
      <c r="R8682">
        <v>58</v>
      </c>
      <c r="V8682">
        <v>0</v>
      </c>
      <c r="W8682">
        <v>0</v>
      </c>
      <c r="X8682">
        <v>0</v>
      </c>
      <c r="Y8682" s="2">
        <v>1508</v>
      </c>
      <c r="Z8682" s="2">
        <v>1508</v>
      </c>
      <c r="AA8682" s="2">
        <v>1508</v>
      </c>
      <c r="AB8682" s="1">
        <v>42382</v>
      </c>
      <c r="AC8682" t="s">
        <v>53</v>
      </c>
      <c r="AD8682" t="s">
        <v>53</v>
      </c>
      <c r="AH8682">
        <v>58</v>
      </c>
      <c r="AK8682">
        <v>0</v>
      </c>
      <c r="AU8682" s="6">
        <v>42339</v>
      </c>
      <c r="AV8682" s="6">
        <v>42339</v>
      </c>
      <c r="AW8682" t="s">
        <v>54</v>
      </c>
      <c r="AX8682" t="str">
        <f t="shared" si="711"/>
        <v>FOR</v>
      </c>
      <c r="AY8682" t="s">
        <v>55</v>
      </c>
    </row>
    <row r="8683" spans="1:51">
      <c r="A8683">
        <v>106535</v>
      </c>
      <c r="B8683" t="s">
        <v>1174</v>
      </c>
      <c r="C8683" t="str">
        <f t="shared" si="713"/>
        <v>08862820969</v>
      </c>
      <c r="D8683" t="str">
        <f t="shared" si="713"/>
        <v>08862820969</v>
      </c>
      <c r="E8683" t="s">
        <v>52</v>
      </c>
      <c r="F8683">
        <v>2015</v>
      </c>
      <c r="G8683">
        <v>2015103976</v>
      </c>
      <c r="H8683" s="1">
        <v>42115</v>
      </c>
      <c r="I8683" s="1">
        <v>42215</v>
      </c>
      <c r="J8683" s="1">
        <v>42214</v>
      </c>
      <c r="K8683" s="1">
        <v>42274</v>
      </c>
      <c r="L8683" s="7">
        <v>1450</v>
      </c>
      <c r="M8683" s="5">
        <v>65</v>
      </c>
      <c r="N8683" s="7">
        <v>94250</v>
      </c>
      <c r="O8683" s="2">
        <v>1450</v>
      </c>
      <c r="P8683">
        <v>65</v>
      </c>
      <c r="Q8683" s="2">
        <v>94250</v>
      </c>
      <c r="R8683">
        <v>58</v>
      </c>
      <c r="V8683">
        <v>0</v>
      </c>
      <c r="W8683">
        <v>0</v>
      </c>
      <c r="X8683">
        <v>0</v>
      </c>
      <c r="Y8683" s="2">
        <v>1508</v>
      </c>
      <c r="Z8683" s="2">
        <v>1508</v>
      </c>
      <c r="AA8683" s="2">
        <v>1508</v>
      </c>
      <c r="AB8683" s="1">
        <v>42382</v>
      </c>
      <c r="AC8683" t="s">
        <v>53</v>
      </c>
      <c r="AD8683" t="s">
        <v>53</v>
      </c>
      <c r="AH8683">
        <v>58</v>
      </c>
      <c r="AK8683">
        <v>0</v>
      </c>
      <c r="AU8683" s="6">
        <v>42339</v>
      </c>
      <c r="AV8683" s="6">
        <v>42339</v>
      </c>
      <c r="AW8683" t="s">
        <v>54</v>
      </c>
      <c r="AX8683" t="str">
        <f t="shared" si="711"/>
        <v>FOR</v>
      </c>
      <c r="AY8683" t="s">
        <v>55</v>
      </c>
    </row>
    <row r="8684" spans="1:51">
      <c r="A8684">
        <v>106535</v>
      </c>
      <c r="B8684" t="s">
        <v>1174</v>
      </c>
      <c r="C8684" t="str">
        <f t="shared" si="713"/>
        <v>08862820969</v>
      </c>
      <c r="D8684" t="str">
        <f t="shared" si="713"/>
        <v>08862820969</v>
      </c>
      <c r="E8684" t="s">
        <v>52</v>
      </c>
      <c r="F8684">
        <v>2015</v>
      </c>
      <c r="G8684">
        <v>2015103977</v>
      </c>
      <c r="H8684" s="1">
        <v>42115</v>
      </c>
      <c r="I8684" s="1">
        <v>42215</v>
      </c>
      <c r="J8684" s="1">
        <v>42214</v>
      </c>
      <c r="K8684" s="1">
        <v>42274</v>
      </c>
      <c r="L8684" s="7">
        <v>1450</v>
      </c>
      <c r="M8684" s="5">
        <v>65</v>
      </c>
      <c r="N8684" s="7">
        <v>94250</v>
      </c>
      <c r="O8684" s="2">
        <v>1450</v>
      </c>
      <c r="P8684">
        <v>65</v>
      </c>
      <c r="Q8684" s="2">
        <v>94250</v>
      </c>
      <c r="R8684">
        <v>58</v>
      </c>
      <c r="V8684">
        <v>0</v>
      </c>
      <c r="W8684">
        <v>0</v>
      </c>
      <c r="X8684">
        <v>0</v>
      </c>
      <c r="Y8684" s="2">
        <v>1508</v>
      </c>
      <c r="Z8684" s="2">
        <v>1508</v>
      </c>
      <c r="AA8684" s="2">
        <v>1508</v>
      </c>
      <c r="AB8684" s="1">
        <v>42382</v>
      </c>
      <c r="AC8684" t="s">
        <v>53</v>
      </c>
      <c r="AD8684" t="s">
        <v>53</v>
      </c>
      <c r="AH8684">
        <v>58</v>
      </c>
      <c r="AK8684">
        <v>0</v>
      </c>
      <c r="AU8684" s="6">
        <v>42339</v>
      </c>
      <c r="AV8684" s="6">
        <v>42339</v>
      </c>
      <c r="AW8684" t="s">
        <v>54</v>
      </c>
      <c r="AX8684" t="str">
        <f t="shared" si="711"/>
        <v>FOR</v>
      </c>
      <c r="AY8684" t="s">
        <v>55</v>
      </c>
    </row>
    <row r="8685" spans="1:51">
      <c r="A8685">
        <v>106535</v>
      </c>
      <c r="B8685" t="s">
        <v>1174</v>
      </c>
      <c r="C8685" t="str">
        <f t="shared" si="713"/>
        <v>08862820969</v>
      </c>
      <c r="D8685" t="str">
        <f t="shared" si="713"/>
        <v>08862820969</v>
      </c>
      <c r="E8685" t="s">
        <v>52</v>
      </c>
      <c r="F8685">
        <v>2015</v>
      </c>
      <c r="G8685">
        <v>2015103978</v>
      </c>
      <c r="H8685" s="1">
        <v>42115</v>
      </c>
      <c r="I8685" s="1">
        <v>42215</v>
      </c>
      <c r="J8685" s="1">
        <v>42214</v>
      </c>
      <c r="K8685" s="1">
        <v>42274</v>
      </c>
      <c r="L8685" s="7">
        <v>1450</v>
      </c>
      <c r="M8685" s="5">
        <v>65</v>
      </c>
      <c r="N8685" s="7">
        <v>94250</v>
      </c>
      <c r="O8685" s="2">
        <v>1450</v>
      </c>
      <c r="P8685">
        <v>65</v>
      </c>
      <c r="Q8685" s="2">
        <v>94250</v>
      </c>
      <c r="R8685">
        <v>58</v>
      </c>
      <c r="V8685">
        <v>0</v>
      </c>
      <c r="W8685">
        <v>0</v>
      </c>
      <c r="X8685">
        <v>0</v>
      </c>
      <c r="Y8685" s="2">
        <v>1508</v>
      </c>
      <c r="Z8685" s="2">
        <v>1508</v>
      </c>
      <c r="AA8685" s="2">
        <v>1508</v>
      </c>
      <c r="AB8685" s="1">
        <v>42382</v>
      </c>
      <c r="AC8685" t="s">
        <v>53</v>
      </c>
      <c r="AD8685" t="s">
        <v>53</v>
      </c>
      <c r="AH8685">
        <v>58</v>
      </c>
      <c r="AK8685">
        <v>0</v>
      </c>
      <c r="AU8685" s="6">
        <v>42339</v>
      </c>
      <c r="AV8685" s="6">
        <v>42339</v>
      </c>
      <c r="AW8685" t="s">
        <v>54</v>
      </c>
      <c r="AX8685" t="str">
        <f t="shared" si="711"/>
        <v>FOR</v>
      </c>
      <c r="AY8685" t="s">
        <v>55</v>
      </c>
    </row>
    <row r="8686" spans="1:51">
      <c r="A8686">
        <v>106535</v>
      </c>
      <c r="B8686" t="s">
        <v>1174</v>
      </c>
      <c r="C8686" t="str">
        <f t="shared" si="713"/>
        <v>08862820969</v>
      </c>
      <c r="D8686" t="str">
        <f t="shared" si="713"/>
        <v>08862820969</v>
      </c>
      <c r="E8686" t="s">
        <v>52</v>
      </c>
      <c r="F8686">
        <v>2015</v>
      </c>
      <c r="G8686">
        <v>2015103979</v>
      </c>
      <c r="H8686" s="1">
        <v>42115</v>
      </c>
      <c r="I8686" s="1">
        <v>42265</v>
      </c>
      <c r="J8686" s="1">
        <v>42264</v>
      </c>
      <c r="K8686" s="1">
        <v>42324</v>
      </c>
      <c r="L8686" s="7">
        <v>1320</v>
      </c>
      <c r="M8686" s="5">
        <v>15</v>
      </c>
      <c r="N8686" s="7">
        <v>19800</v>
      </c>
      <c r="O8686" s="2">
        <v>1320</v>
      </c>
      <c r="P8686">
        <v>15</v>
      </c>
      <c r="Q8686" s="2">
        <v>19800</v>
      </c>
      <c r="R8686">
        <v>52.8</v>
      </c>
      <c r="V8686">
        <v>0</v>
      </c>
      <c r="W8686">
        <v>0</v>
      </c>
      <c r="X8686">
        <v>0</v>
      </c>
      <c r="Y8686" s="2">
        <v>1372.8</v>
      </c>
      <c r="Z8686" s="2">
        <v>1372.8</v>
      </c>
      <c r="AA8686" s="2">
        <v>1372.8</v>
      </c>
      <c r="AB8686" s="1">
        <v>42382</v>
      </c>
      <c r="AC8686" t="s">
        <v>53</v>
      </c>
      <c r="AD8686" t="s">
        <v>53</v>
      </c>
      <c r="AF8686">
        <v>52.8</v>
      </c>
      <c r="AK8686">
        <v>0</v>
      </c>
      <c r="AU8686" s="6">
        <v>42339</v>
      </c>
      <c r="AV8686" s="6">
        <v>42339</v>
      </c>
      <c r="AW8686" t="s">
        <v>54</v>
      </c>
      <c r="AX8686" t="str">
        <f t="shared" si="711"/>
        <v>FOR</v>
      </c>
      <c r="AY8686" t="s">
        <v>55</v>
      </c>
    </row>
    <row r="8687" spans="1:51">
      <c r="A8687">
        <v>106535</v>
      </c>
      <c r="B8687" t="s">
        <v>1174</v>
      </c>
      <c r="C8687" t="str">
        <f t="shared" si="713"/>
        <v>08862820969</v>
      </c>
      <c r="D8687" t="str">
        <f t="shared" si="713"/>
        <v>08862820969</v>
      </c>
      <c r="E8687" t="s">
        <v>52</v>
      </c>
      <c r="F8687">
        <v>2015</v>
      </c>
      <c r="G8687">
        <v>2015103980</v>
      </c>
      <c r="H8687" s="1">
        <v>42115</v>
      </c>
      <c r="I8687" s="1">
        <v>42265</v>
      </c>
      <c r="J8687" s="1">
        <v>42264</v>
      </c>
      <c r="K8687" s="1">
        <v>42324</v>
      </c>
      <c r="L8687" s="7">
        <v>1100</v>
      </c>
      <c r="M8687" s="5">
        <v>15</v>
      </c>
      <c r="N8687" s="7">
        <v>16500</v>
      </c>
      <c r="O8687" s="2">
        <v>1100</v>
      </c>
      <c r="P8687">
        <v>15</v>
      </c>
      <c r="Q8687" s="2">
        <v>16500</v>
      </c>
      <c r="R8687">
        <v>44</v>
      </c>
      <c r="V8687">
        <v>0</v>
      </c>
      <c r="W8687">
        <v>0</v>
      </c>
      <c r="X8687">
        <v>0</v>
      </c>
      <c r="Y8687" s="2">
        <v>1144</v>
      </c>
      <c r="Z8687" s="2">
        <v>1144</v>
      </c>
      <c r="AA8687" s="2">
        <v>1144</v>
      </c>
      <c r="AB8687" s="1">
        <v>42382</v>
      </c>
      <c r="AC8687" t="s">
        <v>53</v>
      </c>
      <c r="AD8687" t="s">
        <v>53</v>
      </c>
      <c r="AF8687">
        <v>44</v>
      </c>
      <c r="AK8687">
        <v>0</v>
      </c>
      <c r="AU8687" s="6">
        <v>42339</v>
      </c>
      <c r="AV8687" s="6">
        <v>42339</v>
      </c>
      <c r="AW8687" t="s">
        <v>54</v>
      </c>
      <c r="AX8687" t="str">
        <f t="shared" si="711"/>
        <v>FOR</v>
      </c>
      <c r="AY8687" t="s">
        <v>55</v>
      </c>
    </row>
    <row r="8688" spans="1:51">
      <c r="A8688">
        <v>106535</v>
      </c>
      <c r="B8688" t="s">
        <v>1174</v>
      </c>
      <c r="C8688" t="str">
        <f t="shared" si="713"/>
        <v>08862820969</v>
      </c>
      <c r="D8688" t="str">
        <f t="shared" si="713"/>
        <v>08862820969</v>
      </c>
      <c r="E8688" t="s">
        <v>52</v>
      </c>
      <c r="F8688">
        <v>2015</v>
      </c>
      <c r="G8688">
        <v>2015103981</v>
      </c>
      <c r="H8688" s="1">
        <v>42115</v>
      </c>
      <c r="I8688" s="1">
        <v>42275</v>
      </c>
      <c r="J8688" s="1">
        <v>42272</v>
      </c>
      <c r="K8688" s="1">
        <v>42332</v>
      </c>
      <c r="L8688" s="7">
        <v>1320</v>
      </c>
      <c r="M8688" s="5">
        <v>7</v>
      </c>
      <c r="N8688" s="7">
        <v>9240</v>
      </c>
      <c r="O8688" s="2">
        <v>1320</v>
      </c>
      <c r="P8688">
        <v>7</v>
      </c>
      <c r="Q8688" s="2">
        <v>9240</v>
      </c>
      <c r="R8688">
        <v>52.8</v>
      </c>
      <c r="V8688">
        <v>0</v>
      </c>
      <c r="W8688">
        <v>0</v>
      </c>
      <c r="X8688">
        <v>0</v>
      </c>
      <c r="Y8688" s="2">
        <v>1372.8</v>
      </c>
      <c r="Z8688" s="2">
        <v>1372.8</v>
      </c>
      <c r="AA8688" s="2">
        <v>1372.8</v>
      </c>
      <c r="AB8688" s="1">
        <v>42382</v>
      </c>
      <c r="AC8688" t="s">
        <v>53</v>
      </c>
      <c r="AD8688" t="s">
        <v>53</v>
      </c>
      <c r="AF8688">
        <v>52.8</v>
      </c>
      <c r="AK8688">
        <v>0</v>
      </c>
      <c r="AU8688" s="6">
        <v>42339</v>
      </c>
      <c r="AV8688" s="6">
        <v>42339</v>
      </c>
      <c r="AW8688" t="s">
        <v>54</v>
      </c>
      <c r="AX8688" t="str">
        <f t="shared" si="711"/>
        <v>FOR</v>
      </c>
      <c r="AY8688" t="s">
        <v>55</v>
      </c>
    </row>
    <row r="8689" spans="1:51">
      <c r="A8689">
        <v>106535</v>
      </c>
      <c r="B8689" t="s">
        <v>1174</v>
      </c>
      <c r="C8689" t="str">
        <f t="shared" si="713"/>
        <v>08862820969</v>
      </c>
      <c r="D8689" t="str">
        <f t="shared" si="713"/>
        <v>08862820969</v>
      </c>
      <c r="E8689" t="s">
        <v>52</v>
      </c>
      <c r="F8689">
        <v>2015</v>
      </c>
      <c r="G8689">
        <v>2015103982</v>
      </c>
      <c r="H8689" s="1">
        <v>42115</v>
      </c>
      <c r="I8689" s="1">
        <v>42265</v>
      </c>
      <c r="J8689" s="1">
        <v>42264</v>
      </c>
      <c r="K8689" s="1">
        <v>42324</v>
      </c>
      <c r="L8689" s="7">
        <v>1450</v>
      </c>
      <c r="M8689" s="5">
        <v>15</v>
      </c>
      <c r="N8689" s="7">
        <v>21750</v>
      </c>
      <c r="O8689" s="2">
        <v>1450</v>
      </c>
      <c r="P8689">
        <v>15</v>
      </c>
      <c r="Q8689" s="2">
        <v>21750</v>
      </c>
      <c r="R8689">
        <v>58</v>
      </c>
      <c r="V8689">
        <v>0</v>
      </c>
      <c r="W8689">
        <v>0</v>
      </c>
      <c r="X8689">
        <v>0</v>
      </c>
      <c r="Y8689" s="2">
        <v>1508</v>
      </c>
      <c r="Z8689" s="2">
        <v>1508</v>
      </c>
      <c r="AA8689" s="2">
        <v>1508</v>
      </c>
      <c r="AB8689" s="1">
        <v>42382</v>
      </c>
      <c r="AC8689" t="s">
        <v>53</v>
      </c>
      <c r="AD8689" t="s">
        <v>53</v>
      </c>
      <c r="AF8689">
        <v>58</v>
      </c>
      <c r="AK8689">
        <v>0</v>
      </c>
      <c r="AU8689" s="6">
        <v>42339</v>
      </c>
      <c r="AV8689" s="6">
        <v>42339</v>
      </c>
      <c r="AW8689" t="s">
        <v>54</v>
      </c>
      <c r="AX8689" t="str">
        <f t="shared" si="711"/>
        <v>FOR</v>
      </c>
      <c r="AY8689" t="s">
        <v>55</v>
      </c>
    </row>
    <row r="8690" spans="1:51">
      <c r="A8690">
        <v>106535</v>
      </c>
      <c r="B8690" t="s">
        <v>1174</v>
      </c>
      <c r="C8690" t="str">
        <f t="shared" si="713"/>
        <v>08862820969</v>
      </c>
      <c r="D8690" t="str">
        <f t="shared" si="713"/>
        <v>08862820969</v>
      </c>
      <c r="E8690" t="s">
        <v>52</v>
      </c>
      <c r="F8690">
        <v>2015</v>
      </c>
      <c r="G8690">
        <v>2015103983</v>
      </c>
      <c r="H8690" s="1">
        <v>42115</v>
      </c>
      <c r="I8690" s="1">
        <v>42265</v>
      </c>
      <c r="J8690" s="1">
        <v>42264</v>
      </c>
      <c r="K8690" s="1">
        <v>42324</v>
      </c>
      <c r="L8690" s="7">
        <v>6886.8</v>
      </c>
      <c r="M8690" s="5">
        <v>15</v>
      </c>
      <c r="N8690" s="7">
        <v>103302</v>
      </c>
      <c r="O8690" s="2">
        <v>6886.8</v>
      </c>
      <c r="P8690">
        <v>15</v>
      </c>
      <c r="Q8690" s="2">
        <v>103302</v>
      </c>
      <c r="R8690" s="2">
        <v>1515.1</v>
      </c>
      <c r="V8690">
        <v>0</v>
      </c>
      <c r="W8690">
        <v>0</v>
      </c>
      <c r="X8690">
        <v>0</v>
      </c>
      <c r="Y8690" s="2">
        <v>8401.9</v>
      </c>
      <c r="Z8690" s="2">
        <v>8401.9</v>
      </c>
      <c r="AA8690" s="2">
        <v>8401.9</v>
      </c>
      <c r="AB8690" s="1">
        <v>42382</v>
      </c>
      <c r="AC8690" t="s">
        <v>53</v>
      </c>
      <c r="AD8690" t="s">
        <v>53</v>
      </c>
      <c r="AF8690" s="2">
        <v>1515.1</v>
      </c>
      <c r="AK8690">
        <v>0</v>
      </c>
      <c r="AU8690" s="6">
        <v>42339</v>
      </c>
      <c r="AV8690" s="6">
        <v>42339</v>
      </c>
      <c r="AW8690" t="s">
        <v>54</v>
      </c>
      <c r="AX8690" t="str">
        <f t="shared" si="711"/>
        <v>FOR</v>
      </c>
      <c r="AY8690" t="s">
        <v>55</v>
      </c>
    </row>
    <row r="8691" spans="1:51">
      <c r="A8691">
        <v>106535</v>
      </c>
      <c r="B8691" t="s">
        <v>1174</v>
      </c>
      <c r="C8691" t="str">
        <f t="shared" si="713"/>
        <v>08862820969</v>
      </c>
      <c r="D8691" t="str">
        <f t="shared" si="713"/>
        <v>08862820969</v>
      </c>
      <c r="E8691" t="s">
        <v>52</v>
      </c>
      <c r="F8691">
        <v>2015</v>
      </c>
      <c r="G8691">
        <v>2015104555</v>
      </c>
      <c r="H8691" s="1">
        <v>42130</v>
      </c>
      <c r="I8691" s="1">
        <v>42265</v>
      </c>
      <c r="J8691" s="1">
        <v>42264</v>
      </c>
      <c r="K8691" s="1">
        <v>42324</v>
      </c>
      <c r="L8691" s="7">
        <v>1320</v>
      </c>
      <c r="M8691" s="5">
        <v>32</v>
      </c>
      <c r="N8691" s="7">
        <v>42240</v>
      </c>
      <c r="O8691" s="2">
        <v>1320</v>
      </c>
      <c r="P8691">
        <v>32</v>
      </c>
      <c r="Q8691" s="2">
        <v>42240</v>
      </c>
      <c r="R8691">
        <v>52.8</v>
      </c>
      <c r="V8691">
        <v>0</v>
      </c>
      <c r="W8691">
        <v>0</v>
      </c>
      <c r="X8691">
        <v>0</v>
      </c>
      <c r="Y8691" s="2">
        <v>1372.8</v>
      </c>
      <c r="Z8691" s="2">
        <v>1372.8</v>
      </c>
      <c r="AA8691" s="2">
        <v>1372.8</v>
      </c>
      <c r="AB8691" s="1">
        <v>42382</v>
      </c>
      <c r="AC8691" t="s">
        <v>53</v>
      </c>
      <c r="AD8691" t="s">
        <v>53</v>
      </c>
      <c r="AF8691">
        <v>52.8</v>
      </c>
      <c r="AK8691">
        <v>0</v>
      </c>
      <c r="AU8691" s="6">
        <v>42356</v>
      </c>
      <c r="AV8691" s="6">
        <v>42356</v>
      </c>
      <c r="AW8691" t="s">
        <v>54</v>
      </c>
      <c r="AX8691" t="str">
        <f t="shared" si="711"/>
        <v>FOR</v>
      </c>
      <c r="AY8691" t="s">
        <v>55</v>
      </c>
    </row>
    <row r="8692" spans="1:51">
      <c r="A8692">
        <v>106535</v>
      </c>
      <c r="B8692" t="s">
        <v>1174</v>
      </c>
      <c r="C8692" t="str">
        <f t="shared" si="713"/>
        <v>08862820969</v>
      </c>
      <c r="D8692" t="str">
        <f t="shared" si="713"/>
        <v>08862820969</v>
      </c>
      <c r="E8692" t="s">
        <v>52</v>
      </c>
      <c r="F8692">
        <v>2015</v>
      </c>
      <c r="G8692">
        <v>2015105693</v>
      </c>
      <c r="H8692" s="1">
        <v>42163</v>
      </c>
      <c r="I8692" s="1">
        <v>42265</v>
      </c>
      <c r="J8692" s="1">
        <v>42264</v>
      </c>
      <c r="K8692" s="1">
        <v>42324</v>
      </c>
      <c r="L8692" s="7">
        <v>1450</v>
      </c>
      <c r="M8692" s="5">
        <v>32</v>
      </c>
      <c r="N8692" s="7">
        <v>46400</v>
      </c>
      <c r="O8692" s="2">
        <v>1450</v>
      </c>
      <c r="P8692">
        <v>32</v>
      </c>
      <c r="Q8692" s="2">
        <v>46400</v>
      </c>
      <c r="R8692">
        <v>58</v>
      </c>
      <c r="V8692">
        <v>0</v>
      </c>
      <c r="W8692">
        <v>0</v>
      </c>
      <c r="X8692">
        <v>0</v>
      </c>
      <c r="Y8692" s="2">
        <v>1508</v>
      </c>
      <c r="Z8692" s="2">
        <v>1508</v>
      </c>
      <c r="AA8692" s="2">
        <v>1508</v>
      </c>
      <c r="AB8692" s="1">
        <v>42382</v>
      </c>
      <c r="AC8692" t="s">
        <v>53</v>
      </c>
      <c r="AD8692" t="s">
        <v>53</v>
      </c>
      <c r="AF8692">
        <v>58</v>
      </c>
      <c r="AK8692">
        <v>0</v>
      </c>
      <c r="AU8692" s="6">
        <v>42356</v>
      </c>
      <c r="AV8692" s="6">
        <v>42356</v>
      </c>
      <c r="AW8692" t="s">
        <v>54</v>
      </c>
      <c r="AX8692" t="str">
        <f t="shared" si="711"/>
        <v>FOR</v>
      </c>
      <c r="AY8692" t="s">
        <v>55</v>
      </c>
    </row>
    <row r="8693" spans="1:51">
      <c r="A8693">
        <v>106535</v>
      </c>
      <c r="B8693" t="s">
        <v>1174</v>
      </c>
      <c r="C8693" t="str">
        <f t="shared" si="713"/>
        <v>08862820969</v>
      </c>
      <c r="D8693" t="str">
        <f t="shared" si="713"/>
        <v>08862820969</v>
      </c>
      <c r="E8693" t="s">
        <v>52</v>
      </c>
      <c r="F8693">
        <v>2015</v>
      </c>
      <c r="G8693">
        <v>2015105694</v>
      </c>
      <c r="H8693" s="1">
        <v>42163</v>
      </c>
      <c r="I8693" s="1">
        <v>42265</v>
      </c>
      <c r="J8693" s="1">
        <v>42264</v>
      </c>
      <c r="K8693" s="1">
        <v>42324</v>
      </c>
      <c r="L8693" s="7">
        <v>1450</v>
      </c>
      <c r="M8693" s="5">
        <v>32</v>
      </c>
      <c r="N8693" s="7">
        <v>46400</v>
      </c>
      <c r="O8693" s="2">
        <v>1450</v>
      </c>
      <c r="P8693">
        <v>32</v>
      </c>
      <c r="Q8693" s="2">
        <v>46400</v>
      </c>
      <c r="R8693">
        <v>58</v>
      </c>
      <c r="V8693">
        <v>0</v>
      </c>
      <c r="W8693">
        <v>0</v>
      </c>
      <c r="X8693">
        <v>0</v>
      </c>
      <c r="Y8693" s="2">
        <v>1508</v>
      </c>
      <c r="Z8693" s="2">
        <v>1508</v>
      </c>
      <c r="AA8693" s="2">
        <v>1508</v>
      </c>
      <c r="AB8693" s="1">
        <v>42382</v>
      </c>
      <c r="AC8693" t="s">
        <v>53</v>
      </c>
      <c r="AD8693" t="s">
        <v>53</v>
      </c>
      <c r="AF8693">
        <v>58</v>
      </c>
      <c r="AK8693">
        <v>0</v>
      </c>
      <c r="AU8693" s="6">
        <v>42356</v>
      </c>
      <c r="AV8693" s="6">
        <v>42356</v>
      </c>
      <c r="AW8693" t="s">
        <v>54</v>
      </c>
      <c r="AX8693" t="str">
        <f t="shared" si="711"/>
        <v>FOR</v>
      </c>
      <c r="AY8693" t="s">
        <v>55</v>
      </c>
    </row>
    <row r="8694" spans="1:51">
      <c r="A8694">
        <v>106535</v>
      </c>
      <c r="B8694" t="s">
        <v>1174</v>
      </c>
      <c r="C8694" t="str">
        <f t="shared" si="713"/>
        <v>08862820969</v>
      </c>
      <c r="D8694" t="str">
        <f t="shared" si="713"/>
        <v>08862820969</v>
      </c>
      <c r="E8694" t="s">
        <v>52</v>
      </c>
      <c r="F8694">
        <v>2015</v>
      </c>
      <c r="G8694">
        <v>2015105695</v>
      </c>
      <c r="H8694" s="1">
        <v>42163</v>
      </c>
      <c r="I8694" s="1">
        <v>42265</v>
      </c>
      <c r="J8694" s="1">
        <v>42264</v>
      </c>
      <c r="K8694" s="1">
        <v>42324</v>
      </c>
      <c r="L8694" s="7">
        <v>1320</v>
      </c>
      <c r="M8694" s="5">
        <v>32</v>
      </c>
      <c r="N8694" s="7">
        <v>42240</v>
      </c>
      <c r="O8694" s="2">
        <v>1320</v>
      </c>
      <c r="P8694">
        <v>32</v>
      </c>
      <c r="Q8694" s="2">
        <v>42240</v>
      </c>
      <c r="R8694">
        <v>52.8</v>
      </c>
      <c r="V8694">
        <v>0</v>
      </c>
      <c r="W8694">
        <v>0</v>
      </c>
      <c r="X8694">
        <v>0</v>
      </c>
      <c r="Y8694" s="2">
        <v>1372.8</v>
      </c>
      <c r="Z8694" s="2">
        <v>1372.8</v>
      </c>
      <c r="AA8694" s="2">
        <v>1372.8</v>
      </c>
      <c r="AB8694" s="1">
        <v>42382</v>
      </c>
      <c r="AC8694" t="s">
        <v>53</v>
      </c>
      <c r="AD8694" t="s">
        <v>53</v>
      </c>
      <c r="AF8694">
        <v>52.8</v>
      </c>
      <c r="AK8694">
        <v>0</v>
      </c>
      <c r="AU8694" s="6">
        <v>42356</v>
      </c>
      <c r="AV8694" s="6">
        <v>42356</v>
      </c>
      <c r="AW8694" t="s">
        <v>54</v>
      </c>
      <c r="AX8694" t="str">
        <f t="shared" si="711"/>
        <v>FOR</v>
      </c>
      <c r="AY8694" t="s">
        <v>55</v>
      </c>
    </row>
    <row r="8695" spans="1:51">
      <c r="A8695">
        <v>106535</v>
      </c>
      <c r="B8695" t="s">
        <v>1174</v>
      </c>
      <c r="C8695" t="str">
        <f t="shared" si="713"/>
        <v>08862820969</v>
      </c>
      <c r="D8695" t="str">
        <f t="shared" si="713"/>
        <v>08862820969</v>
      </c>
      <c r="E8695" t="s">
        <v>52</v>
      </c>
      <c r="F8695">
        <v>2015</v>
      </c>
      <c r="G8695">
        <v>2015105696</v>
      </c>
      <c r="H8695" s="1">
        <v>42163</v>
      </c>
      <c r="I8695" s="1">
        <v>42275</v>
      </c>
      <c r="J8695" s="1">
        <v>42272</v>
      </c>
      <c r="K8695" s="1">
        <v>42332</v>
      </c>
      <c r="L8695" s="7">
        <v>1450</v>
      </c>
      <c r="M8695" s="5">
        <v>24</v>
      </c>
      <c r="N8695" s="7">
        <v>34800</v>
      </c>
      <c r="O8695" s="2">
        <v>1450</v>
      </c>
      <c r="P8695">
        <v>24</v>
      </c>
      <c r="Q8695" s="2">
        <v>34800</v>
      </c>
      <c r="R8695">
        <v>58</v>
      </c>
      <c r="V8695">
        <v>0</v>
      </c>
      <c r="W8695">
        <v>0</v>
      </c>
      <c r="X8695">
        <v>0</v>
      </c>
      <c r="Y8695" s="2">
        <v>1508</v>
      </c>
      <c r="Z8695" s="2">
        <v>1508</v>
      </c>
      <c r="AA8695" s="2">
        <v>1508</v>
      </c>
      <c r="AB8695" s="1">
        <v>42382</v>
      </c>
      <c r="AC8695" t="s">
        <v>53</v>
      </c>
      <c r="AD8695" t="s">
        <v>53</v>
      </c>
      <c r="AF8695">
        <v>58</v>
      </c>
      <c r="AK8695">
        <v>0</v>
      </c>
      <c r="AU8695" s="6">
        <v>42356</v>
      </c>
      <c r="AV8695" s="6">
        <v>42356</v>
      </c>
      <c r="AW8695" t="s">
        <v>54</v>
      </c>
      <c r="AX8695" t="str">
        <f t="shared" si="711"/>
        <v>FOR</v>
      </c>
      <c r="AY8695" t="s">
        <v>55</v>
      </c>
    </row>
    <row r="8696" spans="1:51">
      <c r="A8696">
        <v>106535</v>
      </c>
      <c r="B8696" t="s">
        <v>1174</v>
      </c>
      <c r="C8696" t="str">
        <f t="shared" si="713"/>
        <v>08862820969</v>
      </c>
      <c r="D8696" t="str">
        <f t="shared" si="713"/>
        <v>08862820969</v>
      </c>
      <c r="E8696" t="s">
        <v>52</v>
      </c>
      <c r="F8696">
        <v>2015</v>
      </c>
      <c r="G8696">
        <v>2015105697</v>
      </c>
      <c r="H8696" s="1">
        <v>42163</v>
      </c>
      <c r="I8696" s="1">
        <v>42265</v>
      </c>
      <c r="J8696" s="1">
        <v>42264</v>
      </c>
      <c r="K8696" s="1">
        <v>42324</v>
      </c>
      <c r="L8696" s="7">
        <v>760</v>
      </c>
      <c r="M8696" s="5">
        <v>32</v>
      </c>
      <c r="N8696" s="7">
        <v>24320</v>
      </c>
      <c r="O8696">
        <v>760</v>
      </c>
      <c r="P8696">
        <v>32</v>
      </c>
      <c r="Q8696" s="2">
        <v>24320</v>
      </c>
      <c r="R8696">
        <v>167.2</v>
      </c>
      <c r="V8696">
        <v>0</v>
      </c>
      <c r="W8696">
        <v>0</v>
      </c>
      <c r="X8696">
        <v>0</v>
      </c>
      <c r="Y8696">
        <v>927.2</v>
      </c>
      <c r="Z8696">
        <v>927.2</v>
      </c>
      <c r="AA8696">
        <v>927.2</v>
      </c>
      <c r="AB8696" s="1">
        <v>42382</v>
      </c>
      <c r="AC8696" t="s">
        <v>53</v>
      </c>
      <c r="AD8696" t="s">
        <v>53</v>
      </c>
      <c r="AF8696">
        <v>167.2</v>
      </c>
      <c r="AK8696">
        <v>0</v>
      </c>
      <c r="AU8696" s="6">
        <v>42356</v>
      </c>
      <c r="AV8696" s="6">
        <v>42356</v>
      </c>
      <c r="AW8696" t="s">
        <v>54</v>
      </c>
      <c r="AX8696" t="str">
        <f t="shared" si="711"/>
        <v>FOR</v>
      </c>
      <c r="AY8696" t="s">
        <v>55</v>
      </c>
    </row>
    <row r="8697" spans="1:51">
      <c r="A8697">
        <v>106535</v>
      </c>
      <c r="B8697" t="s">
        <v>1174</v>
      </c>
      <c r="C8697" t="str">
        <f t="shared" si="713"/>
        <v>08862820969</v>
      </c>
      <c r="D8697" t="str">
        <f t="shared" si="713"/>
        <v>08862820969</v>
      </c>
      <c r="E8697" t="s">
        <v>52</v>
      </c>
      <c r="F8697">
        <v>2015</v>
      </c>
      <c r="G8697">
        <v>2015105723</v>
      </c>
      <c r="H8697" s="1">
        <v>42163</v>
      </c>
      <c r="I8697" s="1">
        <v>42215</v>
      </c>
      <c r="J8697" s="1">
        <v>42214</v>
      </c>
      <c r="K8697" s="1">
        <v>42274</v>
      </c>
      <c r="L8697" s="7">
        <v>1320</v>
      </c>
      <c r="M8697" s="5">
        <v>82</v>
      </c>
      <c r="N8697" s="7">
        <v>108240</v>
      </c>
      <c r="O8697" s="2">
        <v>1320</v>
      </c>
      <c r="P8697">
        <v>82</v>
      </c>
      <c r="Q8697" s="2">
        <v>108240</v>
      </c>
      <c r="R8697">
        <v>52.8</v>
      </c>
      <c r="V8697">
        <v>0</v>
      </c>
      <c r="W8697">
        <v>0</v>
      </c>
      <c r="X8697">
        <v>0</v>
      </c>
      <c r="Y8697" s="2">
        <v>1372.8</v>
      </c>
      <c r="Z8697" s="2">
        <v>1372.8</v>
      </c>
      <c r="AA8697" s="2">
        <v>1372.8</v>
      </c>
      <c r="AB8697" s="1">
        <v>42382</v>
      </c>
      <c r="AC8697" t="s">
        <v>53</v>
      </c>
      <c r="AD8697" t="s">
        <v>53</v>
      </c>
      <c r="AH8697">
        <v>52.8</v>
      </c>
      <c r="AK8697">
        <v>0</v>
      </c>
      <c r="AU8697" s="6">
        <v>42356</v>
      </c>
      <c r="AV8697" s="6">
        <v>42356</v>
      </c>
      <c r="AW8697" t="s">
        <v>54</v>
      </c>
      <c r="AX8697" t="str">
        <f t="shared" si="711"/>
        <v>FOR</v>
      </c>
      <c r="AY8697" t="s">
        <v>55</v>
      </c>
    </row>
    <row r="8698" spans="1:51">
      <c r="A8698">
        <v>106535</v>
      </c>
      <c r="B8698" t="s">
        <v>1174</v>
      </c>
      <c r="C8698" t="str">
        <f t="shared" si="713"/>
        <v>08862820969</v>
      </c>
      <c r="D8698" t="str">
        <f t="shared" si="713"/>
        <v>08862820969</v>
      </c>
      <c r="E8698" t="s">
        <v>52</v>
      </c>
      <c r="F8698">
        <v>2015</v>
      </c>
      <c r="G8698">
        <v>2015105724</v>
      </c>
      <c r="H8698" s="1">
        <v>42163</v>
      </c>
      <c r="I8698" s="1">
        <v>42215</v>
      </c>
      <c r="J8698" s="1">
        <v>42214</v>
      </c>
      <c r="K8698" s="1">
        <v>42274</v>
      </c>
      <c r="L8698" s="7">
        <v>1450</v>
      </c>
      <c r="M8698" s="5">
        <v>82</v>
      </c>
      <c r="N8698" s="7">
        <v>118900</v>
      </c>
      <c r="O8698" s="2">
        <v>1450</v>
      </c>
      <c r="P8698">
        <v>82</v>
      </c>
      <c r="Q8698" s="2">
        <v>118900</v>
      </c>
      <c r="R8698">
        <v>58</v>
      </c>
      <c r="V8698">
        <v>0</v>
      </c>
      <c r="W8698">
        <v>0</v>
      </c>
      <c r="X8698">
        <v>0</v>
      </c>
      <c r="Y8698" s="2">
        <v>1508</v>
      </c>
      <c r="Z8698" s="2">
        <v>1508</v>
      </c>
      <c r="AA8698" s="2">
        <v>1508</v>
      </c>
      <c r="AB8698" s="1">
        <v>42382</v>
      </c>
      <c r="AC8698" t="s">
        <v>53</v>
      </c>
      <c r="AD8698" t="s">
        <v>53</v>
      </c>
      <c r="AH8698">
        <v>58</v>
      </c>
      <c r="AK8698">
        <v>0</v>
      </c>
      <c r="AU8698" s="6">
        <v>42356</v>
      </c>
      <c r="AV8698" s="6">
        <v>42356</v>
      </c>
      <c r="AW8698" t="s">
        <v>54</v>
      </c>
      <c r="AX8698" t="str">
        <f t="shared" si="711"/>
        <v>FOR</v>
      </c>
      <c r="AY8698" t="s">
        <v>55</v>
      </c>
    </row>
    <row r="8699" spans="1:51">
      <c r="A8699">
        <v>106535</v>
      </c>
      <c r="B8699" t="s">
        <v>1174</v>
      </c>
      <c r="C8699" t="str">
        <f t="shared" ref="C8699:D8708" si="714">"08862820969"</f>
        <v>08862820969</v>
      </c>
      <c r="D8699" t="str">
        <f t="shared" si="714"/>
        <v>08862820969</v>
      </c>
      <c r="E8699" t="s">
        <v>52</v>
      </c>
      <c r="F8699">
        <v>2015</v>
      </c>
      <c r="G8699">
        <v>2015105725</v>
      </c>
      <c r="H8699" s="1">
        <v>42163</v>
      </c>
      <c r="I8699" s="1">
        <v>42215</v>
      </c>
      <c r="J8699" s="1">
        <v>42214</v>
      </c>
      <c r="K8699" s="1">
        <v>42274</v>
      </c>
      <c r="L8699" s="7">
        <v>1450</v>
      </c>
      <c r="M8699" s="5">
        <v>82</v>
      </c>
      <c r="N8699" s="7">
        <v>118900</v>
      </c>
      <c r="O8699" s="2">
        <v>1450</v>
      </c>
      <c r="P8699">
        <v>82</v>
      </c>
      <c r="Q8699" s="2">
        <v>118900</v>
      </c>
      <c r="R8699">
        <v>58</v>
      </c>
      <c r="V8699">
        <v>0</v>
      </c>
      <c r="W8699">
        <v>0</v>
      </c>
      <c r="X8699">
        <v>0</v>
      </c>
      <c r="Y8699" s="2">
        <v>1508</v>
      </c>
      <c r="Z8699" s="2">
        <v>1508</v>
      </c>
      <c r="AA8699" s="2">
        <v>1508</v>
      </c>
      <c r="AB8699" s="1">
        <v>42382</v>
      </c>
      <c r="AC8699" t="s">
        <v>53</v>
      </c>
      <c r="AD8699" t="s">
        <v>53</v>
      </c>
      <c r="AH8699">
        <v>58</v>
      </c>
      <c r="AK8699">
        <v>0</v>
      </c>
      <c r="AU8699" s="6">
        <v>42356</v>
      </c>
      <c r="AV8699" s="6">
        <v>42356</v>
      </c>
      <c r="AW8699" t="s">
        <v>54</v>
      </c>
      <c r="AX8699" t="str">
        <f t="shared" si="711"/>
        <v>FOR</v>
      </c>
      <c r="AY8699" t="s">
        <v>55</v>
      </c>
    </row>
    <row r="8700" spans="1:51">
      <c r="A8700">
        <v>106535</v>
      </c>
      <c r="B8700" t="s">
        <v>1174</v>
      </c>
      <c r="C8700" t="str">
        <f t="shared" si="714"/>
        <v>08862820969</v>
      </c>
      <c r="D8700" t="str">
        <f t="shared" si="714"/>
        <v>08862820969</v>
      </c>
      <c r="E8700" t="s">
        <v>52</v>
      </c>
      <c r="F8700">
        <v>2015</v>
      </c>
      <c r="G8700">
        <v>2015105728</v>
      </c>
      <c r="H8700" s="1">
        <v>42163</v>
      </c>
      <c r="I8700" s="1">
        <v>42215</v>
      </c>
      <c r="J8700" s="1">
        <v>42214</v>
      </c>
      <c r="K8700" s="1">
        <v>42274</v>
      </c>
      <c r="L8700" s="7">
        <v>1450</v>
      </c>
      <c r="M8700" s="5">
        <v>82</v>
      </c>
      <c r="N8700" s="7">
        <v>118900</v>
      </c>
      <c r="O8700" s="2">
        <v>1450</v>
      </c>
      <c r="P8700">
        <v>82</v>
      </c>
      <c r="Q8700" s="2">
        <v>118900</v>
      </c>
      <c r="R8700">
        <v>58</v>
      </c>
      <c r="V8700">
        <v>0</v>
      </c>
      <c r="W8700">
        <v>0</v>
      </c>
      <c r="X8700">
        <v>0</v>
      </c>
      <c r="Y8700" s="2">
        <v>1508</v>
      </c>
      <c r="Z8700" s="2">
        <v>1508</v>
      </c>
      <c r="AA8700" s="2">
        <v>1508</v>
      </c>
      <c r="AB8700" s="1">
        <v>42382</v>
      </c>
      <c r="AC8700" t="s">
        <v>53</v>
      </c>
      <c r="AD8700" t="s">
        <v>53</v>
      </c>
      <c r="AH8700">
        <v>58</v>
      </c>
      <c r="AK8700">
        <v>0</v>
      </c>
      <c r="AU8700" s="6">
        <v>42356</v>
      </c>
      <c r="AV8700" s="6">
        <v>42356</v>
      </c>
      <c r="AW8700" t="s">
        <v>54</v>
      </c>
      <c r="AX8700" t="str">
        <f t="shared" si="711"/>
        <v>FOR</v>
      </c>
      <c r="AY8700" t="s">
        <v>55</v>
      </c>
    </row>
    <row r="8701" spans="1:51">
      <c r="A8701">
        <v>106535</v>
      </c>
      <c r="B8701" t="s">
        <v>1174</v>
      </c>
      <c r="C8701" t="str">
        <f t="shared" si="714"/>
        <v>08862820969</v>
      </c>
      <c r="D8701" t="str">
        <f t="shared" si="714"/>
        <v>08862820969</v>
      </c>
      <c r="E8701" t="s">
        <v>52</v>
      </c>
      <c r="F8701">
        <v>2015</v>
      </c>
      <c r="G8701">
        <v>2015105763</v>
      </c>
      <c r="H8701" s="1">
        <v>42164</v>
      </c>
      <c r="I8701" s="1">
        <v>42265</v>
      </c>
      <c r="J8701" s="1">
        <v>42264</v>
      </c>
      <c r="K8701" s="1">
        <v>42324</v>
      </c>
      <c r="L8701" s="7">
        <v>275</v>
      </c>
      <c r="M8701" s="5">
        <v>32</v>
      </c>
      <c r="N8701" s="7">
        <v>8800</v>
      </c>
      <c r="O8701">
        <v>275</v>
      </c>
      <c r="P8701">
        <v>32</v>
      </c>
      <c r="Q8701" s="2">
        <v>8800</v>
      </c>
      <c r="R8701">
        <v>60.5</v>
      </c>
      <c r="V8701">
        <v>0</v>
      </c>
      <c r="W8701">
        <v>0</v>
      </c>
      <c r="X8701">
        <v>0</v>
      </c>
      <c r="Y8701">
        <v>335.5</v>
      </c>
      <c r="Z8701">
        <v>335.5</v>
      </c>
      <c r="AA8701">
        <v>335.5</v>
      </c>
      <c r="AB8701" s="1">
        <v>42382</v>
      </c>
      <c r="AC8701" t="s">
        <v>53</v>
      </c>
      <c r="AD8701" t="s">
        <v>53</v>
      </c>
      <c r="AF8701">
        <v>60.5</v>
      </c>
      <c r="AK8701">
        <v>0</v>
      </c>
      <c r="AU8701" s="6">
        <v>42356</v>
      </c>
      <c r="AV8701" s="6">
        <v>42356</v>
      </c>
      <c r="AW8701" t="s">
        <v>54</v>
      </c>
      <c r="AX8701" t="str">
        <f t="shared" si="711"/>
        <v>FOR</v>
      </c>
      <c r="AY8701" t="s">
        <v>55</v>
      </c>
    </row>
    <row r="8702" spans="1:51">
      <c r="A8702">
        <v>106535</v>
      </c>
      <c r="B8702" t="s">
        <v>1174</v>
      </c>
      <c r="C8702" t="str">
        <f t="shared" si="714"/>
        <v>08862820969</v>
      </c>
      <c r="D8702" t="str">
        <f t="shared" si="714"/>
        <v>08862820969</v>
      </c>
      <c r="E8702" t="s">
        <v>52</v>
      </c>
      <c r="F8702">
        <v>2015</v>
      </c>
      <c r="G8702">
        <v>2015105797</v>
      </c>
      <c r="H8702" s="1">
        <v>42165</v>
      </c>
      <c r="I8702" s="1">
        <v>42172</v>
      </c>
      <c r="J8702" s="1">
        <v>42170</v>
      </c>
      <c r="K8702" s="1">
        <v>42230</v>
      </c>
      <c r="L8702" s="7">
        <v>1320</v>
      </c>
      <c r="M8702" s="5">
        <v>126</v>
      </c>
      <c r="N8702" s="7">
        <v>166320</v>
      </c>
      <c r="O8702" s="2">
        <v>1320</v>
      </c>
      <c r="P8702">
        <v>126</v>
      </c>
      <c r="Q8702" s="2">
        <v>166320</v>
      </c>
      <c r="R8702">
        <v>52.8</v>
      </c>
      <c r="V8702">
        <v>0</v>
      </c>
      <c r="W8702">
        <v>0</v>
      </c>
      <c r="X8702">
        <v>0</v>
      </c>
      <c r="Y8702" s="2">
        <v>1372.8</v>
      </c>
      <c r="Z8702" s="2">
        <v>1372.8</v>
      </c>
      <c r="AA8702" s="2">
        <v>1372.8</v>
      </c>
      <c r="AB8702" s="1">
        <v>42382</v>
      </c>
      <c r="AC8702" t="s">
        <v>53</v>
      </c>
      <c r="AD8702" t="s">
        <v>53</v>
      </c>
      <c r="AI8702">
        <v>52.8</v>
      </c>
      <c r="AK8702">
        <v>0</v>
      </c>
      <c r="AU8702" s="6">
        <v>42356</v>
      </c>
      <c r="AV8702" s="6">
        <v>42356</v>
      </c>
      <c r="AW8702" t="s">
        <v>54</v>
      </c>
      <c r="AX8702" t="str">
        <f t="shared" si="711"/>
        <v>FOR</v>
      </c>
      <c r="AY8702" t="s">
        <v>55</v>
      </c>
    </row>
    <row r="8703" spans="1:51">
      <c r="A8703">
        <v>106535</v>
      </c>
      <c r="B8703" t="s">
        <v>1174</v>
      </c>
      <c r="C8703" t="str">
        <f t="shared" si="714"/>
        <v>08862820969</v>
      </c>
      <c r="D8703" t="str">
        <f t="shared" si="714"/>
        <v>08862820969</v>
      </c>
      <c r="E8703" t="s">
        <v>52</v>
      </c>
      <c r="F8703">
        <v>2015</v>
      </c>
      <c r="G8703">
        <v>2015106059</v>
      </c>
      <c r="H8703" s="1">
        <v>42172</v>
      </c>
      <c r="I8703" s="1">
        <v>42178</v>
      </c>
      <c r="J8703" s="1">
        <v>42177</v>
      </c>
      <c r="K8703" s="1">
        <v>42237</v>
      </c>
      <c r="L8703" s="7">
        <v>1320</v>
      </c>
      <c r="M8703" s="5">
        <v>119</v>
      </c>
      <c r="N8703" s="7">
        <v>157080</v>
      </c>
      <c r="O8703" s="2">
        <v>1320</v>
      </c>
      <c r="P8703">
        <v>119</v>
      </c>
      <c r="Q8703" s="2">
        <v>157080</v>
      </c>
      <c r="R8703">
        <v>52.8</v>
      </c>
      <c r="V8703">
        <v>0</v>
      </c>
      <c r="W8703">
        <v>0</v>
      </c>
      <c r="X8703">
        <v>0</v>
      </c>
      <c r="Y8703" s="2">
        <v>1372.8</v>
      </c>
      <c r="Z8703" s="2">
        <v>1372.8</v>
      </c>
      <c r="AA8703" s="2">
        <v>1372.8</v>
      </c>
      <c r="AB8703" s="1">
        <v>42382</v>
      </c>
      <c r="AC8703" t="s">
        <v>53</v>
      </c>
      <c r="AD8703" t="s">
        <v>53</v>
      </c>
      <c r="AI8703">
        <v>52.8</v>
      </c>
      <c r="AK8703">
        <v>0</v>
      </c>
      <c r="AU8703" s="6">
        <v>42356</v>
      </c>
      <c r="AV8703" s="6">
        <v>42356</v>
      </c>
      <c r="AW8703" t="s">
        <v>54</v>
      </c>
      <c r="AX8703" t="str">
        <f t="shared" si="711"/>
        <v>FOR</v>
      </c>
      <c r="AY8703" t="s">
        <v>55</v>
      </c>
    </row>
    <row r="8704" spans="1:51">
      <c r="A8704">
        <v>106535</v>
      </c>
      <c r="B8704" t="s">
        <v>1174</v>
      </c>
      <c r="C8704" t="str">
        <f t="shared" si="714"/>
        <v>08862820969</v>
      </c>
      <c r="D8704" t="str">
        <f t="shared" si="714"/>
        <v>08862820969</v>
      </c>
      <c r="E8704" t="s">
        <v>52</v>
      </c>
      <c r="F8704">
        <v>2015</v>
      </c>
      <c r="G8704">
        <v>2015106155</v>
      </c>
      <c r="H8704" s="1">
        <v>42174</v>
      </c>
      <c r="I8704" s="1">
        <v>42186</v>
      </c>
      <c r="J8704" s="1">
        <v>42182</v>
      </c>
      <c r="K8704" s="1">
        <v>42242</v>
      </c>
      <c r="L8704" s="7">
        <v>1450</v>
      </c>
      <c r="M8704" s="5">
        <v>114</v>
      </c>
      <c r="N8704" s="7">
        <v>165300</v>
      </c>
      <c r="O8704" s="2">
        <v>1450</v>
      </c>
      <c r="P8704">
        <v>114</v>
      </c>
      <c r="Q8704" s="2">
        <v>165300</v>
      </c>
      <c r="R8704">
        <v>58</v>
      </c>
      <c r="V8704">
        <v>0</v>
      </c>
      <c r="W8704">
        <v>0</v>
      </c>
      <c r="X8704">
        <v>0</v>
      </c>
      <c r="Y8704" s="2">
        <v>1508</v>
      </c>
      <c r="Z8704" s="2">
        <v>1508</v>
      </c>
      <c r="AA8704" s="2">
        <v>1508</v>
      </c>
      <c r="AB8704" s="1">
        <v>42382</v>
      </c>
      <c r="AC8704" t="s">
        <v>53</v>
      </c>
      <c r="AD8704" t="s">
        <v>53</v>
      </c>
      <c r="AI8704">
        <v>58</v>
      </c>
      <c r="AK8704">
        <v>0</v>
      </c>
      <c r="AU8704" s="6">
        <v>42356</v>
      </c>
      <c r="AV8704" s="6">
        <v>42356</v>
      </c>
      <c r="AW8704" t="s">
        <v>54</v>
      </c>
      <c r="AX8704" t="str">
        <f t="shared" si="711"/>
        <v>FOR</v>
      </c>
      <c r="AY8704" t="s">
        <v>55</v>
      </c>
    </row>
    <row r="8705" spans="1:51">
      <c r="A8705">
        <v>106535</v>
      </c>
      <c r="B8705" t="s">
        <v>1174</v>
      </c>
      <c r="C8705" t="str">
        <f t="shared" si="714"/>
        <v>08862820969</v>
      </c>
      <c r="D8705" t="str">
        <f t="shared" si="714"/>
        <v>08862820969</v>
      </c>
      <c r="E8705" t="s">
        <v>52</v>
      </c>
      <c r="F8705">
        <v>2015</v>
      </c>
      <c r="G8705">
        <v>2015106156</v>
      </c>
      <c r="H8705" s="1">
        <v>42174</v>
      </c>
      <c r="I8705" s="1">
        <v>42185</v>
      </c>
      <c r="J8705" s="1">
        <v>42181</v>
      </c>
      <c r="K8705" s="1">
        <v>42241</v>
      </c>
      <c r="L8705" s="7">
        <v>1450</v>
      </c>
      <c r="M8705" s="5">
        <v>115</v>
      </c>
      <c r="N8705" s="7">
        <v>166750</v>
      </c>
      <c r="O8705" s="2">
        <v>1450</v>
      </c>
      <c r="P8705">
        <v>115</v>
      </c>
      <c r="Q8705" s="2">
        <v>166750</v>
      </c>
      <c r="R8705">
        <v>58</v>
      </c>
      <c r="V8705">
        <v>0</v>
      </c>
      <c r="W8705">
        <v>0</v>
      </c>
      <c r="X8705">
        <v>0</v>
      </c>
      <c r="Y8705" s="2">
        <v>1508</v>
      </c>
      <c r="Z8705" s="2">
        <v>1508</v>
      </c>
      <c r="AA8705" s="2">
        <v>1508</v>
      </c>
      <c r="AB8705" s="1">
        <v>42382</v>
      </c>
      <c r="AC8705" t="s">
        <v>53</v>
      </c>
      <c r="AD8705" t="s">
        <v>53</v>
      </c>
      <c r="AI8705">
        <v>58</v>
      </c>
      <c r="AK8705">
        <v>0</v>
      </c>
      <c r="AU8705" s="6">
        <v>42356</v>
      </c>
      <c r="AV8705" s="6">
        <v>42356</v>
      </c>
      <c r="AW8705" t="s">
        <v>54</v>
      </c>
      <c r="AX8705" t="str">
        <f t="shared" si="711"/>
        <v>FOR</v>
      </c>
      <c r="AY8705" t="s">
        <v>55</v>
      </c>
    </row>
    <row r="8706" spans="1:51">
      <c r="A8706">
        <v>106535</v>
      </c>
      <c r="B8706" t="s">
        <v>1174</v>
      </c>
      <c r="C8706" t="str">
        <f t="shared" si="714"/>
        <v>08862820969</v>
      </c>
      <c r="D8706" t="str">
        <f t="shared" si="714"/>
        <v>08862820969</v>
      </c>
      <c r="E8706" t="s">
        <v>52</v>
      </c>
      <c r="F8706">
        <v>2015</v>
      </c>
      <c r="G8706">
        <v>2015106157</v>
      </c>
      <c r="H8706" s="1">
        <v>42174</v>
      </c>
      <c r="I8706" s="1">
        <v>42185</v>
      </c>
      <c r="J8706" s="1">
        <v>42181</v>
      </c>
      <c r="K8706" s="1">
        <v>42241</v>
      </c>
      <c r="L8706" s="7">
        <v>1100</v>
      </c>
      <c r="M8706" s="5">
        <v>115</v>
      </c>
      <c r="N8706" s="7">
        <v>126500</v>
      </c>
      <c r="O8706" s="2">
        <v>1100</v>
      </c>
      <c r="P8706">
        <v>115</v>
      </c>
      <c r="Q8706" s="2">
        <v>126500</v>
      </c>
      <c r="R8706">
        <v>44</v>
      </c>
      <c r="V8706">
        <v>0</v>
      </c>
      <c r="W8706">
        <v>0</v>
      </c>
      <c r="X8706">
        <v>0</v>
      </c>
      <c r="Y8706" s="2">
        <v>1144</v>
      </c>
      <c r="Z8706" s="2">
        <v>1144</v>
      </c>
      <c r="AA8706" s="2">
        <v>1144</v>
      </c>
      <c r="AB8706" s="1">
        <v>42382</v>
      </c>
      <c r="AC8706" t="s">
        <v>53</v>
      </c>
      <c r="AD8706" t="s">
        <v>53</v>
      </c>
      <c r="AI8706">
        <v>44</v>
      </c>
      <c r="AK8706">
        <v>0</v>
      </c>
      <c r="AU8706" s="6">
        <v>42356</v>
      </c>
      <c r="AV8706" s="6">
        <v>42356</v>
      </c>
      <c r="AW8706" t="s">
        <v>54</v>
      </c>
      <c r="AX8706" t="str">
        <f t="shared" si="711"/>
        <v>FOR</v>
      </c>
      <c r="AY8706" t="s">
        <v>55</v>
      </c>
    </row>
    <row r="8707" spans="1:51">
      <c r="A8707">
        <v>106535</v>
      </c>
      <c r="B8707" t="s">
        <v>1174</v>
      </c>
      <c r="C8707" t="str">
        <f t="shared" si="714"/>
        <v>08862820969</v>
      </c>
      <c r="D8707" t="str">
        <f t="shared" si="714"/>
        <v>08862820969</v>
      </c>
      <c r="E8707" t="s">
        <v>52</v>
      </c>
      <c r="F8707">
        <v>2015</v>
      </c>
      <c r="G8707">
        <v>2015106248</v>
      </c>
      <c r="H8707" s="1">
        <v>42178</v>
      </c>
      <c r="I8707" s="1">
        <v>42187</v>
      </c>
      <c r="J8707" s="1">
        <v>42184</v>
      </c>
      <c r="K8707" s="1">
        <v>42244</v>
      </c>
      <c r="L8707" s="7">
        <v>700</v>
      </c>
      <c r="M8707" s="5">
        <v>112</v>
      </c>
      <c r="N8707" s="7">
        <v>78400</v>
      </c>
      <c r="O8707">
        <v>700</v>
      </c>
      <c r="P8707">
        <v>112</v>
      </c>
      <c r="Q8707" s="2">
        <v>78400</v>
      </c>
      <c r="R8707">
        <v>154</v>
      </c>
      <c r="V8707">
        <v>0</v>
      </c>
      <c r="W8707">
        <v>0</v>
      </c>
      <c r="X8707">
        <v>0</v>
      </c>
      <c r="Y8707">
        <v>854</v>
      </c>
      <c r="Z8707">
        <v>854</v>
      </c>
      <c r="AA8707">
        <v>854</v>
      </c>
      <c r="AB8707" s="1">
        <v>42382</v>
      </c>
      <c r="AC8707" t="s">
        <v>53</v>
      </c>
      <c r="AD8707" t="s">
        <v>53</v>
      </c>
      <c r="AI8707">
        <v>154</v>
      </c>
      <c r="AK8707">
        <v>0</v>
      </c>
      <c r="AU8707" s="6">
        <v>42356</v>
      </c>
      <c r="AV8707" s="6">
        <v>42356</v>
      </c>
      <c r="AW8707" t="s">
        <v>54</v>
      </c>
      <c r="AX8707" t="str">
        <f t="shared" ref="AX8707:AX8770" si="715">"FOR"</f>
        <v>FOR</v>
      </c>
      <c r="AY8707" t="s">
        <v>55</v>
      </c>
    </row>
    <row r="8708" spans="1:51">
      <c r="A8708">
        <v>106535</v>
      </c>
      <c r="B8708" t="s">
        <v>1174</v>
      </c>
      <c r="C8708" t="str">
        <f t="shared" si="714"/>
        <v>08862820969</v>
      </c>
      <c r="D8708" t="str">
        <f t="shared" si="714"/>
        <v>08862820969</v>
      </c>
      <c r="E8708" t="s">
        <v>52</v>
      </c>
      <c r="F8708">
        <v>2015</v>
      </c>
      <c r="G8708">
        <v>2015106415</v>
      </c>
      <c r="H8708" s="1">
        <v>42184</v>
      </c>
      <c r="I8708" s="1">
        <v>42191</v>
      </c>
      <c r="J8708" s="1">
        <v>42187</v>
      </c>
      <c r="K8708" s="1">
        <v>42247</v>
      </c>
      <c r="L8708" s="7">
        <v>11000</v>
      </c>
      <c r="M8708" s="5">
        <v>109</v>
      </c>
      <c r="N8708" s="7">
        <v>1199000</v>
      </c>
      <c r="O8708" s="2">
        <v>11000</v>
      </c>
      <c r="P8708">
        <v>109</v>
      </c>
      <c r="Q8708" s="2">
        <v>1199000</v>
      </c>
      <c r="R8708">
        <v>440</v>
      </c>
      <c r="V8708">
        <v>0</v>
      </c>
      <c r="W8708">
        <v>0</v>
      </c>
      <c r="X8708">
        <v>0</v>
      </c>
      <c r="Y8708" s="2">
        <v>11440</v>
      </c>
      <c r="Z8708" s="2">
        <v>11440</v>
      </c>
      <c r="AA8708" s="2">
        <v>11440</v>
      </c>
      <c r="AB8708" s="1">
        <v>42382</v>
      </c>
      <c r="AC8708" t="s">
        <v>53</v>
      </c>
      <c r="AD8708" t="s">
        <v>53</v>
      </c>
      <c r="AI8708">
        <v>440</v>
      </c>
      <c r="AK8708">
        <v>0</v>
      </c>
      <c r="AU8708" s="6">
        <v>42356</v>
      </c>
      <c r="AV8708" s="6">
        <v>42356</v>
      </c>
      <c r="AW8708" t="s">
        <v>54</v>
      </c>
      <c r="AX8708" t="str">
        <f t="shared" si="715"/>
        <v>FOR</v>
      </c>
      <c r="AY8708" t="s">
        <v>55</v>
      </c>
    </row>
    <row r="8709" spans="1:51" hidden="1">
      <c r="A8709">
        <v>106543</v>
      </c>
      <c r="B8709" t="s">
        <v>1460</v>
      </c>
      <c r="C8709" t="str">
        <f>"00305120974"</f>
        <v>00305120974</v>
      </c>
      <c r="D8709" t="str">
        <f>"03509620484"</f>
        <v>03509620484</v>
      </c>
      <c r="E8709" t="s">
        <v>52</v>
      </c>
      <c r="F8709">
        <v>2015</v>
      </c>
      <c r="G8709">
        <v>647</v>
      </c>
      <c r="H8709" s="1">
        <v>42034</v>
      </c>
      <c r="I8709" s="1">
        <v>42055</v>
      </c>
      <c r="J8709" s="1">
        <v>42055</v>
      </c>
      <c r="K8709" s="1">
        <v>42115</v>
      </c>
      <c r="N8709" s="5"/>
      <c r="O8709" s="2">
        <v>1293.8699999999999</v>
      </c>
      <c r="P8709">
        <v>134</v>
      </c>
      <c r="Q8709" s="2">
        <v>173378.58</v>
      </c>
      <c r="R8709">
        <v>0</v>
      </c>
      <c r="V8709">
        <v>0</v>
      </c>
      <c r="W8709">
        <v>0</v>
      </c>
      <c r="X8709">
        <v>0</v>
      </c>
      <c r="Y8709" s="2">
        <v>1578.52</v>
      </c>
      <c r="Z8709" s="2">
        <v>1578.52</v>
      </c>
      <c r="AA8709" s="2">
        <v>1578.52</v>
      </c>
      <c r="AB8709" s="1">
        <v>42382</v>
      </c>
      <c r="AC8709" t="s">
        <v>53</v>
      </c>
      <c r="AD8709" t="s">
        <v>53</v>
      </c>
      <c r="AK8709">
        <v>0</v>
      </c>
      <c r="AU8709" s="6">
        <v>42249</v>
      </c>
      <c r="AV8709" s="6">
        <v>42249</v>
      </c>
      <c r="AW8709" t="s">
        <v>54</v>
      </c>
      <c r="AX8709" t="str">
        <f t="shared" si="715"/>
        <v>FOR</v>
      </c>
      <c r="AY8709" t="s">
        <v>55</v>
      </c>
    </row>
    <row r="8710" spans="1:51" hidden="1">
      <c r="A8710">
        <v>106546</v>
      </c>
      <c r="B8710" t="s">
        <v>1461</v>
      </c>
      <c r="C8710" t="str">
        <f>"01573510623"</f>
        <v>01573510623</v>
      </c>
      <c r="D8710" t="str">
        <f>"01573510623"</f>
        <v>01573510623</v>
      </c>
      <c r="E8710" t="s">
        <v>52</v>
      </c>
      <c r="F8710">
        <v>2015</v>
      </c>
      <c r="G8710">
        <v>5</v>
      </c>
      <c r="H8710" s="1">
        <v>42046</v>
      </c>
      <c r="I8710" s="1">
        <v>42138</v>
      </c>
      <c r="J8710" s="1">
        <v>42138</v>
      </c>
      <c r="K8710" s="1">
        <v>42198</v>
      </c>
      <c r="N8710" s="5"/>
      <c r="O8710">
        <v>550.74</v>
      </c>
      <c r="P8710">
        <v>-7</v>
      </c>
      <c r="Q8710" s="2">
        <v>-3855.18</v>
      </c>
      <c r="R8710">
        <v>0</v>
      </c>
      <c r="V8710">
        <v>0</v>
      </c>
      <c r="W8710">
        <v>0</v>
      </c>
      <c r="X8710">
        <v>0</v>
      </c>
      <c r="Y8710">
        <v>671.9</v>
      </c>
      <c r="Z8710">
        <v>671.9</v>
      </c>
      <c r="AA8710">
        <v>671.9</v>
      </c>
      <c r="AB8710" s="1">
        <v>42382</v>
      </c>
      <c r="AC8710" t="s">
        <v>53</v>
      </c>
      <c r="AD8710" t="s">
        <v>53</v>
      </c>
      <c r="AK8710">
        <v>0</v>
      </c>
      <c r="AU8710" s="6">
        <v>42191</v>
      </c>
      <c r="AV8710" s="6">
        <v>42191</v>
      </c>
      <c r="AW8710" t="s">
        <v>54</v>
      </c>
      <c r="AX8710" t="str">
        <f t="shared" si="715"/>
        <v>FOR</v>
      </c>
      <c r="AY8710" t="s">
        <v>55</v>
      </c>
    </row>
    <row r="8711" spans="1:51">
      <c r="A8711">
        <v>106556</v>
      </c>
      <c r="B8711" t="s">
        <v>1462</v>
      </c>
      <c r="C8711" t="str">
        <f>"07549501216"</f>
        <v>07549501216</v>
      </c>
      <c r="D8711" t="str">
        <f>"07549501216"</f>
        <v>07549501216</v>
      </c>
      <c r="E8711" t="s">
        <v>52</v>
      </c>
      <c r="F8711">
        <v>2015</v>
      </c>
      <c r="G8711">
        <v>2</v>
      </c>
      <c r="H8711" s="1">
        <v>42039</v>
      </c>
      <c r="I8711" s="1">
        <v>42048</v>
      </c>
      <c r="J8711" s="1">
        <v>42048</v>
      </c>
      <c r="K8711" s="1">
        <v>42108</v>
      </c>
      <c r="L8711" s="7">
        <v>2244.85</v>
      </c>
      <c r="M8711" s="5">
        <v>248</v>
      </c>
      <c r="N8711" s="7">
        <v>556722.80000000005</v>
      </c>
      <c r="O8711" s="2">
        <v>2244.85</v>
      </c>
      <c r="P8711">
        <v>248</v>
      </c>
      <c r="Q8711" s="2">
        <v>556722.80000000005</v>
      </c>
      <c r="R8711">
        <v>493.87</v>
      </c>
      <c r="V8711">
        <v>0</v>
      </c>
      <c r="W8711">
        <v>0</v>
      </c>
      <c r="X8711">
        <v>0</v>
      </c>
      <c r="Y8711" s="2">
        <v>2738.72</v>
      </c>
      <c r="Z8711" s="2">
        <v>2738.72</v>
      </c>
      <c r="AA8711" s="2">
        <v>2738.72</v>
      </c>
      <c r="AB8711" s="1">
        <v>42382</v>
      </c>
      <c r="AC8711" t="s">
        <v>53</v>
      </c>
      <c r="AD8711" t="s">
        <v>53</v>
      </c>
      <c r="AK8711">
        <v>493.87</v>
      </c>
      <c r="AU8711" s="6">
        <v>42356</v>
      </c>
      <c r="AV8711" s="6">
        <v>42356</v>
      </c>
      <c r="AW8711" t="s">
        <v>54</v>
      </c>
      <c r="AX8711" t="str">
        <f t="shared" si="715"/>
        <v>FOR</v>
      </c>
      <c r="AY8711" t="s">
        <v>55</v>
      </c>
    </row>
    <row r="8712" spans="1:51" hidden="1">
      <c r="A8712">
        <v>106557</v>
      </c>
      <c r="B8712" t="s">
        <v>1463</v>
      </c>
      <c r="C8712" t="str">
        <f t="shared" ref="C8712:D8730" si="716">"01612890622"</f>
        <v>01612890622</v>
      </c>
      <c r="D8712" t="str">
        <f t="shared" si="716"/>
        <v>01612890622</v>
      </c>
      <c r="E8712" t="s">
        <v>52</v>
      </c>
      <c r="F8712">
        <v>2015</v>
      </c>
      <c r="G8712" t="s">
        <v>434</v>
      </c>
      <c r="H8712" s="1">
        <v>42035</v>
      </c>
      <c r="I8712" s="1">
        <v>42052</v>
      </c>
      <c r="J8712" s="1">
        <v>42052</v>
      </c>
      <c r="K8712" s="1">
        <v>42112</v>
      </c>
      <c r="N8712" s="5"/>
      <c r="O8712">
        <v>150</v>
      </c>
      <c r="P8712">
        <v>11</v>
      </c>
      <c r="Q8712" s="2">
        <v>1650</v>
      </c>
      <c r="R8712">
        <v>33</v>
      </c>
      <c r="V8712">
        <v>0</v>
      </c>
      <c r="W8712">
        <v>0</v>
      </c>
      <c r="X8712">
        <v>0</v>
      </c>
      <c r="Y8712">
        <v>183</v>
      </c>
      <c r="Z8712">
        <v>183</v>
      </c>
      <c r="AA8712">
        <v>183</v>
      </c>
      <c r="AB8712" s="1">
        <v>42382</v>
      </c>
      <c r="AC8712" t="s">
        <v>53</v>
      </c>
      <c r="AD8712" t="s">
        <v>53</v>
      </c>
      <c r="AK8712">
        <v>33</v>
      </c>
      <c r="AU8712" s="6">
        <v>42123</v>
      </c>
      <c r="AV8712" s="6">
        <v>42123</v>
      </c>
      <c r="AW8712" t="s">
        <v>54</v>
      </c>
      <c r="AX8712" t="str">
        <f t="shared" si="715"/>
        <v>FOR</v>
      </c>
      <c r="AY8712" t="s">
        <v>55</v>
      </c>
    </row>
    <row r="8713" spans="1:51" hidden="1">
      <c r="A8713">
        <v>106557</v>
      </c>
      <c r="B8713" t="s">
        <v>1463</v>
      </c>
      <c r="C8713" t="str">
        <f t="shared" si="716"/>
        <v>01612890622</v>
      </c>
      <c r="D8713" t="str">
        <f t="shared" si="716"/>
        <v>01612890622</v>
      </c>
      <c r="E8713" t="s">
        <v>52</v>
      </c>
      <c r="F8713">
        <v>2015</v>
      </c>
      <c r="G8713" t="s">
        <v>435</v>
      </c>
      <c r="H8713" s="1">
        <v>42035</v>
      </c>
      <c r="I8713" s="1">
        <v>42052</v>
      </c>
      <c r="J8713" s="1">
        <v>42052</v>
      </c>
      <c r="K8713" s="1">
        <v>42112</v>
      </c>
      <c r="N8713" s="5"/>
      <c r="O8713">
        <v>60</v>
      </c>
      <c r="P8713">
        <v>11</v>
      </c>
      <c r="Q8713">
        <v>660</v>
      </c>
      <c r="R8713">
        <v>13.2</v>
      </c>
      <c r="V8713">
        <v>0</v>
      </c>
      <c r="W8713">
        <v>0</v>
      </c>
      <c r="X8713">
        <v>0</v>
      </c>
      <c r="Y8713">
        <v>73.2</v>
      </c>
      <c r="Z8713">
        <v>73.2</v>
      </c>
      <c r="AA8713">
        <v>73.2</v>
      </c>
      <c r="AB8713" s="1">
        <v>42382</v>
      </c>
      <c r="AC8713" t="s">
        <v>53</v>
      </c>
      <c r="AD8713" t="s">
        <v>53</v>
      </c>
      <c r="AK8713">
        <v>13.2</v>
      </c>
      <c r="AU8713" s="6">
        <v>42123</v>
      </c>
      <c r="AV8713" s="6">
        <v>42123</v>
      </c>
      <c r="AW8713" t="s">
        <v>54</v>
      </c>
      <c r="AX8713" t="str">
        <f t="shared" si="715"/>
        <v>FOR</v>
      </c>
      <c r="AY8713" t="s">
        <v>55</v>
      </c>
    </row>
    <row r="8714" spans="1:51" hidden="1">
      <c r="A8714">
        <v>106557</v>
      </c>
      <c r="B8714" t="s">
        <v>1463</v>
      </c>
      <c r="C8714" t="str">
        <f t="shared" si="716"/>
        <v>01612890622</v>
      </c>
      <c r="D8714" t="str">
        <f t="shared" si="716"/>
        <v>01612890622</v>
      </c>
      <c r="E8714" t="s">
        <v>52</v>
      </c>
      <c r="F8714">
        <v>2015</v>
      </c>
      <c r="G8714" t="s">
        <v>436</v>
      </c>
      <c r="H8714" s="1">
        <v>42035</v>
      </c>
      <c r="I8714" s="1">
        <v>42052</v>
      </c>
      <c r="J8714" s="1">
        <v>42052</v>
      </c>
      <c r="K8714" s="1">
        <v>42112</v>
      </c>
      <c r="N8714" s="5"/>
      <c r="O8714">
        <v>90</v>
      </c>
      <c r="P8714">
        <v>11</v>
      </c>
      <c r="Q8714">
        <v>990</v>
      </c>
      <c r="R8714">
        <v>19.8</v>
      </c>
      <c r="V8714">
        <v>0</v>
      </c>
      <c r="W8714">
        <v>0</v>
      </c>
      <c r="X8714">
        <v>0</v>
      </c>
      <c r="Y8714">
        <v>109.8</v>
      </c>
      <c r="Z8714">
        <v>109.8</v>
      </c>
      <c r="AA8714">
        <v>109.8</v>
      </c>
      <c r="AB8714" s="1">
        <v>42382</v>
      </c>
      <c r="AC8714" t="s">
        <v>53</v>
      </c>
      <c r="AD8714" t="s">
        <v>53</v>
      </c>
      <c r="AK8714">
        <v>19.8</v>
      </c>
      <c r="AU8714" s="6">
        <v>42123</v>
      </c>
      <c r="AV8714" s="6">
        <v>42123</v>
      </c>
      <c r="AW8714" t="s">
        <v>54</v>
      </c>
      <c r="AX8714" t="str">
        <f t="shared" si="715"/>
        <v>FOR</v>
      </c>
      <c r="AY8714" t="s">
        <v>55</v>
      </c>
    </row>
    <row r="8715" spans="1:51" hidden="1">
      <c r="A8715">
        <v>106557</v>
      </c>
      <c r="B8715" t="s">
        <v>1463</v>
      </c>
      <c r="C8715" t="str">
        <f t="shared" si="716"/>
        <v>01612890622</v>
      </c>
      <c r="D8715" t="str">
        <f t="shared" si="716"/>
        <v>01612890622</v>
      </c>
      <c r="E8715" t="s">
        <v>52</v>
      </c>
      <c r="F8715">
        <v>2015</v>
      </c>
      <c r="G8715" t="s">
        <v>437</v>
      </c>
      <c r="H8715" s="1">
        <v>42035</v>
      </c>
      <c r="I8715" s="1">
        <v>42052</v>
      </c>
      <c r="J8715" s="1">
        <v>42052</v>
      </c>
      <c r="K8715" s="1">
        <v>42112</v>
      </c>
      <c r="N8715" s="5"/>
      <c r="O8715">
        <v>80</v>
      </c>
      <c r="P8715">
        <v>11</v>
      </c>
      <c r="Q8715">
        <v>880</v>
      </c>
      <c r="R8715">
        <v>17.600000000000001</v>
      </c>
      <c r="V8715">
        <v>0</v>
      </c>
      <c r="W8715">
        <v>0</v>
      </c>
      <c r="X8715">
        <v>0</v>
      </c>
      <c r="Y8715">
        <v>97.6</v>
      </c>
      <c r="Z8715">
        <v>97.6</v>
      </c>
      <c r="AA8715">
        <v>97.6</v>
      </c>
      <c r="AB8715" s="1">
        <v>42382</v>
      </c>
      <c r="AC8715" t="s">
        <v>53</v>
      </c>
      <c r="AD8715" t="s">
        <v>53</v>
      </c>
      <c r="AK8715">
        <v>17.600000000000001</v>
      </c>
      <c r="AU8715" s="6">
        <v>42123</v>
      </c>
      <c r="AV8715" s="6">
        <v>42123</v>
      </c>
      <c r="AW8715" t="s">
        <v>54</v>
      </c>
      <c r="AX8715" t="str">
        <f t="shared" si="715"/>
        <v>FOR</v>
      </c>
      <c r="AY8715" t="s">
        <v>55</v>
      </c>
    </row>
    <row r="8716" spans="1:51" hidden="1">
      <c r="A8716">
        <v>106557</v>
      </c>
      <c r="B8716" t="s">
        <v>1463</v>
      </c>
      <c r="C8716" t="str">
        <f t="shared" si="716"/>
        <v>01612890622</v>
      </c>
      <c r="D8716" t="str">
        <f t="shared" si="716"/>
        <v>01612890622</v>
      </c>
      <c r="E8716" t="s">
        <v>52</v>
      </c>
      <c r="F8716">
        <v>2015</v>
      </c>
      <c r="G8716" t="s">
        <v>405</v>
      </c>
      <c r="H8716" s="1">
        <v>42063</v>
      </c>
      <c r="I8716" s="1">
        <v>42087</v>
      </c>
      <c r="J8716" s="1">
        <v>42087</v>
      </c>
      <c r="K8716" s="1">
        <v>42147</v>
      </c>
      <c r="N8716" s="5"/>
      <c r="O8716" s="2">
        <v>1100</v>
      </c>
      <c r="P8716">
        <v>-24</v>
      </c>
      <c r="Q8716" s="2">
        <v>-26400</v>
      </c>
      <c r="R8716">
        <v>242</v>
      </c>
      <c r="V8716">
        <v>0</v>
      </c>
      <c r="W8716">
        <v>0</v>
      </c>
      <c r="X8716">
        <v>0</v>
      </c>
      <c r="Y8716" s="2">
        <v>1342</v>
      </c>
      <c r="Z8716" s="2">
        <v>1342</v>
      </c>
      <c r="AA8716" s="2">
        <v>1342</v>
      </c>
      <c r="AB8716" s="1">
        <v>42382</v>
      </c>
      <c r="AC8716" t="s">
        <v>53</v>
      </c>
      <c r="AD8716" t="s">
        <v>53</v>
      </c>
      <c r="AK8716">
        <v>242</v>
      </c>
      <c r="AU8716" s="6">
        <v>42123</v>
      </c>
      <c r="AV8716" s="6">
        <v>42123</v>
      </c>
      <c r="AW8716" t="s">
        <v>54</v>
      </c>
      <c r="AX8716" t="str">
        <f t="shared" si="715"/>
        <v>FOR</v>
      </c>
      <c r="AY8716" t="s">
        <v>55</v>
      </c>
    </row>
    <row r="8717" spans="1:51" hidden="1">
      <c r="A8717">
        <v>106557</v>
      </c>
      <c r="B8717" t="s">
        <v>1463</v>
      </c>
      <c r="C8717" t="str">
        <f t="shared" si="716"/>
        <v>01612890622</v>
      </c>
      <c r="D8717" t="str">
        <f t="shared" si="716"/>
        <v>01612890622</v>
      </c>
      <c r="E8717" t="s">
        <v>52</v>
      </c>
      <c r="F8717">
        <v>2015</v>
      </c>
      <c r="G8717" t="s">
        <v>451</v>
      </c>
      <c r="H8717" s="1">
        <v>42063</v>
      </c>
      <c r="I8717" s="1">
        <v>42087</v>
      </c>
      <c r="J8717" s="1">
        <v>42087</v>
      </c>
      <c r="K8717" s="1">
        <v>42147</v>
      </c>
      <c r="N8717" s="5"/>
      <c r="O8717">
        <v>290</v>
      </c>
      <c r="P8717">
        <v>-24</v>
      </c>
      <c r="Q8717" s="2">
        <v>-6960</v>
      </c>
      <c r="R8717">
        <v>63.8</v>
      </c>
      <c r="V8717">
        <v>0</v>
      </c>
      <c r="W8717">
        <v>0</v>
      </c>
      <c r="X8717">
        <v>0</v>
      </c>
      <c r="Y8717">
        <v>353.8</v>
      </c>
      <c r="Z8717">
        <v>353.8</v>
      </c>
      <c r="AA8717">
        <v>353.8</v>
      </c>
      <c r="AB8717" s="1">
        <v>42382</v>
      </c>
      <c r="AC8717" t="s">
        <v>53</v>
      </c>
      <c r="AD8717" t="s">
        <v>53</v>
      </c>
      <c r="AK8717">
        <v>63.8</v>
      </c>
      <c r="AU8717" s="6">
        <v>42123</v>
      </c>
      <c r="AV8717" s="6">
        <v>42123</v>
      </c>
      <c r="AW8717" t="s">
        <v>54</v>
      </c>
      <c r="AX8717" t="str">
        <f t="shared" si="715"/>
        <v>FOR</v>
      </c>
      <c r="AY8717" t="s">
        <v>55</v>
      </c>
    </row>
    <row r="8718" spans="1:51" hidden="1">
      <c r="A8718">
        <v>106557</v>
      </c>
      <c r="B8718" t="s">
        <v>1463</v>
      </c>
      <c r="C8718" t="str">
        <f t="shared" si="716"/>
        <v>01612890622</v>
      </c>
      <c r="D8718" t="str">
        <f t="shared" si="716"/>
        <v>01612890622</v>
      </c>
      <c r="E8718" t="s">
        <v>52</v>
      </c>
      <c r="F8718">
        <v>2015</v>
      </c>
      <c r="G8718" t="s">
        <v>452</v>
      </c>
      <c r="H8718" s="1">
        <v>42063</v>
      </c>
      <c r="I8718" s="1">
        <v>42087</v>
      </c>
      <c r="J8718" s="1">
        <v>42087</v>
      </c>
      <c r="K8718" s="1">
        <v>42147</v>
      </c>
      <c r="N8718" s="5"/>
      <c r="O8718">
        <v>94.4</v>
      </c>
      <c r="P8718">
        <v>-24</v>
      </c>
      <c r="Q8718" s="2">
        <v>-2265.6</v>
      </c>
      <c r="R8718">
        <v>20.77</v>
      </c>
      <c r="V8718">
        <v>0</v>
      </c>
      <c r="W8718">
        <v>0</v>
      </c>
      <c r="X8718">
        <v>0</v>
      </c>
      <c r="Y8718">
        <v>115.17</v>
      </c>
      <c r="Z8718">
        <v>115.17</v>
      </c>
      <c r="AA8718">
        <v>115.17</v>
      </c>
      <c r="AB8718" s="1">
        <v>42382</v>
      </c>
      <c r="AC8718" t="s">
        <v>53</v>
      </c>
      <c r="AD8718" t="s">
        <v>53</v>
      </c>
      <c r="AK8718">
        <v>20.77</v>
      </c>
      <c r="AU8718" s="6">
        <v>42123</v>
      </c>
      <c r="AV8718" s="6">
        <v>42123</v>
      </c>
      <c r="AW8718" t="s">
        <v>54</v>
      </c>
      <c r="AX8718" t="str">
        <f t="shared" si="715"/>
        <v>FOR</v>
      </c>
      <c r="AY8718" t="s">
        <v>55</v>
      </c>
    </row>
    <row r="8719" spans="1:51" hidden="1">
      <c r="A8719">
        <v>106557</v>
      </c>
      <c r="B8719" t="s">
        <v>1463</v>
      </c>
      <c r="C8719" t="str">
        <f t="shared" si="716"/>
        <v>01612890622</v>
      </c>
      <c r="D8719" t="str">
        <f t="shared" si="716"/>
        <v>01612890622</v>
      </c>
      <c r="E8719" t="s">
        <v>52</v>
      </c>
      <c r="F8719">
        <v>2015</v>
      </c>
      <c r="G8719" t="s">
        <v>1409</v>
      </c>
      <c r="H8719" s="1">
        <v>42124</v>
      </c>
      <c r="I8719" s="1">
        <v>42129</v>
      </c>
      <c r="J8719" s="1">
        <v>42129</v>
      </c>
      <c r="K8719" s="1">
        <v>42189</v>
      </c>
      <c r="N8719" s="5"/>
      <c r="O8719">
        <v>440</v>
      </c>
      <c r="P8719">
        <v>-5</v>
      </c>
      <c r="Q8719" s="2">
        <v>-2200</v>
      </c>
      <c r="R8719">
        <v>96.8</v>
      </c>
      <c r="V8719">
        <v>0</v>
      </c>
      <c r="W8719">
        <v>0</v>
      </c>
      <c r="X8719">
        <v>0</v>
      </c>
      <c r="Y8719">
        <v>536.79999999999995</v>
      </c>
      <c r="Z8719">
        <v>536.79999999999995</v>
      </c>
      <c r="AA8719">
        <v>536.79999999999995</v>
      </c>
      <c r="AB8719" s="1">
        <v>42382</v>
      </c>
      <c r="AC8719" t="s">
        <v>53</v>
      </c>
      <c r="AD8719" t="s">
        <v>53</v>
      </c>
      <c r="AJ8719">
        <v>96.8</v>
      </c>
      <c r="AK8719">
        <v>0</v>
      </c>
      <c r="AU8719" s="6">
        <v>42184</v>
      </c>
      <c r="AV8719" s="6">
        <v>42184</v>
      </c>
      <c r="AW8719" t="s">
        <v>54</v>
      </c>
      <c r="AX8719" t="str">
        <f t="shared" si="715"/>
        <v>FOR</v>
      </c>
      <c r="AY8719" t="s">
        <v>55</v>
      </c>
    </row>
    <row r="8720" spans="1:51" hidden="1">
      <c r="A8720">
        <v>106557</v>
      </c>
      <c r="B8720" t="s">
        <v>1463</v>
      </c>
      <c r="C8720" t="str">
        <f t="shared" si="716"/>
        <v>01612890622</v>
      </c>
      <c r="D8720" t="str">
        <f t="shared" si="716"/>
        <v>01612890622</v>
      </c>
      <c r="E8720" t="s">
        <v>52</v>
      </c>
      <c r="F8720">
        <v>2015</v>
      </c>
      <c r="G8720" t="s">
        <v>1410</v>
      </c>
      <c r="H8720" s="1">
        <v>42128</v>
      </c>
      <c r="I8720" s="1">
        <v>42129</v>
      </c>
      <c r="J8720" s="1">
        <v>42129</v>
      </c>
      <c r="K8720" s="1">
        <v>42189</v>
      </c>
      <c r="N8720" s="5"/>
      <c r="O8720">
        <v>83.2</v>
      </c>
      <c r="P8720">
        <v>-5</v>
      </c>
      <c r="Q8720">
        <v>-416</v>
      </c>
      <c r="R8720">
        <v>18.3</v>
      </c>
      <c r="V8720">
        <v>0</v>
      </c>
      <c r="W8720">
        <v>0</v>
      </c>
      <c r="X8720">
        <v>0</v>
      </c>
      <c r="Y8720">
        <v>101.5</v>
      </c>
      <c r="Z8720">
        <v>101.5</v>
      </c>
      <c r="AA8720">
        <v>101.5</v>
      </c>
      <c r="AB8720" s="1">
        <v>42382</v>
      </c>
      <c r="AC8720" t="s">
        <v>53</v>
      </c>
      <c r="AD8720" t="s">
        <v>53</v>
      </c>
      <c r="AJ8720">
        <v>18.3</v>
      </c>
      <c r="AK8720">
        <v>0</v>
      </c>
      <c r="AU8720" s="6">
        <v>42184</v>
      </c>
      <c r="AV8720" s="6">
        <v>42184</v>
      </c>
      <c r="AW8720" t="s">
        <v>54</v>
      </c>
      <c r="AX8720" t="str">
        <f t="shared" si="715"/>
        <v>FOR</v>
      </c>
      <c r="AY8720" t="s">
        <v>55</v>
      </c>
    </row>
    <row r="8721" spans="1:51" hidden="1">
      <c r="A8721">
        <v>106557</v>
      </c>
      <c r="B8721" t="s">
        <v>1463</v>
      </c>
      <c r="C8721" t="str">
        <f t="shared" si="716"/>
        <v>01612890622</v>
      </c>
      <c r="D8721" t="str">
        <f t="shared" si="716"/>
        <v>01612890622</v>
      </c>
      <c r="E8721" t="s">
        <v>52</v>
      </c>
      <c r="F8721">
        <v>2015</v>
      </c>
      <c r="G8721" t="s">
        <v>1464</v>
      </c>
      <c r="H8721" s="1">
        <v>42124</v>
      </c>
      <c r="I8721" s="1">
        <v>42129</v>
      </c>
      <c r="J8721" s="1">
        <v>42129</v>
      </c>
      <c r="K8721" s="1">
        <v>42189</v>
      </c>
      <c r="N8721" s="5"/>
      <c r="O8721">
        <v>446.4</v>
      </c>
      <c r="P8721">
        <v>-5</v>
      </c>
      <c r="Q8721" s="2">
        <v>-2232</v>
      </c>
      <c r="R8721">
        <v>98.21</v>
      </c>
      <c r="V8721">
        <v>0</v>
      </c>
      <c r="W8721">
        <v>0</v>
      </c>
      <c r="X8721">
        <v>0</v>
      </c>
      <c r="Y8721">
        <v>544.61</v>
      </c>
      <c r="Z8721">
        <v>544.61</v>
      </c>
      <c r="AA8721">
        <v>544.61</v>
      </c>
      <c r="AB8721" s="1">
        <v>42382</v>
      </c>
      <c r="AC8721" t="s">
        <v>53</v>
      </c>
      <c r="AD8721" t="s">
        <v>53</v>
      </c>
      <c r="AJ8721">
        <v>98.21</v>
      </c>
      <c r="AK8721">
        <v>0</v>
      </c>
      <c r="AU8721" s="6">
        <v>42184</v>
      </c>
      <c r="AV8721" s="6">
        <v>42184</v>
      </c>
      <c r="AW8721" t="s">
        <v>54</v>
      </c>
      <c r="AX8721" t="str">
        <f t="shared" si="715"/>
        <v>FOR</v>
      </c>
      <c r="AY8721" t="s">
        <v>55</v>
      </c>
    </row>
    <row r="8722" spans="1:51">
      <c r="A8722">
        <v>106557</v>
      </c>
      <c r="B8722" t="s">
        <v>1463</v>
      </c>
      <c r="C8722" t="str">
        <f t="shared" si="716"/>
        <v>01612890622</v>
      </c>
      <c r="D8722" t="str">
        <f t="shared" si="716"/>
        <v>01612890622</v>
      </c>
      <c r="E8722" t="s">
        <v>52</v>
      </c>
      <c r="F8722">
        <v>2015</v>
      </c>
      <c r="G8722" t="s">
        <v>1465</v>
      </c>
      <c r="H8722" s="1">
        <v>42124</v>
      </c>
      <c r="I8722" s="1">
        <v>42198</v>
      </c>
      <c r="J8722" s="1">
        <v>42198</v>
      </c>
      <c r="K8722" s="1">
        <v>42258</v>
      </c>
      <c r="L8722" s="7">
        <v>600</v>
      </c>
      <c r="M8722" s="5">
        <v>20</v>
      </c>
      <c r="N8722" s="7">
        <v>12000</v>
      </c>
      <c r="O8722">
        <v>600</v>
      </c>
      <c r="P8722">
        <v>20</v>
      </c>
      <c r="Q8722" s="2">
        <v>12000</v>
      </c>
      <c r="R8722">
        <v>0</v>
      </c>
      <c r="V8722">
        <v>0</v>
      </c>
      <c r="W8722">
        <v>0</v>
      </c>
      <c r="X8722">
        <v>0</v>
      </c>
      <c r="Y8722">
        <v>732</v>
      </c>
      <c r="Z8722">
        <v>732</v>
      </c>
      <c r="AA8722">
        <v>732</v>
      </c>
      <c r="AB8722" s="1">
        <v>42382</v>
      </c>
      <c r="AC8722" t="s">
        <v>53</v>
      </c>
      <c r="AD8722" t="s">
        <v>53</v>
      </c>
      <c r="AK8722">
        <v>0</v>
      </c>
      <c r="AU8722" s="6">
        <v>42278</v>
      </c>
      <c r="AV8722" s="6">
        <v>42278</v>
      </c>
      <c r="AW8722" t="s">
        <v>54</v>
      </c>
      <c r="AX8722" t="str">
        <f t="shared" si="715"/>
        <v>FOR</v>
      </c>
      <c r="AY8722" t="s">
        <v>55</v>
      </c>
    </row>
    <row r="8723" spans="1:51">
      <c r="A8723">
        <v>106557</v>
      </c>
      <c r="B8723" t="s">
        <v>1463</v>
      </c>
      <c r="C8723" t="str">
        <f t="shared" si="716"/>
        <v>01612890622</v>
      </c>
      <c r="D8723" t="str">
        <f t="shared" si="716"/>
        <v>01612890622</v>
      </c>
      <c r="E8723" t="s">
        <v>52</v>
      </c>
      <c r="F8723">
        <v>2015</v>
      </c>
      <c r="G8723" t="s">
        <v>1411</v>
      </c>
      <c r="H8723" s="1">
        <v>42142</v>
      </c>
      <c r="I8723" s="1">
        <v>42165</v>
      </c>
      <c r="J8723" s="1">
        <v>42142</v>
      </c>
      <c r="K8723" s="1">
        <v>42202</v>
      </c>
      <c r="L8723" s="7">
        <v>24200</v>
      </c>
      <c r="M8723" s="5">
        <v>76</v>
      </c>
      <c r="N8723" s="7">
        <v>1839200</v>
      </c>
      <c r="O8723" s="2">
        <v>24200</v>
      </c>
      <c r="P8723">
        <v>76</v>
      </c>
      <c r="Q8723" s="2">
        <v>1839200</v>
      </c>
      <c r="R8723">
        <v>0</v>
      </c>
      <c r="V8723">
        <v>0</v>
      </c>
      <c r="W8723">
        <v>0</v>
      </c>
      <c r="X8723">
        <v>0</v>
      </c>
      <c r="Y8723" s="2">
        <v>29524</v>
      </c>
      <c r="Z8723" s="2">
        <v>29524</v>
      </c>
      <c r="AA8723" s="2">
        <v>29524</v>
      </c>
      <c r="AB8723" s="1">
        <v>42382</v>
      </c>
      <c r="AC8723" t="s">
        <v>53</v>
      </c>
      <c r="AD8723" t="s">
        <v>53</v>
      </c>
      <c r="AK8723">
        <v>0</v>
      </c>
      <c r="AU8723" s="6">
        <v>42278</v>
      </c>
      <c r="AV8723" s="6">
        <v>42278</v>
      </c>
      <c r="AW8723" t="s">
        <v>54</v>
      </c>
      <c r="AX8723" t="str">
        <f t="shared" si="715"/>
        <v>FOR</v>
      </c>
      <c r="AY8723" t="s">
        <v>55</v>
      </c>
    </row>
    <row r="8724" spans="1:51" hidden="1">
      <c r="A8724">
        <v>106557</v>
      </c>
      <c r="B8724" t="s">
        <v>1463</v>
      </c>
      <c r="C8724" t="str">
        <f t="shared" si="716"/>
        <v>01612890622</v>
      </c>
      <c r="D8724" t="str">
        <f t="shared" si="716"/>
        <v>01612890622</v>
      </c>
      <c r="E8724" t="s">
        <v>52</v>
      </c>
      <c r="F8724">
        <v>2015</v>
      </c>
      <c r="G8724" t="s">
        <v>1466</v>
      </c>
      <c r="H8724" s="1">
        <v>42154</v>
      </c>
      <c r="I8724" s="1">
        <v>42166</v>
      </c>
      <c r="J8724" s="1">
        <v>42165</v>
      </c>
      <c r="K8724" s="1">
        <v>42225</v>
      </c>
      <c r="N8724" s="5"/>
      <c r="O8724">
        <v>440</v>
      </c>
      <c r="P8724">
        <v>-41</v>
      </c>
      <c r="Q8724" s="2">
        <v>-18040</v>
      </c>
      <c r="R8724">
        <v>96.8</v>
      </c>
      <c r="V8724">
        <v>0</v>
      </c>
      <c r="W8724">
        <v>0</v>
      </c>
      <c r="X8724">
        <v>0</v>
      </c>
      <c r="Y8724">
        <v>536.79999999999995</v>
      </c>
      <c r="Z8724">
        <v>536.79999999999995</v>
      </c>
      <c r="AA8724">
        <v>536.79999999999995</v>
      </c>
      <c r="AB8724" s="1">
        <v>42382</v>
      </c>
      <c r="AC8724" t="s">
        <v>53</v>
      </c>
      <c r="AD8724" t="s">
        <v>53</v>
      </c>
      <c r="AI8724">
        <v>96.8</v>
      </c>
      <c r="AK8724">
        <v>0</v>
      </c>
      <c r="AU8724" s="6">
        <v>42184</v>
      </c>
      <c r="AV8724" s="6">
        <v>42184</v>
      </c>
      <c r="AW8724" t="s">
        <v>54</v>
      </c>
      <c r="AX8724" t="str">
        <f t="shared" si="715"/>
        <v>FOR</v>
      </c>
      <c r="AY8724" t="s">
        <v>55</v>
      </c>
    </row>
    <row r="8725" spans="1:51">
      <c r="A8725">
        <v>106557</v>
      </c>
      <c r="B8725" t="s">
        <v>1463</v>
      </c>
      <c r="C8725" t="str">
        <f t="shared" si="716"/>
        <v>01612890622</v>
      </c>
      <c r="D8725" t="str">
        <f t="shared" si="716"/>
        <v>01612890622</v>
      </c>
      <c r="E8725" t="s">
        <v>52</v>
      </c>
      <c r="F8725">
        <v>2015</v>
      </c>
      <c r="G8725" t="s">
        <v>1467</v>
      </c>
      <c r="H8725" s="1">
        <v>42185</v>
      </c>
      <c r="I8725" s="1">
        <v>42188</v>
      </c>
      <c r="J8725" s="1">
        <v>42187</v>
      </c>
      <c r="K8725" s="1">
        <v>42247</v>
      </c>
      <c r="L8725" s="7">
        <v>600</v>
      </c>
      <c r="M8725" s="5">
        <v>31</v>
      </c>
      <c r="N8725" s="7">
        <v>18600</v>
      </c>
      <c r="O8725">
        <v>600</v>
      </c>
      <c r="P8725">
        <v>31</v>
      </c>
      <c r="Q8725" s="2">
        <v>18600</v>
      </c>
      <c r="R8725">
        <v>0</v>
      </c>
      <c r="V8725">
        <v>0</v>
      </c>
      <c r="W8725">
        <v>0</v>
      </c>
      <c r="X8725">
        <v>0</v>
      </c>
      <c r="Y8725">
        <v>732</v>
      </c>
      <c r="Z8725">
        <v>732</v>
      </c>
      <c r="AA8725">
        <v>732</v>
      </c>
      <c r="AB8725" s="1">
        <v>42382</v>
      </c>
      <c r="AC8725" t="s">
        <v>53</v>
      </c>
      <c r="AD8725" t="s">
        <v>53</v>
      </c>
      <c r="AK8725">
        <v>0</v>
      </c>
      <c r="AU8725" s="6">
        <v>42278</v>
      </c>
      <c r="AV8725" s="6">
        <v>42278</v>
      </c>
      <c r="AW8725" t="s">
        <v>54</v>
      </c>
      <c r="AX8725" t="str">
        <f t="shared" si="715"/>
        <v>FOR</v>
      </c>
      <c r="AY8725" t="s">
        <v>55</v>
      </c>
    </row>
    <row r="8726" spans="1:51">
      <c r="A8726">
        <v>106557</v>
      </c>
      <c r="B8726" t="s">
        <v>1463</v>
      </c>
      <c r="C8726" t="str">
        <f t="shared" si="716"/>
        <v>01612890622</v>
      </c>
      <c r="D8726" t="str">
        <f t="shared" si="716"/>
        <v>01612890622</v>
      </c>
      <c r="E8726" t="s">
        <v>52</v>
      </c>
      <c r="F8726">
        <v>2015</v>
      </c>
      <c r="G8726" t="s">
        <v>1468</v>
      </c>
      <c r="H8726" s="1">
        <v>42201</v>
      </c>
      <c r="I8726" s="1">
        <v>42202</v>
      </c>
      <c r="J8726" s="1">
        <v>42202</v>
      </c>
      <c r="K8726" s="1">
        <v>42262</v>
      </c>
      <c r="L8726" s="7">
        <v>145</v>
      </c>
      <c r="M8726" s="5">
        <v>22</v>
      </c>
      <c r="N8726" s="7">
        <v>3190</v>
      </c>
      <c r="O8726">
        <v>145</v>
      </c>
      <c r="P8726">
        <v>22</v>
      </c>
      <c r="Q8726" s="2">
        <v>3190</v>
      </c>
      <c r="R8726">
        <v>31.9</v>
      </c>
      <c r="V8726">
        <v>0</v>
      </c>
      <c r="W8726">
        <v>0</v>
      </c>
      <c r="X8726">
        <v>0</v>
      </c>
      <c r="Y8726">
        <v>176.9</v>
      </c>
      <c r="Z8726">
        <v>176.9</v>
      </c>
      <c r="AA8726">
        <v>176.9</v>
      </c>
      <c r="AB8726" s="1">
        <v>42382</v>
      </c>
      <c r="AC8726" t="s">
        <v>53</v>
      </c>
      <c r="AD8726" t="s">
        <v>53</v>
      </c>
      <c r="AH8726">
        <v>31.9</v>
      </c>
      <c r="AK8726">
        <v>0</v>
      </c>
      <c r="AU8726" s="6">
        <v>42284</v>
      </c>
      <c r="AV8726" s="6">
        <v>42284</v>
      </c>
      <c r="AW8726" t="s">
        <v>54</v>
      </c>
      <c r="AX8726" t="str">
        <f t="shared" si="715"/>
        <v>FOR</v>
      </c>
      <c r="AY8726" t="s">
        <v>55</v>
      </c>
    </row>
    <row r="8727" spans="1:51">
      <c r="A8727">
        <v>106557</v>
      </c>
      <c r="B8727" t="s">
        <v>1463</v>
      </c>
      <c r="C8727" t="str">
        <f t="shared" si="716"/>
        <v>01612890622</v>
      </c>
      <c r="D8727" t="str">
        <f t="shared" si="716"/>
        <v>01612890622</v>
      </c>
      <c r="E8727" t="s">
        <v>52</v>
      </c>
      <c r="F8727">
        <v>2015</v>
      </c>
      <c r="G8727" t="s">
        <v>1469</v>
      </c>
      <c r="H8727" s="1">
        <v>42216</v>
      </c>
      <c r="I8727" s="1">
        <v>42228</v>
      </c>
      <c r="J8727" s="1">
        <v>42222</v>
      </c>
      <c r="K8727" s="1">
        <v>42282</v>
      </c>
      <c r="L8727" s="7">
        <v>1147.54</v>
      </c>
      <c r="M8727" s="5">
        <v>2</v>
      </c>
      <c r="N8727" s="7">
        <v>2295.08</v>
      </c>
      <c r="O8727" s="2">
        <v>1147.54</v>
      </c>
      <c r="P8727">
        <v>2</v>
      </c>
      <c r="Q8727" s="2">
        <v>2295.08</v>
      </c>
      <c r="R8727">
        <v>252.46</v>
      </c>
      <c r="V8727">
        <v>0</v>
      </c>
      <c r="W8727">
        <v>0</v>
      </c>
      <c r="X8727">
        <v>0</v>
      </c>
      <c r="Y8727" s="2">
        <v>1400</v>
      </c>
      <c r="Z8727" s="2">
        <v>1400</v>
      </c>
      <c r="AA8727" s="2">
        <v>1400</v>
      </c>
      <c r="AB8727" s="1">
        <v>42382</v>
      </c>
      <c r="AC8727" t="s">
        <v>53</v>
      </c>
      <c r="AD8727" t="s">
        <v>53</v>
      </c>
      <c r="AG8727">
        <v>252.46</v>
      </c>
      <c r="AK8727">
        <v>0</v>
      </c>
      <c r="AU8727" s="6">
        <v>42284</v>
      </c>
      <c r="AV8727" s="6">
        <v>42284</v>
      </c>
      <c r="AW8727" t="s">
        <v>54</v>
      </c>
      <c r="AX8727" t="str">
        <f t="shared" si="715"/>
        <v>FOR</v>
      </c>
      <c r="AY8727" t="s">
        <v>55</v>
      </c>
    </row>
    <row r="8728" spans="1:51">
      <c r="A8728">
        <v>106557</v>
      </c>
      <c r="B8728" t="s">
        <v>1463</v>
      </c>
      <c r="C8728" t="str">
        <f t="shared" si="716"/>
        <v>01612890622</v>
      </c>
      <c r="D8728" t="str">
        <f t="shared" si="716"/>
        <v>01612890622</v>
      </c>
      <c r="E8728" t="s">
        <v>52</v>
      </c>
      <c r="F8728">
        <v>2015</v>
      </c>
      <c r="G8728" t="s">
        <v>1470</v>
      </c>
      <c r="H8728" s="1">
        <v>42216</v>
      </c>
      <c r="I8728" s="1">
        <v>42228</v>
      </c>
      <c r="J8728" s="1">
        <v>42222</v>
      </c>
      <c r="K8728" s="1">
        <v>42282</v>
      </c>
      <c r="L8728" s="7">
        <v>440</v>
      </c>
      <c r="M8728" s="5">
        <v>2</v>
      </c>
      <c r="N8728" s="7">
        <v>880</v>
      </c>
      <c r="O8728">
        <v>440</v>
      </c>
      <c r="P8728">
        <v>2</v>
      </c>
      <c r="Q8728">
        <v>880</v>
      </c>
      <c r="R8728">
        <v>96.8</v>
      </c>
      <c r="V8728">
        <v>0</v>
      </c>
      <c r="W8728">
        <v>0</v>
      </c>
      <c r="X8728">
        <v>0</v>
      </c>
      <c r="Y8728">
        <v>536.79999999999995</v>
      </c>
      <c r="Z8728">
        <v>536.79999999999995</v>
      </c>
      <c r="AA8728">
        <v>536.79999999999995</v>
      </c>
      <c r="AB8728" s="1">
        <v>42382</v>
      </c>
      <c r="AC8728" t="s">
        <v>53</v>
      </c>
      <c r="AD8728" t="s">
        <v>53</v>
      </c>
      <c r="AG8728">
        <v>96.8</v>
      </c>
      <c r="AK8728">
        <v>0</v>
      </c>
      <c r="AU8728" s="6">
        <v>42284</v>
      </c>
      <c r="AV8728" s="6">
        <v>42284</v>
      </c>
      <c r="AW8728" t="s">
        <v>54</v>
      </c>
      <c r="AX8728" t="str">
        <f t="shared" si="715"/>
        <v>FOR</v>
      </c>
      <c r="AY8728" t="s">
        <v>55</v>
      </c>
    </row>
    <row r="8729" spans="1:51">
      <c r="A8729">
        <v>106557</v>
      </c>
      <c r="B8729" t="s">
        <v>1463</v>
      </c>
      <c r="C8729" t="str">
        <f t="shared" si="716"/>
        <v>01612890622</v>
      </c>
      <c r="D8729" t="str">
        <f t="shared" si="716"/>
        <v>01612890622</v>
      </c>
      <c r="E8729" t="s">
        <v>52</v>
      </c>
      <c r="F8729">
        <v>2015</v>
      </c>
      <c r="G8729" t="s">
        <v>1471</v>
      </c>
      <c r="H8729" s="1">
        <v>42222</v>
      </c>
      <c r="I8729" s="1">
        <v>42228</v>
      </c>
      <c r="J8729" s="1">
        <v>42222</v>
      </c>
      <c r="K8729" s="1">
        <v>42282</v>
      </c>
      <c r="L8729" s="7">
        <v>640</v>
      </c>
      <c r="M8729" s="5">
        <v>2</v>
      </c>
      <c r="N8729" s="7">
        <v>1280</v>
      </c>
      <c r="O8729">
        <v>640</v>
      </c>
      <c r="P8729">
        <v>2</v>
      </c>
      <c r="Q8729" s="2">
        <v>1280</v>
      </c>
      <c r="R8729">
        <v>140.80000000000001</v>
      </c>
      <c r="V8729">
        <v>0</v>
      </c>
      <c r="W8729">
        <v>0</v>
      </c>
      <c r="X8729">
        <v>0</v>
      </c>
      <c r="Y8729">
        <v>780.8</v>
      </c>
      <c r="Z8729">
        <v>780.8</v>
      </c>
      <c r="AA8729">
        <v>780.8</v>
      </c>
      <c r="AB8729" s="1">
        <v>42382</v>
      </c>
      <c r="AC8729" t="s">
        <v>53</v>
      </c>
      <c r="AD8729" t="s">
        <v>53</v>
      </c>
      <c r="AG8729">
        <v>140.80000000000001</v>
      </c>
      <c r="AK8729">
        <v>0</v>
      </c>
      <c r="AU8729" s="6">
        <v>42284</v>
      </c>
      <c r="AV8729" s="6">
        <v>42284</v>
      </c>
      <c r="AW8729" t="s">
        <v>54</v>
      </c>
      <c r="AX8729" t="str">
        <f t="shared" si="715"/>
        <v>FOR</v>
      </c>
      <c r="AY8729" t="s">
        <v>55</v>
      </c>
    </row>
    <row r="8730" spans="1:51">
      <c r="A8730">
        <v>106557</v>
      </c>
      <c r="B8730" t="s">
        <v>1463</v>
      </c>
      <c r="C8730" t="str">
        <f t="shared" si="716"/>
        <v>01612890622</v>
      </c>
      <c r="D8730" t="str">
        <f t="shared" si="716"/>
        <v>01612890622</v>
      </c>
      <c r="E8730" t="s">
        <v>52</v>
      </c>
      <c r="F8730">
        <v>2015</v>
      </c>
      <c r="G8730" t="s">
        <v>1472</v>
      </c>
      <c r="H8730" s="1">
        <v>42254</v>
      </c>
      <c r="I8730" s="1">
        <v>42254</v>
      </c>
      <c r="J8730" s="1">
        <v>42254</v>
      </c>
      <c r="K8730" s="1">
        <v>42314</v>
      </c>
      <c r="L8730" s="7">
        <v>160</v>
      </c>
      <c r="M8730" s="5">
        <v>-30</v>
      </c>
      <c r="N8730" s="7">
        <v>-4800</v>
      </c>
      <c r="O8730">
        <v>160</v>
      </c>
      <c r="P8730">
        <v>-30</v>
      </c>
      <c r="Q8730" s="2">
        <v>-4800</v>
      </c>
      <c r="R8730">
        <v>35.200000000000003</v>
      </c>
      <c r="V8730">
        <v>0</v>
      </c>
      <c r="W8730">
        <v>0</v>
      </c>
      <c r="X8730">
        <v>0</v>
      </c>
      <c r="Y8730">
        <v>195.2</v>
      </c>
      <c r="Z8730">
        <v>195.2</v>
      </c>
      <c r="AA8730">
        <v>195.2</v>
      </c>
      <c r="AB8730" s="1">
        <v>42382</v>
      </c>
      <c r="AC8730" t="s">
        <v>53</v>
      </c>
      <c r="AD8730" t="s">
        <v>53</v>
      </c>
      <c r="AF8730">
        <v>35.200000000000003</v>
      </c>
      <c r="AK8730">
        <v>0</v>
      </c>
      <c r="AU8730" s="6">
        <v>42284</v>
      </c>
      <c r="AV8730" s="6">
        <v>42284</v>
      </c>
      <c r="AW8730" t="s">
        <v>54</v>
      </c>
      <c r="AX8730" t="str">
        <f t="shared" si="715"/>
        <v>FOR</v>
      </c>
      <c r="AY8730" t="s">
        <v>55</v>
      </c>
    </row>
    <row r="8731" spans="1:51" hidden="1">
      <c r="A8731">
        <v>106560</v>
      </c>
      <c r="B8731" t="s">
        <v>1473</v>
      </c>
      <c r="C8731" t="str">
        <f>"08817300158"</f>
        <v>08817300158</v>
      </c>
      <c r="D8731" t="str">
        <f>"08817300158"</f>
        <v>08817300158</v>
      </c>
      <c r="E8731" t="s">
        <v>52</v>
      </c>
      <c r="F8731">
        <v>2015</v>
      </c>
      <c r="G8731">
        <v>5952</v>
      </c>
      <c r="H8731" s="1">
        <v>42089</v>
      </c>
      <c r="I8731" s="1">
        <v>42107</v>
      </c>
      <c r="J8731" s="1">
        <v>42107</v>
      </c>
      <c r="K8731" s="1">
        <v>42167</v>
      </c>
      <c r="N8731" s="5"/>
      <c r="O8731">
        <v>245</v>
      </c>
      <c r="P8731">
        <v>108</v>
      </c>
      <c r="Q8731" s="2">
        <v>26460</v>
      </c>
      <c r="R8731">
        <v>0</v>
      </c>
      <c r="V8731">
        <v>0</v>
      </c>
      <c r="W8731">
        <v>0</v>
      </c>
      <c r="X8731">
        <v>0</v>
      </c>
      <c r="Y8731">
        <v>298.89999999999998</v>
      </c>
      <c r="Z8731">
        <v>298.89999999999998</v>
      </c>
      <c r="AA8731">
        <v>298.89999999999998</v>
      </c>
      <c r="AB8731" s="1">
        <v>42382</v>
      </c>
      <c r="AC8731" t="s">
        <v>53</v>
      </c>
      <c r="AD8731" t="s">
        <v>53</v>
      </c>
      <c r="AK8731">
        <v>0</v>
      </c>
      <c r="AU8731" s="6">
        <v>42275</v>
      </c>
      <c r="AV8731" s="6">
        <v>42275</v>
      </c>
      <c r="AW8731" t="s">
        <v>54</v>
      </c>
      <c r="AX8731" t="str">
        <f t="shared" si="715"/>
        <v>FOR</v>
      </c>
      <c r="AY8731" t="s">
        <v>55</v>
      </c>
    </row>
    <row r="8732" spans="1:51">
      <c r="A8732">
        <v>106568</v>
      </c>
      <c r="B8732" t="s">
        <v>1474</v>
      </c>
      <c r="C8732" t="str">
        <f>"01693020206"</f>
        <v>01693020206</v>
      </c>
      <c r="D8732" t="str">
        <f>"01693020206"</f>
        <v>01693020206</v>
      </c>
      <c r="E8732" t="s">
        <v>52</v>
      </c>
      <c r="F8732">
        <v>2015</v>
      </c>
      <c r="G8732">
        <v>125</v>
      </c>
      <c r="H8732" s="1">
        <v>42298</v>
      </c>
      <c r="I8732" s="1">
        <v>42298</v>
      </c>
      <c r="J8732" s="1">
        <v>42298</v>
      </c>
      <c r="K8732" s="1">
        <v>42358</v>
      </c>
      <c r="L8732" s="7">
        <v>-120</v>
      </c>
      <c r="M8732" s="5">
        <v>-59</v>
      </c>
      <c r="N8732" s="7">
        <v>7080</v>
      </c>
      <c r="O8732">
        <v>-120</v>
      </c>
      <c r="P8732">
        <v>-59</v>
      </c>
      <c r="Q8732" s="2">
        <v>7080</v>
      </c>
      <c r="R8732">
        <v>0</v>
      </c>
      <c r="V8732">
        <v>-120</v>
      </c>
      <c r="W8732">
        <v>-120</v>
      </c>
      <c r="X8732">
        <v>-120</v>
      </c>
      <c r="Y8732">
        <v>-120</v>
      </c>
      <c r="Z8732">
        <v>-120</v>
      </c>
      <c r="AA8732">
        <v>-120</v>
      </c>
      <c r="AB8732" s="1">
        <v>42382</v>
      </c>
      <c r="AC8732" t="s">
        <v>53</v>
      </c>
      <c r="AD8732" t="s">
        <v>53</v>
      </c>
      <c r="AK8732">
        <v>0</v>
      </c>
      <c r="AU8732" s="6">
        <v>42299</v>
      </c>
      <c r="AV8732" s="6">
        <v>42299</v>
      </c>
      <c r="AW8732" t="s">
        <v>54</v>
      </c>
      <c r="AX8732" t="str">
        <f t="shared" si="715"/>
        <v>FOR</v>
      </c>
      <c r="AY8732" t="s">
        <v>55</v>
      </c>
    </row>
    <row r="8733" spans="1:51" hidden="1">
      <c r="A8733">
        <v>106569</v>
      </c>
      <c r="B8733" t="s">
        <v>1475</v>
      </c>
      <c r="C8733" t="str">
        <f>"01618630626"</f>
        <v>01618630626</v>
      </c>
      <c r="D8733" t="str">
        <f>"01618630626"</f>
        <v>01618630626</v>
      </c>
      <c r="E8733" t="s">
        <v>52</v>
      </c>
      <c r="F8733">
        <v>2015</v>
      </c>
      <c r="G8733" t="s">
        <v>1476</v>
      </c>
      <c r="H8733" s="1">
        <v>42083</v>
      </c>
      <c r="I8733" s="1">
        <v>42095</v>
      </c>
      <c r="J8733" s="1">
        <v>42095</v>
      </c>
      <c r="K8733" s="1">
        <v>42095</v>
      </c>
      <c r="N8733" s="5"/>
      <c r="O8733">
        <v>68.180000000000007</v>
      </c>
      <c r="P8733">
        <v>28</v>
      </c>
      <c r="Q8733" s="2">
        <v>1909.04</v>
      </c>
      <c r="R8733">
        <v>6.82</v>
      </c>
      <c r="V8733">
        <v>0</v>
      </c>
      <c r="W8733">
        <v>0</v>
      </c>
      <c r="X8733">
        <v>0</v>
      </c>
      <c r="Y8733">
        <v>75</v>
      </c>
      <c r="Z8733">
        <v>75</v>
      </c>
      <c r="AA8733">
        <v>75</v>
      </c>
      <c r="AB8733" s="1">
        <v>42382</v>
      </c>
      <c r="AC8733" t="s">
        <v>53</v>
      </c>
      <c r="AD8733" t="s">
        <v>53</v>
      </c>
      <c r="AK8733">
        <v>6.82</v>
      </c>
      <c r="AU8733" s="6">
        <v>42123</v>
      </c>
      <c r="AV8733" s="6">
        <v>42123</v>
      </c>
      <c r="AW8733" t="s">
        <v>54</v>
      </c>
      <c r="AX8733" t="str">
        <f t="shared" si="715"/>
        <v>FOR</v>
      </c>
      <c r="AY8733" t="s">
        <v>55</v>
      </c>
    </row>
    <row r="8734" spans="1:51" hidden="1">
      <c r="A8734">
        <v>106570</v>
      </c>
      <c r="B8734" t="s">
        <v>1477</v>
      </c>
      <c r="C8734" t="str">
        <f t="shared" ref="C8734:D8753" si="717">"01617610629"</f>
        <v>01617610629</v>
      </c>
      <c r="D8734" t="str">
        <f t="shared" si="717"/>
        <v>01617610629</v>
      </c>
      <c r="E8734" t="s">
        <v>52</v>
      </c>
      <c r="F8734">
        <v>2015</v>
      </c>
      <c r="G8734" t="s">
        <v>451</v>
      </c>
      <c r="H8734" s="1">
        <v>42065</v>
      </c>
      <c r="I8734" s="1">
        <v>42095</v>
      </c>
      <c r="J8734" s="1">
        <v>42095</v>
      </c>
      <c r="K8734" s="1">
        <v>42155</v>
      </c>
      <c r="N8734" s="5"/>
      <c r="O8734">
        <v>90</v>
      </c>
      <c r="P8734">
        <v>-32</v>
      </c>
      <c r="Q8734" s="2">
        <v>-2880</v>
      </c>
      <c r="R8734">
        <v>19.8</v>
      </c>
      <c r="V8734">
        <v>0</v>
      </c>
      <c r="W8734">
        <v>0</v>
      </c>
      <c r="X8734">
        <v>0</v>
      </c>
      <c r="Y8734">
        <v>109.8</v>
      </c>
      <c r="Z8734">
        <v>109.8</v>
      </c>
      <c r="AA8734">
        <v>109.8</v>
      </c>
      <c r="AB8734" s="1">
        <v>42382</v>
      </c>
      <c r="AC8734" t="s">
        <v>53</v>
      </c>
      <c r="AD8734" t="s">
        <v>53</v>
      </c>
      <c r="AK8734">
        <v>19.8</v>
      </c>
      <c r="AU8734" s="6">
        <v>42123</v>
      </c>
      <c r="AV8734" s="6">
        <v>42123</v>
      </c>
      <c r="AW8734" t="s">
        <v>54</v>
      </c>
      <c r="AX8734" t="str">
        <f t="shared" si="715"/>
        <v>FOR</v>
      </c>
      <c r="AY8734" t="s">
        <v>55</v>
      </c>
    </row>
    <row r="8735" spans="1:51" hidden="1">
      <c r="A8735">
        <v>106570</v>
      </c>
      <c r="B8735" t="s">
        <v>1477</v>
      </c>
      <c r="C8735" t="str">
        <f t="shared" si="717"/>
        <v>01617610629</v>
      </c>
      <c r="D8735" t="str">
        <f t="shared" si="717"/>
        <v>01617610629</v>
      </c>
      <c r="E8735" t="s">
        <v>52</v>
      </c>
      <c r="F8735">
        <v>2015</v>
      </c>
      <c r="G8735" t="s">
        <v>452</v>
      </c>
      <c r="H8735" s="1">
        <v>42065</v>
      </c>
      <c r="I8735" s="1">
        <v>42095</v>
      </c>
      <c r="J8735" s="1">
        <v>42095</v>
      </c>
      <c r="K8735" s="1">
        <v>42155</v>
      </c>
      <c r="N8735" s="5"/>
      <c r="O8735">
        <v>18</v>
      </c>
      <c r="P8735">
        <v>-32</v>
      </c>
      <c r="Q8735">
        <v>-576</v>
      </c>
      <c r="R8735">
        <v>3.96</v>
      </c>
      <c r="V8735">
        <v>0</v>
      </c>
      <c r="W8735">
        <v>0</v>
      </c>
      <c r="X8735">
        <v>0</v>
      </c>
      <c r="Y8735">
        <v>21.96</v>
      </c>
      <c r="Z8735">
        <v>21.96</v>
      </c>
      <c r="AA8735">
        <v>21.96</v>
      </c>
      <c r="AB8735" s="1">
        <v>42382</v>
      </c>
      <c r="AC8735" t="s">
        <v>53</v>
      </c>
      <c r="AD8735" t="s">
        <v>53</v>
      </c>
      <c r="AK8735">
        <v>3.96</v>
      </c>
      <c r="AU8735" s="6">
        <v>42123</v>
      </c>
      <c r="AV8735" s="6">
        <v>42123</v>
      </c>
      <c r="AW8735" t="s">
        <v>54</v>
      </c>
      <c r="AX8735" t="str">
        <f t="shared" si="715"/>
        <v>FOR</v>
      </c>
      <c r="AY8735" t="s">
        <v>55</v>
      </c>
    </row>
    <row r="8736" spans="1:51" hidden="1">
      <c r="A8736">
        <v>106570</v>
      </c>
      <c r="B8736" t="s">
        <v>1477</v>
      </c>
      <c r="C8736" t="str">
        <f t="shared" si="717"/>
        <v>01617610629</v>
      </c>
      <c r="D8736" t="str">
        <f t="shared" si="717"/>
        <v>01617610629</v>
      </c>
      <c r="E8736" t="s">
        <v>52</v>
      </c>
      <c r="F8736">
        <v>2015</v>
      </c>
      <c r="G8736" t="s">
        <v>406</v>
      </c>
      <c r="H8736" s="1">
        <v>42086</v>
      </c>
      <c r="I8736" s="1">
        <v>42095</v>
      </c>
      <c r="J8736" s="1">
        <v>42095</v>
      </c>
      <c r="K8736" s="1">
        <v>42155</v>
      </c>
      <c r="N8736" s="5"/>
      <c r="O8736">
        <v>450</v>
      </c>
      <c r="P8736">
        <v>-32</v>
      </c>
      <c r="Q8736" s="2">
        <v>-14400</v>
      </c>
      <c r="R8736">
        <v>99</v>
      </c>
      <c r="V8736">
        <v>0</v>
      </c>
      <c r="W8736">
        <v>0</v>
      </c>
      <c r="X8736">
        <v>0</v>
      </c>
      <c r="Y8736">
        <v>549</v>
      </c>
      <c r="Z8736">
        <v>549</v>
      </c>
      <c r="AA8736">
        <v>549</v>
      </c>
      <c r="AB8736" s="1">
        <v>42382</v>
      </c>
      <c r="AC8736" t="s">
        <v>53</v>
      </c>
      <c r="AD8736" t="s">
        <v>53</v>
      </c>
      <c r="AK8736">
        <v>99</v>
      </c>
      <c r="AU8736" s="6">
        <v>42123</v>
      </c>
      <c r="AV8736" s="6">
        <v>42123</v>
      </c>
      <c r="AW8736" t="s">
        <v>54</v>
      </c>
      <c r="AX8736" t="str">
        <f t="shared" si="715"/>
        <v>FOR</v>
      </c>
      <c r="AY8736" t="s">
        <v>55</v>
      </c>
    </row>
    <row r="8737" spans="1:51" hidden="1">
      <c r="A8737">
        <v>106570</v>
      </c>
      <c r="B8737" t="s">
        <v>1477</v>
      </c>
      <c r="C8737" t="str">
        <f t="shared" si="717"/>
        <v>01617610629</v>
      </c>
      <c r="D8737" t="str">
        <f t="shared" si="717"/>
        <v>01617610629</v>
      </c>
      <c r="E8737" t="s">
        <v>52</v>
      </c>
      <c r="F8737">
        <v>2015</v>
      </c>
      <c r="G8737" t="s">
        <v>461</v>
      </c>
      <c r="H8737" s="1">
        <v>42086</v>
      </c>
      <c r="I8737" s="1">
        <v>42095</v>
      </c>
      <c r="J8737" s="1">
        <v>42095</v>
      </c>
      <c r="K8737" s="1">
        <v>42155</v>
      </c>
      <c r="N8737" s="5"/>
      <c r="O8737">
        <v>27</v>
      </c>
      <c r="P8737">
        <v>-32</v>
      </c>
      <c r="Q8737">
        <v>-864</v>
      </c>
      <c r="R8737">
        <v>5.94</v>
      </c>
      <c r="V8737">
        <v>0</v>
      </c>
      <c r="W8737">
        <v>0</v>
      </c>
      <c r="X8737">
        <v>0</v>
      </c>
      <c r="Y8737">
        <v>32.94</v>
      </c>
      <c r="Z8737">
        <v>32.94</v>
      </c>
      <c r="AA8737">
        <v>32.94</v>
      </c>
      <c r="AB8737" s="1">
        <v>42382</v>
      </c>
      <c r="AC8737" t="s">
        <v>53</v>
      </c>
      <c r="AD8737" t="s">
        <v>53</v>
      </c>
      <c r="AK8737">
        <v>5.94</v>
      </c>
      <c r="AU8737" s="6">
        <v>42123</v>
      </c>
      <c r="AV8737" s="6">
        <v>42123</v>
      </c>
      <c r="AW8737" t="s">
        <v>54</v>
      </c>
      <c r="AX8737" t="str">
        <f t="shared" si="715"/>
        <v>FOR</v>
      </c>
      <c r="AY8737" t="s">
        <v>55</v>
      </c>
    </row>
    <row r="8738" spans="1:51" hidden="1">
      <c r="A8738">
        <v>106570</v>
      </c>
      <c r="B8738" t="s">
        <v>1477</v>
      </c>
      <c r="C8738" t="str">
        <f t="shared" si="717"/>
        <v>01617610629</v>
      </c>
      <c r="D8738" t="str">
        <f t="shared" si="717"/>
        <v>01617610629</v>
      </c>
      <c r="E8738" t="s">
        <v>52</v>
      </c>
      <c r="F8738">
        <v>2015</v>
      </c>
      <c r="G8738" t="s">
        <v>629</v>
      </c>
      <c r="H8738" s="1">
        <v>42086</v>
      </c>
      <c r="I8738" s="1">
        <v>42095</v>
      </c>
      <c r="J8738" s="1">
        <v>42095</v>
      </c>
      <c r="K8738" s="1">
        <v>42155</v>
      </c>
      <c r="N8738" s="5"/>
      <c r="O8738">
        <v>48</v>
      </c>
      <c r="P8738">
        <v>-32</v>
      </c>
      <c r="Q8738" s="2">
        <v>-1536</v>
      </c>
      <c r="R8738">
        <v>10.56</v>
      </c>
      <c r="V8738">
        <v>0</v>
      </c>
      <c r="W8738">
        <v>0</v>
      </c>
      <c r="X8738">
        <v>0</v>
      </c>
      <c r="Y8738">
        <v>58.56</v>
      </c>
      <c r="Z8738">
        <v>58.56</v>
      </c>
      <c r="AA8738">
        <v>58.56</v>
      </c>
      <c r="AB8738" s="1">
        <v>42382</v>
      </c>
      <c r="AC8738" t="s">
        <v>53</v>
      </c>
      <c r="AD8738" t="s">
        <v>53</v>
      </c>
      <c r="AK8738">
        <v>10.56</v>
      </c>
      <c r="AU8738" s="6">
        <v>42123</v>
      </c>
      <c r="AV8738" s="6">
        <v>42123</v>
      </c>
      <c r="AW8738" t="s">
        <v>54</v>
      </c>
      <c r="AX8738" t="str">
        <f t="shared" si="715"/>
        <v>FOR</v>
      </c>
      <c r="AY8738" t="s">
        <v>55</v>
      </c>
    </row>
    <row r="8739" spans="1:51" hidden="1">
      <c r="A8739">
        <v>106570</v>
      </c>
      <c r="B8739" t="s">
        <v>1477</v>
      </c>
      <c r="C8739" t="str">
        <f t="shared" si="717"/>
        <v>01617610629</v>
      </c>
      <c r="D8739" t="str">
        <f t="shared" si="717"/>
        <v>01617610629</v>
      </c>
      <c r="E8739" t="s">
        <v>52</v>
      </c>
      <c r="F8739">
        <v>2015</v>
      </c>
      <c r="G8739" t="s">
        <v>630</v>
      </c>
      <c r="H8739" s="1">
        <v>42086</v>
      </c>
      <c r="I8739" s="1">
        <v>42095</v>
      </c>
      <c r="J8739" s="1">
        <v>42095</v>
      </c>
      <c r="K8739" s="1">
        <v>42155</v>
      </c>
      <c r="N8739" s="5"/>
      <c r="O8739">
        <v>73.5</v>
      </c>
      <c r="P8739">
        <v>-32</v>
      </c>
      <c r="Q8739" s="2">
        <v>-2352</v>
      </c>
      <c r="R8739">
        <v>16.170000000000002</v>
      </c>
      <c r="V8739">
        <v>0</v>
      </c>
      <c r="W8739">
        <v>0</v>
      </c>
      <c r="X8739">
        <v>0</v>
      </c>
      <c r="Y8739">
        <v>89.67</v>
      </c>
      <c r="Z8739">
        <v>89.67</v>
      </c>
      <c r="AA8739">
        <v>89.67</v>
      </c>
      <c r="AB8739" s="1">
        <v>42382</v>
      </c>
      <c r="AC8739" t="s">
        <v>53</v>
      </c>
      <c r="AD8739" t="s">
        <v>53</v>
      </c>
      <c r="AK8739">
        <v>16.170000000000002</v>
      </c>
      <c r="AU8739" s="6">
        <v>42123</v>
      </c>
      <c r="AV8739" s="6">
        <v>42123</v>
      </c>
      <c r="AW8739" t="s">
        <v>54</v>
      </c>
      <c r="AX8739" t="str">
        <f t="shared" si="715"/>
        <v>FOR</v>
      </c>
      <c r="AY8739" t="s">
        <v>55</v>
      </c>
    </row>
    <row r="8740" spans="1:51" hidden="1">
      <c r="A8740">
        <v>106570</v>
      </c>
      <c r="B8740" t="s">
        <v>1477</v>
      </c>
      <c r="C8740" t="str">
        <f t="shared" si="717"/>
        <v>01617610629</v>
      </c>
      <c r="D8740" t="str">
        <f t="shared" si="717"/>
        <v>01617610629</v>
      </c>
      <c r="E8740" t="s">
        <v>52</v>
      </c>
      <c r="F8740">
        <v>2015</v>
      </c>
      <c r="G8740" t="s">
        <v>631</v>
      </c>
      <c r="H8740" s="1">
        <v>42086</v>
      </c>
      <c r="I8740" s="1">
        <v>42095</v>
      </c>
      <c r="J8740" s="1">
        <v>42095</v>
      </c>
      <c r="K8740" s="1">
        <v>42155</v>
      </c>
      <c r="N8740" s="5"/>
      <c r="O8740">
        <v>90</v>
      </c>
      <c r="P8740">
        <v>-32</v>
      </c>
      <c r="Q8740" s="2">
        <v>-2880</v>
      </c>
      <c r="R8740">
        <v>19.8</v>
      </c>
      <c r="V8740">
        <v>0</v>
      </c>
      <c r="W8740">
        <v>0</v>
      </c>
      <c r="X8740">
        <v>0</v>
      </c>
      <c r="Y8740">
        <v>109.8</v>
      </c>
      <c r="Z8740">
        <v>109.8</v>
      </c>
      <c r="AA8740">
        <v>109.8</v>
      </c>
      <c r="AB8740" s="1">
        <v>42382</v>
      </c>
      <c r="AC8740" t="s">
        <v>53</v>
      </c>
      <c r="AD8740" t="s">
        <v>53</v>
      </c>
      <c r="AK8740">
        <v>19.8</v>
      </c>
      <c r="AU8740" s="6">
        <v>42123</v>
      </c>
      <c r="AV8740" s="6">
        <v>42123</v>
      </c>
      <c r="AW8740" t="s">
        <v>54</v>
      </c>
      <c r="AX8740" t="str">
        <f t="shared" si="715"/>
        <v>FOR</v>
      </c>
      <c r="AY8740" t="s">
        <v>55</v>
      </c>
    </row>
    <row r="8741" spans="1:51" hidden="1">
      <c r="A8741">
        <v>106570</v>
      </c>
      <c r="B8741" t="s">
        <v>1477</v>
      </c>
      <c r="C8741" t="str">
        <f t="shared" si="717"/>
        <v>01617610629</v>
      </c>
      <c r="D8741" t="str">
        <f t="shared" si="717"/>
        <v>01617610629</v>
      </c>
      <c r="E8741" t="s">
        <v>52</v>
      </c>
      <c r="F8741">
        <v>2015</v>
      </c>
      <c r="G8741" t="s">
        <v>632</v>
      </c>
      <c r="H8741" s="1">
        <v>42086</v>
      </c>
      <c r="I8741" s="1">
        <v>42095</v>
      </c>
      <c r="J8741" s="1">
        <v>42095</v>
      </c>
      <c r="K8741" s="1">
        <v>42155</v>
      </c>
      <c r="N8741" s="5"/>
      <c r="O8741">
        <v>60</v>
      </c>
      <c r="P8741">
        <v>-32</v>
      </c>
      <c r="Q8741" s="2">
        <v>-1920</v>
      </c>
      <c r="R8741">
        <v>13.2</v>
      </c>
      <c r="V8741">
        <v>0</v>
      </c>
      <c r="W8741">
        <v>0</v>
      </c>
      <c r="X8741">
        <v>0</v>
      </c>
      <c r="Y8741">
        <v>73.2</v>
      </c>
      <c r="Z8741">
        <v>73.2</v>
      </c>
      <c r="AA8741">
        <v>73.2</v>
      </c>
      <c r="AB8741" s="1">
        <v>42382</v>
      </c>
      <c r="AC8741" t="s">
        <v>53</v>
      </c>
      <c r="AD8741" t="s">
        <v>53</v>
      </c>
      <c r="AK8741">
        <v>13.2</v>
      </c>
      <c r="AU8741" s="6">
        <v>42123</v>
      </c>
      <c r="AV8741" s="6">
        <v>42123</v>
      </c>
      <c r="AW8741" t="s">
        <v>54</v>
      </c>
      <c r="AX8741" t="str">
        <f t="shared" si="715"/>
        <v>FOR</v>
      </c>
      <c r="AY8741" t="s">
        <v>55</v>
      </c>
    </row>
    <row r="8742" spans="1:51" hidden="1">
      <c r="A8742">
        <v>106570</v>
      </c>
      <c r="B8742" t="s">
        <v>1477</v>
      </c>
      <c r="C8742" t="str">
        <f t="shared" si="717"/>
        <v>01617610629</v>
      </c>
      <c r="D8742" t="str">
        <f t="shared" si="717"/>
        <v>01617610629</v>
      </c>
      <c r="E8742" t="s">
        <v>52</v>
      </c>
      <c r="F8742">
        <v>2015</v>
      </c>
      <c r="G8742" t="s">
        <v>869</v>
      </c>
      <c r="H8742" s="1">
        <v>42086</v>
      </c>
      <c r="I8742" s="1">
        <v>42095</v>
      </c>
      <c r="J8742" s="1">
        <v>42095</v>
      </c>
      <c r="K8742" s="1">
        <v>42155</v>
      </c>
      <c r="N8742" s="5"/>
      <c r="O8742">
        <v>50.4</v>
      </c>
      <c r="P8742">
        <v>-32</v>
      </c>
      <c r="Q8742" s="2">
        <v>-1612.8</v>
      </c>
      <c r="R8742">
        <v>11.09</v>
      </c>
      <c r="V8742">
        <v>0</v>
      </c>
      <c r="W8742">
        <v>0</v>
      </c>
      <c r="X8742">
        <v>0</v>
      </c>
      <c r="Y8742">
        <v>61.49</v>
      </c>
      <c r="Z8742">
        <v>61.49</v>
      </c>
      <c r="AA8742">
        <v>61.49</v>
      </c>
      <c r="AB8742" s="1">
        <v>42382</v>
      </c>
      <c r="AC8742" t="s">
        <v>53</v>
      </c>
      <c r="AD8742" t="s">
        <v>53</v>
      </c>
      <c r="AK8742">
        <v>11.09</v>
      </c>
      <c r="AU8742" s="6">
        <v>42123</v>
      </c>
      <c r="AV8742" s="6">
        <v>42123</v>
      </c>
      <c r="AW8742" t="s">
        <v>54</v>
      </c>
      <c r="AX8742" t="str">
        <f t="shared" si="715"/>
        <v>FOR</v>
      </c>
      <c r="AY8742" t="s">
        <v>55</v>
      </c>
    </row>
    <row r="8743" spans="1:51" hidden="1">
      <c r="A8743">
        <v>106570</v>
      </c>
      <c r="B8743" t="s">
        <v>1477</v>
      </c>
      <c r="C8743" t="str">
        <f t="shared" si="717"/>
        <v>01617610629</v>
      </c>
      <c r="D8743" t="str">
        <f t="shared" si="717"/>
        <v>01617610629</v>
      </c>
      <c r="E8743" t="s">
        <v>52</v>
      </c>
      <c r="F8743">
        <v>2015</v>
      </c>
      <c r="G8743" t="s">
        <v>510</v>
      </c>
      <c r="H8743" s="1">
        <v>42086</v>
      </c>
      <c r="I8743" s="1">
        <v>42095</v>
      </c>
      <c r="J8743" s="1">
        <v>42095</v>
      </c>
      <c r="K8743" s="1">
        <v>42155</v>
      </c>
      <c r="N8743" s="5"/>
      <c r="O8743">
        <v>28</v>
      </c>
      <c r="P8743">
        <v>-32</v>
      </c>
      <c r="Q8743">
        <v>-896</v>
      </c>
      <c r="R8743">
        <v>6.16</v>
      </c>
      <c r="V8743">
        <v>0</v>
      </c>
      <c r="W8743">
        <v>0</v>
      </c>
      <c r="X8743">
        <v>0</v>
      </c>
      <c r="Y8743">
        <v>34.159999999999997</v>
      </c>
      <c r="Z8743">
        <v>34.159999999999997</v>
      </c>
      <c r="AA8743">
        <v>34.159999999999997</v>
      </c>
      <c r="AB8743" s="1">
        <v>42382</v>
      </c>
      <c r="AC8743" t="s">
        <v>53</v>
      </c>
      <c r="AD8743" t="s">
        <v>53</v>
      </c>
      <c r="AK8743">
        <v>6.16</v>
      </c>
      <c r="AU8743" s="6">
        <v>42123</v>
      </c>
      <c r="AV8743" s="6">
        <v>42123</v>
      </c>
      <c r="AW8743" t="s">
        <v>54</v>
      </c>
      <c r="AX8743" t="str">
        <f t="shared" si="715"/>
        <v>FOR</v>
      </c>
      <c r="AY8743" t="s">
        <v>55</v>
      </c>
    </row>
    <row r="8744" spans="1:51" hidden="1">
      <c r="A8744">
        <v>106570</v>
      </c>
      <c r="B8744" t="s">
        <v>1477</v>
      </c>
      <c r="C8744" t="str">
        <f t="shared" si="717"/>
        <v>01617610629</v>
      </c>
      <c r="D8744" t="str">
        <f t="shared" si="717"/>
        <v>01617610629</v>
      </c>
      <c r="E8744" t="s">
        <v>52</v>
      </c>
      <c r="F8744">
        <v>2015</v>
      </c>
      <c r="G8744" t="s">
        <v>633</v>
      </c>
      <c r="H8744" s="1">
        <v>42086</v>
      </c>
      <c r="I8744" s="1">
        <v>42095</v>
      </c>
      <c r="J8744" s="1">
        <v>42095</v>
      </c>
      <c r="K8744" s="1">
        <v>42155</v>
      </c>
      <c r="N8744" s="5"/>
      <c r="O8744">
        <v>325</v>
      </c>
      <c r="P8744">
        <v>-32</v>
      </c>
      <c r="Q8744" s="2">
        <v>-10400</v>
      </c>
      <c r="R8744">
        <v>71.5</v>
      </c>
      <c r="V8744">
        <v>0</v>
      </c>
      <c r="W8744">
        <v>0</v>
      </c>
      <c r="X8744">
        <v>0</v>
      </c>
      <c r="Y8744">
        <v>396.5</v>
      </c>
      <c r="Z8744">
        <v>396.5</v>
      </c>
      <c r="AA8744">
        <v>396.5</v>
      </c>
      <c r="AB8744" s="1">
        <v>42382</v>
      </c>
      <c r="AC8744" t="s">
        <v>53</v>
      </c>
      <c r="AD8744" t="s">
        <v>53</v>
      </c>
      <c r="AK8744">
        <v>71.5</v>
      </c>
      <c r="AU8744" s="6">
        <v>42123</v>
      </c>
      <c r="AV8744" s="6">
        <v>42123</v>
      </c>
      <c r="AW8744" t="s">
        <v>54</v>
      </c>
      <c r="AX8744" t="str">
        <f t="shared" si="715"/>
        <v>FOR</v>
      </c>
      <c r="AY8744" t="s">
        <v>55</v>
      </c>
    </row>
    <row r="8745" spans="1:51" hidden="1">
      <c r="A8745">
        <v>106570</v>
      </c>
      <c r="B8745" t="s">
        <v>1477</v>
      </c>
      <c r="C8745" t="str">
        <f t="shared" si="717"/>
        <v>01617610629</v>
      </c>
      <c r="D8745" t="str">
        <f t="shared" si="717"/>
        <v>01617610629</v>
      </c>
      <c r="E8745" t="s">
        <v>52</v>
      </c>
      <c r="F8745">
        <v>2015</v>
      </c>
      <c r="G8745" t="s">
        <v>634</v>
      </c>
      <c r="H8745" s="1">
        <v>42086</v>
      </c>
      <c r="I8745" s="1">
        <v>42095</v>
      </c>
      <c r="J8745" s="1">
        <v>42095</v>
      </c>
      <c r="K8745" s="1">
        <v>42155</v>
      </c>
      <c r="N8745" s="5"/>
      <c r="O8745">
        <v>450</v>
      </c>
      <c r="P8745">
        <v>-32</v>
      </c>
      <c r="Q8745" s="2">
        <v>-14400</v>
      </c>
      <c r="R8745">
        <v>99</v>
      </c>
      <c r="V8745">
        <v>0</v>
      </c>
      <c r="W8745">
        <v>0</v>
      </c>
      <c r="X8745">
        <v>0</v>
      </c>
      <c r="Y8745">
        <v>549</v>
      </c>
      <c r="Z8745">
        <v>549</v>
      </c>
      <c r="AA8745">
        <v>549</v>
      </c>
      <c r="AB8745" s="1">
        <v>42382</v>
      </c>
      <c r="AC8745" t="s">
        <v>53</v>
      </c>
      <c r="AD8745" t="s">
        <v>53</v>
      </c>
      <c r="AK8745">
        <v>99</v>
      </c>
      <c r="AU8745" s="6">
        <v>42123</v>
      </c>
      <c r="AV8745" s="6">
        <v>42123</v>
      </c>
      <c r="AW8745" t="s">
        <v>54</v>
      </c>
      <c r="AX8745" t="str">
        <f t="shared" si="715"/>
        <v>FOR</v>
      </c>
      <c r="AY8745" t="s">
        <v>55</v>
      </c>
    </row>
    <row r="8746" spans="1:51" hidden="1">
      <c r="A8746">
        <v>106570</v>
      </c>
      <c r="B8746" t="s">
        <v>1477</v>
      </c>
      <c r="C8746" t="str">
        <f t="shared" si="717"/>
        <v>01617610629</v>
      </c>
      <c r="D8746" t="str">
        <f t="shared" si="717"/>
        <v>01617610629</v>
      </c>
      <c r="E8746" t="s">
        <v>52</v>
      </c>
      <c r="F8746">
        <v>2015</v>
      </c>
      <c r="G8746" t="s">
        <v>441</v>
      </c>
      <c r="H8746" s="1">
        <v>42086</v>
      </c>
      <c r="I8746" s="1">
        <v>42095</v>
      </c>
      <c r="J8746" s="1">
        <v>42095</v>
      </c>
      <c r="K8746" s="1">
        <v>42155</v>
      </c>
      <c r="N8746" s="5"/>
      <c r="O8746">
        <v>39</v>
      </c>
      <c r="P8746">
        <v>-32</v>
      </c>
      <c r="Q8746" s="2">
        <v>-1248</v>
      </c>
      <c r="R8746">
        <v>8.58</v>
      </c>
      <c r="V8746">
        <v>0</v>
      </c>
      <c r="W8746">
        <v>0</v>
      </c>
      <c r="X8746">
        <v>0</v>
      </c>
      <c r="Y8746">
        <v>47.58</v>
      </c>
      <c r="Z8746">
        <v>47.58</v>
      </c>
      <c r="AA8746">
        <v>47.58</v>
      </c>
      <c r="AB8746" s="1">
        <v>42382</v>
      </c>
      <c r="AC8746" t="s">
        <v>53</v>
      </c>
      <c r="AD8746" t="s">
        <v>53</v>
      </c>
      <c r="AK8746">
        <v>8.58</v>
      </c>
      <c r="AU8746" s="6">
        <v>42123</v>
      </c>
      <c r="AV8746" s="6">
        <v>42123</v>
      </c>
      <c r="AW8746" t="s">
        <v>54</v>
      </c>
      <c r="AX8746" t="str">
        <f t="shared" si="715"/>
        <v>FOR</v>
      </c>
      <c r="AY8746" t="s">
        <v>55</v>
      </c>
    </row>
    <row r="8747" spans="1:51" hidden="1">
      <c r="A8747">
        <v>106570</v>
      </c>
      <c r="B8747" t="s">
        <v>1477</v>
      </c>
      <c r="C8747" t="str">
        <f t="shared" si="717"/>
        <v>01617610629</v>
      </c>
      <c r="D8747" t="str">
        <f t="shared" si="717"/>
        <v>01617610629</v>
      </c>
      <c r="E8747" t="s">
        <v>52</v>
      </c>
      <c r="F8747">
        <v>2015</v>
      </c>
      <c r="G8747" t="s">
        <v>443</v>
      </c>
      <c r="H8747" s="1">
        <v>42093</v>
      </c>
      <c r="I8747" s="1">
        <v>42095</v>
      </c>
      <c r="J8747" s="1">
        <v>42095</v>
      </c>
      <c r="K8747" s="1">
        <v>42155</v>
      </c>
      <c r="N8747" s="5"/>
      <c r="O8747">
        <v>450</v>
      </c>
      <c r="P8747">
        <v>-32</v>
      </c>
      <c r="Q8747" s="2">
        <v>-14400</v>
      </c>
      <c r="R8747">
        <v>99</v>
      </c>
      <c r="V8747">
        <v>0</v>
      </c>
      <c r="W8747">
        <v>0</v>
      </c>
      <c r="X8747">
        <v>0</v>
      </c>
      <c r="Y8747">
        <v>549</v>
      </c>
      <c r="Z8747">
        <v>549</v>
      </c>
      <c r="AA8747">
        <v>549</v>
      </c>
      <c r="AB8747" s="1">
        <v>42382</v>
      </c>
      <c r="AC8747" t="s">
        <v>53</v>
      </c>
      <c r="AD8747" t="s">
        <v>53</v>
      </c>
      <c r="AK8747">
        <v>99</v>
      </c>
      <c r="AU8747" s="6">
        <v>42123</v>
      </c>
      <c r="AV8747" s="6">
        <v>42123</v>
      </c>
      <c r="AW8747" t="s">
        <v>54</v>
      </c>
      <c r="AX8747" t="str">
        <f t="shared" si="715"/>
        <v>FOR</v>
      </c>
      <c r="AY8747" t="s">
        <v>55</v>
      </c>
    </row>
    <row r="8748" spans="1:51" hidden="1">
      <c r="A8748">
        <v>106570</v>
      </c>
      <c r="B8748" t="s">
        <v>1477</v>
      </c>
      <c r="C8748" t="str">
        <f t="shared" si="717"/>
        <v>01617610629</v>
      </c>
      <c r="D8748" t="str">
        <f t="shared" si="717"/>
        <v>01617610629</v>
      </c>
      <c r="E8748" t="s">
        <v>52</v>
      </c>
      <c r="F8748">
        <v>2015</v>
      </c>
      <c r="G8748" t="s">
        <v>264</v>
      </c>
      <c r="H8748" s="1">
        <v>42093</v>
      </c>
      <c r="I8748" s="1">
        <v>42095</v>
      </c>
      <c r="J8748" s="1">
        <v>42095</v>
      </c>
      <c r="K8748" s="1">
        <v>42155</v>
      </c>
      <c r="N8748" s="5"/>
      <c r="O8748">
        <v>145</v>
      </c>
      <c r="P8748">
        <v>-32</v>
      </c>
      <c r="Q8748" s="2">
        <v>-4640</v>
      </c>
      <c r="R8748">
        <v>31.9</v>
      </c>
      <c r="V8748">
        <v>0</v>
      </c>
      <c r="W8748">
        <v>0</v>
      </c>
      <c r="X8748">
        <v>0</v>
      </c>
      <c r="Y8748">
        <v>176.9</v>
      </c>
      <c r="Z8748">
        <v>176.9</v>
      </c>
      <c r="AA8748">
        <v>176.9</v>
      </c>
      <c r="AB8748" s="1">
        <v>42382</v>
      </c>
      <c r="AC8748" t="s">
        <v>53</v>
      </c>
      <c r="AD8748" t="s">
        <v>53</v>
      </c>
      <c r="AK8748">
        <v>31.9</v>
      </c>
      <c r="AU8748" s="6">
        <v>42123</v>
      </c>
      <c r="AV8748" s="6">
        <v>42123</v>
      </c>
      <c r="AW8748" t="s">
        <v>54</v>
      </c>
      <c r="AX8748" t="str">
        <f t="shared" si="715"/>
        <v>FOR</v>
      </c>
      <c r="AY8748" t="s">
        <v>55</v>
      </c>
    </row>
    <row r="8749" spans="1:51" hidden="1">
      <c r="A8749">
        <v>106570</v>
      </c>
      <c r="B8749" t="s">
        <v>1477</v>
      </c>
      <c r="C8749" t="str">
        <f t="shared" si="717"/>
        <v>01617610629</v>
      </c>
      <c r="D8749" t="str">
        <f t="shared" si="717"/>
        <v>01617610629</v>
      </c>
      <c r="E8749" t="s">
        <v>52</v>
      </c>
      <c r="F8749">
        <v>2015</v>
      </c>
      <c r="G8749" t="s">
        <v>265</v>
      </c>
      <c r="H8749" s="1">
        <v>42093</v>
      </c>
      <c r="I8749" s="1">
        <v>42095</v>
      </c>
      <c r="J8749" s="1">
        <v>42095</v>
      </c>
      <c r="K8749" s="1">
        <v>42155</v>
      </c>
      <c r="N8749" s="5"/>
      <c r="O8749">
        <v>240</v>
      </c>
      <c r="P8749">
        <v>-32</v>
      </c>
      <c r="Q8749" s="2">
        <v>-7680</v>
      </c>
      <c r="R8749">
        <v>52.8</v>
      </c>
      <c r="V8749">
        <v>0</v>
      </c>
      <c r="W8749">
        <v>0</v>
      </c>
      <c r="X8749">
        <v>0</v>
      </c>
      <c r="Y8749">
        <v>292.8</v>
      </c>
      <c r="Z8749">
        <v>292.8</v>
      </c>
      <c r="AA8749">
        <v>292.8</v>
      </c>
      <c r="AB8749" s="1">
        <v>42382</v>
      </c>
      <c r="AC8749" t="s">
        <v>53</v>
      </c>
      <c r="AD8749" t="s">
        <v>53</v>
      </c>
      <c r="AK8749">
        <v>52.8</v>
      </c>
      <c r="AU8749" s="6">
        <v>42123</v>
      </c>
      <c r="AV8749" s="6">
        <v>42123</v>
      </c>
      <c r="AW8749" t="s">
        <v>54</v>
      </c>
      <c r="AX8749" t="str">
        <f t="shared" si="715"/>
        <v>FOR</v>
      </c>
      <c r="AY8749" t="s">
        <v>55</v>
      </c>
    </row>
    <row r="8750" spans="1:51" hidden="1">
      <c r="A8750">
        <v>106570</v>
      </c>
      <c r="B8750" t="s">
        <v>1477</v>
      </c>
      <c r="C8750" t="str">
        <f t="shared" si="717"/>
        <v>01617610629</v>
      </c>
      <c r="D8750" t="str">
        <f t="shared" si="717"/>
        <v>01617610629</v>
      </c>
      <c r="E8750" t="s">
        <v>52</v>
      </c>
      <c r="F8750">
        <v>2015</v>
      </c>
      <c r="G8750" t="s">
        <v>444</v>
      </c>
      <c r="H8750" s="1">
        <v>42093</v>
      </c>
      <c r="I8750" s="1">
        <v>42095</v>
      </c>
      <c r="J8750" s="1">
        <v>42095</v>
      </c>
      <c r="K8750" s="1">
        <v>42155</v>
      </c>
      <c r="N8750" s="5"/>
      <c r="O8750">
        <v>199</v>
      </c>
      <c r="P8750">
        <v>-32</v>
      </c>
      <c r="Q8750" s="2">
        <v>-6368</v>
      </c>
      <c r="R8750">
        <v>43.78</v>
      </c>
      <c r="V8750">
        <v>0</v>
      </c>
      <c r="W8750">
        <v>0</v>
      </c>
      <c r="X8750">
        <v>0</v>
      </c>
      <c r="Y8750">
        <v>242.78</v>
      </c>
      <c r="Z8750">
        <v>242.78</v>
      </c>
      <c r="AA8750">
        <v>242.78</v>
      </c>
      <c r="AB8750" s="1">
        <v>42382</v>
      </c>
      <c r="AC8750" t="s">
        <v>53</v>
      </c>
      <c r="AD8750" t="s">
        <v>53</v>
      </c>
      <c r="AK8750">
        <v>43.78</v>
      </c>
      <c r="AU8750" s="6">
        <v>42123</v>
      </c>
      <c r="AV8750" s="6">
        <v>42123</v>
      </c>
      <c r="AW8750" t="s">
        <v>54</v>
      </c>
      <c r="AX8750" t="str">
        <f t="shared" si="715"/>
        <v>FOR</v>
      </c>
      <c r="AY8750" t="s">
        <v>55</v>
      </c>
    </row>
    <row r="8751" spans="1:51" hidden="1">
      <c r="A8751">
        <v>106570</v>
      </c>
      <c r="B8751" t="s">
        <v>1477</v>
      </c>
      <c r="C8751" t="str">
        <f t="shared" si="717"/>
        <v>01617610629</v>
      </c>
      <c r="D8751" t="str">
        <f t="shared" si="717"/>
        <v>01617610629</v>
      </c>
      <c r="E8751" t="s">
        <v>52</v>
      </c>
      <c r="F8751">
        <v>2015</v>
      </c>
      <c r="G8751" t="s">
        <v>266</v>
      </c>
      <c r="H8751" s="1">
        <v>42093</v>
      </c>
      <c r="I8751" s="1">
        <v>42095</v>
      </c>
      <c r="J8751" s="1">
        <v>42095</v>
      </c>
      <c r="K8751" s="1">
        <v>42155</v>
      </c>
      <c r="N8751" s="5"/>
      <c r="O8751">
        <v>199</v>
      </c>
      <c r="P8751">
        <v>-32</v>
      </c>
      <c r="Q8751" s="2">
        <v>-6368</v>
      </c>
      <c r="R8751">
        <v>43.78</v>
      </c>
      <c r="V8751">
        <v>0</v>
      </c>
      <c r="W8751">
        <v>0</v>
      </c>
      <c r="X8751">
        <v>0</v>
      </c>
      <c r="Y8751">
        <v>242.78</v>
      </c>
      <c r="Z8751">
        <v>242.78</v>
      </c>
      <c r="AA8751">
        <v>242.78</v>
      </c>
      <c r="AB8751" s="1">
        <v>42382</v>
      </c>
      <c r="AC8751" t="s">
        <v>53</v>
      </c>
      <c r="AD8751" t="s">
        <v>53</v>
      </c>
      <c r="AK8751">
        <v>43.78</v>
      </c>
      <c r="AU8751" s="6">
        <v>42123</v>
      </c>
      <c r="AV8751" s="6">
        <v>42123</v>
      </c>
      <c r="AW8751" t="s">
        <v>54</v>
      </c>
      <c r="AX8751" t="str">
        <f t="shared" si="715"/>
        <v>FOR</v>
      </c>
      <c r="AY8751" t="s">
        <v>55</v>
      </c>
    </row>
    <row r="8752" spans="1:51" hidden="1">
      <c r="A8752">
        <v>106570</v>
      </c>
      <c r="B8752" t="s">
        <v>1477</v>
      </c>
      <c r="C8752" t="str">
        <f t="shared" si="717"/>
        <v>01617610629</v>
      </c>
      <c r="D8752" t="str">
        <f t="shared" si="717"/>
        <v>01617610629</v>
      </c>
      <c r="E8752" t="s">
        <v>52</v>
      </c>
      <c r="F8752">
        <v>2015</v>
      </c>
      <c r="G8752" t="s">
        <v>267</v>
      </c>
      <c r="H8752" s="1">
        <v>42093</v>
      </c>
      <c r="I8752" s="1">
        <v>42095</v>
      </c>
      <c r="J8752" s="1">
        <v>42095</v>
      </c>
      <c r="K8752" s="1">
        <v>42155</v>
      </c>
      <c r="N8752" s="5"/>
      <c r="O8752">
        <v>112</v>
      </c>
      <c r="P8752">
        <v>-32</v>
      </c>
      <c r="Q8752" s="2">
        <v>-3584</v>
      </c>
      <c r="R8752">
        <v>24.64</v>
      </c>
      <c r="V8752">
        <v>0</v>
      </c>
      <c r="W8752">
        <v>0</v>
      </c>
      <c r="X8752">
        <v>0</v>
      </c>
      <c r="Y8752">
        <v>136.63999999999999</v>
      </c>
      <c r="Z8752">
        <v>136.63999999999999</v>
      </c>
      <c r="AA8752">
        <v>136.63999999999999</v>
      </c>
      <c r="AB8752" s="1">
        <v>42382</v>
      </c>
      <c r="AC8752" t="s">
        <v>53</v>
      </c>
      <c r="AD8752" t="s">
        <v>53</v>
      </c>
      <c r="AK8752">
        <v>24.64</v>
      </c>
      <c r="AU8752" s="6">
        <v>42123</v>
      </c>
      <c r="AV8752" s="6">
        <v>42123</v>
      </c>
      <c r="AW8752" t="s">
        <v>54</v>
      </c>
      <c r="AX8752" t="str">
        <f t="shared" si="715"/>
        <v>FOR</v>
      </c>
      <c r="AY8752" t="s">
        <v>55</v>
      </c>
    </row>
    <row r="8753" spans="1:51" hidden="1">
      <c r="A8753">
        <v>106570</v>
      </c>
      <c r="B8753" t="s">
        <v>1477</v>
      </c>
      <c r="C8753" t="str">
        <f t="shared" si="717"/>
        <v>01617610629</v>
      </c>
      <c r="D8753" t="str">
        <f t="shared" si="717"/>
        <v>01617610629</v>
      </c>
      <c r="E8753" t="s">
        <v>52</v>
      </c>
      <c r="F8753">
        <v>2015</v>
      </c>
      <c r="G8753" t="s">
        <v>1478</v>
      </c>
      <c r="H8753" s="1">
        <v>42065</v>
      </c>
      <c r="I8753" s="1">
        <v>42095</v>
      </c>
      <c r="J8753" s="1">
        <v>42095</v>
      </c>
      <c r="K8753" s="1">
        <v>42155</v>
      </c>
      <c r="N8753" s="5"/>
      <c r="O8753">
        <v>42</v>
      </c>
      <c r="P8753">
        <v>-32</v>
      </c>
      <c r="Q8753" s="2">
        <v>-1344</v>
      </c>
      <c r="R8753">
        <v>9.24</v>
      </c>
      <c r="V8753">
        <v>0</v>
      </c>
      <c r="W8753">
        <v>0</v>
      </c>
      <c r="X8753">
        <v>0</v>
      </c>
      <c r="Y8753">
        <v>51.24</v>
      </c>
      <c r="Z8753">
        <v>51.24</v>
      </c>
      <c r="AA8753">
        <v>51.24</v>
      </c>
      <c r="AB8753" s="1">
        <v>42382</v>
      </c>
      <c r="AC8753" t="s">
        <v>53</v>
      </c>
      <c r="AD8753" t="s">
        <v>53</v>
      </c>
      <c r="AK8753">
        <v>9.24</v>
      </c>
      <c r="AU8753" s="6">
        <v>42123</v>
      </c>
      <c r="AV8753" s="6">
        <v>42123</v>
      </c>
      <c r="AW8753" t="s">
        <v>54</v>
      </c>
      <c r="AX8753" t="str">
        <f t="shared" si="715"/>
        <v>FOR</v>
      </c>
      <c r="AY8753" t="s">
        <v>55</v>
      </c>
    </row>
    <row r="8754" spans="1:51" hidden="1">
      <c r="A8754">
        <v>106570</v>
      </c>
      <c r="B8754" t="s">
        <v>1477</v>
      </c>
      <c r="C8754" t="str">
        <f t="shared" ref="C8754:D8773" si="718">"01617610629"</f>
        <v>01617610629</v>
      </c>
      <c r="D8754" t="str">
        <f t="shared" si="718"/>
        <v>01617610629</v>
      </c>
      <c r="E8754" t="s">
        <v>52</v>
      </c>
      <c r="F8754">
        <v>2015</v>
      </c>
      <c r="G8754" t="s">
        <v>1479</v>
      </c>
      <c r="H8754" s="1">
        <v>42139</v>
      </c>
      <c r="I8754" s="1">
        <v>42172</v>
      </c>
      <c r="J8754" s="1">
        <v>42139</v>
      </c>
      <c r="K8754" s="1">
        <v>42199</v>
      </c>
      <c r="N8754" s="5"/>
      <c r="O8754">
        <v>240</v>
      </c>
      <c r="P8754">
        <v>-15</v>
      </c>
      <c r="Q8754" s="2">
        <v>-3600</v>
      </c>
      <c r="R8754">
        <v>52.8</v>
      </c>
      <c r="V8754">
        <v>0</v>
      </c>
      <c r="W8754">
        <v>0</v>
      </c>
      <c r="X8754">
        <v>0</v>
      </c>
      <c r="Y8754">
        <v>292.8</v>
      </c>
      <c r="Z8754">
        <v>292.8</v>
      </c>
      <c r="AA8754">
        <v>292.8</v>
      </c>
      <c r="AB8754" s="1">
        <v>42382</v>
      </c>
      <c r="AC8754" t="s">
        <v>53</v>
      </c>
      <c r="AD8754" t="s">
        <v>53</v>
      </c>
      <c r="AJ8754">
        <v>52.8</v>
      </c>
      <c r="AK8754">
        <v>0</v>
      </c>
      <c r="AU8754" s="6">
        <v>42184</v>
      </c>
      <c r="AV8754" s="6">
        <v>42184</v>
      </c>
      <c r="AW8754" t="s">
        <v>54</v>
      </c>
      <c r="AX8754" t="str">
        <f t="shared" si="715"/>
        <v>FOR</v>
      </c>
      <c r="AY8754" t="s">
        <v>55</v>
      </c>
    </row>
    <row r="8755" spans="1:51" hidden="1">
      <c r="A8755">
        <v>106570</v>
      </c>
      <c r="B8755" t="s">
        <v>1477</v>
      </c>
      <c r="C8755" t="str">
        <f t="shared" si="718"/>
        <v>01617610629</v>
      </c>
      <c r="D8755" t="str">
        <f t="shared" si="718"/>
        <v>01617610629</v>
      </c>
      <c r="E8755" t="s">
        <v>52</v>
      </c>
      <c r="F8755">
        <v>2015</v>
      </c>
      <c r="G8755" t="s">
        <v>1480</v>
      </c>
      <c r="H8755" s="1">
        <v>42139</v>
      </c>
      <c r="I8755" s="1">
        <v>42172</v>
      </c>
      <c r="J8755" s="1">
        <v>42172</v>
      </c>
      <c r="K8755" s="1">
        <v>42232</v>
      </c>
      <c r="N8755" s="5"/>
      <c r="O8755">
        <v>240</v>
      </c>
      <c r="P8755">
        <v>-48</v>
      </c>
      <c r="Q8755" s="2">
        <v>-11520</v>
      </c>
      <c r="R8755">
        <v>52.8</v>
      </c>
      <c r="V8755">
        <v>0</v>
      </c>
      <c r="W8755">
        <v>0</v>
      </c>
      <c r="X8755">
        <v>0</v>
      </c>
      <c r="Y8755">
        <v>292.8</v>
      </c>
      <c r="Z8755">
        <v>292.8</v>
      </c>
      <c r="AA8755">
        <v>292.8</v>
      </c>
      <c r="AB8755" s="1">
        <v>42382</v>
      </c>
      <c r="AC8755" t="s">
        <v>53</v>
      </c>
      <c r="AD8755" t="s">
        <v>53</v>
      </c>
      <c r="AI8755">
        <v>52.8</v>
      </c>
      <c r="AK8755">
        <v>0</v>
      </c>
      <c r="AU8755" s="6">
        <v>42184</v>
      </c>
      <c r="AV8755" s="6">
        <v>42184</v>
      </c>
      <c r="AW8755" t="s">
        <v>54</v>
      </c>
      <c r="AX8755" t="str">
        <f t="shared" si="715"/>
        <v>FOR</v>
      </c>
      <c r="AY8755" t="s">
        <v>55</v>
      </c>
    </row>
    <row r="8756" spans="1:51" hidden="1">
      <c r="A8756">
        <v>106570</v>
      </c>
      <c r="B8756" t="s">
        <v>1477</v>
      </c>
      <c r="C8756" t="str">
        <f t="shared" si="718"/>
        <v>01617610629</v>
      </c>
      <c r="D8756" t="str">
        <f t="shared" si="718"/>
        <v>01617610629</v>
      </c>
      <c r="E8756" t="s">
        <v>52</v>
      </c>
      <c r="F8756">
        <v>2015</v>
      </c>
      <c r="G8756" t="s">
        <v>1481</v>
      </c>
      <c r="H8756" s="1">
        <v>42139</v>
      </c>
      <c r="I8756" s="1">
        <v>42172</v>
      </c>
      <c r="J8756" s="1">
        <v>42139</v>
      </c>
      <c r="K8756" s="1">
        <v>42199</v>
      </c>
      <c r="N8756" s="5"/>
      <c r="O8756">
        <v>710</v>
      </c>
      <c r="P8756">
        <v>-15</v>
      </c>
      <c r="Q8756" s="2">
        <v>-10650</v>
      </c>
      <c r="R8756">
        <v>156.19999999999999</v>
      </c>
      <c r="V8756">
        <v>0</v>
      </c>
      <c r="W8756">
        <v>0</v>
      </c>
      <c r="X8756">
        <v>0</v>
      </c>
      <c r="Y8756">
        <v>866.2</v>
      </c>
      <c r="Z8756">
        <v>866.2</v>
      </c>
      <c r="AA8756">
        <v>866.2</v>
      </c>
      <c r="AB8756" s="1">
        <v>42382</v>
      </c>
      <c r="AC8756" t="s">
        <v>53</v>
      </c>
      <c r="AD8756" t="s">
        <v>53</v>
      </c>
      <c r="AJ8756">
        <v>156.19999999999999</v>
      </c>
      <c r="AK8756">
        <v>0</v>
      </c>
      <c r="AU8756" s="6">
        <v>42184</v>
      </c>
      <c r="AV8756" s="6">
        <v>42184</v>
      </c>
      <c r="AW8756" t="s">
        <v>54</v>
      </c>
      <c r="AX8756" t="str">
        <f t="shared" si="715"/>
        <v>FOR</v>
      </c>
      <c r="AY8756" t="s">
        <v>55</v>
      </c>
    </row>
    <row r="8757" spans="1:51" hidden="1">
      <c r="A8757">
        <v>106570</v>
      </c>
      <c r="B8757" t="s">
        <v>1477</v>
      </c>
      <c r="C8757" t="str">
        <f t="shared" si="718"/>
        <v>01617610629</v>
      </c>
      <c r="D8757" t="str">
        <f t="shared" si="718"/>
        <v>01617610629</v>
      </c>
      <c r="E8757" t="s">
        <v>52</v>
      </c>
      <c r="F8757">
        <v>2015</v>
      </c>
      <c r="G8757" t="s">
        <v>1482</v>
      </c>
      <c r="H8757" s="1">
        <v>42139</v>
      </c>
      <c r="I8757" s="1">
        <v>42172</v>
      </c>
      <c r="J8757" s="1">
        <v>42172</v>
      </c>
      <c r="K8757" s="1">
        <v>42232</v>
      </c>
      <c r="N8757" s="5"/>
      <c r="O8757">
        <v>90</v>
      </c>
      <c r="P8757">
        <v>-48</v>
      </c>
      <c r="Q8757" s="2">
        <v>-4320</v>
      </c>
      <c r="R8757">
        <v>19.8</v>
      </c>
      <c r="V8757">
        <v>0</v>
      </c>
      <c r="W8757">
        <v>0</v>
      </c>
      <c r="X8757">
        <v>0</v>
      </c>
      <c r="Y8757">
        <v>109.8</v>
      </c>
      <c r="Z8757">
        <v>109.8</v>
      </c>
      <c r="AA8757">
        <v>109.8</v>
      </c>
      <c r="AB8757" s="1">
        <v>42382</v>
      </c>
      <c r="AC8757" t="s">
        <v>53</v>
      </c>
      <c r="AD8757" t="s">
        <v>53</v>
      </c>
      <c r="AI8757">
        <v>19.8</v>
      </c>
      <c r="AK8757">
        <v>0</v>
      </c>
      <c r="AU8757" s="6">
        <v>42184</v>
      </c>
      <c r="AV8757" s="6">
        <v>42184</v>
      </c>
      <c r="AW8757" t="s">
        <v>54</v>
      </c>
      <c r="AX8757" t="str">
        <f t="shared" si="715"/>
        <v>FOR</v>
      </c>
      <c r="AY8757" t="s">
        <v>55</v>
      </c>
    </row>
    <row r="8758" spans="1:51" hidden="1">
      <c r="A8758">
        <v>106570</v>
      </c>
      <c r="B8758" t="s">
        <v>1477</v>
      </c>
      <c r="C8758" t="str">
        <f t="shared" si="718"/>
        <v>01617610629</v>
      </c>
      <c r="D8758" t="str">
        <f t="shared" si="718"/>
        <v>01617610629</v>
      </c>
      <c r="E8758" t="s">
        <v>52</v>
      </c>
      <c r="F8758">
        <v>2015</v>
      </c>
      <c r="G8758" t="s">
        <v>1483</v>
      </c>
      <c r="H8758" s="1">
        <v>42139</v>
      </c>
      <c r="I8758" s="1">
        <v>42172</v>
      </c>
      <c r="J8758" s="1">
        <v>42139</v>
      </c>
      <c r="K8758" s="1">
        <v>42199</v>
      </c>
      <c r="N8758" s="5"/>
      <c r="O8758">
        <v>180</v>
      </c>
      <c r="P8758">
        <v>-15</v>
      </c>
      <c r="Q8758" s="2">
        <v>-2700</v>
      </c>
      <c r="R8758">
        <v>39.6</v>
      </c>
      <c r="V8758">
        <v>0</v>
      </c>
      <c r="W8758">
        <v>0</v>
      </c>
      <c r="X8758">
        <v>0</v>
      </c>
      <c r="Y8758">
        <v>219.6</v>
      </c>
      <c r="Z8758">
        <v>219.6</v>
      </c>
      <c r="AA8758">
        <v>219.6</v>
      </c>
      <c r="AB8758" s="1">
        <v>42382</v>
      </c>
      <c r="AC8758" t="s">
        <v>53</v>
      </c>
      <c r="AD8758" t="s">
        <v>53</v>
      </c>
      <c r="AJ8758">
        <v>39.6</v>
      </c>
      <c r="AK8758">
        <v>0</v>
      </c>
      <c r="AU8758" s="6">
        <v>42184</v>
      </c>
      <c r="AV8758" s="6">
        <v>42184</v>
      </c>
      <c r="AW8758" t="s">
        <v>54</v>
      </c>
      <c r="AX8758" t="str">
        <f t="shared" si="715"/>
        <v>FOR</v>
      </c>
      <c r="AY8758" t="s">
        <v>55</v>
      </c>
    </row>
    <row r="8759" spans="1:51" hidden="1">
      <c r="A8759">
        <v>106570</v>
      </c>
      <c r="B8759" t="s">
        <v>1477</v>
      </c>
      <c r="C8759" t="str">
        <f t="shared" si="718"/>
        <v>01617610629</v>
      </c>
      <c r="D8759" t="str">
        <f t="shared" si="718"/>
        <v>01617610629</v>
      </c>
      <c r="E8759" t="s">
        <v>52</v>
      </c>
      <c r="F8759">
        <v>2015</v>
      </c>
      <c r="G8759" t="s">
        <v>1484</v>
      </c>
      <c r="H8759" s="1">
        <v>42139</v>
      </c>
      <c r="I8759" s="1">
        <v>42172</v>
      </c>
      <c r="J8759" s="1">
        <v>42172</v>
      </c>
      <c r="K8759" s="1">
        <v>42232</v>
      </c>
      <c r="N8759" s="5"/>
      <c r="O8759">
        <v>140</v>
      </c>
      <c r="P8759">
        <v>-48</v>
      </c>
      <c r="Q8759" s="2">
        <v>-6720</v>
      </c>
      <c r="R8759">
        <v>30.8</v>
      </c>
      <c r="V8759">
        <v>0</v>
      </c>
      <c r="W8759">
        <v>0</v>
      </c>
      <c r="X8759">
        <v>0</v>
      </c>
      <c r="Y8759">
        <v>170.8</v>
      </c>
      <c r="Z8759">
        <v>170.8</v>
      </c>
      <c r="AA8759">
        <v>170.8</v>
      </c>
      <c r="AB8759" s="1">
        <v>42382</v>
      </c>
      <c r="AC8759" t="s">
        <v>53</v>
      </c>
      <c r="AD8759" t="s">
        <v>53</v>
      </c>
      <c r="AI8759">
        <v>30.8</v>
      </c>
      <c r="AK8759">
        <v>0</v>
      </c>
      <c r="AU8759" s="6">
        <v>42184</v>
      </c>
      <c r="AV8759" s="6">
        <v>42184</v>
      </c>
      <c r="AW8759" t="s">
        <v>54</v>
      </c>
      <c r="AX8759" t="str">
        <f t="shared" si="715"/>
        <v>FOR</v>
      </c>
      <c r="AY8759" t="s">
        <v>55</v>
      </c>
    </row>
    <row r="8760" spans="1:51" hidden="1">
      <c r="A8760">
        <v>106570</v>
      </c>
      <c r="B8760" t="s">
        <v>1477</v>
      </c>
      <c r="C8760" t="str">
        <f t="shared" si="718"/>
        <v>01617610629</v>
      </c>
      <c r="D8760" t="str">
        <f t="shared" si="718"/>
        <v>01617610629</v>
      </c>
      <c r="E8760" t="s">
        <v>52</v>
      </c>
      <c r="F8760">
        <v>2015</v>
      </c>
      <c r="G8760" t="s">
        <v>1485</v>
      </c>
      <c r="H8760" s="1">
        <v>42139</v>
      </c>
      <c r="I8760" s="1">
        <v>42172</v>
      </c>
      <c r="J8760" s="1">
        <v>42172</v>
      </c>
      <c r="K8760" s="1">
        <v>42232</v>
      </c>
      <c r="N8760" s="5"/>
      <c r="O8760">
        <v>90</v>
      </c>
      <c r="P8760">
        <v>-48</v>
      </c>
      <c r="Q8760" s="2">
        <v>-4320</v>
      </c>
      <c r="R8760">
        <v>19.8</v>
      </c>
      <c r="V8760">
        <v>0</v>
      </c>
      <c r="W8760">
        <v>0</v>
      </c>
      <c r="X8760">
        <v>0</v>
      </c>
      <c r="Y8760">
        <v>109.8</v>
      </c>
      <c r="Z8760">
        <v>109.8</v>
      </c>
      <c r="AA8760">
        <v>109.8</v>
      </c>
      <c r="AB8760" s="1">
        <v>42382</v>
      </c>
      <c r="AC8760" t="s">
        <v>53</v>
      </c>
      <c r="AD8760" t="s">
        <v>53</v>
      </c>
      <c r="AI8760">
        <v>19.8</v>
      </c>
      <c r="AK8760">
        <v>0</v>
      </c>
      <c r="AU8760" s="6">
        <v>42184</v>
      </c>
      <c r="AV8760" s="6">
        <v>42184</v>
      </c>
      <c r="AW8760" t="s">
        <v>54</v>
      </c>
      <c r="AX8760" t="str">
        <f t="shared" si="715"/>
        <v>FOR</v>
      </c>
      <c r="AY8760" t="s">
        <v>55</v>
      </c>
    </row>
    <row r="8761" spans="1:51" hidden="1">
      <c r="A8761">
        <v>106570</v>
      </c>
      <c r="B8761" t="s">
        <v>1477</v>
      </c>
      <c r="C8761" t="str">
        <f t="shared" si="718"/>
        <v>01617610629</v>
      </c>
      <c r="D8761" t="str">
        <f t="shared" si="718"/>
        <v>01617610629</v>
      </c>
      <c r="E8761" t="s">
        <v>52</v>
      </c>
      <c r="F8761">
        <v>2015</v>
      </c>
      <c r="G8761" t="s">
        <v>1486</v>
      </c>
      <c r="H8761" s="1">
        <v>42139</v>
      </c>
      <c r="I8761" s="1">
        <v>42172</v>
      </c>
      <c r="J8761" s="1">
        <v>42139</v>
      </c>
      <c r="K8761" s="1">
        <v>42199</v>
      </c>
      <c r="N8761" s="5"/>
      <c r="O8761">
        <v>360</v>
      </c>
      <c r="P8761">
        <v>-15</v>
      </c>
      <c r="Q8761" s="2">
        <v>-5400</v>
      </c>
      <c r="R8761">
        <v>79.2</v>
      </c>
      <c r="V8761">
        <v>0</v>
      </c>
      <c r="W8761">
        <v>0</v>
      </c>
      <c r="X8761">
        <v>0</v>
      </c>
      <c r="Y8761">
        <v>439.2</v>
      </c>
      <c r="Z8761">
        <v>439.2</v>
      </c>
      <c r="AA8761">
        <v>439.2</v>
      </c>
      <c r="AB8761" s="1">
        <v>42382</v>
      </c>
      <c r="AC8761" t="s">
        <v>53</v>
      </c>
      <c r="AD8761" t="s">
        <v>53</v>
      </c>
      <c r="AJ8761">
        <v>79.2</v>
      </c>
      <c r="AK8761">
        <v>0</v>
      </c>
      <c r="AU8761" s="6">
        <v>42184</v>
      </c>
      <c r="AV8761" s="6">
        <v>42184</v>
      </c>
      <c r="AW8761" t="s">
        <v>54</v>
      </c>
      <c r="AX8761" t="str">
        <f t="shared" si="715"/>
        <v>FOR</v>
      </c>
      <c r="AY8761" t="s">
        <v>55</v>
      </c>
    </row>
    <row r="8762" spans="1:51" hidden="1">
      <c r="A8762">
        <v>106570</v>
      </c>
      <c r="B8762" t="s">
        <v>1477</v>
      </c>
      <c r="C8762" t="str">
        <f t="shared" si="718"/>
        <v>01617610629</v>
      </c>
      <c r="D8762" t="str">
        <f t="shared" si="718"/>
        <v>01617610629</v>
      </c>
      <c r="E8762" t="s">
        <v>52</v>
      </c>
      <c r="F8762">
        <v>2015</v>
      </c>
      <c r="G8762" t="s">
        <v>1487</v>
      </c>
      <c r="H8762" s="1">
        <v>42139</v>
      </c>
      <c r="I8762" s="1">
        <v>42172</v>
      </c>
      <c r="J8762" s="1">
        <v>42139</v>
      </c>
      <c r="K8762" s="1">
        <v>42199</v>
      </c>
      <c r="N8762" s="5"/>
      <c r="O8762">
        <v>290</v>
      </c>
      <c r="P8762">
        <v>-15</v>
      </c>
      <c r="Q8762" s="2">
        <v>-4350</v>
      </c>
      <c r="R8762">
        <v>63.8</v>
      </c>
      <c r="V8762">
        <v>0</v>
      </c>
      <c r="W8762">
        <v>0</v>
      </c>
      <c r="X8762">
        <v>0</v>
      </c>
      <c r="Y8762">
        <v>353.8</v>
      </c>
      <c r="Z8762">
        <v>353.8</v>
      </c>
      <c r="AA8762">
        <v>353.8</v>
      </c>
      <c r="AB8762" s="1">
        <v>42382</v>
      </c>
      <c r="AC8762" t="s">
        <v>53</v>
      </c>
      <c r="AD8762" t="s">
        <v>53</v>
      </c>
      <c r="AJ8762">
        <v>63.8</v>
      </c>
      <c r="AK8762">
        <v>0</v>
      </c>
      <c r="AU8762" s="6">
        <v>42184</v>
      </c>
      <c r="AV8762" s="6">
        <v>42184</v>
      </c>
      <c r="AW8762" t="s">
        <v>54</v>
      </c>
      <c r="AX8762" t="str">
        <f t="shared" si="715"/>
        <v>FOR</v>
      </c>
      <c r="AY8762" t="s">
        <v>55</v>
      </c>
    </row>
    <row r="8763" spans="1:51" hidden="1">
      <c r="A8763">
        <v>106570</v>
      </c>
      <c r="B8763" t="s">
        <v>1477</v>
      </c>
      <c r="C8763" t="str">
        <f t="shared" si="718"/>
        <v>01617610629</v>
      </c>
      <c r="D8763" t="str">
        <f t="shared" si="718"/>
        <v>01617610629</v>
      </c>
      <c r="E8763" t="s">
        <v>52</v>
      </c>
      <c r="F8763">
        <v>2015</v>
      </c>
      <c r="G8763" t="s">
        <v>1488</v>
      </c>
      <c r="H8763" s="1">
        <v>42139</v>
      </c>
      <c r="I8763" s="1">
        <v>42172</v>
      </c>
      <c r="J8763" s="1">
        <v>42139</v>
      </c>
      <c r="K8763" s="1">
        <v>42199</v>
      </c>
      <c r="N8763" s="5"/>
      <c r="O8763">
        <v>600</v>
      </c>
      <c r="P8763">
        <v>-15</v>
      </c>
      <c r="Q8763" s="2">
        <v>-9000</v>
      </c>
      <c r="R8763">
        <v>132</v>
      </c>
      <c r="V8763">
        <v>0</v>
      </c>
      <c r="W8763">
        <v>0</v>
      </c>
      <c r="X8763">
        <v>0</v>
      </c>
      <c r="Y8763">
        <v>732</v>
      </c>
      <c r="Z8763">
        <v>732</v>
      </c>
      <c r="AA8763">
        <v>732</v>
      </c>
      <c r="AB8763" s="1">
        <v>42382</v>
      </c>
      <c r="AC8763" t="s">
        <v>53</v>
      </c>
      <c r="AD8763" t="s">
        <v>53</v>
      </c>
      <c r="AJ8763">
        <v>132</v>
      </c>
      <c r="AK8763">
        <v>0</v>
      </c>
      <c r="AU8763" s="6">
        <v>42184</v>
      </c>
      <c r="AV8763" s="6">
        <v>42184</v>
      </c>
      <c r="AW8763" t="s">
        <v>54</v>
      </c>
      <c r="AX8763" t="str">
        <f t="shared" si="715"/>
        <v>FOR</v>
      </c>
      <c r="AY8763" t="s">
        <v>55</v>
      </c>
    </row>
    <row r="8764" spans="1:51" hidden="1">
      <c r="A8764">
        <v>106570</v>
      </c>
      <c r="B8764" t="s">
        <v>1477</v>
      </c>
      <c r="C8764" t="str">
        <f t="shared" si="718"/>
        <v>01617610629</v>
      </c>
      <c r="D8764" t="str">
        <f t="shared" si="718"/>
        <v>01617610629</v>
      </c>
      <c r="E8764" t="s">
        <v>52</v>
      </c>
      <c r="F8764">
        <v>2015</v>
      </c>
      <c r="G8764" t="s">
        <v>1489</v>
      </c>
      <c r="H8764" s="1">
        <v>42139</v>
      </c>
      <c r="I8764" s="1">
        <v>42172</v>
      </c>
      <c r="J8764" s="1">
        <v>42139</v>
      </c>
      <c r="K8764" s="1">
        <v>42199</v>
      </c>
      <c r="N8764" s="5"/>
      <c r="O8764">
        <v>90</v>
      </c>
      <c r="P8764">
        <v>-15</v>
      </c>
      <c r="Q8764" s="2">
        <v>-1350</v>
      </c>
      <c r="R8764">
        <v>19.8</v>
      </c>
      <c r="V8764">
        <v>0</v>
      </c>
      <c r="W8764">
        <v>0</v>
      </c>
      <c r="X8764">
        <v>0</v>
      </c>
      <c r="Y8764">
        <v>109.8</v>
      </c>
      <c r="Z8764">
        <v>109.8</v>
      </c>
      <c r="AA8764">
        <v>109.8</v>
      </c>
      <c r="AB8764" s="1">
        <v>42382</v>
      </c>
      <c r="AC8764" t="s">
        <v>53</v>
      </c>
      <c r="AD8764" t="s">
        <v>53</v>
      </c>
      <c r="AJ8764">
        <v>19.8</v>
      </c>
      <c r="AK8764">
        <v>0</v>
      </c>
      <c r="AU8764" s="6">
        <v>42184</v>
      </c>
      <c r="AV8764" s="6">
        <v>42184</v>
      </c>
      <c r="AW8764" t="s">
        <v>54</v>
      </c>
      <c r="AX8764" t="str">
        <f t="shared" si="715"/>
        <v>FOR</v>
      </c>
      <c r="AY8764" t="s">
        <v>55</v>
      </c>
    </row>
    <row r="8765" spans="1:51" hidden="1">
      <c r="A8765">
        <v>106570</v>
      </c>
      <c r="B8765" t="s">
        <v>1477</v>
      </c>
      <c r="C8765" t="str">
        <f t="shared" si="718"/>
        <v>01617610629</v>
      </c>
      <c r="D8765" t="str">
        <f t="shared" si="718"/>
        <v>01617610629</v>
      </c>
      <c r="E8765" t="s">
        <v>52</v>
      </c>
      <c r="F8765">
        <v>2015</v>
      </c>
      <c r="G8765" t="s">
        <v>1490</v>
      </c>
      <c r="H8765" s="1">
        <v>42139</v>
      </c>
      <c r="I8765" s="1">
        <v>42172</v>
      </c>
      <c r="J8765" s="1">
        <v>42139</v>
      </c>
      <c r="K8765" s="1">
        <v>42199</v>
      </c>
      <c r="N8765" s="5"/>
      <c r="O8765">
        <v>290</v>
      </c>
      <c r="P8765">
        <v>-15</v>
      </c>
      <c r="Q8765" s="2">
        <v>-4350</v>
      </c>
      <c r="R8765">
        <v>63.8</v>
      </c>
      <c r="V8765">
        <v>0</v>
      </c>
      <c r="W8765">
        <v>0</v>
      </c>
      <c r="X8765">
        <v>0</v>
      </c>
      <c r="Y8765">
        <v>353.8</v>
      </c>
      <c r="Z8765">
        <v>353.8</v>
      </c>
      <c r="AA8765">
        <v>353.8</v>
      </c>
      <c r="AB8765" s="1">
        <v>42382</v>
      </c>
      <c r="AC8765" t="s">
        <v>53</v>
      </c>
      <c r="AD8765" t="s">
        <v>53</v>
      </c>
      <c r="AJ8765">
        <v>63.8</v>
      </c>
      <c r="AK8765">
        <v>0</v>
      </c>
      <c r="AU8765" s="6">
        <v>42184</v>
      </c>
      <c r="AV8765" s="6">
        <v>42184</v>
      </c>
      <c r="AW8765" t="s">
        <v>54</v>
      </c>
      <c r="AX8765" t="str">
        <f t="shared" si="715"/>
        <v>FOR</v>
      </c>
      <c r="AY8765" t="s">
        <v>55</v>
      </c>
    </row>
    <row r="8766" spans="1:51" hidden="1">
      <c r="A8766">
        <v>106570</v>
      </c>
      <c r="B8766" t="s">
        <v>1477</v>
      </c>
      <c r="C8766" t="str">
        <f t="shared" si="718"/>
        <v>01617610629</v>
      </c>
      <c r="D8766" t="str">
        <f t="shared" si="718"/>
        <v>01617610629</v>
      </c>
      <c r="E8766" t="s">
        <v>52</v>
      </c>
      <c r="F8766">
        <v>2015</v>
      </c>
      <c r="G8766" t="s">
        <v>1491</v>
      </c>
      <c r="H8766" s="1">
        <v>42156</v>
      </c>
      <c r="I8766" s="1">
        <v>42163</v>
      </c>
      <c r="J8766" s="1">
        <v>42156</v>
      </c>
      <c r="K8766" s="1">
        <v>42216</v>
      </c>
      <c r="N8766" s="5"/>
      <c r="O8766">
        <v>69</v>
      </c>
      <c r="P8766">
        <v>-32</v>
      </c>
      <c r="Q8766" s="2">
        <v>-2208</v>
      </c>
      <c r="R8766">
        <v>15.18</v>
      </c>
      <c r="V8766">
        <v>0</v>
      </c>
      <c r="W8766">
        <v>0</v>
      </c>
      <c r="X8766">
        <v>0</v>
      </c>
      <c r="Y8766">
        <v>84.18</v>
      </c>
      <c r="Z8766">
        <v>84.18</v>
      </c>
      <c r="AA8766">
        <v>84.18</v>
      </c>
      <c r="AB8766" s="1">
        <v>42382</v>
      </c>
      <c r="AC8766" t="s">
        <v>53</v>
      </c>
      <c r="AD8766" t="s">
        <v>53</v>
      </c>
      <c r="AJ8766">
        <v>15.18</v>
      </c>
      <c r="AK8766">
        <v>0</v>
      </c>
      <c r="AU8766" s="6">
        <v>42184</v>
      </c>
      <c r="AV8766" s="6">
        <v>42184</v>
      </c>
      <c r="AW8766" t="s">
        <v>54</v>
      </c>
      <c r="AX8766" t="str">
        <f t="shared" si="715"/>
        <v>FOR</v>
      </c>
      <c r="AY8766" t="s">
        <v>55</v>
      </c>
    </row>
    <row r="8767" spans="1:51">
      <c r="A8767">
        <v>106570</v>
      </c>
      <c r="B8767" t="s">
        <v>1477</v>
      </c>
      <c r="C8767" t="str">
        <f t="shared" si="718"/>
        <v>01617610629</v>
      </c>
      <c r="D8767" t="str">
        <f t="shared" si="718"/>
        <v>01617610629</v>
      </c>
      <c r="E8767" t="s">
        <v>52</v>
      </c>
      <c r="F8767">
        <v>2015</v>
      </c>
      <c r="G8767" t="s">
        <v>1492</v>
      </c>
      <c r="H8767" s="1">
        <v>42191</v>
      </c>
      <c r="I8767" s="1">
        <v>42200</v>
      </c>
      <c r="J8767" s="1">
        <v>42199</v>
      </c>
      <c r="K8767" s="1">
        <v>42259</v>
      </c>
      <c r="L8767" s="7">
        <v>90</v>
      </c>
      <c r="M8767" s="5">
        <v>25</v>
      </c>
      <c r="N8767" s="7">
        <v>2250</v>
      </c>
      <c r="O8767">
        <v>90</v>
      </c>
      <c r="P8767">
        <v>25</v>
      </c>
      <c r="Q8767" s="2">
        <v>2250</v>
      </c>
      <c r="R8767">
        <v>19.8</v>
      </c>
      <c r="V8767">
        <v>0</v>
      </c>
      <c r="W8767">
        <v>0</v>
      </c>
      <c r="X8767">
        <v>0</v>
      </c>
      <c r="Y8767">
        <v>109.8</v>
      </c>
      <c r="Z8767">
        <v>109.8</v>
      </c>
      <c r="AA8767">
        <v>109.8</v>
      </c>
      <c r="AB8767" s="1">
        <v>42382</v>
      </c>
      <c r="AC8767" t="s">
        <v>53</v>
      </c>
      <c r="AD8767" t="s">
        <v>53</v>
      </c>
      <c r="AH8767">
        <v>19.8</v>
      </c>
      <c r="AK8767">
        <v>0</v>
      </c>
      <c r="AU8767" s="6">
        <v>42284</v>
      </c>
      <c r="AV8767" s="6">
        <v>42284</v>
      </c>
      <c r="AW8767" t="s">
        <v>54</v>
      </c>
      <c r="AX8767" t="str">
        <f t="shared" si="715"/>
        <v>FOR</v>
      </c>
      <c r="AY8767" t="s">
        <v>55</v>
      </c>
    </row>
    <row r="8768" spans="1:51">
      <c r="A8768">
        <v>106570</v>
      </c>
      <c r="B8768" t="s">
        <v>1477</v>
      </c>
      <c r="C8768" t="str">
        <f t="shared" si="718"/>
        <v>01617610629</v>
      </c>
      <c r="D8768" t="str">
        <f t="shared" si="718"/>
        <v>01617610629</v>
      </c>
      <c r="E8768" t="s">
        <v>52</v>
      </c>
      <c r="F8768">
        <v>2015</v>
      </c>
      <c r="G8768" t="s">
        <v>1493</v>
      </c>
      <c r="H8768" s="1">
        <v>42191</v>
      </c>
      <c r="I8768" s="1">
        <v>42201</v>
      </c>
      <c r="J8768" s="1">
        <v>42200</v>
      </c>
      <c r="K8768" s="1">
        <v>42260</v>
      </c>
      <c r="L8768" s="7">
        <v>530</v>
      </c>
      <c r="M8768" s="5">
        <v>24</v>
      </c>
      <c r="N8768" s="7">
        <v>12720</v>
      </c>
      <c r="O8768">
        <v>530</v>
      </c>
      <c r="P8768">
        <v>24</v>
      </c>
      <c r="Q8768" s="2">
        <v>12720</v>
      </c>
      <c r="R8768">
        <v>116.6</v>
      </c>
      <c r="V8768">
        <v>0</v>
      </c>
      <c r="W8768">
        <v>0</v>
      </c>
      <c r="X8768">
        <v>0</v>
      </c>
      <c r="Y8768">
        <v>646.6</v>
      </c>
      <c r="Z8768">
        <v>646.6</v>
      </c>
      <c r="AA8768">
        <v>646.6</v>
      </c>
      <c r="AB8768" s="1">
        <v>42382</v>
      </c>
      <c r="AC8768" t="s">
        <v>53</v>
      </c>
      <c r="AD8768" t="s">
        <v>53</v>
      </c>
      <c r="AH8768">
        <v>116.6</v>
      </c>
      <c r="AK8768">
        <v>0</v>
      </c>
      <c r="AU8768" s="6">
        <v>42284</v>
      </c>
      <c r="AV8768" s="6">
        <v>42284</v>
      </c>
      <c r="AW8768" t="s">
        <v>54</v>
      </c>
      <c r="AX8768" t="str">
        <f t="shared" si="715"/>
        <v>FOR</v>
      </c>
      <c r="AY8768" t="s">
        <v>55</v>
      </c>
    </row>
    <row r="8769" spans="1:51">
      <c r="A8769">
        <v>106570</v>
      </c>
      <c r="B8769" t="s">
        <v>1477</v>
      </c>
      <c r="C8769" t="str">
        <f t="shared" si="718"/>
        <v>01617610629</v>
      </c>
      <c r="D8769" t="str">
        <f t="shared" si="718"/>
        <v>01617610629</v>
      </c>
      <c r="E8769" t="s">
        <v>52</v>
      </c>
      <c r="F8769">
        <v>2015</v>
      </c>
      <c r="G8769" t="s">
        <v>1494</v>
      </c>
      <c r="H8769" s="1">
        <v>42191</v>
      </c>
      <c r="I8769" s="1">
        <v>42201</v>
      </c>
      <c r="J8769" s="1">
        <v>42200</v>
      </c>
      <c r="K8769" s="1">
        <v>42260</v>
      </c>
      <c r="L8769" s="7">
        <v>100</v>
      </c>
      <c r="M8769" s="5">
        <v>24</v>
      </c>
      <c r="N8769" s="7">
        <v>2400</v>
      </c>
      <c r="O8769">
        <v>100</v>
      </c>
      <c r="P8769">
        <v>24</v>
      </c>
      <c r="Q8769" s="2">
        <v>2400</v>
      </c>
      <c r="R8769">
        <v>22</v>
      </c>
      <c r="V8769">
        <v>0</v>
      </c>
      <c r="W8769">
        <v>0</v>
      </c>
      <c r="X8769">
        <v>0</v>
      </c>
      <c r="Y8769">
        <v>122</v>
      </c>
      <c r="Z8769">
        <v>122</v>
      </c>
      <c r="AA8769">
        <v>122</v>
      </c>
      <c r="AB8769" s="1">
        <v>42382</v>
      </c>
      <c r="AC8769" t="s">
        <v>53</v>
      </c>
      <c r="AD8769" t="s">
        <v>53</v>
      </c>
      <c r="AH8769">
        <v>22</v>
      </c>
      <c r="AK8769">
        <v>0</v>
      </c>
      <c r="AU8769" s="6">
        <v>42284</v>
      </c>
      <c r="AV8769" s="6">
        <v>42284</v>
      </c>
      <c r="AW8769" t="s">
        <v>54</v>
      </c>
      <c r="AX8769" t="str">
        <f t="shared" si="715"/>
        <v>FOR</v>
      </c>
      <c r="AY8769" t="s">
        <v>55</v>
      </c>
    </row>
    <row r="8770" spans="1:51">
      <c r="A8770">
        <v>106570</v>
      </c>
      <c r="B8770" t="s">
        <v>1477</v>
      </c>
      <c r="C8770" t="str">
        <f t="shared" si="718"/>
        <v>01617610629</v>
      </c>
      <c r="D8770" t="str">
        <f t="shared" si="718"/>
        <v>01617610629</v>
      </c>
      <c r="E8770" t="s">
        <v>52</v>
      </c>
      <c r="F8770">
        <v>2015</v>
      </c>
      <c r="G8770" t="s">
        <v>1495</v>
      </c>
      <c r="H8770" s="1">
        <v>42191</v>
      </c>
      <c r="I8770" s="1">
        <v>42201</v>
      </c>
      <c r="J8770" s="1">
        <v>42200</v>
      </c>
      <c r="K8770" s="1">
        <v>42260</v>
      </c>
      <c r="L8770" s="7">
        <v>170</v>
      </c>
      <c r="M8770" s="5">
        <v>24</v>
      </c>
      <c r="N8770" s="7">
        <v>4080</v>
      </c>
      <c r="O8770">
        <v>170</v>
      </c>
      <c r="P8770">
        <v>24</v>
      </c>
      <c r="Q8770" s="2">
        <v>4080</v>
      </c>
      <c r="R8770">
        <v>37.4</v>
      </c>
      <c r="V8770">
        <v>0</v>
      </c>
      <c r="W8770">
        <v>0</v>
      </c>
      <c r="X8770">
        <v>0</v>
      </c>
      <c r="Y8770">
        <v>207.4</v>
      </c>
      <c r="Z8770">
        <v>207.4</v>
      </c>
      <c r="AA8770">
        <v>207.4</v>
      </c>
      <c r="AB8770" s="1">
        <v>42382</v>
      </c>
      <c r="AC8770" t="s">
        <v>53</v>
      </c>
      <c r="AD8770" t="s">
        <v>53</v>
      </c>
      <c r="AH8770">
        <v>37.4</v>
      </c>
      <c r="AK8770">
        <v>0</v>
      </c>
      <c r="AU8770" s="6">
        <v>42284</v>
      </c>
      <c r="AV8770" s="6">
        <v>42284</v>
      </c>
      <c r="AW8770" t="s">
        <v>54</v>
      </c>
      <c r="AX8770" t="str">
        <f t="shared" si="715"/>
        <v>FOR</v>
      </c>
      <c r="AY8770" t="s">
        <v>55</v>
      </c>
    </row>
    <row r="8771" spans="1:51">
      <c r="A8771">
        <v>106570</v>
      </c>
      <c r="B8771" t="s">
        <v>1477</v>
      </c>
      <c r="C8771" t="str">
        <f t="shared" si="718"/>
        <v>01617610629</v>
      </c>
      <c r="D8771" t="str">
        <f t="shared" si="718"/>
        <v>01617610629</v>
      </c>
      <c r="E8771" t="s">
        <v>52</v>
      </c>
      <c r="F8771">
        <v>2015</v>
      </c>
      <c r="G8771" t="s">
        <v>1496</v>
      </c>
      <c r="H8771" s="1">
        <v>42191</v>
      </c>
      <c r="I8771" s="1">
        <v>42201</v>
      </c>
      <c r="J8771" s="1">
        <v>42200</v>
      </c>
      <c r="K8771" s="1">
        <v>42260</v>
      </c>
      <c r="L8771" s="7">
        <v>39</v>
      </c>
      <c r="M8771" s="5">
        <v>24</v>
      </c>
      <c r="N8771" s="7">
        <v>936</v>
      </c>
      <c r="O8771">
        <v>39</v>
      </c>
      <c r="P8771">
        <v>24</v>
      </c>
      <c r="Q8771">
        <v>936</v>
      </c>
      <c r="R8771">
        <v>8.58</v>
      </c>
      <c r="V8771">
        <v>0</v>
      </c>
      <c r="W8771">
        <v>0</v>
      </c>
      <c r="X8771">
        <v>0</v>
      </c>
      <c r="Y8771">
        <v>47.58</v>
      </c>
      <c r="Z8771">
        <v>47.58</v>
      </c>
      <c r="AA8771">
        <v>47.58</v>
      </c>
      <c r="AB8771" s="1">
        <v>42382</v>
      </c>
      <c r="AC8771" t="s">
        <v>53</v>
      </c>
      <c r="AD8771" t="s">
        <v>53</v>
      </c>
      <c r="AH8771">
        <v>8.58</v>
      </c>
      <c r="AK8771">
        <v>0</v>
      </c>
      <c r="AU8771" s="6">
        <v>42284</v>
      </c>
      <c r="AV8771" s="6">
        <v>42284</v>
      </c>
      <c r="AW8771" t="s">
        <v>54</v>
      </c>
      <c r="AX8771" t="str">
        <f t="shared" ref="AX8771:AX8815" si="719">"FOR"</f>
        <v>FOR</v>
      </c>
      <c r="AY8771" t="s">
        <v>55</v>
      </c>
    </row>
    <row r="8772" spans="1:51">
      <c r="A8772">
        <v>106570</v>
      </c>
      <c r="B8772" t="s">
        <v>1477</v>
      </c>
      <c r="C8772" t="str">
        <f t="shared" si="718"/>
        <v>01617610629</v>
      </c>
      <c r="D8772" t="str">
        <f t="shared" si="718"/>
        <v>01617610629</v>
      </c>
      <c r="E8772" t="s">
        <v>52</v>
      </c>
      <c r="F8772">
        <v>2015</v>
      </c>
      <c r="G8772" t="s">
        <v>1497</v>
      </c>
      <c r="H8772" s="1">
        <v>42191</v>
      </c>
      <c r="I8772" s="1">
        <v>42201</v>
      </c>
      <c r="J8772" s="1">
        <v>42200</v>
      </c>
      <c r="K8772" s="1">
        <v>42260</v>
      </c>
      <c r="L8772" s="7">
        <v>250</v>
      </c>
      <c r="M8772" s="5">
        <v>24</v>
      </c>
      <c r="N8772" s="7">
        <v>6000</v>
      </c>
      <c r="O8772">
        <v>250</v>
      </c>
      <c r="P8772">
        <v>24</v>
      </c>
      <c r="Q8772" s="2">
        <v>6000</v>
      </c>
      <c r="R8772">
        <v>55</v>
      </c>
      <c r="V8772">
        <v>0</v>
      </c>
      <c r="W8772">
        <v>0</v>
      </c>
      <c r="X8772">
        <v>0</v>
      </c>
      <c r="Y8772">
        <v>305</v>
      </c>
      <c r="Z8772">
        <v>305</v>
      </c>
      <c r="AA8772">
        <v>305</v>
      </c>
      <c r="AB8772" s="1">
        <v>42382</v>
      </c>
      <c r="AC8772" t="s">
        <v>53</v>
      </c>
      <c r="AD8772" t="s">
        <v>53</v>
      </c>
      <c r="AH8772">
        <v>55</v>
      </c>
      <c r="AK8772">
        <v>0</v>
      </c>
      <c r="AU8772" s="6">
        <v>42284</v>
      </c>
      <c r="AV8772" s="6">
        <v>42284</v>
      </c>
      <c r="AW8772" t="s">
        <v>54</v>
      </c>
      <c r="AX8772" t="str">
        <f t="shared" si="719"/>
        <v>FOR</v>
      </c>
      <c r="AY8772" t="s">
        <v>55</v>
      </c>
    </row>
    <row r="8773" spans="1:51">
      <c r="A8773">
        <v>106570</v>
      </c>
      <c r="B8773" t="s">
        <v>1477</v>
      </c>
      <c r="C8773" t="str">
        <f t="shared" si="718"/>
        <v>01617610629</v>
      </c>
      <c r="D8773" t="str">
        <f t="shared" si="718"/>
        <v>01617610629</v>
      </c>
      <c r="E8773" t="s">
        <v>52</v>
      </c>
      <c r="F8773">
        <v>2015</v>
      </c>
      <c r="G8773" t="s">
        <v>1498</v>
      </c>
      <c r="H8773" s="1">
        <v>42191</v>
      </c>
      <c r="I8773" s="1">
        <v>42201</v>
      </c>
      <c r="J8773" s="1">
        <v>42200</v>
      </c>
      <c r="K8773" s="1">
        <v>42260</v>
      </c>
      <c r="L8773" s="7">
        <v>245</v>
      </c>
      <c r="M8773" s="5">
        <v>24</v>
      </c>
      <c r="N8773" s="7">
        <v>5880</v>
      </c>
      <c r="O8773">
        <v>245</v>
      </c>
      <c r="P8773">
        <v>24</v>
      </c>
      <c r="Q8773" s="2">
        <v>5880</v>
      </c>
      <c r="R8773">
        <v>53.9</v>
      </c>
      <c r="V8773">
        <v>0</v>
      </c>
      <c r="W8773">
        <v>0</v>
      </c>
      <c r="X8773">
        <v>0</v>
      </c>
      <c r="Y8773">
        <v>298.89999999999998</v>
      </c>
      <c r="Z8773">
        <v>298.89999999999998</v>
      </c>
      <c r="AA8773">
        <v>298.89999999999998</v>
      </c>
      <c r="AB8773" s="1">
        <v>42382</v>
      </c>
      <c r="AC8773" t="s">
        <v>53</v>
      </c>
      <c r="AD8773" t="s">
        <v>53</v>
      </c>
      <c r="AH8773">
        <v>53.9</v>
      </c>
      <c r="AK8773">
        <v>0</v>
      </c>
      <c r="AU8773" s="6">
        <v>42284</v>
      </c>
      <c r="AV8773" s="6">
        <v>42284</v>
      </c>
      <c r="AW8773" t="s">
        <v>54</v>
      </c>
      <c r="AX8773" t="str">
        <f t="shared" si="719"/>
        <v>FOR</v>
      </c>
      <c r="AY8773" t="s">
        <v>55</v>
      </c>
    </row>
    <row r="8774" spans="1:51">
      <c r="A8774">
        <v>106570</v>
      </c>
      <c r="B8774" t="s">
        <v>1477</v>
      </c>
      <c r="C8774" t="str">
        <f t="shared" ref="C8774:D8795" si="720">"01617610629"</f>
        <v>01617610629</v>
      </c>
      <c r="D8774" t="str">
        <f t="shared" si="720"/>
        <v>01617610629</v>
      </c>
      <c r="E8774" t="s">
        <v>52</v>
      </c>
      <c r="F8774">
        <v>2015</v>
      </c>
      <c r="G8774" t="s">
        <v>1499</v>
      </c>
      <c r="H8774" s="1">
        <v>42191</v>
      </c>
      <c r="I8774" s="1">
        <v>42201</v>
      </c>
      <c r="J8774" s="1">
        <v>42200</v>
      </c>
      <c r="K8774" s="1">
        <v>42260</v>
      </c>
      <c r="L8774" s="7">
        <v>360</v>
      </c>
      <c r="M8774" s="5">
        <v>24</v>
      </c>
      <c r="N8774" s="7">
        <v>8640</v>
      </c>
      <c r="O8774">
        <v>360</v>
      </c>
      <c r="P8774">
        <v>24</v>
      </c>
      <c r="Q8774" s="2">
        <v>8640</v>
      </c>
      <c r="R8774">
        <v>79.2</v>
      </c>
      <c r="V8774">
        <v>0</v>
      </c>
      <c r="W8774">
        <v>0</v>
      </c>
      <c r="X8774">
        <v>0</v>
      </c>
      <c r="Y8774">
        <v>439.2</v>
      </c>
      <c r="Z8774">
        <v>439.2</v>
      </c>
      <c r="AA8774">
        <v>439.2</v>
      </c>
      <c r="AB8774" s="1">
        <v>42382</v>
      </c>
      <c r="AC8774" t="s">
        <v>53</v>
      </c>
      <c r="AD8774" t="s">
        <v>53</v>
      </c>
      <c r="AH8774">
        <v>79.2</v>
      </c>
      <c r="AK8774">
        <v>0</v>
      </c>
      <c r="AU8774" s="6">
        <v>42284</v>
      </c>
      <c r="AV8774" s="6">
        <v>42284</v>
      </c>
      <c r="AW8774" t="s">
        <v>54</v>
      </c>
      <c r="AX8774" t="str">
        <f t="shared" si="719"/>
        <v>FOR</v>
      </c>
      <c r="AY8774" t="s">
        <v>55</v>
      </c>
    </row>
    <row r="8775" spans="1:51">
      <c r="A8775">
        <v>106570</v>
      </c>
      <c r="B8775" t="s">
        <v>1477</v>
      </c>
      <c r="C8775" t="str">
        <f t="shared" si="720"/>
        <v>01617610629</v>
      </c>
      <c r="D8775" t="str">
        <f t="shared" si="720"/>
        <v>01617610629</v>
      </c>
      <c r="E8775" t="s">
        <v>52</v>
      </c>
      <c r="F8775">
        <v>2015</v>
      </c>
      <c r="G8775" t="s">
        <v>1500</v>
      </c>
      <c r="H8775" s="1">
        <v>42219</v>
      </c>
      <c r="I8775" s="1">
        <v>42228</v>
      </c>
      <c r="J8775" s="1">
        <v>42219</v>
      </c>
      <c r="K8775" s="1">
        <v>42279</v>
      </c>
      <c r="L8775" s="7">
        <v>250</v>
      </c>
      <c r="M8775" s="5">
        <v>5</v>
      </c>
      <c r="N8775" s="7">
        <v>1250</v>
      </c>
      <c r="O8775">
        <v>250</v>
      </c>
      <c r="P8775">
        <v>5</v>
      </c>
      <c r="Q8775" s="2">
        <v>1250</v>
      </c>
      <c r="R8775">
        <v>55</v>
      </c>
      <c r="V8775">
        <v>0</v>
      </c>
      <c r="W8775">
        <v>0</v>
      </c>
      <c r="X8775">
        <v>0</v>
      </c>
      <c r="Y8775">
        <v>305</v>
      </c>
      <c r="Z8775">
        <v>305</v>
      </c>
      <c r="AA8775">
        <v>305</v>
      </c>
      <c r="AB8775" s="1">
        <v>42382</v>
      </c>
      <c r="AC8775" t="s">
        <v>53</v>
      </c>
      <c r="AD8775" t="s">
        <v>53</v>
      </c>
      <c r="AG8775">
        <v>55</v>
      </c>
      <c r="AK8775">
        <v>0</v>
      </c>
      <c r="AU8775" s="6">
        <v>42284</v>
      </c>
      <c r="AV8775" s="6">
        <v>42284</v>
      </c>
      <c r="AW8775" t="s">
        <v>54</v>
      </c>
      <c r="AX8775" t="str">
        <f t="shared" si="719"/>
        <v>FOR</v>
      </c>
      <c r="AY8775" t="s">
        <v>55</v>
      </c>
    </row>
    <row r="8776" spans="1:51">
      <c r="A8776">
        <v>106570</v>
      </c>
      <c r="B8776" t="s">
        <v>1477</v>
      </c>
      <c r="C8776" t="str">
        <f t="shared" si="720"/>
        <v>01617610629</v>
      </c>
      <c r="D8776" t="str">
        <f t="shared" si="720"/>
        <v>01617610629</v>
      </c>
      <c r="E8776" t="s">
        <v>52</v>
      </c>
      <c r="F8776">
        <v>2015</v>
      </c>
      <c r="G8776" t="s">
        <v>1501</v>
      </c>
      <c r="H8776" s="1">
        <v>42219</v>
      </c>
      <c r="I8776" s="1">
        <v>42228</v>
      </c>
      <c r="J8776" s="1">
        <v>42219</v>
      </c>
      <c r="K8776" s="1">
        <v>42279</v>
      </c>
      <c r="L8776" s="7">
        <v>500</v>
      </c>
      <c r="M8776" s="5">
        <v>5</v>
      </c>
      <c r="N8776" s="7">
        <v>2500</v>
      </c>
      <c r="O8776">
        <v>500</v>
      </c>
      <c r="P8776">
        <v>5</v>
      </c>
      <c r="Q8776" s="2">
        <v>2500</v>
      </c>
      <c r="R8776">
        <v>110</v>
      </c>
      <c r="V8776">
        <v>0</v>
      </c>
      <c r="W8776">
        <v>0</v>
      </c>
      <c r="X8776">
        <v>0</v>
      </c>
      <c r="Y8776">
        <v>610</v>
      </c>
      <c r="Z8776">
        <v>610</v>
      </c>
      <c r="AA8776">
        <v>610</v>
      </c>
      <c r="AB8776" s="1">
        <v>42382</v>
      </c>
      <c r="AC8776" t="s">
        <v>53</v>
      </c>
      <c r="AD8776" t="s">
        <v>53</v>
      </c>
      <c r="AG8776">
        <v>110</v>
      </c>
      <c r="AK8776">
        <v>0</v>
      </c>
      <c r="AU8776" s="6">
        <v>42284</v>
      </c>
      <c r="AV8776" s="6">
        <v>42284</v>
      </c>
      <c r="AW8776" t="s">
        <v>54</v>
      </c>
      <c r="AX8776" t="str">
        <f t="shared" si="719"/>
        <v>FOR</v>
      </c>
      <c r="AY8776" t="s">
        <v>55</v>
      </c>
    </row>
    <row r="8777" spans="1:51">
      <c r="A8777">
        <v>106570</v>
      </c>
      <c r="B8777" t="s">
        <v>1477</v>
      </c>
      <c r="C8777" t="str">
        <f t="shared" si="720"/>
        <v>01617610629</v>
      </c>
      <c r="D8777" t="str">
        <f t="shared" si="720"/>
        <v>01617610629</v>
      </c>
      <c r="E8777" t="s">
        <v>52</v>
      </c>
      <c r="F8777">
        <v>2015</v>
      </c>
      <c r="G8777" t="s">
        <v>1502</v>
      </c>
      <c r="H8777" s="1">
        <v>42219</v>
      </c>
      <c r="I8777" s="1">
        <v>42228</v>
      </c>
      <c r="J8777" s="1">
        <v>42219</v>
      </c>
      <c r="K8777" s="1">
        <v>42279</v>
      </c>
      <c r="L8777" s="7">
        <v>145</v>
      </c>
      <c r="M8777" s="5">
        <v>5</v>
      </c>
      <c r="N8777" s="7">
        <v>725</v>
      </c>
      <c r="O8777">
        <v>145</v>
      </c>
      <c r="P8777">
        <v>5</v>
      </c>
      <c r="Q8777">
        <v>725</v>
      </c>
      <c r="R8777">
        <v>31.9</v>
      </c>
      <c r="V8777">
        <v>0</v>
      </c>
      <c r="W8777">
        <v>0</v>
      </c>
      <c r="X8777">
        <v>0</v>
      </c>
      <c r="Y8777">
        <v>176.9</v>
      </c>
      <c r="Z8777">
        <v>176.9</v>
      </c>
      <c r="AA8777">
        <v>176.9</v>
      </c>
      <c r="AB8777" s="1">
        <v>42382</v>
      </c>
      <c r="AC8777" t="s">
        <v>53</v>
      </c>
      <c r="AD8777" t="s">
        <v>53</v>
      </c>
      <c r="AG8777">
        <v>31.9</v>
      </c>
      <c r="AK8777">
        <v>0</v>
      </c>
      <c r="AU8777" s="6">
        <v>42284</v>
      </c>
      <c r="AV8777" s="6">
        <v>42284</v>
      </c>
      <c r="AW8777" t="s">
        <v>54</v>
      </c>
      <c r="AX8777" t="str">
        <f t="shared" si="719"/>
        <v>FOR</v>
      </c>
      <c r="AY8777" t="s">
        <v>55</v>
      </c>
    </row>
    <row r="8778" spans="1:51">
      <c r="A8778">
        <v>106570</v>
      </c>
      <c r="B8778" t="s">
        <v>1477</v>
      </c>
      <c r="C8778" t="str">
        <f t="shared" si="720"/>
        <v>01617610629</v>
      </c>
      <c r="D8778" t="str">
        <f t="shared" si="720"/>
        <v>01617610629</v>
      </c>
      <c r="E8778" t="s">
        <v>52</v>
      </c>
      <c r="F8778">
        <v>2015</v>
      </c>
      <c r="G8778" t="s">
        <v>1503</v>
      </c>
      <c r="H8778" s="1">
        <v>42219</v>
      </c>
      <c r="I8778" s="1">
        <v>42228</v>
      </c>
      <c r="J8778" s="1">
        <v>42219</v>
      </c>
      <c r="K8778" s="1">
        <v>42279</v>
      </c>
      <c r="L8778" s="7">
        <v>700</v>
      </c>
      <c r="M8778" s="5">
        <v>5</v>
      </c>
      <c r="N8778" s="7">
        <v>3500</v>
      </c>
      <c r="O8778">
        <v>700</v>
      </c>
      <c r="P8778">
        <v>5</v>
      </c>
      <c r="Q8778" s="2">
        <v>3500</v>
      </c>
      <c r="R8778">
        <v>154</v>
      </c>
      <c r="V8778">
        <v>0</v>
      </c>
      <c r="W8778">
        <v>0</v>
      </c>
      <c r="X8778">
        <v>0</v>
      </c>
      <c r="Y8778">
        <v>854</v>
      </c>
      <c r="Z8778">
        <v>854</v>
      </c>
      <c r="AA8778">
        <v>854</v>
      </c>
      <c r="AB8778" s="1">
        <v>42382</v>
      </c>
      <c r="AC8778" t="s">
        <v>53</v>
      </c>
      <c r="AD8778" t="s">
        <v>53</v>
      </c>
      <c r="AG8778">
        <v>154</v>
      </c>
      <c r="AK8778">
        <v>0</v>
      </c>
      <c r="AU8778" s="6">
        <v>42284</v>
      </c>
      <c r="AV8778" s="6">
        <v>42284</v>
      </c>
      <c r="AW8778" t="s">
        <v>54</v>
      </c>
      <c r="AX8778" t="str">
        <f t="shared" si="719"/>
        <v>FOR</v>
      </c>
      <c r="AY8778" t="s">
        <v>55</v>
      </c>
    </row>
    <row r="8779" spans="1:51">
      <c r="A8779">
        <v>106570</v>
      </c>
      <c r="B8779" t="s">
        <v>1477</v>
      </c>
      <c r="C8779" t="str">
        <f t="shared" si="720"/>
        <v>01617610629</v>
      </c>
      <c r="D8779" t="str">
        <f t="shared" si="720"/>
        <v>01617610629</v>
      </c>
      <c r="E8779" t="s">
        <v>52</v>
      </c>
      <c r="F8779">
        <v>2015</v>
      </c>
      <c r="G8779" t="s">
        <v>1504</v>
      </c>
      <c r="H8779" s="1">
        <v>42219</v>
      </c>
      <c r="I8779" s="1">
        <v>42228</v>
      </c>
      <c r="J8779" s="1">
        <v>42219</v>
      </c>
      <c r="K8779" s="1">
        <v>42279</v>
      </c>
      <c r="L8779" s="7">
        <v>420</v>
      </c>
      <c r="M8779" s="5">
        <v>5</v>
      </c>
      <c r="N8779" s="7">
        <v>2100</v>
      </c>
      <c r="O8779">
        <v>420</v>
      </c>
      <c r="P8779">
        <v>5</v>
      </c>
      <c r="Q8779" s="2">
        <v>2100</v>
      </c>
      <c r="R8779">
        <v>92.4</v>
      </c>
      <c r="V8779">
        <v>0</v>
      </c>
      <c r="W8779">
        <v>0</v>
      </c>
      <c r="X8779">
        <v>0</v>
      </c>
      <c r="Y8779">
        <v>512.4</v>
      </c>
      <c r="Z8779">
        <v>512.4</v>
      </c>
      <c r="AA8779">
        <v>512.4</v>
      </c>
      <c r="AB8779" s="1">
        <v>42382</v>
      </c>
      <c r="AC8779" t="s">
        <v>53</v>
      </c>
      <c r="AD8779" t="s">
        <v>53</v>
      </c>
      <c r="AG8779">
        <v>92.4</v>
      </c>
      <c r="AK8779">
        <v>0</v>
      </c>
      <c r="AU8779" s="6">
        <v>42284</v>
      </c>
      <c r="AV8779" s="6">
        <v>42284</v>
      </c>
      <c r="AW8779" t="s">
        <v>54</v>
      </c>
      <c r="AX8779" t="str">
        <f t="shared" si="719"/>
        <v>FOR</v>
      </c>
      <c r="AY8779" t="s">
        <v>55</v>
      </c>
    </row>
    <row r="8780" spans="1:51">
      <c r="A8780">
        <v>106570</v>
      </c>
      <c r="B8780" t="s">
        <v>1477</v>
      </c>
      <c r="C8780" t="str">
        <f t="shared" si="720"/>
        <v>01617610629</v>
      </c>
      <c r="D8780" t="str">
        <f t="shared" si="720"/>
        <v>01617610629</v>
      </c>
      <c r="E8780" t="s">
        <v>52</v>
      </c>
      <c r="F8780">
        <v>2015</v>
      </c>
      <c r="G8780" t="s">
        <v>1505</v>
      </c>
      <c r="H8780" s="1">
        <v>42219</v>
      </c>
      <c r="I8780" s="1">
        <v>42228</v>
      </c>
      <c r="J8780" s="1">
        <v>42219</v>
      </c>
      <c r="K8780" s="1">
        <v>42279</v>
      </c>
      <c r="L8780" s="7">
        <v>105</v>
      </c>
      <c r="M8780" s="5">
        <v>5</v>
      </c>
      <c r="N8780" s="7">
        <v>525</v>
      </c>
      <c r="O8780">
        <v>105</v>
      </c>
      <c r="P8780">
        <v>5</v>
      </c>
      <c r="Q8780">
        <v>525</v>
      </c>
      <c r="R8780">
        <v>23.1</v>
      </c>
      <c r="V8780">
        <v>0</v>
      </c>
      <c r="W8780">
        <v>0</v>
      </c>
      <c r="X8780">
        <v>0</v>
      </c>
      <c r="Y8780">
        <v>128.1</v>
      </c>
      <c r="Z8780">
        <v>128.1</v>
      </c>
      <c r="AA8780">
        <v>128.1</v>
      </c>
      <c r="AB8780" s="1">
        <v>42382</v>
      </c>
      <c r="AC8780" t="s">
        <v>53</v>
      </c>
      <c r="AD8780" t="s">
        <v>53</v>
      </c>
      <c r="AG8780">
        <v>23.1</v>
      </c>
      <c r="AK8780">
        <v>0</v>
      </c>
      <c r="AU8780" s="6">
        <v>42284</v>
      </c>
      <c r="AV8780" s="6">
        <v>42284</v>
      </c>
      <c r="AW8780" t="s">
        <v>54</v>
      </c>
      <c r="AX8780" t="str">
        <f t="shared" si="719"/>
        <v>FOR</v>
      </c>
      <c r="AY8780" t="s">
        <v>55</v>
      </c>
    </row>
    <row r="8781" spans="1:51">
      <c r="A8781">
        <v>106570</v>
      </c>
      <c r="B8781" t="s">
        <v>1477</v>
      </c>
      <c r="C8781" t="str">
        <f t="shared" si="720"/>
        <v>01617610629</v>
      </c>
      <c r="D8781" t="str">
        <f t="shared" si="720"/>
        <v>01617610629</v>
      </c>
      <c r="E8781" t="s">
        <v>52</v>
      </c>
      <c r="F8781">
        <v>2015</v>
      </c>
      <c r="G8781" t="s">
        <v>1506</v>
      </c>
      <c r="H8781" s="1">
        <v>42219</v>
      </c>
      <c r="I8781" s="1">
        <v>42228</v>
      </c>
      <c r="J8781" s="1">
        <v>42219</v>
      </c>
      <c r="K8781" s="1">
        <v>42279</v>
      </c>
      <c r="L8781" s="7">
        <v>60</v>
      </c>
      <c r="M8781" s="5">
        <v>5</v>
      </c>
      <c r="N8781" s="7">
        <v>300</v>
      </c>
      <c r="O8781">
        <v>60</v>
      </c>
      <c r="P8781">
        <v>5</v>
      </c>
      <c r="Q8781">
        <v>300</v>
      </c>
      <c r="R8781">
        <v>13.2</v>
      </c>
      <c r="V8781">
        <v>0</v>
      </c>
      <c r="W8781">
        <v>0</v>
      </c>
      <c r="X8781">
        <v>0</v>
      </c>
      <c r="Y8781">
        <v>73.2</v>
      </c>
      <c r="Z8781">
        <v>73.2</v>
      </c>
      <c r="AA8781">
        <v>73.2</v>
      </c>
      <c r="AB8781" s="1">
        <v>42382</v>
      </c>
      <c r="AC8781" t="s">
        <v>53</v>
      </c>
      <c r="AD8781" t="s">
        <v>53</v>
      </c>
      <c r="AG8781">
        <v>13.2</v>
      </c>
      <c r="AK8781">
        <v>0</v>
      </c>
      <c r="AU8781" s="6">
        <v>42284</v>
      </c>
      <c r="AV8781" s="6">
        <v>42284</v>
      </c>
      <c r="AW8781" t="s">
        <v>54</v>
      </c>
      <c r="AX8781" t="str">
        <f t="shared" si="719"/>
        <v>FOR</v>
      </c>
      <c r="AY8781" t="s">
        <v>55</v>
      </c>
    </row>
    <row r="8782" spans="1:51">
      <c r="A8782">
        <v>106570</v>
      </c>
      <c r="B8782" t="s">
        <v>1477</v>
      </c>
      <c r="C8782" t="str">
        <f t="shared" si="720"/>
        <v>01617610629</v>
      </c>
      <c r="D8782" t="str">
        <f t="shared" si="720"/>
        <v>01617610629</v>
      </c>
      <c r="E8782" t="s">
        <v>52</v>
      </c>
      <c r="F8782">
        <v>2015</v>
      </c>
      <c r="G8782" t="s">
        <v>1507</v>
      </c>
      <c r="H8782" s="1">
        <v>42248</v>
      </c>
      <c r="I8782" s="1">
        <v>42249</v>
      </c>
      <c r="J8782" s="1">
        <v>42248</v>
      </c>
      <c r="K8782" s="1">
        <v>42308</v>
      </c>
      <c r="L8782" s="7">
        <v>500</v>
      </c>
      <c r="M8782" s="5">
        <v>-24</v>
      </c>
      <c r="N8782" s="7">
        <v>-12000</v>
      </c>
      <c r="O8782">
        <v>500</v>
      </c>
      <c r="P8782">
        <v>-24</v>
      </c>
      <c r="Q8782" s="2">
        <v>-12000</v>
      </c>
      <c r="R8782">
        <v>110</v>
      </c>
      <c r="V8782">
        <v>0</v>
      </c>
      <c r="W8782">
        <v>0</v>
      </c>
      <c r="X8782">
        <v>0</v>
      </c>
      <c r="Y8782">
        <v>610</v>
      </c>
      <c r="Z8782">
        <v>610</v>
      </c>
      <c r="AA8782">
        <v>610</v>
      </c>
      <c r="AB8782" s="1">
        <v>42382</v>
      </c>
      <c r="AC8782" t="s">
        <v>53</v>
      </c>
      <c r="AD8782" t="s">
        <v>53</v>
      </c>
      <c r="AG8782">
        <v>110</v>
      </c>
      <c r="AK8782">
        <v>0</v>
      </c>
      <c r="AU8782" s="6">
        <v>42284</v>
      </c>
      <c r="AV8782" s="6">
        <v>42284</v>
      </c>
      <c r="AW8782" t="s">
        <v>54</v>
      </c>
      <c r="AX8782" t="str">
        <f t="shared" si="719"/>
        <v>FOR</v>
      </c>
      <c r="AY8782" t="s">
        <v>55</v>
      </c>
    </row>
    <row r="8783" spans="1:51">
      <c r="A8783">
        <v>106570</v>
      </c>
      <c r="B8783" t="s">
        <v>1477</v>
      </c>
      <c r="C8783" t="str">
        <f t="shared" si="720"/>
        <v>01617610629</v>
      </c>
      <c r="D8783" t="str">
        <f t="shared" si="720"/>
        <v>01617610629</v>
      </c>
      <c r="E8783" t="s">
        <v>52</v>
      </c>
      <c r="F8783">
        <v>2015</v>
      </c>
      <c r="G8783" t="s">
        <v>1508</v>
      </c>
      <c r="H8783" s="1">
        <v>42248</v>
      </c>
      <c r="I8783" s="1">
        <v>42249</v>
      </c>
      <c r="J8783" s="1">
        <v>42248</v>
      </c>
      <c r="K8783" s="1">
        <v>42308</v>
      </c>
      <c r="L8783" s="7">
        <v>690</v>
      </c>
      <c r="M8783" s="5">
        <v>-24</v>
      </c>
      <c r="N8783" s="7">
        <v>-16560</v>
      </c>
      <c r="O8783">
        <v>690</v>
      </c>
      <c r="P8783">
        <v>-24</v>
      </c>
      <c r="Q8783" s="2">
        <v>-16560</v>
      </c>
      <c r="R8783">
        <v>151.80000000000001</v>
      </c>
      <c r="V8783">
        <v>0</v>
      </c>
      <c r="W8783">
        <v>0</v>
      </c>
      <c r="X8783">
        <v>0</v>
      </c>
      <c r="Y8783">
        <v>841.8</v>
      </c>
      <c r="Z8783">
        <v>841.8</v>
      </c>
      <c r="AA8783">
        <v>841.8</v>
      </c>
      <c r="AB8783" s="1">
        <v>42382</v>
      </c>
      <c r="AC8783" t="s">
        <v>53</v>
      </c>
      <c r="AD8783" t="s">
        <v>53</v>
      </c>
      <c r="AG8783">
        <v>151.80000000000001</v>
      </c>
      <c r="AK8783">
        <v>0</v>
      </c>
      <c r="AU8783" s="6">
        <v>42284</v>
      </c>
      <c r="AV8783" s="6">
        <v>42284</v>
      </c>
      <c r="AW8783" t="s">
        <v>54</v>
      </c>
      <c r="AX8783" t="str">
        <f t="shared" si="719"/>
        <v>FOR</v>
      </c>
      <c r="AY8783" t="s">
        <v>55</v>
      </c>
    </row>
    <row r="8784" spans="1:51">
      <c r="A8784">
        <v>106570</v>
      </c>
      <c r="B8784" t="s">
        <v>1477</v>
      </c>
      <c r="C8784" t="str">
        <f t="shared" si="720"/>
        <v>01617610629</v>
      </c>
      <c r="D8784" t="str">
        <f t="shared" si="720"/>
        <v>01617610629</v>
      </c>
      <c r="E8784" t="s">
        <v>52</v>
      </c>
      <c r="F8784">
        <v>2015</v>
      </c>
      <c r="G8784" t="s">
        <v>1509</v>
      </c>
      <c r="H8784" s="1">
        <v>42248</v>
      </c>
      <c r="I8784" s="1">
        <v>42249</v>
      </c>
      <c r="J8784" s="1">
        <v>42248</v>
      </c>
      <c r="K8784" s="1">
        <v>42308</v>
      </c>
      <c r="L8784" s="7">
        <v>595</v>
      </c>
      <c r="M8784" s="5">
        <v>-24</v>
      </c>
      <c r="N8784" s="7">
        <v>-14280</v>
      </c>
      <c r="O8784">
        <v>595</v>
      </c>
      <c r="P8784">
        <v>-24</v>
      </c>
      <c r="Q8784" s="2">
        <v>-14280</v>
      </c>
      <c r="R8784">
        <v>130.9</v>
      </c>
      <c r="V8784">
        <v>0</v>
      </c>
      <c r="W8784">
        <v>0</v>
      </c>
      <c r="X8784">
        <v>0</v>
      </c>
      <c r="Y8784">
        <v>725.9</v>
      </c>
      <c r="Z8784">
        <v>725.9</v>
      </c>
      <c r="AA8784">
        <v>725.9</v>
      </c>
      <c r="AB8784" s="1">
        <v>42382</v>
      </c>
      <c r="AC8784" t="s">
        <v>53</v>
      </c>
      <c r="AD8784" t="s">
        <v>53</v>
      </c>
      <c r="AG8784">
        <v>130.9</v>
      </c>
      <c r="AK8784">
        <v>0</v>
      </c>
      <c r="AU8784" s="6">
        <v>42284</v>
      </c>
      <c r="AV8784" s="6">
        <v>42284</v>
      </c>
      <c r="AW8784" t="s">
        <v>54</v>
      </c>
      <c r="AX8784" t="str">
        <f t="shared" si="719"/>
        <v>FOR</v>
      </c>
      <c r="AY8784" t="s">
        <v>55</v>
      </c>
    </row>
    <row r="8785" spans="1:51">
      <c r="A8785">
        <v>106570</v>
      </c>
      <c r="B8785" t="s">
        <v>1477</v>
      </c>
      <c r="C8785" t="str">
        <f t="shared" si="720"/>
        <v>01617610629</v>
      </c>
      <c r="D8785" t="str">
        <f t="shared" si="720"/>
        <v>01617610629</v>
      </c>
      <c r="E8785" t="s">
        <v>52</v>
      </c>
      <c r="F8785">
        <v>2015</v>
      </c>
      <c r="G8785" t="s">
        <v>1510</v>
      </c>
      <c r="H8785" s="1">
        <v>42248</v>
      </c>
      <c r="I8785" s="1">
        <v>42249</v>
      </c>
      <c r="J8785" s="1">
        <v>42248</v>
      </c>
      <c r="K8785" s="1">
        <v>42308</v>
      </c>
      <c r="L8785" s="7">
        <v>185</v>
      </c>
      <c r="M8785" s="5">
        <v>-24</v>
      </c>
      <c r="N8785" s="7">
        <v>-4440</v>
      </c>
      <c r="O8785">
        <v>185</v>
      </c>
      <c r="P8785">
        <v>-24</v>
      </c>
      <c r="Q8785" s="2">
        <v>-4440</v>
      </c>
      <c r="R8785">
        <v>40.700000000000003</v>
      </c>
      <c r="V8785">
        <v>0</v>
      </c>
      <c r="W8785">
        <v>0</v>
      </c>
      <c r="X8785">
        <v>0</v>
      </c>
      <c r="Y8785">
        <v>225.7</v>
      </c>
      <c r="Z8785">
        <v>225.7</v>
      </c>
      <c r="AA8785">
        <v>225.7</v>
      </c>
      <c r="AB8785" s="1">
        <v>42382</v>
      </c>
      <c r="AC8785" t="s">
        <v>53</v>
      </c>
      <c r="AD8785" t="s">
        <v>53</v>
      </c>
      <c r="AG8785">
        <v>40.700000000000003</v>
      </c>
      <c r="AK8785">
        <v>0</v>
      </c>
      <c r="AU8785" s="6">
        <v>42284</v>
      </c>
      <c r="AV8785" s="6">
        <v>42284</v>
      </c>
      <c r="AW8785" t="s">
        <v>54</v>
      </c>
      <c r="AX8785" t="str">
        <f t="shared" si="719"/>
        <v>FOR</v>
      </c>
      <c r="AY8785" t="s">
        <v>55</v>
      </c>
    </row>
    <row r="8786" spans="1:51">
      <c r="A8786">
        <v>106570</v>
      </c>
      <c r="B8786" t="s">
        <v>1477</v>
      </c>
      <c r="C8786" t="str">
        <f t="shared" si="720"/>
        <v>01617610629</v>
      </c>
      <c r="D8786" t="str">
        <f t="shared" si="720"/>
        <v>01617610629</v>
      </c>
      <c r="E8786" t="s">
        <v>52</v>
      </c>
      <c r="F8786">
        <v>2015</v>
      </c>
      <c r="G8786" t="s">
        <v>1511</v>
      </c>
      <c r="H8786" s="1">
        <v>42248</v>
      </c>
      <c r="I8786" s="1">
        <v>42249</v>
      </c>
      <c r="J8786" s="1">
        <v>42248</v>
      </c>
      <c r="K8786" s="1">
        <v>42308</v>
      </c>
      <c r="L8786" s="7">
        <v>270</v>
      </c>
      <c r="M8786" s="5">
        <v>-24</v>
      </c>
      <c r="N8786" s="7">
        <v>-6480</v>
      </c>
      <c r="O8786">
        <v>270</v>
      </c>
      <c r="P8786">
        <v>-24</v>
      </c>
      <c r="Q8786" s="2">
        <v>-6480</v>
      </c>
      <c r="R8786">
        <v>59.4</v>
      </c>
      <c r="V8786">
        <v>0</v>
      </c>
      <c r="W8786">
        <v>0</v>
      </c>
      <c r="X8786">
        <v>0</v>
      </c>
      <c r="Y8786">
        <v>329.4</v>
      </c>
      <c r="Z8786">
        <v>329.4</v>
      </c>
      <c r="AA8786">
        <v>329.4</v>
      </c>
      <c r="AB8786" s="1">
        <v>42382</v>
      </c>
      <c r="AC8786" t="s">
        <v>53</v>
      </c>
      <c r="AD8786" t="s">
        <v>53</v>
      </c>
      <c r="AG8786">
        <v>59.4</v>
      </c>
      <c r="AK8786">
        <v>0</v>
      </c>
      <c r="AU8786" s="6">
        <v>42284</v>
      </c>
      <c r="AV8786" s="6">
        <v>42284</v>
      </c>
      <c r="AW8786" t="s">
        <v>54</v>
      </c>
      <c r="AX8786" t="str">
        <f t="shared" si="719"/>
        <v>FOR</v>
      </c>
      <c r="AY8786" t="s">
        <v>55</v>
      </c>
    </row>
    <row r="8787" spans="1:51">
      <c r="A8787">
        <v>106570</v>
      </c>
      <c r="B8787" t="s">
        <v>1477</v>
      </c>
      <c r="C8787" t="str">
        <f t="shared" si="720"/>
        <v>01617610629</v>
      </c>
      <c r="D8787" t="str">
        <f t="shared" si="720"/>
        <v>01617610629</v>
      </c>
      <c r="E8787" t="s">
        <v>52</v>
      </c>
      <c r="F8787">
        <v>2015</v>
      </c>
      <c r="G8787" t="s">
        <v>1512</v>
      </c>
      <c r="H8787" s="1">
        <v>42251</v>
      </c>
      <c r="I8787" s="1">
        <v>42251</v>
      </c>
      <c r="J8787" s="1">
        <v>42251</v>
      </c>
      <c r="K8787" s="1">
        <v>42311</v>
      </c>
      <c r="L8787" s="7">
        <v>720</v>
      </c>
      <c r="M8787" s="5">
        <v>-27</v>
      </c>
      <c r="N8787" s="7">
        <v>-19440</v>
      </c>
      <c r="O8787">
        <v>720</v>
      </c>
      <c r="P8787">
        <v>-27</v>
      </c>
      <c r="Q8787" s="2">
        <v>-19440</v>
      </c>
      <c r="R8787">
        <v>158.4</v>
      </c>
      <c r="V8787">
        <v>0</v>
      </c>
      <c r="W8787">
        <v>0</v>
      </c>
      <c r="X8787">
        <v>0</v>
      </c>
      <c r="Y8787">
        <v>878.4</v>
      </c>
      <c r="Z8787">
        <v>878.4</v>
      </c>
      <c r="AA8787">
        <v>878.4</v>
      </c>
      <c r="AB8787" s="1">
        <v>42382</v>
      </c>
      <c r="AC8787" t="s">
        <v>53</v>
      </c>
      <c r="AD8787" t="s">
        <v>53</v>
      </c>
      <c r="AF8787">
        <v>158.4</v>
      </c>
      <c r="AK8787">
        <v>0</v>
      </c>
      <c r="AU8787" s="6">
        <v>42284</v>
      </c>
      <c r="AV8787" s="6">
        <v>42284</v>
      </c>
      <c r="AW8787" t="s">
        <v>54</v>
      </c>
      <c r="AX8787" t="str">
        <f t="shared" si="719"/>
        <v>FOR</v>
      </c>
      <c r="AY8787" t="s">
        <v>55</v>
      </c>
    </row>
    <row r="8788" spans="1:51">
      <c r="A8788">
        <v>106570</v>
      </c>
      <c r="B8788" t="s">
        <v>1477</v>
      </c>
      <c r="C8788" t="str">
        <f t="shared" si="720"/>
        <v>01617610629</v>
      </c>
      <c r="D8788" t="str">
        <f t="shared" si="720"/>
        <v>01617610629</v>
      </c>
      <c r="E8788" t="s">
        <v>52</v>
      </c>
      <c r="F8788">
        <v>2015</v>
      </c>
      <c r="G8788" t="s">
        <v>1513</v>
      </c>
      <c r="H8788" s="1">
        <v>42251</v>
      </c>
      <c r="I8788" s="1">
        <v>42251</v>
      </c>
      <c r="J8788" s="1">
        <v>42251</v>
      </c>
      <c r="K8788" s="1">
        <v>42311</v>
      </c>
      <c r="L8788" s="7">
        <v>250</v>
      </c>
      <c r="M8788" s="5">
        <v>-27</v>
      </c>
      <c r="N8788" s="7">
        <v>-6750</v>
      </c>
      <c r="O8788">
        <v>250</v>
      </c>
      <c r="P8788">
        <v>-27</v>
      </c>
      <c r="Q8788" s="2">
        <v>-6750</v>
      </c>
      <c r="R8788">
        <v>55</v>
      </c>
      <c r="V8788">
        <v>0</v>
      </c>
      <c r="W8788">
        <v>0</v>
      </c>
      <c r="X8788">
        <v>0</v>
      </c>
      <c r="Y8788">
        <v>305</v>
      </c>
      <c r="Z8788">
        <v>305</v>
      </c>
      <c r="AA8788">
        <v>305</v>
      </c>
      <c r="AB8788" s="1">
        <v>42382</v>
      </c>
      <c r="AC8788" t="s">
        <v>53</v>
      </c>
      <c r="AD8788" t="s">
        <v>53</v>
      </c>
      <c r="AF8788">
        <v>55</v>
      </c>
      <c r="AK8788">
        <v>0</v>
      </c>
      <c r="AU8788" s="6">
        <v>42284</v>
      </c>
      <c r="AV8788" s="6">
        <v>42284</v>
      </c>
      <c r="AW8788" t="s">
        <v>54</v>
      </c>
      <c r="AX8788" t="str">
        <f t="shared" si="719"/>
        <v>FOR</v>
      </c>
      <c r="AY8788" t="s">
        <v>55</v>
      </c>
    </row>
    <row r="8789" spans="1:51">
      <c r="A8789">
        <v>106570</v>
      </c>
      <c r="B8789" t="s">
        <v>1477</v>
      </c>
      <c r="C8789" t="str">
        <f t="shared" si="720"/>
        <v>01617610629</v>
      </c>
      <c r="D8789" t="str">
        <f t="shared" si="720"/>
        <v>01617610629</v>
      </c>
      <c r="E8789" t="s">
        <v>52</v>
      </c>
      <c r="F8789">
        <v>2015</v>
      </c>
      <c r="G8789" t="s">
        <v>1514</v>
      </c>
      <c r="H8789" s="1">
        <v>42251</v>
      </c>
      <c r="I8789" s="1">
        <v>42251</v>
      </c>
      <c r="J8789" s="1">
        <v>42251</v>
      </c>
      <c r="K8789" s="1">
        <v>42311</v>
      </c>
      <c r="L8789" s="7">
        <v>590</v>
      </c>
      <c r="M8789" s="5">
        <v>-27</v>
      </c>
      <c r="N8789" s="7">
        <v>-15930</v>
      </c>
      <c r="O8789">
        <v>590</v>
      </c>
      <c r="P8789">
        <v>-27</v>
      </c>
      <c r="Q8789" s="2">
        <v>-15930</v>
      </c>
      <c r="R8789">
        <v>129.80000000000001</v>
      </c>
      <c r="V8789">
        <v>0</v>
      </c>
      <c r="W8789">
        <v>0</v>
      </c>
      <c r="X8789">
        <v>0</v>
      </c>
      <c r="Y8789">
        <v>719.8</v>
      </c>
      <c r="Z8789">
        <v>719.8</v>
      </c>
      <c r="AA8789">
        <v>719.8</v>
      </c>
      <c r="AB8789" s="1">
        <v>42382</v>
      </c>
      <c r="AC8789" t="s">
        <v>53</v>
      </c>
      <c r="AD8789" t="s">
        <v>53</v>
      </c>
      <c r="AF8789">
        <v>129.80000000000001</v>
      </c>
      <c r="AK8789">
        <v>0</v>
      </c>
      <c r="AU8789" s="6">
        <v>42284</v>
      </c>
      <c r="AV8789" s="6">
        <v>42284</v>
      </c>
      <c r="AW8789" t="s">
        <v>54</v>
      </c>
      <c r="AX8789" t="str">
        <f t="shared" si="719"/>
        <v>FOR</v>
      </c>
      <c r="AY8789" t="s">
        <v>55</v>
      </c>
    </row>
    <row r="8790" spans="1:51">
      <c r="A8790">
        <v>106570</v>
      </c>
      <c r="B8790" t="s">
        <v>1477</v>
      </c>
      <c r="C8790" t="str">
        <f t="shared" si="720"/>
        <v>01617610629</v>
      </c>
      <c r="D8790" t="str">
        <f t="shared" si="720"/>
        <v>01617610629</v>
      </c>
      <c r="E8790" t="s">
        <v>52</v>
      </c>
      <c r="F8790">
        <v>2015</v>
      </c>
      <c r="G8790" t="s">
        <v>1515</v>
      </c>
      <c r="H8790" s="1">
        <v>42251</v>
      </c>
      <c r="I8790" s="1">
        <v>42251</v>
      </c>
      <c r="J8790" s="1">
        <v>42251</v>
      </c>
      <c r="K8790" s="1">
        <v>42311</v>
      </c>
      <c r="L8790" s="7">
        <v>315</v>
      </c>
      <c r="M8790" s="5">
        <v>-27</v>
      </c>
      <c r="N8790" s="7">
        <v>-8505</v>
      </c>
      <c r="O8790">
        <v>315</v>
      </c>
      <c r="P8790">
        <v>-27</v>
      </c>
      <c r="Q8790" s="2">
        <v>-8505</v>
      </c>
      <c r="R8790">
        <v>69.3</v>
      </c>
      <c r="V8790">
        <v>0</v>
      </c>
      <c r="W8790">
        <v>0</v>
      </c>
      <c r="X8790">
        <v>0</v>
      </c>
      <c r="Y8790">
        <v>384.3</v>
      </c>
      <c r="Z8790">
        <v>384.3</v>
      </c>
      <c r="AA8790">
        <v>384.3</v>
      </c>
      <c r="AB8790" s="1">
        <v>42382</v>
      </c>
      <c r="AC8790" t="s">
        <v>53</v>
      </c>
      <c r="AD8790" t="s">
        <v>53</v>
      </c>
      <c r="AF8790">
        <v>69.3</v>
      </c>
      <c r="AK8790">
        <v>0</v>
      </c>
      <c r="AU8790" s="6">
        <v>42284</v>
      </c>
      <c r="AV8790" s="6">
        <v>42284</v>
      </c>
      <c r="AW8790" t="s">
        <v>54</v>
      </c>
      <c r="AX8790" t="str">
        <f t="shared" si="719"/>
        <v>FOR</v>
      </c>
      <c r="AY8790" t="s">
        <v>55</v>
      </c>
    </row>
    <row r="8791" spans="1:51">
      <c r="A8791">
        <v>106570</v>
      </c>
      <c r="B8791" t="s">
        <v>1477</v>
      </c>
      <c r="C8791" t="str">
        <f t="shared" si="720"/>
        <v>01617610629</v>
      </c>
      <c r="D8791" t="str">
        <f t="shared" si="720"/>
        <v>01617610629</v>
      </c>
      <c r="E8791" t="s">
        <v>52</v>
      </c>
      <c r="F8791">
        <v>2015</v>
      </c>
      <c r="G8791" t="s">
        <v>1516</v>
      </c>
      <c r="H8791" s="1">
        <v>42251</v>
      </c>
      <c r="I8791" s="1">
        <v>42251</v>
      </c>
      <c r="J8791" s="1">
        <v>42251</v>
      </c>
      <c r="K8791" s="1">
        <v>42311</v>
      </c>
      <c r="L8791" s="7">
        <v>290</v>
      </c>
      <c r="M8791" s="5">
        <v>-27</v>
      </c>
      <c r="N8791" s="7">
        <v>-7830</v>
      </c>
      <c r="O8791">
        <v>290</v>
      </c>
      <c r="P8791">
        <v>-27</v>
      </c>
      <c r="Q8791" s="2">
        <v>-7830</v>
      </c>
      <c r="R8791">
        <v>63.8</v>
      </c>
      <c r="V8791">
        <v>0</v>
      </c>
      <c r="W8791">
        <v>0</v>
      </c>
      <c r="X8791">
        <v>0</v>
      </c>
      <c r="Y8791">
        <v>353.8</v>
      </c>
      <c r="Z8791">
        <v>353.8</v>
      </c>
      <c r="AA8791">
        <v>353.8</v>
      </c>
      <c r="AB8791" s="1">
        <v>42382</v>
      </c>
      <c r="AC8791" t="s">
        <v>53</v>
      </c>
      <c r="AD8791" t="s">
        <v>53</v>
      </c>
      <c r="AF8791">
        <v>63.8</v>
      </c>
      <c r="AK8791">
        <v>0</v>
      </c>
      <c r="AU8791" s="6">
        <v>42284</v>
      </c>
      <c r="AV8791" s="6">
        <v>42284</v>
      </c>
      <c r="AW8791" t="s">
        <v>54</v>
      </c>
      <c r="AX8791" t="str">
        <f t="shared" si="719"/>
        <v>FOR</v>
      </c>
      <c r="AY8791" t="s">
        <v>55</v>
      </c>
    </row>
    <row r="8792" spans="1:51">
      <c r="A8792">
        <v>106570</v>
      </c>
      <c r="B8792" t="s">
        <v>1477</v>
      </c>
      <c r="C8792" t="str">
        <f t="shared" si="720"/>
        <v>01617610629</v>
      </c>
      <c r="D8792" t="str">
        <f t="shared" si="720"/>
        <v>01617610629</v>
      </c>
      <c r="E8792" t="s">
        <v>52</v>
      </c>
      <c r="F8792">
        <v>2015</v>
      </c>
      <c r="G8792" t="s">
        <v>1517</v>
      </c>
      <c r="H8792" s="1">
        <v>42251</v>
      </c>
      <c r="I8792" s="1">
        <v>42251</v>
      </c>
      <c r="J8792" s="1">
        <v>42251</v>
      </c>
      <c r="K8792" s="1">
        <v>42311</v>
      </c>
      <c r="L8792" s="7">
        <v>18</v>
      </c>
      <c r="M8792" s="5">
        <v>-27</v>
      </c>
      <c r="N8792" s="7">
        <v>-486</v>
      </c>
      <c r="O8792">
        <v>18</v>
      </c>
      <c r="P8792">
        <v>-27</v>
      </c>
      <c r="Q8792">
        <v>-486</v>
      </c>
      <c r="R8792">
        <v>3.96</v>
      </c>
      <c r="V8792">
        <v>0</v>
      </c>
      <c r="W8792">
        <v>0</v>
      </c>
      <c r="X8792">
        <v>0</v>
      </c>
      <c r="Y8792">
        <v>21.96</v>
      </c>
      <c r="Z8792">
        <v>21.96</v>
      </c>
      <c r="AA8792">
        <v>21.96</v>
      </c>
      <c r="AB8792" s="1">
        <v>42382</v>
      </c>
      <c r="AC8792" t="s">
        <v>53</v>
      </c>
      <c r="AD8792" t="s">
        <v>53</v>
      </c>
      <c r="AF8792">
        <v>3.96</v>
      </c>
      <c r="AK8792">
        <v>0</v>
      </c>
      <c r="AU8792" s="6">
        <v>42284</v>
      </c>
      <c r="AV8792" s="6">
        <v>42284</v>
      </c>
      <c r="AW8792" t="s">
        <v>54</v>
      </c>
      <c r="AX8792" t="str">
        <f t="shared" si="719"/>
        <v>FOR</v>
      </c>
      <c r="AY8792" t="s">
        <v>55</v>
      </c>
    </row>
    <row r="8793" spans="1:51">
      <c r="A8793">
        <v>106570</v>
      </c>
      <c r="B8793" t="s">
        <v>1477</v>
      </c>
      <c r="C8793" t="str">
        <f t="shared" si="720"/>
        <v>01617610629</v>
      </c>
      <c r="D8793" t="str">
        <f t="shared" si="720"/>
        <v>01617610629</v>
      </c>
      <c r="E8793" t="s">
        <v>52</v>
      </c>
      <c r="F8793">
        <v>2015</v>
      </c>
      <c r="G8793" t="s">
        <v>1518</v>
      </c>
      <c r="H8793" s="1">
        <v>42251</v>
      </c>
      <c r="I8793" s="1">
        <v>42251</v>
      </c>
      <c r="J8793" s="1">
        <v>42251</v>
      </c>
      <c r="K8793" s="1">
        <v>42311</v>
      </c>
      <c r="L8793" s="7">
        <v>450</v>
      </c>
      <c r="M8793" s="5">
        <v>-27</v>
      </c>
      <c r="N8793" s="7">
        <v>-12150</v>
      </c>
      <c r="O8793">
        <v>450</v>
      </c>
      <c r="P8793">
        <v>-27</v>
      </c>
      <c r="Q8793" s="2">
        <v>-12150</v>
      </c>
      <c r="R8793">
        <v>99</v>
      </c>
      <c r="V8793">
        <v>0</v>
      </c>
      <c r="W8793">
        <v>0</v>
      </c>
      <c r="X8793">
        <v>0</v>
      </c>
      <c r="Y8793">
        <v>549</v>
      </c>
      <c r="Z8793">
        <v>549</v>
      </c>
      <c r="AA8793">
        <v>549</v>
      </c>
      <c r="AB8793" s="1">
        <v>42382</v>
      </c>
      <c r="AC8793" t="s">
        <v>53</v>
      </c>
      <c r="AD8793" t="s">
        <v>53</v>
      </c>
      <c r="AF8793">
        <v>99</v>
      </c>
      <c r="AK8793">
        <v>0</v>
      </c>
      <c r="AU8793" s="6">
        <v>42284</v>
      </c>
      <c r="AV8793" s="6">
        <v>42284</v>
      </c>
      <c r="AW8793" t="s">
        <v>54</v>
      </c>
      <c r="AX8793" t="str">
        <f t="shared" si="719"/>
        <v>FOR</v>
      </c>
      <c r="AY8793" t="s">
        <v>55</v>
      </c>
    </row>
    <row r="8794" spans="1:51">
      <c r="A8794">
        <v>106570</v>
      </c>
      <c r="B8794" t="s">
        <v>1477</v>
      </c>
      <c r="C8794" t="str">
        <f t="shared" si="720"/>
        <v>01617610629</v>
      </c>
      <c r="D8794" t="str">
        <f t="shared" si="720"/>
        <v>01617610629</v>
      </c>
      <c r="E8794" t="s">
        <v>52</v>
      </c>
      <c r="F8794">
        <v>2015</v>
      </c>
      <c r="G8794" t="s">
        <v>1519</v>
      </c>
      <c r="H8794" s="1">
        <v>42251</v>
      </c>
      <c r="I8794" s="1">
        <v>42251</v>
      </c>
      <c r="J8794" s="1">
        <v>42251</v>
      </c>
      <c r="K8794" s="1">
        <v>42311</v>
      </c>
      <c r="L8794" s="7">
        <v>320</v>
      </c>
      <c r="M8794" s="5">
        <v>-27</v>
      </c>
      <c r="N8794" s="7">
        <v>-8640</v>
      </c>
      <c r="O8794">
        <v>320</v>
      </c>
      <c r="P8794">
        <v>-27</v>
      </c>
      <c r="Q8794" s="2">
        <v>-8640</v>
      </c>
      <c r="R8794">
        <v>70.400000000000006</v>
      </c>
      <c r="V8794">
        <v>0</v>
      </c>
      <c r="W8794">
        <v>0</v>
      </c>
      <c r="X8794">
        <v>0</v>
      </c>
      <c r="Y8794">
        <v>390.4</v>
      </c>
      <c r="Z8794">
        <v>390.4</v>
      </c>
      <c r="AA8794">
        <v>390.4</v>
      </c>
      <c r="AB8794" s="1">
        <v>42382</v>
      </c>
      <c r="AC8794" t="s">
        <v>53</v>
      </c>
      <c r="AD8794" t="s">
        <v>53</v>
      </c>
      <c r="AF8794">
        <v>70.400000000000006</v>
      </c>
      <c r="AK8794">
        <v>0</v>
      </c>
      <c r="AU8794" s="6">
        <v>42284</v>
      </c>
      <c r="AV8794" s="6">
        <v>42284</v>
      </c>
      <c r="AW8794" t="s">
        <v>54</v>
      </c>
      <c r="AX8794" t="str">
        <f t="shared" si="719"/>
        <v>FOR</v>
      </c>
      <c r="AY8794" t="s">
        <v>55</v>
      </c>
    </row>
    <row r="8795" spans="1:51">
      <c r="A8795">
        <v>106570</v>
      </c>
      <c r="B8795" t="s">
        <v>1477</v>
      </c>
      <c r="C8795" t="str">
        <f t="shared" si="720"/>
        <v>01617610629</v>
      </c>
      <c r="D8795" t="str">
        <f t="shared" si="720"/>
        <v>01617610629</v>
      </c>
      <c r="E8795" t="s">
        <v>52</v>
      </c>
      <c r="F8795">
        <v>2015</v>
      </c>
      <c r="G8795" t="s">
        <v>1520</v>
      </c>
      <c r="H8795" s="1">
        <v>42251</v>
      </c>
      <c r="I8795" s="1">
        <v>42251</v>
      </c>
      <c r="J8795" s="1">
        <v>42251</v>
      </c>
      <c r="K8795" s="1">
        <v>42311</v>
      </c>
      <c r="L8795" s="7">
        <v>150</v>
      </c>
      <c r="M8795" s="5">
        <v>-27</v>
      </c>
      <c r="N8795" s="7">
        <v>-4050</v>
      </c>
      <c r="O8795">
        <v>150</v>
      </c>
      <c r="P8795">
        <v>-27</v>
      </c>
      <c r="Q8795" s="2">
        <v>-4050</v>
      </c>
      <c r="R8795">
        <v>33</v>
      </c>
      <c r="V8795">
        <v>0</v>
      </c>
      <c r="W8795">
        <v>0</v>
      </c>
      <c r="X8795">
        <v>0</v>
      </c>
      <c r="Y8795">
        <v>183</v>
      </c>
      <c r="Z8795">
        <v>183</v>
      </c>
      <c r="AA8795">
        <v>183</v>
      </c>
      <c r="AB8795" s="1">
        <v>42382</v>
      </c>
      <c r="AC8795" t="s">
        <v>53</v>
      </c>
      <c r="AD8795" t="s">
        <v>53</v>
      </c>
      <c r="AF8795">
        <v>33</v>
      </c>
      <c r="AK8795">
        <v>0</v>
      </c>
      <c r="AU8795" s="6">
        <v>42284</v>
      </c>
      <c r="AV8795" s="6">
        <v>42284</v>
      </c>
      <c r="AW8795" t="s">
        <v>54</v>
      </c>
      <c r="AX8795" t="str">
        <f t="shared" si="719"/>
        <v>FOR</v>
      </c>
      <c r="AY8795" t="s">
        <v>55</v>
      </c>
    </row>
    <row r="8796" spans="1:51">
      <c r="A8796">
        <v>106572</v>
      </c>
      <c r="B8796" t="s">
        <v>1521</v>
      </c>
      <c r="C8796" t="str">
        <f t="shared" ref="C8796:D8800" si="721">"07192641210"</f>
        <v>07192641210</v>
      </c>
      <c r="D8796" t="str">
        <f t="shared" si="721"/>
        <v>07192641210</v>
      </c>
      <c r="E8796" t="s">
        <v>52</v>
      </c>
      <c r="F8796">
        <v>2015</v>
      </c>
      <c r="G8796" t="s">
        <v>1522</v>
      </c>
      <c r="H8796" s="1">
        <v>42118</v>
      </c>
      <c r="I8796" s="1">
        <v>42129</v>
      </c>
      <c r="J8796" s="1">
        <v>42124</v>
      </c>
      <c r="K8796" s="1">
        <v>42184</v>
      </c>
      <c r="L8796" s="7">
        <v>365</v>
      </c>
      <c r="M8796" s="5">
        <v>156</v>
      </c>
      <c r="N8796" s="7">
        <v>56940</v>
      </c>
      <c r="O8796">
        <v>365</v>
      </c>
      <c r="P8796">
        <v>156</v>
      </c>
      <c r="Q8796" s="2">
        <v>56940</v>
      </c>
      <c r="R8796">
        <v>80.3</v>
      </c>
      <c r="V8796">
        <v>0</v>
      </c>
      <c r="W8796">
        <v>0</v>
      </c>
      <c r="X8796">
        <v>0</v>
      </c>
      <c r="Y8796">
        <v>445.3</v>
      </c>
      <c r="Z8796">
        <v>445.3</v>
      </c>
      <c r="AA8796">
        <v>445.3</v>
      </c>
      <c r="AB8796" s="1">
        <v>42382</v>
      </c>
      <c r="AC8796" t="s">
        <v>53</v>
      </c>
      <c r="AD8796" t="s">
        <v>53</v>
      </c>
      <c r="AK8796">
        <v>80.3</v>
      </c>
      <c r="AU8796" s="6">
        <v>42340</v>
      </c>
      <c r="AV8796" s="6">
        <v>42340</v>
      </c>
      <c r="AW8796" t="s">
        <v>54</v>
      </c>
      <c r="AX8796" t="str">
        <f t="shared" si="719"/>
        <v>FOR</v>
      </c>
      <c r="AY8796" t="s">
        <v>55</v>
      </c>
    </row>
    <row r="8797" spans="1:51">
      <c r="A8797">
        <v>106572</v>
      </c>
      <c r="B8797" t="s">
        <v>1521</v>
      </c>
      <c r="C8797" t="str">
        <f t="shared" si="721"/>
        <v>07192641210</v>
      </c>
      <c r="D8797" t="str">
        <f t="shared" si="721"/>
        <v>07192641210</v>
      </c>
      <c r="E8797" t="s">
        <v>52</v>
      </c>
      <c r="F8797">
        <v>2015</v>
      </c>
      <c r="G8797" t="s">
        <v>1523</v>
      </c>
      <c r="H8797" s="1">
        <v>42118</v>
      </c>
      <c r="I8797" s="1">
        <v>42129</v>
      </c>
      <c r="J8797" s="1">
        <v>42124</v>
      </c>
      <c r="K8797" s="1">
        <v>42184</v>
      </c>
      <c r="L8797" s="7">
        <v>530.70000000000005</v>
      </c>
      <c r="M8797" s="5">
        <v>156</v>
      </c>
      <c r="N8797" s="7">
        <v>82789.2</v>
      </c>
      <c r="O8797">
        <v>530.70000000000005</v>
      </c>
      <c r="P8797">
        <v>156</v>
      </c>
      <c r="Q8797" s="2">
        <v>82789.2</v>
      </c>
      <c r="R8797">
        <v>116.75</v>
      </c>
      <c r="V8797">
        <v>0</v>
      </c>
      <c r="W8797">
        <v>0</v>
      </c>
      <c r="X8797">
        <v>0</v>
      </c>
      <c r="Y8797">
        <v>647.45000000000005</v>
      </c>
      <c r="Z8797">
        <v>647.45000000000005</v>
      </c>
      <c r="AA8797">
        <v>647.45000000000005</v>
      </c>
      <c r="AB8797" s="1">
        <v>42382</v>
      </c>
      <c r="AC8797" t="s">
        <v>53</v>
      </c>
      <c r="AD8797" t="s">
        <v>53</v>
      </c>
      <c r="AK8797">
        <v>116.75</v>
      </c>
      <c r="AU8797" s="6">
        <v>42340</v>
      </c>
      <c r="AV8797" s="6">
        <v>42340</v>
      </c>
      <c r="AW8797" t="s">
        <v>54</v>
      </c>
      <c r="AX8797" t="str">
        <f t="shared" si="719"/>
        <v>FOR</v>
      </c>
      <c r="AY8797" t="s">
        <v>55</v>
      </c>
    </row>
    <row r="8798" spans="1:51">
      <c r="A8798">
        <v>106572</v>
      </c>
      <c r="B8798" t="s">
        <v>1521</v>
      </c>
      <c r="C8798" t="str">
        <f t="shared" si="721"/>
        <v>07192641210</v>
      </c>
      <c r="D8798" t="str">
        <f t="shared" si="721"/>
        <v>07192641210</v>
      </c>
      <c r="E8798" t="s">
        <v>52</v>
      </c>
      <c r="F8798">
        <v>2015</v>
      </c>
      <c r="G8798" t="s">
        <v>1524</v>
      </c>
      <c r="H8798" s="1">
        <v>42155</v>
      </c>
      <c r="I8798" s="1">
        <v>42163</v>
      </c>
      <c r="J8798" s="1">
        <v>42160</v>
      </c>
      <c r="K8798" s="1">
        <v>42220</v>
      </c>
      <c r="L8798" s="7">
        <v>471</v>
      </c>
      <c r="M8798" s="5">
        <v>120</v>
      </c>
      <c r="N8798" s="7">
        <v>56520</v>
      </c>
      <c r="O8798">
        <v>471</v>
      </c>
      <c r="P8798">
        <v>120</v>
      </c>
      <c r="Q8798" s="2">
        <v>56520</v>
      </c>
      <c r="R8798">
        <v>103.62</v>
      </c>
      <c r="V8798">
        <v>0</v>
      </c>
      <c r="W8798">
        <v>0</v>
      </c>
      <c r="X8798">
        <v>0</v>
      </c>
      <c r="Y8798">
        <v>574.62</v>
      </c>
      <c r="Z8798">
        <v>574.62</v>
      </c>
      <c r="AA8798">
        <v>574.62</v>
      </c>
      <c r="AB8798" s="1">
        <v>42382</v>
      </c>
      <c r="AC8798" t="s">
        <v>53</v>
      </c>
      <c r="AD8798" t="s">
        <v>53</v>
      </c>
      <c r="AI8798">
        <v>103.62</v>
      </c>
      <c r="AK8798">
        <v>0</v>
      </c>
      <c r="AU8798" s="6">
        <v>42340</v>
      </c>
      <c r="AV8798" s="6">
        <v>42340</v>
      </c>
      <c r="AW8798" t="s">
        <v>54</v>
      </c>
      <c r="AX8798" t="str">
        <f t="shared" si="719"/>
        <v>FOR</v>
      </c>
      <c r="AY8798" t="s">
        <v>55</v>
      </c>
    </row>
    <row r="8799" spans="1:51">
      <c r="A8799">
        <v>106572</v>
      </c>
      <c r="B8799" t="s">
        <v>1521</v>
      </c>
      <c r="C8799" t="str">
        <f t="shared" si="721"/>
        <v>07192641210</v>
      </c>
      <c r="D8799" t="str">
        <f t="shared" si="721"/>
        <v>07192641210</v>
      </c>
      <c r="E8799" t="s">
        <v>52</v>
      </c>
      <c r="F8799">
        <v>2015</v>
      </c>
      <c r="G8799" t="s">
        <v>1525</v>
      </c>
      <c r="H8799" s="1">
        <v>42185</v>
      </c>
      <c r="I8799" s="1">
        <v>42198</v>
      </c>
      <c r="J8799" s="1">
        <v>42198</v>
      </c>
      <c r="K8799" s="1">
        <v>42258</v>
      </c>
      <c r="L8799" s="7">
        <v>471</v>
      </c>
      <c r="M8799" s="5">
        <v>82</v>
      </c>
      <c r="N8799" s="7">
        <v>38622</v>
      </c>
      <c r="O8799">
        <v>471</v>
      </c>
      <c r="P8799">
        <v>82</v>
      </c>
      <c r="Q8799" s="2">
        <v>38622</v>
      </c>
      <c r="R8799">
        <v>103.62</v>
      </c>
      <c r="V8799">
        <v>0</v>
      </c>
      <c r="W8799">
        <v>0</v>
      </c>
      <c r="X8799">
        <v>0</v>
      </c>
      <c r="Y8799">
        <v>574.62</v>
      </c>
      <c r="Z8799">
        <v>574.62</v>
      </c>
      <c r="AA8799">
        <v>574.62</v>
      </c>
      <c r="AB8799" s="1">
        <v>42382</v>
      </c>
      <c r="AC8799" t="s">
        <v>53</v>
      </c>
      <c r="AD8799" t="s">
        <v>53</v>
      </c>
      <c r="AH8799">
        <v>103.62</v>
      </c>
      <c r="AK8799">
        <v>0</v>
      </c>
      <c r="AU8799" s="6">
        <v>42340</v>
      </c>
      <c r="AV8799" s="6">
        <v>42340</v>
      </c>
      <c r="AW8799" t="s">
        <v>54</v>
      </c>
      <c r="AX8799" t="str">
        <f t="shared" si="719"/>
        <v>FOR</v>
      </c>
      <c r="AY8799" t="s">
        <v>55</v>
      </c>
    </row>
    <row r="8800" spans="1:51">
      <c r="A8800">
        <v>106572</v>
      </c>
      <c r="B8800" t="s">
        <v>1521</v>
      </c>
      <c r="C8800" t="str">
        <f t="shared" si="721"/>
        <v>07192641210</v>
      </c>
      <c r="D8800" t="str">
        <f t="shared" si="721"/>
        <v>07192641210</v>
      </c>
      <c r="E8800" t="s">
        <v>52</v>
      </c>
      <c r="F8800">
        <v>2015</v>
      </c>
      <c r="G8800" t="s">
        <v>1526</v>
      </c>
      <c r="H8800" s="1">
        <v>42185</v>
      </c>
      <c r="I8800" s="1">
        <v>42198</v>
      </c>
      <c r="J8800" s="1">
        <v>42198</v>
      </c>
      <c r="K8800" s="1">
        <v>42258</v>
      </c>
      <c r="L8800" s="7">
        <v>365</v>
      </c>
      <c r="M8800" s="5">
        <v>82</v>
      </c>
      <c r="N8800" s="7">
        <v>29930</v>
      </c>
      <c r="O8800">
        <v>365</v>
      </c>
      <c r="P8800">
        <v>82</v>
      </c>
      <c r="Q8800" s="2">
        <v>29930</v>
      </c>
      <c r="R8800">
        <v>80.3</v>
      </c>
      <c r="V8800">
        <v>0</v>
      </c>
      <c r="W8800">
        <v>0</v>
      </c>
      <c r="X8800">
        <v>0</v>
      </c>
      <c r="Y8800">
        <v>445.3</v>
      </c>
      <c r="Z8800">
        <v>445.3</v>
      </c>
      <c r="AA8800">
        <v>445.3</v>
      </c>
      <c r="AB8800" s="1">
        <v>42382</v>
      </c>
      <c r="AC8800" t="s">
        <v>53</v>
      </c>
      <c r="AD8800" t="s">
        <v>53</v>
      </c>
      <c r="AH8800">
        <v>80.3</v>
      </c>
      <c r="AK8800">
        <v>0</v>
      </c>
      <c r="AU8800" s="6">
        <v>42340</v>
      </c>
      <c r="AV8800" s="6">
        <v>42340</v>
      </c>
      <c r="AW8800" t="s">
        <v>54</v>
      </c>
      <c r="AX8800" t="str">
        <f t="shared" si="719"/>
        <v>FOR</v>
      </c>
      <c r="AY8800" t="s">
        <v>55</v>
      </c>
    </row>
    <row r="8801" spans="1:51">
      <c r="A8801">
        <v>106574</v>
      </c>
      <c r="B8801" t="s">
        <v>1527</v>
      </c>
      <c r="C8801" t="str">
        <f>"01018180610"</f>
        <v>01018180610</v>
      </c>
      <c r="D8801" t="str">
        <f>"01018180610"</f>
        <v>01018180610</v>
      </c>
      <c r="E8801" t="s">
        <v>52</v>
      </c>
      <c r="F8801">
        <v>2015</v>
      </c>
      <c r="G8801" t="s">
        <v>1528</v>
      </c>
      <c r="H8801" s="1">
        <v>42155</v>
      </c>
      <c r="I8801" s="1">
        <v>42172</v>
      </c>
      <c r="J8801" s="1">
        <v>42171</v>
      </c>
      <c r="K8801" s="1">
        <v>42231</v>
      </c>
      <c r="L8801" s="7">
        <v>14134.71</v>
      </c>
      <c r="M8801" s="5">
        <v>74</v>
      </c>
      <c r="N8801" s="7">
        <v>1045968.54</v>
      </c>
      <c r="O8801" s="2">
        <v>14134.71</v>
      </c>
      <c r="P8801">
        <v>74</v>
      </c>
      <c r="Q8801" s="2">
        <v>1045968.54</v>
      </c>
      <c r="R8801">
        <v>0</v>
      </c>
      <c r="V8801">
        <v>0</v>
      </c>
      <c r="W8801">
        <v>0</v>
      </c>
      <c r="X8801">
        <v>0</v>
      </c>
      <c r="Y8801" s="2">
        <v>17244.349999999999</v>
      </c>
      <c r="Z8801" s="2">
        <v>17244.349999999999</v>
      </c>
      <c r="AA8801" s="2">
        <v>17244.349999999999</v>
      </c>
      <c r="AB8801" s="1">
        <v>42382</v>
      </c>
      <c r="AC8801" t="s">
        <v>53</v>
      </c>
      <c r="AD8801" t="s">
        <v>53</v>
      </c>
      <c r="AK8801">
        <v>0</v>
      </c>
      <c r="AU8801" s="6">
        <v>42305</v>
      </c>
      <c r="AV8801" s="6">
        <v>42305</v>
      </c>
      <c r="AW8801" t="s">
        <v>54</v>
      </c>
      <c r="AX8801" t="str">
        <f t="shared" si="719"/>
        <v>FOR</v>
      </c>
      <c r="AY8801" t="s">
        <v>55</v>
      </c>
    </row>
    <row r="8802" spans="1:51">
      <c r="A8802">
        <v>106574</v>
      </c>
      <c r="B8802" t="s">
        <v>1527</v>
      </c>
      <c r="C8802" t="str">
        <f>"01018180610"</f>
        <v>01018180610</v>
      </c>
      <c r="D8802" t="str">
        <f>"01018180610"</f>
        <v>01018180610</v>
      </c>
      <c r="E8802" t="s">
        <v>52</v>
      </c>
      <c r="F8802">
        <v>2015</v>
      </c>
      <c r="G8802" t="s">
        <v>1529</v>
      </c>
      <c r="H8802" s="1">
        <v>42206</v>
      </c>
      <c r="I8802" s="1">
        <v>42233</v>
      </c>
      <c r="J8802" s="1">
        <v>42212</v>
      </c>
      <c r="K8802" s="1">
        <v>42272</v>
      </c>
      <c r="L8802" s="7">
        <v>1139.7</v>
      </c>
      <c r="M8802" s="5">
        <v>33</v>
      </c>
      <c r="N8802" s="7">
        <v>37610.1</v>
      </c>
      <c r="O8802" s="2">
        <v>1139.7</v>
      </c>
      <c r="P8802">
        <v>33</v>
      </c>
      <c r="Q8802" s="2">
        <v>37610.1</v>
      </c>
      <c r="R8802">
        <v>0</v>
      </c>
      <c r="V8802">
        <v>0</v>
      </c>
      <c r="W8802">
        <v>0</v>
      </c>
      <c r="X8802">
        <v>0</v>
      </c>
      <c r="Y8802" s="2">
        <v>1390.43</v>
      </c>
      <c r="Z8802" s="2">
        <v>1390.43</v>
      </c>
      <c r="AA8802" s="2">
        <v>1390.43</v>
      </c>
      <c r="AB8802" s="1">
        <v>42382</v>
      </c>
      <c r="AC8802" t="s">
        <v>53</v>
      </c>
      <c r="AD8802" t="s">
        <v>53</v>
      </c>
      <c r="AK8802">
        <v>0</v>
      </c>
      <c r="AU8802" s="6">
        <v>42305</v>
      </c>
      <c r="AV8802" s="6">
        <v>42305</v>
      </c>
      <c r="AW8802" t="s">
        <v>54</v>
      </c>
      <c r="AX8802" t="str">
        <f t="shared" si="719"/>
        <v>FOR</v>
      </c>
      <c r="AY8802" t="s">
        <v>55</v>
      </c>
    </row>
    <row r="8803" spans="1:51">
      <c r="A8803">
        <v>106575</v>
      </c>
      <c r="B8803" t="s">
        <v>1530</v>
      </c>
      <c r="C8803" t="str">
        <f>"01018460624"</f>
        <v>01018460624</v>
      </c>
      <c r="D8803" t="str">
        <f>"PSQCLD54C07A783D"</f>
        <v>PSQCLD54C07A783D</v>
      </c>
      <c r="E8803" t="s">
        <v>52</v>
      </c>
      <c r="F8803">
        <v>2015</v>
      </c>
      <c r="G8803">
        <v>300</v>
      </c>
      <c r="H8803" s="1">
        <v>42277</v>
      </c>
      <c r="I8803" s="1">
        <v>42286</v>
      </c>
      <c r="J8803" s="1">
        <v>42286</v>
      </c>
      <c r="K8803" s="1">
        <v>42346</v>
      </c>
      <c r="L8803" s="7">
        <v>7541</v>
      </c>
      <c r="M8803" s="5">
        <v>13</v>
      </c>
      <c r="N8803" s="7">
        <v>98033</v>
      </c>
      <c r="O8803" s="2">
        <v>7541</v>
      </c>
      <c r="P8803">
        <v>13</v>
      </c>
      <c r="Q8803" s="2">
        <v>98033</v>
      </c>
      <c r="R8803" s="2">
        <v>1659.02</v>
      </c>
      <c r="V8803">
        <v>0</v>
      </c>
      <c r="W8803" s="2">
        <v>9200.02</v>
      </c>
      <c r="X8803">
        <v>0</v>
      </c>
      <c r="Y8803" s="2">
        <v>9200.02</v>
      </c>
      <c r="Z8803" s="2">
        <v>9200.02</v>
      </c>
      <c r="AA8803" s="2">
        <v>9200.02</v>
      </c>
      <c r="AB8803" s="1">
        <v>42382</v>
      </c>
      <c r="AC8803" t="s">
        <v>53</v>
      </c>
      <c r="AD8803" t="s">
        <v>53</v>
      </c>
      <c r="AE8803" s="2">
        <v>1659.02</v>
      </c>
      <c r="AK8803">
        <v>0</v>
      </c>
      <c r="AU8803" s="6">
        <v>42359</v>
      </c>
      <c r="AV8803" s="6">
        <v>42359</v>
      </c>
      <c r="AW8803" t="s">
        <v>54</v>
      </c>
      <c r="AX8803" t="str">
        <f t="shared" si="719"/>
        <v>FOR</v>
      </c>
      <c r="AY8803" t="s">
        <v>55</v>
      </c>
    </row>
    <row r="8804" spans="1:51">
      <c r="A8804">
        <v>106575</v>
      </c>
      <c r="B8804" t="s">
        <v>1530</v>
      </c>
      <c r="C8804" t="str">
        <f>"01018460624"</f>
        <v>01018460624</v>
      </c>
      <c r="D8804" t="str">
        <f>"PSQCLD54C07A783D"</f>
        <v>PSQCLD54C07A783D</v>
      </c>
      <c r="E8804" t="s">
        <v>52</v>
      </c>
      <c r="F8804">
        <v>2015</v>
      </c>
      <c r="G8804">
        <v>360</v>
      </c>
      <c r="H8804" s="1">
        <v>42332</v>
      </c>
      <c r="I8804" s="1">
        <v>42334</v>
      </c>
      <c r="J8804" s="1">
        <v>42333</v>
      </c>
      <c r="K8804" s="1">
        <v>42393</v>
      </c>
      <c r="L8804" s="7">
        <v>630</v>
      </c>
      <c r="M8804" s="5">
        <v>-34</v>
      </c>
      <c r="N8804" s="7">
        <v>-21420</v>
      </c>
      <c r="O8804">
        <v>630</v>
      </c>
      <c r="P8804">
        <v>-34</v>
      </c>
      <c r="Q8804" s="2">
        <v>-21420</v>
      </c>
      <c r="R8804">
        <v>138.6</v>
      </c>
      <c r="V8804">
        <v>768.6</v>
      </c>
      <c r="W8804">
        <v>768.6</v>
      </c>
      <c r="X8804">
        <v>768.6</v>
      </c>
      <c r="Y8804">
        <v>768.6</v>
      </c>
      <c r="Z8804">
        <v>768.6</v>
      </c>
      <c r="AA8804">
        <v>768.6</v>
      </c>
      <c r="AB8804" s="1">
        <v>42382</v>
      </c>
      <c r="AC8804" t="s">
        <v>53</v>
      </c>
      <c r="AD8804" t="s">
        <v>53</v>
      </c>
      <c r="AK8804">
        <v>0</v>
      </c>
      <c r="AM8804">
        <v>138.6</v>
      </c>
      <c r="AU8804" s="6">
        <v>42359</v>
      </c>
      <c r="AV8804" s="6">
        <v>42359</v>
      </c>
      <c r="AW8804" t="s">
        <v>54</v>
      </c>
      <c r="AX8804" t="str">
        <f t="shared" si="719"/>
        <v>FOR</v>
      </c>
      <c r="AY8804" t="s">
        <v>55</v>
      </c>
    </row>
    <row r="8805" spans="1:51" hidden="1">
      <c r="A8805">
        <v>106583</v>
      </c>
      <c r="B8805" t="s">
        <v>1531</v>
      </c>
      <c r="C8805" t="str">
        <f>"08959351001"</f>
        <v>08959351001</v>
      </c>
      <c r="D8805" t="str">
        <f>"08959351001"</f>
        <v>08959351001</v>
      </c>
      <c r="E8805" t="s">
        <v>52</v>
      </c>
      <c r="F8805">
        <v>2015</v>
      </c>
      <c r="G8805" t="s">
        <v>1532</v>
      </c>
      <c r="H8805" s="1">
        <v>42115</v>
      </c>
      <c r="I8805" s="1">
        <v>42138</v>
      </c>
      <c r="J8805" s="1">
        <v>42132</v>
      </c>
      <c r="K8805" s="1">
        <v>42192</v>
      </c>
      <c r="N8805" s="5"/>
      <c r="O8805" s="2">
        <v>1872.49</v>
      </c>
      <c r="P8805">
        <v>-26</v>
      </c>
      <c r="Q8805" s="2">
        <v>-48684.74</v>
      </c>
      <c r="R8805">
        <v>0</v>
      </c>
      <c r="V8805">
        <v>0</v>
      </c>
      <c r="W8805">
        <v>0</v>
      </c>
      <c r="X8805">
        <v>0</v>
      </c>
      <c r="Y8805" s="2">
        <v>2280.92</v>
      </c>
      <c r="Z8805" s="2">
        <v>2280.92</v>
      </c>
      <c r="AA8805" s="2">
        <v>2280.92</v>
      </c>
      <c r="AB8805" s="1">
        <v>42382</v>
      </c>
      <c r="AC8805" t="s">
        <v>53</v>
      </c>
      <c r="AD8805" t="s">
        <v>53</v>
      </c>
      <c r="AK8805">
        <v>0</v>
      </c>
      <c r="AU8805" s="6">
        <v>42166</v>
      </c>
      <c r="AV8805" s="6">
        <v>42166</v>
      </c>
      <c r="AW8805" t="s">
        <v>54</v>
      </c>
      <c r="AX8805" t="str">
        <f t="shared" si="719"/>
        <v>FOR</v>
      </c>
      <c r="AY8805" t="s">
        <v>55</v>
      </c>
    </row>
    <row r="8806" spans="1:51" hidden="1">
      <c r="A8806">
        <v>106600</v>
      </c>
      <c r="B8806" t="s">
        <v>1533</v>
      </c>
      <c r="C8806" t="str">
        <f>"01439370287"</f>
        <v>01439370287</v>
      </c>
      <c r="D8806" t="str">
        <f>"01439370287"</f>
        <v>01439370287</v>
      </c>
      <c r="E8806" t="s">
        <v>52</v>
      </c>
      <c r="F8806">
        <v>2015</v>
      </c>
      <c r="G8806">
        <v>15110091</v>
      </c>
      <c r="H8806" s="1">
        <v>42165</v>
      </c>
      <c r="I8806" s="1">
        <v>42177</v>
      </c>
      <c r="J8806" s="1">
        <v>42174</v>
      </c>
      <c r="K8806" s="1">
        <v>42234</v>
      </c>
      <c r="N8806" s="5"/>
      <c r="O8806" s="2">
        <v>1958.44</v>
      </c>
      <c r="P8806">
        <v>41</v>
      </c>
      <c r="Q8806" s="2">
        <v>80296.039999999994</v>
      </c>
      <c r="R8806">
        <v>0</v>
      </c>
      <c r="V8806">
        <v>0</v>
      </c>
      <c r="W8806">
        <v>0</v>
      </c>
      <c r="X8806">
        <v>0</v>
      </c>
      <c r="Y8806" s="2">
        <v>2389.3000000000002</v>
      </c>
      <c r="Z8806" s="2">
        <v>2389.3000000000002</v>
      </c>
      <c r="AA8806" s="2">
        <v>2389.3000000000002</v>
      </c>
      <c r="AB8806" s="1">
        <v>42382</v>
      </c>
      <c r="AC8806" t="s">
        <v>53</v>
      </c>
      <c r="AD8806" t="s">
        <v>53</v>
      </c>
      <c r="AK8806">
        <v>0</v>
      </c>
      <c r="AU8806" s="6">
        <v>42275</v>
      </c>
      <c r="AV8806" s="6">
        <v>42275</v>
      </c>
      <c r="AW8806" t="s">
        <v>54</v>
      </c>
      <c r="AX8806" t="str">
        <f t="shared" si="719"/>
        <v>FOR</v>
      </c>
      <c r="AY8806" t="s">
        <v>55</v>
      </c>
    </row>
    <row r="8807" spans="1:51">
      <c r="A8807">
        <v>106607</v>
      </c>
      <c r="B8807" t="s">
        <v>1534</v>
      </c>
      <c r="C8807" t="str">
        <f>"12796710155"</f>
        <v>12796710155</v>
      </c>
      <c r="D8807" t="str">
        <f>"04299410375"</f>
        <v>04299410375</v>
      </c>
      <c r="E8807" t="s">
        <v>52</v>
      </c>
      <c r="F8807">
        <v>2015</v>
      </c>
      <c r="G8807" t="s">
        <v>1535</v>
      </c>
      <c r="H8807" s="1">
        <v>42118</v>
      </c>
      <c r="I8807" s="1">
        <v>42181</v>
      </c>
      <c r="J8807" s="1">
        <v>42173</v>
      </c>
      <c r="K8807" s="1">
        <v>42233</v>
      </c>
      <c r="L8807" s="7">
        <v>14750</v>
      </c>
      <c r="M8807" s="5">
        <v>45</v>
      </c>
      <c r="N8807" s="7">
        <v>663750</v>
      </c>
      <c r="O8807" s="2">
        <v>14750</v>
      </c>
      <c r="P8807">
        <v>45</v>
      </c>
      <c r="Q8807" s="2">
        <v>663750</v>
      </c>
      <c r="R8807">
        <v>0</v>
      </c>
      <c r="V8807">
        <v>0</v>
      </c>
      <c r="W8807">
        <v>0</v>
      </c>
      <c r="X8807">
        <v>0</v>
      </c>
      <c r="Y8807" s="2">
        <v>17995</v>
      </c>
      <c r="Z8807" s="2">
        <v>17995</v>
      </c>
      <c r="AA8807" s="2">
        <v>17995</v>
      </c>
      <c r="AB8807" s="1">
        <v>42382</v>
      </c>
      <c r="AC8807" t="s">
        <v>53</v>
      </c>
      <c r="AD8807" t="s">
        <v>53</v>
      </c>
      <c r="AK8807">
        <v>0</v>
      </c>
      <c r="AU8807" s="6">
        <v>42278</v>
      </c>
      <c r="AV8807" s="6">
        <v>42278</v>
      </c>
      <c r="AW8807" t="s">
        <v>54</v>
      </c>
      <c r="AX8807" t="str">
        <f t="shared" si="719"/>
        <v>FOR</v>
      </c>
      <c r="AY8807" t="s">
        <v>55</v>
      </c>
    </row>
    <row r="8808" spans="1:51">
      <c r="A8808">
        <v>106609</v>
      </c>
      <c r="B8808" t="s">
        <v>1536</v>
      </c>
      <c r="C8808" t="str">
        <f>"02274950654"</f>
        <v>02274950654</v>
      </c>
      <c r="D8808" t="str">
        <f>"02274950654"</f>
        <v>02274950654</v>
      </c>
      <c r="E8808" t="s">
        <v>52</v>
      </c>
      <c r="F8808">
        <v>2015</v>
      </c>
      <c r="G8808" t="s">
        <v>1537</v>
      </c>
      <c r="H8808" s="1">
        <v>42206</v>
      </c>
      <c r="I8808" s="1">
        <v>42227</v>
      </c>
      <c r="J8808" s="1">
        <v>42214</v>
      </c>
      <c r="K8808" s="1">
        <v>42274</v>
      </c>
      <c r="L8808" s="7">
        <v>945</v>
      </c>
      <c r="M8808" s="5">
        <v>81</v>
      </c>
      <c r="N8808" s="7">
        <v>76545</v>
      </c>
      <c r="O8808">
        <v>945</v>
      </c>
      <c r="P8808">
        <v>81</v>
      </c>
      <c r="Q8808" s="2">
        <v>76545</v>
      </c>
      <c r="R8808">
        <v>207.9</v>
      </c>
      <c r="V8808">
        <v>0</v>
      </c>
      <c r="W8808">
        <v>0</v>
      </c>
      <c r="X8808">
        <v>0</v>
      </c>
      <c r="Y8808" s="2">
        <v>1152.9000000000001</v>
      </c>
      <c r="Z8808" s="2">
        <v>1152.9000000000001</v>
      </c>
      <c r="AA8808" s="2">
        <v>1152.9000000000001</v>
      </c>
      <c r="AB8808" s="1">
        <v>42382</v>
      </c>
      <c r="AC8808" t="s">
        <v>53</v>
      </c>
      <c r="AD8808" t="s">
        <v>53</v>
      </c>
      <c r="AH8808">
        <v>207.9</v>
      </c>
      <c r="AK8808">
        <v>0</v>
      </c>
      <c r="AU8808" s="6">
        <v>42355</v>
      </c>
      <c r="AV8808" s="6">
        <v>42355</v>
      </c>
      <c r="AW8808" t="s">
        <v>54</v>
      </c>
      <c r="AX8808" t="str">
        <f t="shared" si="719"/>
        <v>FOR</v>
      </c>
      <c r="AY8808" t="s">
        <v>55</v>
      </c>
    </row>
    <row r="8809" spans="1:51" hidden="1">
      <c r="A8809">
        <v>106613</v>
      </c>
      <c r="B8809" t="s">
        <v>1538</v>
      </c>
      <c r="C8809" t="str">
        <f>"06000771219"</f>
        <v>06000771219</v>
      </c>
      <c r="D8809" t="str">
        <f>"06000771219"</f>
        <v>06000771219</v>
      </c>
      <c r="E8809" t="s">
        <v>52</v>
      </c>
      <c r="F8809">
        <v>2015</v>
      </c>
      <c r="G8809" t="s">
        <v>1539</v>
      </c>
      <c r="H8809" s="1">
        <v>42193</v>
      </c>
      <c r="I8809" s="1">
        <v>42194</v>
      </c>
      <c r="J8809" s="1">
        <v>42193</v>
      </c>
      <c r="K8809" s="1">
        <v>42253</v>
      </c>
      <c r="N8809" s="5"/>
      <c r="O8809" s="2">
        <v>9590.4</v>
      </c>
      <c r="P8809">
        <v>-32</v>
      </c>
      <c r="Q8809" s="2">
        <v>-306892.79999999999</v>
      </c>
      <c r="R8809">
        <v>0</v>
      </c>
      <c r="V8809">
        <v>0</v>
      </c>
      <c r="W8809">
        <v>0</v>
      </c>
      <c r="X8809">
        <v>0</v>
      </c>
      <c r="Y8809" s="2">
        <v>11700.29</v>
      </c>
      <c r="Z8809" s="2">
        <v>11700.29</v>
      </c>
      <c r="AA8809" s="2">
        <v>11700.29</v>
      </c>
      <c r="AB8809" s="1">
        <v>42382</v>
      </c>
      <c r="AC8809" t="s">
        <v>53</v>
      </c>
      <c r="AD8809" t="s">
        <v>53</v>
      </c>
      <c r="AK8809">
        <v>0</v>
      </c>
      <c r="AU8809" s="6">
        <v>42221</v>
      </c>
      <c r="AV8809" s="6">
        <v>42221</v>
      </c>
      <c r="AW8809" t="s">
        <v>54</v>
      </c>
      <c r="AX8809" t="str">
        <f t="shared" si="719"/>
        <v>FOR</v>
      </c>
      <c r="AY8809" t="s">
        <v>55</v>
      </c>
    </row>
    <row r="8810" spans="1:51" hidden="1">
      <c r="A8810">
        <v>106617</v>
      </c>
      <c r="B8810" t="s">
        <v>1540</v>
      </c>
      <c r="C8810" t="str">
        <f>"04337370656"</f>
        <v>04337370656</v>
      </c>
      <c r="D8810" t="str">
        <f>"04337370656"</f>
        <v>04337370656</v>
      </c>
      <c r="E8810" t="s">
        <v>52</v>
      </c>
      <c r="F8810">
        <v>2015</v>
      </c>
      <c r="G8810">
        <v>160</v>
      </c>
      <c r="H8810" s="1">
        <v>42199</v>
      </c>
      <c r="I8810" s="1">
        <v>42199</v>
      </c>
      <c r="J8810" s="1">
        <v>42199</v>
      </c>
      <c r="K8810" s="1">
        <v>42259</v>
      </c>
      <c r="N8810" s="5"/>
      <c r="O8810">
        <v>173.16</v>
      </c>
      <c r="P8810">
        <v>-38</v>
      </c>
      <c r="Q8810" s="2">
        <v>-6580.08</v>
      </c>
      <c r="R8810">
        <v>0</v>
      </c>
      <c r="V8810">
        <v>0</v>
      </c>
      <c r="W8810">
        <v>0</v>
      </c>
      <c r="X8810">
        <v>0</v>
      </c>
      <c r="Y8810">
        <v>173.16</v>
      </c>
      <c r="Z8810">
        <v>173.16</v>
      </c>
      <c r="AA8810">
        <v>173.16</v>
      </c>
      <c r="AB8810" s="1">
        <v>42382</v>
      </c>
      <c r="AC8810" t="s">
        <v>53</v>
      </c>
      <c r="AD8810" t="s">
        <v>53</v>
      </c>
      <c r="AK8810">
        <v>0</v>
      </c>
      <c r="AU8810" s="6">
        <v>42221</v>
      </c>
      <c r="AV8810" s="6">
        <v>42221</v>
      </c>
      <c r="AW8810" t="s">
        <v>54</v>
      </c>
      <c r="AX8810" t="str">
        <f t="shared" si="719"/>
        <v>FOR</v>
      </c>
      <c r="AY8810" t="s">
        <v>55</v>
      </c>
    </row>
    <row r="8811" spans="1:51">
      <c r="A8811">
        <v>106623</v>
      </c>
      <c r="B8811" t="s">
        <v>1541</v>
      </c>
      <c r="C8811" t="str">
        <f>"02377910969"</f>
        <v>02377910969</v>
      </c>
      <c r="D8811" t="str">
        <f>""</f>
        <v/>
      </c>
      <c r="E8811" t="s">
        <v>52</v>
      </c>
      <c r="F8811">
        <v>2015</v>
      </c>
      <c r="G8811" t="s">
        <v>1542</v>
      </c>
      <c r="H8811" s="1">
        <v>42241</v>
      </c>
      <c r="I8811" s="1">
        <v>42242</v>
      </c>
      <c r="J8811" s="1">
        <v>42241</v>
      </c>
      <c r="K8811" s="1">
        <v>42301</v>
      </c>
      <c r="L8811" s="7">
        <v>427.5</v>
      </c>
      <c r="M8811" s="5">
        <v>-17</v>
      </c>
      <c r="N8811" s="7">
        <v>-7267.5</v>
      </c>
      <c r="O8811">
        <v>427.5</v>
      </c>
      <c r="P8811">
        <v>-17</v>
      </c>
      <c r="Q8811" s="2">
        <v>-7267.5</v>
      </c>
      <c r="R8811">
        <v>94.05</v>
      </c>
      <c r="V8811">
        <v>0</v>
      </c>
      <c r="W8811">
        <v>0</v>
      </c>
      <c r="X8811">
        <v>0</v>
      </c>
      <c r="Y8811">
        <v>521.54999999999995</v>
      </c>
      <c r="Z8811">
        <v>521.54999999999995</v>
      </c>
      <c r="AA8811">
        <v>521.54999999999995</v>
      </c>
      <c r="AB8811" s="1">
        <v>42382</v>
      </c>
      <c r="AC8811" t="s">
        <v>53</v>
      </c>
      <c r="AD8811" t="s">
        <v>53</v>
      </c>
      <c r="AG8811">
        <v>94.05</v>
      </c>
      <c r="AK8811">
        <v>0</v>
      </c>
      <c r="AU8811" s="6">
        <v>42284</v>
      </c>
      <c r="AV8811" s="6">
        <v>42284</v>
      </c>
      <c r="AW8811" t="s">
        <v>54</v>
      </c>
      <c r="AX8811" t="str">
        <f t="shared" si="719"/>
        <v>FOR</v>
      </c>
      <c r="AY8811" t="s">
        <v>55</v>
      </c>
    </row>
    <row r="8812" spans="1:51" hidden="1">
      <c r="A8812">
        <v>106626</v>
      </c>
      <c r="B8812" t="s">
        <v>1543</v>
      </c>
      <c r="C8812" t="str">
        <f>"02831120650"</f>
        <v>02831120650</v>
      </c>
      <c r="D8812" t="str">
        <f>"02831120650"</f>
        <v>02831120650</v>
      </c>
      <c r="E8812" t="s">
        <v>52</v>
      </c>
      <c r="F8812">
        <v>2015</v>
      </c>
      <c r="G8812" t="s">
        <v>1544</v>
      </c>
      <c r="H8812" s="1">
        <v>42247</v>
      </c>
      <c r="I8812" s="1">
        <v>42249</v>
      </c>
      <c r="J8812" s="1">
        <v>42247</v>
      </c>
      <c r="K8812" s="1">
        <v>42307</v>
      </c>
      <c r="N8812" s="5"/>
      <c r="O8812" s="2">
        <v>1500</v>
      </c>
      <c r="P8812">
        <v>-32</v>
      </c>
      <c r="Q8812" s="2">
        <v>-48000</v>
      </c>
      <c r="R8812">
        <v>0</v>
      </c>
      <c r="V8812">
        <v>0</v>
      </c>
      <c r="W8812">
        <v>0</v>
      </c>
      <c r="X8812">
        <v>0</v>
      </c>
      <c r="Y8812" s="2">
        <v>1500</v>
      </c>
      <c r="Z8812" s="2">
        <v>1500</v>
      </c>
      <c r="AA8812" s="2">
        <v>1500</v>
      </c>
      <c r="AB8812" s="1">
        <v>42382</v>
      </c>
      <c r="AC8812" t="s">
        <v>53</v>
      </c>
      <c r="AD8812" t="s">
        <v>53</v>
      </c>
      <c r="AK8812">
        <v>0</v>
      </c>
      <c r="AU8812" s="6">
        <v>42275</v>
      </c>
      <c r="AV8812" s="6">
        <v>42275</v>
      </c>
      <c r="AW8812" t="s">
        <v>54</v>
      </c>
      <c r="AX8812" t="str">
        <f t="shared" si="719"/>
        <v>FOR</v>
      </c>
      <c r="AY8812" t="s">
        <v>55</v>
      </c>
    </row>
    <row r="8813" spans="1:51">
      <c r="A8813">
        <v>106629</v>
      </c>
      <c r="B8813" t="s">
        <v>1545</v>
      </c>
      <c r="C8813" t="str">
        <f>"01476200629"</f>
        <v>01476200629</v>
      </c>
      <c r="D8813" t="str">
        <f>"01476200629"</f>
        <v>01476200629</v>
      </c>
      <c r="E8813" t="s">
        <v>52</v>
      </c>
      <c r="F8813">
        <v>2015</v>
      </c>
      <c r="G8813" t="s">
        <v>1546</v>
      </c>
      <c r="H8813" s="1">
        <v>42248</v>
      </c>
      <c r="I8813" s="1">
        <v>42249</v>
      </c>
      <c r="J8813" s="1">
        <v>42248</v>
      </c>
      <c r="K8813" s="1">
        <v>42308</v>
      </c>
      <c r="L8813" s="7">
        <v>1500</v>
      </c>
      <c r="M8813" s="5">
        <v>-26</v>
      </c>
      <c r="N8813" s="7">
        <v>-39000</v>
      </c>
      <c r="O8813" s="2">
        <v>1500</v>
      </c>
      <c r="P8813">
        <v>-26</v>
      </c>
      <c r="Q8813" s="2">
        <v>-39000</v>
      </c>
      <c r="R8813">
        <v>0</v>
      </c>
      <c r="V8813">
        <v>0</v>
      </c>
      <c r="W8813">
        <v>0</v>
      </c>
      <c r="X8813">
        <v>0</v>
      </c>
      <c r="Y8813" s="2">
        <v>1500</v>
      </c>
      <c r="Z8813" s="2">
        <v>1500</v>
      </c>
      <c r="AA8813" s="2">
        <v>1500</v>
      </c>
      <c r="AB8813" s="1">
        <v>42382</v>
      </c>
      <c r="AC8813" t="s">
        <v>53</v>
      </c>
      <c r="AD8813" t="s">
        <v>53</v>
      </c>
      <c r="AK8813">
        <v>0</v>
      </c>
      <c r="AU8813" s="6">
        <v>42282</v>
      </c>
      <c r="AV8813" s="6">
        <v>42282</v>
      </c>
      <c r="AW8813" t="s">
        <v>54</v>
      </c>
      <c r="AX8813" t="str">
        <f t="shared" si="719"/>
        <v>FOR</v>
      </c>
      <c r="AY8813" t="s">
        <v>55</v>
      </c>
    </row>
    <row r="8814" spans="1:51">
      <c r="A8814">
        <v>106640</v>
      </c>
      <c r="B8814" t="s">
        <v>1547</v>
      </c>
      <c r="C8814" t="str">
        <f>"10691860158"</f>
        <v>10691860158</v>
      </c>
      <c r="D8814" t="str">
        <f>"10691860158"</f>
        <v>10691860158</v>
      </c>
      <c r="E8814" t="s">
        <v>52</v>
      </c>
      <c r="F8814">
        <v>2015</v>
      </c>
      <c r="G8814" t="s">
        <v>1548</v>
      </c>
      <c r="H8814" s="1">
        <v>42279</v>
      </c>
      <c r="I8814" s="1">
        <v>42282</v>
      </c>
      <c r="J8814" s="1">
        <v>42279</v>
      </c>
      <c r="K8814" s="1">
        <v>42339</v>
      </c>
      <c r="L8814" s="7">
        <v>252</v>
      </c>
      <c r="M8814" s="5">
        <v>-54</v>
      </c>
      <c r="N8814" s="7">
        <v>-13608</v>
      </c>
      <c r="O8814">
        <v>252</v>
      </c>
      <c r="P8814">
        <v>-54</v>
      </c>
      <c r="Q8814" s="2">
        <v>-13608</v>
      </c>
      <c r="R8814">
        <v>0</v>
      </c>
      <c r="V8814">
        <v>252</v>
      </c>
      <c r="W8814">
        <v>252</v>
      </c>
      <c r="X8814">
        <v>252</v>
      </c>
      <c r="Y8814">
        <v>252</v>
      </c>
      <c r="Z8814">
        <v>252</v>
      </c>
      <c r="AA8814">
        <v>252</v>
      </c>
      <c r="AB8814" s="1">
        <v>42382</v>
      </c>
      <c r="AC8814" t="s">
        <v>53</v>
      </c>
      <c r="AD8814" t="s">
        <v>53</v>
      </c>
      <c r="AK8814">
        <v>0</v>
      </c>
      <c r="AU8814" s="6">
        <v>42285</v>
      </c>
      <c r="AV8814" s="6">
        <v>42285</v>
      </c>
      <c r="AW8814" t="s">
        <v>54</v>
      </c>
      <c r="AX8814" t="str">
        <f t="shared" si="719"/>
        <v>FOR</v>
      </c>
      <c r="AY8814" t="s">
        <v>55</v>
      </c>
    </row>
    <row r="8815" spans="1:51">
      <c r="A8815">
        <v>106661</v>
      </c>
      <c r="B8815" t="s">
        <v>1549</v>
      </c>
      <c r="C8815" t="str">
        <f>"04840260485"</f>
        <v>04840260485</v>
      </c>
      <c r="D8815" t="str">
        <f>"04840260485"</f>
        <v>04840260485</v>
      </c>
      <c r="E8815" t="s">
        <v>52</v>
      </c>
      <c r="F8815">
        <v>2015</v>
      </c>
      <c r="G8815">
        <v>772</v>
      </c>
      <c r="H8815" s="1">
        <v>42277</v>
      </c>
      <c r="I8815" s="1">
        <v>42325</v>
      </c>
      <c r="J8815" s="1">
        <v>42324</v>
      </c>
      <c r="K8815" s="1">
        <v>42384</v>
      </c>
      <c r="L8815" s="7">
        <v>41300</v>
      </c>
      <c r="M8815" s="5">
        <v>-25</v>
      </c>
      <c r="N8815" s="7">
        <v>-1032500</v>
      </c>
      <c r="O8815" s="2">
        <v>41300</v>
      </c>
      <c r="P8815">
        <v>-25</v>
      </c>
      <c r="Q8815" s="2">
        <v>-1032500</v>
      </c>
      <c r="R8815" s="2">
        <v>9086</v>
      </c>
      <c r="V8815">
        <v>-854</v>
      </c>
      <c r="W8815" s="2">
        <v>50386</v>
      </c>
      <c r="X8815">
        <v>-854</v>
      </c>
      <c r="Y8815" s="2">
        <v>50386</v>
      </c>
      <c r="Z8815" s="2">
        <v>50386</v>
      </c>
      <c r="AA8815" s="2">
        <v>50386</v>
      </c>
      <c r="AB8815" s="1">
        <v>42382</v>
      </c>
      <c r="AC8815" t="s">
        <v>53</v>
      </c>
      <c r="AD8815" t="s">
        <v>53</v>
      </c>
      <c r="AK8815">
        <v>0</v>
      </c>
      <c r="AM8815" s="2">
        <v>9086</v>
      </c>
      <c r="AU8815" s="6">
        <v>42359</v>
      </c>
      <c r="AV8815" s="6">
        <v>42359</v>
      </c>
      <c r="AW8815" t="s">
        <v>54</v>
      </c>
      <c r="AX8815" t="str">
        <f t="shared" si="719"/>
        <v>FOR</v>
      </c>
      <c r="AY8815" t="s">
        <v>55</v>
      </c>
    </row>
    <row r="8816" spans="1:51">
      <c r="E8816" s="5" t="s">
        <v>1550</v>
      </c>
      <c r="L8816" s="7">
        <f>SUBTOTAL(9,L16:L8815)</f>
        <v>11462539.389999989</v>
      </c>
      <c r="N8816" s="7">
        <f>SUBTOTAL(9,N16:N8815)</f>
        <v>1566666369.4599981</v>
      </c>
    </row>
    <row r="8818" spans="1:12" ht="15.75">
      <c r="A8818" s="8" t="s">
        <v>1551</v>
      </c>
      <c r="B8818" s="8"/>
      <c r="C8818" s="8"/>
      <c r="D8818" s="8"/>
      <c r="E8818" s="8"/>
      <c r="F8818" s="8"/>
      <c r="G8818" s="8"/>
      <c r="H8818" s="8"/>
      <c r="I8818" s="8"/>
      <c r="J8818" s="8"/>
      <c r="K8818" s="8"/>
      <c r="L8818" s="9">
        <f>AVERAGE(N8816)/L8816</f>
        <v>136.67707618320338</v>
      </c>
    </row>
  </sheetData>
  <autoFilter ref="A2:BA8815">
    <filterColumn colId="1">
      <filters>
        <filter val="3 M.C. S.P.A."/>
        <filter val="3M ITALIA S.R.L."/>
        <filter val="A.D.A. S.R.L."/>
        <filter val="A.F. LONGO Sas"/>
        <filter val="A.G.A. BIOMEDICA S.R.L."/>
        <filter val="A.MENARINI DIAGNOSTICS S.R.L."/>
        <filter val="A.S.I.A. BENEVENTO S.P.A."/>
        <filter val="AB ANALITICA S.R.L."/>
        <filter val="AB MEDICA S.P.A."/>
        <filter val="ABBOTT S.R.L."/>
        <filter val="AC.TA.. SRL"/>
        <filter val="ACCORD HEALTHCARE ITALIA S.R.L."/>
        <filter val="ADVANCED SURGICAL PRODUCTS DI VASTARELLI GAETANO"/>
        <filter val="AIESI HOSPITAL SERVICE SAS"/>
        <filter val="AIR LIQUIDE MEDICAL SYSTEMS S.PA."/>
        <filter val="ALCON ITALIA S.P.A."/>
        <filter val="ALEX OFFICE &amp; BUSINESS DI CARMINE AVERSANO"/>
        <filter val="ALFA INTES S.R.L."/>
        <filter val="ALIFAX S.R.L."/>
        <filter val="ALMIRALL S.P.A."/>
        <filter val="AMS S.R.L."/>
        <filter val="APPLIED MEDICAL DISTRIB. EUROPE BV- FIL.ITALIANA"/>
        <filter val="ARTI GRAFICHE 2000  SAS"/>
        <filter val="ARUBA S.P.A."/>
        <filter val="AS.T.C.C.&amp; C. S.N.C.  COSIMO CIOTTA"/>
        <filter val="ASPEN PHARMA IRELAND LIMITED"/>
        <filter val="ASSOCIATION ROBERT DEBRE POUR LA RECHERCHE"/>
        <filter val="ATTI HOSPITAL S.R.L."/>
        <filter val="AUTOSALONE E AUTOFFICINA CARPENTIERI"/>
        <filter val="AUTOSTRADE PER L' ITALIA S.P.A."/>
        <filter val="AVANGATE ITALIA S.R.L."/>
        <filter val="AZ HOSPITAL S.R.L."/>
        <filter val="B.BRAUN MILANO S.P.A."/>
        <filter val="B.C.TRADE  S.R.L."/>
        <filter val="B.R.S.CAPPUCCIO S.R.L."/>
        <filter val="BARD S.R.L."/>
        <filter val="BAXTER  S.P.A."/>
        <filter val="BAYER R&amp;I B.V."/>
        <filter val="BAYER S.P.A."/>
        <filter val="BECKMAN COULTER S.R.L."/>
        <filter val="BECTON DICKINSON ITALIA S.P.A."/>
        <filter val="BENEFIS S.R.L."/>
        <filter val="BIO MERIEUX ITALIA S.P.A."/>
        <filter val="BIO OPTICA S.P.A.             STRUMENTI"/>
        <filter val="BIODIAGRAM S.R.L."/>
        <filter val="BIOLIFE ITALIANA SRL"/>
        <filter val="BIOMEDIA S.R.L."/>
        <filter val="BIO-RAD LABORATORIES S.R.L."/>
        <filter val="BIORES SRL"/>
        <filter val="BIOTECNICA S.R.L."/>
        <filter val="BIOTECNICA S.R.L.S."/>
        <filter val="BMC TEC SRL UNIPERSONALE"/>
        <filter val="BOSTON SCIENTIFIC S.P.A."/>
        <filter val="BRACCO IMAGING ITALIA SRL"/>
        <filter val="BRUNO BARBATO MEDICALI S.R.L."/>
        <filter val="BRUNO FARMACEUTICI S.P.A."/>
        <filter val="BSN MEDICAL S.R.L."/>
        <filter val="C &amp; T GLOBAL SERVICE SRL"/>
        <filter val="C.I.D. SOFTWARE STUDIO S.R.L."/>
        <filter val="CARESTREAM HEALTH ITALIA SRL (RAMO KODAK)"/>
        <filter val="CARLO ERBA REAGENTS S.R.L."/>
        <filter val="CARLS ZEISS S.P.A."/>
        <filter val="CAVALLARO S.R.L."/>
        <filter val="CERACARTA S.P.A."/>
        <filter val="CHIRURMEDICA SRL"/>
        <filter val="CIDICHEM S.R.L."/>
        <filter val="CISATECH di C. SANTORO &amp; C. s.a.s."/>
        <filter val="CODIFI SRL"/>
        <filter val="CODISAN S.P.A."/>
        <filter val="COLOPLAST S.P.A."/>
        <filter val="COMECER S.P.A."/>
        <filter val="COOK ITALIA S.R.L."/>
        <filter val="COSMOPOL S.R.L."/>
        <filter val="COVIDIEN ITALIA S.R.L."/>
        <filter val="CSL BEHRING S.P.A. EX ZLB BEHRING SPA"/>
        <filter val="CSL COMMERCIALE SANITARIA LOMBARDA S.R.L."/>
        <filter val="DASIT S.P.A."/>
        <filter val="DATA PROCESSING S.P.A."/>
        <filter val="DATI ASCENSORI S.r.l."/>
        <filter val="DE NIGRO GAETANO FERRAMENTA"/>
        <filter val="DELL' ANNO S.R.L."/>
        <filter val="DELTA MED S.P.A."/>
        <filter val="DEMA HOSPITAL S.R.L."/>
        <filter val="DEOFFICE S.R.L."/>
        <filter val="DETER GROUP DI SANDRO ZAMPARELLI"/>
        <filter val="DEXTER S.R.L."/>
        <filter val="DIAPATH S.P.A."/>
        <filter val="DIASORIN S.P.A."/>
        <filter val="DRAEGER MEDICAL  ITALIA S.P.A."/>
        <filter val="DUEMME S.R.L."/>
        <filter val="DYNAMED SNC"/>
        <filter val="EDISON ENERGIA S.P.A."/>
        <filter val="EDWARDS LIFESCIENCES ITALIA S.P.A."/>
        <filter val="EL.TO.  S.R.L."/>
        <filter val="ELEKTA S.P.A."/>
        <filter val="ELETTRONICA BIO MEDICALE S.R.L."/>
        <filter val="ELLEGI MEDICAL OPTICS S.R.L."/>
        <filter val="ENDOSURGICAL s.r.l."/>
        <filter val="ENGINEERING INGEGNERIA INFORMATICA S.P.A."/>
        <filter val="ENI S.P.A. DIVISIONE GAS ( NAPOLETANAGAS)"/>
        <filter val="EPPENDORF S.R.L."/>
        <filter val="ESTOR S.P.A."/>
        <filter val="EUROFARM  S.P.A."/>
        <filter val="EUROHOSPITEK S.R.L."/>
        <filter val="EXPERTMED S.R.L."/>
        <filter val="F.A.D. S.R.L."/>
        <filter val="F.LLI AQUINO S.R.L."/>
        <filter val="FARMAC-ZABBAN   S.P.A."/>
        <filter val="FATER S.P.A."/>
        <filter val="FELIAN S.P.A."/>
        <filter val="FER SUD DI PASQUARELLA CLAUDIO"/>
        <filter val="FERMED S.R.L."/>
        <filter val="FERRAMENTA DI MATURO GIOVANNI"/>
        <filter val="FIAB S.P.A."/>
        <filter val="FITOCHINA ITALIA SRL"/>
        <filter val="FLORMED COMMERCIALE S.R.L."/>
        <filter val="FRESENIUS KABI ITALIA S.R.L."/>
        <filter val="FS MEDICAL DI FABIO STAMMELLUTI"/>
        <filter val="FUTURA HOSPITAL SAS DI CARANDENTE  CIRO"/>
        <filter val="G.I.F.A. DI FIORE SABATINO &amp; C. s.a.s"/>
        <filter val="GADA ITALIA S.R.L. (EX GAMMA INTERNATIONAL)"/>
        <filter val="GALA S.P.A."/>
        <filter val="GAMBRO HOSPAL S.R.L.(INCORPORATA IN BAXTER)"/>
        <filter val="GE HEALTHCARE SRL ( EX AMERSHAM HEALTH SRL) -"/>
        <filter val="GE MEDICAL SYSTEMS ITALIA S.P.A."/>
        <filter val="GEMEAZ ELIOR S.P.A. ( EX GEMEAZ CUSIN S.P.A )"/>
        <filter val="GENKO ITALIA S.P.A."/>
        <filter val="GEPINFORMATICA S.R.L."/>
        <filter val="GESAN S.R.L."/>
        <filter val="GETINGE S.P.A."/>
        <filter val="GI GROUP SPA ( EX WORKNET GENERALE INDUSTRIELLE)"/>
        <filter val="GIOVANNI ALFIERI &amp; C. S.P.A."/>
        <filter val="GLAXO SMITH KLINE S.P.A."/>
        <filter val="GLORIA MED PHARMA S.R.L."/>
        <filter val="GRAFICHE IUORIO S.N.C."/>
        <filter val="GUERBET S. p. A."/>
        <filter val="GUERRI MARIO SAS"/>
        <filter val="GUNA S.p.A.."/>
        <filter val="H.S. HOSPITAL SERVICE SPA"/>
        <filter val="HITACHI MEDICAL SYSTEMS S.P.A.(EX ALOKA S.P.A.)"/>
        <filter val="HOLOGIC ITALIA S.R.L. (EX CYTYC ITALIA S.R.L.)"/>
        <filter val="HOSPIRA ITALIA SRL"/>
        <filter val="HUMANA ITALIA S.P.A."/>
        <filter val="ID&amp;CO S.R.L."/>
        <filter val="IGM S.R.L. NAPOLI"/>
        <filter val="IL SOLE 24 ORE S.P.A."/>
        <filter val="IMPRESA FUCCI EDIL RESTAURI S.R.L."/>
        <filter val="IN.FORMA.TI. KA. S.R.L."/>
        <filter val="INES S.R.L."/>
        <filter val="INSIEL MERCATO SPA (EX INSIMARK S.R.L.INCORPORATA)"/>
        <filter val="INSTRUMENTATION LABORATORY S.P.A."/>
        <filter val="INTER FARMACI ITALIA S.R.L."/>
        <filter val="INTERMUNE SRL ORA ROCHE S.P.A."/>
        <filter val="INTESTO S.R.L."/>
        <filter val="ITAL TBS  TELEMATIC &amp; BIOMEDICAL SERVICE S.P.A."/>
        <filter val="JOHNSON &amp; JOHNSON MEDICAL S.P.A."/>
        <filter val="KALTEK S.R.L."/>
        <filter val="KCI MEDICAL S.R.L."/>
        <filter val="KW APPARECCHI SCIENTIFICI S.R.L."/>
        <filter val="KYOCERA DOCUMENT SOLUTIONS ITALIA S.P.A."/>
        <filter val="LA FAVELLIANA SAS DI VARISCO DARIO &amp; C"/>
        <filter val="LA PULITECNICA S.R.L."/>
        <filter val="LA TELEFONICA S.R.L."/>
        <filter val="LABOINDUSTRIA  S.P.A."/>
        <filter val="L'ARTE DEL TRASLOCO S.R.L."/>
        <filter val="LAVECO S.R.L."/>
        <filter val="L'EUROPEA ORG.NAZ.S.R.L."/>
        <filter val="LINET ITALIA S.R.L."/>
        <filter val="LOGIC S.R.L."/>
        <filter val="LTA S.R.L."/>
        <filter val="M.END.EL. S.R.L."/>
        <filter val="M.G.LORENZATTO S.R.L."/>
        <filter val="MAGGIOLI S.P.A."/>
        <filter val="MCS S.R.L."/>
        <filter val="MEC. SAN. SERVICE SNC  ELETTROMEC. SANITARIA"/>
        <filter val="MEDA PHARMA S.P.A.."/>
        <filter val="MEDEM S.R.L."/>
        <filter val="MEDI.COM.S.R.L."/>
        <filter val="MEDICAL SYSTEMS S.P.A."/>
        <filter val="MEDI-CARE SOLUTIONS S.R.L."/>
        <filter val="MEDINOVA STRUMENTI ELETTROMED. S.R.L."/>
        <filter val="MEDISOL S.A.S. DI SACCHETTINO MARIA ROSARIA"/>
        <filter val="MEDIVAL - MEDICA VALEGGIA S.P.A.-"/>
        <filter val="MEDTRONIC ITALIA S.P.A."/>
        <filter val="MELLIN S.P.A."/>
        <filter val="MERCK  S.P.A."/>
        <filter val="MICROMED S.P.A."/>
        <filter val="MICROTECH S.R.L."/>
        <filter val="MOLNLYCKE HEALTH CARE SRL"/>
        <filter val="MOSCARINO S.A.S."/>
        <filter val="MOVI S.P.A. ATTREZZATURE BIOMEDICHE"/>
        <filter val="MPM ITALIA SRL SOCIETA' UNIPERSONALE"/>
        <filter val="MYLAN S.P.A."/>
        <filter val="NACATUR INTERNATIONAL IMPORT EXPORT S.R.L."/>
        <filter val="NEIKOS S.R.L."/>
        <filter val="NEO -SURGICAL S.R.L.DEL DOTT. BIAGIO MEROLA &amp; C."/>
        <filter val="NESTLE' ITALIANA S.P.A."/>
        <filter val="NEW MED CORPORATION S.R.L."/>
        <filter val="NOEMALIFE S.P.A.(EX ITALNOEMA)"/>
        <filter val="NOVA INFORMATION TECHNOLOGY Scrl"/>
        <filter val="NOVAMED S.R.L."/>
        <filter val="NOVARTIS FARMA S.P.A."/>
        <filter val="NUCLEAR LASER MEDICINE S.R.L."/>
        <filter val="NUTRICIA  ITALIA S.P.A."/>
        <filter val="OLIVETTI TECNOST S.P.A."/>
        <filter val="OLYMPUS ITALIA S.R.L."/>
        <filter val="ORION S.R.L."/>
        <filter val="ORPHAN EUROPE (ITALY) SRL"/>
        <filter val="ORREI  RICCARDO"/>
        <filter val="ORTHO-CLINICAL DIAGNOSTICS ITALY S.R.L."/>
        <filter val="ORZELLECA PREMIAZIONI S.A.S."/>
        <filter val="OVID TECHNOLOGIES SRL"/>
        <filter val="PACIFICO S.R.L. -  LAVANDERIA INDUSTRIALE"/>
        <filter val="PANTEC S.R.L."/>
        <filter val="PAPA  QUINTO  -TINTEGGIATURA E DECORI"/>
        <filter val="PAREXEL INTERNATIONAL SRL"/>
        <filter val="PERKIN ELMER ITALIA S.P.A."/>
        <filter val="PFIZER ITALIA S.r.l."/>
        <filter val="PHILIPS S.P.A.(EX PHILIPS MEDICAL SYSTEMS S.P.A.)"/>
        <filter val="QIAGEN S.R.L."/>
        <filter val="RAYS  srl."/>
        <filter val="REALTA' SANNITA"/>
        <filter val="RICCIARDI &amp; C. SRL UNIPERSONALE"/>
        <filter val="RIGA DOMENICO S.A.S."/>
        <filter val="RIMAFLEX DI MATURO GIOVANNI"/>
        <filter val="ROCHE DIAGNOSTICS S.P.A."/>
        <filter val="ROCHE S.P.A."/>
        <filter val="RUMMO S.C.ar.l."/>
        <filter val="S.V.I.M.A.  FARMACEUTICI S.R.L."/>
        <filter val="SACCO - OTTICA OFTALMOLOGIA S.A.S."/>
        <filter val="SAGO MEDICA S.R.L."/>
        <filter val="SANDOZ S.P.A."/>
        <filter val="SANITARIA ORTOPEDIA DI CARDONE PIA."/>
        <filter val="SARSTEDT S.R.L."/>
        <filter val="SCOGNAMIGLIO S.R.L."/>
        <filter val="SELC MEDICAL TECHNOLOGY SRL"/>
        <filter val="SEROM MEDICAL TECHNOLOGY S.R.L."/>
        <filter val="SHARP ELECTRONICS ITALIA S.P.A."/>
        <filter val="SIEMENS HEALTHCARE SRL(exSiemens Health.Diagnost.)"/>
        <filter val="SISTEMI IPERBARICI S.R.L. - GRUPPO SAPIO"/>
        <filter val="SITRADE ITALIA S.P.A."/>
        <filter val="SMITHS MEDICAL ITALIA S.R.L."/>
        <filter val="SO.E.M. MEDICAL S.R.L."/>
        <filter val="STAMPA SUD S.R.L."/>
        <filter val="STEFANUCCI GIUSEPPE"/>
        <filter val="STORZ MEDICAL ITALIA S.R.L."/>
        <filter val="STRYKER ITALIA S.R.L."/>
        <filter val="SVAS BIOSANA S.P.A."/>
        <filter val="T.M. MEDICAL DI M. D. CAPUTO"/>
        <filter val="TECHNOGENETICS SRL"/>
        <filter val="TECHNOLOGIC S.R.L."/>
        <filter val="TECNOSP S.R.L."/>
        <filter val="TECSUD S.R.L."/>
        <filter val="TELECOM ITALIA DIGITAL SOLUTIONS SPA (EXPATH.NET)"/>
        <filter val="TELECOM ITALIA S.P.A."/>
        <filter val="TELEFLEX MEDICAL S.R.L.  (EX RUSCH S.R.L.)"/>
        <filter val="TELEPASS S.P.A."/>
        <filter val="TEMA RICERCA S.R.L."/>
        <filter val="TEMA SINERGIE S.P.A."/>
        <filter val="TEVA ITALIA S.R.L."/>
        <filter val="TIM - TELECOM ITALIA S.P.A."/>
        <filter val="TOSHIBA MEDICAL SYSTEMS S.R.L."/>
        <filter val="VIIV HEALTHCARE S.R.L."/>
        <filter val="VIVAI BARRETTA S.R.L."/>
        <filter val="VODAFONE ITALIA S.P.A."/>
        <filter val="W.L. GORE &amp; ASSOCIATI S.R.L."/>
        <filter val="X - GAMMAGUARD DI LAURA PINI"/>
        <filter val="XEROX ITALIA RENTAL SERVICES"/>
        <filter val="ZIMMER S.R.L."/>
      </filters>
    </filterColumn>
    <filterColumn colId="46">
      <filters>
        <dateGroupItem year="2015" month="10" dateTimeGrouping="month"/>
        <dateGroupItem year="2015" month="11" dateTimeGrouping="month"/>
        <dateGroupItem year="2015" month="12" dateTimeGrouping="month"/>
      </filters>
    </filterColumn>
    <filterColumn colId="47">
      <filters>
        <dateGroupItem year="2015" month="10" dateTimeGrouping="month"/>
        <dateGroupItem year="2015" month="11" dateTimeGrouping="month"/>
        <dateGroupItem year="2015" month="12" dateTimeGrouping="month"/>
      </filters>
    </filterColumn>
  </autoFilter>
  <mergeCells count="1">
    <mergeCell ref="A8818:K881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41B71729-2238-C27D-A404-0439F48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Enzo</cp:lastModifiedBy>
  <dcterms:created xsi:type="dcterms:W3CDTF">2016-01-15T11:00:20Z</dcterms:created>
  <dcterms:modified xsi:type="dcterms:W3CDTF">2016-01-15T12:18:22Z</dcterms:modified>
</cp:coreProperties>
</file>